
<file path=[Content_Types].xml><?xml version="1.0" encoding="utf-8"?>
<Types xmlns="http://schemas.openxmlformats.org/package/2006/content-types">
  <Default Extension="bin" ContentType="application/vnd.openxmlformats-officedocument.spreadsheetml.printerSettings"/>
  <Default Extension="vsd" ContentType="application/vnd.visio"/>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9.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8.xml" ContentType="application/vnd.openxmlformats-officedocument.drawing+xml"/>
  <Override PartName="/xl/charts/chart32.xml" ContentType="application/vnd.openxmlformats-officedocument.drawingml.chart+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showInkAnnotation="0" codeName="ThisWorkbook" autoCompressPictures="0"/>
  <mc:AlternateContent xmlns:mc="http://schemas.openxmlformats.org/markup-compatibility/2006">
    <mc:Choice Requires="x15">
      <x15ac:absPath xmlns:x15ac="http://schemas.microsoft.com/office/spreadsheetml/2010/11/ac" url="C:\Users\A0505896\Documents\DB-Driver Bias\Galvani\Customer Support\FAE Frank\"/>
    </mc:Choice>
  </mc:AlternateContent>
  <xr:revisionPtr revIDLastSave="0" documentId="13_ncr:1_{587CFECE-37D8-4242-88EA-D7026807E7CB}" xr6:coauthVersionLast="36" xr6:coauthVersionMax="36" xr10:uidLastSave="{00000000-0000-0000-0000-000000000000}"/>
  <bookViews>
    <workbookView xWindow="0" yWindow="0" windowWidth="25600" windowHeight="9830" tabRatio="468" xr2:uid="{00000000-000D-0000-FFFF-FFFF00000000}"/>
  </bookViews>
  <sheets>
    <sheet name="Design Converter" sheetId="1" r:id="rId1"/>
    <sheet name="Stability Calculations" sheetId="29" state="hidden" r:id="rId2"/>
    <sheet name="Variable Mgmt" sheetId="2" state="hidden" r:id="rId3"/>
    <sheet name="Parameters" sheetId="19" state="hidden" r:id="rId4"/>
    <sheet name="Calculations - Single" sheetId="24" r:id="rId5"/>
    <sheet name="Calculations - Dual" sheetId="25" state="hidden" r:id="rId6"/>
    <sheet name="Fsw vs VIN" sheetId="23" state="hidden" r:id="rId7"/>
    <sheet name="BOM &amp; Schematic" sheetId="16" r:id="rId8"/>
    <sheet name="EVMs" sheetId="14"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Mgmt'!$B$82</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DserR">Parameters!$D$50</definedName>
    <definedName name="BODE_TYPE">'Variable Mgmt'!$Q$20</definedName>
    <definedName name="Cb">'Variable Mgmt'!$B$186</definedName>
    <definedName name="Ccomp">'Stability Calculations'!$D$38</definedName>
    <definedName name="Chf">'Stability Calculations'!$D$39</definedName>
    <definedName name="Cin" localSheetId="3">Parameters!$D$30</definedName>
    <definedName name="Cin">'Variable Mgmt'!$B$152</definedName>
    <definedName name="CinEsrMax">'Variable Mgmt'!$B$154</definedName>
    <definedName name="Cinmin">'Variable Mgmt'!$B$150</definedName>
    <definedName name="CONFIG">'Variable Mgmt'!$C$74</definedName>
    <definedName name="Coss">Parameters!$D$45</definedName>
    <definedName name="Cout" localSheetId="3">Parameters!$D$32</definedName>
    <definedName name="Cout">'Variable Mgmt'!$B$127</definedName>
    <definedName name="Cout_pri">'Stability Calculations'!$B$27</definedName>
    <definedName name="Cout_sec">'Stability Calculations'!$B$25</definedName>
    <definedName name="Cout_Voltage_Rating">'Variable Mgmt'!$S$76</definedName>
    <definedName name="Cout2">'Variable Mgmt'!$B$137</definedName>
    <definedName name="CoutEsr">'Variable Mgmt'!$B$129</definedName>
    <definedName name="CoutEsr2">'Variable Mgmt'!$B$139</definedName>
    <definedName name="Css">'Variable Mgmt'!$B$166</definedName>
    <definedName name="Css_u">'Variable Mgmt'!$B$167</definedName>
    <definedName name="Csw">Parameters!$D$46</definedName>
    <definedName name="Diode_TC">'Variable Mgmt'!$B$197</definedName>
    <definedName name="Don_Vinmax">'Variable Mgmt'!$B$86</definedName>
    <definedName name="Don_Vinmin">'Variable Mgmt'!$B$83</definedName>
    <definedName name="Don_Vinnom">'Variable Mgmt'!$B$85</definedName>
    <definedName name="EFF_DUAL">'Efficiency Plots'!$B$7</definedName>
    <definedName name="EFF_SINGLE">'Efficiency Plots'!$B$5</definedName>
    <definedName name="Efficiency">'Variable Mgmt'!$B$39</definedName>
    <definedName name="Fco_desire">'Design Converter'!$E$58</definedName>
    <definedName name="Fsw" localSheetId="3">Parameters!$D$20</definedName>
    <definedName name="Fsw_DCM">'Variable Mgmt'!$B$61</definedName>
    <definedName name="Fsw_DUAL">'Fsw Plots'!$B$7</definedName>
    <definedName name="Fsw_max">Parameters!$D$21</definedName>
    <definedName name="Fsw_SINGLE">'Fsw Plots'!$B$5</definedName>
    <definedName name="gmEA">'Stability Calculations'!$D$31</definedName>
    <definedName name="Icinrms">'Variable Mgmt'!$B$149</definedName>
    <definedName name="Icoutrms">'Variable Mgmt'!$B$121</definedName>
    <definedName name="Iin_Vinmax">'Variable Mgmt'!$B$47</definedName>
    <definedName name="Iin_Vinmin">'Variable Mgmt'!$B$43</definedName>
    <definedName name="Iin_Vinnom">'Variable Mgmt'!$B$45</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5">'Calculations - Dual'!$Q$216</definedName>
    <definedName name="Ioutmax_Vinmax">'Calculations - Single'!$P$216</definedName>
    <definedName name="Ioutmax_Vinmin" localSheetId="5">'Calculations - Dual'!$Q$110</definedName>
    <definedName name="Ioutmax_Vinmin">'Calculations - Single'!$P$110</definedName>
    <definedName name="Ioutmax_Vinnom" localSheetId="5">'Calculations - Dual'!$Q$5</definedName>
    <definedName name="Ioutmax_Vinnom">'Calculations - Single'!$P$5</definedName>
    <definedName name="IpkCAL">'Variable Mgmt'!$B$117</definedName>
    <definedName name="IQ">Parameters!$D$39</definedName>
    <definedName name="Iripple">Parameters!$D$19</definedName>
    <definedName name="Iripple_Vinmax" localSheetId="5">'Variable Mgmt'!#REF!</definedName>
    <definedName name="Iripple_Vinmax" localSheetId="10">'Variable Mgmt'!#REF!</definedName>
    <definedName name="Iripple_Vinmin" localSheetId="5">'Variable Mgmt'!#REF!</definedName>
    <definedName name="Iripple_Vinmin" localSheetId="10">'Variable Mgmt'!#REF!</definedName>
    <definedName name="Iripple_Vinnom" localSheetId="5">'Variable Mgmt'!#REF!</definedName>
    <definedName name="Iripple_Vinnom" localSheetId="10">'Variable Mgmt'!#REF!</definedName>
    <definedName name="Iripple1" localSheetId="5">'Variable Mgmt'!#REF!</definedName>
    <definedName name="Iripple1" localSheetId="10">'Variable Mgmt'!#REF!</definedName>
    <definedName name="Iss">'Variable Mgmt'!$B$165</definedName>
    <definedName name="Isw_max">Parameters!$D$35</definedName>
    <definedName name="Isw_min">Parameters!$D$36</definedName>
    <definedName name="Iuvlo_hys">'Variable Mgmt'!$B$176</definedName>
    <definedName name="Iuvlo1">'Variable Mgmt'!$B$174</definedName>
    <definedName name="Iuvlo2">'Variable Mgmt'!$B$175</definedName>
    <definedName name="k_core">Parameters!$D$29</definedName>
    <definedName name="ktr_rcmd">'Variable Mgmt'!$B$88</definedName>
    <definedName name="L">Parameters!$D$26</definedName>
    <definedName name="Lleak">'Variable Mgmt'!$B$97</definedName>
    <definedName name="Lmag">'Variable Mgmt'!$B$96</definedName>
    <definedName name="Lmin">'Variable Mgmt'!$B$110</definedName>
    <definedName name="Lmin_abs">'Variable Mgmt'!$B$111</definedName>
    <definedName name="Ls1_">'Variable Mgmt'!$B$98</definedName>
    <definedName name="Ls2_">'Variable Mgmt'!$B$99</definedName>
    <definedName name="Ltc">'Variable Mgmt'!$B$208</definedName>
    <definedName name="M">'Stability Calculations'!$B$18</definedName>
    <definedName name="max_I">Parameters!$H$109</definedName>
    <definedName name="min_I">Parameters!$H$108</definedName>
    <definedName name="MODE">'Variable Mgmt'!$C$73</definedName>
    <definedName name="MODE_SS">'Variable Mgmt'!$J$78</definedName>
    <definedName name="MODE_TC">'Variable Mgmt'!$G$72</definedName>
    <definedName name="MODE_TOP">'Variable Mgmt'!$B$73</definedName>
    <definedName name="MODE_UVLO">'Variable Mgmt'!$G$78</definedName>
    <definedName name="Npri_sec">'Stability Calculations'!$B$13</definedName>
    <definedName name="Npri_sec1">'Variable Mgmt'!$R$64</definedName>
    <definedName name="Npri_sec2">'Variable Mgmt'!$R$66</definedName>
    <definedName name="Nps">'Variable Mgmt'!$R$63</definedName>
    <definedName name="Nsec1sec2">'Variable Mgmt'!$R$65</definedName>
    <definedName name="OffTime">Parameters!$D$18</definedName>
    <definedName name="OnTime">Parameters!$D$17</definedName>
    <definedName name="Pi">'Variable Mgmt'!$B$189</definedName>
    <definedName name="PICTURE1">INDIRECT('Schematic Mgmt'!$A$2)</definedName>
    <definedName name="PICTURE2">INDIRECT('Fsw Plots'!$A$2)</definedName>
    <definedName name="PICTURE3">INDIRECT('Efficiency Plots'!$A$2)</definedName>
    <definedName name="Pin">'Variable Mgmt'!$B$41</definedName>
    <definedName name="PLOT_TYPE">'Variable Mgmt'!$M$78</definedName>
    <definedName name="pole1">'Stability Calculations'!$Q$4</definedName>
    <definedName name="Pole2">'Stability Calculations'!$I$5</definedName>
    <definedName name="pole3">'Stability Calculations'!$T$3</definedName>
    <definedName name="pole4">'Stability Calculations'!$I$7</definedName>
    <definedName name="Pomax_allowed">'Variable Mgmt'!$B$48</definedName>
    <definedName name="Pout">'Variable Mgmt'!$B$14</definedName>
    <definedName name="Pout_total">'Variable Mgmt'!$B$22</definedName>
    <definedName name="Pout2">'Variable Mgmt'!$B$21</definedName>
    <definedName name="_xlnm.Print_Area" localSheetId="7">'BOM &amp; Schematic'!$A$1:$I$59</definedName>
    <definedName name="_xlnm.Print_Area" localSheetId="0">'Design Converter'!$A$1:$R$87</definedName>
    <definedName name="pterm1">'Stability Calculations'!$T$4</definedName>
    <definedName name="pterm2">'Stability Calculations'!$T$5</definedName>
    <definedName name="Qg">Parameters!$D$44</definedName>
    <definedName name="radconv">'Stability Calculations'!$W$6</definedName>
    <definedName name="RCinEsr" localSheetId="3">Parameters!$D$31</definedName>
    <definedName name="RCinEsr">'Variable Mgmt'!$B$155</definedName>
    <definedName name="Rcomp">'Stability Calculations'!$D$37</definedName>
    <definedName name="RCoutEsr" localSheetId="3">Parameters!$D$33</definedName>
    <definedName name="RCoutEsr">'Variable Mgmt'!$B$129</definedName>
    <definedName name="RCS">'Design Converter'!$E$17</definedName>
    <definedName name="Rcs_gain">'Stability Calculations'!$B$34</definedName>
    <definedName name="RCSmin">'Variable Mgmt'!$B$118</definedName>
    <definedName name="Rdcr_pri">'Variable Mgmt'!$B$101</definedName>
    <definedName name="Rdcr_sec">'Variable Mgmt'!$B$102</definedName>
    <definedName name="Rdcr_sec2">'Variable Mgmt'!$B$103</definedName>
    <definedName name="Rdson">Parameters!$D$41</definedName>
    <definedName name="RdsonTC">Parameters!$D$42</definedName>
    <definedName name="REAout">'Stability Calculations'!$D$32</definedName>
    <definedName name="Rfb">'Variable Mgmt'!$B$63</definedName>
    <definedName name="Rfb_recommend">'Variable Mgmt'!$B$193</definedName>
    <definedName name="Rfb2_u">'Variable Mgmt'!$B$195</definedName>
    <definedName name="Rload_pri">'Stability Calculations'!$B$22</definedName>
    <definedName name="Rload_sec">'Stability Calculations'!$B$21</definedName>
    <definedName name="RON">'Design Converter'!$L$22</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Mgmt'!$B$199</definedName>
    <definedName name="RTC_1">'Variable Mgmt'!$B$198</definedName>
    <definedName name="Ruvlo1">'Variable Mgmt'!$B$181</definedName>
    <definedName name="Ruvlo2">'Variable Mgmt'!$B$182</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3">Parameters!$D$12</definedName>
    <definedName name="Ta">'Variable Mgmt'!$B$206</definedName>
    <definedName name="TC">'Variable Mgmt'!$G$72</definedName>
    <definedName name="Tfall">Parameters!$D$23</definedName>
    <definedName name="ThetaCa">'Variable Mgmt'!$B$209</definedName>
    <definedName name="ThetaJA">Parameters!$D$54</definedName>
    <definedName name="TL">'Variable Mgmt'!$B$117</definedName>
    <definedName name="toff_max">'Variable Mgmt'!$B$109</definedName>
    <definedName name="Toff_Vinmax">'Variable Mgmt'!$B$190</definedName>
    <definedName name="Ton_Vinmin">'Variable Mgmt'!$B$191</definedName>
    <definedName name="Trise">Parameters!$D$22</definedName>
    <definedName name="TrrBot">Parameters!$D$52</definedName>
    <definedName name="Tss">'Variable Mgmt'!$B$164</definedName>
    <definedName name="Tsw">'Stability Calculations'!$B$19</definedName>
    <definedName name="Turns_Ratio">'Variable Mgmt'!$S$61</definedName>
    <definedName name="Turns_Ratio2">'Variable Mgmt'!$W$61</definedName>
    <definedName name="Vdd">Parameters!$D$13</definedName>
    <definedName name="Vds_req">'Design Converter'!$E$24</definedName>
    <definedName name="Vfwd1">Parameters!$D$48</definedName>
    <definedName name="Vfwd2">Parameters!$D$49</definedName>
    <definedName name="Vfwd22">'Variable Mgmt'!$L$106</definedName>
    <definedName name="Vin">'Design Converter'!$E$7</definedName>
    <definedName name="Vin_eff">'Stability Calculations'!$B$16</definedName>
    <definedName name="VIN_max">'Variable Mgmt'!$B$9</definedName>
    <definedName name="VIN_min">'Variable Mgmt'!$B$7</definedName>
    <definedName name="VIN_nom">'Variable Mgmt'!$B$8</definedName>
    <definedName name="Vinripple1">'Variable Mgmt'!$B$147</definedName>
    <definedName name="Vinripple2">'Variable Mgmt'!$B$160</definedName>
    <definedName name="VINuvlo_off">'Variable Mgmt'!$B$179</definedName>
    <definedName name="VINuvlo_on">'Variable Mgmt'!$B$178</definedName>
    <definedName name="Vout">'Variable Mgmt'!$B$11</definedName>
    <definedName name="Vout_eff">'Stability Calculations'!$B$14</definedName>
    <definedName name="Vout_ripple">'Variable Mgmt'!$B$35</definedName>
    <definedName name="Vout_ripple2">'Variable Mgmt'!$B$36</definedName>
    <definedName name="Vout2">'Variable Mgmt'!$B$16</definedName>
    <definedName name="Vout2_actual">'Variable Mgmt'!$B$17</definedName>
    <definedName name="Vref">'Variable Mgmt'!$B$62</definedName>
    <definedName name="Vripple1_actual">'Variable Mgmt'!$B$131</definedName>
    <definedName name="Vripple1_spec">'Variable Mgmt'!$B$125</definedName>
    <definedName name="Vripple2_actual">'Variable Mgmt'!$B$141</definedName>
    <definedName name="Vripple2_spec">'Variable Mgmt'!$B$135</definedName>
    <definedName name="VRRM_DIODE">'Variable Mgmt'!$B$28</definedName>
    <definedName name="Vuvlo_hys">'Variable Mgmt'!$B$173</definedName>
    <definedName name="Vuvlo_off">'Variable Mgmt'!$B$172</definedName>
    <definedName name="Vuvlo_on">'Variable Mgmt'!$B$171</definedName>
    <definedName name="z_RHP">'Stability Calculations'!$Q$5</definedName>
    <definedName name="Zero1">'Stability Calculations'!$Q$3</definedName>
    <definedName name="Zero2">'Stability Calculations'!$I$4</definedName>
  </definedNames>
  <calcPr calcId="191029"/>
</workbook>
</file>

<file path=xl/calcChain.xml><?xml version="1.0" encoding="utf-8"?>
<calcChain xmlns="http://schemas.openxmlformats.org/spreadsheetml/2006/main">
  <c r="W63" i="2" l="1"/>
  <c r="V61" i="2" l="1"/>
  <c r="R64" i="2"/>
  <c r="R61" i="2"/>
  <c r="R63" i="2"/>
  <c r="T58" i="2"/>
  <c r="T55" i="2"/>
  <c r="T53" i="2"/>
  <c r="T50" i="2"/>
  <c r="T47" i="2"/>
  <c r="T44" i="2"/>
  <c r="T43" i="2"/>
  <c r="T42" i="2"/>
  <c r="V49" i="2"/>
  <c r="V50" i="2"/>
  <c r="V51" i="2"/>
  <c r="V52" i="2"/>
  <c r="V53" i="2"/>
  <c r="V54" i="2"/>
  <c r="V55" i="2"/>
  <c r="V56" i="2"/>
  <c r="V57" i="2"/>
  <c r="V58" i="2"/>
  <c r="V59" i="2"/>
  <c r="V60" i="2"/>
  <c r="V32" i="2"/>
  <c r="V31" i="2"/>
  <c r="V30" i="2"/>
  <c r="V29" i="2"/>
  <c r="V28" i="2"/>
  <c r="T60" i="2"/>
  <c r="T59" i="2"/>
  <c r="T57" i="2"/>
  <c r="R60" i="2"/>
  <c r="R59" i="2"/>
  <c r="R58" i="2"/>
  <c r="R57" i="2"/>
  <c r="T56" i="2"/>
  <c r="T54" i="2"/>
  <c r="T52" i="2"/>
  <c r="T51" i="2"/>
  <c r="R29" i="2"/>
  <c r="R28" i="2"/>
  <c r="R30" i="2"/>
  <c r="R31" i="2"/>
  <c r="R55" i="2"/>
  <c r="R56" i="2"/>
  <c r="R54" i="2"/>
  <c r="R53" i="2"/>
  <c r="R52" i="2"/>
  <c r="R51" i="2"/>
  <c r="R50" i="2"/>
  <c r="R32" i="2"/>
  <c r="V33" i="2" l="1"/>
  <c r="R33" i="2"/>
  <c r="R49" i="2"/>
  <c r="I6" i="29" l="1"/>
  <c r="B29" i="19" l="1"/>
  <c r="U96" i="2" l="1"/>
  <c r="U95" i="2"/>
  <c r="K55" i="16"/>
  <c r="K54" i="16"/>
  <c r="J54" i="16"/>
  <c r="K51" i="16" l="1"/>
  <c r="J51" i="16"/>
  <c r="K53" i="16"/>
  <c r="K52" i="16"/>
  <c r="J53" i="16"/>
  <c r="J52" i="16"/>
  <c r="K38" i="16"/>
  <c r="K37" i="16"/>
  <c r="K36" i="16"/>
  <c r="K35" i="16"/>
  <c r="J38" i="16"/>
  <c r="J37" i="16"/>
  <c r="J35" i="16"/>
  <c r="J36" i="16"/>
  <c r="I38" i="16"/>
  <c r="H38" i="16"/>
  <c r="I36" i="16"/>
  <c r="H36" i="16"/>
  <c r="I35" i="16"/>
  <c r="H35" i="16"/>
  <c r="K44" i="16"/>
  <c r="J44" i="16"/>
  <c r="I44" i="16"/>
  <c r="H44" i="16"/>
  <c r="A44" i="16"/>
  <c r="K43" i="16"/>
  <c r="K46" i="16"/>
  <c r="K42" i="16"/>
  <c r="J43" i="16"/>
  <c r="J41" i="16"/>
  <c r="J42" i="16"/>
  <c r="C54" i="16" l="1"/>
  <c r="C52" i="16"/>
  <c r="D52" i="16" s="1"/>
  <c r="C36" i="16"/>
  <c r="D36" i="16" s="1"/>
  <c r="C35" i="16"/>
  <c r="D35" i="16" s="1"/>
  <c r="K31" i="1" l="1"/>
  <c r="M322" i="25" l="1"/>
  <c r="F322" i="25"/>
  <c r="M77" i="1"/>
  <c r="M74" i="1"/>
  <c r="M73" i="1"/>
  <c r="K77" i="1"/>
  <c r="K75" i="1"/>
  <c r="K74" i="1"/>
  <c r="K73" i="1"/>
  <c r="O325" i="25"/>
  <c r="H325" i="25"/>
  <c r="F322" i="24"/>
  <c r="H325" i="24"/>
  <c r="D75" i="1" l="1"/>
  <c r="D74" i="1"/>
  <c r="D73" i="1"/>
  <c r="D69" i="1"/>
  <c r="D67" i="1"/>
  <c r="N321" i="24" l="1"/>
  <c r="B44" i="19" l="1"/>
  <c r="B23" i="19" s="1"/>
  <c r="B46" i="19"/>
  <c r="L30" i="1"/>
  <c r="S30" i="1"/>
  <c r="L106" i="2"/>
  <c r="E81" i="1"/>
  <c r="K30" i="1"/>
  <c r="K29" i="1"/>
  <c r="B22" i="19" l="1"/>
  <c r="FM5" i="25"/>
  <c r="D48" i="1" l="1"/>
  <c r="D315" i="2" l="1"/>
  <c r="C53" i="16" s="1"/>
  <c r="D53" i="16" s="1"/>
  <c r="B313" i="2"/>
  <c r="D313" i="2" s="1"/>
  <c r="C51" i="16" s="1"/>
  <c r="B311" i="2"/>
  <c r="D311" i="2" s="1"/>
  <c r="B310" i="2"/>
  <c r="D310" i="2" s="1"/>
  <c r="B309" i="2"/>
  <c r="D309" i="2" s="1"/>
  <c r="B137" i="2"/>
  <c r="L23" i="1" l="1"/>
  <c r="E24" i="1"/>
  <c r="C45" i="16" s="1"/>
  <c r="T48" i="2" l="1"/>
  <c r="T46" i="2"/>
  <c r="T45" i="2"/>
  <c r="K14" i="1" l="1"/>
  <c r="CN5" i="25" l="1"/>
  <c r="DP216" i="25"/>
  <c r="DP110" i="25"/>
  <c r="CN105" i="25"/>
  <c r="EM105" i="25" s="1"/>
  <c r="CN104" i="25"/>
  <c r="CN103" i="25"/>
  <c r="CN102" i="25"/>
  <c r="EM102" i="25" s="1"/>
  <c r="CN101" i="25"/>
  <c r="EM101" i="25" s="1"/>
  <c r="CN100" i="25"/>
  <c r="CN99" i="25"/>
  <c r="EM99" i="25" s="1"/>
  <c r="CN98" i="25"/>
  <c r="EM98" i="25" s="1"/>
  <c r="CN97" i="25"/>
  <c r="EM97" i="25" s="1"/>
  <c r="CN96" i="25"/>
  <c r="EM96" i="25" s="1"/>
  <c r="CN95" i="25"/>
  <c r="CN94" i="25"/>
  <c r="CN93" i="25"/>
  <c r="EM93" i="25" s="1"/>
  <c r="CN92" i="25"/>
  <c r="EM92" i="25" s="1"/>
  <c r="CN91" i="25"/>
  <c r="CN90" i="25"/>
  <c r="CN89" i="25"/>
  <c r="EM89" i="25" s="1"/>
  <c r="CN88" i="25"/>
  <c r="EM88" i="25" s="1"/>
  <c r="CN87" i="25"/>
  <c r="CN86" i="25"/>
  <c r="CN85" i="25"/>
  <c r="EM85" i="25" s="1"/>
  <c r="CN84" i="25"/>
  <c r="EM84" i="25" s="1"/>
  <c r="CN83" i="25"/>
  <c r="CN82" i="25"/>
  <c r="EM82" i="25" s="1"/>
  <c r="CN81" i="25"/>
  <c r="EM81" i="25" s="1"/>
  <c r="CN80" i="25"/>
  <c r="EM80" i="25" s="1"/>
  <c r="CN79" i="25"/>
  <c r="CN78" i="25"/>
  <c r="EM78" i="25" s="1"/>
  <c r="CN77" i="25"/>
  <c r="CN76" i="25"/>
  <c r="EM76" i="25" s="1"/>
  <c r="CN75" i="25"/>
  <c r="EM75" i="25" s="1"/>
  <c r="CN74" i="25"/>
  <c r="CN73" i="25"/>
  <c r="EM73" i="25" s="1"/>
  <c r="CN72" i="25"/>
  <c r="EM72" i="25" s="1"/>
  <c r="CN71" i="25"/>
  <c r="EM71" i="25" s="1"/>
  <c r="CN70" i="25"/>
  <c r="EM70" i="25" s="1"/>
  <c r="CN69" i="25"/>
  <c r="EM69" i="25" s="1"/>
  <c r="CN68" i="25"/>
  <c r="EM68" i="25" s="1"/>
  <c r="CN67" i="25"/>
  <c r="EM67" i="25" s="1"/>
  <c r="CN66" i="25"/>
  <c r="EM66" i="25" s="1"/>
  <c r="CN65" i="25"/>
  <c r="EM65" i="25" s="1"/>
  <c r="CN64" i="25"/>
  <c r="EM64" i="25" s="1"/>
  <c r="CN63" i="25"/>
  <c r="EM63" i="25" s="1"/>
  <c r="CN62" i="25"/>
  <c r="CN61" i="25"/>
  <c r="EM61" i="25" s="1"/>
  <c r="CN60" i="25"/>
  <c r="EM60" i="25" s="1"/>
  <c r="CN59" i="25"/>
  <c r="EM59" i="25" s="1"/>
  <c r="CN58" i="25"/>
  <c r="CN57" i="25"/>
  <c r="EM57" i="25" s="1"/>
  <c r="CN56" i="25"/>
  <c r="EM56" i="25" s="1"/>
  <c r="CN55" i="25"/>
  <c r="EM55" i="25" s="1"/>
  <c r="CN54" i="25"/>
  <c r="CN53" i="25"/>
  <c r="EM53" i="25" s="1"/>
  <c r="CN52" i="25"/>
  <c r="CN51" i="25"/>
  <c r="EM51" i="25" s="1"/>
  <c r="CN50" i="25"/>
  <c r="CN49" i="25"/>
  <c r="EM49" i="25" s="1"/>
  <c r="CN48" i="25"/>
  <c r="CN47" i="25"/>
  <c r="EM47" i="25" s="1"/>
  <c r="CN46" i="25"/>
  <c r="CN45" i="25"/>
  <c r="EM45" i="25" s="1"/>
  <c r="CN44" i="25"/>
  <c r="CN43" i="25"/>
  <c r="EM43" i="25" s="1"/>
  <c r="CN42" i="25"/>
  <c r="CN41" i="25"/>
  <c r="EM41" i="25" s="1"/>
  <c r="CN40" i="25"/>
  <c r="CN39" i="25"/>
  <c r="EM39" i="25" s="1"/>
  <c r="CN38" i="25"/>
  <c r="CN37" i="25"/>
  <c r="EM37" i="25" s="1"/>
  <c r="CN36" i="25"/>
  <c r="CN35" i="25"/>
  <c r="EM35" i="25" s="1"/>
  <c r="CN34" i="25"/>
  <c r="CN33" i="25"/>
  <c r="EM33" i="25" s="1"/>
  <c r="CN32" i="25"/>
  <c r="CN31" i="25"/>
  <c r="EM31" i="25" s="1"/>
  <c r="CN30" i="25"/>
  <c r="CN29" i="25"/>
  <c r="EM29" i="25" s="1"/>
  <c r="CN28" i="25"/>
  <c r="CN27" i="25"/>
  <c r="EM27" i="25" s="1"/>
  <c r="CN26" i="25"/>
  <c r="CN25" i="25"/>
  <c r="EM25" i="25" s="1"/>
  <c r="CN24" i="25"/>
  <c r="CN23" i="25"/>
  <c r="EM23" i="25" s="1"/>
  <c r="CN22" i="25"/>
  <c r="CN21" i="25"/>
  <c r="EM21" i="25" s="1"/>
  <c r="CN20" i="25"/>
  <c r="CN19" i="25"/>
  <c r="EM19" i="25" s="1"/>
  <c r="CN18" i="25"/>
  <c r="EM18" i="25" s="1"/>
  <c r="CN17" i="25"/>
  <c r="EM17" i="25" s="1"/>
  <c r="CN16" i="25"/>
  <c r="CN15" i="25"/>
  <c r="EM15" i="25" s="1"/>
  <c r="CN14" i="25"/>
  <c r="EM14" i="25" s="1"/>
  <c r="CN13" i="25"/>
  <c r="EM13" i="25" s="1"/>
  <c r="CN12" i="25"/>
  <c r="CN11" i="25"/>
  <c r="EM11" i="25" s="1"/>
  <c r="CN10" i="25"/>
  <c r="EM10" i="25" s="1"/>
  <c r="CN9" i="25"/>
  <c r="EM9" i="25" s="1"/>
  <c r="CN8" i="25"/>
  <c r="CN7" i="25"/>
  <c r="EM7" i="25" s="1"/>
  <c r="CN6" i="25"/>
  <c r="EM6" i="25" s="1"/>
  <c r="DP5" i="25"/>
  <c r="EM12" i="25" l="1"/>
  <c r="EM16" i="25"/>
  <c r="EM28" i="25"/>
  <c r="EM32" i="25"/>
  <c r="EM36" i="25"/>
  <c r="EM48" i="25"/>
  <c r="EM20" i="25"/>
  <c r="EM24" i="25"/>
  <c r="EM8" i="25"/>
  <c r="EM40" i="25"/>
  <c r="EM44" i="25"/>
  <c r="EM22" i="25"/>
  <c r="EM26" i="25"/>
  <c r="EM30" i="25"/>
  <c r="EM34" i="25"/>
  <c r="EM38" i="25"/>
  <c r="EM52" i="25"/>
  <c r="EM42" i="25"/>
  <c r="EM46" i="25"/>
  <c r="EM103" i="25"/>
  <c r="EM77" i="25"/>
  <c r="EM74" i="25"/>
  <c r="EM90" i="25"/>
  <c r="EM50" i="25"/>
  <c r="EM54" i="25"/>
  <c r="EM58" i="25"/>
  <c r="EM62" i="25"/>
  <c r="EM86" i="25"/>
  <c r="EM94" i="25"/>
  <c r="EM100" i="25"/>
  <c r="EM104" i="25"/>
  <c r="EM79" i="25"/>
  <c r="EM83" i="25"/>
  <c r="EM87" i="25"/>
  <c r="EM91" i="25"/>
  <c r="EM95" i="25"/>
  <c r="DQ216" i="24" l="1"/>
  <c r="DQ110" i="24"/>
  <c r="CR108" i="24"/>
  <c r="CM105" i="24"/>
  <c r="CM104" i="24"/>
  <c r="EO104" i="24" s="1"/>
  <c r="CM103" i="24"/>
  <c r="CM102" i="24"/>
  <c r="EO102" i="24" s="1"/>
  <c r="CM101" i="24"/>
  <c r="EO101" i="24" s="1"/>
  <c r="CM100" i="24"/>
  <c r="EO100" i="24" s="1"/>
  <c r="CM99" i="24"/>
  <c r="CM98" i="24"/>
  <c r="CM97" i="24"/>
  <c r="CM96" i="24"/>
  <c r="EO96" i="24" s="1"/>
  <c r="CM95" i="24"/>
  <c r="CM94" i="24"/>
  <c r="EO94" i="24" s="1"/>
  <c r="CM93" i="24"/>
  <c r="EO93" i="24" s="1"/>
  <c r="CM92" i="24"/>
  <c r="EO92" i="24" s="1"/>
  <c r="CM91" i="24"/>
  <c r="CM90" i="24"/>
  <c r="CM89" i="24"/>
  <c r="CM88" i="24"/>
  <c r="CM87" i="24"/>
  <c r="CM86" i="24"/>
  <c r="CM85" i="24"/>
  <c r="CM84" i="24"/>
  <c r="CM83" i="24"/>
  <c r="CM82" i="24"/>
  <c r="CM81" i="24"/>
  <c r="CM80" i="24"/>
  <c r="EO80" i="24" s="1"/>
  <c r="CM79" i="24"/>
  <c r="EO79" i="24" s="1"/>
  <c r="CM78" i="24"/>
  <c r="CM77" i="24"/>
  <c r="EO77" i="24" s="1"/>
  <c r="CM76" i="24"/>
  <c r="CM75" i="24"/>
  <c r="CM74" i="24"/>
  <c r="EO74" i="24" s="1"/>
  <c r="CM73" i="24"/>
  <c r="EO73" i="24" s="1"/>
  <c r="CM72" i="24"/>
  <c r="CM71" i="24"/>
  <c r="CM70" i="24"/>
  <c r="EO70" i="24" s="1"/>
  <c r="CM69" i="24"/>
  <c r="EO69" i="24" s="1"/>
  <c r="CM68" i="24"/>
  <c r="CM67" i="24"/>
  <c r="CM66" i="24"/>
  <c r="CM65" i="24"/>
  <c r="CM64" i="24"/>
  <c r="EO64" i="24" s="1"/>
  <c r="CM63" i="24"/>
  <c r="CM62" i="24"/>
  <c r="CM61" i="24"/>
  <c r="CM60" i="24"/>
  <c r="CM59" i="24"/>
  <c r="CM58" i="24"/>
  <c r="CM57" i="24"/>
  <c r="CM56" i="24"/>
  <c r="CM55" i="24"/>
  <c r="CM54" i="24"/>
  <c r="CM53" i="24"/>
  <c r="EO53" i="24" s="1"/>
  <c r="CM52" i="24"/>
  <c r="EO52" i="24" s="1"/>
  <c r="CM51" i="24"/>
  <c r="CM50" i="24"/>
  <c r="EO50" i="24" s="1"/>
  <c r="CM49" i="24"/>
  <c r="CM48" i="24"/>
  <c r="CM47" i="24"/>
  <c r="CM46" i="24"/>
  <c r="CM45" i="24"/>
  <c r="CM44" i="24"/>
  <c r="EO44" i="24" s="1"/>
  <c r="CM43" i="24"/>
  <c r="CM42" i="24"/>
  <c r="EO42" i="24" s="1"/>
  <c r="CM41" i="24"/>
  <c r="CM40" i="24"/>
  <c r="CM39" i="24"/>
  <c r="CM38" i="24"/>
  <c r="EO38" i="24" s="1"/>
  <c r="CM37" i="24"/>
  <c r="CM36" i="24"/>
  <c r="CM35" i="24"/>
  <c r="CM34" i="24"/>
  <c r="CM33" i="24"/>
  <c r="CM32" i="24"/>
  <c r="CM31" i="24"/>
  <c r="CM30" i="24"/>
  <c r="EO30" i="24" s="1"/>
  <c r="CM29" i="24"/>
  <c r="CM28" i="24"/>
  <c r="CM27" i="24"/>
  <c r="CM26" i="24"/>
  <c r="CM25" i="24"/>
  <c r="CM24" i="24"/>
  <c r="CM23" i="24"/>
  <c r="CM22" i="24"/>
  <c r="CM21" i="24"/>
  <c r="EO21" i="24" s="1"/>
  <c r="CM20" i="24"/>
  <c r="CM19" i="24"/>
  <c r="EO19" i="24" s="1"/>
  <c r="CM18" i="24"/>
  <c r="EO18" i="24" s="1"/>
  <c r="CM17" i="24"/>
  <c r="CM16" i="24"/>
  <c r="CM15" i="24"/>
  <c r="CM14" i="24"/>
  <c r="CM13" i="24"/>
  <c r="CM12" i="24"/>
  <c r="CM11" i="24"/>
  <c r="CM10" i="24"/>
  <c r="EO10" i="24" s="1"/>
  <c r="CM9" i="24"/>
  <c r="CM8" i="24"/>
  <c r="CM7" i="24"/>
  <c r="EO7" i="24" s="1"/>
  <c r="CM6" i="24"/>
  <c r="DQ5" i="24"/>
  <c r="CM5" i="24"/>
  <c r="EO5" i="24" s="1"/>
  <c r="EO88" i="24" l="1"/>
  <c r="EO86" i="24"/>
  <c r="EO45" i="24"/>
  <c r="EO35" i="24"/>
  <c r="EO27" i="24"/>
  <c r="EO40" i="24"/>
  <c r="EO56" i="24"/>
  <c r="EO48" i="24"/>
  <c r="EO37" i="24"/>
  <c r="EO68" i="24"/>
  <c r="EO20" i="24"/>
  <c r="EO11" i="24"/>
  <c r="EO29" i="24"/>
  <c r="EO72" i="24"/>
  <c r="EO78" i="24"/>
  <c r="EO54" i="24"/>
  <c r="EO62" i="24"/>
  <c r="EO36" i="24"/>
  <c r="EO13" i="24"/>
  <c r="EO12" i="24"/>
  <c r="EO28" i="24"/>
  <c r="EO60" i="24"/>
  <c r="EO90" i="24"/>
  <c r="EO55" i="24"/>
  <c r="EO15" i="24"/>
  <c r="EO33" i="24"/>
  <c r="EO34" i="24"/>
  <c r="EO25" i="24"/>
  <c r="EO8" i="24"/>
  <c r="EO9" i="24"/>
  <c r="EO17" i="24"/>
  <c r="EO23" i="24"/>
  <c r="EO26" i="24"/>
  <c r="EO6" i="24"/>
  <c r="EO14" i="24"/>
  <c r="EO22" i="24"/>
  <c r="EO49" i="24"/>
  <c r="EO31" i="24"/>
  <c r="EO16" i="24"/>
  <c r="EO24" i="24"/>
  <c r="EO32" i="24"/>
  <c r="EO57" i="24"/>
  <c r="EO39" i="24"/>
  <c r="EO46" i="24"/>
  <c r="EO61" i="24"/>
  <c r="EO65" i="24"/>
  <c r="EO47" i="24"/>
  <c r="EO71" i="24"/>
  <c r="EO41" i="24"/>
  <c r="EO58" i="24"/>
  <c r="EO82" i="24"/>
  <c r="EO43" i="24"/>
  <c r="EO51" i="24"/>
  <c r="EO59" i="24"/>
  <c r="EO83" i="24"/>
  <c r="EO87" i="24"/>
  <c r="EO67" i="24"/>
  <c r="EO75" i="24"/>
  <c r="EO66" i="24"/>
  <c r="EO76" i="24"/>
  <c r="EO85" i="24"/>
  <c r="EO99" i="24"/>
  <c r="EO63" i="24"/>
  <c r="EO91" i="24"/>
  <c r="EO81" i="24"/>
  <c r="EO89" i="24"/>
  <c r="EO84" i="24"/>
  <c r="EO105" i="24"/>
  <c r="EO97" i="24"/>
  <c r="EO98" i="24"/>
  <c r="EO95" i="24"/>
  <c r="EO103" i="24"/>
  <c r="W63" i="1"/>
  <c r="B39" i="29"/>
  <c r="B38" i="29"/>
  <c r="B37" i="29"/>
  <c r="D49" i="29"/>
  <c r="D13" i="1" l="1"/>
  <c r="F13" i="1"/>
  <c r="B35" i="19"/>
  <c r="B33" i="29" l="1"/>
  <c r="B34" i="29" s="1"/>
  <c r="B30" i="29"/>
  <c r="R48" i="2" l="1"/>
  <c r="V48" i="2" s="1"/>
  <c r="V47" i="2"/>
  <c r="V46" i="2"/>
  <c r="V45" i="2"/>
  <c r="V44" i="2"/>
  <c r="V43" i="2"/>
  <c r="V41" i="2"/>
  <c r="V39" i="2"/>
  <c r="V38" i="2"/>
  <c r="V37" i="2"/>
  <c r="V36" i="2"/>
  <c r="V35" i="2"/>
  <c r="V34" i="2"/>
  <c r="Q105" i="2"/>
  <c r="R46" i="2"/>
  <c r="R44" i="2"/>
  <c r="R42" i="2"/>
  <c r="R40" i="2"/>
  <c r="R38" i="2"/>
  <c r="D37" i="29" l="1"/>
  <c r="C43" i="29" l="1"/>
  <c r="C42" i="29"/>
  <c r="C41" i="29"/>
  <c r="A43" i="29"/>
  <c r="A42" i="29"/>
  <c r="A41" i="29"/>
  <c r="R36" i="2" l="1"/>
  <c r="B13" i="29"/>
  <c r="R37" i="2"/>
  <c r="R39" i="2"/>
  <c r="R41" i="2"/>
  <c r="R43" i="2"/>
  <c r="R45" i="2"/>
  <c r="R47" i="2"/>
  <c r="B45" i="19"/>
  <c r="B41" i="19"/>
  <c r="D12" i="1"/>
  <c r="F12" i="1"/>
  <c r="B36" i="19"/>
  <c r="L3" i="29" l="1"/>
  <c r="D39" i="29"/>
  <c r="D38" i="29"/>
  <c r="D32" i="29"/>
  <c r="D31" i="29"/>
  <c r="O3" i="29" s="1"/>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I7" i="29" l="1"/>
  <c r="S452" i="29" s="1"/>
  <c r="I4" i="29"/>
  <c r="R18" i="29" s="1"/>
  <c r="I5" i="29"/>
  <c r="O4" i="29"/>
  <c r="G626" i="29"/>
  <c r="I636" i="29"/>
  <c r="P14" i="29" l="1"/>
  <c r="P22" i="29"/>
  <c r="O297" i="29"/>
  <c r="P408" i="29"/>
  <c r="O382" i="29"/>
  <c r="O158" i="29"/>
  <c r="P21" i="29"/>
  <c r="P94" i="29"/>
  <c r="P162" i="29"/>
  <c r="O159" i="29"/>
  <c r="P235" i="29"/>
  <c r="Q90" i="29"/>
  <c r="R38" i="29"/>
  <c r="Q283" i="29"/>
  <c r="Q334" i="29"/>
  <c r="R73" i="29"/>
  <c r="R30" i="29"/>
  <c r="R26" i="29"/>
  <c r="Q525" i="29"/>
  <c r="Q59" i="29"/>
  <c r="R22" i="29"/>
  <c r="Q50" i="29"/>
  <c r="R34" i="29"/>
  <c r="Q394" i="29"/>
  <c r="Q627" i="29"/>
  <c r="R46" i="29"/>
  <c r="Q101" i="29"/>
  <c r="Q103" i="29"/>
  <c r="R42" i="29"/>
  <c r="R186" i="29"/>
  <c r="Q88" i="29"/>
  <c r="R85" i="29"/>
  <c r="R217" i="29"/>
  <c r="P150" i="29"/>
  <c r="O193" i="29"/>
  <c r="P261" i="29"/>
  <c r="O453" i="29"/>
  <c r="P107" i="29"/>
  <c r="P201" i="29"/>
  <c r="P230" i="29"/>
  <c r="P465" i="29"/>
  <c r="P76" i="29"/>
  <c r="O202" i="29"/>
  <c r="O295" i="29"/>
  <c r="P511" i="29"/>
  <c r="O162" i="29"/>
  <c r="P226" i="29"/>
  <c r="O359" i="29"/>
  <c r="O574" i="29"/>
  <c r="O125" i="29"/>
  <c r="O223" i="29"/>
  <c r="P314" i="29"/>
  <c r="P43" i="29"/>
  <c r="P97" i="29"/>
  <c r="P125" i="29"/>
  <c r="P223" i="29"/>
  <c r="O329" i="29"/>
  <c r="P19" i="29"/>
  <c r="P69" i="29"/>
  <c r="O110" i="29"/>
  <c r="P79" i="29"/>
  <c r="O140" i="29"/>
  <c r="P156" i="29"/>
  <c r="P161" i="29"/>
  <c r="O238" i="29"/>
  <c r="P27" i="29"/>
  <c r="P73" i="29"/>
  <c r="P135" i="29"/>
  <c r="O114" i="29"/>
  <c r="O156" i="29"/>
  <c r="P83" i="29"/>
  <c r="P147" i="29"/>
  <c r="P116" i="29"/>
  <c r="P160" i="29"/>
  <c r="O165" i="29"/>
  <c r="P165" i="29"/>
  <c r="O135" i="29"/>
  <c r="P196" i="29"/>
  <c r="P177" i="29"/>
  <c r="O178" i="29"/>
  <c r="P202" i="29"/>
  <c r="O199" i="29"/>
  <c r="P199" i="29"/>
  <c r="O228" i="29"/>
  <c r="P252" i="29"/>
  <c r="P233" i="29"/>
  <c r="P289" i="29"/>
  <c r="O255" i="29"/>
  <c r="P284" i="29"/>
  <c r="O298" i="29"/>
  <c r="P320" i="29"/>
  <c r="P374" i="29"/>
  <c r="P401" i="29"/>
  <c r="P435" i="29"/>
  <c r="O475" i="29"/>
  <c r="O560" i="29"/>
  <c r="P561" i="29"/>
  <c r="P41" i="29"/>
  <c r="P33" i="29"/>
  <c r="O18" i="29"/>
  <c r="O64" i="29"/>
  <c r="O66" i="29"/>
  <c r="O39" i="29"/>
  <c r="O608" i="29"/>
  <c r="O603" i="29"/>
  <c r="P586" i="29"/>
  <c r="O582" i="29"/>
  <c r="O598" i="29"/>
  <c r="P562" i="29"/>
  <c r="P581" i="29"/>
  <c r="O562" i="29"/>
  <c r="P559" i="29"/>
  <c r="O580" i="29"/>
  <c r="P567" i="29"/>
  <c r="O539" i="29"/>
  <c r="O530" i="29"/>
  <c r="P525" i="29"/>
  <c r="P555" i="29"/>
  <c r="P535" i="29"/>
  <c r="O513" i="29"/>
  <c r="P512" i="29"/>
  <c r="O512" i="29"/>
  <c r="P507" i="29"/>
  <c r="P534" i="29"/>
  <c r="P498" i="29"/>
  <c r="P497" i="29"/>
  <c r="O493" i="29"/>
  <c r="P496" i="29"/>
  <c r="O496" i="29"/>
  <c r="P474" i="29"/>
  <c r="P483" i="29"/>
  <c r="P538" i="29"/>
  <c r="O473" i="29"/>
  <c r="P491" i="29"/>
  <c r="P475" i="29"/>
  <c r="O463" i="29"/>
  <c r="O459" i="29"/>
  <c r="O427" i="29"/>
  <c r="P458" i="29"/>
  <c r="O458" i="29"/>
  <c r="O426" i="29"/>
  <c r="P441" i="29"/>
  <c r="P409" i="29"/>
  <c r="O441" i="29"/>
  <c r="O409" i="29"/>
  <c r="P428" i="29"/>
  <c r="O391" i="29"/>
  <c r="O428" i="29"/>
  <c r="P394" i="29"/>
  <c r="O420" i="29"/>
  <c r="O386" i="29"/>
  <c r="P397" i="29"/>
  <c r="P440" i="29"/>
  <c r="O414" i="29"/>
  <c r="O444" i="29"/>
  <c r="P388" i="29"/>
  <c r="P426" i="29"/>
  <c r="O376" i="29"/>
  <c r="P387" i="29"/>
  <c r="P358" i="29"/>
  <c r="O358" i="29"/>
  <c r="O326" i="29"/>
  <c r="P349" i="29"/>
  <c r="O357" i="29"/>
  <c r="O325" i="29"/>
  <c r="P356" i="29"/>
  <c r="P324" i="29"/>
  <c r="P355" i="29"/>
  <c r="P323" i="29"/>
  <c r="O331" i="29"/>
  <c r="P302" i="29"/>
  <c r="P338" i="29"/>
  <c r="O302" i="29"/>
  <c r="O373" i="29"/>
  <c r="P305" i="29"/>
  <c r="O344" i="29"/>
  <c r="O339" i="29"/>
  <c r="O288" i="29"/>
  <c r="O335" i="29"/>
  <c r="P283" i="29"/>
  <c r="P277" i="29"/>
  <c r="O252" i="29"/>
  <c r="P37" i="29"/>
  <c r="O22" i="29"/>
  <c r="O95" i="29"/>
  <c r="P30" i="29"/>
  <c r="O99" i="29"/>
  <c r="O43" i="29"/>
  <c r="O604" i="29"/>
  <c r="O599" i="29"/>
  <c r="P582" i="29"/>
  <c r="P604" i="29"/>
  <c r="O597" i="29"/>
  <c r="P558" i="29"/>
  <c r="O578" i="29"/>
  <c r="O558" i="29"/>
  <c r="P571" i="29"/>
  <c r="O571" i="29"/>
  <c r="O563" i="29"/>
  <c r="O535" i="29"/>
  <c r="O526" i="29"/>
  <c r="O591" i="29"/>
  <c r="O544" i="29"/>
  <c r="P531" i="29"/>
  <c r="O509" i="29"/>
  <c r="P508" i="29"/>
  <c r="O508" i="29"/>
  <c r="O556" i="29"/>
  <c r="O523" i="29"/>
  <c r="P494" i="29"/>
  <c r="P493" i="29"/>
  <c r="O489" i="29"/>
  <c r="P492" i="29"/>
  <c r="O492" i="29"/>
  <c r="P470" i="29"/>
  <c r="O482" i="29"/>
  <c r="P504" i="29"/>
  <c r="O469" i="29"/>
  <c r="O481" i="29"/>
  <c r="P471" i="29"/>
  <c r="O499" i="29"/>
  <c r="O455" i="29"/>
  <c r="O423" i="29"/>
  <c r="P454" i="29"/>
  <c r="O454" i="29"/>
  <c r="O422" i="29"/>
  <c r="P437" i="29"/>
  <c r="P405" i="29"/>
  <c r="P60" i="29"/>
  <c r="O26" i="29"/>
  <c r="O112" i="29"/>
  <c r="P34" i="29"/>
  <c r="O36" i="29"/>
  <c r="O600" i="29"/>
  <c r="P606" i="29"/>
  <c r="P578" i="29"/>
  <c r="P596" i="29"/>
  <c r="P592" i="29"/>
  <c r="P600" i="29"/>
  <c r="O581" i="29"/>
  <c r="P556" i="29"/>
  <c r="O570" i="29"/>
  <c r="P568" i="29"/>
  <c r="P560" i="29"/>
  <c r="O531" i="29"/>
  <c r="P552" i="29"/>
  <c r="P551" i="29"/>
  <c r="O540" i="29"/>
  <c r="P527" i="29"/>
  <c r="O505" i="29"/>
  <c r="P573" i="29"/>
  <c r="O579" i="29"/>
  <c r="P540" i="29"/>
  <c r="P522" i="29"/>
  <c r="P490" i="29"/>
  <c r="P489" i="29"/>
  <c r="O485" i="29"/>
  <c r="P488" i="29"/>
  <c r="O488" i="29"/>
  <c r="P466" i="29"/>
  <c r="P479" i="29"/>
  <c r="P499" i="29"/>
  <c r="O465" i="29"/>
  <c r="O476" i="29"/>
  <c r="P467" i="29"/>
  <c r="P459" i="29"/>
  <c r="O451" i="29"/>
  <c r="O419" i="29"/>
  <c r="P450" i="29"/>
  <c r="O450" i="29"/>
  <c r="P464" i="29"/>
  <c r="P433" i="29"/>
  <c r="P495" i="29"/>
  <c r="O433" i="29"/>
  <c r="P472" i="29"/>
  <c r="P416" i="29"/>
  <c r="O383" i="29"/>
  <c r="O416" i="29"/>
  <c r="P386" i="29"/>
  <c r="P410" i="29"/>
  <c r="O378" i="29"/>
  <c r="P389" i="29"/>
  <c r="P432" i="29"/>
  <c r="O397" i="29"/>
  <c r="O432" i="29"/>
  <c r="P380" i="29"/>
  <c r="O400" i="29"/>
  <c r="P412" i="29"/>
  <c r="P379" i="29"/>
  <c r="P350" i="29"/>
  <c r="O350" i="29"/>
  <c r="O318" i="29"/>
  <c r="P341" i="29"/>
  <c r="O349" i="29"/>
  <c r="O317" i="29"/>
  <c r="P348" i="29"/>
  <c r="P316" i="29"/>
  <c r="P347" i="29"/>
  <c r="P315" i="29"/>
  <c r="O323" i="29"/>
  <c r="P294" i="29"/>
  <c r="P333" i="29"/>
  <c r="O294" i="29"/>
  <c r="O356" i="29"/>
  <c r="P326" i="29"/>
  <c r="O327" i="29"/>
  <c r="P321" i="29"/>
  <c r="O280" i="29"/>
  <c r="P307" i="29"/>
  <c r="P275" i="29"/>
  <c r="O273" i="29"/>
  <c r="O244" i="29"/>
  <c r="O62" i="29"/>
  <c r="O30" i="29"/>
  <c r="O120" i="29"/>
  <c r="P38" i="29"/>
  <c r="P18" i="29"/>
  <c r="O59" i="29"/>
  <c r="O596" i="29"/>
  <c r="P602" i="29"/>
  <c r="O610" i="29"/>
  <c r="O589" i="29"/>
  <c r="P591" i="29"/>
  <c r="P587" i="29"/>
  <c r="P579" i="29"/>
  <c r="O552" i="29"/>
  <c r="P569" i="29"/>
  <c r="P563" i="29"/>
  <c r="O553" i="29"/>
  <c r="O527" i="29"/>
  <c r="P547" i="29"/>
  <c r="O541" i="29"/>
  <c r="O536" i="29"/>
  <c r="P523" i="29"/>
  <c r="O567" i="29"/>
  <c r="P536" i="29"/>
  <c r="P530" i="29"/>
  <c r="O519" i="29"/>
  <c r="P518" i="29"/>
  <c r="P486" i="29"/>
  <c r="P485" i="29"/>
  <c r="P546" i="29"/>
  <c r="P484" i="29"/>
  <c r="O484" i="29"/>
  <c r="O494" i="29"/>
  <c r="O478" i="29"/>
  <c r="O486" i="29"/>
  <c r="O518" i="29"/>
  <c r="O472" i="29"/>
  <c r="P463" i="29"/>
  <c r="P455" i="29"/>
  <c r="O447" i="29"/>
  <c r="O415" i="29"/>
  <c r="P446" i="29"/>
  <c r="O446" i="29"/>
  <c r="P461" i="29"/>
  <c r="P429" i="29"/>
  <c r="O461" i="29"/>
  <c r="O429" i="29"/>
  <c r="P460" i="29"/>
  <c r="O412" i="29"/>
  <c r="O379" i="29"/>
  <c r="P407" i="29"/>
  <c r="P382" i="29"/>
  <c r="O406" i="29"/>
  <c r="O460" i="29"/>
  <c r="P385" i="29"/>
  <c r="P431" i="29"/>
  <c r="O393" i="29"/>
  <c r="O424" i="29"/>
  <c r="P376" i="29"/>
  <c r="O396" i="29"/>
  <c r="O408" i="29"/>
  <c r="P375" i="29"/>
  <c r="P346" i="29"/>
  <c r="O346" i="29"/>
  <c r="P369" i="29"/>
  <c r="P337" i="29"/>
  <c r="O345" i="29"/>
  <c r="O313" i="29"/>
  <c r="P344" i="29"/>
  <c r="P312" i="29"/>
  <c r="P343" i="29"/>
  <c r="O368" i="29"/>
  <c r="O316" i="29"/>
  <c r="P290" i="29"/>
  <c r="P325" i="29"/>
  <c r="O290" i="29"/>
  <c r="O351" i="29"/>
  <c r="P318" i="29"/>
  <c r="O320" i="29"/>
  <c r="O308" i="29"/>
  <c r="O276" i="29"/>
  <c r="P303" i="29"/>
  <c r="O307" i="29"/>
  <c r="O272" i="29"/>
  <c r="O240" i="29"/>
  <c r="O69" i="29"/>
  <c r="O46" i="29"/>
  <c r="P130" i="29"/>
  <c r="P48" i="29"/>
  <c r="P26" i="29"/>
  <c r="P66" i="29"/>
  <c r="P611" i="29"/>
  <c r="P598" i="29"/>
  <c r="O594" i="29"/>
  <c r="O585" i="29"/>
  <c r="P588" i="29"/>
  <c r="P577" i="29"/>
  <c r="O576" i="29"/>
  <c r="O547" i="29"/>
  <c r="P564" i="29"/>
  <c r="P557" i="29"/>
  <c r="O549" i="29"/>
  <c r="O546" i="29"/>
  <c r="P541" i="29"/>
  <c r="O537" i="29"/>
  <c r="O532" i="29"/>
  <c r="O575" i="29"/>
  <c r="P548" i="29"/>
  <c r="P526" i="29"/>
  <c r="O524" i="29"/>
  <c r="O515" i="29"/>
  <c r="P514" i="29"/>
  <c r="P482" i="29"/>
  <c r="O522" i="29"/>
  <c r="P528" i="29"/>
  <c r="P521" i="29"/>
  <c r="P544" i="29"/>
  <c r="O474" i="29"/>
  <c r="P477" i="29"/>
  <c r="O483" i="29"/>
  <c r="P513" i="29"/>
  <c r="O468" i="29"/>
  <c r="O487" i="29"/>
  <c r="P451" i="29"/>
  <c r="O443" i="29"/>
  <c r="O411" i="29"/>
  <c r="P442" i="29"/>
  <c r="O442" i="29"/>
  <c r="P457" i="29"/>
  <c r="P425" i="29"/>
  <c r="O457" i="29"/>
  <c r="O425" i="29"/>
  <c r="P456" i="29"/>
  <c r="P404" i="29"/>
  <c r="O375" i="29"/>
  <c r="P406" i="29"/>
  <c r="P378" i="29"/>
  <c r="O402" i="29"/>
  <c r="P415" i="29"/>
  <c r="P381" i="29"/>
  <c r="P424" i="29"/>
  <c r="O389" i="29"/>
  <c r="O418" i="29"/>
  <c r="P372" i="29"/>
  <c r="O392" i="29"/>
  <c r="P403" i="29"/>
  <c r="P371" i="29"/>
  <c r="P342" i="29"/>
  <c r="O342" i="29"/>
  <c r="P365" i="29"/>
  <c r="P370" i="29"/>
  <c r="O341" i="29"/>
  <c r="O370" i="29"/>
  <c r="P340" i="29"/>
  <c r="O372" i="29"/>
  <c r="P339" i="29"/>
  <c r="O363" i="29"/>
  <c r="O315" i="29"/>
  <c r="P286" i="29"/>
  <c r="P317" i="29"/>
  <c r="O286" i="29"/>
  <c r="O340" i="29"/>
  <c r="O309" i="29"/>
  <c r="O319" i="29"/>
  <c r="O304" i="29"/>
  <c r="O364" i="29"/>
  <c r="P299" i="29"/>
  <c r="P293" i="29"/>
  <c r="O268" i="29"/>
  <c r="O236" i="29"/>
  <c r="P25" i="29"/>
  <c r="O89" i="29"/>
  <c r="O55" i="29"/>
  <c r="O57" i="29"/>
  <c r="O31" i="29"/>
  <c r="O611" i="29"/>
  <c r="G624" i="29"/>
  <c r="R624" i="29" s="1"/>
  <c r="O590" i="29"/>
  <c r="O606" i="29"/>
  <c r="P584" i="29"/>
  <c r="O557" i="29"/>
  <c r="O568" i="29"/>
  <c r="P565" i="29"/>
  <c r="O554" i="29"/>
  <c r="P549" i="29"/>
  <c r="O566" i="29"/>
  <c r="O538" i="29"/>
  <c r="P533" i="29"/>
  <c r="O529" i="29"/>
  <c r="P543" i="29"/>
  <c r="O521" i="29"/>
  <c r="P520" i="29"/>
  <c r="O520" i="29"/>
  <c r="P515" i="29"/>
  <c r="O507" i="29"/>
  <c r="P506" i="29"/>
  <c r="O502" i="29"/>
  <c r="O501" i="29"/>
  <c r="P503" i="29"/>
  <c r="O503" i="29"/>
  <c r="P502" i="29"/>
  <c r="O466" i="29"/>
  <c r="P469" i="29"/>
  <c r="O479" i="29"/>
  <c r="O514" i="29"/>
  <c r="O491" i="29"/>
  <c r="O471" i="29"/>
  <c r="P443" i="29"/>
  <c r="O435" i="29"/>
  <c r="O480" i="29"/>
  <c r="P476" i="29"/>
  <c r="O434" i="29"/>
  <c r="P449" i="29"/>
  <c r="P417" i="29"/>
  <c r="O449" i="29"/>
  <c r="O417" i="29"/>
  <c r="P436" i="29"/>
  <c r="O399" i="29"/>
  <c r="O452" i="29"/>
  <c r="P402" i="29"/>
  <c r="P430" i="29"/>
  <c r="O394" i="29"/>
  <c r="O410" i="29"/>
  <c r="P373" i="29"/>
  <c r="P419" i="29"/>
  <c r="O381" i="29"/>
  <c r="P396" i="29"/>
  <c r="P448" i="29"/>
  <c r="O384" i="29"/>
  <c r="P395" i="29"/>
  <c r="P366" i="29"/>
  <c r="O366" i="29"/>
  <c r="O334" i="29"/>
  <c r="P357" i="29"/>
  <c r="O365" i="29"/>
  <c r="O333" i="29"/>
  <c r="P364" i="29"/>
  <c r="P332" i="29"/>
  <c r="P363" i="29"/>
  <c r="P331" i="29"/>
  <c r="O347" i="29"/>
  <c r="P310" i="29"/>
  <c r="P278" i="29"/>
  <c r="O310" i="29"/>
  <c r="O278" i="29"/>
  <c r="O312" i="29"/>
  <c r="O360" i="29"/>
  <c r="P304" i="29"/>
  <c r="O296" i="29"/>
  <c r="O348" i="29"/>
  <c r="P291" i="29"/>
  <c r="P285" i="29"/>
  <c r="O260" i="29"/>
  <c r="P330" i="29"/>
  <c r="O14" i="29"/>
  <c r="O15" i="29"/>
  <c r="P594" i="29"/>
  <c r="O561" i="29"/>
  <c r="P553" i="29"/>
  <c r="O533" i="29"/>
  <c r="P524" i="29"/>
  <c r="P478" i="29"/>
  <c r="O506" i="29"/>
  <c r="P509" i="29"/>
  <c r="O439" i="29"/>
  <c r="P453" i="29"/>
  <c r="O413" i="29"/>
  <c r="O371" i="29"/>
  <c r="P411" i="29"/>
  <c r="P444" i="29"/>
  <c r="P400" i="29"/>
  <c r="O362" i="29"/>
  <c r="P352" i="29"/>
  <c r="P327" i="29"/>
  <c r="P282" i="29"/>
  <c r="O367" i="29"/>
  <c r="P300" i="29"/>
  <c r="O248" i="29"/>
  <c r="O267" i="29"/>
  <c r="P242" i="29"/>
  <c r="P297" i="29"/>
  <c r="O48" i="29"/>
  <c r="O35" i="29"/>
  <c r="P590" i="29"/>
  <c r="O587" i="29"/>
  <c r="P545" i="29"/>
  <c r="O525" i="29"/>
  <c r="O516" i="29"/>
  <c r="P501" i="29"/>
  <c r="O498" i="29"/>
  <c r="O495" i="29"/>
  <c r="O431" i="29"/>
  <c r="P445" i="29"/>
  <c r="O405" i="29"/>
  <c r="O436" i="29"/>
  <c r="O398" i="29"/>
  <c r="P439" i="29"/>
  <c r="P392" i="29"/>
  <c r="P399" i="29"/>
  <c r="O354" i="29"/>
  <c r="O361" i="29"/>
  <c r="P336" i="29"/>
  <c r="P319" i="29"/>
  <c r="P274" i="29"/>
  <c r="O314" i="29"/>
  <c r="P329" i="29"/>
  <c r="P287" i="29"/>
  <c r="O232" i="29"/>
  <c r="P255" i="29"/>
  <c r="O263" i="29"/>
  <c r="P270" i="29"/>
  <c r="P238" i="29"/>
  <c r="O270" i="29"/>
  <c r="O289" i="29"/>
  <c r="P245" i="29"/>
  <c r="O291" i="29"/>
  <c r="O249" i="29"/>
  <c r="P260" i="29"/>
  <c r="O233" i="29"/>
  <c r="P200" i="29"/>
  <c r="O212" i="29"/>
  <c r="O180" i="29"/>
  <c r="P207" i="29"/>
  <c r="P175" i="29"/>
  <c r="O207" i="29"/>
  <c r="O175" i="29"/>
  <c r="P210" i="29"/>
  <c r="O218" i="29"/>
  <c r="O186" i="29"/>
  <c r="P217" i="29"/>
  <c r="P185" i="29"/>
  <c r="O209" i="29"/>
  <c r="O177" i="29"/>
  <c r="P184" i="29"/>
  <c r="O143" i="29"/>
  <c r="P178" i="29"/>
  <c r="P171" i="29"/>
  <c r="P141" i="29"/>
  <c r="P176" i="29"/>
  <c r="O141" i="29"/>
  <c r="P168" i="29"/>
  <c r="P136" i="29"/>
  <c r="O130" i="29"/>
  <c r="P92" i="29"/>
  <c r="P155" i="29"/>
  <c r="P123" i="29"/>
  <c r="P91" i="29"/>
  <c r="P59" i="29"/>
  <c r="O115" i="29"/>
  <c r="P110" i="29"/>
  <c r="P159" i="29"/>
  <c r="O90" i="29"/>
  <c r="P143" i="29"/>
  <c r="P113" i="29"/>
  <c r="P81" i="29"/>
  <c r="P49" i="29"/>
  <c r="O70" i="29"/>
  <c r="O105" i="29"/>
  <c r="O68" i="29"/>
  <c r="O586" i="29"/>
  <c r="O543" i="29"/>
  <c r="P62" i="29"/>
  <c r="P593" i="29"/>
  <c r="O572" i="29"/>
  <c r="O545" i="29"/>
  <c r="O528" i="29"/>
  <c r="P519" i="29"/>
  <c r="P517" i="29"/>
  <c r="O470" i="29"/>
  <c r="O464" i="29"/>
  <c r="O407" i="29"/>
  <c r="P421" i="29"/>
  <c r="P452" i="29"/>
  <c r="P420" i="29"/>
  <c r="O390" i="29"/>
  <c r="P423" i="29"/>
  <c r="P384" i="29"/>
  <c r="P391" i="29"/>
  <c r="O338" i="29"/>
  <c r="O353" i="29"/>
  <c r="P328" i="29"/>
  <c r="O352" i="29"/>
  <c r="O336" i="29"/>
  <c r="P309" i="29"/>
  <c r="O300" i="29"/>
  <c r="P279" i="29"/>
  <c r="O293" i="29"/>
  <c r="P251" i="29"/>
  <c r="O259" i="29"/>
  <c r="P266" i="29"/>
  <c r="P234" i="29"/>
  <c r="O266" i="29"/>
  <c r="O281" i="29"/>
  <c r="P241" i="29"/>
  <c r="O283" i="29"/>
  <c r="O245" i="29"/>
  <c r="P256" i="29"/>
  <c r="P228" i="29"/>
  <c r="P239" i="29"/>
  <c r="O208" i="29"/>
  <c r="O176" i="29"/>
  <c r="P203" i="29"/>
  <c r="O246" i="29"/>
  <c r="O203" i="29"/>
  <c r="O171" i="29"/>
  <c r="P206" i="29"/>
  <c r="O214" i="29"/>
  <c r="O182" i="29"/>
  <c r="P213" i="29"/>
  <c r="P181" i="29"/>
  <c r="O205" i="29"/>
  <c r="O173" i="29"/>
  <c r="P172" i="29"/>
  <c r="O139" i="29"/>
  <c r="O172" i="29"/>
  <c r="P169" i="29"/>
  <c r="P137" i="29"/>
  <c r="O169" i="29"/>
  <c r="O137" i="29"/>
  <c r="P164" i="29"/>
  <c r="P132" i="29"/>
  <c r="O122" i="29"/>
  <c r="P88" i="29"/>
  <c r="O148" i="29"/>
  <c r="P119" i="29"/>
  <c r="P87" i="29"/>
  <c r="P55" i="29"/>
  <c r="O170" i="29"/>
  <c r="P106" i="29"/>
  <c r="P118" i="29"/>
  <c r="O86" i="29"/>
  <c r="O136" i="29"/>
  <c r="P109" i="29"/>
  <c r="P77" i="29"/>
  <c r="P15" i="29"/>
  <c r="P31" i="29"/>
  <c r="O107" i="29"/>
  <c r="P146" i="29"/>
  <c r="P29" i="29"/>
  <c r="O50" i="29"/>
  <c r="P595" i="29"/>
  <c r="P585" i="29"/>
  <c r="O559" i="29"/>
  <c r="P537" i="29"/>
  <c r="P542" i="29"/>
  <c r="P510" i="29"/>
  <c r="O510" i="29"/>
  <c r="P480" i="29"/>
  <c r="P447" i="29"/>
  <c r="O438" i="29"/>
  <c r="O437" i="29"/>
  <c r="O395" i="29"/>
  <c r="P438" i="29"/>
  <c r="P393" i="29"/>
  <c r="O377" i="29"/>
  <c r="O388" i="29"/>
  <c r="P354" i="29"/>
  <c r="P353" i="29"/>
  <c r="P368" i="29"/>
  <c r="P351" i="29"/>
  <c r="P306" i="29"/>
  <c r="O282" i="29"/>
  <c r="O328" i="29"/>
  <c r="O343" i="29"/>
  <c r="O264" i="29"/>
  <c r="P267" i="29"/>
  <c r="O279" i="29"/>
  <c r="O243" i="29"/>
  <c r="P250" i="29"/>
  <c r="P288" i="29"/>
  <c r="O250" i="29"/>
  <c r="P257" i="29"/>
  <c r="O301" i="29"/>
  <c r="O261" i="29"/>
  <c r="P272" i="29"/>
  <c r="P240" i="29"/>
  <c r="P212" i="29"/>
  <c r="O224" i="29"/>
  <c r="O192" i="29"/>
  <c r="P219" i="29"/>
  <c r="P187" i="29"/>
  <c r="O219" i="29"/>
  <c r="O187" i="29"/>
  <c r="P222" i="29"/>
  <c r="O230" i="29"/>
  <c r="O198" i="29"/>
  <c r="P229" i="29"/>
  <c r="P197" i="29"/>
  <c r="O221" i="29"/>
  <c r="O189" i="29"/>
  <c r="O164" i="29"/>
  <c r="O155" i="29"/>
  <c r="O123" i="29"/>
  <c r="P158" i="29"/>
  <c r="P153" i="29"/>
  <c r="P121" i="29"/>
  <c r="O153" i="29"/>
  <c r="O121" i="29"/>
  <c r="P148" i="29"/>
  <c r="O154" i="29"/>
  <c r="P104" i="29"/>
  <c r="P167" i="29"/>
  <c r="O132" i="29"/>
  <c r="P103" i="29"/>
  <c r="P71" i="29"/>
  <c r="P142" i="29"/>
  <c r="O134" i="29"/>
  <c r="P90" i="29"/>
  <c r="O102" i="29"/>
  <c r="O152" i="29"/>
  <c r="P120" i="29"/>
  <c r="P93" i="29"/>
  <c r="P61" i="29"/>
  <c r="P23" i="29"/>
  <c r="P39" i="29"/>
  <c r="O61" i="29"/>
  <c r="O369" i="29"/>
  <c r="P301" i="29"/>
  <c r="P264" i="29"/>
  <c r="P204" i="29"/>
  <c r="O184" i="29"/>
  <c r="O75" i="29"/>
  <c r="P64" i="29"/>
  <c r="O607" i="29"/>
  <c r="P583" i="29"/>
  <c r="O550" i="29"/>
  <c r="P529" i="29"/>
  <c r="P516" i="29"/>
  <c r="O504" i="29"/>
  <c r="O500" i="29"/>
  <c r="O477" i="29"/>
  <c r="P468" i="29"/>
  <c r="O430" i="29"/>
  <c r="O421" i="29"/>
  <c r="O387" i="29"/>
  <c r="P422" i="29"/>
  <c r="P377" i="29"/>
  <c r="O440" i="29"/>
  <c r="O380" i="29"/>
  <c r="O374" i="29"/>
  <c r="P345" i="29"/>
  <c r="P360" i="29"/>
  <c r="P335" i="29"/>
  <c r="P298" i="29"/>
  <c r="O274" i="29"/>
  <c r="P308" i="29"/>
  <c r="P313" i="29"/>
  <c r="O256" i="29"/>
  <c r="P263" i="29"/>
  <c r="O271" i="29"/>
  <c r="O239" i="29"/>
  <c r="P246" i="29"/>
  <c r="P281" i="29"/>
  <c r="P311" i="29"/>
  <c r="P253" i="29"/>
  <c r="O299" i="29"/>
  <c r="O257" i="29"/>
  <c r="P268" i="29"/>
  <c r="P236" i="29"/>
  <c r="P208" i="29"/>
  <c r="O220" i="29"/>
  <c r="O188" i="29"/>
  <c r="P215" i="29"/>
  <c r="P183" i="29"/>
  <c r="O215" i="29"/>
  <c r="O183" i="29"/>
  <c r="P218" i="29"/>
  <c r="O226" i="29"/>
  <c r="O194" i="29"/>
  <c r="P225" i="29"/>
  <c r="P193" i="29"/>
  <c r="O217" i="29"/>
  <c r="O185" i="29"/>
  <c r="O160" i="29"/>
  <c r="O151" i="29"/>
  <c r="O119" i="29"/>
  <c r="P188" i="29"/>
  <c r="P149" i="29"/>
  <c r="P198" i="29"/>
  <c r="O149" i="29"/>
  <c r="P186" i="29"/>
  <c r="P144" i="29"/>
  <c r="O146" i="29"/>
  <c r="P100" i="29"/>
  <c r="O116" i="29"/>
  <c r="P131" i="29"/>
  <c r="P99" i="29"/>
  <c r="P67" i="29"/>
  <c r="P134" i="29"/>
  <c r="O126" i="29"/>
  <c r="P86" i="29"/>
  <c r="O98" i="29"/>
  <c r="P151" i="29"/>
  <c r="O118" i="29"/>
  <c r="P89" i="29"/>
  <c r="P57" i="29"/>
  <c r="O92" i="29"/>
  <c r="O448" i="29"/>
  <c r="P295" i="29"/>
  <c r="P259" i="29"/>
  <c r="O303" i="29"/>
  <c r="P280" i="29"/>
  <c r="P249" i="29"/>
  <c r="O253" i="29"/>
  <c r="P232" i="29"/>
  <c r="O216" i="29"/>
  <c r="P105" i="29"/>
  <c r="P115" i="29"/>
  <c r="P52" i="29"/>
  <c r="O128" i="29"/>
  <c r="O79" i="29"/>
  <c r="P85" i="29"/>
  <c r="O144" i="29"/>
  <c r="P82" i="29"/>
  <c r="P126" i="29"/>
  <c r="P95" i="29"/>
  <c r="O166" i="29"/>
  <c r="O138" i="29"/>
  <c r="P174" i="29"/>
  <c r="P192" i="29"/>
  <c r="P182" i="29"/>
  <c r="O147" i="29"/>
  <c r="O181" i="29"/>
  <c r="P189" i="29"/>
  <c r="O190" i="29"/>
  <c r="P214" i="29"/>
  <c r="O211" i="29"/>
  <c r="P211" i="29"/>
  <c r="O234" i="29"/>
  <c r="P273" i="29"/>
  <c r="P237" i="29"/>
  <c r="P296" i="29"/>
  <c r="O287" i="29"/>
  <c r="P292" i="29"/>
  <c r="O306" i="29"/>
  <c r="O321" i="29"/>
  <c r="P383" i="29"/>
  <c r="P414" i="29"/>
  <c r="O445" i="29"/>
  <c r="P487" i="29"/>
  <c r="O511" i="29"/>
  <c r="O583" i="29"/>
  <c r="P627" i="29"/>
  <c r="P68" i="29"/>
  <c r="P101" i="29"/>
  <c r="O78" i="29"/>
  <c r="P98" i="29"/>
  <c r="P173" i="29"/>
  <c r="P111" i="29"/>
  <c r="P80" i="29"/>
  <c r="P124" i="29"/>
  <c r="O129" i="29"/>
  <c r="P129" i="29"/>
  <c r="P166" i="29"/>
  <c r="O163" i="29"/>
  <c r="O197" i="29"/>
  <c r="P205" i="29"/>
  <c r="O206" i="29"/>
  <c r="O237" i="29"/>
  <c r="O227" i="29"/>
  <c r="P227" i="29"/>
  <c r="P216" i="29"/>
  <c r="O241" i="29"/>
  <c r="P265" i="29"/>
  <c r="P254" i="29"/>
  <c r="P247" i="29"/>
  <c r="O284" i="29"/>
  <c r="O311" i="29"/>
  <c r="O337" i="29"/>
  <c r="P434" i="29"/>
  <c r="P390" i="29"/>
  <c r="P413" i="29"/>
  <c r="P473" i="29"/>
  <c r="O517" i="29"/>
  <c r="O605" i="29"/>
  <c r="P51" i="29"/>
  <c r="O133" i="29"/>
  <c r="O167" i="29"/>
  <c r="P209" i="29"/>
  <c r="O242" i="29"/>
  <c r="P243" i="29"/>
  <c r="O235" i="29"/>
  <c r="O265" i="29"/>
  <c r="P269" i="29"/>
  <c r="P258" i="29"/>
  <c r="P271" i="29"/>
  <c r="O292" i="29"/>
  <c r="O324" i="29"/>
  <c r="P361" i="29"/>
  <c r="O456" i="29"/>
  <c r="P398" i="29"/>
  <c r="O462" i="29"/>
  <c r="O490" i="29"/>
  <c r="P532" i="29"/>
  <c r="P613" i="29"/>
  <c r="O82" i="29"/>
  <c r="P84" i="29"/>
  <c r="P133" i="29"/>
  <c r="P170" i="29"/>
  <c r="O201" i="29"/>
  <c r="O210" i="29"/>
  <c r="P220" i="29"/>
  <c r="P35" i="29"/>
  <c r="P53" i="29"/>
  <c r="P117" i="29"/>
  <c r="O94" i="29"/>
  <c r="P114" i="29"/>
  <c r="P63" i="29"/>
  <c r="O124" i="29"/>
  <c r="P96" i="29"/>
  <c r="P140" i="29"/>
  <c r="O145" i="29"/>
  <c r="P145" i="29"/>
  <c r="P194" i="29"/>
  <c r="P190" i="29"/>
  <c r="O213" i="29"/>
  <c r="P221" i="29"/>
  <c r="O222" i="29"/>
  <c r="O179" i="29"/>
  <c r="P179" i="29"/>
  <c r="O196" i="29"/>
  <c r="P224" i="29"/>
  <c r="O269" i="29"/>
  <c r="O254" i="29"/>
  <c r="P262" i="29"/>
  <c r="O277" i="29"/>
  <c r="O355" i="29"/>
  <c r="O332" i="29"/>
  <c r="O322" i="29"/>
  <c r="O385" i="29"/>
  <c r="O404" i="29"/>
  <c r="P481" i="29"/>
  <c r="P500" i="29"/>
  <c r="P539" i="29"/>
  <c r="O88" i="29"/>
  <c r="P128" i="29"/>
  <c r="O54" i="29"/>
  <c r="P65" i="29"/>
  <c r="P127" i="29"/>
  <c r="O106" i="29"/>
  <c r="O142" i="29"/>
  <c r="P75" i="29"/>
  <c r="P139" i="29"/>
  <c r="P108" i="29"/>
  <c r="P152" i="29"/>
  <c r="O157" i="29"/>
  <c r="P157" i="29"/>
  <c r="O127" i="29"/>
  <c r="O168" i="29"/>
  <c r="O225" i="29"/>
  <c r="O231" i="29"/>
  <c r="P231" i="29"/>
  <c r="O191" i="29"/>
  <c r="P191" i="29"/>
  <c r="O200" i="29"/>
  <c r="P244" i="29"/>
  <c r="O275" i="29"/>
  <c r="O258" i="29"/>
  <c r="O247" i="29"/>
  <c r="O285" i="29"/>
  <c r="O305" i="29"/>
  <c r="P359" i="29"/>
  <c r="O330" i="29"/>
  <c r="O401" i="29"/>
  <c r="O403" i="29"/>
  <c r="P462" i="29"/>
  <c r="P505" i="29"/>
  <c r="O534" i="29"/>
  <c r="O627" i="29"/>
  <c r="P102" i="29"/>
  <c r="O150" i="29"/>
  <c r="P112" i="29"/>
  <c r="O161" i="29"/>
  <c r="O131" i="29"/>
  <c r="P180" i="29"/>
  <c r="O229" i="29"/>
  <c r="O174" i="29"/>
  <c r="O195" i="29"/>
  <c r="P195" i="29"/>
  <c r="O204" i="29"/>
  <c r="P248" i="29"/>
  <c r="P322" i="29"/>
  <c r="O262" i="29"/>
  <c r="O251" i="29"/>
  <c r="P276" i="29"/>
  <c r="P334" i="29"/>
  <c r="P367" i="29"/>
  <c r="P362" i="29"/>
  <c r="P418" i="29"/>
  <c r="P427" i="29"/>
  <c r="O467" i="29"/>
  <c r="O497" i="29"/>
  <c r="O542" i="29"/>
  <c r="P580" i="29"/>
  <c r="O551" i="29"/>
  <c r="P575" i="29"/>
  <c r="P572" i="29"/>
  <c r="O565" i="29"/>
  <c r="P566" i="29"/>
  <c r="P608" i="29"/>
  <c r="O613" i="29"/>
  <c r="P612" i="29"/>
  <c r="O601" i="29"/>
  <c r="P601" i="29"/>
  <c r="P610" i="29"/>
  <c r="P599" i="29"/>
  <c r="O612" i="29"/>
  <c r="O52" i="29"/>
  <c r="O27" i="29"/>
  <c r="O97" i="29"/>
  <c r="O47" i="29"/>
  <c r="O44" i="29"/>
  <c r="O93" i="29"/>
  <c r="O42" i="29"/>
  <c r="P163" i="29"/>
  <c r="O53" i="29"/>
  <c r="P17" i="29"/>
  <c r="P550" i="29"/>
  <c r="O555" i="29"/>
  <c r="O592" i="29"/>
  <c r="P576" i="29"/>
  <c r="O569" i="29"/>
  <c r="P570" i="29"/>
  <c r="O584" i="29"/>
  <c r="P597" i="29"/>
  <c r="P589" i="29"/>
  <c r="O602" i="29"/>
  <c r="P609" i="29"/>
  <c r="I634" i="29"/>
  <c r="P603" i="29"/>
  <c r="O103" i="29"/>
  <c r="P50" i="29"/>
  <c r="O23" i="29"/>
  <c r="O84" i="29"/>
  <c r="P46" i="29"/>
  <c r="O24" i="29"/>
  <c r="O80" i="29"/>
  <c r="O38" i="29"/>
  <c r="O108" i="29"/>
  <c r="P45" i="29"/>
  <c r="P13" i="29"/>
  <c r="P554" i="29"/>
  <c r="O548" i="29"/>
  <c r="O564" i="29"/>
  <c r="O577" i="29"/>
  <c r="O573" i="29"/>
  <c r="P574" i="29"/>
  <c r="O588" i="29"/>
  <c r="P605" i="29"/>
  <c r="O593" i="29"/>
  <c r="O609" i="29"/>
  <c r="AC624" i="29"/>
  <c r="O595" i="29"/>
  <c r="P607" i="29"/>
  <c r="O101" i="29"/>
  <c r="P47" i="29"/>
  <c r="O19" i="29"/>
  <c r="O73" i="29"/>
  <c r="P42" i="29"/>
  <c r="O71" i="29"/>
  <c r="O34" i="29"/>
  <c r="O91" i="29"/>
  <c r="T35" i="29"/>
  <c r="S109" i="29"/>
  <c r="Q416" i="29"/>
  <c r="Q559" i="29"/>
  <c r="R627" i="29"/>
  <c r="Q66" i="29"/>
  <c r="R57" i="29"/>
  <c r="Q47" i="29"/>
  <c r="R159" i="29"/>
  <c r="R291" i="29"/>
  <c r="Q333" i="29"/>
  <c r="Q468" i="29"/>
  <c r="R161" i="29"/>
  <c r="Q261" i="29"/>
  <c r="Q383" i="29"/>
  <c r="Q492" i="29"/>
  <c r="Q145" i="29"/>
  <c r="Q30" i="29"/>
  <c r="R67" i="29"/>
  <c r="R149" i="29"/>
  <c r="R185" i="29"/>
  <c r="R214" i="29"/>
  <c r="R296" i="29"/>
  <c r="R318" i="29"/>
  <c r="R375" i="29"/>
  <c r="R453" i="29"/>
  <c r="Q518" i="29"/>
  <c r="Q582" i="29"/>
  <c r="R609" i="29"/>
  <c r="R84" i="29"/>
  <c r="R131" i="29"/>
  <c r="Q228" i="29"/>
  <c r="R316" i="29"/>
  <c r="Q323" i="29"/>
  <c r="R346" i="29"/>
  <c r="Q381" i="29"/>
  <c r="R474" i="29"/>
  <c r="R523" i="29"/>
  <c r="I635" i="29"/>
  <c r="S96" i="29"/>
  <c r="S186" i="29"/>
  <c r="S114" i="29"/>
  <c r="S270" i="29"/>
  <c r="T147" i="29"/>
  <c r="T344" i="29"/>
  <c r="T215" i="29"/>
  <c r="T25" i="29"/>
  <c r="T145" i="29"/>
  <c r="T86" i="29"/>
  <c r="S125" i="29"/>
  <c r="S212" i="29"/>
  <c r="T270" i="29"/>
  <c r="S302" i="29"/>
  <c r="T433" i="29"/>
  <c r="T116" i="29"/>
  <c r="T138" i="29"/>
  <c r="S158" i="29"/>
  <c r="S231" i="29"/>
  <c r="S297" i="29"/>
  <c r="S284" i="29"/>
  <c r="S461" i="29"/>
  <c r="T75" i="29"/>
  <c r="T61" i="29"/>
  <c r="S139" i="29"/>
  <c r="S211" i="29"/>
  <c r="T177" i="29"/>
  <c r="S289" i="29"/>
  <c r="T345" i="29"/>
  <c r="T91" i="29"/>
  <c r="S112" i="29"/>
  <c r="S154" i="29"/>
  <c r="T144" i="29"/>
  <c r="T77" i="29"/>
  <c r="S132" i="29"/>
  <c r="T102" i="29"/>
  <c r="T154" i="29"/>
  <c r="S155" i="29"/>
  <c r="T163" i="29"/>
  <c r="S141" i="29"/>
  <c r="T172" i="29"/>
  <c r="S227" i="29"/>
  <c r="S232" i="29"/>
  <c r="S228" i="29"/>
  <c r="S185" i="29"/>
  <c r="T193" i="29"/>
  <c r="S218" i="29"/>
  <c r="S333" i="29"/>
  <c r="S268" i="29"/>
  <c r="S265" i="29"/>
  <c r="T289" i="29"/>
  <c r="T306" i="29"/>
  <c r="S326" i="29"/>
  <c r="T350" i="29"/>
  <c r="S406" i="29"/>
  <c r="T396" i="29"/>
  <c r="T520" i="29"/>
  <c r="T13" i="29"/>
  <c r="T107" i="29"/>
  <c r="S122" i="29"/>
  <c r="T84" i="29"/>
  <c r="S118" i="29"/>
  <c r="T93" i="29"/>
  <c r="T141" i="29"/>
  <c r="T124" i="29"/>
  <c r="T170" i="29"/>
  <c r="T186" i="29"/>
  <c r="T192" i="29"/>
  <c r="S157" i="29"/>
  <c r="S179" i="29"/>
  <c r="T183" i="29"/>
  <c r="S180" i="29"/>
  <c r="T204" i="29"/>
  <c r="S201" i="29"/>
  <c r="T209" i="29"/>
  <c r="T210" i="29"/>
  <c r="S267" i="29"/>
  <c r="S325" i="29"/>
  <c r="T265" i="29"/>
  <c r="T316" i="29"/>
  <c r="S321" i="29"/>
  <c r="T300" i="29"/>
  <c r="S347" i="29"/>
  <c r="S398" i="29"/>
  <c r="S423" i="29"/>
  <c r="T583" i="29"/>
  <c r="S99" i="29"/>
  <c r="S86" i="29"/>
  <c r="S71" i="29"/>
  <c r="S64" i="29"/>
  <c r="T41" i="29"/>
  <c r="T59" i="29"/>
  <c r="S80" i="29"/>
  <c r="S136" i="29"/>
  <c r="T100" i="29"/>
  <c r="T174" i="29"/>
  <c r="T109" i="29"/>
  <c r="S150" i="29"/>
  <c r="T122" i="29"/>
  <c r="S123" i="29"/>
  <c r="T131" i="29"/>
  <c r="T164" i="29"/>
  <c r="T171" i="29"/>
  <c r="S195" i="29"/>
  <c r="T199" i="29"/>
  <c r="S196" i="29"/>
  <c r="T220" i="29"/>
  <c r="S217" i="29"/>
  <c r="T225" i="29"/>
  <c r="T238" i="29"/>
  <c r="T255" i="29"/>
  <c r="T256" i="29"/>
  <c r="S238" i="29"/>
  <c r="S369" i="29"/>
  <c r="T327" i="29"/>
  <c r="S362" i="29"/>
  <c r="S370" i="29"/>
  <c r="T402" i="29"/>
  <c r="S27" i="29"/>
  <c r="S28" i="29"/>
  <c r="S87" i="29"/>
  <c r="S106" i="29"/>
  <c r="T36" i="29"/>
  <c r="S51" i="29"/>
  <c r="S91" i="29"/>
  <c r="S110" i="29"/>
  <c r="S62" i="29"/>
  <c r="S82" i="29"/>
  <c r="S598" i="29"/>
  <c r="T605" i="29"/>
  <c r="S609" i="29"/>
  <c r="S593" i="29"/>
  <c r="T600" i="29"/>
  <c r="S612" i="29"/>
  <c r="S603" i="29"/>
  <c r="T594" i="29"/>
  <c r="S588" i="29"/>
  <c r="T591" i="29"/>
  <c r="S591" i="29"/>
  <c r="T606" i="29"/>
  <c r="T590" i="29"/>
  <c r="S582" i="29"/>
  <c r="T576" i="29"/>
  <c r="T560" i="29"/>
  <c r="S575" i="29"/>
  <c r="S559" i="29"/>
  <c r="S574" i="29"/>
  <c r="S585" i="29"/>
  <c r="T565" i="29"/>
  <c r="S550" i="29"/>
  <c r="T557" i="29"/>
  <c r="S577" i="29"/>
  <c r="S557" i="29"/>
  <c r="T573" i="29"/>
  <c r="T558" i="29"/>
  <c r="S578" i="29"/>
  <c r="T555" i="29"/>
  <c r="T566" i="29"/>
  <c r="S547" i="29"/>
  <c r="S541" i="29"/>
  <c r="S525" i="29"/>
  <c r="S540" i="29"/>
  <c r="S524" i="29"/>
  <c r="T539" i="29"/>
  <c r="T575" i="29"/>
  <c r="S535" i="29"/>
  <c r="T554" i="29"/>
  <c r="S530" i="29"/>
  <c r="T545" i="29"/>
  <c r="T529" i="29"/>
  <c r="T526" i="29"/>
  <c r="S507" i="29"/>
  <c r="T524" i="29"/>
  <c r="T514" i="29"/>
  <c r="S522" i="29"/>
  <c r="T540" i="29"/>
  <c r="T509" i="29"/>
  <c r="S513" i="29"/>
  <c r="T516" i="29"/>
  <c r="S512" i="29"/>
  <c r="T488" i="29"/>
  <c r="S505" i="29"/>
  <c r="T487" i="29"/>
  <c r="S491" i="29"/>
  <c r="S520" i="29"/>
  <c r="T486" i="29"/>
  <c r="T506" i="29"/>
  <c r="S494" i="29"/>
  <c r="T507" i="29"/>
  <c r="T472" i="29"/>
  <c r="T505" i="29"/>
  <c r="T481" i="29"/>
  <c r="S464" i="29"/>
  <c r="S481" i="29"/>
  <c r="T463" i="29"/>
  <c r="S475" i="29"/>
  <c r="T532" i="29"/>
  <c r="S474" i="29"/>
  <c r="T519" i="29"/>
  <c r="T478" i="29"/>
  <c r="T465" i="29"/>
  <c r="S56" i="29"/>
  <c r="T70" i="29"/>
  <c r="S20" i="29"/>
  <c r="S74" i="29"/>
  <c r="S89" i="29"/>
  <c r="S93" i="29"/>
  <c r="S25" i="29"/>
  <c r="S610" i="29"/>
  <c r="S594" i="29"/>
  <c r="T601" i="29"/>
  <c r="S605" i="29"/>
  <c r="T612" i="29"/>
  <c r="T596" i="29"/>
  <c r="S611" i="29"/>
  <c r="T602" i="29"/>
  <c r="T588" i="29"/>
  <c r="S584" i="29"/>
  <c r="T587" i="29"/>
  <c r="S587" i="29"/>
  <c r="S600" i="29"/>
  <c r="S627" i="29"/>
  <c r="T595" i="29"/>
  <c r="T572" i="29"/>
  <c r="T556" i="29"/>
  <c r="S571" i="29"/>
  <c r="T574" i="29"/>
  <c r="S570" i="29"/>
  <c r="T581" i="29"/>
  <c r="T561" i="29"/>
  <c r="S546" i="29"/>
  <c r="S553" i="29"/>
  <c r="T571" i="29"/>
  <c r="T552" i="29"/>
  <c r="S572" i="29"/>
  <c r="S552" i="29"/>
  <c r="S573" i="29"/>
  <c r="T551" i="29"/>
  <c r="S556" i="29"/>
  <c r="T603" i="29"/>
  <c r="S537" i="29"/>
  <c r="T593" i="29"/>
  <c r="S536" i="29"/>
  <c r="S583" i="29"/>
  <c r="T535" i="29"/>
  <c r="T550" i="29"/>
  <c r="S531" i="29"/>
  <c r="S542" i="29"/>
  <c r="S565" i="29"/>
  <c r="T541" i="29"/>
  <c r="T525" i="29"/>
  <c r="S519" i="29"/>
  <c r="S503" i="29"/>
  <c r="T523" i="29"/>
  <c r="T510" i="29"/>
  <c r="S518" i="29"/>
  <c r="T521" i="29"/>
  <c r="T534" i="29"/>
  <c r="S509" i="29"/>
  <c r="T512" i="29"/>
  <c r="T500" i="29"/>
  <c r="T484" i="29"/>
  <c r="T499" i="29"/>
  <c r="T511" i="29"/>
  <c r="S487" i="29"/>
  <c r="T498" i="29"/>
  <c r="T482" i="29"/>
  <c r="S504" i="29"/>
  <c r="S490" i="29"/>
  <c r="S496" i="29"/>
  <c r="T468" i="29"/>
  <c r="T501" i="29"/>
  <c r="S476" i="29"/>
  <c r="S501" i="29"/>
  <c r="T475" i="29"/>
  <c r="S497" i="29"/>
  <c r="S471" i="29"/>
  <c r="T503" i="29"/>
  <c r="S470" i="29"/>
  <c r="S502" i="29"/>
  <c r="T43" i="29"/>
  <c r="S44" i="29"/>
  <c r="T56" i="29"/>
  <c r="S65" i="29"/>
  <c r="T76" i="29"/>
  <c r="S60" i="29"/>
  <c r="T74" i="29"/>
  <c r="S17" i="29"/>
  <c r="S37" i="29"/>
  <c r="S45" i="29"/>
  <c r="S53" i="29"/>
  <c r="S97" i="29"/>
  <c r="S606" i="29"/>
  <c r="T613" i="29"/>
  <c r="T597" i="29"/>
  <c r="S601" i="29"/>
  <c r="T608" i="29"/>
  <c r="T592" i="29"/>
  <c r="T610" i="29"/>
  <c r="S596" i="29"/>
  <c r="T584" i="29"/>
  <c r="S580" i="29"/>
  <c r="T607" i="29"/>
  <c r="S608" i="29"/>
  <c r="S599" i="29"/>
  <c r="S590" i="29"/>
  <c r="T578" i="29"/>
  <c r="T568" i="29"/>
  <c r="S589" i="29"/>
  <c r="S567" i="29"/>
  <c r="T570" i="29"/>
  <c r="S566" i="29"/>
  <c r="S579" i="29"/>
  <c r="T559" i="29"/>
  <c r="S569" i="29"/>
  <c r="S549" i="29"/>
  <c r="S568" i="29"/>
  <c r="T548" i="29"/>
  <c r="T567" i="29"/>
  <c r="S548" i="29"/>
  <c r="T562" i="29"/>
  <c r="T547" i="29"/>
  <c r="S555" i="29"/>
  <c r="T585" i="29"/>
  <c r="S533" i="29"/>
  <c r="T569" i="29"/>
  <c r="S532" i="29"/>
  <c r="S544" i="29"/>
  <c r="T531" i="29"/>
  <c r="S543" i="29"/>
  <c r="S527" i="29"/>
  <c r="S538" i="29"/>
  <c r="T549" i="29"/>
  <c r="T537" i="29"/>
  <c r="S561" i="29"/>
  <c r="S515" i="29"/>
  <c r="T536" i="29"/>
  <c r="T522" i="29"/>
  <c r="T530" i="29"/>
  <c r="S514" i="29"/>
  <c r="T517" i="29"/>
  <c r="S521" i="29"/>
  <c r="T528" i="29"/>
  <c r="T508" i="29"/>
  <c r="T496" i="29"/>
  <c r="T480" i="29"/>
  <c r="T495" i="29"/>
  <c r="S499" i="29"/>
  <c r="S483" i="29"/>
  <c r="T494" i="29"/>
  <c r="T538" i="29"/>
  <c r="T502" i="29"/>
  <c r="S486" i="29"/>
  <c r="S480" i="29"/>
  <c r="T464" i="29"/>
  <c r="S492" i="29"/>
  <c r="S472" i="29"/>
  <c r="T497" i="29"/>
  <c r="T471" i="29"/>
  <c r="T493" i="29"/>
  <c r="S467" i="29"/>
  <c r="S489" i="29"/>
  <c r="S466" i="29"/>
  <c r="S485" i="29"/>
  <c r="T473" i="29"/>
  <c r="S58" i="29"/>
  <c r="S597" i="29"/>
  <c r="S595" i="29"/>
  <c r="S607" i="29"/>
  <c r="T564" i="29"/>
  <c r="S562" i="29"/>
  <c r="S545" i="29"/>
  <c r="T582" i="29"/>
  <c r="T579" i="29"/>
  <c r="T543" i="29"/>
  <c r="S534" i="29"/>
  <c r="S511" i="29"/>
  <c r="S510" i="29"/>
  <c r="T504" i="29"/>
  <c r="S495" i="29"/>
  <c r="S498" i="29"/>
  <c r="T483" i="29"/>
  <c r="S484" i="29"/>
  <c r="T479" i="29"/>
  <c r="S500" i="29"/>
  <c r="S473" i="29"/>
  <c r="S493" i="29"/>
  <c r="T449" i="29"/>
  <c r="T461" i="29"/>
  <c r="S445" i="29"/>
  <c r="S429" i="29"/>
  <c r="S413" i="29"/>
  <c r="T456" i="29"/>
  <c r="T470" i="29"/>
  <c r="S448" i="29"/>
  <c r="S432" i="29"/>
  <c r="T459" i="29"/>
  <c r="T443" i="29"/>
  <c r="T427" i="29"/>
  <c r="T411" i="29"/>
  <c r="S451" i="29"/>
  <c r="S435" i="29"/>
  <c r="S419" i="29"/>
  <c r="T466" i="29"/>
  <c r="S458" i="29"/>
  <c r="S430" i="29"/>
  <c r="S420" i="29"/>
  <c r="S397" i="29"/>
  <c r="S381" i="29"/>
  <c r="T418" i="29"/>
  <c r="T392" i="29"/>
  <c r="T376" i="29"/>
  <c r="S396" i="29"/>
  <c r="S380" i="29"/>
  <c r="T434" i="29"/>
  <c r="T409" i="29"/>
  <c r="T391" i="29"/>
  <c r="T375" i="29"/>
  <c r="S426" i="29"/>
  <c r="S403" i="29"/>
  <c r="S387" i="29"/>
  <c r="T417" i="29"/>
  <c r="T398" i="29"/>
  <c r="T382" i="29"/>
  <c r="S450" i="29"/>
  <c r="T406" i="29"/>
  <c r="S394" i="29"/>
  <c r="S378" i="29"/>
  <c r="T436" i="29"/>
  <c r="T420" i="29"/>
  <c r="S404" i="29"/>
  <c r="T389" i="29"/>
  <c r="T373" i="29"/>
  <c r="T356" i="29"/>
  <c r="T340" i="29"/>
  <c r="S356" i="29"/>
  <c r="S340" i="29"/>
  <c r="S324" i="29"/>
  <c r="T367" i="29"/>
  <c r="T351" i="29"/>
  <c r="T335" i="29"/>
  <c r="S359" i="29"/>
  <c r="S343" i="29"/>
  <c r="S327" i="29"/>
  <c r="S311" i="29"/>
  <c r="T362" i="29"/>
  <c r="T346" i="29"/>
  <c r="T330" i="29"/>
  <c r="T314" i="29"/>
  <c r="T357" i="29"/>
  <c r="T44" i="29"/>
  <c r="S602" i="29"/>
  <c r="T604" i="29"/>
  <c r="T580" i="29"/>
  <c r="T598" i="29"/>
  <c r="S581" i="29"/>
  <c r="S576" i="29"/>
  <c r="T563" i="29"/>
  <c r="S558" i="29"/>
  <c r="S529" i="29"/>
  <c r="T527" i="29"/>
  <c r="T546" i="29"/>
  <c r="S526" i="29"/>
  <c r="T513" i="29"/>
  <c r="T492" i="29"/>
  <c r="T553" i="29"/>
  <c r="S482" i="29"/>
  <c r="S468" i="29"/>
  <c r="S463" i="29"/>
  <c r="T477" i="29"/>
  <c r="S479" i="29"/>
  <c r="S469" i="29"/>
  <c r="T474" i="29"/>
  <c r="T445" i="29"/>
  <c r="S457" i="29"/>
  <c r="S441" i="29"/>
  <c r="S425" i="29"/>
  <c r="S409" i="29"/>
  <c r="T452" i="29"/>
  <c r="S460" i="29"/>
  <c r="S444" i="29"/>
  <c r="S428" i="29"/>
  <c r="T455" i="29"/>
  <c r="T439" i="29"/>
  <c r="T423" i="29"/>
  <c r="T407" i="29"/>
  <c r="S447" i="29"/>
  <c r="S431" i="29"/>
  <c r="S415" i="29"/>
  <c r="T458" i="29"/>
  <c r="T446" i="29"/>
  <c r="T429" i="29"/>
  <c r="T414" i="29"/>
  <c r="S393" i="29"/>
  <c r="S377" i="29"/>
  <c r="S414" i="29"/>
  <c r="T388" i="29"/>
  <c r="S418" i="29"/>
  <c r="S392" i="29"/>
  <c r="S376" i="29"/>
  <c r="T432" i="29"/>
  <c r="T403" i="29"/>
  <c r="T387" i="29"/>
  <c r="T371" i="29"/>
  <c r="S36" i="29"/>
  <c r="T609" i="29"/>
  <c r="T627" i="29"/>
  <c r="S592" i="29"/>
  <c r="S586" i="29"/>
  <c r="S563" i="29"/>
  <c r="S554" i="29"/>
  <c r="T589" i="29"/>
  <c r="T586" i="29"/>
  <c r="T544" i="29"/>
  <c r="S539" i="29"/>
  <c r="T533" i="29"/>
  <c r="T518" i="29"/>
  <c r="S517" i="29"/>
  <c r="S516" i="29"/>
  <c r="T490" i="29"/>
  <c r="T476" i="29"/>
  <c r="S488" i="29"/>
  <c r="T485" i="29"/>
  <c r="T469" i="29"/>
  <c r="S478" i="29"/>
  <c r="S465" i="29"/>
  <c r="T457" i="29"/>
  <c r="T441" i="29"/>
  <c r="S453" i="29"/>
  <c r="S437" i="29"/>
  <c r="S421" i="29"/>
  <c r="S405" i="29"/>
  <c r="T448" i="29"/>
  <c r="S456" i="29"/>
  <c r="S440" i="29"/>
  <c r="S424" i="29"/>
  <c r="T451" i="29"/>
  <c r="T435" i="29"/>
  <c r="T419" i="29"/>
  <c r="S459" i="29"/>
  <c r="S443" i="29"/>
  <c r="S427" i="29"/>
  <c r="S411" i="29"/>
  <c r="T454" i="29"/>
  <c r="S438" i="29"/>
  <c r="S422" i="29"/>
  <c r="S410" i="29"/>
  <c r="S389" i="29"/>
  <c r="S373" i="29"/>
  <c r="T400" i="29"/>
  <c r="T384" i="29"/>
  <c r="T405" i="29"/>
  <c r="S388" i="29"/>
  <c r="S454" i="29"/>
  <c r="T426" i="29"/>
  <c r="T399" i="29"/>
  <c r="T383" i="29"/>
  <c r="S434" i="29"/>
  <c r="T413" i="29"/>
  <c r="S395" i="29"/>
  <c r="S379" i="29"/>
  <c r="S408" i="29"/>
  <c r="T390" i="29"/>
  <c r="T374" i="29"/>
  <c r="T416" i="29"/>
  <c r="S402" i="29"/>
  <c r="S386" i="29"/>
  <c r="S442" i="29"/>
  <c r="T428" i="29"/>
  <c r="T410" i="29"/>
  <c r="T397" i="29"/>
  <c r="T381" i="29"/>
  <c r="T364" i="29"/>
  <c r="T348" i="29"/>
  <c r="S364" i="29"/>
  <c r="S348" i="29"/>
  <c r="S332" i="29"/>
  <c r="S316" i="29"/>
  <c r="T359" i="29"/>
  <c r="T343" i="29"/>
  <c r="S367" i="29"/>
  <c r="S351" i="29"/>
  <c r="S335" i="29"/>
  <c r="S319" i="29"/>
  <c r="S371" i="29"/>
  <c r="T354" i="29"/>
  <c r="T338" i="29"/>
  <c r="T322" i="29"/>
  <c r="T365" i="29"/>
  <c r="T349" i="29"/>
  <c r="T24" i="29"/>
  <c r="T599" i="29"/>
  <c r="S560" i="29"/>
  <c r="T542" i="29"/>
  <c r="T515" i="29"/>
  <c r="S506" i="29"/>
  <c r="T462" i="29"/>
  <c r="T460" i="29"/>
  <c r="T489" i="29"/>
  <c r="S455" i="29"/>
  <c r="T450" i="29"/>
  <c r="S385" i="29"/>
  <c r="S400" i="29"/>
  <c r="T395" i="29"/>
  <c r="T408" i="29"/>
  <c r="S375" i="29"/>
  <c r="T386" i="29"/>
  <c r="S412" i="29"/>
  <c r="S382" i="29"/>
  <c r="T422" i="29"/>
  <c r="T393" i="29"/>
  <c r="T360" i="29"/>
  <c r="S360" i="29"/>
  <c r="S328" i="29"/>
  <c r="T355" i="29"/>
  <c r="S363" i="29"/>
  <c r="S331" i="29"/>
  <c r="T366" i="29"/>
  <c r="T334" i="29"/>
  <c r="T361" i="29"/>
  <c r="T337" i="29"/>
  <c r="T321" i="29"/>
  <c r="S346" i="29"/>
  <c r="T308" i="29"/>
  <c r="T292" i="29"/>
  <c r="T276" i="29"/>
  <c r="S308" i="29"/>
  <c r="S292" i="29"/>
  <c r="S276" i="29"/>
  <c r="S345" i="29"/>
  <c r="T319" i="29"/>
  <c r="S337" i="29"/>
  <c r="S307" i="29"/>
  <c r="S349" i="29"/>
  <c r="T298" i="29"/>
  <c r="S310" i="29"/>
  <c r="S294" i="29"/>
  <c r="S278" i="29"/>
  <c r="S353" i="29"/>
  <c r="T324" i="29"/>
  <c r="S314" i="29"/>
  <c r="T297" i="29"/>
  <c r="T281" i="29"/>
  <c r="S287" i="29"/>
  <c r="S262" i="29"/>
  <c r="S246" i="29"/>
  <c r="S230" i="29"/>
  <c r="T278" i="29"/>
  <c r="T257" i="29"/>
  <c r="S309" i="29"/>
  <c r="S257" i="29"/>
  <c r="S241" i="29"/>
  <c r="S281" i="29"/>
  <c r="T264" i="29"/>
  <c r="T248" i="29"/>
  <c r="T232" i="29"/>
  <c r="T299" i="29"/>
  <c r="S273" i="29"/>
  <c r="S260" i="29"/>
  <c r="S305" i="29"/>
  <c r="T282" i="29"/>
  <c r="T263" i="29"/>
  <c r="T247" i="29"/>
  <c r="T231" i="29"/>
  <c r="S259" i="29"/>
  <c r="S243" i="29"/>
  <c r="T295" i="29"/>
  <c r="T279" i="29"/>
  <c r="T262" i="29"/>
  <c r="T246" i="29"/>
  <c r="T230" i="29"/>
  <c r="T218" i="29"/>
  <c r="T202" i="29"/>
  <c r="S226" i="29"/>
  <c r="S210" i="29"/>
  <c r="S194" i="29"/>
  <c r="S178" i="29"/>
  <c r="T577" i="29"/>
  <c r="S551" i="29"/>
  <c r="S523" i="29"/>
  <c r="S508" i="29"/>
  <c r="S477" i="29"/>
  <c r="S449" i="29"/>
  <c r="T444" i="29"/>
  <c r="T447" i="29"/>
  <c r="S439" i="29"/>
  <c r="T437" i="29"/>
  <c r="S446" i="29"/>
  <c r="S384" i="29"/>
  <c r="T379" i="29"/>
  <c r="S399" i="29"/>
  <c r="T412" i="29"/>
  <c r="T378" i="29"/>
  <c r="T404" i="29"/>
  <c r="S374" i="29"/>
  <c r="S416" i="29"/>
  <c r="T385" i="29"/>
  <c r="T352" i="29"/>
  <c r="S352" i="29"/>
  <c r="S320" i="29"/>
  <c r="T347" i="29"/>
  <c r="S355" i="29"/>
  <c r="S323" i="29"/>
  <c r="T358" i="29"/>
  <c r="T326" i="29"/>
  <c r="T353" i="29"/>
  <c r="T333" i="29"/>
  <c r="T317" i="29"/>
  <c r="S341" i="29"/>
  <c r="T304" i="29"/>
  <c r="T288" i="29"/>
  <c r="S334" i="29"/>
  <c r="S304" i="29"/>
  <c r="S288" i="29"/>
  <c r="S366" i="29"/>
  <c r="T328" i="29"/>
  <c r="T313" i="29"/>
  <c r="S329" i="29"/>
  <c r="S303" i="29"/>
  <c r="T310" i="29"/>
  <c r="S330" i="29"/>
  <c r="S306" i="29"/>
  <c r="S290" i="29"/>
  <c r="S274" i="29"/>
  <c r="S342" i="29"/>
  <c r="T323" i="29"/>
  <c r="T309" i="29"/>
  <c r="T293" i="29"/>
  <c r="T277" i="29"/>
  <c r="S279" i="29"/>
  <c r="S258" i="29"/>
  <c r="S242" i="29"/>
  <c r="S317" i="29"/>
  <c r="T269" i="29"/>
  <c r="T253" i="29"/>
  <c r="S269" i="29"/>
  <c r="S253" i="29"/>
  <c r="T291" i="29"/>
  <c r="T275" i="29"/>
  <c r="T260" i="29"/>
  <c r="T244" i="29"/>
  <c r="S338" i="29"/>
  <c r="S291" i="29"/>
  <c r="S272" i="29"/>
  <c r="S256" i="29"/>
  <c r="S299" i="29"/>
  <c r="T274" i="29"/>
  <c r="T259" i="29"/>
  <c r="T243" i="29"/>
  <c r="S271" i="29"/>
  <c r="S255" i="29"/>
  <c r="S239" i="29"/>
  <c r="S293" i="29"/>
  <c r="S277" i="29"/>
  <c r="T258" i="29"/>
  <c r="T242" i="29"/>
  <c r="S235" i="29"/>
  <c r="T214" i="29"/>
  <c r="T198" i="29"/>
  <c r="S222" i="29"/>
  <c r="S206" i="29"/>
  <c r="S190" i="29"/>
  <c r="T63" i="29"/>
  <c r="T111" i="29"/>
  <c r="S100" i="29"/>
  <c r="S128" i="29"/>
  <c r="S146" i="29"/>
  <c r="S164" i="29"/>
  <c r="T88" i="29"/>
  <c r="T104" i="29"/>
  <c r="T120" i="29"/>
  <c r="S156" i="29"/>
  <c r="T49" i="29"/>
  <c r="T65" i="29"/>
  <c r="T81" i="29"/>
  <c r="T97" i="29"/>
  <c r="T113" i="29"/>
  <c r="S124" i="29"/>
  <c r="T133" i="29"/>
  <c r="S142" i="29"/>
  <c r="T161" i="29"/>
  <c r="T90" i="29"/>
  <c r="T106" i="29"/>
  <c r="T132" i="29"/>
  <c r="T126" i="29"/>
  <c r="T142" i="29"/>
  <c r="T158" i="29"/>
  <c r="T173" i="29"/>
  <c r="S127" i="29"/>
  <c r="S143" i="29"/>
  <c r="S159" i="29"/>
  <c r="T119" i="29"/>
  <c r="T135" i="29"/>
  <c r="T151" i="29"/>
  <c r="T167" i="29"/>
  <c r="T182" i="29"/>
  <c r="S145" i="29"/>
  <c r="T178" i="29"/>
  <c r="S162" i="29"/>
  <c r="T190" i="29"/>
  <c r="S215" i="29"/>
  <c r="T187" i="29"/>
  <c r="T219" i="29"/>
  <c r="T233" i="29"/>
  <c r="S173" i="29"/>
  <c r="S221" i="29"/>
  <c r="T197" i="29"/>
  <c r="S236" i="29"/>
  <c r="T237" i="29"/>
  <c r="T250" i="29"/>
  <c r="S247" i="29"/>
  <c r="T267" i="29"/>
  <c r="T236" i="29"/>
  <c r="S245" i="29"/>
  <c r="S250" i="29"/>
  <c r="T301" i="29"/>
  <c r="S282" i="29"/>
  <c r="S354" i="29"/>
  <c r="S350" i="29"/>
  <c r="T280" i="29"/>
  <c r="T325" i="29"/>
  <c r="T369" i="29"/>
  <c r="T372" i="29"/>
  <c r="S336" i="29"/>
  <c r="T368" i="29"/>
  <c r="T442" i="29"/>
  <c r="S383" i="29"/>
  <c r="T424" i="29"/>
  <c r="S401" i="29"/>
  <c r="T415" i="29"/>
  <c r="S417" i="29"/>
  <c r="S462" i="29"/>
  <c r="S604" i="29"/>
  <c r="S199" i="29"/>
  <c r="S240" i="29"/>
  <c r="S184" i="29"/>
  <c r="T430" i="29"/>
  <c r="S55" i="29"/>
  <c r="S48" i="29"/>
  <c r="T33" i="29"/>
  <c r="T17" i="29"/>
  <c r="T51" i="29"/>
  <c r="T67" i="29"/>
  <c r="T83" i="29"/>
  <c r="T99" i="29"/>
  <c r="T115" i="29"/>
  <c r="S88" i="29"/>
  <c r="S104" i="29"/>
  <c r="S120" i="29"/>
  <c r="T129" i="29"/>
  <c r="S138" i="29"/>
  <c r="S152" i="29"/>
  <c r="T169" i="29"/>
  <c r="T92" i="29"/>
  <c r="T108" i="29"/>
  <c r="T128" i="29"/>
  <c r="S113" i="29"/>
  <c r="S160" i="29"/>
  <c r="T53" i="29"/>
  <c r="T69" i="29"/>
  <c r="T85" i="29"/>
  <c r="T101" i="29"/>
  <c r="T117" i="29"/>
  <c r="T125" i="29"/>
  <c r="S134" i="29"/>
  <c r="S148" i="29"/>
  <c r="T78" i="29"/>
  <c r="T94" i="29"/>
  <c r="T110" i="29"/>
  <c r="T140" i="29"/>
  <c r="T130" i="29"/>
  <c r="T146" i="29"/>
  <c r="T162" i="29"/>
  <c r="T180" i="29"/>
  <c r="S131" i="29"/>
  <c r="S147" i="29"/>
  <c r="S163" i="29"/>
  <c r="T123" i="29"/>
  <c r="T139" i="29"/>
  <c r="T155" i="29"/>
  <c r="S174" i="29"/>
  <c r="T156" i="29"/>
  <c r="T188" i="29"/>
  <c r="S133" i="29"/>
  <c r="S149" i="29"/>
  <c r="S165" i="29"/>
  <c r="T194" i="29"/>
  <c r="S166" i="29"/>
  <c r="S171" i="29"/>
  <c r="S187" i="29"/>
  <c r="S203" i="29"/>
  <c r="S219" i="29"/>
  <c r="T175" i="29"/>
  <c r="T191" i="29"/>
  <c r="T207" i="29"/>
  <c r="T223" i="29"/>
  <c r="S172" i="29"/>
  <c r="S188" i="29"/>
  <c r="S204" i="29"/>
  <c r="S220" i="29"/>
  <c r="T241" i="29"/>
  <c r="T212" i="29"/>
  <c r="T228" i="29"/>
  <c r="S177" i="29"/>
  <c r="S193" i="29"/>
  <c r="S209" i="29"/>
  <c r="S225" i="29"/>
  <c r="T185" i="29"/>
  <c r="T201" i="29"/>
  <c r="T217" i="29"/>
  <c r="S237" i="29"/>
  <c r="S202" i="29"/>
  <c r="S244" i="29"/>
  <c r="T226" i="29"/>
  <c r="T254" i="29"/>
  <c r="T287" i="29"/>
  <c r="S251" i="29"/>
  <c r="T239" i="29"/>
  <c r="T271" i="29"/>
  <c r="S252" i="29"/>
  <c r="S283" i="29"/>
  <c r="T240" i="29"/>
  <c r="T272" i="29"/>
  <c r="S249" i="29"/>
  <c r="T249" i="29"/>
  <c r="T294" i="29"/>
  <c r="S254" i="29"/>
  <c r="T273" i="29"/>
  <c r="T305" i="29"/>
  <c r="T332" i="29"/>
  <c r="S286" i="29"/>
  <c r="S322" i="29"/>
  <c r="S365" i="29"/>
  <c r="T307" i="29"/>
  <c r="S361" i="29"/>
  <c r="S300" i="29"/>
  <c r="T284" i="29"/>
  <c r="T336" i="29"/>
  <c r="T329" i="29"/>
  <c r="T318" i="29"/>
  <c r="S315" i="29"/>
  <c r="T339" i="29"/>
  <c r="S344" i="29"/>
  <c r="T377" i="29"/>
  <c r="T438" i="29"/>
  <c r="T370" i="29"/>
  <c r="S391" i="29"/>
  <c r="T440" i="29"/>
  <c r="T421" i="29"/>
  <c r="T431" i="29"/>
  <c r="S433" i="29"/>
  <c r="T467" i="29"/>
  <c r="S528" i="29"/>
  <c r="S613" i="29"/>
  <c r="T62" i="29"/>
  <c r="T45" i="29"/>
  <c r="T29" i="29"/>
  <c r="T47" i="29"/>
  <c r="T79" i="29"/>
  <c r="T95" i="29"/>
  <c r="S84" i="29"/>
  <c r="S116" i="29"/>
  <c r="T137" i="29"/>
  <c r="T152" i="29"/>
  <c r="T168" i="29"/>
  <c r="S129" i="29"/>
  <c r="S161" i="29"/>
  <c r="S183" i="29"/>
  <c r="T203" i="29"/>
  <c r="S233" i="29"/>
  <c r="S200" i="29"/>
  <c r="S216" i="29"/>
  <c r="T208" i="29"/>
  <c r="T224" i="29"/>
  <c r="S189" i="29"/>
  <c r="S205" i="29"/>
  <c r="T181" i="29"/>
  <c r="T213" i="29"/>
  <c r="S198" i="29"/>
  <c r="T222" i="29"/>
  <c r="S285" i="29"/>
  <c r="T235" i="29"/>
  <c r="S248" i="29"/>
  <c r="S275" i="29"/>
  <c r="T268" i="29"/>
  <c r="T245" i="29"/>
  <c r="T286" i="29"/>
  <c r="S295" i="29"/>
  <c r="T331" i="29"/>
  <c r="T311" i="29"/>
  <c r="T303" i="29"/>
  <c r="S296" i="29"/>
  <c r="S312" i="29"/>
  <c r="S372" i="29"/>
  <c r="T611" i="29"/>
  <c r="S101" i="29"/>
  <c r="T37" i="29"/>
  <c r="T21" i="29"/>
  <c r="T55" i="29"/>
  <c r="T71" i="29"/>
  <c r="T87" i="29"/>
  <c r="T103" i="29"/>
  <c r="S76" i="29"/>
  <c r="S92" i="29"/>
  <c r="S108" i="29"/>
  <c r="T121" i="29"/>
  <c r="S130" i="29"/>
  <c r="S144" i="29"/>
  <c r="T153" i="29"/>
  <c r="T80" i="29"/>
  <c r="T96" i="29"/>
  <c r="T112" i="29"/>
  <c r="T136" i="29"/>
  <c r="S117" i="29"/>
  <c r="T165" i="29"/>
  <c r="T57" i="29"/>
  <c r="T73" i="29"/>
  <c r="T89" i="29"/>
  <c r="T105" i="29"/>
  <c r="T118" i="29"/>
  <c r="S126" i="29"/>
  <c r="S140" i="29"/>
  <c r="T149" i="29"/>
  <c r="T82" i="29"/>
  <c r="T98" i="29"/>
  <c r="T114" i="29"/>
  <c r="T148" i="29"/>
  <c r="T134" i="29"/>
  <c r="T150" i="29"/>
  <c r="T166" i="29"/>
  <c r="T196" i="29"/>
  <c r="S135" i="29"/>
  <c r="S151" i="29"/>
  <c r="S167" i="29"/>
  <c r="T127" i="29"/>
  <c r="T143" i="29"/>
  <c r="T159" i="29"/>
  <c r="T176" i="29"/>
  <c r="T160" i="29"/>
  <c r="S121" i="29"/>
  <c r="S137" i="29"/>
  <c r="S153" i="29"/>
  <c r="S169" i="29"/>
  <c r="T184" i="29"/>
  <c r="S170" i="29"/>
  <c r="S175" i="29"/>
  <c r="S191" i="29"/>
  <c r="S207" i="29"/>
  <c r="S223" i="29"/>
  <c r="T179" i="29"/>
  <c r="T195" i="29"/>
  <c r="T211" i="29"/>
  <c r="T227" i="29"/>
  <c r="S176" i="29"/>
  <c r="S192" i="29"/>
  <c r="S208" i="29"/>
  <c r="S224" i="29"/>
  <c r="T200" i="29"/>
  <c r="T216" i="29"/>
  <c r="S229" i="29"/>
  <c r="S181" i="29"/>
  <c r="S197" i="29"/>
  <c r="S213" i="29"/>
  <c r="T229" i="29"/>
  <c r="T189" i="29"/>
  <c r="T205" i="29"/>
  <c r="T221" i="29"/>
  <c r="S182" i="29"/>
  <c r="S214" i="29"/>
  <c r="T206" i="29"/>
  <c r="T234" i="29"/>
  <c r="T266" i="29"/>
  <c r="T312" i="29"/>
  <c r="S263" i="29"/>
  <c r="T251" i="29"/>
  <c r="T290" i="29"/>
  <c r="S264" i="29"/>
  <c r="S301" i="29"/>
  <c r="T252" i="29"/>
  <c r="T283" i="29"/>
  <c r="S261" i="29"/>
  <c r="T261" i="29"/>
  <c r="S234" i="29"/>
  <c r="S266" i="29"/>
  <c r="T285" i="29"/>
  <c r="T315" i="29"/>
  <c r="S358" i="29"/>
  <c r="S298" i="29"/>
  <c r="T302" i="29"/>
  <c r="S313" i="29"/>
  <c r="T320" i="29"/>
  <c r="S280" i="29"/>
  <c r="S318" i="29"/>
  <c r="T296" i="29"/>
  <c r="S357" i="29"/>
  <c r="T341" i="29"/>
  <c r="T342" i="29"/>
  <c r="S339" i="29"/>
  <c r="T363" i="29"/>
  <c r="S368" i="29"/>
  <c r="T401" i="29"/>
  <c r="S390" i="29"/>
  <c r="T394" i="29"/>
  <c r="T425" i="29"/>
  <c r="T380" i="29"/>
  <c r="S407" i="29"/>
  <c r="S436" i="29"/>
  <c r="T453" i="29"/>
  <c r="T491" i="29"/>
  <c r="S564" i="29"/>
  <c r="S95" i="29"/>
  <c r="S69" i="29"/>
  <c r="T60" i="29"/>
  <c r="S29" i="29"/>
  <c r="S21" i="29"/>
  <c r="S13" i="29"/>
  <c r="S67" i="29"/>
  <c r="T58" i="29"/>
  <c r="T20" i="29"/>
  <c r="T72" i="29"/>
  <c r="S83" i="29"/>
  <c r="S63" i="29"/>
  <c r="T54" i="29"/>
  <c r="T19" i="29"/>
  <c r="T68" i="29"/>
  <c r="S119" i="29"/>
  <c r="S41" i="29"/>
  <c r="S33" i="29"/>
  <c r="T28" i="29"/>
  <c r="T16" i="29"/>
  <c r="S75" i="29"/>
  <c r="T40" i="29"/>
  <c r="T32" i="29"/>
  <c r="S168" i="29"/>
  <c r="S115" i="29"/>
  <c r="S77" i="29"/>
  <c r="S40" i="29"/>
  <c r="S32" i="29"/>
  <c r="S24" i="29"/>
  <c r="S16" i="29"/>
  <c r="S102" i="29"/>
  <c r="T27" i="29"/>
  <c r="R55" i="29"/>
  <c r="Q71" i="29"/>
  <c r="Q76" i="29"/>
  <c r="Q81" i="29"/>
  <c r="R75" i="29"/>
  <c r="R179" i="29"/>
  <c r="Q236" i="29"/>
  <c r="Q290" i="29"/>
  <c r="Q251" i="29"/>
  <c r="R289" i="29"/>
  <c r="R374" i="29"/>
  <c r="R422" i="29"/>
  <c r="Q474" i="29"/>
  <c r="R485" i="29"/>
  <c r="Q577" i="29"/>
  <c r="R21" i="29"/>
  <c r="Q114" i="29"/>
  <c r="Q140" i="29"/>
  <c r="R188" i="29"/>
  <c r="Q219" i="29"/>
  <c r="Q363" i="29"/>
  <c r="Q299" i="29"/>
  <c r="R355" i="29"/>
  <c r="R395" i="29"/>
  <c r="Q460" i="29"/>
  <c r="R512" i="29"/>
  <c r="R519" i="29"/>
  <c r="AC625" i="29"/>
  <c r="Q98" i="29"/>
  <c r="Q14" i="29"/>
  <c r="R54" i="29"/>
  <c r="R128" i="29"/>
  <c r="R224" i="29"/>
  <c r="R207" i="29"/>
  <c r="Q298" i="29"/>
  <c r="Q359" i="29"/>
  <c r="Q324" i="29"/>
  <c r="R372" i="29"/>
  <c r="R428" i="29"/>
  <c r="R465" i="29"/>
  <c r="Q531" i="29"/>
  <c r="Q604" i="29"/>
  <c r="R39" i="29"/>
  <c r="Q112" i="29"/>
  <c r="Q62" i="29"/>
  <c r="R17" i="29"/>
  <c r="R51" i="29"/>
  <c r="R28" i="29"/>
  <c r="R60" i="29"/>
  <c r="R78" i="29"/>
  <c r="R164" i="29"/>
  <c r="Q205" i="29"/>
  <c r="R247" i="29"/>
  <c r="Q258" i="29"/>
  <c r="Q350" i="29"/>
  <c r="Q356" i="29"/>
  <c r="R400" i="29"/>
  <c r="Q461" i="29"/>
  <c r="R482" i="29"/>
  <c r="R524"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R267" i="29"/>
  <c r="Q234" i="29"/>
  <c r="Q223" i="29"/>
  <c r="Q245" i="29"/>
  <c r="R190" i="29"/>
  <c r="Q222" i="29"/>
  <c r="Q174" i="29"/>
  <c r="Q229" i="29"/>
  <c r="Q189" i="29"/>
  <c r="R204" i="29"/>
  <c r="Q232" i="29"/>
  <c r="Q192" i="29"/>
  <c r="R195" i="29"/>
  <c r="Q142" i="29"/>
  <c r="R165" i="29"/>
  <c r="R144" i="29"/>
  <c r="Q168" i="29"/>
  <c r="Q128" i="29"/>
  <c r="R135" i="29"/>
  <c r="R99" i="29"/>
  <c r="Q139" i="29"/>
  <c r="R126" i="29"/>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R40" i="29"/>
  <c r="R112" i="29"/>
  <c r="Q131" i="29"/>
  <c r="Q162" i="29"/>
  <c r="Q238" i="29"/>
  <c r="Q272" i="29"/>
  <c r="R295" i="29"/>
  <c r="Q309" i="29"/>
  <c r="Q365" i="29"/>
  <c r="R389" i="29"/>
  <c r="Q422" i="29"/>
  <c r="R488" i="29"/>
  <c r="R572" i="29"/>
  <c r="S49" i="29"/>
  <c r="S72" i="29"/>
  <c r="O113" i="29"/>
  <c r="O74" i="29"/>
  <c r="S85" i="29"/>
  <c r="T39" i="29"/>
  <c r="T31" i="29"/>
  <c r="T23" i="29"/>
  <c r="T15" i="29"/>
  <c r="O76" i="29"/>
  <c r="S43" i="29"/>
  <c r="T66" i="29"/>
  <c r="P54" i="29"/>
  <c r="O100" i="29"/>
  <c r="O28" i="29"/>
  <c r="P70" i="29"/>
  <c r="S19" i="29"/>
  <c r="S59" i="29"/>
  <c r="T14" i="29"/>
  <c r="S50" i="29"/>
  <c r="S46" i="29"/>
  <c r="T30" i="29"/>
  <c r="S35" i="29"/>
  <c r="T157" i="29"/>
  <c r="T26" i="29"/>
  <c r="S38" i="29"/>
  <c r="S54" i="29"/>
  <c r="T46" i="29"/>
  <c r="S34" i="29"/>
  <c r="S14" i="29"/>
  <c r="P58" i="29"/>
  <c r="O21" i="29"/>
  <c r="O33" i="29"/>
  <c r="O45" i="29"/>
  <c r="O13" i="29"/>
  <c r="O81" i="29"/>
  <c r="O41" i="29"/>
  <c r="O16" i="29"/>
  <c r="O56" i="29"/>
  <c r="O87" i="29"/>
  <c r="O117" i="29"/>
  <c r="P138" i="29"/>
  <c r="O29" i="29"/>
  <c r="O17" i="29"/>
  <c r="O58" i="29"/>
  <c r="P122" i="29"/>
  <c r="P74" i="29"/>
  <c r="O37" i="29"/>
  <c r="O25" i="29"/>
  <c r="O109" i="29"/>
  <c r="S111" i="29"/>
  <c r="S81" i="29"/>
  <c r="T34" i="29"/>
  <c r="S105" i="29"/>
  <c r="S103" i="29"/>
  <c r="S73" i="29"/>
  <c r="S78" i="29"/>
  <c r="T52" i="29"/>
  <c r="S94" i="29"/>
  <c r="S68" i="29"/>
  <c r="T22" i="29"/>
  <c r="S30" i="29"/>
  <c r="S66" i="29"/>
  <c r="T64" i="29"/>
  <c r="S61" i="29"/>
  <c r="S39" i="29"/>
  <c r="S31" i="29"/>
  <c r="S23" i="29"/>
  <c r="S15" i="29"/>
  <c r="S52" i="29"/>
  <c r="T42" i="29"/>
  <c r="S57" i="29"/>
  <c r="S90" i="29"/>
  <c r="T48" i="29"/>
  <c r="S98" i="29"/>
  <c r="S107" i="29"/>
  <c r="S79" i="29"/>
  <c r="T50" i="29"/>
  <c r="T18" i="29"/>
  <c r="AE18" i="29" s="1"/>
  <c r="S42" i="29"/>
  <c r="S26" i="29"/>
  <c r="S18" i="29"/>
  <c r="S70" i="29"/>
  <c r="S47" i="29"/>
  <c r="T38" i="29"/>
  <c r="S22" i="29"/>
  <c r="O40" i="29"/>
  <c r="O104" i="29"/>
  <c r="O60" i="29"/>
  <c r="O65" i="29"/>
  <c r="P44" i="29"/>
  <c r="P36" i="29"/>
  <c r="P28" i="29"/>
  <c r="P20" i="29"/>
  <c r="P78" i="29"/>
  <c r="O67" i="29"/>
  <c r="O72" i="29"/>
  <c r="O83" i="29"/>
  <c r="P72" i="29"/>
  <c r="O32" i="29"/>
  <c r="O77" i="29"/>
  <c r="O63" i="29"/>
  <c r="O49" i="29"/>
  <c r="P40" i="29"/>
  <c r="P32" i="29"/>
  <c r="P24" i="29"/>
  <c r="P16" i="29"/>
  <c r="P154" i="29"/>
  <c r="O96" i="29"/>
  <c r="O85" i="29"/>
  <c r="O51" i="29"/>
  <c r="O20" i="29"/>
  <c r="P56" i="29"/>
  <c r="O111" i="29"/>
  <c r="P626" i="29"/>
  <c r="O626" i="29"/>
  <c r="V626" i="29"/>
  <c r="U626" i="29"/>
  <c r="R626" i="29"/>
  <c r="T626" i="29"/>
  <c r="S626" i="29"/>
  <c r="Q626" i="29"/>
  <c r="AD452" i="29" l="1"/>
  <c r="AD283" i="29"/>
  <c r="AE46" i="29"/>
  <c r="AE183" i="29"/>
  <c r="AE557" i="29"/>
  <c r="AE457" i="29"/>
  <c r="AD547" i="29"/>
  <c r="AE57" i="29"/>
  <c r="P624" i="29"/>
  <c r="S624" i="29"/>
  <c r="AD306" i="29"/>
  <c r="AD408" i="29"/>
  <c r="AE542" i="29"/>
  <c r="AD489" i="29"/>
  <c r="AE250" i="29"/>
  <c r="AD437" i="29"/>
  <c r="AE564" i="29"/>
  <c r="T624" i="29"/>
  <c r="O624" i="29"/>
  <c r="U624" i="29"/>
  <c r="AE297" i="29"/>
  <c r="Q624" i="29"/>
  <c r="V624" i="29"/>
  <c r="AE38" i="29"/>
  <c r="AE22" i="29"/>
  <c r="AE42" i="29"/>
  <c r="AD334" i="29"/>
  <c r="AE186" i="29"/>
  <c r="AE254" i="29"/>
  <c r="AD203" i="29"/>
  <c r="AD210" i="29"/>
  <c r="AD609" i="29"/>
  <c r="AD257" i="29"/>
  <c r="AD114" i="29"/>
  <c r="AD70" i="29"/>
  <c r="AD304" i="29"/>
  <c r="AE277" i="29"/>
  <c r="AE476" i="29"/>
  <c r="AD268" i="29"/>
  <c r="AD371" i="29"/>
  <c r="AD610" i="29"/>
  <c r="AE492" i="29"/>
  <c r="AE521" i="29"/>
  <c r="AE145" i="29"/>
  <c r="AE571" i="29"/>
  <c r="AE451" i="29"/>
  <c r="AD487" i="29"/>
  <c r="AD557" i="29"/>
  <c r="AE98" i="29"/>
  <c r="AE558" i="29"/>
  <c r="AD591" i="29"/>
  <c r="AD193" i="29"/>
  <c r="AD144" i="29"/>
  <c r="AD166" i="29"/>
  <c r="AE132" i="29"/>
  <c r="AE479" i="29"/>
  <c r="AE513" i="29"/>
  <c r="AE396" i="29"/>
  <c r="AE567" i="29"/>
  <c r="AE25" i="29"/>
  <c r="AE73" i="29"/>
  <c r="AE34" i="29"/>
  <c r="AD194" i="29"/>
  <c r="AE328" i="29"/>
  <c r="AD514" i="29"/>
  <c r="AD432" i="29"/>
  <c r="AE134" i="29"/>
  <c r="AE152" i="29"/>
  <c r="AD297" i="29"/>
  <c r="AE424" i="29"/>
  <c r="AE606" i="29"/>
  <c r="AE512" i="29"/>
  <c r="AE527" i="29"/>
  <c r="AE37" i="29"/>
  <c r="AE76" i="29"/>
  <c r="AD170" i="29"/>
  <c r="AD458" i="29"/>
  <c r="AE507" i="29"/>
  <c r="AE244" i="29"/>
  <c r="AD318" i="29"/>
  <c r="AD425" i="29"/>
  <c r="AD102" i="29"/>
  <c r="AE26" i="29"/>
  <c r="AE389" i="29"/>
  <c r="AE217" i="29"/>
  <c r="AE425" i="29"/>
  <c r="AD424" i="29"/>
  <c r="AD414" i="29"/>
  <c r="AE589" i="29"/>
  <c r="AD566" i="29"/>
  <c r="AE428" i="29"/>
  <c r="AD440" i="29"/>
  <c r="AE30" i="29"/>
  <c r="AE241" i="29"/>
  <c r="AE459" i="29"/>
  <c r="AD519" i="29"/>
  <c r="AD593" i="29"/>
  <c r="AD480" i="29"/>
  <c r="AD590" i="29"/>
  <c r="AD129" i="29"/>
  <c r="AE263" i="29"/>
  <c r="AD445" i="29"/>
  <c r="AD155" i="29"/>
  <c r="AD517" i="29"/>
  <c r="AE65" i="29"/>
  <c r="AE483" i="29"/>
  <c r="AE27" i="29"/>
  <c r="AD128" i="29"/>
  <c r="AE294" i="29"/>
  <c r="AE443" i="29"/>
  <c r="AD402" i="29"/>
  <c r="AD427" i="29"/>
  <c r="AD86" i="29"/>
  <c r="AE35" i="29"/>
  <c r="AE305" i="29"/>
  <c r="AE88" i="29"/>
  <c r="AD525" i="29"/>
  <c r="AE230" i="29"/>
  <c r="AD429" i="29"/>
  <c r="AD377" i="29"/>
  <c r="AD88" i="29"/>
  <c r="AD550" i="29"/>
  <c r="AE546" i="29"/>
  <c r="AE146" i="29"/>
  <c r="AD185" i="29"/>
  <c r="AE29" i="29"/>
  <c r="AD284" i="29"/>
  <c r="AE262" i="29"/>
  <c r="AD589" i="29"/>
  <c r="AD342" i="29"/>
  <c r="AE549" i="29"/>
  <c r="AE270" i="29"/>
  <c r="AE243" i="29"/>
  <c r="AD143" i="29"/>
  <c r="AD351" i="29"/>
  <c r="AD521" i="29"/>
  <c r="AD302" i="29"/>
  <c r="AE472" i="29"/>
  <c r="AD55" i="29"/>
  <c r="AD301" i="29"/>
  <c r="AE550" i="29"/>
  <c r="AE116" i="29"/>
  <c r="AD229" i="29"/>
  <c r="AE317" i="29"/>
  <c r="AE462" i="29"/>
  <c r="AE257" i="29"/>
  <c r="AE423" i="29"/>
  <c r="AE509" i="29"/>
  <c r="AD438" i="29"/>
  <c r="AE373" i="29"/>
  <c r="AE612" i="29"/>
  <c r="AD576" i="29"/>
  <c r="AD498" i="29"/>
  <c r="AD565" i="29"/>
  <c r="AD568" i="29"/>
  <c r="AE85" i="29"/>
  <c r="AD50" i="29"/>
  <c r="AD366" i="29"/>
  <c r="AE220" i="29"/>
  <c r="AE515" i="29"/>
  <c r="AE167" i="29"/>
  <c r="AE274" i="29"/>
  <c r="AE359" i="29"/>
  <c r="AD24" i="29"/>
  <c r="AD394" i="29"/>
  <c r="AE522" i="29"/>
  <c r="AD160" i="29"/>
  <c r="AD148" i="29"/>
  <c r="AE238" i="29"/>
  <c r="AE406" i="29"/>
  <c r="AE561" i="29"/>
  <c r="AE422" i="29"/>
  <c r="AE375" i="29"/>
  <c r="AE336" i="29"/>
  <c r="AE592" i="29"/>
  <c r="AD277" i="29"/>
  <c r="AD59" i="29"/>
  <c r="AD157" i="29"/>
  <c r="AD244" i="29"/>
  <c r="AD139" i="29"/>
  <c r="AE202" i="29"/>
  <c r="AD312" i="29"/>
  <c r="AE545" i="29"/>
  <c r="AE301" i="29"/>
  <c r="AD534" i="29"/>
  <c r="AD90" i="29"/>
  <c r="AE413" i="29"/>
  <c r="AE487" i="29"/>
  <c r="AD522" i="29"/>
  <c r="AE247" i="29"/>
  <c r="AD416" i="29"/>
  <c r="AD100" i="29"/>
  <c r="AD272" i="29"/>
  <c r="AD442" i="29"/>
  <c r="AD164" i="29"/>
  <c r="AE502" i="29"/>
  <c r="AE218" i="29"/>
  <c r="AD462" i="29"/>
  <c r="AD413" i="29"/>
  <c r="AE602" i="29"/>
  <c r="AD239" i="29"/>
  <c r="AD348" i="29"/>
  <c r="AE371" i="29"/>
  <c r="AD541" i="29"/>
  <c r="AE599" i="29"/>
  <c r="AD207" i="29"/>
  <c r="AD296" i="29"/>
  <c r="AD183" i="29"/>
  <c r="AE273" i="29"/>
  <c r="AE136" i="29"/>
  <c r="AE430" i="29"/>
  <c r="AD430" i="29"/>
  <c r="AE477" i="29"/>
  <c r="AE417" i="29"/>
  <c r="AE609" i="29"/>
  <c r="AD361" i="29"/>
  <c r="AE510" i="29"/>
  <c r="AD386" i="29"/>
  <c r="AE437" i="29"/>
  <c r="AE165" i="29"/>
  <c r="AD248" i="29"/>
  <c r="AD374" i="29"/>
  <c r="AD479" i="29"/>
  <c r="AE607" i="29"/>
  <c r="AE528" i="29"/>
  <c r="AD597" i="29"/>
  <c r="AD531" i="29"/>
  <c r="AE75" i="29"/>
  <c r="AD197" i="29"/>
  <c r="AE339" i="29"/>
  <c r="AD71" i="29"/>
  <c r="AE296" i="29"/>
  <c r="AD98" i="29"/>
  <c r="AD101" i="29"/>
  <c r="AD103" i="29"/>
  <c r="AD108" i="29"/>
  <c r="AD27" i="29"/>
  <c r="AD518" i="29"/>
  <c r="AD333" i="29"/>
  <c r="AE112" i="29"/>
  <c r="AD280" i="29"/>
  <c r="AD495" i="29"/>
  <c r="AD217" i="29"/>
  <c r="AD182" i="29"/>
  <c r="AD242" i="29"/>
  <c r="AE360" i="29"/>
  <c r="AD570" i="29"/>
  <c r="AD309" i="29"/>
  <c r="AD188" i="29"/>
  <c r="AD226" i="29"/>
  <c r="AE80" i="29"/>
  <c r="AD209" i="29"/>
  <c r="AE552" i="29"/>
  <c r="AD613" i="29"/>
  <c r="AE276" i="29"/>
  <c r="AD369" i="29"/>
  <c r="AE553" i="29"/>
  <c r="AD571" i="29"/>
  <c r="AE529" i="29"/>
  <c r="AD153" i="29"/>
  <c r="AD359" i="29"/>
  <c r="AD381" i="29"/>
  <c r="AD85" i="29"/>
  <c r="AE464" i="29"/>
  <c r="AD138" i="29"/>
  <c r="AE63" i="29"/>
  <c r="AE53" i="29"/>
  <c r="AD449" i="29"/>
  <c r="AD232" i="29"/>
  <c r="AE393" i="29"/>
  <c r="AE506" i="29"/>
  <c r="AE340" i="29"/>
  <c r="AD527" i="29"/>
  <c r="AD323" i="29"/>
  <c r="AE196" i="29"/>
  <c r="AD109" i="29"/>
  <c r="AE215" i="29"/>
  <c r="AE303" i="29"/>
  <c r="AD448" i="29"/>
  <c r="AE171" i="29"/>
  <c r="AD125" i="29"/>
  <c r="AE329" i="29"/>
  <c r="AE139" i="29"/>
  <c r="AD516" i="29"/>
  <c r="AD436" i="29"/>
  <c r="AE67" i="29"/>
  <c r="AD383" i="29"/>
  <c r="AE131" i="29"/>
  <c r="AD387" i="29"/>
  <c r="AE144" i="29"/>
  <c r="AD163" i="29"/>
  <c r="AE518" i="29"/>
  <c r="AD588" i="29"/>
  <c r="AE318" i="29"/>
  <c r="AD468" i="29"/>
  <c r="AD492" i="29"/>
  <c r="AD228" i="29"/>
  <c r="AD47" i="29"/>
  <c r="AD256" i="29"/>
  <c r="AE147" i="29"/>
  <c r="AE169" i="29"/>
  <c r="AD134" i="29"/>
  <c r="AE345" i="29"/>
  <c r="AD223" i="29"/>
  <c r="AE49" i="29"/>
  <c r="AE313" i="29"/>
  <c r="AD500" i="29"/>
  <c r="AD598" i="29"/>
  <c r="AD508" i="29"/>
  <c r="AE149" i="29"/>
  <c r="AD559" i="29"/>
  <c r="AD582" i="29"/>
  <c r="AE156" i="29"/>
  <c r="AD179" i="29"/>
  <c r="AE353" i="29"/>
  <c r="AD186" i="29"/>
  <c r="AE159" i="29"/>
  <c r="AD145" i="29"/>
  <c r="AE161" i="29"/>
  <c r="AE185" i="29"/>
  <c r="AE316" i="29"/>
  <c r="AE70" i="29"/>
  <c r="AD66" i="29"/>
  <c r="AE214" i="29"/>
  <c r="AE291" i="29"/>
  <c r="AE523" i="29"/>
  <c r="AD261" i="29"/>
  <c r="AE84" i="29"/>
  <c r="AD30" i="29"/>
  <c r="AE453" i="29"/>
  <c r="AE474" i="29"/>
  <c r="AD69" i="29"/>
  <c r="AE377" i="29"/>
  <c r="AE223" i="29"/>
  <c r="AD184" i="29"/>
  <c r="AD236" i="29"/>
  <c r="AE260" i="29"/>
  <c r="AE278" i="29"/>
  <c r="AD337" i="29"/>
  <c r="AE405" i="29"/>
  <c r="AD405" i="29"/>
  <c r="AD460" i="29"/>
  <c r="AD469" i="29"/>
  <c r="AE376" i="29"/>
  <c r="AE466" i="29"/>
  <c r="AD485" i="29"/>
  <c r="AD538" i="29"/>
  <c r="AD542" i="29"/>
  <c r="AD553" i="29"/>
  <c r="AE539" i="29"/>
  <c r="AD362" i="29"/>
  <c r="AD123" i="29"/>
  <c r="AE346" i="29"/>
  <c r="AE58" i="29"/>
  <c r="AE143" i="29"/>
  <c r="AE40" i="29"/>
  <c r="AE572" i="29"/>
  <c r="AE210" i="29"/>
  <c r="AE280" i="29"/>
  <c r="AE322" i="29"/>
  <c r="AD431" i="29"/>
  <c r="AD300" i="29"/>
  <c r="AD397" i="29"/>
  <c r="AD82" i="29"/>
  <c r="AD195" i="29"/>
  <c r="AE287" i="29"/>
  <c r="AD459" i="29"/>
  <c r="AE508" i="29"/>
  <c r="AE71" i="29"/>
  <c r="AE184" i="29"/>
  <c r="AD287" i="29"/>
  <c r="AD608" i="29"/>
  <c r="AE232" i="29"/>
  <c r="AE444" i="29"/>
  <c r="AE283" i="29"/>
  <c r="AD305" i="29"/>
  <c r="AE351" i="29"/>
  <c r="AE409" i="29"/>
  <c r="AD596" i="29"/>
  <c r="AD220" i="29"/>
  <c r="AD327" i="29"/>
  <c r="AE330" i="29"/>
  <c r="AE467" i="29"/>
  <c r="AE478" i="29"/>
  <c r="AD506" i="29"/>
  <c r="AE306" i="29"/>
  <c r="AD515" i="29"/>
  <c r="AD494" i="29"/>
  <c r="AD529" i="29"/>
  <c r="AD141" i="29"/>
  <c r="AD180" i="29"/>
  <c r="AD177" i="29"/>
  <c r="AD270" i="29"/>
  <c r="AE399" i="29"/>
  <c r="AD548" i="29"/>
  <c r="AD602" i="29"/>
  <c r="AD252" i="29"/>
  <c r="AE382" i="29"/>
  <c r="AD523" i="29"/>
  <c r="AE439" i="29"/>
  <c r="AD446" i="29"/>
  <c r="AE490" i="29"/>
  <c r="AE481" i="29"/>
  <c r="AD581" i="29"/>
  <c r="AD544" i="29"/>
  <c r="AD549" i="29"/>
  <c r="AE594" i="29"/>
  <c r="AD363" i="29"/>
  <c r="AE69" i="29"/>
  <c r="AE102" i="29"/>
  <c r="AD398" i="29"/>
  <c r="AD499" i="29"/>
  <c r="AE33" i="29"/>
  <c r="AE290" i="29"/>
  <c r="AE125" i="29"/>
  <c r="AD208" i="29"/>
  <c r="AE310" i="29"/>
  <c r="AD412" i="29"/>
  <c r="AE155" i="29"/>
  <c r="AD403" i="29"/>
  <c r="AD497" i="29"/>
  <c r="AE141" i="29"/>
  <c r="AE231" i="29"/>
  <c r="AD322" i="29"/>
  <c r="AE45" i="29"/>
  <c r="AE118" i="29"/>
  <c r="AE173" i="29"/>
  <c r="AD292" i="29"/>
  <c r="AD310" i="29"/>
  <c r="AE266" i="29"/>
  <c r="AE192" i="29"/>
  <c r="AD202" i="29"/>
  <c r="AE256" i="29"/>
  <c r="AE341" i="29"/>
  <c r="AD376" i="29"/>
  <c r="AE429" i="29"/>
  <c r="AD587" i="29"/>
  <c r="AE97" i="29"/>
  <c r="AE182" i="29"/>
  <c r="AE259" i="29"/>
  <c r="AD249" i="29"/>
  <c r="AD295" i="29"/>
  <c r="AD320" i="29"/>
  <c r="AE411" i="29"/>
  <c r="AE449" i="29"/>
  <c r="AD545" i="29"/>
  <c r="AD512" i="29"/>
  <c r="AE568" i="29"/>
  <c r="AD135" i="29"/>
  <c r="AD142" i="29"/>
  <c r="AD222" i="29"/>
  <c r="AD289" i="29"/>
  <c r="AE361" i="29"/>
  <c r="AD378" i="29"/>
  <c r="AD592" i="29"/>
  <c r="AE59" i="29"/>
  <c r="AD122" i="29"/>
  <c r="AD212" i="29"/>
  <c r="AD274" i="29"/>
  <c r="AD319" i="29"/>
  <c r="AE293" i="29"/>
  <c r="AD475" i="29"/>
  <c r="AE61" i="29"/>
  <c r="AE242" i="29"/>
  <c r="AE324" i="29"/>
  <c r="AE343" i="29"/>
  <c r="AD455" i="29"/>
  <c r="AD507" i="29"/>
  <c r="AE560" i="29"/>
  <c r="AD601" i="29"/>
  <c r="AD441" i="29"/>
  <c r="AE454" i="29"/>
  <c r="AE533" i="29"/>
  <c r="AD605" i="29"/>
  <c r="AD595" i="29"/>
  <c r="AD530" i="29"/>
  <c r="AD578" i="29"/>
  <c r="AD585" i="29"/>
  <c r="AD356" i="29"/>
  <c r="AD140" i="29"/>
  <c r="AE142" i="29"/>
  <c r="AE404" i="29"/>
  <c r="AD246" i="29"/>
  <c r="AE349" i="29"/>
  <c r="AD465" i="29"/>
  <c r="AD563" i="29"/>
  <c r="AE573" i="29"/>
  <c r="AD150" i="29"/>
  <c r="AD265" i="29"/>
  <c r="AD461" i="29"/>
  <c r="AE469" i="29"/>
  <c r="AD20" i="29"/>
  <c r="AD18" i="29"/>
  <c r="AD61" i="29"/>
  <c r="AD78" i="29"/>
  <c r="AD87" i="29"/>
  <c r="AE412" i="29"/>
  <c r="AE95" i="29"/>
  <c r="AD502" i="29"/>
  <c r="AE119" i="29"/>
  <c r="AD97" i="29"/>
  <c r="AD147" i="29"/>
  <c r="AE174" i="29"/>
  <c r="AD269" i="29"/>
  <c r="AD336" i="29"/>
  <c r="AE585" i="29"/>
  <c r="AD156" i="29"/>
  <c r="AD241" i="29"/>
  <c r="AE441" i="29"/>
  <c r="AD504" i="29"/>
  <c r="AD133" i="29"/>
  <c r="AE222" i="29"/>
  <c r="AD368" i="29"/>
  <c r="AD389" i="29"/>
  <c r="AE501" i="29"/>
  <c r="AE190" i="29"/>
  <c r="AE267" i="29"/>
  <c r="AE94" i="29"/>
  <c r="AE111" i="29"/>
  <c r="AD154" i="29"/>
  <c r="AD275" i="29"/>
  <c r="AE308" i="29"/>
  <c r="AE493" i="29"/>
  <c r="AE540" i="29"/>
  <c r="AE19" i="29"/>
  <c r="AE279" i="29"/>
  <c r="AD395" i="29"/>
  <c r="AE381" i="29"/>
  <c r="AD491" i="29"/>
  <c r="AE511" i="29"/>
  <c r="AE603" i="29"/>
  <c r="AE358" i="29"/>
  <c r="AD583" i="29"/>
  <c r="AD92" i="29"/>
  <c r="AD552" i="29"/>
  <c r="AD298" i="29"/>
  <c r="AD577" i="29"/>
  <c r="AE374" i="29"/>
  <c r="AE402" i="29"/>
  <c r="AD201" i="29"/>
  <c r="AD481" i="29"/>
  <c r="AE77" i="29"/>
  <c r="AE91" i="29"/>
  <c r="AD221" i="29"/>
  <c r="AE240" i="29"/>
  <c r="AD158" i="29"/>
  <c r="AD279" i="29"/>
  <c r="AD338" i="29"/>
  <c r="AE13" i="29"/>
  <c r="AE445" i="29"/>
  <c r="AE164" i="29"/>
  <c r="AD64" i="29"/>
  <c r="AE170" i="29"/>
  <c r="AD196" i="29"/>
  <c r="AE300" i="29"/>
  <c r="AD118" i="29"/>
  <c r="AE86" i="29"/>
  <c r="AD227" i="29"/>
  <c r="AD136" i="29"/>
  <c r="AD325" i="29"/>
  <c r="AE323" i="29"/>
  <c r="AD380" i="29"/>
  <c r="AE350" i="29"/>
  <c r="AE193" i="29"/>
  <c r="AD211" i="29"/>
  <c r="AE344" i="29"/>
  <c r="AE583" i="29"/>
  <c r="AD324" i="29"/>
  <c r="AD474" i="29"/>
  <c r="AE221" i="29"/>
  <c r="AE127" i="29"/>
  <c r="AE55" i="29"/>
  <c r="AE137" i="29"/>
  <c r="AD344" i="29"/>
  <c r="AE272" i="29"/>
  <c r="AE271" i="29"/>
  <c r="AE130" i="29"/>
  <c r="AE372" i="29"/>
  <c r="AD159" i="29"/>
  <c r="AE133" i="29"/>
  <c r="AD258" i="29"/>
  <c r="AD260" i="29"/>
  <c r="AD353" i="29"/>
  <c r="AE334" i="29"/>
  <c r="AE338" i="29"/>
  <c r="AD364" i="29"/>
  <c r="AE390" i="29"/>
  <c r="AE426" i="29"/>
  <c r="AD421" i="29"/>
  <c r="AE485" i="29"/>
  <c r="AE387" i="29"/>
  <c r="AD482" i="29"/>
  <c r="AD526" i="29"/>
  <c r="AD404" i="29"/>
  <c r="AE398" i="29"/>
  <c r="AE504" i="29"/>
  <c r="AD466" i="29"/>
  <c r="AE578" i="29"/>
  <c r="AE74" i="29"/>
  <c r="AD470" i="29"/>
  <c r="AE554" i="29"/>
  <c r="AD347" i="29"/>
  <c r="AE289" i="29"/>
  <c r="AD112" i="29"/>
  <c r="AE177" i="29"/>
  <c r="AD231" i="29"/>
  <c r="AE56" i="29"/>
  <c r="AD96" i="29"/>
  <c r="AE16" i="29"/>
  <c r="AD77" i="29"/>
  <c r="AD39" i="29"/>
  <c r="AD73" i="29"/>
  <c r="AD117" i="29"/>
  <c r="AD13" i="29"/>
  <c r="AD162" i="29"/>
  <c r="AD255" i="29"/>
  <c r="AD352" i="29"/>
  <c r="AD554" i="29"/>
  <c r="AE251" i="29"/>
  <c r="AE286" i="29"/>
  <c r="AD555" i="29"/>
  <c r="AE106" i="29"/>
  <c r="AD204" i="29"/>
  <c r="AD447" i="29"/>
  <c r="AD99" i="29"/>
  <c r="AE499" i="29"/>
  <c r="AD556" i="29"/>
  <c r="AD48" i="29"/>
  <c r="AE64" i="29"/>
  <c r="AD225" i="29"/>
  <c r="AE598" i="29"/>
  <c r="AD132" i="29"/>
  <c r="AD146" i="29"/>
  <c r="AE216" i="29"/>
  <c r="AE275" i="29"/>
  <c r="AE288" i="29"/>
  <c r="AE543" i="29"/>
  <c r="AD562" i="29"/>
  <c r="AE96" i="29"/>
  <c r="AE198" i="29"/>
  <c r="AD343" i="29"/>
  <c r="AE281" i="29"/>
  <c r="AE36" i="29"/>
  <c r="AD15" i="29"/>
  <c r="AD16" i="29"/>
  <c r="AE31" i="29"/>
  <c r="AE295" i="29"/>
  <c r="AD131" i="29"/>
  <c r="AE228" i="29"/>
  <c r="AE248" i="29"/>
  <c r="AE386" i="29"/>
  <c r="AE452" i="29"/>
  <c r="AE252" i="29"/>
  <c r="AE611" i="29"/>
  <c r="AE41" i="29"/>
  <c r="AD308" i="29"/>
  <c r="AD433" i="29"/>
  <c r="AE601" i="29"/>
  <c r="AD237" i="29"/>
  <c r="AD254" i="29"/>
  <c r="AE309" i="29"/>
  <c r="AD524" i="29"/>
  <c r="AE117" i="29"/>
  <c r="AE194" i="29"/>
  <c r="AD335" i="29"/>
  <c r="AE455" i="29"/>
  <c r="AD406" i="29"/>
  <c r="AE530" i="29"/>
  <c r="AD569" i="29"/>
  <c r="AE107" i="29"/>
  <c r="AE160" i="29"/>
  <c r="AD200" i="29"/>
  <c r="AD191" i="29"/>
  <c r="AD247" i="29"/>
  <c r="AD611" i="29"/>
  <c r="AE93" i="29"/>
  <c r="AD161" i="29"/>
  <c r="AE255" i="29"/>
  <c r="AD291" i="29"/>
  <c r="AD346" i="29"/>
  <c r="AE367" i="29"/>
  <c r="AE384" i="29"/>
  <c r="AD75" i="29"/>
  <c r="AD399" i="29"/>
  <c r="AD539" i="29"/>
  <c r="AD551" i="29"/>
  <c r="AE105" i="29"/>
  <c r="AE195" i="29"/>
  <c r="AE44" i="29"/>
  <c r="AD33" i="29"/>
  <c r="AE157" i="29"/>
  <c r="AE108" i="29"/>
  <c r="AD358" i="29"/>
  <c r="AE433" i="29"/>
  <c r="AD198" i="29"/>
  <c r="AE434" i="29"/>
  <c r="AE446" i="29"/>
  <c r="AD218" i="29"/>
  <c r="AD95" i="29"/>
  <c r="AE363" i="29"/>
  <c r="AE587" i="29"/>
  <c r="AE253" i="29"/>
  <c r="AD410" i="29"/>
  <c r="AE597" i="29"/>
  <c r="AE163" i="29"/>
  <c r="AD130" i="29"/>
  <c r="AE219" i="29"/>
  <c r="AE319" i="29"/>
  <c r="AE471" i="29"/>
  <c r="AD115" i="29"/>
  <c r="AE394" i="29"/>
  <c r="AE516" i="29"/>
  <c r="AD234" i="29"/>
  <c r="AD286" i="29"/>
  <c r="AD392" i="29"/>
  <c r="AE574" i="29"/>
  <c r="AE62" i="29"/>
  <c r="AE79" i="29"/>
  <c r="AD417" i="29"/>
  <c r="AD426" i="29"/>
  <c r="AD532" i="29"/>
  <c r="AD213" i="29"/>
  <c r="AE298" i="29"/>
  <c r="AE320" i="29"/>
  <c r="AD493" i="29"/>
  <c r="AD536" i="29"/>
  <c r="AD603" i="29"/>
  <c r="AE397" i="29"/>
  <c r="AD420" i="29"/>
  <c r="AE525" i="29"/>
  <c r="AD558" i="29"/>
  <c r="AE538" i="29"/>
  <c r="AD290" i="29"/>
  <c r="AD189" i="29"/>
  <c r="AE258" i="29"/>
  <c r="AD303" i="29"/>
  <c r="AE463" i="29"/>
  <c r="AE468" i="29"/>
  <c r="AE526" i="29"/>
  <c r="AE100" i="29"/>
  <c r="AE158" i="29"/>
  <c r="AE197" i="29"/>
  <c r="AE209" i="29"/>
  <c r="AE333" i="29"/>
  <c r="AD391" i="29"/>
  <c r="AD400" i="29"/>
  <c r="AD572" i="29"/>
  <c r="AE81" i="29"/>
  <c r="AE120" i="29"/>
  <c r="AE265" i="29"/>
  <c r="AE475" i="29"/>
  <c r="AD509" i="29"/>
  <c r="AD419" i="29"/>
  <c r="AD484" i="29"/>
  <c r="AE595" i="29"/>
  <c r="AD561" i="29"/>
  <c r="AE482" i="29"/>
  <c r="AD350" i="29"/>
  <c r="AD62" i="29"/>
  <c r="AE519" i="29"/>
  <c r="AE355" i="29"/>
  <c r="AE188" i="29"/>
  <c r="AE491" i="29"/>
  <c r="AD214" i="29"/>
  <c r="AD181" i="29"/>
  <c r="AD528" i="29"/>
  <c r="AD365" i="29"/>
  <c r="AE249" i="29"/>
  <c r="AD251" i="29"/>
  <c r="AD149" i="29"/>
  <c r="AE162" i="29"/>
  <c r="AD120" i="29"/>
  <c r="AD604" i="29"/>
  <c r="AD282" i="29"/>
  <c r="AD215" i="29"/>
  <c r="AE135" i="29"/>
  <c r="AD206" i="29"/>
  <c r="AD253" i="29"/>
  <c r="AD341" i="29"/>
  <c r="AD384" i="29"/>
  <c r="AD178" i="29"/>
  <c r="AD259" i="29"/>
  <c r="AD314" i="29"/>
  <c r="AD307" i="29"/>
  <c r="AE408" i="29"/>
  <c r="AD367" i="29"/>
  <c r="AE416" i="29"/>
  <c r="AE383" i="29"/>
  <c r="AD388" i="29"/>
  <c r="AD443" i="29"/>
  <c r="AE448" i="29"/>
  <c r="AD478" i="29"/>
  <c r="AE586" i="29"/>
  <c r="AD586" i="29"/>
  <c r="AD444" i="29"/>
  <c r="AD463" i="29"/>
  <c r="AE314" i="29"/>
  <c r="AD450" i="29"/>
  <c r="AE391" i="29"/>
  <c r="AD451" i="29"/>
  <c r="AE461" i="29"/>
  <c r="AD483" i="29"/>
  <c r="AE517" i="29"/>
  <c r="AE536" i="29"/>
  <c r="AE562" i="29"/>
  <c r="AD606" i="29"/>
  <c r="AE43" i="29"/>
  <c r="AD490" i="29"/>
  <c r="AD503" i="29"/>
  <c r="AD537" i="29"/>
  <c r="AD573" i="29"/>
  <c r="AE556" i="29"/>
  <c r="AE575" i="29"/>
  <c r="AE590" i="29"/>
  <c r="AE600" i="29"/>
  <c r="AD370" i="29"/>
  <c r="AE225" i="29"/>
  <c r="AD267" i="29"/>
  <c r="AE427" i="29"/>
  <c r="AE419" i="29"/>
  <c r="AE505" i="29"/>
  <c r="AE610" i="29"/>
  <c r="AD93" i="29"/>
  <c r="AE234" i="29"/>
  <c r="AD250" i="29"/>
  <c r="AD357" i="29"/>
  <c r="AD240" i="29"/>
  <c r="AE489" i="29"/>
  <c r="AE570" i="29"/>
  <c r="AD53" i="29"/>
  <c r="AD169" i="29"/>
  <c r="AD230" i="29"/>
  <c r="AD574" i="29"/>
  <c r="AD192" i="29"/>
  <c r="AE148" i="29"/>
  <c r="AE392" i="29"/>
  <c r="AD411" i="29"/>
  <c r="AD457" i="29"/>
  <c r="AE495" i="29"/>
  <c r="AD546" i="29"/>
  <c r="AE327" i="29"/>
  <c r="AE576" i="29"/>
  <c r="AE207" i="29"/>
  <c r="AD14" i="29"/>
  <c r="AD19" i="29"/>
  <c r="AE54" i="29"/>
  <c r="AD285" i="29"/>
  <c r="AD137" i="29"/>
  <c r="AE312" i="29"/>
  <c r="AE531" i="29"/>
  <c r="AD36" i="29"/>
  <c r="AE153" i="29"/>
  <c r="AE124" i="29"/>
  <c r="AD264" i="29"/>
  <c r="AD401" i="29"/>
  <c r="AE28" i="29"/>
  <c r="AD60" i="29"/>
  <c r="AD28" i="29"/>
  <c r="AE203" i="29"/>
  <c r="AE421" i="29"/>
  <c r="AE325" i="29"/>
  <c r="AD84" i="29"/>
  <c r="AE199" i="29"/>
  <c r="AE236" i="29"/>
  <c r="AE282" i="29"/>
  <c r="AD600" i="29"/>
  <c r="AE87" i="29"/>
  <c r="AD172" i="29"/>
  <c r="AE237" i="29"/>
  <c r="AE299" i="29"/>
  <c r="AD360" i="29"/>
  <c r="AD224" i="29"/>
  <c r="AE284" i="29"/>
  <c r="AE385" i="29"/>
  <c r="AD171" i="29"/>
  <c r="AE99" i="29"/>
  <c r="AE584" i="29"/>
  <c r="AE109" i="29"/>
  <c r="AE208" i="29"/>
  <c r="AD331" i="29"/>
  <c r="AD235" i="29"/>
  <c r="AD293" i="29"/>
  <c r="AD453" i="29"/>
  <c r="AD486" i="29"/>
  <c r="AE113" i="29"/>
  <c r="AD276" i="29"/>
  <c r="AE342" i="29"/>
  <c r="AD520" i="29"/>
  <c r="AE285" i="29"/>
  <c r="AE450" i="29"/>
  <c r="AE172" i="29"/>
  <c r="AE201" i="29"/>
  <c r="AE337" i="29"/>
  <c r="AE154" i="29"/>
  <c r="AE50" i="29"/>
  <c r="AD35" i="29"/>
  <c r="AD238" i="29"/>
  <c r="AD127" i="29"/>
  <c r="AE168" i="29"/>
  <c r="AD467" i="29"/>
  <c r="AE532" i="29"/>
  <c r="AD476" i="29"/>
  <c r="AE331" i="29"/>
  <c r="AD91" i="29"/>
  <c r="AE150" i="29"/>
  <c r="AD80" i="29"/>
  <c r="AE401" i="29"/>
  <c r="AE565" i="29"/>
  <c r="AD151" i="29"/>
  <c r="AD294" i="29"/>
  <c r="AD330" i="29"/>
  <c r="AD464" i="29"/>
  <c r="AD266" i="29"/>
  <c r="AD281" i="29"/>
  <c r="AE608" i="29"/>
  <c r="AE82" i="29"/>
  <c r="AD174" i="29"/>
  <c r="AE292" i="29"/>
  <c r="AE432" i="29"/>
  <c r="AE488" i="29"/>
  <c r="AE175" i="29"/>
  <c r="AE227" i="29"/>
  <c r="AE438" i="29"/>
  <c r="AE364" i="29"/>
  <c r="AE520" i="29"/>
  <c r="AD579" i="29"/>
  <c r="AE368" i="29"/>
  <c r="AD315" i="29"/>
  <c r="AD326" i="29"/>
  <c r="AE347" i="29"/>
  <c r="AE365" i="29"/>
  <c r="AD396" i="29"/>
  <c r="AD382" i="29"/>
  <c r="AE582" i="29"/>
  <c r="AE181" i="29"/>
  <c r="AD340" i="29"/>
  <c r="AE447" i="29"/>
  <c r="AD423" i="29"/>
  <c r="AE110" i="29"/>
  <c r="AD262" i="29"/>
  <c r="AE302" i="29"/>
  <c r="AD511" i="29"/>
  <c r="AE189" i="29"/>
  <c r="AD173" i="29"/>
  <c r="AE388" i="29"/>
  <c r="AE604" i="29"/>
  <c r="AE126" i="29"/>
  <c r="AE204" i="29"/>
  <c r="AE268" i="29"/>
  <c r="AD311" i="29"/>
  <c r="AE335" i="29"/>
  <c r="AD471" i="29"/>
  <c r="AE555" i="29"/>
  <c r="AE68" i="29"/>
  <c r="AE211" i="29"/>
  <c r="AE229" i="29"/>
  <c r="AD317" i="29"/>
  <c r="AE414" i="29"/>
  <c r="AE436" i="29"/>
  <c r="AD373" i="29"/>
  <c r="AE378" i="29"/>
  <c r="AD379" i="29"/>
  <c r="AE456" i="29"/>
  <c r="AD472" i="29"/>
  <c r="AD560" i="29"/>
  <c r="AD121" i="29"/>
  <c r="AE60" i="29"/>
  <c r="AE473" i="29"/>
  <c r="AE496" i="29"/>
  <c r="AE535" i="29"/>
  <c r="AD575" i="29"/>
  <c r="AD599" i="29"/>
  <c r="AE72" i="29"/>
  <c r="AE66" i="29"/>
  <c r="AE83" i="29"/>
  <c r="AD152" i="29"/>
  <c r="AD126" i="29"/>
  <c r="AD216" i="29"/>
  <c r="AE233" i="29"/>
  <c r="AD321" i="29"/>
  <c r="AD415" i="29"/>
  <c r="AE440" i="29"/>
  <c r="AE500" i="29"/>
  <c r="AE588" i="29"/>
  <c r="AE326" i="29"/>
  <c r="AD332" i="29"/>
  <c r="AE380" i="29"/>
  <c r="AD533" i="29"/>
  <c r="AE581" i="29"/>
  <c r="AD607" i="29"/>
  <c r="AE524" i="29"/>
  <c r="AD205" i="29"/>
  <c r="AE17" i="29"/>
  <c r="AE465" i="29"/>
  <c r="AE128" i="29"/>
  <c r="AE395" i="29"/>
  <c r="AD219" i="29"/>
  <c r="AD119" i="29"/>
  <c r="AD564" i="29"/>
  <c r="AD407" i="29"/>
  <c r="AD390" i="29"/>
  <c r="AE179" i="29"/>
  <c r="AD175" i="29"/>
  <c r="AE176" i="29"/>
  <c r="AE114" i="29"/>
  <c r="AD372" i="29"/>
  <c r="AE311" i="29"/>
  <c r="AE213" i="29"/>
  <c r="AE224" i="29"/>
  <c r="AD116" i="29"/>
  <c r="AE115" i="29"/>
  <c r="AD354" i="29"/>
  <c r="AD245" i="29"/>
  <c r="AE187" i="29"/>
  <c r="AE90" i="29"/>
  <c r="AD190" i="29"/>
  <c r="AD271" i="29"/>
  <c r="AD355" i="29"/>
  <c r="AE352" i="29"/>
  <c r="AE577" i="29"/>
  <c r="AE246" i="29"/>
  <c r="AD278" i="29"/>
  <c r="AD328" i="29"/>
  <c r="AD375" i="29"/>
  <c r="AE354" i="29"/>
  <c r="AE348" i="29"/>
  <c r="AD434" i="29"/>
  <c r="AE400" i="29"/>
  <c r="AD488" i="29"/>
  <c r="AE544" i="29"/>
  <c r="AE403" i="29"/>
  <c r="AD393" i="29"/>
  <c r="AD428" i="29"/>
  <c r="AE563" i="29"/>
  <c r="AE362" i="29"/>
  <c r="AE356" i="29"/>
  <c r="AD435" i="29"/>
  <c r="AE470" i="29"/>
  <c r="AD473" i="29"/>
  <c r="AD510" i="29"/>
  <c r="AE579" i="29"/>
  <c r="AD543" i="29"/>
  <c r="AE569" i="29"/>
  <c r="AD501" i="29"/>
  <c r="AD496" i="29"/>
  <c r="AE498" i="29"/>
  <c r="AE541" i="29"/>
  <c r="AE593" i="29"/>
  <c r="AD584" i="29"/>
  <c r="AE486" i="29"/>
  <c r="AD540" i="29"/>
  <c r="AE605" i="29"/>
  <c r="AD422" i="29"/>
  <c r="AE166" i="29"/>
  <c r="AE200" i="29"/>
  <c r="AD273" i="29"/>
  <c r="AE357" i="29"/>
  <c r="AE591" i="29"/>
  <c r="AE321" i="29"/>
  <c r="AD612" i="29"/>
  <c r="AE460" i="29"/>
  <c r="AE264" i="29"/>
  <c r="AE140" i="29"/>
  <c r="AE92" i="29"/>
  <c r="AD167" i="29"/>
  <c r="AE418" i="29"/>
  <c r="AE503" i="29"/>
  <c r="AE205" i="29"/>
  <c r="AD339" i="29"/>
  <c r="AE435" i="29"/>
  <c r="AD456" i="29"/>
  <c r="AE442" i="29"/>
  <c r="AE178" i="29"/>
  <c r="AE332" i="29"/>
  <c r="AD505" i="29"/>
  <c r="AE121" i="29"/>
  <c r="AD176" i="29"/>
  <c r="AE407" i="29"/>
  <c r="AE239" i="29"/>
  <c r="AE261" i="29"/>
  <c r="AD349" i="29"/>
  <c r="AE596" i="29"/>
  <c r="AE104" i="29"/>
  <c r="AE180" i="29"/>
  <c r="AE206" i="29"/>
  <c r="AD316" i="29"/>
  <c r="AE497" i="29"/>
  <c r="AE551" i="29"/>
  <c r="AD44" i="29"/>
  <c r="AE369" i="29"/>
  <c r="AE534" i="29"/>
  <c r="AE613" i="29"/>
  <c r="AE47" i="29"/>
  <c r="AE559" i="29"/>
  <c r="AD580" i="29"/>
  <c r="AE21" i="29"/>
  <c r="AD56" i="29"/>
  <c r="AD124" i="29"/>
  <c r="AE379" i="29"/>
  <c r="AD418" i="29"/>
  <c r="AE245" i="29"/>
  <c r="AE269" i="29"/>
  <c r="AE537" i="29"/>
  <c r="AD477" i="29"/>
  <c r="AD110" i="29"/>
  <c r="AE103" i="29"/>
  <c r="AD187" i="29"/>
  <c r="AD243" i="29"/>
  <c r="AD454" i="29"/>
  <c r="AD567" i="29"/>
  <c r="AE151" i="29"/>
  <c r="AE304" i="29"/>
  <c r="AE410" i="29"/>
  <c r="AE514" i="29"/>
  <c r="AD385" i="29"/>
  <c r="AD535" i="29"/>
  <c r="AD594" i="29"/>
  <c r="AD263" i="29"/>
  <c r="AD329" i="29"/>
  <c r="AE420" i="29"/>
  <c r="AE129" i="29"/>
  <c r="AE480" i="29"/>
  <c r="AD513" i="29"/>
  <c r="AE547" i="29"/>
  <c r="AE580" i="29"/>
  <c r="AD106" i="29"/>
  <c r="AE212" i="29"/>
  <c r="AD313" i="29"/>
  <c r="AE415" i="29"/>
  <c r="AE484" i="29"/>
  <c r="AE548" i="29"/>
  <c r="AE51" i="29"/>
  <c r="AD299" i="29"/>
  <c r="AE89" i="29"/>
  <c r="AE226" i="29"/>
  <c r="AE366" i="29"/>
  <c r="AE101" i="29"/>
  <c r="AE315" i="29"/>
  <c r="AE431" i="29"/>
  <c r="AD165" i="29"/>
  <c r="AD199" i="29"/>
  <c r="AD89" i="29"/>
  <c r="AD233" i="29"/>
  <c r="AD345" i="29"/>
  <c r="AE494" i="29"/>
  <c r="AE235" i="29"/>
  <c r="AE370" i="29"/>
  <c r="AE123" i="29"/>
  <c r="AD288" i="29"/>
  <c r="AE458" i="29"/>
  <c r="AD409" i="29"/>
  <c r="AE191" i="29"/>
  <c r="AE307" i="29"/>
  <c r="AD439" i="29"/>
  <c r="AE566" i="29"/>
  <c r="AD168" i="29"/>
  <c r="AD63" i="29"/>
  <c r="AE32" i="29"/>
  <c r="AD26" i="29"/>
  <c r="AD67" i="29"/>
  <c r="AD22" i="29"/>
  <c r="AD79" i="29"/>
  <c r="AE23" i="29"/>
  <c r="AD107" i="29"/>
  <c r="AD68" i="29"/>
  <c r="AD25" i="29"/>
  <c r="AD105" i="29"/>
  <c r="AD74" i="29"/>
  <c r="AD65" i="29"/>
  <c r="AD41" i="29"/>
  <c r="AE39" i="29"/>
  <c r="AE20" i="29"/>
  <c r="AD40" i="29"/>
  <c r="AD21" i="29"/>
  <c r="AD37" i="29"/>
  <c r="AD83" i="29"/>
  <c r="AD46" i="29"/>
  <c r="AE122" i="29"/>
  <c r="AD32" i="29"/>
  <c r="AE78" i="29"/>
  <c r="AD111" i="29"/>
  <c r="AD81" i="29"/>
  <c r="AD72" i="29"/>
  <c r="AD52" i="29"/>
  <c r="AD17" i="29"/>
  <c r="AE138" i="29"/>
  <c r="AD76" i="29"/>
  <c r="AD42" i="29"/>
  <c r="AD45" i="29"/>
  <c r="AD51" i="29"/>
  <c r="AD54" i="29"/>
  <c r="AD94" i="29"/>
  <c r="Q625" i="29"/>
  <c r="AD49" i="29"/>
  <c r="AD43" i="29"/>
  <c r="AD57" i="29"/>
  <c r="AD29" i="29"/>
  <c r="U625" i="29"/>
  <c r="AE24" i="29"/>
  <c r="AE15" i="29"/>
  <c r="AD34" i="29"/>
  <c r="AD58" i="29"/>
  <c r="AD113" i="29"/>
  <c r="AD104" i="29"/>
  <c r="AE48" i="29"/>
  <c r="AD23" i="29"/>
  <c r="AE14" i="29"/>
  <c r="T625" i="29"/>
  <c r="P625" i="29"/>
  <c r="V625" i="29"/>
  <c r="AD31" i="29"/>
  <c r="R625" i="29"/>
  <c r="O625" i="29"/>
  <c r="S625" i="29"/>
  <c r="AD38" i="29"/>
  <c r="AE52" i="29"/>
  <c r="AE626" i="29"/>
  <c r="AD626" i="29"/>
  <c r="AE624" i="29" l="1"/>
  <c r="AD624" i="29"/>
  <c r="AE625" i="29"/>
  <c r="AD625" i="29"/>
  <c r="D37" i="19" l="1"/>
  <c r="N108" i="24" l="1"/>
  <c r="B54" i="19" l="1"/>
  <c r="D54" i="19" s="1"/>
  <c r="D42" i="19"/>
  <c r="B206" i="2"/>
  <c r="EX1" i="24" s="1"/>
  <c r="BT1" i="24" l="1"/>
  <c r="B97" i="2" l="1"/>
  <c r="M10" i="1"/>
  <c r="K10" i="1"/>
  <c r="B18" i="2" l="1"/>
  <c r="CK212" i="25" s="1"/>
  <c r="B28" i="19"/>
  <c r="D28" i="19" s="1"/>
  <c r="B49" i="19"/>
  <c r="D49" i="19" s="1"/>
  <c r="EQ216" i="25" l="1"/>
  <c r="ES216" i="24"/>
  <c r="EV216" i="24" s="1"/>
  <c r="BO216" i="24"/>
  <c r="BR216" i="24" s="1"/>
  <c r="CK112" i="25"/>
  <c r="L105" i="2"/>
  <c r="G83" i="2"/>
  <c r="EQ110" i="25"/>
  <c r="ES110" i="24"/>
  <c r="EV110" i="24" s="1"/>
  <c r="CQ1" i="24"/>
  <c r="CK287" i="25"/>
  <c r="CK201" i="25"/>
  <c r="CK186" i="25"/>
  <c r="CK172" i="25"/>
  <c r="CK147" i="25"/>
  <c r="CK143" i="25"/>
  <c r="CK118" i="25"/>
  <c r="CK94" i="25"/>
  <c r="CK54" i="25"/>
  <c r="CK46" i="25"/>
  <c r="CK302" i="25"/>
  <c r="CK297" i="25"/>
  <c r="CK292" i="25"/>
  <c r="CK289" i="25"/>
  <c r="CK280" i="25"/>
  <c r="CK261" i="25"/>
  <c r="CK249" i="25"/>
  <c r="CK228" i="25"/>
  <c r="CK225" i="25"/>
  <c r="CK222" i="25"/>
  <c r="CK219" i="25"/>
  <c r="CK199" i="25"/>
  <c r="CK197" i="25"/>
  <c r="CK194" i="25"/>
  <c r="CK191" i="25"/>
  <c r="CK161" i="25"/>
  <c r="CK157" i="25"/>
  <c r="CK139" i="25"/>
  <c r="CK127" i="25"/>
  <c r="CK124" i="25"/>
  <c r="CK113" i="25"/>
  <c r="CK104" i="25"/>
  <c r="CK98" i="25"/>
  <c r="CK96" i="25"/>
  <c r="CK92" i="25"/>
  <c r="CK83" i="25"/>
  <c r="CK81" i="25"/>
  <c r="CK79" i="25"/>
  <c r="CK65" i="25"/>
  <c r="CK23" i="25"/>
  <c r="CK17" i="25"/>
  <c r="CK13" i="25"/>
  <c r="CK314" i="25"/>
  <c r="CK282" i="25"/>
  <c r="CK278" i="25"/>
  <c r="CK272" i="25"/>
  <c r="CK267" i="25"/>
  <c r="CK265" i="25"/>
  <c r="CK263" i="25"/>
  <c r="CK253" i="25"/>
  <c r="CK242" i="25"/>
  <c r="CK233" i="25"/>
  <c r="CK206" i="25"/>
  <c r="CK183" i="25"/>
  <c r="CK179" i="25"/>
  <c r="CK177" i="25"/>
  <c r="CK170" i="25"/>
  <c r="CK150" i="25"/>
  <c r="CK137" i="25"/>
  <c r="CK119" i="25"/>
  <c r="CK87" i="25"/>
  <c r="CK85" i="25"/>
  <c r="CK76" i="25"/>
  <c r="CK72" i="25"/>
  <c r="CK269" i="25"/>
  <c r="CK251" i="25"/>
  <c r="CK230" i="25"/>
  <c r="CK181" i="25"/>
  <c r="CK168" i="25"/>
  <c r="CK164" i="25"/>
  <c r="CK130" i="25"/>
  <c r="CK116" i="25"/>
  <c r="CK74" i="25"/>
  <c r="CK316" i="25"/>
  <c r="CK311" i="25"/>
  <c r="CK309" i="25"/>
  <c r="CK301" i="25"/>
  <c r="CK299" i="25"/>
  <c r="CK294" i="25"/>
  <c r="CK291" i="25"/>
  <c r="CK288" i="25"/>
  <c r="CK286" i="25"/>
  <c r="CK284" i="25"/>
  <c r="CK275" i="25"/>
  <c r="CK258" i="25"/>
  <c r="CK256" i="25"/>
  <c r="CK246" i="25"/>
  <c r="CK244" i="25"/>
  <c r="CK237" i="25"/>
  <c r="CK235" i="25"/>
  <c r="CK224" i="25"/>
  <c r="CK216" i="25"/>
  <c r="CK208" i="25"/>
  <c r="CK204" i="25"/>
  <c r="CK195" i="25"/>
  <c r="CK189" i="25"/>
  <c r="CK185" i="25"/>
  <c r="CK175" i="25"/>
  <c r="CK166" i="25"/>
  <c r="CK160" i="25"/>
  <c r="CK156" i="25"/>
  <c r="CK153" i="25"/>
  <c r="CK122" i="25"/>
  <c r="CK111" i="25"/>
  <c r="CK110" i="25"/>
  <c r="CK89" i="25"/>
  <c r="CK38" i="25"/>
  <c r="CK31" i="25"/>
  <c r="CK27" i="25"/>
  <c r="CK25" i="25"/>
  <c r="CK12" i="25"/>
  <c r="CK10" i="25"/>
  <c r="CK290" i="25"/>
  <c r="CK277" i="25"/>
  <c r="CK254" i="25"/>
  <c r="CK227" i="25"/>
  <c r="CK200" i="25"/>
  <c r="CK196" i="25"/>
  <c r="CK159" i="25"/>
  <c r="CK138" i="25"/>
  <c r="CK120" i="25"/>
  <c r="CK97" i="25"/>
  <c r="CK93" i="25"/>
  <c r="CK80" i="25"/>
  <c r="CK62" i="25"/>
  <c r="CK53" i="25"/>
  <c r="CK42" i="25"/>
  <c r="CK33" i="25"/>
  <c r="CK24" i="25"/>
  <c r="CK313" i="25"/>
  <c r="CK306" i="25"/>
  <c r="CK304" i="25"/>
  <c r="CK296" i="25"/>
  <c r="CK248" i="25"/>
  <c r="CK239" i="25"/>
  <c r="CK232" i="25"/>
  <c r="CK221" i="25"/>
  <c r="CK218" i="25"/>
  <c r="CK202" i="25"/>
  <c r="CK192" i="25"/>
  <c r="CK187" i="25"/>
  <c r="CK173" i="25"/>
  <c r="CK163" i="25"/>
  <c r="CK148" i="25"/>
  <c r="CK146" i="25"/>
  <c r="CK144" i="25"/>
  <c r="CK142" i="25"/>
  <c r="CK140" i="25"/>
  <c r="CK135" i="25"/>
  <c r="CK133" i="25"/>
  <c r="CK128" i="25"/>
  <c r="CK125" i="25"/>
  <c r="CK114" i="25"/>
  <c r="CK103" i="25"/>
  <c r="CK101" i="25"/>
  <c r="CK95" i="25"/>
  <c r="CK91" i="25"/>
  <c r="CK68" i="25"/>
  <c r="CK66" i="25"/>
  <c r="CK55" i="25"/>
  <c r="CK51" i="25"/>
  <c r="CK49" i="25"/>
  <c r="CK45" i="25"/>
  <c r="CK40" i="25"/>
  <c r="CK29" i="25"/>
  <c r="CK22" i="25"/>
  <c r="CK20" i="25"/>
  <c r="CK18" i="25"/>
  <c r="CK16" i="25"/>
  <c r="CK14" i="25"/>
  <c r="CK6" i="25"/>
  <c r="CK308" i="25"/>
  <c r="CK279" i="25"/>
  <c r="CK274" i="25"/>
  <c r="CK260" i="25"/>
  <c r="CK250" i="25"/>
  <c r="CK210" i="25"/>
  <c r="CK198" i="25"/>
  <c r="CK171" i="25"/>
  <c r="CK152" i="25"/>
  <c r="CK131" i="25"/>
  <c r="CK117" i="25"/>
  <c r="CK99" i="25"/>
  <c r="CK82" i="25"/>
  <c r="CK78" i="25"/>
  <c r="CK58" i="25"/>
  <c r="CK47" i="25"/>
  <c r="CK35" i="25"/>
  <c r="CK271" i="25"/>
  <c r="CK71" i="25"/>
  <c r="CK298" i="25"/>
  <c r="CK293" i="25"/>
  <c r="CK281" i="25"/>
  <c r="CK268" i="25"/>
  <c r="CK266" i="25"/>
  <c r="CK264" i="25"/>
  <c r="CK252" i="25"/>
  <c r="CK241" i="25"/>
  <c r="CK234" i="25"/>
  <c r="CK229" i="25"/>
  <c r="CK207" i="25"/>
  <c r="CK193" i="25"/>
  <c r="CK190" i="25"/>
  <c r="CK182" i="25"/>
  <c r="CK180" i="25"/>
  <c r="CK178" i="25"/>
  <c r="CK176" i="25"/>
  <c r="CK162" i="25"/>
  <c r="CK315" i="25"/>
  <c r="CK312" i="25"/>
  <c r="CK310" i="25"/>
  <c r="CK303" i="25"/>
  <c r="CK300" i="25"/>
  <c r="CK295" i="25"/>
  <c r="CK283" i="25"/>
  <c r="CK270" i="25"/>
  <c r="CK262" i="25"/>
  <c r="CK259" i="25"/>
  <c r="CK257" i="25"/>
  <c r="CK245" i="25"/>
  <c r="CK243" i="25"/>
  <c r="CK238" i="25"/>
  <c r="CK236" i="25"/>
  <c r="CK226" i="25"/>
  <c r="CK223" i="25"/>
  <c r="CK220" i="25"/>
  <c r="CK217" i="25"/>
  <c r="CK205" i="25"/>
  <c r="CK184" i="25"/>
  <c r="CK165" i="25"/>
  <c r="CK158" i="25"/>
  <c r="CK151" i="25"/>
  <c r="CK136" i="25"/>
  <c r="CK132" i="25"/>
  <c r="CK129" i="25"/>
  <c r="CK126" i="25"/>
  <c r="CK115" i="25"/>
  <c r="CK105" i="25"/>
  <c r="CK100" i="25"/>
  <c r="CK90" i="25"/>
  <c r="CK88" i="25"/>
  <c r="CK77" i="25"/>
  <c r="CK69" i="25"/>
  <c r="CK67" i="25"/>
  <c r="CK60" i="25"/>
  <c r="CK56" i="25"/>
  <c r="CK50" i="25"/>
  <c r="CK32" i="25"/>
  <c r="CK30" i="25"/>
  <c r="CK28" i="25"/>
  <c r="CK11" i="25"/>
  <c r="CK307" i="25"/>
  <c r="CK305" i="25"/>
  <c r="CK285" i="25"/>
  <c r="CK276" i="25"/>
  <c r="CK273" i="25"/>
  <c r="CK255" i="25"/>
  <c r="CK247" i="25"/>
  <c r="CK240" i="25"/>
  <c r="CK231" i="25"/>
  <c r="CK209" i="25"/>
  <c r="CK203" i="25"/>
  <c r="CK188" i="25"/>
  <c r="CK174" i="25"/>
  <c r="CK154" i="25"/>
  <c r="CK149" i="25"/>
  <c r="CK145" i="25"/>
  <c r="CK141" i="25"/>
  <c r="CK134" i="25"/>
  <c r="CK121" i="25"/>
  <c r="CK102" i="25"/>
  <c r="CK52" i="25"/>
  <c r="CK48" i="25"/>
  <c r="CK70" i="25"/>
  <c r="CK61" i="25"/>
  <c r="CK36" i="25"/>
  <c r="CK44" i="25"/>
  <c r="CK9" i="25"/>
  <c r="CK167" i="25"/>
  <c r="CK169" i="25"/>
  <c r="CK155" i="25"/>
  <c r="CK84" i="25"/>
  <c r="CK41" i="25"/>
  <c r="CK21" i="25"/>
  <c r="CK7" i="25"/>
  <c r="CK39" i="25"/>
  <c r="CK19" i="25"/>
  <c r="CK43" i="25"/>
  <c r="CK26" i="25"/>
  <c r="CK15" i="25"/>
  <c r="CK123" i="25"/>
  <c r="CK34" i="25"/>
  <c r="CK63" i="25"/>
  <c r="CK8" i="25"/>
  <c r="CK86" i="25"/>
  <c r="CK73" i="25"/>
  <c r="CK64" i="25"/>
  <c r="CK57" i="25"/>
  <c r="CK37" i="25"/>
  <c r="CK59" i="25"/>
  <c r="CK75" i="25"/>
  <c r="BO110" i="24"/>
  <c r="BR110" i="24" s="1"/>
  <c r="M1" i="24"/>
  <c r="K41" i="16" l="1"/>
  <c r="K40" i="16"/>
  <c r="K39" i="16"/>
  <c r="K33" i="16"/>
  <c r="J33" i="16"/>
  <c r="I33" i="16"/>
  <c r="H33" i="16"/>
  <c r="I34" i="16"/>
  <c r="H34" i="16"/>
  <c r="C41" i="16"/>
  <c r="D40" i="16"/>
  <c r="D39" i="16"/>
  <c r="J40" i="16"/>
  <c r="H40" i="16"/>
  <c r="J39" i="16"/>
  <c r="J50" i="16"/>
  <c r="I50" i="16"/>
  <c r="H50" i="16"/>
  <c r="A50" i="16"/>
  <c r="D42" i="16"/>
  <c r="D41" i="16"/>
  <c r="F245" i="2"/>
  <c r="K47" i="16"/>
  <c r="J47" i="16"/>
  <c r="I40" i="16"/>
  <c r="C40" i="16"/>
  <c r="B34" i="16"/>
  <c r="A40" i="16"/>
  <c r="B251" i="2"/>
  <c r="A33" i="16"/>
  <c r="K50" i="16"/>
  <c r="M14" i="1" l="1"/>
  <c r="A2" i="28"/>
  <c r="A2" i="22"/>
  <c r="B17" i="2"/>
  <c r="B16" i="2"/>
  <c r="C44" i="16" l="1"/>
  <c r="D44" i="16"/>
  <c r="CM212" i="25"/>
  <c r="N322" i="25"/>
  <c r="CM112" i="25"/>
  <c r="CM5" i="25"/>
  <c r="CM273" i="25"/>
  <c r="CM261" i="25"/>
  <c r="CM298" i="25"/>
  <c r="CM305" i="25"/>
  <c r="CM301" i="25"/>
  <c r="CM307" i="25"/>
  <c r="CM309" i="25"/>
  <c r="CM240" i="25"/>
  <c r="CM284" i="25"/>
  <c r="CM220" i="25"/>
  <c r="CM286" i="25"/>
  <c r="CM223" i="25"/>
  <c r="CM269" i="25"/>
  <c r="CM198" i="25"/>
  <c r="CM162" i="25"/>
  <c r="CM102" i="25"/>
  <c r="CM158" i="25"/>
  <c r="CM66" i="25"/>
  <c r="CM159" i="25"/>
  <c r="CM151" i="25"/>
  <c r="CM7" i="25"/>
  <c r="CM71" i="25"/>
  <c r="CM25" i="25"/>
  <c r="CM85" i="25"/>
  <c r="CM34" i="25"/>
  <c r="CM135" i="25"/>
  <c r="CM202" i="25"/>
  <c r="CM35" i="25"/>
  <c r="CM140" i="25"/>
  <c r="CM160" i="25"/>
  <c r="CM97" i="25"/>
  <c r="CM11" i="25"/>
  <c r="CM77" i="25"/>
  <c r="CM30" i="25"/>
  <c r="CM170" i="25"/>
  <c r="CM26" i="25"/>
  <c r="CM218" i="25"/>
  <c r="CM226" i="25"/>
  <c r="CM285" i="25"/>
  <c r="CM260" i="25"/>
  <c r="CM243" i="25"/>
  <c r="CM278" i="25"/>
  <c r="CM245" i="25"/>
  <c r="CM233" i="25"/>
  <c r="CM217" i="25"/>
  <c r="CM311" i="25"/>
  <c r="CM259" i="25"/>
  <c r="CM316" i="25"/>
  <c r="CM262" i="25"/>
  <c r="CM263" i="25"/>
  <c r="CM116" i="25"/>
  <c r="CM130" i="25"/>
  <c r="CM113" i="25"/>
  <c r="CM6" i="25"/>
  <c r="CM72" i="25"/>
  <c r="CM56" i="25"/>
  <c r="CM133" i="25"/>
  <c r="CM199" i="25"/>
  <c r="CM171" i="25"/>
  <c r="CM32" i="25"/>
  <c r="CM177" i="25"/>
  <c r="CM209" i="25"/>
  <c r="CM180" i="25"/>
  <c r="CM27" i="25"/>
  <c r="CM87" i="25"/>
  <c r="CM147" i="25"/>
  <c r="CM144" i="25"/>
  <c r="CM123" i="25"/>
  <c r="CM67" i="25"/>
  <c r="CM83" i="25"/>
  <c r="CM101" i="25"/>
  <c r="CM92" i="25"/>
  <c r="CM45" i="25"/>
  <c r="CM13" i="25"/>
  <c r="CM43" i="25"/>
  <c r="CM78" i="25"/>
  <c r="CM114" i="25"/>
  <c r="CM139" i="25"/>
  <c r="CM146" i="25"/>
  <c r="CM294" i="25"/>
  <c r="CM52" i="25"/>
  <c r="CM194" i="25"/>
  <c r="CM81" i="25"/>
  <c r="CM279" i="25"/>
  <c r="CM118" i="25"/>
  <c r="CM53" i="25"/>
  <c r="CM75" i="25"/>
  <c r="CM208" i="25"/>
  <c r="CM186" i="25"/>
  <c r="CM48" i="25"/>
  <c r="CM191" i="25"/>
  <c r="CM293" i="25"/>
  <c r="CM270" i="25"/>
  <c r="CM239" i="25"/>
  <c r="CM300" i="25"/>
  <c r="CM219" i="25"/>
  <c r="CM303" i="25"/>
  <c r="CM282" i="25"/>
  <c r="CM257" i="25"/>
  <c r="CM230" i="25"/>
  <c r="CM312" i="25"/>
  <c r="CM251" i="25"/>
  <c r="CM315" i="25"/>
  <c r="CM249" i="25"/>
  <c r="CM188" i="25"/>
  <c r="CM76" i="25"/>
  <c r="CM197" i="25"/>
  <c r="CM9" i="25"/>
  <c r="CM105" i="25"/>
  <c r="CM117" i="25"/>
  <c r="CM153" i="25"/>
  <c r="CM183" i="25"/>
  <c r="CM70" i="25"/>
  <c r="CM82" i="25"/>
  <c r="CM187" i="25"/>
  <c r="CM206" i="25"/>
  <c r="CM189" i="25"/>
  <c r="CM152" i="25"/>
  <c r="CM192" i="25"/>
  <c r="CM216" i="25"/>
  <c r="CM38" i="25"/>
  <c r="CM157" i="25"/>
  <c r="CM89" i="25"/>
  <c r="CM190" i="25"/>
  <c r="CM103" i="25"/>
  <c r="CM161" i="25"/>
  <c r="CM155" i="25"/>
  <c r="CM88" i="25"/>
  <c r="CM110" i="25"/>
  <c r="CM17" i="25"/>
  <c r="CM271" i="25"/>
  <c r="CM228" i="25"/>
  <c r="CM39" i="25"/>
  <c r="CM163" i="25"/>
  <c r="CM62" i="25"/>
  <c r="CM80" i="25"/>
  <c r="CM172" i="25"/>
  <c r="CM236" i="25"/>
  <c r="CM304" i="25"/>
  <c r="CM225" i="25"/>
  <c r="CM121" i="25"/>
  <c r="CM166" i="25"/>
  <c r="CM16" i="25"/>
  <c r="CM250" i="25"/>
  <c r="CM229" i="25"/>
  <c r="CM246" i="25"/>
  <c r="CM252" i="25"/>
  <c r="CM292" i="25"/>
  <c r="CM264" i="25"/>
  <c r="CM222" i="25"/>
  <c r="CM310" i="25"/>
  <c r="CM242" i="25"/>
  <c r="CM268" i="25"/>
  <c r="CM253" i="25"/>
  <c r="CM281" i="25"/>
  <c r="CM287" i="25"/>
  <c r="CM86" i="25"/>
  <c r="CM55" i="25"/>
  <c r="CM8" i="25"/>
  <c r="CM176" i="25"/>
  <c r="CM128" i="25"/>
  <c r="CM12" i="25"/>
  <c r="CM14" i="25"/>
  <c r="CM18" i="25"/>
  <c r="CM23" i="25"/>
  <c r="CM173" i="25"/>
  <c r="CM143" i="25"/>
  <c r="CM94" i="25"/>
  <c r="CM21" i="25"/>
  <c r="CM60" i="25"/>
  <c r="CM131" i="25"/>
  <c r="CM156" i="25"/>
  <c r="CM145" i="25"/>
  <c r="CM41" i="25"/>
  <c r="CM126" i="25"/>
  <c r="CM248" i="25"/>
  <c r="CM93" i="25"/>
  <c r="CM204" i="25"/>
  <c r="CM29" i="25"/>
  <c r="CM104" i="25"/>
  <c r="CM205" i="25"/>
  <c r="CM142" i="25"/>
  <c r="CM185" i="25"/>
  <c r="CM244" i="25"/>
  <c r="CM238" i="25"/>
  <c r="CM241" i="25"/>
  <c r="CM148" i="25"/>
  <c r="CM125" i="25"/>
  <c r="CM115" i="25"/>
  <c r="CM28" i="25"/>
  <c r="CM36" i="25"/>
  <c r="CM181" i="25"/>
  <c r="CM132" i="25"/>
  <c r="CM136" i="25"/>
  <c r="CM74" i="25"/>
  <c r="CM79" i="25"/>
  <c r="CM96" i="25"/>
  <c r="CM299" i="25"/>
  <c r="CM99" i="25"/>
  <c r="CM49" i="25"/>
  <c r="CM46" i="25"/>
  <c r="CM291" i="25"/>
  <c r="CM283" i="25"/>
  <c r="CM280" i="25"/>
  <c r="CM296" i="25"/>
  <c r="CM289" i="25"/>
  <c r="CM227" i="25"/>
  <c r="CM274" i="25"/>
  <c r="CM254" i="25"/>
  <c r="CM302" i="25"/>
  <c r="CM277" i="25"/>
  <c r="CM272" i="25"/>
  <c r="CM237" i="25"/>
  <c r="CM90" i="25"/>
  <c r="CM111" i="25"/>
  <c r="CM195" i="25"/>
  <c r="CM65" i="25"/>
  <c r="CM84" i="25"/>
  <c r="CM203" i="25"/>
  <c r="CM178" i="25"/>
  <c r="CM68" i="25"/>
  <c r="CM196" i="25"/>
  <c r="CM164" i="25"/>
  <c r="CM124" i="25"/>
  <c r="CM69" i="25"/>
  <c r="CM193" i="25"/>
  <c r="CM182" i="25"/>
  <c r="CM95" i="25"/>
  <c r="CM61" i="25"/>
  <c r="CM57" i="25"/>
  <c r="CM58" i="25"/>
  <c r="CM73" i="25"/>
  <c r="CM54" i="25"/>
  <c r="CM210" i="25"/>
  <c r="CM98" i="25"/>
  <c r="CM232" i="25"/>
  <c r="CM313" i="25"/>
  <c r="CM165" i="25"/>
  <c r="CM44" i="25"/>
  <c r="CM40" i="25"/>
  <c r="CM265" i="25"/>
  <c r="CM234" i="25"/>
  <c r="CM295" i="25"/>
  <c r="CM258" i="25"/>
  <c r="CM231" i="25"/>
  <c r="CM275" i="25"/>
  <c r="CM256" i="25"/>
  <c r="CM224" i="25"/>
  <c r="CM247" i="25"/>
  <c r="CM235" i="25"/>
  <c r="CM255" i="25"/>
  <c r="CM288" i="25"/>
  <c r="CM149" i="25"/>
  <c r="CM167" i="25"/>
  <c r="CM100" i="25"/>
  <c r="CM20" i="25"/>
  <c r="CM42" i="25"/>
  <c r="CM174" i="25"/>
  <c r="CM10" i="25"/>
  <c r="CM63" i="25"/>
  <c r="CM169" i="25"/>
  <c r="CM138" i="25"/>
  <c r="CM59" i="25"/>
  <c r="CM134" i="25"/>
  <c r="CM184" i="25"/>
  <c r="CM91" i="25"/>
  <c r="CM200" i="25"/>
  <c r="CM168" i="25"/>
  <c r="CM127" i="25"/>
  <c r="CM47" i="25"/>
  <c r="CM37" i="25"/>
  <c r="CM141" i="25"/>
  <c r="CM31" i="25"/>
  <c r="CM119" i="25"/>
  <c r="CM137" i="25"/>
  <c r="CM201" i="25"/>
  <c r="CM64" i="25"/>
  <c r="CM150" i="25"/>
  <c r="CM154" i="25"/>
  <c r="CM207" i="25"/>
  <c r="CM51" i="25"/>
  <c r="CM120" i="25"/>
  <c r="CM276" i="25"/>
  <c r="CM308" i="25"/>
  <c r="CM297" i="25"/>
  <c r="CM266" i="25"/>
  <c r="CM314" i="25"/>
  <c r="CM221" i="25"/>
  <c r="CM122" i="25"/>
  <c r="CM15" i="25"/>
  <c r="CM129" i="25"/>
  <c r="CM267" i="25"/>
  <c r="CM306" i="25"/>
  <c r="CM290" i="25"/>
  <c r="CM33" i="25"/>
  <c r="CM50" i="25"/>
  <c r="CM179" i="25"/>
  <c r="CM19" i="25"/>
  <c r="CM22" i="25"/>
  <c r="CM175" i="25"/>
  <c r="CM24" i="25"/>
  <c r="I5" i="25"/>
  <c r="B73" i="2"/>
  <c r="D245" i="2" s="1"/>
  <c r="B19" i="2"/>
  <c r="BP6" i="19"/>
  <c r="BQ6" i="19"/>
  <c r="BU6" i="19"/>
  <c r="CA6" i="19" s="1"/>
  <c r="BV6" i="19"/>
  <c r="CB6" i="19" s="1"/>
  <c r="BW6" i="19"/>
  <c r="CC6" i="19" s="1"/>
  <c r="BP7" i="19"/>
  <c r="BQ7" i="19"/>
  <c r="BU7" i="19"/>
  <c r="BV7" i="19"/>
  <c r="CB7" i="19" s="1"/>
  <c r="BW7" i="19"/>
  <c r="CA7" i="19"/>
  <c r="CC7" i="19"/>
  <c r="BP8" i="19"/>
  <c r="BQ8" i="19"/>
  <c r="BU8" i="19"/>
  <c r="BV8" i="19"/>
  <c r="CB8" i="19" s="1"/>
  <c r="BW8" i="19"/>
  <c r="CA8" i="19"/>
  <c r="CC8" i="19"/>
  <c r="BP9" i="19"/>
  <c r="BQ9" i="19"/>
  <c r="BU9" i="19"/>
  <c r="BV9" i="19"/>
  <c r="CB9" i="19" s="1"/>
  <c r="BW9" i="19"/>
  <c r="CA9" i="19"/>
  <c r="CC9" i="19"/>
  <c r="D24" i="2"/>
  <c r="A24" i="2"/>
  <c r="AL216" i="25"/>
  <c r="AL110" i="25"/>
  <c r="AL5" i="25"/>
  <c r="K13" i="1"/>
  <c r="K9" i="1"/>
  <c r="B297" i="2" l="1"/>
  <c r="R35" i="2"/>
  <c r="R34" i="2"/>
  <c r="B139" i="2" l="1"/>
  <c r="C33" i="16"/>
  <c r="B103" i="2"/>
  <c r="B108" i="2" l="1"/>
  <c r="K36" i="1"/>
  <c r="K33" i="1"/>
  <c r="D10" i="1"/>
  <c r="D11" i="1"/>
  <c r="D36" i="1"/>
  <c r="D33" i="1"/>
  <c r="D49" i="1"/>
  <c r="B197" i="2" l="1"/>
  <c r="ER212" i="25" s="1"/>
  <c r="BN5" i="25" l="1"/>
  <c r="BM110" i="25"/>
  <c r="BM216" i="25"/>
  <c r="ER237" i="25"/>
  <c r="ER270" i="25"/>
  <c r="ER261" i="25"/>
  <c r="ER246" i="25"/>
  <c r="ER274" i="25"/>
  <c r="ER300" i="25"/>
  <c r="ER219" i="25"/>
  <c r="ER304" i="25"/>
  <c r="ER297" i="25"/>
  <c r="ER224" i="25"/>
  <c r="ER247" i="25"/>
  <c r="ER235" i="25"/>
  <c r="ER238" i="25"/>
  <c r="ER303" i="25"/>
  <c r="ER255" i="25"/>
  <c r="ER288" i="25"/>
  <c r="ER229" i="25"/>
  <c r="ER276" i="25"/>
  <c r="ER294" i="25"/>
  <c r="ER248" i="25"/>
  <c r="ER252" i="25"/>
  <c r="ER292" i="25"/>
  <c r="ER227" i="25"/>
  <c r="ER240" i="25"/>
  <c r="ER284" i="25"/>
  <c r="ER220" i="25"/>
  <c r="ER286" i="25"/>
  <c r="ER298" i="25"/>
  <c r="ER233" i="25"/>
  <c r="ER223" i="25"/>
  <c r="ER269" i="25"/>
  <c r="ER293" i="25"/>
  <c r="ER236" i="25"/>
  <c r="ER267" i="25"/>
  <c r="ER256" i="25"/>
  <c r="ER271" i="25"/>
  <c r="ER231" i="25"/>
  <c r="ER216" i="25"/>
  <c r="EU216" i="25" s="1"/>
  <c r="ER217" i="25"/>
  <c r="ER311" i="25"/>
  <c r="ER259" i="25"/>
  <c r="ER316" i="25"/>
  <c r="ER262" i="25"/>
  <c r="ER263" i="25"/>
  <c r="ER250" i="25"/>
  <c r="ER283" i="25"/>
  <c r="ER280" i="25"/>
  <c r="ER299" i="25"/>
  <c r="ER279" i="25"/>
  <c r="ER307" i="25"/>
  <c r="ER275" i="25"/>
  <c r="ER257" i="25"/>
  <c r="ER230" i="25"/>
  <c r="ER312" i="25"/>
  <c r="ER251" i="25"/>
  <c r="ER281" i="25"/>
  <c r="ER314" i="25"/>
  <c r="ER315" i="25"/>
  <c r="ER249" i="25"/>
  <c r="ER232" i="25"/>
  <c r="ER234" i="25"/>
  <c r="ER285" i="25"/>
  <c r="ER272" i="25"/>
  <c r="ER296" i="25"/>
  <c r="ER245" i="25"/>
  <c r="ER309" i="25"/>
  <c r="ER310" i="25"/>
  <c r="ER242" i="25"/>
  <c r="ER268" i="25"/>
  <c r="ER253" i="25"/>
  <c r="ER287" i="25"/>
  <c r="ER266" i="25"/>
  <c r="ER221" i="25"/>
  <c r="ER273" i="25"/>
  <c r="ER291" i="25"/>
  <c r="ER260" i="25"/>
  <c r="ER295" i="25"/>
  <c r="ER305" i="25"/>
  <c r="ER301" i="25"/>
  <c r="ER264" i="25"/>
  <c r="ER282" i="25"/>
  <c r="ER306" i="25"/>
  <c r="ER225" i="25"/>
  <c r="ER313" i="25"/>
  <c r="ER244" i="25"/>
  <c r="ER218" i="25"/>
  <c r="ER290" i="25"/>
  <c r="ER226" i="25"/>
  <c r="ER265" i="25"/>
  <c r="ER239" i="25"/>
  <c r="ER241" i="25"/>
  <c r="ER243" i="25"/>
  <c r="ER278" i="25"/>
  <c r="ER308" i="25"/>
  <c r="ER222" i="25"/>
  <c r="ER254" i="25"/>
  <c r="ER302" i="25"/>
  <c r="ER277" i="25"/>
  <c r="ER289" i="25"/>
  <c r="ER258" i="25"/>
  <c r="ER228" i="25"/>
  <c r="ER5" i="25"/>
  <c r="ER73" i="25"/>
  <c r="ER162" i="25"/>
  <c r="ER10" i="25"/>
  <c r="ER194" i="25"/>
  <c r="ER100" i="25"/>
  <c r="ER42" i="25"/>
  <c r="ER65" i="25"/>
  <c r="ER203" i="25"/>
  <c r="ER68" i="25"/>
  <c r="ER164" i="25"/>
  <c r="ER63" i="25"/>
  <c r="ER180" i="25"/>
  <c r="ER27" i="25"/>
  <c r="ER147" i="25"/>
  <c r="ER205" i="25"/>
  <c r="ER80" i="25"/>
  <c r="ER37" i="25"/>
  <c r="ER190" i="25"/>
  <c r="ER93" i="25"/>
  <c r="ER15" i="25"/>
  <c r="ER58" i="25"/>
  <c r="ER175" i="25"/>
  <c r="ER26" i="25"/>
  <c r="ER78" i="25"/>
  <c r="ER110" i="25"/>
  <c r="EU110" i="25" s="1"/>
  <c r="ER16" i="25"/>
  <c r="ER43" i="25"/>
  <c r="ER82" i="25"/>
  <c r="ER111" i="25"/>
  <c r="ER94" i="25"/>
  <c r="ER158" i="25"/>
  <c r="ER159" i="25"/>
  <c r="ER113" i="25"/>
  <c r="ER56" i="25"/>
  <c r="ER133" i="25"/>
  <c r="ER85" i="25"/>
  <c r="ER7" i="25"/>
  <c r="ER131" i="25"/>
  <c r="ER156" i="25"/>
  <c r="ER59" i="25"/>
  <c r="ER182" i="25"/>
  <c r="ER31" i="25"/>
  <c r="ER123" i="25"/>
  <c r="ER47" i="25"/>
  <c r="ER38" i="25"/>
  <c r="ER84" i="25"/>
  <c r="ER198" i="25"/>
  <c r="ER150" i="25"/>
  <c r="ER155" i="25"/>
  <c r="ER210" i="25"/>
  <c r="ER185" i="25"/>
  <c r="ER169" i="25"/>
  <c r="ER18" i="25"/>
  <c r="ER189" i="25"/>
  <c r="ER86" i="25"/>
  <c r="ER176" i="25"/>
  <c r="ER12" i="25"/>
  <c r="ER197" i="25"/>
  <c r="ER105" i="25"/>
  <c r="ER173" i="25"/>
  <c r="ER183" i="25"/>
  <c r="ER44" i="25"/>
  <c r="ER29" i="25"/>
  <c r="ER208" i="25"/>
  <c r="ER34" i="25"/>
  <c r="ER35" i="25"/>
  <c r="ER160" i="25"/>
  <c r="ER41" i="25"/>
  <c r="ER171" i="25"/>
  <c r="ER166" i="25"/>
  <c r="ER70" i="25"/>
  <c r="ER14" i="25"/>
  <c r="ER13" i="25"/>
  <c r="ER52" i="25"/>
  <c r="ER55" i="25"/>
  <c r="ER116" i="25"/>
  <c r="ER19" i="25"/>
  <c r="ER99" i="25"/>
  <c r="ER122" i="25"/>
  <c r="ER118" i="25"/>
  <c r="ER165" i="25"/>
  <c r="ER53" i="25"/>
  <c r="ER79" i="25"/>
  <c r="ER134" i="25"/>
  <c r="ER91" i="25"/>
  <c r="ER168" i="25"/>
  <c r="ER21" i="25"/>
  <c r="ER152" i="25"/>
  <c r="ER181" i="25"/>
  <c r="ER61" i="25"/>
  <c r="ER6" i="25"/>
  <c r="ER137" i="25"/>
  <c r="ER149" i="25"/>
  <c r="ER49" i="25"/>
  <c r="ER96" i="25"/>
  <c r="ER154" i="25"/>
  <c r="ER174" i="25"/>
  <c r="ER125" i="25"/>
  <c r="ER72" i="25"/>
  <c r="ER167" i="25"/>
  <c r="ER20" i="25"/>
  <c r="ER195" i="25"/>
  <c r="ER8" i="25"/>
  <c r="ER178" i="25"/>
  <c r="ER196" i="25"/>
  <c r="ER124" i="25"/>
  <c r="ER209" i="25"/>
  <c r="ER135" i="25"/>
  <c r="ER87" i="25"/>
  <c r="ER36" i="25"/>
  <c r="ER40" i="25"/>
  <c r="ER119" i="25"/>
  <c r="ER145" i="25"/>
  <c r="ER45" i="25"/>
  <c r="ER92" i="25"/>
  <c r="ER28" i="25"/>
  <c r="ER103" i="25"/>
  <c r="ER161" i="25"/>
  <c r="ER30" i="25"/>
  <c r="ER114" i="25"/>
  <c r="ER17" i="25"/>
  <c r="ER51" i="25"/>
  <c r="ER32" i="25"/>
  <c r="ER148" i="25"/>
  <c r="ER177" i="25"/>
  <c r="ER102" i="25"/>
  <c r="ER66" i="25"/>
  <c r="ER130" i="25"/>
  <c r="ER39" i="25"/>
  <c r="ER71" i="25"/>
  <c r="ER25" i="25"/>
  <c r="ER199" i="25"/>
  <c r="ER60" i="25"/>
  <c r="ER187" i="25"/>
  <c r="ER206" i="25"/>
  <c r="ER141" i="25"/>
  <c r="ER95" i="25"/>
  <c r="ER83" i="25"/>
  <c r="ER11" i="25"/>
  <c r="ER101" i="25"/>
  <c r="ER157" i="25"/>
  <c r="ER77" i="25"/>
  <c r="ER144" i="25"/>
  <c r="ER46" i="25"/>
  <c r="ER88" i="25"/>
  <c r="ER146" i="25"/>
  <c r="ER98" i="25"/>
  <c r="ER74" i="25"/>
  <c r="ER170" i="25"/>
  <c r="ER90" i="25"/>
  <c r="ER33" i="25"/>
  <c r="ER23" i="25"/>
  <c r="ER188" i="25"/>
  <c r="ER128" i="25"/>
  <c r="ER76" i="25"/>
  <c r="ER9" i="25"/>
  <c r="ER117" i="25"/>
  <c r="ER153" i="25"/>
  <c r="ER143" i="25"/>
  <c r="ER115" i="25"/>
  <c r="ER62" i="25"/>
  <c r="ER81" i="25"/>
  <c r="ER67" i="25"/>
  <c r="ER140" i="25"/>
  <c r="ER139" i="25"/>
  <c r="ER69" i="25"/>
  <c r="ER142" i="25"/>
  <c r="ER186" i="25"/>
  <c r="ER132" i="25"/>
  <c r="ER97" i="25"/>
  <c r="ER201" i="25"/>
  <c r="ER136" i="25"/>
  <c r="ER24" i="25"/>
  <c r="ER191" i="25"/>
  <c r="ER112" i="25"/>
  <c r="ER151" i="25"/>
  <c r="ER138" i="25"/>
  <c r="ER104" i="25"/>
  <c r="ER50" i="25"/>
  <c r="ER163" i="25"/>
  <c r="ER179" i="25"/>
  <c r="ER121" i="25"/>
  <c r="ER22" i="25"/>
  <c r="ER204" i="25"/>
  <c r="ER75" i="25"/>
  <c r="ER184" i="25"/>
  <c r="ER200" i="25"/>
  <c r="ER127" i="25"/>
  <c r="ER126" i="25"/>
  <c r="ER192" i="25"/>
  <c r="ER172" i="25"/>
  <c r="ER129" i="25"/>
  <c r="ER202" i="25"/>
  <c r="ER57" i="25"/>
  <c r="ER193" i="25"/>
  <c r="ER89" i="25"/>
  <c r="ER64" i="25"/>
  <c r="ER207" i="25"/>
  <c r="ER120" i="25"/>
  <c r="ER54" i="25"/>
  <c r="ER48" i="25"/>
  <c r="BO5" i="24"/>
  <c r="EQ5" i="25"/>
  <c r="ES5" i="24"/>
  <c r="EV5" i="24" s="1"/>
  <c r="BM5" i="25"/>
  <c r="I78" i="2"/>
  <c r="B295" i="2"/>
  <c r="B12" i="2"/>
  <c r="CC216" i="25" l="1"/>
  <c r="FG216" i="25"/>
  <c r="EU5" i="25"/>
  <c r="FG110" i="25"/>
  <c r="CJ7" i="25"/>
  <c r="CJ6" i="25"/>
  <c r="CC110" i="25"/>
  <c r="B280" i="2"/>
  <c r="EQ6" i="25" l="1"/>
  <c r="EU6" i="25" s="1"/>
  <c r="DP6" i="25"/>
  <c r="FG6" i="25"/>
  <c r="EQ7" i="25"/>
  <c r="EU7" i="25" s="1"/>
  <c r="DP7" i="25"/>
  <c r="FG7" i="25"/>
  <c r="B244" i="2"/>
  <c r="A242" i="2"/>
  <c r="B74" i="2"/>
  <c r="D241" i="2" l="1"/>
  <c r="A241" i="2"/>
  <c r="D240" i="2" l="1"/>
  <c r="D296" i="2"/>
  <c r="C259" i="2"/>
  <c r="C268" i="2"/>
  <c r="D268" i="2"/>
  <c r="B48" i="19"/>
  <c r="B36" i="2" l="1"/>
  <c r="B20" i="2"/>
  <c r="B21" i="2"/>
  <c r="B24" i="2"/>
  <c r="C245" i="2"/>
  <c r="C74" i="2"/>
  <c r="B102" i="2"/>
  <c r="B107" i="2" l="1"/>
  <c r="B135" i="2"/>
  <c r="B80" i="2"/>
  <c r="C80" i="2"/>
  <c r="B296" i="2"/>
  <c r="C244" i="2"/>
  <c r="F244" i="2"/>
  <c r="D244" i="2"/>
  <c r="B241" i="2"/>
  <c r="B242" i="2"/>
  <c r="B156" i="2"/>
  <c r="B152" i="2"/>
  <c r="B252" i="2" s="1"/>
  <c r="B129" i="2"/>
  <c r="B127" i="2"/>
  <c r="C32" i="16" s="1"/>
  <c r="D45" i="1"/>
  <c r="AM5" i="24"/>
  <c r="AM216" i="24"/>
  <c r="AM110" i="24"/>
  <c r="B247" i="2" l="1"/>
  <c r="B248" i="2"/>
  <c r="B250" i="2"/>
  <c r="C31" i="16"/>
  <c r="D21" i="19"/>
  <c r="D36" i="19"/>
  <c r="F12" i="19"/>
  <c r="D38" i="19"/>
  <c r="D35" i="19"/>
  <c r="B63" i="2"/>
  <c r="C47" i="16" s="1"/>
  <c r="D47" i="16" s="1"/>
  <c r="B33" i="19"/>
  <c r="F78" i="2"/>
  <c r="F72" i="2"/>
  <c r="D42" i="1"/>
  <c r="G269" i="2"/>
  <c r="C264" i="2"/>
  <c r="C265" i="2"/>
  <c r="A273" i="2"/>
  <c r="G73" i="2"/>
  <c r="A231" i="2"/>
  <c r="C277" i="2"/>
  <c r="E18" i="1" l="1"/>
  <c r="CY2" i="24"/>
  <c r="D93" i="2"/>
  <c r="U2" i="24"/>
  <c r="B194" i="2"/>
  <c r="I10" i="8"/>
  <c r="B179" i="2"/>
  <c r="B176" i="2"/>
  <c r="B198" i="2" l="1"/>
  <c r="I9" i="8" s="1"/>
  <c r="B78" i="2"/>
  <c r="K66" i="2"/>
  <c r="K34" i="16" l="1"/>
  <c r="J34" i="16"/>
  <c r="K49" i="16"/>
  <c r="K48" i="16"/>
  <c r="J49" i="16"/>
  <c r="J48" i="16"/>
  <c r="I49" i="16" l="1"/>
  <c r="I48" i="16"/>
  <c r="H49" i="16"/>
  <c r="H48" i="16"/>
  <c r="J46" i="16"/>
  <c r="K32" i="16"/>
  <c r="J32" i="16"/>
  <c r="K31" i="16"/>
  <c r="J31" i="16" l="1"/>
  <c r="T83" i="2"/>
  <c r="R85" i="2"/>
  <c r="B11" i="2" l="1"/>
  <c r="B26" i="19"/>
  <c r="D26" i="19" s="1"/>
  <c r="D20" i="19"/>
  <c r="B27" i="19"/>
  <c r="D27" i="19" s="1"/>
  <c r="B8" i="2"/>
  <c r="B101" i="2"/>
  <c r="B96" i="2"/>
  <c r="B155" i="2"/>
  <c r="BP106" i="19"/>
  <c r="D46" i="19"/>
  <c r="A34" i="16"/>
  <c r="A49" i="16"/>
  <c r="A48" i="16"/>
  <c r="C278" i="2"/>
  <c r="B293" i="2"/>
  <c r="B268" i="2"/>
  <c r="B264" i="2"/>
  <c r="J72" i="2"/>
  <c r="C261" i="2"/>
  <c r="B261" i="2"/>
  <c r="B32" i="19"/>
  <c r="D32" i="19" s="1"/>
  <c r="B31" i="19"/>
  <c r="D31" i="19" s="1"/>
  <c r="B30" i="19"/>
  <c r="D30" i="19" s="1"/>
  <c r="B8" i="19"/>
  <c r="D8" i="19" s="1"/>
  <c r="F91" i="19"/>
  <c r="F90" i="19"/>
  <c r="F89" i="19"/>
  <c r="D53" i="19"/>
  <c r="D52" i="19"/>
  <c r="D51" i="19"/>
  <c r="D50" i="19"/>
  <c r="D48" i="19"/>
  <c r="D45" i="19"/>
  <c r="D44" i="19"/>
  <c r="D41" i="19"/>
  <c r="D39" i="19"/>
  <c r="D33" i="19"/>
  <c r="D29" i="19"/>
  <c r="D23" i="19"/>
  <c r="D22" i="19"/>
  <c r="D13" i="19"/>
  <c r="B213" i="2" s="1"/>
  <c r="D12" i="19"/>
  <c r="A31" i="16"/>
  <c r="B246" i="2"/>
  <c r="A245" i="2"/>
  <c r="B9" i="2"/>
  <c r="I6" i="8"/>
  <c r="J6" i="8" s="1"/>
  <c r="D46" i="16"/>
  <c r="B178" i="2"/>
  <c r="B181" i="2" s="1"/>
  <c r="B173" i="2"/>
  <c r="B231" i="2"/>
  <c r="B245" i="2"/>
  <c r="B7" i="2"/>
  <c r="B164" i="2"/>
  <c r="B166" i="2" s="1"/>
  <c r="B208" i="2"/>
  <c r="A34" i="8"/>
  <c r="A35" i="8"/>
  <c r="A36" i="8"/>
  <c r="A37" i="8"/>
  <c r="A38" i="8"/>
  <c r="A50" i="8" s="1"/>
  <c r="A62" i="8" s="1"/>
  <c r="A74" i="8" s="1"/>
  <c r="A86" i="8" s="1"/>
  <c r="A98" i="8" s="1"/>
  <c r="A110" i="8" s="1"/>
  <c r="A122" i="8" s="1"/>
  <c r="A134" i="8" s="1"/>
  <c r="A146" i="8" s="1"/>
  <c r="A158" i="8" s="1"/>
  <c r="A39" i="8"/>
  <c r="A51" i="8" s="1"/>
  <c r="A63" i="8" s="1"/>
  <c r="A75" i="8" s="1"/>
  <c r="A87" i="8" s="1"/>
  <c r="A99" i="8" s="1"/>
  <c r="A111" i="8" s="1"/>
  <c r="A123" i="8" s="1"/>
  <c r="A135" i="8" s="1"/>
  <c r="A147" i="8" s="1"/>
  <c r="A159" i="8" s="1"/>
  <c r="A40" i="8"/>
  <c r="A52" i="8" s="1"/>
  <c r="A64" i="8" s="1"/>
  <c r="A76" i="8" s="1"/>
  <c r="A88" i="8" s="1"/>
  <c r="A100" i="8" s="1"/>
  <c r="A112" i="8" s="1"/>
  <c r="A124" i="8" s="1"/>
  <c r="A136" i="8" s="1"/>
  <c r="A148" i="8" s="1"/>
  <c r="A41" i="8"/>
  <c r="A53" i="8" s="1"/>
  <c r="A65" i="8" s="1"/>
  <c r="A77" i="8" s="1"/>
  <c r="A89" i="8" s="1"/>
  <c r="A101" i="8" s="1"/>
  <c r="A113" i="8" s="1"/>
  <c r="A125" i="8" s="1"/>
  <c r="A137" i="8" s="1"/>
  <c r="A149" i="8" s="1"/>
  <c r="A42" i="8"/>
  <c r="A43" i="8"/>
  <c r="A44" i="8"/>
  <c r="A45" i="8"/>
  <c r="A46" i="8"/>
  <c r="A58" i="8" s="1"/>
  <c r="A70" i="8" s="1"/>
  <c r="A82" i="8" s="1"/>
  <c r="A94" i="8" s="1"/>
  <c r="A106" i="8" s="1"/>
  <c r="A118" i="8" s="1"/>
  <c r="A130" i="8" s="1"/>
  <c r="A142" i="8" s="1"/>
  <c r="A154" i="8" s="1"/>
  <c r="A47" i="8"/>
  <c r="A48" i="8"/>
  <c r="A60" i="8" s="1"/>
  <c r="A72" i="8" s="1"/>
  <c r="A84" i="8" s="1"/>
  <c r="A96" i="8" s="1"/>
  <c r="A108" i="8" s="1"/>
  <c r="A120" i="8" s="1"/>
  <c r="A132" i="8" s="1"/>
  <c r="A144" i="8" s="1"/>
  <c r="A156" i="8" s="1"/>
  <c r="A49" i="8"/>
  <c r="A54" i="8"/>
  <c r="A66" i="8" s="1"/>
  <c r="A78" i="8" s="1"/>
  <c r="A90" i="8" s="1"/>
  <c r="A102" i="8" s="1"/>
  <c r="A114" i="8" s="1"/>
  <c r="A126" i="8" s="1"/>
  <c r="A138" i="8" s="1"/>
  <c r="A150" i="8" s="1"/>
  <c r="A55" i="8"/>
  <c r="A56" i="8"/>
  <c r="A68" i="8" s="1"/>
  <c r="A80" i="8" s="1"/>
  <c r="A92" i="8" s="1"/>
  <c r="A104" i="8" s="1"/>
  <c r="A116" i="8" s="1"/>
  <c r="A128" i="8" s="1"/>
  <c r="A140" i="8" s="1"/>
  <c r="A152" i="8" s="1"/>
  <c r="A57" i="8"/>
  <c r="A69" i="8" s="1"/>
  <c r="A81" i="8" s="1"/>
  <c r="A93" i="8" s="1"/>
  <c r="A105" i="8" s="1"/>
  <c r="A117" i="8" s="1"/>
  <c r="A129" i="8" s="1"/>
  <c r="A141" i="8" s="1"/>
  <c r="A153" i="8" s="1"/>
  <c r="A59" i="8"/>
  <c r="A71" i="8" s="1"/>
  <c r="A83" i="8" s="1"/>
  <c r="A95" i="8" s="1"/>
  <c r="A107" i="8" s="1"/>
  <c r="A119" i="8" s="1"/>
  <c r="A131" i="8" s="1"/>
  <c r="A143" i="8" s="1"/>
  <c r="A155" i="8" s="1"/>
  <c r="A61" i="8"/>
  <c r="A73" i="8" s="1"/>
  <c r="A85" i="8" s="1"/>
  <c r="A97" i="8" s="1"/>
  <c r="A109" i="8" s="1"/>
  <c r="A121" i="8" s="1"/>
  <c r="A133" i="8" s="1"/>
  <c r="A145" i="8" s="1"/>
  <c r="A157" i="8" s="1"/>
  <c r="A67" i="8"/>
  <c r="A79" i="8" s="1"/>
  <c r="A91" i="8" s="1"/>
  <c r="A103" i="8" s="1"/>
  <c r="A115" i="8" s="1"/>
  <c r="A127" i="8" s="1"/>
  <c r="A139" i="8" s="1"/>
  <c r="A151" i="8" s="1"/>
  <c r="E3" i="8"/>
  <c r="A240" i="2"/>
  <c r="B240" i="2"/>
  <c r="I14" i="8"/>
  <c r="J13" i="8"/>
  <c r="J7" i="8"/>
  <c r="J14" i="8"/>
  <c r="BB1" i="24" l="1"/>
  <c r="EF1" i="24"/>
  <c r="B111" i="2"/>
  <c r="L29" i="1"/>
  <c r="B88" i="2"/>
  <c r="L12" i="1" s="1"/>
  <c r="CN212" i="25"/>
  <c r="CR212" i="25" s="1"/>
  <c r="CM212" i="24"/>
  <c r="EO212" i="24" s="1"/>
  <c r="L104" i="2"/>
  <c r="G325" i="25"/>
  <c r="G325" i="24"/>
  <c r="N325" i="25"/>
  <c r="E68" i="1"/>
  <c r="E70" i="1" s="1"/>
  <c r="G322" i="25"/>
  <c r="G322" i="24"/>
  <c r="I325" i="24"/>
  <c r="I325" i="25"/>
  <c r="P325" i="25"/>
  <c r="E26" i="1"/>
  <c r="CN112" i="25"/>
  <c r="CP112" i="25" s="1"/>
  <c r="CP12" i="25"/>
  <c r="CP20" i="25"/>
  <c r="CP28" i="25"/>
  <c r="CP36" i="25"/>
  <c r="CP44" i="25"/>
  <c r="CP52" i="25"/>
  <c r="CP60" i="25"/>
  <c r="CP68" i="25"/>
  <c r="CP76" i="25"/>
  <c r="CP84" i="25"/>
  <c r="CP92" i="25"/>
  <c r="CP100" i="25"/>
  <c r="CP19" i="25"/>
  <c r="CP75" i="25"/>
  <c r="CP13" i="25"/>
  <c r="CP21" i="25"/>
  <c r="CP29" i="25"/>
  <c r="CP37" i="25"/>
  <c r="CP45" i="25"/>
  <c r="CP53" i="25"/>
  <c r="CP61" i="25"/>
  <c r="CP69" i="25"/>
  <c r="CP77" i="25"/>
  <c r="CP85" i="25"/>
  <c r="CP93" i="25"/>
  <c r="CP101" i="25"/>
  <c r="CP11" i="25"/>
  <c r="CP59" i="25"/>
  <c r="CP5" i="25"/>
  <c r="CP6" i="25"/>
  <c r="CP14" i="25"/>
  <c r="CP22" i="25"/>
  <c r="CP30" i="25"/>
  <c r="CP38" i="25"/>
  <c r="CP46" i="25"/>
  <c r="CP54" i="25"/>
  <c r="CP62" i="25"/>
  <c r="CP70" i="25"/>
  <c r="CP78" i="25"/>
  <c r="CP86" i="25"/>
  <c r="CP94" i="25"/>
  <c r="CP102" i="25"/>
  <c r="CP35" i="25"/>
  <c r="CP83" i="25"/>
  <c r="CP7" i="25"/>
  <c r="CP15" i="25"/>
  <c r="CP23" i="25"/>
  <c r="CP31" i="25"/>
  <c r="CP39" i="25"/>
  <c r="CP47" i="25"/>
  <c r="CP55" i="25"/>
  <c r="CP63" i="25"/>
  <c r="CP71" i="25"/>
  <c r="CP79" i="25"/>
  <c r="CP87" i="25"/>
  <c r="CP95" i="25"/>
  <c r="CP103" i="25"/>
  <c r="CP51" i="25"/>
  <c r="CP8" i="25"/>
  <c r="CP16" i="25"/>
  <c r="CP24" i="25"/>
  <c r="CP32" i="25"/>
  <c r="CP40" i="25"/>
  <c r="CP48" i="25"/>
  <c r="CP56" i="25"/>
  <c r="CP64" i="25"/>
  <c r="CP72" i="25"/>
  <c r="CP80" i="25"/>
  <c r="CP88" i="25"/>
  <c r="CP96" i="25"/>
  <c r="CP104" i="25"/>
  <c r="CP43" i="25"/>
  <c r="CP99" i="25"/>
  <c r="CP9" i="25"/>
  <c r="CP17" i="25"/>
  <c r="CP25" i="25"/>
  <c r="CP33" i="25"/>
  <c r="CP41" i="25"/>
  <c r="CP49" i="25"/>
  <c r="CP57" i="25"/>
  <c r="CP65" i="25"/>
  <c r="CP73" i="25"/>
  <c r="CP81" i="25"/>
  <c r="CP89" i="25"/>
  <c r="CP97" i="25"/>
  <c r="CP105" i="25"/>
  <c r="CP27" i="25"/>
  <c r="CP91" i="25"/>
  <c r="CP10" i="25"/>
  <c r="CP18" i="25"/>
  <c r="CP26" i="25"/>
  <c r="CP34" i="25"/>
  <c r="CP42" i="25"/>
  <c r="CP50" i="25"/>
  <c r="CP58" i="25"/>
  <c r="CP66" i="25"/>
  <c r="CP74" i="25"/>
  <c r="CP82" i="25"/>
  <c r="CP90" i="25"/>
  <c r="CP98" i="25"/>
  <c r="CR5" i="25"/>
  <c r="CP67" i="25"/>
  <c r="R65" i="2"/>
  <c r="B92" i="2"/>
  <c r="B115" i="2"/>
  <c r="B85" i="2"/>
  <c r="CQ2" i="24"/>
  <c r="CW5" i="24"/>
  <c r="CX5" i="24" s="1"/>
  <c r="FL106" i="24"/>
  <c r="FL107" i="24"/>
  <c r="FL108" i="24"/>
  <c r="Y13" i="2"/>
  <c r="B98" i="2"/>
  <c r="CN207" i="25"/>
  <c r="EM207" i="25" s="1"/>
  <c r="CN203" i="25"/>
  <c r="EM203" i="25" s="1"/>
  <c r="CN199" i="25"/>
  <c r="EM199" i="25" s="1"/>
  <c r="CN195" i="25"/>
  <c r="EM195" i="25" s="1"/>
  <c r="CN191" i="25"/>
  <c r="EM191" i="25" s="1"/>
  <c r="CN187" i="25"/>
  <c r="EM187" i="25" s="1"/>
  <c r="CN179" i="25"/>
  <c r="EM179" i="25" s="1"/>
  <c r="CN171" i="25"/>
  <c r="EM171" i="25" s="1"/>
  <c r="CN164" i="25"/>
  <c r="EM164" i="25" s="1"/>
  <c r="CN156" i="25"/>
  <c r="EM156" i="25" s="1"/>
  <c r="CN144" i="25"/>
  <c r="EM144" i="25" s="1"/>
  <c r="CN136" i="25"/>
  <c r="EM136" i="25" s="1"/>
  <c r="CN130" i="25"/>
  <c r="EM130" i="25" s="1"/>
  <c r="CN126" i="25"/>
  <c r="EM126" i="25" s="1"/>
  <c r="CN122" i="25"/>
  <c r="EM122" i="25" s="1"/>
  <c r="CN118" i="25"/>
  <c r="EM118" i="25" s="1"/>
  <c r="CN114" i="25"/>
  <c r="EM114" i="25" s="1"/>
  <c r="CN186" i="25"/>
  <c r="EM186" i="25" s="1"/>
  <c r="CN178" i="25"/>
  <c r="EM178" i="25" s="1"/>
  <c r="CN170" i="25"/>
  <c r="EM170" i="25" s="1"/>
  <c r="CN163" i="25"/>
  <c r="EM163" i="25" s="1"/>
  <c r="CN150" i="25"/>
  <c r="EM150" i="25" s="1"/>
  <c r="CN143" i="25"/>
  <c r="EM143" i="25" s="1"/>
  <c r="CN135" i="25"/>
  <c r="EM135" i="25" s="1"/>
  <c r="CN210" i="25"/>
  <c r="EM210" i="25" s="1"/>
  <c r="CN206" i="25"/>
  <c r="EM206" i="25" s="1"/>
  <c r="CN202" i="25"/>
  <c r="EM202" i="25" s="1"/>
  <c r="CN198" i="25"/>
  <c r="EM198" i="25" s="1"/>
  <c r="CN194" i="25"/>
  <c r="EM194" i="25" s="1"/>
  <c r="CN190" i="25"/>
  <c r="EM190" i="25" s="1"/>
  <c r="CN185" i="25"/>
  <c r="EM185" i="25" s="1"/>
  <c r="CN177" i="25"/>
  <c r="EM177" i="25" s="1"/>
  <c r="CN169" i="25"/>
  <c r="EM169" i="25" s="1"/>
  <c r="CN162" i="25"/>
  <c r="EM162" i="25" s="1"/>
  <c r="CN155" i="25"/>
  <c r="EM155" i="25" s="1"/>
  <c r="CN142" i="25"/>
  <c r="EM142" i="25" s="1"/>
  <c r="CN134" i="25"/>
  <c r="EM134" i="25" s="1"/>
  <c r="CN129" i="25"/>
  <c r="EM129" i="25" s="1"/>
  <c r="CN125" i="25"/>
  <c r="EM125" i="25" s="1"/>
  <c r="CN121" i="25"/>
  <c r="EM121" i="25" s="1"/>
  <c r="CN117" i="25"/>
  <c r="EM117" i="25" s="1"/>
  <c r="CN113" i="25"/>
  <c r="EM113" i="25" s="1"/>
  <c r="CN110" i="25"/>
  <c r="EM110" i="25" s="1"/>
  <c r="CN184" i="25"/>
  <c r="EM184" i="25" s="1"/>
  <c r="CN176" i="25"/>
  <c r="EM176" i="25" s="1"/>
  <c r="CN168" i="25"/>
  <c r="EM168" i="25" s="1"/>
  <c r="CN161" i="25"/>
  <c r="EM161" i="25" s="1"/>
  <c r="CN154" i="25"/>
  <c r="EM154" i="25" s="1"/>
  <c r="CN149" i="25"/>
  <c r="EM149" i="25" s="1"/>
  <c r="CN141" i="25"/>
  <c r="EM141" i="25" s="1"/>
  <c r="CN133" i="25"/>
  <c r="EM133" i="25" s="1"/>
  <c r="CN209" i="25"/>
  <c r="EM209" i="25" s="1"/>
  <c r="CN205" i="25"/>
  <c r="EM205" i="25" s="1"/>
  <c r="CN201" i="25"/>
  <c r="EM201" i="25" s="1"/>
  <c r="CN197" i="25"/>
  <c r="EM197" i="25" s="1"/>
  <c r="CN193" i="25"/>
  <c r="EM193" i="25" s="1"/>
  <c r="CN189" i="25"/>
  <c r="EM189" i="25" s="1"/>
  <c r="CN183" i="25"/>
  <c r="EM183" i="25" s="1"/>
  <c r="CN175" i="25"/>
  <c r="EM175" i="25" s="1"/>
  <c r="CN167" i="25"/>
  <c r="EM167" i="25" s="1"/>
  <c r="CN160" i="25"/>
  <c r="EM160" i="25" s="1"/>
  <c r="CN148" i="25"/>
  <c r="EM148" i="25" s="1"/>
  <c r="CN140" i="25"/>
  <c r="EM140" i="25" s="1"/>
  <c r="CN132" i="25"/>
  <c r="EM132" i="25" s="1"/>
  <c r="CN128" i="25"/>
  <c r="EM128" i="25" s="1"/>
  <c r="CN124" i="25"/>
  <c r="EM124" i="25" s="1"/>
  <c r="CN120" i="25"/>
  <c r="EM120" i="25" s="1"/>
  <c r="CN116" i="25"/>
  <c r="EM116" i="25" s="1"/>
  <c r="CN182" i="25"/>
  <c r="EM182" i="25" s="1"/>
  <c r="CN174" i="25"/>
  <c r="EM174" i="25" s="1"/>
  <c r="CN166" i="25"/>
  <c r="EM166" i="25" s="1"/>
  <c r="CN159" i="25"/>
  <c r="EM159" i="25" s="1"/>
  <c r="CN153" i="25"/>
  <c r="EM153" i="25" s="1"/>
  <c r="CN147" i="25"/>
  <c r="EM147" i="25" s="1"/>
  <c r="CN139" i="25"/>
  <c r="EM139" i="25" s="1"/>
  <c r="CN208" i="25"/>
  <c r="EM208" i="25" s="1"/>
  <c r="CN204" i="25"/>
  <c r="EM204" i="25" s="1"/>
  <c r="CN200" i="25"/>
  <c r="EM200" i="25" s="1"/>
  <c r="CN196" i="25"/>
  <c r="EM196" i="25" s="1"/>
  <c r="CN192" i="25"/>
  <c r="EM192" i="25" s="1"/>
  <c r="CN188" i="25"/>
  <c r="EM188" i="25" s="1"/>
  <c r="CN181" i="25"/>
  <c r="EM181" i="25" s="1"/>
  <c r="CN173" i="25"/>
  <c r="EM173" i="25" s="1"/>
  <c r="CN165" i="25"/>
  <c r="EM165" i="25" s="1"/>
  <c r="CN158" i="25"/>
  <c r="EM158" i="25" s="1"/>
  <c r="CN152" i="25"/>
  <c r="EM152" i="25" s="1"/>
  <c r="CN146" i="25"/>
  <c r="EM146" i="25" s="1"/>
  <c r="CN138" i="25"/>
  <c r="EM138" i="25" s="1"/>
  <c r="CN131" i="25"/>
  <c r="EM131" i="25" s="1"/>
  <c r="CN127" i="25"/>
  <c r="EM127" i="25" s="1"/>
  <c r="CN123" i="25"/>
  <c r="EM123" i="25" s="1"/>
  <c r="CN119" i="25"/>
  <c r="EM119" i="25" s="1"/>
  <c r="CN115" i="25"/>
  <c r="EM115" i="25" s="1"/>
  <c r="CN111" i="25"/>
  <c r="EM111" i="25" s="1"/>
  <c r="CN180" i="25"/>
  <c r="EM180" i="25" s="1"/>
  <c r="CN172" i="25"/>
  <c r="EM172" i="25" s="1"/>
  <c r="CN157" i="25"/>
  <c r="EM157" i="25" s="1"/>
  <c r="CN151" i="25"/>
  <c r="EM151" i="25" s="1"/>
  <c r="CN145" i="25"/>
  <c r="EM145" i="25" s="1"/>
  <c r="CN137" i="25"/>
  <c r="EM137" i="25" s="1"/>
  <c r="CM209" i="24"/>
  <c r="EO209" i="24" s="1"/>
  <c r="CM204" i="24"/>
  <c r="EO204" i="24" s="1"/>
  <c r="CM197" i="24"/>
  <c r="EO197" i="24" s="1"/>
  <c r="CM192" i="24"/>
  <c r="EO192" i="24" s="1"/>
  <c r="CM181" i="24"/>
  <c r="EO181" i="24" s="1"/>
  <c r="CM176" i="24"/>
  <c r="EO176" i="24" s="1"/>
  <c r="CM170" i="24"/>
  <c r="EO170" i="24" s="1"/>
  <c r="CM159" i="24"/>
  <c r="EO159" i="24" s="1"/>
  <c r="CM154" i="24"/>
  <c r="EO154" i="24" s="1"/>
  <c r="CM149" i="24"/>
  <c r="EO149" i="24" s="1"/>
  <c r="CM144" i="24"/>
  <c r="EO144" i="24" s="1"/>
  <c r="CM138" i="24"/>
  <c r="EO138" i="24" s="1"/>
  <c r="CM121" i="24"/>
  <c r="EO121" i="24" s="1"/>
  <c r="CM115" i="24"/>
  <c r="EO115" i="24" s="1"/>
  <c r="CM208" i="24"/>
  <c r="EO208" i="24" s="1"/>
  <c r="CM203" i="24"/>
  <c r="EO203" i="24" s="1"/>
  <c r="CM187" i="24"/>
  <c r="EO187" i="24" s="1"/>
  <c r="CM175" i="24"/>
  <c r="EO175" i="24" s="1"/>
  <c r="CM169" i="24"/>
  <c r="EO169" i="24" s="1"/>
  <c r="CM164" i="24"/>
  <c r="EO164" i="24" s="1"/>
  <c r="CM158" i="24"/>
  <c r="EO158" i="24" s="1"/>
  <c r="CM153" i="24"/>
  <c r="EO153" i="24" s="1"/>
  <c r="CM148" i="24"/>
  <c r="EO148" i="24" s="1"/>
  <c r="CM143" i="24"/>
  <c r="EO143" i="24" s="1"/>
  <c r="CM137" i="24"/>
  <c r="EO137" i="24" s="1"/>
  <c r="CM131" i="24"/>
  <c r="EO131" i="24" s="1"/>
  <c r="CM126" i="24"/>
  <c r="EO126" i="24" s="1"/>
  <c r="CM120" i="24"/>
  <c r="EO120" i="24" s="1"/>
  <c r="CM202" i="24"/>
  <c r="EO202" i="24" s="1"/>
  <c r="CM196" i="24"/>
  <c r="EO196" i="24" s="1"/>
  <c r="CM191" i="24"/>
  <c r="EO191" i="24" s="1"/>
  <c r="CM186" i="24"/>
  <c r="EO186" i="24" s="1"/>
  <c r="CM180" i="24"/>
  <c r="EO180" i="24" s="1"/>
  <c r="CM174" i="24"/>
  <c r="EO174" i="24" s="1"/>
  <c r="CM163" i="24"/>
  <c r="EO163" i="24" s="1"/>
  <c r="CM142" i="24"/>
  <c r="EO142" i="24" s="1"/>
  <c r="CM125" i="24"/>
  <c r="EO125" i="24" s="1"/>
  <c r="CM119" i="24"/>
  <c r="EO119" i="24" s="1"/>
  <c r="CM114" i="24"/>
  <c r="EO114" i="24" s="1"/>
  <c r="CM207" i="24"/>
  <c r="EO207" i="24" s="1"/>
  <c r="CM201" i="24"/>
  <c r="EO201" i="24" s="1"/>
  <c r="CM185" i="24"/>
  <c r="EO185" i="24" s="1"/>
  <c r="CM179" i="24"/>
  <c r="EO179" i="24" s="1"/>
  <c r="CM173" i="24"/>
  <c r="EO173" i="24" s="1"/>
  <c r="CM168" i="24"/>
  <c r="EO168" i="24" s="1"/>
  <c r="CM157" i="24"/>
  <c r="EO157" i="24" s="1"/>
  <c r="CM152" i="24"/>
  <c r="EO152" i="24" s="1"/>
  <c r="CM147" i="24"/>
  <c r="EO147" i="24" s="1"/>
  <c r="CM141" i="24"/>
  <c r="EO141" i="24" s="1"/>
  <c r="CM136" i="24"/>
  <c r="EO136" i="24" s="1"/>
  <c r="CM130" i="24"/>
  <c r="EO130" i="24" s="1"/>
  <c r="CM124" i="24"/>
  <c r="EO124" i="24" s="1"/>
  <c r="CM110" i="24"/>
  <c r="CO110" i="24" s="1"/>
  <c r="CM206" i="24"/>
  <c r="EO206" i="24" s="1"/>
  <c r="CM195" i="24"/>
  <c r="EO195" i="24" s="1"/>
  <c r="CM190" i="24"/>
  <c r="EO190" i="24" s="1"/>
  <c r="CM162" i="24"/>
  <c r="EO162" i="24" s="1"/>
  <c r="CM140" i="24"/>
  <c r="EO140" i="24" s="1"/>
  <c r="CM135" i="24"/>
  <c r="EO135" i="24" s="1"/>
  <c r="CM129" i="24"/>
  <c r="EO129" i="24" s="1"/>
  <c r="CM118" i="24"/>
  <c r="EO118" i="24" s="1"/>
  <c r="CM113" i="24"/>
  <c r="EO113" i="24" s="1"/>
  <c r="CM200" i="24"/>
  <c r="EO200" i="24" s="1"/>
  <c r="CM184" i="24"/>
  <c r="EO184" i="24" s="1"/>
  <c r="CM178" i="24"/>
  <c r="EO178" i="24" s="1"/>
  <c r="CM172" i="24"/>
  <c r="EO172" i="24" s="1"/>
  <c r="CM167" i="24"/>
  <c r="EO167" i="24" s="1"/>
  <c r="CM161" i="24"/>
  <c r="EO161" i="24" s="1"/>
  <c r="CM156" i="24"/>
  <c r="EO156" i="24" s="1"/>
  <c r="CM151" i="24"/>
  <c r="EO151" i="24" s="1"/>
  <c r="CM146" i="24"/>
  <c r="EO146" i="24" s="1"/>
  <c r="CM134" i="24"/>
  <c r="EO134" i="24" s="1"/>
  <c r="CM128" i="24"/>
  <c r="EO128" i="24" s="1"/>
  <c r="CM123" i="24"/>
  <c r="EO123" i="24" s="1"/>
  <c r="CM117" i="24"/>
  <c r="EO117" i="24" s="1"/>
  <c r="CM205" i="24"/>
  <c r="EO205" i="24" s="1"/>
  <c r="CM199" i="24"/>
  <c r="EO199" i="24" s="1"/>
  <c r="CM194" i="24"/>
  <c r="EO194" i="24" s="1"/>
  <c r="CM189" i="24"/>
  <c r="EO189" i="24" s="1"/>
  <c r="CM183" i="24"/>
  <c r="EO183" i="24" s="1"/>
  <c r="CM177" i="24"/>
  <c r="EO177" i="24" s="1"/>
  <c r="CM171" i="24"/>
  <c r="EO171" i="24" s="1"/>
  <c r="CM166" i="24"/>
  <c r="EO166" i="24" s="1"/>
  <c r="CM155" i="24"/>
  <c r="EO155" i="24" s="1"/>
  <c r="CM150" i="24"/>
  <c r="EO150" i="24" s="1"/>
  <c r="CM145" i="24"/>
  <c r="EO145" i="24" s="1"/>
  <c r="CM139" i="24"/>
  <c r="EO139" i="24" s="1"/>
  <c r="CM133" i="24"/>
  <c r="EO133" i="24" s="1"/>
  <c r="CM122" i="24"/>
  <c r="EO122" i="24" s="1"/>
  <c r="CM116" i="24"/>
  <c r="EO116" i="24" s="1"/>
  <c r="CM112" i="24"/>
  <c r="EO112" i="24" s="1"/>
  <c r="CM210" i="24"/>
  <c r="EO210" i="24" s="1"/>
  <c r="CM198" i="24"/>
  <c r="EO198" i="24" s="1"/>
  <c r="CM193" i="24"/>
  <c r="EO193" i="24" s="1"/>
  <c r="CM188" i="24"/>
  <c r="EO188" i="24" s="1"/>
  <c r="CM182" i="24"/>
  <c r="EO182" i="24" s="1"/>
  <c r="CM165" i="24"/>
  <c r="EO165" i="24" s="1"/>
  <c r="CM160" i="24"/>
  <c r="EO160" i="24" s="1"/>
  <c r="CM132" i="24"/>
  <c r="EO132" i="24" s="1"/>
  <c r="CM127" i="24"/>
  <c r="EO127" i="24" s="1"/>
  <c r="CM111" i="24"/>
  <c r="EO111" i="24" s="1"/>
  <c r="CL216" i="25"/>
  <c r="DL216" i="25" s="1"/>
  <c r="CL110" i="25"/>
  <c r="DL110" i="25" s="1"/>
  <c r="CL5" i="25"/>
  <c r="DL5" i="25" s="1"/>
  <c r="CL5" i="24"/>
  <c r="CL216" i="24"/>
  <c r="CL110" i="24"/>
  <c r="CR81" i="25"/>
  <c r="CR16" i="25"/>
  <c r="CR84" i="25"/>
  <c r="CR13" i="25"/>
  <c r="CR34" i="25"/>
  <c r="CR46" i="25"/>
  <c r="CR54" i="25"/>
  <c r="CR122" i="25"/>
  <c r="CR53" i="25"/>
  <c r="CR15" i="25"/>
  <c r="CR19" i="25"/>
  <c r="CR77" i="25"/>
  <c r="CR27" i="25"/>
  <c r="CR40" i="25"/>
  <c r="CR100" i="25"/>
  <c r="CO37" i="24"/>
  <c r="CQ78" i="24"/>
  <c r="CR78" i="24" s="1"/>
  <c r="CT78" i="24" s="1"/>
  <c r="CQ62" i="24"/>
  <c r="CR62" i="24" s="1"/>
  <c r="CT62" i="24" s="1"/>
  <c r="CQ38" i="24"/>
  <c r="CR38" i="24" s="1"/>
  <c r="CT38" i="24" s="1"/>
  <c r="CQ12" i="24"/>
  <c r="CR12" i="24" s="1"/>
  <c r="CT12" i="24" s="1"/>
  <c r="CO79" i="24"/>
  <c r="CQ87" i="24"/>
  <c r="CR87" i="24" s="1"/>
  <c r="CT87" i="24" s="1"/>
  <c r="CO23" i="24"/>
  <c r="CQ57" i="24"/>
  <c r="CR57" i="24" s="1"/>
  <c r="CT57" i="24" s="1"/>
  <c r="CQ33" i="24"/>
  <c r="CR33" i="24" s="1"/>
  <c r="CT33" i="24" s="1"/>
  <c r="CO52" i="24"/>
  <c r="CO25" i="24"/>
  <c r="CR66" i="25"/>
  <c r="CR10" i="25"/>
  <c r="CR21" i="25"/>
  <c r="CR26" i="25"/>
  <c r="CR44" i="25"/>
  <c r="CR79" i="25"/>
  <c r="CR85" i="25"/>
  <c r="CR91" i="25"/>
  <c r="CR52" i="25"/>
  <c r="CR31" i="25"/>
  <c r="CR51" i="25"/>
  <c r="CR48" i="25"/>
  <c r="CO24" i="24"/>
  <c r="CO5" i="24"/>
  <c r="CQ20" i="24"/>
  <c r="CR20" i="24" s="1"/>
  <c r="CT20" i="24" s="1"/>
  <c r="CQ46" i="24"/>
  <c r="CR46" i="24" s="1"/>
  <c r="CT46" i="24" s="1"/>
  <c r="CQ92" i="24"/>
  <c r="CR92" i="24" s="1"/>
  <c r="CT92" i="24" s="1"/>
  <c r="CQ85" i="24"/>
  <c r="CR85" i="24" s="1"/>
  <c r="CT85" i="24" s="1"/>
  <c r="CO28" i="24"/>
  <c r="CO51" i="24"/>
  <c r="CQ70" i="24"/>
  <c r="CR70" i="24" s="1"/>
  <c r="CT70" i="24" s="1"/>
  <c r="CQ71" i="24"/>
  <c r="CR71" i="24" s="1"/>
  <c r="CT71" i="24" s="1"/>
  <c r="CQ65" i="24"/>
  <c r="CR65" i="24" s="1"/>
  <c r="CT65" i="24" s="1"/>
  <c r="CQ49" i="24"/>
  <c r="CR49" i="24" s="1"/>
  <c r="CT49" i="24" s="1"/>
  <c r="CQ35" i="24"/>
  <c r="CR35" i="24" s="1"/>
  <c r="CT35" i="24" s="1"/>
  <c r="CQ22" i="24"/>
  <c r="CR22" i="24" s="1"/>
  <c r="CT22" i="24" s="1"/>
  <c r="CO39" i="24"/>
  <c r="CO93" i="24"/>
  <c r="CR64" i="25"/>
  <c r="CR96" i="25"/>
  <c r="CR18" i="25"/>
  <c r="CR80" i="25"/>
  <c r="CR65" i="25"/>
  <c r="CR73" i="25"/>
  <c r="CR30" i="25"/>
  <c r="CR62" i="25"/>
  <c r="CR75" i="25"/>
  <c r="CR17" i="25"/>
  <c r="CR76" i="25"/>
  <c r="CR67" i="25"/>
  <c r="CR23" i="25"/>
  <c r="CR43" i="25"/>
  <c r="CR11" i="25"/>
  <c r="CQ103" i="24"/>
  <c r="CR103" i="24" s="1"/>
  <c r="CT103" i="24" s="1"/>
  <c r="CQ14" i="24"/>
  <c r="CR14" i="24" s="1"/>
  <c r="CT14" i="24" s="1"/>
  <c r="CO77" i="24"/>
  <c r="CO34" i="24"/>
  <c r="CQ91" i="24"/>
  <c r="CR91" i="24" s="1"/>
  <c r="CT91" i="24" s="1"/>
  <c r="CO68" i="24"/>
  <c r="CO102" i="24"/>
  <c r="CO67" i="24"/>
  <c r="CO14" i="24"/>
  <c r="CO59" i="24"/>
  <c r="CO21" i="24"/>
  <c r="CO71" i="24"/>
  <c r="CQ17" i="24"/>
  <c r="CR17" i="24" s="1"/>
  <c r="CT17" i="24" s="1"/>
  <c r="CO41" i="24"/>
  <c r="CO94" i="24"/>
  <c r="CO10" i="24"/>
  <c r="CR49" i="25"/>
  <c r="CR102" i="25"/>
  <c r="CR70" i="25"/>
  <c r="CR9" i="25"/>
  <c r="CR72" i="25"/>
  <c r="CR14" i="25"/>
  <c r="CR63" i="25"/>
  <c r="CR45" i="25"/>
  <c r="CR28" i="25"/>
  <c r="CR37" i="25"/>
  <c r="CO96" i="24"/>
  <c r="CO81" i="24"/>
  <c r="CQ42" i="24"/>
  <c r="CR42" i="24" s="1"/>
  <c r="CT42" i="24" s="1"/>
  <c r="CQ27" i="24"/>
  <c r="CR27" i="24" s="1"/>
  <c r="CT27" i="24" s="1"/>
  <c r="CO62" i="24"/>
  <c r="CO55" i="24"/>
  <c r="CO84" i="24"/>
  <c r="CQ86" i="24"/>
  <c r="CR86" i="24" s="1"/>
  <c r="CT86" i="24" s="1"/>
  <c r="CO60" i="24"/>
  <c r="CQ73" i="24"/>
  <c r="CR73" i="24" s="1"/>
  <c r="CT73" i="24" s="1"/>
  <c r="CQ82" i="24"/>
  <c r="CR82" i="24" s="1"/>
  <c r="CT82" i="24" s="1"/>
  <c r="CR42" i="25"/>
  <c r="CR38" i="25"/>
  <c r="CR61" i="25"/>
  <c r="CR105" i="25"/>
  <c r="CR68" i="25"/>
  <c r="CR6" i="25"/>
  <c r="CX6" i="25" s="1"/>
  <c r="CY6" i="25" s="1"/>
  <c r="CR41" i="25"/>
  <c r="CR59" i="25"/>
  <c r="CR94" i="25"/>
  <c r="CR78" i="25"/>
  <c r="CR47" i="25"/>
  <c r="CR83" i="25"/>
  <c r="CO89" i="24"/>
  <c r="CQ5" i="24"/>
  <c r="CY5" i="24" s="1"/>
  <c r="CO15" i="24"/>
  <c r="CO88" i="24"/>
  <c r="CQ45" i="24"/>
  <c r="CR45" i="24" s="1"/>
  <c r="CT45" i="24" s="1"/>
  <c r="CQ105" i="24"/>
  <c r="CR105" i="24" s="1"/>
  <c r="CT105" i="24" s="1"/>
  <c r="CQ40" i="24"/>
  <c r="CR40" i="24" s="1"/>
  <c r="CT40" i="24" s="1"/>
  <c r="CQ68" i="24"/>
  <c r="CR68" i="24" s="1"/>
  <c r="CT68" i="24" s="1"/>
  <c r="CO33" i="24"/>
  <c r="CR35" i="25"/>
  <c r="CR101" i="25"/>
  <c r="CR57" i="25"/>
  <c r="CR60" i="25"/>
  <c r="CR97" i="25"/>
  <c r="CR92" i="25"/>
  <c r="CR25" i="25"/>
  <c r="CR88" i="25"/>
  <c r="CR58" i="25"/>
  <c r="CR56" i="25"/>
  <c r="CR32" i="25"/>
  <c r="CR12" i="25"/>
  <c r="CR71" i="25"/>
  <c r="CR87" i="25"/>
  <c r="CR36" i="25"/>
  <c r="CR24" i="25"/>
  <c r="CR39" i="25"/>
  <c r="CR95" i="25"/>
  <c r="CR55" i="25"/>
  <c r="CQ74" i="24"/>
  <c r="CR74" i="24" s="1"/>
  <c r="CT74" i="24" s="1"/>
  <c r="CO30" i="24"/>
  <c r="CQ37" i="24"/>
  <c r="CR37" i="24" s="1"/>
  <c r="CT37" i="24" s="1"/>
  <c r="CO100" i="24"/>
  <c r="CO58" i="24"/>
  <c r="CO29" i="24"/>
  <c r="CO19" i="24"/>
  <c r="CO17" i="24"/>
  <c r="CQ96" i="24"/>
  <c r="CR96" i="24" s="1"/>
  <c r="CT96" i="24" s="1"/>
  <c r="CQ48" i="24"/>
  <c r="CR48" i="24" s="1"/>
  <c r="CT48" i="24" s="1"/>
  <c r="CO80" i="24"/>
  <c r="CO104" i="24"/>
  <c r="CO99" i="24"/>
  <c r="CO54" i="24"/>
  <c r="CQ81" i="24"/>
  <c r="CR81" i="24" s="1"/>
  <c r="CT81" i="24" s="1"/>
  <c r="CO50" i="24"/>
  <c r="CO87" i="24"/>
  <c r="CR50" i="25"/>
  <c r="CR69" i="25"/>
  <c r="CQ11" i="24"/>
  <c r="CR11" i="24" s="1"/>
  <c r="CT11" i="24" s="1"/>
  <c r="CO82" i="24"/>
  <c r="CQ39" i="24"/>
  <c r="CR39" i="24" s="1"/>
  <c r="CT39" i="24" s="1"/>
  <c r="CQ60" i="24"/>
  <c r="CR60" i="24" s="1"/>
  <c r="CT60" i="24" s="1"/>
  <c r="CO11" i="24"/>
  <c r="CQ56" i="24"/>
  <c r="CR56" i="24" s="1"/>
  <c r="CT56" i="24" s="1"/>
  <c r="CQ13" i="24"/>
  <c r="CR13" i="24" s="1"/>
  <c r="CT13" i="24" s="1"/>
  <c r="CO66" i="24"/>
  <c r="CO91" i="24"/>
  <c r="CQ94" i="24"/>
  <c r="CR94" i="24" s="1"/>
  <c r="CT94" i="24" s="1"/>
  <c r="CQ10" i="24"/>
  <c r="CR10" i="24" s="1"/>
  <c r="CT10" i="24" s="1"/>
  <c r="CO78" i="24"/>
  <c r="CQ30" i="24"/>
  <c r="CR30" i="24" s="1"/>
  <c r="CT30" i="24" s="1"/>
  <c r="CQ26" i="24"/>
  <c r="CR26" i="24" s="1"/>
  <c r="CT26" i="24" s="1"/>
  <c r="CO98" i="24"/>
  <c r="CQ34" i="24"/>
  <c r="CR34" i="24" s="1"/>
  <c r="CT34" i="24" s="1"/>
  <c r="CO76" i="24"/>
  <c r="CO13" i="24"/>
  <c r="CR89" i="25"/>
  <c r="CO6" i="24"/>
  <c r="CO43" i="24"/>
  <c r="CQ51" i="24"/>
  <c r="CR51" i="24" s="1"/>
  <c r="CT51" i="24" s="1"/>
  <c r="CO72" i="24"/>
  <c r="CQ24" i="24"/>
  <c r="CR24" i="24" s="1"/>
  <c r="CT24" i="24" s="1"/>
  <c r="CQ61" i="24"/>
  <c r="CR61" i="24" s="1"/>
  <c r="CT61" i="24" s="1"/>
  <c r="CO9" i="24"/>
  <c r="CR20" i="25"/>
  <c r="CQ104" i="24"/>
  <c r="CR104" i="24" s="1"/>
  <c r="CT104" i="24" s="1"/>
  <c r="CO44" i="24"/>
  <c r="CQ23" i="24"/>
  <c r="CR23" i="24" s="1"/>
  <c r="CT23" i="24" s="1"/>
  <c r="CQ53" i="24"/>
  <c r="CR53" i="24" s="1"/>
  <c r="CT53" i="24" s="1"/>
  <c r="CO69" i="24"/>
  <c r="CQ44" i="24"/>
  <c r="CR44" i="24" s="1"/>
  <c r="CT44" i="24" s="1"/>
  <c r="CO26" i="24"/>
  <c r="CQ31" i="24"/>
  <c r="CR31" i="24" s="1"/>
  <c r="CT31" i="24" s="1"/>
  <c r="CQ7" i="24"/>
  <c r="CR7" i="24" s="1"/>
  <c r="CT7" i="24" s="1"/>
  <c r="CR22" i="25"/>
  <c r="CR82" i="25"/>
  <c r="CR33" i="25"/>
  <c r="CR98" i="25"/>
  <c r="CO57" i="24"/>
  <c r="CO40" i="24"/>
  <c r="CO45" i="24"/>
  <c r="CQ76" i="24"/>
  <c r="CR76" i="24" s="1"/>
  <c r="CT76" i="24" s="1"/>
  <c r="CQ66" i="24"/>
  <c r="CR66" i="24" s="1"/>
  <c r="CT66" i="24" s="1"/>
  <c r="CQ88" i="24"/>
  <c r="CR88" i="24" s="1"/>
  <c r="CT88" i="24" s="1"/>
  <c r="CO42" i="24"/>
  <c r="CO16" i="24"/>
  <c r="CQ90" i="24"/>
  <c r="CR90" i="24" s="1"/>
  <c r="CT90" i="24" s="1"/>
  <c r="CO65" i="24"/>
  <c r="CO64" i="24"/>
  <c r="CQ47" i="24"/>
  <c r="CR47" i="24" s="1"/>
  <c r="CT47" i="24" s="1"/>
  <c r="CO8" i="24"/>
  <c r="CQ95" i="24"/>
  <c r="CR95" i="24" s="1"/>
  <c r="CT95" i="24" s="1"/>
  <c r="CQ32" i="24"/>
  <c r="CR32" i="24" s="1"/>
  <c r="CT32" i="24" s="1"/>
  <c r="CR7" i="25"/>
  <c r="CX7" i="25" s="1"/>
  <c r="CY7" i="25" s="1"/>
  <c r="CQ25" i="24"/>
  <c r="CR25" i="24" s="1"/>
  <c r="CT25" i="24" s="1"/>
  <c r="CO31" i="24"/>
  <c r="CQ15" i="24"/>
  <c r="CR15" i="24" s="1"/>
  <c r="CT15" i="24" s="1"/>
  <c r="CQ99" i="24"/>
  <c r="CR99" i="24" s="1"/>
  <c r="CT99" i="24" s="1"/>
  <c r="CQ100" i="24"/>
  <c r="CR100" i="24" s="1"/>
  <c r="CT100" i="24" s="1"/>
  <c r="CO12" i="24"/>
  <c r="CO85" i="24"/>
  <c r="CO7" i="24"/>
  <c r="CO105" i="24"/>
  <c r="CR104" i="25"/>
  <c r="CQ75" i="24"/>
  <c r="CR75" i="24" s="1"/>
  <c r="CT75" i="24" s="1"/>
  <c r="CQ16" i="24"/>
  <c r="CR16" i="24" s="1"/>
  <c r="CT16" i="24" s="1"/>
  <c r="CO74" i="24"/>
  <c r="CO97" i="24"/>
  <c r="CQ102" i="24"/>
  <c r="CR102" i="24" s="1"/>
  <c r="CT102" i="24" s="1"/>
  <c r="CR99" i="25"/>
  <c r="CR103" i="25"/>
  <c r="CO32" i="24"/>
  <c r="CQ36" i="24"/>
  <c r="CR36" i="24" s="1"/>
  <c r="CT36" i="24" s="1"/>
  <c r="CQ19" i="24"/>
  <c r="CR19" i="24" s="1"/>
  <c r="CT19" i="24" s="1"/>
  <c r="CO27" i="24"/>
  <c r="CQ55" i="24"/>
  <c r="CR55" i="24" s="1"/>
  <c r="CT55" i="24" s="1"/>
  <c r="CO95" i="24"/>
  <c r="CQ54" i="24"/>
  <c r="CR54" i="24" s="1"/>
  <c r="CT54" i="24" s="1"/>
  <c r="CO75" i="24"/>
  <c r="CO103" i="24"/>
  <c r="CQ64" i="24"/>
  <c r="CR64" i="24" s="1"/>
  <c r="CT64" i="24" s="1"/>
  <c r="CQ77" i="24"/>
  <c r="CR77" i="24" s="1"/>
  <c r="CT77" i="24" s="1"/>
  <c r="CO86" i="24"/>
  <c r="CO70" i="24"/>
  <c r="CO46" i="24"/>
  <c r="CQ97" i="24"/>
  <c r="CR97" i="24" s="1"/>
  <c r="CT97" i="24" s="1"/>
  <c r="CQ21" i="24"/>
  <c r="CR21" i="24" s="1"/>
  <c r="CT21" i="24" s="1"/>
  <c r="CO83" i="24"/>
  <c r="CQ89" i="24"/>
  <c r="CR89" i="24" s="1"/>
  <c r="CT89" i="24" s="1"/>
  <c r="CO22" i="24"/>
  <c r="CQ50" i="24"/>
  <c r="CR50" i="24" s="1"/>
  <c r="CT50" i="24" s="1"/>
  <c r="CO36" i="24"/>
  <c r="CO47" i="24"/>
  <c r="CR93" i="25"/>
  <c r="CR74" i="25"/>
  <c r="CQ6" i="24"/>
  <c r="CR6" i="24" s="1"/>
  <c r="CT6" i="24" s="1"/>
  <c r="CQ83" i="24"/>
  <c r="CR83" i="24" s="1"/>
  <c r="CT83" i="24" s="1"/>
  <c r="CQ80" i="24"/>
  <c r="CR80" i="24" s="1"/>
  <c r="CT80" i="24" s="1"/>
  <c r="CQ52" i="24"/>
  <c r="CR52" i="24" s="1"/>
  <c r="CT52" i="24" s="1"/>
  <c r="CQ98" i="24"/>
  <c r="CR98" i="24" s="1"/>
  <c r="CT98" i="24" s="1"/>
  <c r="CQ59" i="24"/>
  <c r="CR59" i="24" s="1"/>
  <c r="CT59" i="24" s="1"/>
  <c r="CO38" i="24"/>
  <c r="CO90" i="24"/>
  <c r="CO53" i="24"/>
  <c r="CR8" i="25"/>
  <c r="CR86" i="25"/>
  <c r="CQ58" i="24"/>
  <c r="CR58" i="24" s="1"/>
  <c r="CT58" i="24" s="1"/>
  <c r="CO61" i="24"/>
  <c r="CQ43" i="24"/>
  <c r="CR43" i="24" s="1"/>
  <c r="CT43" i="24" s="1"/>
  <c r="CQ84" i="24"/>
  <c r="CR84" i="24" s="1"/>
  <c r="CT84" i="24" s="1"/>
  <c r="CO35" i="24"/>
  <c r="CQ41" i="24"/>
  <c r="CR41" i="24" s="1"/>
  <c r="CT41" i="24" s="1"/>
  <c r="CQ29" i="24"/>
  <c r="CR29" i="24" s="1"/>
  <c r="CT29" i="24" s="1"/>
  <c r="CO48" i="24"/>
  <c r="CQ93" i="24"/>
  <c r="CR93" i="24" s="1"/>
  <c r="CT93" i="24" s="1"/>
  <c r="CO56" i="24"/>
  <c r="CQ18" i="24"/>
  <c r="CR18" i="24" s="1"/>
  <c r="CT18" i="24" s="1"/>
  <c r="CO101" i="24"/>
  <c r="CO20" i="24"/>
  <c r="CO18" i="24"/>
  <c r="CQ67" i="24"/>
  <c r="CR67" i="24" s="1"/>
  <c r="CT67" i="24" s="1"/>
  <c r="CR29" i="25"/>
  <c r="CR90" i="25"/>
  <c r="CQ101" i="24"/>
  <c r="CR101" i="24" s="1"/>
  <c r="CT101" i="24" s="1"/>
  <c r="CQ69" i="24"/>
  <c r="CR69" i="24" s="1"/>
  <c r="CT69" i="24" s="1"/>
  <c r="CQ9" i="24"/>
  <c r="CR9" i="24" s="1"/>
  <c r="CT9" i="24" s="1"/>
  <c r="CO73" i="24"/>
  <c r="CO63" i="24"/>
  <c r="CQ8" i="24"/>
  <c r="CR8" i="24" s="1"/>
  <c r="CT8" i="24" s="1"/>
  <c r="CQ63" i="24"/>
  <c r="CR63" i="24" s="1"/>
  <c r="CT63" i="24" s="1"/>
  <c r="CQ72" i="24"/>
  <c r="CR72" i="24" s="1"/>
  <c r="CT72" i="24" s="1"/>
  <c r="CQ28" i="24"/>
  <c r="CR28" i="24" s="1"/>
  <c r="CT28" i="24" s="1"/>
  <c r="CO92" i="24"/>
  <c r="CO49" i="24"/>
  <c r="CQ79" i="24"/>
  <c r="CR79" i="24" s="1"/>
  <c r="CT79" i="24" s="1"/>
  <c r="CL6" i="25"/>
  <c r="DL6" i="25" s="1"/>
  <c r="CL7" i="25"/>
  <c r="DL7" i="25" s="1"/>
  <c r="CN309" i="25"/>
  <c r="CN301" i="25"/>
  <c r="CN293" i="25"/>
  <c r="CN285" i="25"/>
  <c r="CN277" i="25"/>
  <c r="CN269" i="25"/>
  <c r="CN261" i="25"/>
  <c r="CN253" i="25"/>
  <c r="CN245" i="25"/>
  <c r="CN237" i="25"/>
  <c r="CN229" i="25"/>
  <c r="CN221" i="25"/>
  <c r="CN262" i="25"/>
  <c r="CN246" i="25"/>
  <c r="CN222" i="25"/>
  <c r="CN316" i="25"/>
  <c r="CN308" i="25"/>
  <c r="CN300" i="25"/>
  <c r="CN292" i="25"/>
  <c r="CN284" i="25"/>
  <c r="CN276" i="25"/>
  <c r="CN268" i="25"/>
  <c r="CN260" i="25"/>
  <c r="CN252" i="25"/>
  <c r="CN244" i="25"/>
  <c r="CN236" i="25"/>
  <c r="CN228" i="25"/>
  <c r="CN220" i="25"/>
  <c r="CN278" i="25"/>
  <c r="CN254" i="25"/>
  <c r="CN315" i="25"/>
  <c r="CN307" i="25"/>
  <c r="CN299" i="25"/>
  <c r="CN291" i="25"/>
  <c r="CN283" i="25"/>
  <c r="CN275" i="25"/>
  <c r="CN267" i="25"/>
  <c r="CN259" i="25"/>
  <c r="CN251" i="25"/>
  <c r="CN243" i="25"/>
  <c r="CN235" i="25"/>
  <c r="CN227" i="25"/>
  <c r="CN219" i="25"/>
  <c r="CN270" i="25"/>
  <c r="CN238" i="25"/>
  <c r="CN314" i="25"/>
  <c r="CN306" i="25"/>
  <c r="CN298" i="25"/>
  <c r="CN290" i="25"/>
  <c r="CN282" i="25"/>
  <c r="CN274" i="25"/>
  <c r="CN266" i="25"/>
  <c r="CN258" i="25"/>
  <c r="CN250" i="25"/>
  <c r="CN242" i="25"/>
  <c r="CN234" i="25"/>
  <c r="CN226" i="25"/>
  <c r="CN218" i="25"/>
  <c r="CN294" i="25"/>
  <c r="CN313" i="25"/>
  <c r="CN305" i="25"/>
  <c r="CN297" i="25"/>
  <c r="CN289" i="25"/>
  <c r="CN281" i="25"/>
  <c r="CN273" i="25"/>
  <c r="CN265" i="25"/>
  <c r="CN257" i="25"/>
  <c r="CN249" i="25"/>
  <c r="CN241" i="25"/>
  <c r="CN233" i="25"/>
  <c r="CN225" i="25"/>
  <c r="CN217" i="25"/>
  <c r="CN286" i="25"/>
  <c r="CN312" i="25"/>
  <c r="CN304" i="25"/>
  <c r="CN296" i="25"/>
  <c r="CN288" i="25"/>
  <c r="CN280" i="25"/>
  <c r="CN272" i="25"/>
  <c r="CN264" i="25"/>
  <c r="CN256" i="25"/>
  <c r="CN248" i="25"/>
  <c r="CN240" i="25"/>
  <c r="CN232" i="25"/>
  <c r="CN224" i="25"/>
  <c r="CN302" i="25"/>
  <c r="CN230" i="25"/>
  <c r="CN311" i="25"/>
  <c r="CN303" i="25"/>
  <c r="CN295" i="25"/>
  <c r="CN287" i="25"/>
  <c r="CN279" i="25"/>
  <c r="CN271" i="25"/>
  <c r="CN263" i="25"/>
  <c r="CN255" i="25"/>
  <c r="CN247" i="25"/>
  <c r="CN239" i="25"/>
  <c r="CN231" i="25"/>
  <c r="CN223" i="25"/>
  <c r="CN216" i="25"/>
  <c r="CN310" i="25"/>
  <c r="CM312" i="24"/>
  <c r="EO312" i="24" s="1"/>
  <c r="CM304" i="24"/>
  <c r="EO304" i="24" s="1"/>
  <c r="CM296" i="24"/>
  <c r="EO296" i="24" s="1"/>
  <c r="CM288" i="24"/>
  <c r="EO288" i="24" s="1"/>
  <c r="CM280" i="24"/>
  <c r="EO280" i="24" s="1"/>
  <c r="CM272" i="24"/>
  <c r="EO272" i="24" s="1"/>
  <c r="CM264" i="24"/>
  <c r="EO264" i="24" s="1"/>
  <c r="CM256" i="24"/>
  <c r="EO256" i="24" s="1"/>
  <c r="CM248" i="24"/>
  <c r="EO248" i="24" s="1"/>
  <c r="CM240" i="24"/>
  <c r="EO240" i="24" s="1"/>
  <c r="CM232" i="24"/>
  <c r="EO232" i="24" s="1"/>
  <c r="CM224" i="24"/>
  <c r="EO224" i="24" s="1"/>
  <c r="CM281" i="24"/>
  <c r="EO281" i="24" s="1"/>
  <c r="CM311" i="24"/>
  <c r="EO311" i="24" s="1"/>
  <c r="CM303" i="24"/>
  <c r="EO303" i="24" s="1"/>
  <c r="CM295" i="24"/>
  <c r="EO295" i="24" s="1"/>
  <c r="CM287" i="24"/>
  <c r="EO287" i="24" s="1"/>
  <c r="CM279" i="24"/>
  <c r="EO279" i="24" s="1"/>
  <c r="CM271" i="24"/>
  <c r="EO271" i="24" s="1"/>
  <c r="CM263" i="24"/>
  <c r="EO263" i="24" s="1"/>
  <c r="CM255" i="24"/>
  <c r="EO255" i="24" s="1"/>
  <c r="CM247" i="24"/>
  <c r="EO247" i="24" s="1"/>
  <c r="CM239" i="24"/>
  <c r="EO239" i="24" s="1"/>
  <c r="CM231" i="24"/>
  <c r="EO231" i="24" s="1"/>
  <c r="CM223" i="24"/>
  <c r="EO223" i="24" s="1"/>
  <c r="CM216" i="24"/>
  <c r="EO216" i="24" s="1"/>
  <c r="CM305" i="24"/>
  <c r="EO305" i="24" s="1"/>
  <c r="CM241" i="24"/>
  <c r="EO241" i="24" s="1"/>
  <c r="CM310" i="24"/>
  <c r="EO310" i="24" s="1"/>
  <c r="CM302" i="24"/>
  <c r="EO302" i="24" s="1"/>
  <c r="CM294" i="24"/>
  <c r="EO294" i="24" s="1"/>
  <c r="CM286" i="24"/>
  <c r="EO286" i="24" s="1"/>
  <c r="CM278" i="24"/>
  <c r="EO278" i="24" s="1"/>
  <c r="CM270" i="24"/>
  <c r="EO270" i="24" s="1"/>
  <c r="CM262" i="24"/>
  <c r="EO262" i="24" s="1"/>
  <c r="CM254" i="24"/>
  <c r="EO254" i="24" s="1"/>
  <c r="CM246" i="24"/>
  <c r="EO246" i="24" s="1"/>
  <c r="CM238" i="24"/>
  <c r="EO238" i="24" s="1"/>
  <c r="CM230" i="24"/>
  <c r="EO230" i="24" s="1"/>
  <c r="CM222" i="24"/>
  <c r="EO222" i="24" s="1"/>
  <c r="CM313" i="24"/>
  <c r="EO313" i="24" s="1"/>
  <c r="CM233" i="24"/>
  <c r="EO233" i="24" s="1"/>
  <c r="CM309" i="24"/>
  <c r="EO309" i="24" s="1"/>
  <c r="CM301" i="24"/>
  <c r="EO301" i="24" s="1"/>
  <c r="CM293" i="24"/>
  <c r="EO293" i="24" s="1"/>
  <c r="CM285" i="24"/>
  <c r="EO285" i="24" s="1"/>
  <c r="CM277" i="24"/>
  <c r="EO277" i="24" s="1"/>
  <c r="CM269" i="24"/>
  <c r="EO269" i="24" s="1"/>
  <c r="CM261" i="24"/>
  <c r="EO261" i="24" s="1"/>
  <c r="CM253" i="24"/>
  <c r="EO253" i="24" s="1"/>
  <c r="CM245" i="24"/>
  <c r="EO245" i="24" s="1"/>
  <c r="CM237" i="24"/>
  <c r="EO237" i="24" s="1"/>
  <c r="CM229" i="24"/>
  <c r="EO229" i="24" s="1"/>
  <c r="CM221" i="24"/>
  <c r="EO221" i="24" s="1"/>
  <c r="CM289" i="24"/>
  <c r="EO289" i="24" s="1"/>
  <c r="CM249" i="24"/>
  <c r="EO249" i="24" s="1"/>
  <c r="CM316" i="24"/>
  <c r="EO316" i="24" s="1"/>
  <c r="CM308" i="24"/>
  <c r="EO308" i="24" s="1"/>
  <c r="CM300" i="24"/>
  <c r="EO300" i="24" s="1"/>
  <c r="CM292" i="24"/>
  <c r="EO292" i="24" s="1"/>
  <c r="CM284" i="24"/>
  <c r="EO284" i="24" s="1"/>
  <c r="CM276" i="24"/>
  <c r="EO276" i="24" s="1"/>
  <c r="CM268" i="24"/>
  <c r="EO268" i="24" s="1"/>
  <c r="CM260" i="24"/>
  <c r="EO260" i="24" s="1"/>
  <c r="CM252" i="24"/>
  <c r="EO252" i="24" s="1"/>
  <c r="CM244" i="24"/>
  <c r="EO244" i="24" s="1"/>
  <c r="CM236" i="24"/>
  <c r="EO236" i="24" s="1"/>
  <c r="CM228" i="24"/>
  <c r="EO228" i="24" s="1"/>
  <c r="CM220" i="24"/>
  <c r="EO220" i="24" s="1"/>
  <c r="CM226" i="24"/>
  <c r="EO226" i="24" s="1"/>
  <c r="CM297" i="24"/>
  <c r="EO297" i="24" s="1"/>
  <c r="CM265" i="24"/>
  <c r="EO265" i="24" s="1"/>
  <c r="CM225" i="24"/>
  <c r="EO225" i="24" s="1"/>
  <c r="CM315" i="24"/>
  <c r="EO315" i="24" s="1"/>
  <c r="CM307" i="24"/>
  <c r="EO307" i="24" s="1"/>
  <c r="CM299" i="24"/>
  <c r="EO299" i="24" s="1"/>
  <c r="CM291" i="24"/>
  <c r="EO291" i="24" s="1"/>
  <c r="CM283" i="24"/>
  <c r="EO283" i="24" s="1"/>
  <c r="CM275" i="24"/>
  <c r="EO275" i="24" s="1"/>
  <c r="CM267" i="24"/>
  <c r="EO267" i="24" s="1"/>
  <c r="CM259" i="24"/>
  <c r="EO259" i="24" s="1"/>
  <c r="CM251" i="24"/>
  <c r="EO251" i="24" s="1"/>
  <c r="CM243" i="24"/>
  <c r="EO243" i="24" s="1"/>
  <c r="CM235" i="24"/>
  <c r="EO235" i="24" s="1"/>
  <c r="CM227" i="24"/>
  <c r="EO227" i="24" s="1"/>
  <c r="CM219" i="24"/>
  <c r="EO219" i="24" s="1"/>
  <c r="CM234" i="24"/>
  <c r="EO234" i="24" s="1"/>
  <c r="CM257" i="24"/>
  <c r="EO257" i="24" s="1"/>
  <c r="CM314" i="24"/>
  <c r="EO314" i="24" s="1"/>
  <c r="CM306" i="24"/>
  <c r="EO306" i="24" s="1"/>
  <c r="CM298" i="24"/>
  <c r="EO298" i="24" s="1"/>
  <c r="CM290" i="24"/>
  <c r="EO290" i="24" s="1"/>
  <c r="CM282" i="24"/>
  <c r="EO282" i="24" s="1"/>
  <c r="CM274" i="24"/>
  <c r="EO274" i="24" s="1"/>
  <c r="CM266" i="24"/>
  <c r="EO266" i="24" s="1"/>
  <c r="CM258" i="24"/>
  <c r="EO258" i="24" s="1"/>
  <c r="CM250" i="24"/>
  <c r="EO250" i="24" s="1"/>
  <c r="CM242" i="24"/>
  <c r="EO242" i="24" s="1"/>
  <c r="CM218" i="24"/>
  <c r="EO218" i="24" s="1"/>
  <c r="CM273" i="24"/>
  <c r="EO273" i="24" s="1"/>
  <c r="CM217" i="24"/>
  <c r="EO217" i="24" s="1"/>
  <c r="B16" i="29"/>
  <c r="B106" i="2"/>
  <c r="G11" i="2"/>
  <c r="Y14" i="2" s="1"/>
  <c r="Y19" i="2"/>
  <c r="B14" i="29"/>
  <c r="B147" i="2"/>
  <c r="M2" i="24"/>
  <c r="D43" i="16"/>
  <c r="K12" i="2"/>
  <c r="K11" i="2"/>
  <c r="BR5" i="24"/>
  <c r="B28" i="2"/>
  <c r="C43" i="16"/>
  <c r="B14" i="2"/>
  <c r="H110" i="25"/>
  <c r="H5" i="25"/>
  <c r="AH5" i="25" s="1"/>
  <c r="H216" i="25"/>
  <c r="B193" i="2"/>
  <c r="E39" i="1" s="1"/>
  <c r="B214" i="2"/>
  <c r="B210" i="2"/>
  <c r="B35" i="2"/>
  <c r="B157" i="2"/>
  <c r="H216" i="24"/>
  <c r="H110" i="24"/>
  <c r="E15" i="23"/>
  <c r="R15" i="23" s="1"/>
  <c r="E23" i="23"/>
  <c r="R23" i="23" s="1"/>
  <c r="E31" i="23"/>
  <c r="R31" i="23" s="1"/>
  <c r="E39" i="23"/>
  <c r="R39" i="23" s="1"/>
  <c r="E47" i="23"/>
  <c r="R47" i="23" s="1"/>
  <c r="E55" i="23"/>
  <c r="R55" i="23" s="1"/>
  <c r="E63" i="23"/>
  <c r="R63" i="23" s="1"/>
  <c r="E71" i="23"/>
  <c r="R71" i="23" s="1"/>
  <c r="E79" i="23"/>
  <c r="R79" i="23" s="1"/>
  <c r="E87" i="23"/>
  <c r="R87" i="23" s="1"/>
  <c r="E95" i="23"/>
  <c r="R95" i="23" s="1"/>
  <c r="E103" i="23"/>
  <c r="R103" i="23" s="1"/>
  <c r="E20" i="23"/>
  <c r="R20" i="23" s="1"/>
  <c r="E44" i="23"/>
  <c r="R44" i="23" s="1"/>
  <c r="E68" i="23"/>
  <c r="R68" i="23" s="1"/>
  <c r="E84" i="23"/>
  <c r="R84" i="23" s="1"/>
  <c r="E7" i="23"/>
  <c r="R7" i="23" s="1"/>
  <c r="E16" i="23"/>
  <c r="R16" i="23" s="1"/>
  <c r="E24" i="23"/>
  <c r="R24" i="23" s="1"/>
  <c r="E32" i="23"/>
  <c r="R32" i="23" s="1"/>
  <c r="E40" i="23"/>
  <c r="R40" i="23" s="1"/>
  <c r="E48" i="23"/>
  <c r="R48" i="23" s="1"/>
  <c r="E56" i="23"/>
  <c r="R56" i="23" s="1"/>
  <c r="E64" i="23"/>
  <c r="R64" i="23" s="1"/>
  <c r="E72" i="23"/>
  <c r="R72" i="23" s="1"/>
  <c r="E80" i="23"/>
  <c r="R80" i="23" s="1"/>
  <c r="E88" i="23"/>
  <c r="R88" i="23" s="1"/>
  <c r="E96" i="23"/>
  <c r="R96" i="23" s="1"/>
  <c r="E104" i="23"/>
  <c r="R104" i="23" s="1"/>
  <c r="E28" i="23"/>
  <c r="R28" i="23" s="1"/>
  <c r="E60" i="23"/>
  <c r="R60" i="23" s="1"/>
  <c r="E92" i="23"/>
  <c r="R92" i="23" s="1"/>
  <c r="E11" i="23"/>
  <c r="R11" i="23" s="1"/>
  <c r="E19" i="23"/>
  <c r="R19" i="23" s="1"/>
  <c r="E27" i="23"/>
  <c r="R27" i="23" s="1"/>
  <c r="E35" i="23"/>
  <c r="R35" i="23" s="1"/>
  <c r="E43" i="23"/>
  <c r="R43" i="23" s="1"/>
  <c r="E51" i="23"/>
  <c r="R51" i="23" s="1"/>
  <c r="E59" i="23"/>
  <c r="R59" i="23" s="1"/>
  <c r="E67" i="23"/>
  <c r="R67" i="23" s="1"/>
  <c r="E75" i="23"/>
  <c r="R75" i="23" s="1"/>
  <c r="E83" i="23"/>
  <c r="R83" i="23" s="1"/>
  <c r="E91" i="23"/>
  <c r="R91" i="23" s="1"/>
  <c r="E99" i="23"/>
  <c r="R99" i="23" s="1"/>
  <c r="E6" i="23"/>
  <c r="R6" i="23" s="1"/>
  <c r="E12" i="23"/>
  <c r="R12" i="23" s="1"/>
  <c r="E36" i="23"/>
  <c r="R36" i="23" s="1"/>
  <c r="E52" i="23"/>
  <c r="R52" i="23" s="1"/>
  <c r="E76" i="23"/>
  <c r="R76" i="23" s="1"/>
  <c r="E100" i="23"/>
  <c r="R100" i="23" s="1"/>
  <c r="E94" i="23"/>
  <c r="R94" i="23" s="1"/>
  <c r="E78" i="23"/>
  <c r="R78" i="23" s="1"/>
  <c r="E62" i="23"/>
  <c r="R62" i="23" s="1"/>
  <c r="E46" i="23"/>
  <c r="R46" i="23" s="1"/>
  <c r="E30" i="23"/>
  <c r="R30" i="23" s="1"/>
  <c r="E14" i="23"/>
  <c r="R14" i="23" s="1"/>
  <c r="E106" i="23"/>
  <c r="R106" i="23" s="1"/>
  <c r="E90" i="23"/>
  <c r="R90" i="23" s="1"/>
  <c r="E74" i="23"/>
  <c r="R74" i="23" s="1"/>
  <c r="E58" i="23"/>
  <c r="R58" i="23" s="1"/>
  <c r="E42" i="23"/>
  <c r="R42" i="23" s="1"/>
  <c r="E26" i="23"/>
  <c r="R26" i="23" s="1"/>
  <c r="E9" i="23"/>
  <c r="R9" i="23" s="1"/>
  <c r="E102" i="23"/>
  <c r="R102" i="23" s="1"/>
  <c r="E70" i="23"/>
  <c r="R70" i="23" s="1"/>
  <c r="E38" i="23"/>
  <c r="R38" i="23" s="1"/>
  <c r="E101" i="23"/>
  <c r="R101" i="23" s="1"/>
  <c r="E85" i="23"/>
  <c r="R85" i="23" s="1"/>
  <c r="E69" i="23"/>
  <c r="R69" i="23" s="1"/>
  <c r="E53" i="23"/>
  <c r="R53" i="23" s="1"/>
  <c r="E37" i="23"/>
  <c r="R37" i="23" s="1"/>
  <c r="E21" i="23"/>
  <c r="R21" i="23" s="1"/>
  <c r="E86" i="23"/>
  <c r="R86" i="23" s="1"/>
  <c r="E22" i="23"/>
  <c r="R22" i="23" s="1"/>
  <c r="E93" i="23"/>
  <c r="R93" i="23" s="1"/>
  <c r="E77" i="23"/>
  <c r="R77" i="23" s="1"/>
  <c r="E45" i="23"/>
  <c r="R45" i="23" s="1"/>
  <c r="E13" i="23"/>
  <c r="R13" i="23" s="1"/>
  <c r="E82" i="23"/>
  <c r="R82" i="23" s="1"/>
  <c r="E50" i="23"/>
  <c r="R50" i="23" s="1"/>
  <c r="E89" i="23"/>
  <c r="R89" i="23" s="1"/>
  <c r="E57" i="23"/>
  <c r="R57" i="23" s="1"/>
  <c r="E25" i="23"/>
  <c r="R25" i="23" s="1"/>
  <c r="E98" i="23"/>
  <c r="R98" i="23" s="1"/>
  <c r="E66" i="23"/>
  <c r="R66" i="23" s="1"/>
  <c r="E34" i="23"/>
  <c r="R34" i="23" s="1"/>
  <c r="E97" i="23"/>
  <c r="R97" i="23" s="1"/>
  <c r="E81" i="23"/>
  <c r="R81" i="23" s="1"/>
  <c r="E65" i="23"/>
  <c r="R65" i="23" s="1"/>
  <c r="E49" i="23"/>
  <c r="R49" i="23" s="1"/>
  <c r="E33" i="23"/>
  <c r="R33" i="23" s="1"/>
  <c r="E17" i="23"/>
  <c r="R17" i="23" s="1"/>
  <c r="E54" i="23"/>
  <c r="R54" i="23" s="1"/>
  <c r="E10" i="23"/>
  <c r="R10" i="23" s="1"/>
  <c r="E61" i="23"/>
  <c r="R61" i="23" s="1"/>
  <c r="E29" i="23"/>
  <c r="R29" i="23" s="1"/>
  <c r="E18" i="23"/>
  <c r="R18" i="23" s="1"/>
  <c r="E105" i="23"/>
  <c r="R105" i="23" s="1"/>
  <c r="E73" i="23"/>
  <c r="R73" i="23" s="1"/>
  <c r="E41" i="23"/>
  <c r="R41" i="23" s="1"/>
  <c r="E8" i="23"/>
  <c r="R8" i="23" s="1"/>
  <c r="D9" i="23"/>
  <c r="F9" i="23" s="1"/>
  <c r="D13" i="23"/>
  <c r="I13" i="23" s="1"/>
  <c r="D17" i="23"/>
  <c r="I17" i="23" s="1"/>
  <c r="D21" i="23"/>
  <c r="D25" i="23"/>
  <c r="I25" i="23" s="1"/>
  <c r="D29" i="23"/>
  <c r="D33" i="23"/>
  <c r="F33" i="23" s="1"/>
  <c r="D37" i="23"/>
  <c r="D41" i="23"/>
  <c r="F41" i="23" s="1"/>
  <c r="D45" i="23"/>
  <c r="D49" i="23"/>
  <c r="I49" i="23" s="1"/>
  <c r="D10" i="23"/>
  <c r="I10" i="23" s="1"/>
  <c r="D14" i="23"/>
  <c r="I14" i="23" s="1"/>
  <c r="D18" i="23"/>
  <c r="D22" i="23"/>
  <c r="I22" i="23" s="1"/>
  <c r="D26" i="23"/>
  <c r="D30" i="23"/>
  <c r="I30" i="23" s="1"/>
  <c r="D34" i="23"/>
  <c r="D38" i="23"/>
  <c r="F38" i="23" s="1"/>
  <c r="D42" i="23"/>
  <c r="D46" i="23"/>
  <c r="I46" i="23" s="1"/>
  <c r="D50" i="23"/>
  <c r="D54" i="23"/>
  <c r="I54" i="23" s="1"/>
  <c r="D58" i="23"/>
  <c r="D62" i="23"/>
  <c r="F62" i="23" s="1"/>
  <c r="D66" i="23"/>
  <c r="D70" i="23"/>
  <c r="F70" i="23" s="1"/>
  <c r="D74" i="23"/>
  <c r="D78" i="23"/>
  <c r="F78" i="23" s="1"/>
  <c r="D82" i="23"/>
  <c r="D86" i="23"/>
  <c r="F86" i="23" s="1"/>
  <c r="D90" i="23"/>
  <c r="D94" i="23"/>
  <c r="I94" i="23" s="1"/>
  <c r="D98" i="23"/>
  <c r="F98" i="23" s="1"/>
  <c r="D102" i="23"/>
  <c r="I102" i="23" s="1"/>
  <c r="D106" i="23"/>
  <c r="F106" i="23" s="1"/>
  <c r="D16" i="23"/>
  <c r="F16" i="23" s="1"/>
  <c r="D24" i="23"/>
  <c r="D32" i="23"/>
  <c r="I32" i="23" s="1"/>
  <c r="D40" i="23"/>
  <c r="D48" i="23"/>
  <c r="F48" i="23" s="1"/>
  <c r="D55" i="23"/>
  <c r="D60" i="23"/>
  <c r="I60" i="23" s="1"/>
  <c r="D65" i="23"/>
  <c r="I65" i="23" s="1"/>
  <c r="D71" i="23"/>
  <c r="I71" i="23" s="1"/>
  <c r="D76" i="23"/>
  <c r="F76" i="23" s="1"/>
  <c r="D81" i="23"/>
  <c r="I81" i="23" s="1"/>
  <c r="D87" i="23"/>
  <c r="D92" i="23"/>
  <c r="I92" i="23" s="1"/>
  <c r="D97" i="23"/>
  <c r="D103" i="23"/>
  <c r="I103" i="23" s="1"/>
  <c r="D7" i="23"/>
  <c r="F7" i="23" s="1"/>
  <c r="D23" i="23"/>
  <c r="F23" i="23" s="1"/>
  <c r="D39" i="23"/>
  <c r="F39" i="23" s="1"/>
  <c r="D53" i="23"/>
  <c r="I53" i="23" s="1"/>
  <c r="D64" i="23"/>
  <c r="D75" i="23"/>
  <c r="F75" i="23" s="1"/>
  <c r="D85" i="23"/>
  <c r="D96" i="23"/>
  <c r="F96" i="23" s="1"/>
  <c r="D8" i="23"/>
  <c r="D11" i="23"/>
  <c r="F11" i="23" s="1"/>
  <c r="D19" i="23"/>
  <c r="D27" i="23"/>
  <c r="F27" i="23" s="1"/>
  <c r="D35" i="23"/>
  <c r="D43" i="23"/>
  <c r="F43" i="23" s="1"/>
  <c r="D51" i="23"/>
  <c r="D56" i="23"/>
  <c r="F56" i="23" s="1"/>
  <c r="D61" i="23"/>
  <c r="I61" i="23" s="1"/>
  <c r="D67" i="23"/>
  <c r="I67" i="23" s="1"/>
  <c r="D72" i="23"/>
  <c r="D77" i="23"/>
  <c r="I77" i="23" s="1"/>
  <c r="D83" i="23"/>
  <c r="D88" i="23"/>
  <c r="I88" i="23" s="1"/>
  <c r="D93" i="23"/>
  <c r="D99" i="23"/>
  <c r="F99" i="23" s="1"/>
  <c r="D104" i="23"/>
  <c r="D6" i="23"/>
  <c r="I6" i="23" s="1"/>
  <c r="D12" i="23"/>
  <c r="I12" i="23" s="1"/>
  <c r="D20" i="23"/>
  <c r="I20" i="23" s="1"/>
  <c r="D28" i="23"/>
  <c r="D36" i="23"/>
  <c r="F36" i="23" s="1"/>
  <c r="D44" i="23"/>
  <c r="F44" i="23" s="1"/>
  <c r="D52" i="23"/>
  <c r="I52" i="23" s="1"/>
  <c r="D57" i="23"/>
  <c r="D63" i="23"/>
  <c r="I63" i="23" s="1"/>
  <c r="D68" i="23"/>
  <c r="D73" i="23"/>
  <c r="I73" i="23" s="1"/>
  <c r="D79" i="23"/>
  <c r="F79" i="23" s="1"/>
  <c r="D84" i="23"/>
  <c r="I84" i="23" s="1"/>
  <c r="D89" i="23"/>
  <c r="F89" i="23" s="1"/>
  <c r="D95" i="23"/>
  <c r="I95" i="23" s="1"/>
  <c r="D100" i="23"/>
  <c r="D105" i="23"/>
  <c r="I105" i="23" s="1"/>
  <c r="D15" i="23"/>
  <c r="D31" i="23"/>
  <c r="F31" i="23" s="1"/>
  <c r="D47" i="23"/>
  <c r="D59" i="23"/>
  <c r="F59" i="23" s="1"/>
  <c r="D69" i="23"/>
  <c r="F69" i="23" s="1"/>
  <c r="D80" i="23"/>
  <c r="I80" i="23" s="1"/>
  <c r="D91" i="23"/>
  <c r="D101" i="23"/>
  <c r="I101" i="23" s="1"/>
  <c r="B10" i="19"/>
  <c r="D10" i="19" s="1"/>
  <c r="CJ212" i="25" s="1"/>
  <c r="I16" i="8"/>
  <c r="J16" i="8" s="1"/>
  <c r="D181" i="2" s="1"/>
  <c r="B182" i="2" s="1"/>
  <c r="B11" i="19"/>
  <c r="D11" i="19" s="1"/>
  <c r="I4" i="8" s="1"/>
  <c r="J4" i="8" s="1"/>
  <c r="B237" i="2"/>
  <c r="B3" i="8"/>
  <c r="B159" i="8" s="1"/>
  <c r="B158" i="8" s="1"/>
  <c r="B157" i="8" s="1"/>
  <c r="B156" i="8" s="1"/>
  <c r="B155" i="8" s="1"/>
  <c r="B154" i="8" s="1"/>
  <c r="B153" i="8" s="1"/>
  <c r="B152" i="8" s="1"/>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31" i="16"/>
  <c r="D3" i="8"/>
  <c r="D159" i="8" s="1"/>
  <c r="D158" i="8" s="1"/>
  <c r="D157" i="8" s="1"/>
  <c r="D156" i="8" s="1"/>
  <c r="D155" i="8" s="1"/>
  <c r="D154" i="8" s="1"/>
  <c r="D153" i="8" s="1"/>
  <c r="D152" i="8" s="1"/>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9" i="8"/>
  <c r="E158" i="8" s="1"/>
  <c r="E157" i="8" s="1"/>
  <c r="E156" i="8" s="1"/>
  <c r="E155" i="8" s="1"/>
  <c r="E154" i="8" s="1"/>
  <c r="E153" i="8" s="1"/>
  <c r="E152" i="8" s="1"/>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B238" i="2"/>
  <c r="S76" i="2"/>
  <c r="B232" i="2"/>
  <c r="I72" i="2"/>
  <c r="C3" i="8"/>
  <c r="C159" i="8" s="1"/>
  <c r="C158" i="8" s="1"/>
  <c r="A232" i="2"/>
  <c r="F40" i="1"/>
  <c r="B9" i="19"/>
  <c r="D9" i="19" s="1"/>
  <c r="B17" i="19"/>
  <c r="D17" i="19" s="1"/>
  <c r="B221" i="2"/>
  <c r="B13" i="2"/>
  <c r="CR195" i="25" l="1"/>
  <c r="CS195" i="25" s="1"/>
  <c r="Q104" i="2"/>
  <c r="CQ136" i="24"/>
  <c r="CR136" i="24" s="1"/>
  <c r="CT136" i="24" s="1"/>
  <c r="CQ204" i="24"/>
  <c r="CR204" i="24" s="1"/>
  <c r="CT204" i="24" s="1"/>
  <c r="CQ140" i="24"/>
  <c r="CR140" i="24" s="1"/>
  <c r="CT140" i="24" s="1"/>
  <c r="CQ149" i="24"/>
  <c r="CR149" i="24" s="1"/>
  <c r="CT149" i="24" s="1"/>
  <c r="CO140" i="24"/>
  <c r="CR197" i="25"/>
  <c r="CS197" i="25" s="1"/>
  <c r="CR111" i="25"/>
  <c r="CS111" i="25" s="1"/>
  <c r="CQ175" i="24"/>
  <c r="CR175" i="24" s="1"/>
  <c r="CT175" i="24" s="1"/>
  <c r="CR200" i="25"/>
  <c r="CS200" i="25" s="1"/>
  <c r="CO136" i="24"/>
  <c r="CO174" i="24"/>
  <c r="CQ131" i="24"/>
  <c r="CR131" i="24" s="1"/>
  <c r="CT131" i="24" s="1"/>
  <c r="CQ185" i="24"/>
  <c r="CR185" i="24" s="1"/>
  <c r="CT185" i="24" s="1"/>
  <c r="CQ174" i="24"/>
  <c r="CR174" i="24" s="1"/>
  <c r="CT174" i="24" s="1"/>
  <c r="CO185" i="24"/>
  <c r="CO175" i="24"/>
  <c r="CR152" i="25"/>
  <c r="CS152" i="25" s="1"/>
  <c r="CR126" i="25"/>
  <c r="CS126" i="25" s="1"/>
  <c r="CO204" i="24"/>
  <c r="CR116" i="25"/>
  <c r="CS116" i="25" s="1"/>
  <c r="CR185" i="25"/>
  <c r="CS185" i="25" s="1"/>
  <c r="CR143" i="25"/>
  <c r="CS143" i="25" s="1"/>
  <c r="CR125" i="25"/>
  <c r="CS125" i="25" s="1"/>
  <c r="CR179" i="25"/>
  <c r="CS179" i="25" s="1"/>
  <c r="CR140" i="25"/>
  <c r="CS140" i="25" s="1"/>
  <c r="CQ212" i="24"/>
  <c r="CR212" i="24" s="1"/>
  <c r="CT212" i="24" s="1"/>
  <c r="CO212" i="24"/>
  <c r="CR205" i="25"/>
  <c r="CS205" i="25" s="1"/>
  <c r="D33" i="16"/>
  <c r="D32" i="16"/>
  <c r="CQ114" i="24"/>
  <c r="CR114" i="24" s="1"/>
  <c r="CT114" i="24" s="1"/>
  <c r="CO177" i="24"/>
  <c r="CO165" i="24"/>
  <c r="CQ177" i="24"/>
  <c r="CR177" i="24" s="1"/>
  <c r="CT177" i="24" s="1"/>
  <c r="G327" i="24"/>
  <c r="I27" i="8" s="1"/>
  <c r="CQ128" i="24"/>
  <c r="CR128" i="24" s="1"/>
  <c r="CT128" i="24" s="1"/>
  <c r="CQ178" i="24"/>
  <c r="CR178" i="24" s="1"/>
  <c r="CT178" i="24" s="1"/>
  <c r="CR123" i="25"/>
  <c r="CS123" i="25" s="1"/>
  <c r="CQ122" i="24"/>
  <c r="CR122" i="24" s="1"/>
  <c r="CT122" i="24" s="1"/>
  <c r="CO178" i="24"/>
  <c r="CO128" i="24"/>
  <c r="FG212" i="25"/>
  <c r="CL212" i="25"/>
  <c r="DL212" i="25" s="1"/>
  <c r="DP212" i="25"/>
  <c r="EQ212" i="25"/>
  <c r="EU212" i="25" s="1"/>
  <c r="CP212" i="25"/>
  <c r="EM212" i="25"/>
  <c r="B18" i="29"/>
  <c r="CX212" i="25"/>
  <c r="CS212" i="25"/>
  <c r="L68" i="1"/>
  <c r="L70" i="1" s="1"/>
  <c r="E22" i="1"/>
  <c r="CJ212" i="24"/>
  <c r="N327" i="25"/>
  <c r="I29" i="8" s="1"/>
  <c r="CP223" i="25"/>
  <c r="EM223" i="25"/>
  <c r="CP287" i="25"/>
  <c r="EM287" i="25"/>
  <c r="CP240" i="25"/>
  <c r="EM240" i="25"/>
  <c r="CP304" i="25"/>
  <c r="EM304" i="25"/>
  <c r="CP257" i="25"/>
  <c r="EM257" i="25"/>
  <c r="CP294" i="25"/>
  <c r="EM294" i="25"/>
  <c r="CP274" i="25"/>
  <c r="EM274" i="25"/>
  <c r="CP219" i="25"/>
  <c r="EM219" i="25"/>
  <c r="CP283" i="25"/>
  <c r="EM283" i="25"/>
  <c r="CP228" i="25"/>
  <c r="EM228" i="25"/>
  <c r="CP292" i="25"/>
  <c r="EM292" i="25"/>
  <c r="CP229" i="25"/>
  <c r="EM229" i="25"/>
  <c r="CP293" i="25"/>
  <c r="EM293" i="25"/>
  <c r="CP231" i="25"/>
  <c r="EM231" i="25"/>
  <c r="CP295" i="25"/>
  <c r="EM295" i="25"/>
  <c r="CP248" i="25"/>
  <c r="EM248" i="25"/>
  <c r="CP312" i="25"/>
  <c r="EM312" i="25"/>
  <c r="CP265" i="25"/>
  <c r="EM265" i="25"/>
  <c r="CP218" i="25"/>
  <c r="EM218" i="25"/>
  <c r="CP282" i="25"/>
  <c r="EM282" i="25"/>
  <c r="CP227" i="25"/>
  <c r="EM227" i="25"/>
  <c r="CP291" i="25"/>
  <c r="EM291" i="25"/>
  <c r="CP236" i="25"/>
  <c r="EM236" i="25"/>
  <c r="CP300" i="25"/>
  <c r="EM300" i="25"/>
  <c r="CP237" i="25"/>
  <c r="EM237" i="25"/>
  <c r="CP301" i="25"/>
  <c r="EM301" i="25"/>
  <c r="CP239" i="25"/>
  <c r="EM239" i="25"/>
  <c r="CP303" i="25"/>
  <c r="EM303" i="25"/>
  <c r="CP256" i="25"/>
  <c r="EM256" i="25"/>
  <c r="CP286" i="25"/>
  <c r="EM286" i="25"/>
  <c r="CP273" i="25"/>
  <c r="EM273" i="25"/>
  <c r="CP226" i="25"/>
  <c r="EM226" i="25"/>
  <c r="CP290" i="25"/>
  <c r="EM290" i="25"/>
  <c r="CP235" i="25"/>
  <c r="EM235" i="25"/>
  <c r="CP299" i="25"/>
  <c r="EM299" i="25"/>
  <c r="CP244" i="25"/>
  <c r="EM244" i="25"/>
  <c r="CP308" i="25"/>
  <c r="EM308" i="25"/>
  <c r="CP245" i="25"/>
  <c r="EM245" i="25"/>
  <c r="CP309" i="25"/>
  <c r="EM309" i="25"/>
  <c r="CP247" i="25"/>
  <c r="EM247" i="25"/>
  <c r="CP311" i="25"/>
  <c r="EM311" i="25"/>
  <c r="CP264" i="25"/>
  <c r="EM264" i="25"/>
  <c r="CP217" i="25"/>
  <c r="EM217" i="25"/>
  <c r="CP281" i="25"/>
  <c r="EM281" i="25"/>
  <c r="CP234" i="25"/>
  <c r="EM234" i="25"/>
  <c r="CP298" i="25"/>
  <c r="EM298" i="25"/>
  <c r="CP243" i="25"/>
  <c r="EM243" i="25"/>
  <c r="CP307" i="25"/>
  <c r="EM307" i="25"/>
  <c r="CP252" i="25"/>
  <c r="EM252" i="25"/>
  <c r="CP316" i="25"/>
  <c r="EM316" i="25"/>
  <c r="CP253" i="25"/>
  <c r="EM253" i="25"/>
  <c r="CP255" i="25"/>
  <c r="EM255" i="25"/>
  <c r="CP230" i="25"/>
  <c r="EM230" i="25"/>
  <c r="CP272" i="25"/>
  <c r="EM272" i="25"/>
  <c r="CP225" i="25"/>
  <c r="EM225" i="25"/>
  <c r="CP289" i="25"/>
  <c r="EM289" i="25"/>
  <c r="CP242" i="25"/>
  <c r="EM242" i="25"/>
  <c r="CP306" i="25"/>
  <c r="EM306" i="25"/>
  <c r="CP251" i="25"/>
  <c r="EM251" i="25"/>
  <c r="CP315" i="25"/>
  <c r="EM315" i="25"/>
  <c r="CP260" i="25"/>
  <c r="EM260" i="25"/>
  <c r="CP222" i="25"/>
  <c r="EM222" i="25"/>
  <c r="CP261" i="25"/>
  <c r="EM261" i="25"/>
  <c r="CP263" i="25"/>
  <c r="EM263" i="25"/>
  <c r="CP302" i="25"/>
  <c r="EM302" i="25"/>
  <c r="CP280" i="25"/>
  <c r="EM280" i="25"/>
  <c r="CP233" i="25"/>
  <c r="EM233" i="25"/>
  <c r="CP297" i="25"/>
  <c r="EM297" i="25"/>
  <c r="CP250" i="25"/>
  <c r="EM250" i="25"/>
  <c r="CP314" i="25"/>
  <c r="EM314" i="25"/>
  <c r="CP259" i="25"/>
  <c r="EM259" i="25"/>
  <c r="CP254" i="25"/>
  <c r="EM254" i="25"/>
  <c r="CP268" i="25"/>
  <c r="EM268" i="25"/>
  <c r="CP246" i="25"/>
  <c r="EM246" i="25"/>
  <c r="CP269" i="25"/>
  <c r="EM269" i="25"/>
  <c r="CP310" i="25"/>
  <c r="EM310" i="25"/>
  <c r="CP271" i="25"/>
  <c r="EM271" i="25"/>
  <c r="CP224" i="25"/>
  <c r="EM224" i="25"/>
  <c r="CP288" i="25"/>
  <c r="EM288" i="25"/>
  <c r="CP241" i="25"/>
  <c r="EM241" i="25"/>
  <c r="CP305" i="25"/>
  <c r="EM305" i="25"/>
  <c r="CP258" i="25"/>
  <c r="EM258" i="25"/>
  <c r="CP238" i="25"/>
  <c r="EM238" i="25"/>
  <c r="CP267" i="25"/>
  <c r="EM267" i="25"/>
  <c r="CP278" i="25"/>
  <c r="EM278" i="25"/>
  <c r="CP276" i="25"/>
  <c r="EM276" i="25"/>
  <c r="CP262" i="25"/>
  <c r="EM262" i="25"/>
  <c r="CP277" i="25"/>
  <c r="EM277" i="25"/>
  <c r="CP216" i="25"/>
  <c r="EM216" i="25"/>
  <c r="CP279" i="25"/>
  <c r="EM279" i="25"/>
  <c r="CP232" i="25"/>
  <c r="EM232" i="25"/>
  <c r="CP296" i="25"/>
  <c r="EM296" i="25"/>
  <c r="CP249" i="25"/>
  <c r="EM249" i="25"/>
  <c r="CP313" i="25"/>
  <c r="EM313" i="25"/>
  <c r="CP266" i="25"/>
  <c r="EM266" i="25"/>
  <c r="CP270" i="25"/>
  <c r="EM270" i="25"/>
  <c r="CP275" i="25"/>
  <c r="EM275" i="25"/>
  <c r="CP220" i="25"/>
  <c r="EM220" i="25"/>
  <c r="CP284" i="25"/>
  <c r="EM284" i="25"/>
  <c r="CP221" i="25"/>
  <c r="EM221" i="25"/>
  <c r="CP285" i="25"/>
  <c r="EM285" i="25"/>
  <c r="G327" i="25"/>
  <c r="H329" i="25" s="1"/>
  <c r="I24" i="8" s="1"/>
  <c r="J24" i="8" s="1"/>
  <c r="CP113" i="25"/>
  <c r="CP170" i="25"/>
  <c r="CP139" i="25"/>
  <c r="CP203" i="25"/>
  <c r="CP121" i="25"/>
  <c r="CP172" i="25"/>
  <c r="CP165" i="25"/>
  <c r="CP142" i="25"/>
  <c r="CP206" i="25"/>
  <c r="CP167" i="25"/>
  <c r="CP136" i="25"/>
  <c r="CP200" i="25"/>
  <c r="CP169" i="25"/>
  <c r="CP114" i="25"/>
  <c r="CP178" i="25"/>
  <c r="CP147" i="25"/>
  <c r="CP177" i="25"/>
  <c r="CP116" i="25"/>
  <c r="CP180" i="25"/>
  <c r="CP173" i="25"/>
  <c r="CP150" i="25"/>
  <c r="CP161" i="25"/>
  <c r="CP110" i="25"/>
  <c r="CP175" i="25"/>
  <c r="CP144" i="25"/>
  <c r="CP208" i="25"/>
  <c r="CP122" i="25"/>
  <c r="CP186" i="25"/>
  <c r="CP155" i="25"/>
  <c r="CP124" i="25"/>
  <c r="CP188" i="25"/>
  <c r="CP117" i="25"/>
  <c r="CP181" i="25"/>
  <c r="CP158" i="25"/>
  <c r="CP201" i="25"/>
  <c r="CP119" i="25"/>
  <c r="CP183" i="25"/>
  <c r="CP152" i="25"/>
  <c r="CP130" i="25"/>
  <c r="CP194" i="25"/>
  <c r="CP163" i="25"/>
  <c r="CP132" i="25"/>
  <c r="CP196" i="25"/>
  <c r="CP153" i="25"/>
  <c r="CP125" i="25"/>
  <c r="CP189" i="25"/>
  <c r="CP166" i="25"/>
  <c r="CP127" i="25"/>
  <c r="CP191" i="25"/>
  <c r="CP160" i="25"/>
  <c r="CP138" i="25"/>
  <c r="CP202" i="25"/>
  <c r="CP137" i="25"/>
  <c r="CP171" i="25"/>
  <c r="CP140" i="25"/>
  <c r="CP204" i="25"/>
  <c r="CP133" i="25"/>
  <c r="CP197" i="25"/>
  <c r="CP174" i="25"/>
  <c r="CP135" i="25"/>
  <c r="CP199" i="25"/>
  <c r="CP168" i="25"/>
  <c r="CP146" i="25"/>
  <c r="CP210" i="25"/>
  <c r="CP185" i="25"/>
  <c r="CP115" i="25"/>
  <c r="CP179" i="25"/>
  <c r="CP148" i="25"/>
  <c r="CP141" i="25"/>
  <c r="CP205" i="25"/>
  <c r="CP129" i="25"/>
  <c r="CP118" i="25"/>
  <c r="CP182" i="25"/>
  <c r="CP143" i="25"/>
  <c r="CP207" i="25"/>
  <c r="CP145" i="25"/>
  <c r="CP111" i="25"/>
  <c r="CP176" i="25"/>
  <c r="CP154" i="25"/>
  <c r="CP123" i="25"/>
  <c r="CP187" i="25"/>
  <c r="CP156" i="25"/>
  <c r="CP149" i="25"/>
  <c r="CP193" i="25"/>
  <c r="CP126" i="25"/>
  <c r="CP190" i="25"/>
  <c r="CP151" i="25"/>
  <c r="CP209" i="25"/>
  <c r="CP120" i="25"/>
  <c r="CP184" i="25"/>
  <c r="CR112" i="25"/>
  <c r="CS112" i="25" s="1"/>
  <c r="EM112" i="25"/>
  <c r="CP162" i="25"/>
  <c r="CP131" i="25"/>
  <c r="CP195" i="25"/>
  <c r="CP164" i="25"/>
  <c r="CP157" i="25"/>
  <c r="CP134" i="25"/>
  <c r="CP198" i="25"/>
  <c r="CP159" i="25"/>
  <c r="CP128" i="25"/>
  <c r="CP192" i="25"/>
  <c r="CJ112" i="25"/>
  <c r="CR174" i="25"/>
  <c r="CS174" i="25" s="1"/>
  <c r="CO131" i="24"/>
  <c r="CO149" i="24"/>
  <c r="CQ165" i="24"/>
  <c r="CR165" i="24" s="1"/>
  <c r="CT165" i="24" s="1"/>
  <c r="CR161" i="25"/>
  <c r="CS161" i="25" s="1"/>
  <c r="CQ163" i="24"/>
  <c r="CR163" i="24" s="1"/>
  <c r="CT163" i="24" s="1"/>
  <c r="CO122" i="24"/>
  <c r="CO164" i="24"/>
  <c r="CO132" i="24"/>
  <c r="CO129" i="24"/>
  <c r="CQ167" i="24"/>
  <c r="CR167" i="24" s="1"/>
  <c r="CT167" i="24" s="1"/>
  <c r="CQ164" i="24"/>
  <c r="CR164" i="24" s="1"/>
  <c r="CT164" i="24" s="1"/>
  <c r="CQ192" i="24"/>
  <c r="CR192" i="24" s="1"/>
  <c r="CT192" i="24" s="1"/>
  <c r="CO112" i="24"/>
  <c r="CO124" i="24"/>
  <c r="CR169" i="25"/>
  <c r="CS169" i="25" s="1"/>
  <c r="CR138" i="25"/>
  <c r="CS138" i="25" s="1"/>
  <c r="CR189" i="25"/>
  <c r="CS189" i="25" s="1"/>
  <c r="CR207" i="25"/>
  <c r="CS207" i="25" s="1"/>
  <c r="CO117" i="24"/>
  <c r="CQ142" i="24"/>
  <c r="CR142" i="24" s="1"/>
  <c r="CT142" i="24" s="1"/>
  <c r="CO142" i="24"/>
  <c r="CQ120" i="24"/>
  <c r="CR120" i="24" s="1"/>
  <c r="CT120" i="24" s="1"/>
  <c r="CO138" i="24"/>
  <c r="CO192" i="24"/>
  <c r="CQ129" i="24"/>
  <c r="CR129" i="24" s="1"/>
  <c r="CT129" i="24" s="1"/>
  <c r="CQ132" i="24"/>
  <c r="CR132" i="24" s="1"/>
  <c r="CT132" i="24" s="1"/>
  <c r="CO166" i="24"/>
  <c r="CR164" i="25"/>
  <c r="CS164" i="25" s="1"/>
  <c r="CQ173" i="24"/>
  <c r="CR173" i="24" s="1"/>
  <c r="CT173" i="24" s="1"/>
  <c r="CQ112" i="24"/>
  <c r="CR112" i="24" s="1"/>
  <c r="CT112" i="24" s="1"/>
  <c r="CQ116" i="24"/>
  <c r="CR116" i="24" s="1"/>
  <c r="CT116" i="24" s="1"/>
  <c r="CQ124" i="24"/>
  <c r="CR124" i="24" s="1"/>
  <c r="CT124" i="24" s="1"/>
  <c r="CQ117" i="24"/>
  <c r="CR117" i="24" s="1"/>
  <c r="CT117" i="24" s="1"/>
  <c r="CR132" i="25"/>
  <c r="CS132" i="25" s="1"/>
  <c r="CR192" i="25"/>
  <c r="CS192" i="25" s="1"/>
  <c r="CO167" i="24"/>
  <c r="CR128" i="25"/>
  <c r="CS128" i="25" s="1"/>
  <c r="CQ166" i="24"/>
  <c r="CR166" i="24" s="1"/>
  <c r="CT166" i="24" s="1"/>
  <c r="CR114" i="25"/>
  <c r="CS114" i="25" s="1"/>
  <c r="CO171" i="24"/>
  <c r="CO173" i="24"/>
  <c r="CR172" i="25"/>
  <c r="CS172" i="25" s="1"/>
  <c r="CR159" i="25"/>
  <c r="CS159" i="25" s="1"/>
  <c r="CR201" i="25"/>
  <c r="CS201" i="25" s="1"/>
  <c r="CR115" i="25"/>
  <c r="CS115" i="25" s="1"/>
  <c r="CQ138" i="24"/>
  <c r="CR138" i="24" s="1"/>
  <c r="CT138" i="24" s="1"/>
  <c r="CO116" i="24"/>
  <c r="CQ115" i="24"/>
  <c r="CR115" i="24" s="1"/>
  <c r="CT115" i="24" s="1"/>
  <c r="CO176" i="24"/>
  <c r="CR141" i="25"/>
  <c r="CS141" i="25" s="1"/>
  <c r="CR131" i="25"/>
  <c r="CS131" i="25" s="1"/>
  <c r="CO125" i="24"/>
  <c r="CQ155" i="24"/>
  <c r="CR155" i="24" s="1"/>
  <c r="CT155" i="24" s="1"/>
  <c r="CR183" i="25"/>
  <c r="CS183" i="25" s="1"/>
  <c r="CQ118" i="24"/>
  <c r="CR118" i="24" s="1"/>
  <c r="CT118" i="24" s="1"/>
  <c r="CO118" i="24"/>
  <c r="CO111" i="24"/>
  <c r="CQ113" i="24"/>
  <c r="CR113" i="24" s="1"/>
  <c r="CT113" i="24" s="1"/>
  <c r="CQ119" i="24"/>
  <c r="CR119" i="24" s="1"/>
  <c r="CT119" i="24" s="1"/>
  <c r="CQ156" i="24"/>
  <c r="CR156" i="24" s="1"/>
  <c r="CT156" i="24" s="1"/>
  <c r="CO199" i="24"/>
  <c r="CR147" i="25"/>
  <c r="CS147" i="25" s="1"/>
  <c r="CR199" i="25"/>
  <c r="CS199" i="25" s="1"/>
  <c r="CQ176" i="24"/>
  <c r="CR176" i="24" s="1"/>
  <c r="CT176" i="24" s="1"/>
  <c r="CQ196" i="24"/>
  <c r="CR196" i="24" s="1"/>
  <c r="CT196" i="24" s="1"/>
  <c r="CQ153" i="24"/>
  <c r="CR153" i="24" s="1"/>
  <c r="CT153" i="24" s="1"/>
  <c r="CQ206" i="24"/>
  <c r="CR206" i="24" s="1"/>
  <c r="CT206" i="24" s="1"/>
  <c r="CR110" i="25"/>
  <c r="CX110" i="25" s="1"/>
  <c r="CY110" i="25" s="1"/>
  <c r="CO113" i="24"/>
  <c r="CO150" i="24"/>
  <c r="CQ111" i="24"/>
  <c r="CR111" i="24" s="1"/>
  <c r="CT111" i="24" s="1"/>
  <c r="CO119" i="24"/>
  <c r="CO196" i="24"/>
  <c r="CO198" i="24"/>
  <c r="CQ199" i="24"/>
  <c r="CR199" i="24" s="1"/>
  <c r="CT199" i="24" s="1"/>
  <c r="CR181" i="25"/>
  <c r="CS181" i="25" s="1"/>
  <c r="CO115" i="24"/>
  <c r="CR133" i="25"/>
  <c r="CS133" i="25" s="1"/>
  <c r="CR127" i="25"/>
  <c r="CS127" i="25" s="1"/>
  <c r="CO156" i="24"/>
  <c r="CO157" i="24"/>
  <c r="CQ198" i="24"/>
  <c r="CR198" i="24" s="1"/>
  <c r="CT198" i="24" s="1"/>
  <c r="CR155" i="25"/>
  <c r="CS155" i="25" s="1"/>
  <c r="CR120" i="25"/>
  <c r="CS120" i="25" s="1"/>
  <c r="CQ157" i="24"/>
  <c r="CR157" i="24" s="1"/>
  <c r="CT157" i="24" s="1"/>
  <c r="CR178" i="25"/>
  <c r="CS178" i="25" s="1"/>
  <c r="CR144" i="25"/>
  <c r="CS144" i="25" s="1"/>
  <c r="CQ158" i="24"/>
  <c r="CR158" i="24" s="1"/>
  <c r="CT158" i="24" s="1"/>
  <c r="CO168" i="24"/>
  <c r="CR153" i="25"/>
  <c r="CS153" i="25" s="1"/>
  <c r="CQ181" i="24"/>
  <c r="CR181" i="24" s="1"/>
  <c r="CT181" i="24" s="1"/>
  <c r="CQ110" i="24"/>
  <c r="CR110" i="24" s="1"/>
  <c r="DT110" i="24" s="1"/>
  <c r="CQ127" i="24"/>
  <c r="CR127" i="24" s="1"/>
  <c r="CT127" i="24" s="1"/>
  <c r="CQ205" i="24"/>
  <c r="CR205" i="24" s="1"/>
  <c r="CT205" i="24" s="1"/>
  <c r="CR124" i="25"/>
  <c r="CS124" i="25" s="1"/>
  <c r="CR156" i="25"/>
  <c r="CS156" i="25" s="1"/>
  <c r="CR162" i="25"/>
  <c r="CS162" i="25" s="1"/>
  <c r="CQ125" i="24"/>
  <c r="CR125" i="24" s="1"/>
  <c r="CT125" i="24" s="1"/>
  <c r="CO161" i="24"/>
  <c r="CO210" i="24"/>
  <c r="CR186" i="25"/>
  <c r="CS186" i="25" s="1"/>
  <c r="CR206" i="25"/>
  <c r="CS206" i="25" s="1"/>
  <c r="CO121" i="24"/>
  <c r="CO158" i="24"/>
  <c r="CR113" i="25"/>
  <c r="CS113" i="25" s="1"/>
  <c r="CQ161" i="24"/>
  <c r="CR161" i="24" s="1"/>
  <c r="CT161" i="24" s="1"/>
  <c r="CQ121" i="24"/>
  <c r="CR121" i="24" s="1"/>
  <c r="CT121" i="24" s="1"/>
  <c r="CR157" i="25"/>
  <c r="CS157" i="25" s="1"/>
  <c r="CO154" i="24"/>
  <c r="CQ210" i="24"/>
  <c r="CR210" i="24" s="1"/>
  <c r="CT210" i="24" s="1"/>
  <c r="CO127" i="24"/>
  <c r="CQ195" i="24"/>
  <c r="CR195" i="24" s="1"/>
  <c r="CT195" i="24" s="1"/>
  <c r="CO152" i="24"/>
  <c r="CQ170" i="24"/>
  <c r="CR170" i="24" s="1"/>
  <c r="CT170" i="24" s="1"/>
  <c r="CQ194" i="24"/>
  <c r="CR194" i="24" s="1"/>
  <c r="CT194" i="24" s="1"/>
  <c r="CR145" i="25"/>
  <c r="CS145" i="25" s="1"/>
  <c r="CR170" i="25"/>
  <c r="CS170" i="25" s="1"/>
  <c r="CO194" i="24"/>
  <c r="CR167" i="25"/>
  <c r="CS167" i="25" s="1"/>
  <c r="CR210" i="25"/>
  <c r="CS210" i="25" s="1"/>
  <c r="CR139" i="25"/>
  <c r="CS139" i="25" s="1"/>
  <c r="CQ151" i="24"/>
  <c r="CR151" i="24" s="1"/>
  <c r="CT151" i="24" s="1"/>
  <c r="CO191" i="24"/>
  <c r="CO170" i="24"/>
  <c r="CO151" i="24"/>
  <c r="CO195" i="24"/>
  <c r="CR142" i="25"/>
  <c r="CS142" i="25" s="1"/>
  <c r="CO208" i="24"/>
  <c r="CR173" i="25"/>
  <c r="CS173" i="25" s="1"/>
  <c r="CQ193" i="24"/>
  <c r="CR193" i="24" s="1"/>
  <c r="CT193" i="24" s="1"/>
  <c r="CR184" i="25"/>
  <c r="CS184" i="25" s="1"/>
  <c r="CO145" i="24"/>
  <c r="CQ208" i="24"/>
  <c r="CR208" i="24" s="1"/>
  <c r="CT208" i="24" s="1"/>
  <c r="CQ145" i="24"/>
  <c r="CR145" i="24" s="1"/>
  <c r="CT145" i="24" s="1"/>
  <c r="CR209" i="25"/>
  <c r="CS209" i="25" s="1"/>
  <c r="CO114" i="24"/>
  <c r="CO193" i="24"/>
  <c r="CQ191" i="24"/>
  <c r="CR191" i="24" s="1"/>
  <c r="CT191" i="24" s="1"/>
  <c r="CR136" i="25"/>
  <c r="CS136" i="25" s="1"/>
  <c r="CR117" i="25"/>
  <c r="CS117" i="25" s="1"/>
  <c r="CO148" i="24"/>
  <c r="CO120" i="24"/>
  <c r="CQ148" i="24"/>
  <c r="CR148" i="24" s="1"/>
  <c r="CT148" i="24" s="1"/>
  <c r="CQ152" i="24"/>
  <c r="CR152" i="24" s="1"/>
  <c r="CT152" i="24" s="1"/>
  <c r="CR198" i="25"/>
  <c r="CS198" i="25" s="1"/>
  <c r="CO155" i="24"/>
  <c r="CR188" i="25"/>
  <c r="CS188" i="25" s="1"/>
  <c r="CO205" i="24"/>
  <c r="CO202" i="24"/>
  <c r="CR203" i="25"/>
  <c r="CS203" i="25" s="1"/>
  <c r="CQ202" i="24"/>
  <c r="CR202" i="24" s="1"/>
  <c r="CT202" i="24" s="1"/>
  <c r="CO181" i="24"/>
  <c r="CQ168" i="24"/>
  <c r="CR168" i="24" s="1"/>
  <c r="CT168" i="24" s="1"/>
  <c r="CQ143" i="24"/>
  <c r="CR143" i="24" s="1"/>
  <c r="CT143" i="24" s="1"/>
  <c r="CQ146" i="24"/>
  <c r="CR146" i="24" s="1"/>
  <c r="CT146" i="24" s="1"/>
  <c r="CR191" i="25"/>
  <c r="CS191" i="25" s="1"/>
  <c r="CQ189" i="24"/>
  <c r="CR189" i="24" s="1"/>
  <c r="CT189" i="24" s="1"/>
  <c r="CR151" i="25"/>
  <c r="CS151" i="25" s="1"/>
  <c r="CR175" i="25"/>
  <c r="CS175" i="25" s="1"/>
  <c r="CO206" i="24"/>
  <c r="CQ150" i="24"/>
  <c r="CR150" i="24" s="1"/>
  <c r="CT150" i="24" s="1"/>
  <c r="CR202" i="25"/>
  <c r="CS202" i="25" s="1"/>
  <c r="CO153" i="24"/>
  <c r="CO209" i="24"/>
  <c r="CR204" i="25"/>
  <c r="CS204" i="25" s="1"/>
  <c r="CQ201" i="24"/>
  <c r="CR201" i="24" s="1"/>
  <c r="CT201" i="24" s="1"/>
  <c r="CO133" i="24"/>
  <c r="CR150" i="25"/>
  <c r="CS150" i="25" s="1"/>
  <c r="CO137" i="24"/>
  <c r="CQ137" i="24"/>
  <c r="CR137" i="24" s="1"/>
  <c r="CT137" i="24" s="1"/>
  <c r="CQ180" i="24"/>
  <c r="CR180" i="24" s="1"/>
  <c r="CT180" i="24" s="1"/>
  <c r="CQ141" i="24"/>
  <c r="CR141" i="24" s="1"/>
  <c r="CT141" i="24" s="1"/>
  <c r="CR148" i="25"/>
  <c r="CS148" i="25" s="1"/>
  <c r="CO201" i="24"/>
  <c r="CO182" i="24"/>
  <c r="CR187" i="25"/>
  <c r="CS187" i="25" s="1"/>
  <c r="CR190" i="25"/>
  <c r="CS190" i="25" s="1"/>
  <c r="CO183" i="24"/>
  <c r="CQ154" i="24"/>
  <c r="CR154" i="24" s="1"/>
  <c r="CT154" i="24" s="1"/>
  <c r="CQ182" i="24"/>
  <c r="CR182" i="24" s="1"/>
  <c r="CT182" i="24" s="1"/>
  <c r="CR129" i="25"/>
  <c r="CS129" i="25" s="1"/>
  <c r="CR182" i="25"/>
  <c r="CS182" i="25" s="1"/>
  <c r="CO187" i="24"/>
  <c r="CO141" i="24"/>
  <c r="CO180" i="24"/>
  <c r="CQ133" i="24"/>
  <c r="CR133" i="24" s="1"/>
  <c r="CT133" i="24" s="1"/>
  <c r="CQ187" i="24"/>
  <c r="CR187" i="24" s="1"/>
  <c r="CT187" i="24" s="1"/>
  <c r="CR158" i="25"/>
  <c r="CS158" i="25" s="1"/>
  <c r="CO184" i="24"/>
  <c r="CO162" i="24"/>
  <c r="CQ209" i="24"/>
  <c r="CR209" i="24" s="1"/>
  <c r="CT209" i="24" s="1"/>
  <c r="CQ162" i="24"/>
  <c r="CR162" i="24" s="1"/>
  <c r="CT162" i="24" s="1"/>
  <c r="CR168" i="25"/>
  <c r="CS168" i="25" s="1"/>
  <c r="CO134" i="24"/>
  <c r="CQ183" i="24"/>
  <c r="CR183" i="24" s="1"/>
  <c r="CT183" i="24" s="1"/>
  <c r="CQ134" i="24"/>
  <c r="CR134" i="24" s="1"/>
  <c r="CT134" i="24" s="1"/>
  <c r="CQ184" i="24"/>
  <c r="CR184" i="24" s="1"/>
  <c r="CT184" i="24" s="1"/>
  <c r="CO163" i="24"/>
  <c r="CQ197" i="24"/>
  <c r="CR197" i="24" s="1"/>
  <c r="CT197" i="24" s="1"/>
  <c r="CR146" i="25"/>
  <c r="CS146" i="25" s="1"/>
  <c r="CO130" i="24"/>
  <c r="CR5" i="24"/>
  <c r="DT5" i="24" s="1"/>
  <c r="CO179" i="24"/>
  <c r="CR171" i="25"/>
  <c r="CS171" i="25" s="1"/>
  <c r="CQ172" i="24"/>
  <c r="CR172" i="24" s="1"/>
  <c r="CT172" i="24" s="1"/>
  <c r="CR193" i="25"/>
  <c r="CS193" i="25" s="1"/>
  <c r="CR118" i="25"/>
  <c r="CS118" i="25" s="1"/>
  <c r="CR177" i="25"/>
  <c r="CS177" i="25" s="1"/>
  <c r="CQ171" i="24"/>
  <c r="CR171" i="24" s="1"/>
  <c r="CT171" i="24" s="1"/>
  <c r="CQ126" i="24"/>
  <c r="CR126" i="24" s="1"/>
  <c r="CT126" i="24" s="1"/>
  <c r="CO126" i="24"/>
  <c r="CO160" i="24"/>
  <c r="CO169" i="24"/>
  <c r="CQ160" i="24"/>
  <c r="CR160" i="24" s="1"/>
  <c r="CT160" i="24" s="1"/>
  <c r="CR196" i="25"/>
  <c r="CS196" i="25" s="1"/>
  <c r="CR121" i="25"/>
  <c r="CS121" i="25" s="1"/>
  <c r="CO123" i="24"/>
  <c r="CO197" i="24"/>
  <c r="CR135" i="25"/>
  <c r="CS135" i="25" s="1"/>
  <c r="CQ130" i="24"/>
  <c r="CR130" i="24" s="1"/>
  <c r="CT130" i="24" s="1"/>
  <c r="CR149" i="25"/>
  <c r="CS149" i="25" s="1"/>
  <c r="CO135" i="24"/>
  <c r="CO172" i="24"/>
  <c r="CQ169" i="24"/>
  <c r="CR169" i="24" s="1"/>
  <c r="CT169" i="24" s="1"/>
  <c r="CR166" i="25"/>
  <c r="CS166" i="25" s="1"/>
  <c r="CQ179" i="24"/>
  <c r="CR179" i="24" s="1"/>
  <c r="CT179" i="24" s="1"/>
  <c r="CQ144" i="24"/>
  <c r="CR144" i="24" s="1"/>
  <c r="CT144" i="24" s="1"/>
  <c r="CQ135" i="24"/>
  <c r="CR135" i="24" s="1"/>
  <c r="CT135" i="24" s="1"/>
  <c r="CR180" i="25"/>
  <c r="CS180" i="25" s="1"/>
  <c r="CO144" i="24"/>
  <c r="CQ123" i="24"/>
  <c r="CR123" i="24" s="1"/>
  <c r="CT123" i="24" s="1"/>
  <c r="CR154" i="25"/>
  <c r="CS154" i="25" s="1"/>
  <c r="L14" i="1"/>
  <c r="B99" i="2"/>
  <c r="CO139" i="24"/>
  <c r="CO203" i="24"/>
  <c r="CO190" i="24"/>
  <c r="CO159" i="24"/>
  <c r="CR208" i="25"/>
  <c r="CS208" i="25" s="1"/>
  <c r="CR119" i="25"/>
  <c r="CS119" i="25" s="1"/>
  <c r="CQ188" i="24"/>
  <c r="CR188" i="24" s="1"/>
  <c r="CT188" i="24" s="1"/>
  <c r="CR134" i="25"/>
  <c r="CS134" i="25" s="1"/>
  <c r="CR194" i="25"/>
  <c r="CS194" i="25" s="1"/>
  <c r="CO143" i="24"/>
  <c r="CR160" i="25"/>
  <c r="CS160" i="25" s="1"/>
  <c r="CO189" i="24"/>
  <c r="CQ207" i="24"/>
  <c r="CR207" i="24" s="1"/>
  <c r="CT207" i="24" s="1"/>
  <c r="CR130" i="25"/>
  <c r="CS130" i="25" s="1"/>
  <c r="CO200" i="24"/>
  <c r="CQ203" i="24"/>
  <c r="CR203" i="24" s="1"/>
  <c r="CT203" i="24" s="1"/>
  <c r="CO188" i="24"/>
  <c r="CR176" i="25"/>
  <c r="CS176" i="25" s="1"/>
  <c r="CQ147" i="24"/>
  <c r="CR147" i="24" s="1"/>
  <c r="CT147" i="24" s="1"/>
  <c r="CR165" i="25"/>
  <c r="CS165" i="25" s="1"/>
  <c r="CO146" i="24"/>
  <c r="CO186" i="24"/>
  <c r="CQ190" i="24"/>
  <c r="CR190" i="24" s="1"/>
  <c r="CT190" i="24" s="1"/>
  <c r="CO207" i="24"/>
  <c r="CQ139" i="24"/>
  <c r="CR139" i="24" s="1"/>
  <c r="CT139" i="24" s="1"/>
  <c r="CR163" i="25"/>
  <c r="CS163" i="25" s="1"/>
  <c r="CO147" i="24"/>
  <c r="CQ159" i="24"/>
  <c r="CR159" i="24" s="1"/>
  <c r="CT159" i="24" s="1"/>
  <c r="CR137" i="25"/>
  <c r="CS137" i="25" s="1"/>
  <c r="CQ186" i="24"/>
  <c r="CR186" i="24" s="1"/>
  <c r="CT186" i="24" s="1"/>
  <c r="CQ200" i="24"/>
  <c r="CR200" i="24" s="1"/>
  <c r="CT200" i="24" s="1"/>
  <c r="EO110" i="24"/>
  <c r="CW110" i="24"/>
  <c r="CX110" i="24" s="1"/>
  <c r="CN110" i="24" s="1"/>
  <c r="CN5" i="24"/>
  <c r="DA5" i="24" s="1"/>
  <c r="CS5" i="24"/>
  <c r="FD5" i="24" s="1"/>
  <c r="AW2" i="25"/>
  <c r="EA2" i="25"/>
  <c r="CZ5" i="24"/>
  <c r="CQ298" i="24"/>
  <c r="CR298" i="24" s="1"/>
  <c r="CT298" i="24" s="1"/>
  <c r="CO298" i="24"/>
  <c r="CO307" i="24"/>
  <c r="CQ307" i="24"/>
  <c r="CR307" i="24" s="1"/>
  <c r="CT307" i="24" s="1"/>
  <c r="CO236" i="24"/>
  <c r="CQ236" i="24"/>
  <c r="CR236" i="24" s="1"/>
  <c r="CT236" i="24" s="1"/>
  <c r="CO300" i="24"/>
  <c r="CQ300" i="24"/>
  <c r="CR300" i="24" s="1"/>
  <c r="CT300" i="24" s="1"/>
  <c r="CO309" i="24"/>
  <c r="CQ309" i="24"/>
  <c r="CR309" i="24" s="1"/>
  <c r="CT309" i="24" s="1"/>
  <c r="CQ262" i="24"/>
  <c r="CR262" i="24" s="1"/>
  <c r="CT262" i="24" s="1"/>
  <c r="CO262" i="24"/>
  <c r="CQ232" i="24"/>
  <c r="CR232" i="24" s="1"/>
  <c r="CT232" i="24" s="1"/>
  <c r="CO232" i="24"/>
  <c r="CO296" i="24"/>
  <c r="CQ296" i="24"/>
  <c r="CR296" i="24" s="1"/>
  <c r="CT296" i="24" s="1"/>
  <c r="CR247" i="25"/>
  <c r="CS247" i="25" s="1"/>
  <c r="CR311" i="25"/>
  <c r="CS311" i="25" s="1"/>
  <c r="CR264" i="25"/>
  <c r="CS264" i="25" s="1"/>
  <c r="CR217" i="25"/>
  <c r="CS217" i="25" s="1"/>
  <c r="CR281" i="25"/>
  <c r="CS281" i="25" s="1"/>
  <c r="CR234" i="25"/>
  <c r="CS234" i="25" s="1"/>
  <c r="CR298" i="25"/>
  <c r="CS298" i="25" s="1"/>
  <c r="CR243" i="25"/>
  <c r="CS243" i="25" s="1"/>
  <c r="CR307" i="25"/>
  <c r="CS307" i="25" s="1"/>
  <c r="CR252" i="25"/>
  <c r="CS252" i="25" s="1"/>
  <c r="CR316" i="25"/>
  <c r="CS316" i="25" s="1"/>
  <c r="CR253" i="25"/>
  <c r="CS253" i="25" s="1"/>
  <c r="CQ242" i="24"/>
  <c r="CR242" i="24" s="1"/>
  <c r="CT242" i="24" s="1"/>
  <c r="CO242" i="24"/>
  <c r="CO306" i="24"/>
  <c r="CQ306" i="24"/>
  <c r="CR306" i="24" s="1"/>
  <c r="CT306" i="24" s="1"/>
  <c r="CO251" i="24"/>
  <c r="CQ251" i="24"/>
  <c r="CR251" i="24" s="1"/>
  <c r="CT251" i="24" s="1"/>
  <c r="CO315" i="24"/>
  <c r="CQ315" i="24"/>
  <c r="CR315" i="24" s="1"/>
  <c r="CT315" i="24" s="1"/>
  <c r="CO244" i="24"/>
  <c r="CQ244" i="24"/>
  <c r="CR244" i="24" s="1"/>
  <c r="CT244" i="24" s="1"/>
  <c r="CQ308" i="24"/>
  <c r="CR308" i="24" s="1"/>
  <c r="CT308" i="24" s="1"/>
  <c r="CO308" i="24"/>
  <c r="CQ253" i="24"/>
  <c r="CR253" i="24" s="1"/>
  <c r="CT253" i="24" s="1"/>
  <c r="CO253" i="24"/>
  <c r="CO233" i="24"/>
  <c r="CQ233" i="24"/>
  <c r="CR233" i="24" s="1"/>
  <c r="CT233" i="24" s="1"/>
  <c r="CQ270" i="24"/>
  <c r="CR270" i="24" s="1"/>
  <c r="CT270" i="24" s="1"/>
  <c r="CO270" i="24"/>
  <c r="CW216" i="24"/>
  <c r="CX216" i="24" s="1"/>
  <c r="CO216" i="24"/>
  <c r="CQ216" i="24"/>
  <c r="CR216" i="24" s="1"/>
  <c r="CO279" i="24"/>
  <c r="CQ279" i="24"/>
  <c r="CR279" i="24" s="1"/>
  <c r="CT279" i="24" s="1"/>
  <c r="CQ240" i="24"/>
  <c r="CR240" i="24" s="1"/>
  <c r="CT240" i="24" s="1"/>
  <c r="CO240" i="24"/>
  <c r="CO304" i="24"/>
  <c r="CQ304" i="24"/>
  <c r="CR304" i="24" s="1"/>
  <c r="CT304" i="24" s="1"/>
  <c r="CR255" i="25"/>
  <c r="CS255" i="25" s="1"/>
  <c r="CR230" i="25"/>
  <c r="CS230" i="25" s="1"/>
  <c r="CR272" i="25"/>
  <c r="CS272" i="25" s="1"/>
  <c r="CR225" i="25"/>
  <c r="CS225" i="25" s="1"/>
  <c r="CR289" i="25"/>
  <c r="CS289" i="25" s="1"/>
  <c r="CR242" i="25"/>
  <c r="CS242" i="25" s="1"/>
  <c r="CR306" i="25"/>
  <c r="CS306" i="25" s="1"/>
  <c r="CR251" i="25"/>
  <c r="CS251" i="25" s="1"/>
  <c r="CR315" i="25"/>
  <c r="CS315" i="25" s="1"/>
  <c r="CR260" i="25"/>
  <c r="CS260" i="25" s="1"/>
  <c r="CR222" i="25"/>
  <c r="CS222" i="25" s="1"/>
  <c r="CR261" i="25"/>
  <c r="CS261" i="25" s="1"/>
  <c r="CQ218" i="24"/>
  <c r="CR218" i="24" s="1"/>
  <c r="CT218" i="24" s="1"/>
  <c r="CO218" i="24"/>
  <c r="CQ250" i="24"/>
  <c r="CR250" i="24" s="1"/>
  <c r="CT250" i="24" s="1"/>
  <c r="CO250" i="24"/>
  <c r="CO314" i="24"/>
  <c r="CQ314" i="24"/>
  <c r="CR314" i="24" s="1"/>
  <c r="CT314" i="24" s="1"/>
  <c r="CQ259" i="24"/>
  <c r="CR259" i="24" s="1"/>
  <c r="CT259" i="24" s="1"/>
  <c r="CO259" i="24"/>
  <c r="CO225" i="24"/>
  <c r="CQ225" i="24"/>
  <c r="CR225" i="24" s="1"/>
  <c r="CT225" i="24" s="1"/>
  <c r="CQ252" i="24"/>
  <c r="CR252" i="24" s="1"/>
  <c r="CT252" i="24" s="1"/>
  <c r="CO252" i="24"/>
  <c r="CO316" i="24"/>
  <c r="CQ316" i="24"/>
  <c r="CR316" i="24" s="1"/>
  <c r="CT316" i="24" s="1"/>
  <c r="CQ261" i="24"/>
  <c r="CR261" i="24" s="1"/>
  <c r="CT261" i="24" s="1"/>
  <c r="CO261" i="24"/>
  <c r="CO313" i="24"/>
  <c r="CQ313" i="24"/>
  <c r="CR313" i="24" s="1"/>
  <c r="CT313" i="24" s="1"/>
  <c r="CQ278" i="24"/>
  <c r="CR278" i="24" s="1"/>
  <c r="CT278" i="24" s="1"/>
  <c r="CO278" i="24"/>
  <c r="CQ223" i="24"/>
  <c r="CR223" i="24" s="1"/>
  <c r="CT223" i="24" s="1"/>
  <c r="CO223" i="24"/>
  <c r="CQ287" i="24"/>
  <c r="CR287" i="24" s="1"/>
  <c r="CT287" i="24" s="1"/>
  <c r="CO287" i="24"/>
  <c r="CQ248" i="24"/>
  <c r="CR248" i="24" s="1"/>
  <c r="CT248" i="24" s="1"/>
  <c r="CO248" i="24"/>
  <c r="CO312" i="24"/>
  <c r="CQ312" i="24"/>
  <c r="CR312" i="24" s="1"/>
  <c r="CT312" i="24" s="1"/>
  <c r="CR263" i="25"/>
  <c r="CS263" i="25" s="1"/>
  <c r="CR302" i="25"/>
  <c r="CS302" i="25" s="1"/>
  <c r="CR280" i="25"/>
  <c r="CS280" i="25" s="1"/>
  <c r="CR233" i="25"/>
  <c r="CS233" i="25" s="1"/>
  <c r="CR297" i="25"/>
  <c r="CS297" i="25" s="1"/>
  <c r="CR250" i="25"/>
  <c r="CS250" i="25" s="1"/>
  <c r="CR314" i="25"/>
  <c r="CS314" i="25" s="1"/>
  <c r="CR259" i="25"/>
  <c r="CS259" i="25" s="1"/>
  <c r="CR254" i="25"/>
  <c r="CS254" i="25" s="1"/>
  <c r="CR268" i="25"/>
  <c r="CS268" i="25" s="1"/>
  <c r="CR246" i="25"/>
  <c r="CS246" i="25" s="1"/>
  <c r="CR269" i="25"/>
  <c r="CS269" i="25" s="1"/>
  <c r="CO243" i="24"/>
  <c r="CQ243" i="24"/>
  <c r="CR243" i="24" s="1"/>
  <c r="CT243" i="24" s="1"/>
  <c r="CQ258" i="24"/>
  <c r="CR258" i="24" s="1"/>
  <c r="CT258" i="24" s="1"/>
  <c r="CO258" i="24"/>
  <c r="CO257" i="24"/>
  <c r="CQ257" i="24"/>
  <c r="CR257" i="24" s="1"/>
  <c r="CT257" i="24" s="1"/>
  <c r="CO267" i="24"/>
  <c r="CQ267" i="24"/>
  <c r="CR267" i="24" s="1"/>
  <c r="CT267" i="24" s="1"/>
  <c r="CO265" i="24"/>
  <c r="CQ265" i="24"/>
  <c r="CR265" i="24" s="1"/>
  <c r="CT265" i="24" s="1"/>
  <c r="CO260" i="24"/>
  <c r="CQ260" i="24"/>
  <c r="CR260" i="24" s="1"/>
  <c r="CT260" i="24" s="1"/>
  <c r="CQ249" i="24"/>
  <c r="CR249" i="24" s="1"/>
  <c r="CT249" i="24" s="1"/>
  <c r="CO249" i="24"/>
  <c r="CO269" i="24"/>
  <c r="CQ269" i="24"/>
  <c r="CR269" i="24" s="1"/>
  <c r="CT269" i="24" s="1"/>
  <c r="CO222" i="24"/>
  <c r="CQ222" i="24"/>
  <c r="CR222" i="24" s="1"/>
  <c r="CT222" i="24" s="1"/>
  <c r="CO286" i="24"/>
  <c r="CQ286" i="24"/>
  <c r="CR286" i="24" s="1"/>
  <c r="CT286" i="24" s="1"/>
  <c r="CQ231" i="24"/>
  <c r="CR231" i="24" s="1"/>
  <c r="CT231" i="24" s="1"/>
  <c r="CO231" i="24"/>
  <c r="CQ295" i="24"/>
  <c r="CR295" i="24" s="1"/>
  <c r="CT295" i="24" s="1"/>
  <c r="CO295" i="24"/>
  <c r="CO256" i="24"/>
  <c r="CQ256" i="24"/>
  <c r="CR256" i="24" s="1"/>
  <c r="CT256" i="24" s="1"/>
  <c r="CR310" i="25"/>
  <c r="CS310" i="25" s="1"/>
  <c r="CR271" i="25"/>
  <c r="CS271" i="25" s="1"/>
  <c r="CR224" i="25"/>
  <c r="CS224" i="25" s="1"/>
  <c r="CR288" i="25"/>
  <c r="CS288" i="25" s="1"/>
  <c r="CR241" i="25"/>
  <c r="CS241" i="25" s="1"/>
  <c r="CR305" i="25"/>
  <c r="CS305" i="25" s="1"/>
  <c r="CR258" i="25"/>
  <c r="CS258" i="25" s="1"/>
  <c r="CR238" i="25"/>
  <c r="CS238" i="25" s="1"/>
  <c r="CR267" i="25"/>
  <c r="CS267" i="25" s="1"/>
  <c r="CR278" i="25"/>
  <c r="CS278" i="25" s="1"/>
  <c r="CR276" i="25"/>
  <c r="CS276" i="25" s="1"/>
  <c r="CR262" i="25"/>
  <c r="CS262" i="25" s="1"/>
  <c r="CR277" i="25"/>
  <c r="CS277" i="25" s="1"/>
  <c r="CO245" i="24"/>
  <c r="CQ245" i="24"/>
  <c r="CR245" i="24" s="1"/>
  <c r="CT245" i="24" s="1"/>
  <c r="CO266" i="24"/>
  <c r="CQ266" i="24"/>
  <c r="CR266" i="24" s="1"/>
  <c r="CT266" i="24" s="1"/>
  <c r="CQ234" i="24"/>
  <c r="CR234" i="24" s="1"/>
  <c r="CT234" i="24" s="1"/>
  <c r="CO234" i="24"/>
  <c r="CQ275" i="24"/>
  <c r="CR275" i="24" s="1"/>
  <c r="CT275" i="24" s="1"/>
  <c r="CO275" i="24"/>
  <c r="CQ297" i="24"/>
  <c r="CR297" i="24" s="1"/>
  <c r="CT297" i="24" s="1"/>
  <c r="CO297" i="24"/>
  <c r="CO268" i="24"/>
  <c r="CQ268" i="24"/>
  <c r="CR268" i="24" s="1"/>
  <c r="CT268" i="24" s="1"/>
  <c r="CQ289" i="24"/>
  <c r="CR289" i="24" s="1"/>
  <c r="CT289" i="24" s="1"/>
  <c r="CO289" i="24"/>
  <c r="CQ277" i="24"/>
  <c r="CR277" i="24" s="1"/>
  <c r="CT277" i="24" s="1"/>
  <c r="CO277" i="24"/>
  <c r="CQ230" i="24"/>
  <c r="CR230" i="24" s="1"/>
  <c r="CT230" i="24" s="1"/>
  <c r="CO230" i="24"/>
  <c r="CQ294" i="24"/>
  <c r="CR294" i="24" s="1"/>
  <c r="CT294" i="24" s="1"/>
  <c r="CO294" i="24"/>
  <c r="CO239" i="24"/>
  <c r="CQ239" i="24"/>
  <c r="CR239" i="24" s="1"/>
  <c r="CT239" i="24" s="1"/>
  <c r="CQ303" i="24"/>
  <c r="CR303" i="24" s="1"/>
  <c r="CT303" i="24" s="1"/>
  <c r="CO303" i="24"/>
  <c r="CQ264" i="24"/>
  <c r="CR264" i="24" s="1"/>
  <c r="CT264" i="24" s="1"/>
  <c r="CO264" i="24"/>
  <c r="CR216" i="25"/>
  <c r="CX216" i="25" s="1"/>
  <c r="CY216" i="25" s="1"/>
  <c r="CR279" i="25"/>
  <c r="CS279" i="25" s="1"/>
  <c r="CR232" i="25"/>
  <c r="CS232" i="25" s="1"/>
  <c r="CR296" i="25"/>
  <c r="CS296" i="25" s="1"/>
  <c r="CR249" i="25"/>
  <c r="CS249" i="25" s="1"/>
  <c r="CR313" i="25"/>
  <c r="CS313" i="25" s="1"/>
  <c r="CR266" i="25"/>
  <c r="CS266" i="25" s="1"/>
  <c r="CR270" i="25"/>
  <c r="CS270" i="25" s="1"/>
  <c r="CR275" i="25"/>
  <c r="CS275" i="25" s="1"/>
  <c r="CR220" i="25"/>
  <c r="CS220" i="25" s="1"/>
  <c r="CR284" i="25"/>
  <c r="CS284" i="25" s="1"/>
  <c r="CR221" i="25"/>
  <c r="CS221" i="25" s="1"/>
  <c r="CR285" i="25"/>
  <c r="CS285" i="25" s="1"/>
  <c r="CQ305" i="24"/>
  <c r="CR305" i="24" s="1"/>
  <c r="CT305" i="24" s="1"/>
  <c r="CO305" i="24"/>
  <c r="CQ274" i="24"/>
  <c r="CR274" i="24" s="1"/>
  <c r="CT274" i="24" s="1"/>
  <c r="CO274" i="24"/>
  <c r="CO219" i="24"/>
  <c r="CQ219" i="24"/>
  <c r="CR219" i="24" s="1"/>
  <c r="CT219" i="24" s="1"/>
  <c r="CO283" i="24"/>
  <c r="CQ283" i="24"/>
  <c r="CR283" i="24" s="1"/>
  <c r="CT283" i="24" s="1"/>
  <c r="CQ226" i="24"/>
  <c r="CR226" i="24" s="1"/>
  <c r="CT226" i="24" s="1"/>
  <c r="CO226" i="24"/>
  <c r="CQ276" i="24"/>
  <c r="CR276" i="24" s="1"/>
  <c r="CT276" i="24" s="1"/>
  <c r="CO276" i="24"/>
  <c r="CQ221" i="24"/>
  <c r="CR221" i="24" s="1"/>
  <c r="CT221" i="24" s="1"/>
  <c r="CO221" i="24"/>
  <c r="CO285" i="24"/>
  <c r="CQ285" i="24"/>
  <c r="CR285" i="24" s="1"/>
  <c r="CT285" i="24" s="1"/>
  <c r="CO238" i="24"/>
  <c r="CQ238" i="24"/>
  <c r="CR238" i="24" s="1"/>
  <c r="CT238" i="24" s="1"/>
  <c r="CQ302" i="24"/>
  <c r="CR302" i="24" s="1"/>
  <c r="CT302" i="24" s="1"/>
  <c r="CO302" i="24"/>
  <c r="CQ247" i="24"/>
  <c r="CR247" i="24" s="1"/>
  <c r="CT247" i="24" s="1"/>
  <c r="CO247" i="24"/>
  <c r="CQ311" i="24"/>
  <c r="CR311" i="24" s="1"/>
  <c r="CT311" i="24" s="1"/>
  <c r="CO311" i="24"/>
  <c r="CQ272" i="24"/>
  <c r="CR272" i="24" s="1"/>
  <c r="CT272" i="24" s="1"/>
  <c r="CO272" i="24"/>
  <c r="CR223" i="25"/>
  <c r="CS223" i="25" s="1"/>
  <c r="CR287" i="25"/>
  <c r="CS287" i="25" s="1"/>
  <c r="CR240" i="25"/>
  <c r="CS240" i="25" s="1"/>
  <c r="CR304" i="25"/>
  <c r="CS304" i="25" s="1"/>
  <c r="CR257" i="25"/>
  <c r="CS257" i="25" s="1"/>
  <c r="CR294" i="25"/>
  <c r="CS294" i="25" s="1"/>
  <c r="CR274" i="25"/>
  <c r="CS274" i="25" s="1"/>
  <c r="CR219" i="25"/>
  <c r="CS219" i="25" s="1"/>
  <c r="CR283" i="25"/>
  <c r="CS283" i="25" s="1"/>
  <c r="CR228" i="25"/>
  <c r="CS228" i="25" s="1"/>
  <c r="CR292" i="25"/>
  <c r="CS292" i="25" s="1"/>
  <c r="CR229" i="25"/>
  <c r="CS229" i="25" s="1"/>
  <c r="CR293" i="25"/>
  <c r="CS293" i="25" s="1"/>
  <c r="CO217" i="24"/>
  <c r="CQ217" i="24"/>
  <c r="CR217" i="24" s="1"/>
  <c r="CT217" i="24" s="1"/>
  <c r="CQ282" i="24"/>
  <c r="CR282" i="24" s="1"/>
  <c r="CT282" i="24" s="1"/>
  <c r="CO282" i="24"/>
  <c r="CO227" i="24"/>
  <c r="CQ227" i="24"/>
  <c r="CR227" i="24" s="1"/>
  <c r="CT227" i="24" s="1"/>
  <c r="CQ291" i="24"/>
  <c r="CR291" i="24" s="1"/>
  <c r="CT291" i="24" s="1"/>
  <c r="CO291" i="24"/>
  <c r="CO220" i="24"/>
  <c r="CQ220" i="24"/>
  <c r="CR220" i="24" s="1"/>
  <c r="CT220" i="24" s="1"/>
  <c r="CQ284" i="24"/>
  <c r="CR284" i="24" s="1"/>
  <c r="CT284" i="24" s="1"/>
  <c r="CO284" i="24"/>
  <c r="CQ229" i="24"/>
  <c r="CR229" i="24" s="1"/>
  <c r="CT229" i="24" s="1"/>
  <c r="CO229" i="24"/>
  <c r="CO293" i="24"/>
  <c r="CQ293" i="24"/>
  <c r="CR293" i="24" s="1"/>
  <c r="CT293" i="24" s="1"/>
  <c r="CQ246" i="24"/>
  <c r="CR246" i="24" s="1"/>
  <c r="CT246" i="24" s="1"/>
  <c r="CO246" i="24"/>
  <c r="CO310" i="24"/>
  <c r="CQ310" i="24"/>
  <c r="CR310" i="24" s="1"/>
  <c r="CT310" i="24" s="1"/>
  <c r="CQ255" i="24"/>
  <c r="CR255" i="24" s="1"/>
  <c r="CT255" i="24" s="1"/>
  <c r="CO255" i="24"/>
  <c r="CO281" i="24"/>
  <c r="CQ281" i="24"/>
  <c r="CR281" i="24" s="1"/>
  <c r="CT281" i="24" s="1"/>
  <c r="CO280" i="24"/>
  <c r="CQ280" i="24"/>
  <c r="CR280" i="24" s="1"/>
  <c r="CT280" i="24" s="1"/>
  <c r="CR231" i="25"/>
  <c r="CS231" i="25" s="1"/>
  <c r="CR295" i="25"/>
  <c r="CS295" i="25" s="1"/>
  <c r="CR248" i="25"/>
  <c r="CS248" i="25" s="1"/>
  <c r="CR312" i="25"/>
  <c r="CS312" i="25" s="1"/>
  <c r="CR265" i="25"/>
  <c r="CS265" i="25" s="1"/>
  <c r="CR218" i="25"/>
  <c r="CS218" i="25" s="1"/>
  <c r="CR282" i="25"/>
  <c r="CS282" i="25" s="1"/>
  <c r="CR227" i="25"/>
  <c r="CS227" i="25" s="1"/>
  <c r="CR291" i="25"/>
  <c r="CS291" i="25" s="1"/>
  <c r="CR236" i="25"/>
  <c r="CS236" i="25" s="1"/>
  <c r="CR300" i="25"/>
  <c r="CS300" i="25" s="1"/>
  <c r="CR237" i="25"/>
  <c r="CS237" i="25" s="1"/>
  <c r="CR301" i="25"/>
  <c r="CS301" i="25" s="1"/>
  <c r="CQ271" i="24"/>
  <c r="CR271" i="24" s="1"/>
  <c r="CT271" i="24" s="1"/>
  <c r="CO271" i="24"/>
  <c r="CQ273" i="24"/>
  <c r="CR273" i="24" s="1"/>
  <c r="CT273" i="24" s="1"/>
  <c r="CO273" i="24"/>
  <c r="CQ290" i="24"/>
  <c r="CR290" i="24" s="1"/>
  <c r="CT290" i="24" s="1"/>
  <c r="CO290" i="24"/>
  <c r="CQ235" i="24"/>
  <c r="CR235" i="24" s="1"/>
  <c r="CT235" i="24" s="1"/>
  <c r="CO235" i="24"/>
  <c r="CQ299" i="24"/>
  <c r="CR299" i="24" s="1"/>
  <c r="CT299" i="24" s="1"/>
  <c r="CO299" i="24"/>
  <c r="CO228" i="24"/>
  <c r="CQ228" i="24"/>
  <c r="CR228" i="24" s="1"/>
  <c r="CT228" i="24" s="1"/>
  <c r="CO292" i="24"/>
  <c r="CQ292" i="24"/>
  <c r="CR292" i="24" s="1"/>
  <c r="CT292" i="24" s="1"/>
  <c r="CQ237" i="24"/>
  <c r="CR237" i="24" s="1"/>
  <c r="CT237" i="24" s="1"/>
  <c r="CO237" i="24"/>
  <c r="CO301" i="24"/>
  <c r="CQ301" i="24"/>
  <c r="CR301" i="24" s="1"/>
  <c r="CT301" i="24" s="1"/>
  <c r="CO254" i="24"/>
  <c r="CQ254" i="24"/>
  <c r="CR254" i="24" s="1"/>
  <c r="CT254" i="24" s="1"/>
  <c r="CO241" i="24"/>
  <c r="CQ241" i="24"/>
  <c r="CR241" i="24" s="1"/>
  <c r="CT241" i="24" s="1"/>
  <c r="CQ263" i="24"/>
  <c r="CR263" i="24" s="1"/>
  <c r="CT263" i="24" s="1"/>
  <c r="CO263" i="24"/>
  <c r="CO224" i="24"/>
  <c r="CQ224" i="24"/>
  <c r="CR224" i="24" s="1"/>
  <c r="CT224" i="24" s="1"/>
  <c r="CQ288" i="24"/>
  <c r="CR288" i="24" s="1"/>
  <c r="CT288" i="24" s="1"/>
  <c r="CO288" i="24"/>
  <c r="CR239" i="25"/>
  <c r="CS239" i="25" s="1"/>
  <c r="CR303" i="25"/>
  <c r="CS303" i="25" s="1"/>
  <c r="CR256" i="25"/>
  <c r="CS256" i="25" s="1"/>
  <c r="CR286" i="25"/>
  <c r="CS286" i="25" s="1"/>
  <c r="CR273" i="25"/>
  <c r="CS273" i="25" s="1"/>
  <c r="CR226" i="25"/>
  <c r="CS226" i="25" s="1"/>
  <c r="CR290" i="25"/>
  <c r="CS290" i="25" s="1"/>
  <c r="CR235" i="25"/>
  <c r="CS235" i="25" s="1"/>
  <c r="CR299" i="25"/>
  <c r="CS299" i="25" s="1"/>
  <c r="CR244" i="25"/>
  <c r="CS244" i="25" s="1"/>
  <c r="CR308" i="25"/>
  <c r="CS308" i="25" s="1"/>
  <c r="CR245" i="25"/>
  <c r="CS245" i="25" s="1"/>
  <c r="CR309" i="25"/>
  <c r="CS309" i="25" s="1"/>
  <c r="CS96" i="25"/>
  <c r="CS49" i="25"/>
  <c r="CS30" i="25"/>
  <c r="CS83" i="25"/>
  <c r="CS60" i="25"/>
  <c r="CS84" i="25"/>
  <c r="CS38" i="25"/>
  <c r="CS69" i="25"/>
  <c r="CS65" i="25"/>
  <c r="CS57" i="25"/>
  <c r="CS102" i="25"/>
  <c r="CS64" i="25"/>
  <c r="CS56" i="25"/>
  <c r="CS53" i="25"/>
  <c r="CS75" i="25"/>
  <c r="CS22" i="25"/>
  <c r="CS101" i="25"/>
  <c r="CS73" i="25"/>
  <c r="CS122" i="25"/>
  <c r="CS34" i="25"/>
  <c r="CS26" i="25"/>
  <c r="CS18" i="25"/>
  <c r="CS61" i="25"/>
  <c r="CS105" i="25"/>
  <c r="CS14" i="25"/>
  <c r="CS6" i="25"/>
  <c r="CS13" i="25"/>
  <c r="CS97" i="25"/>
  <c r="CS72" i="25"/>
  <c r="CS21" i="25"/>
  <c r="CS87" i="25"/>
  <c r="CS10" i="25"/>
  <c r="CS46" i="25"/>
  <c r="CS54" i="25"/>
  <c r="CS62" i="25"/>
  <c r="CS70" i="25"/>
  <c r="CS80" i="25"/>
  <c r="CS81" i="25"/>
  <c r="CS25" i="25"/>
  <c r="CS17" i="25"/>
  <c r="CS95" i="25"/>
  <c r="CS91" i="25"/>
  <c r="CS92" i="25"/>
  <c r="CS68" i="25"/>
  <c r="CS88" i="25"/>
  <c r="CS98" i="25"/>
  <c r="CS16" i="25"/>
  <c r="CS9" i="25"/>
  <c r="CS50" i="25"/>
  <c r="CS35" i="25"/>
  <c r="CS42" i="25"/>
  <c r="CS29" i="25"/>
  <c r="CS66" i="25"/>
  <c r="CS58" i="25"/>
  <c r="CS79" i="25"/>
  <c r="CS32" i="25"/>
  <c r="CS15" i="25"/>
  <c r="CS103" i="25"/>
  <c r="CS7" i="25"/>
  <c r="CS48" i="25"/>
  <c r="CS55" i="25"/>
  <c r="CS86" i="25"/>
  <c r="CS20" i="25"/>
  <c r="CS33" i="25"/>
  <c r="CS89" i="25"/>
  <c r="CS90" i="25"/>
  <c r="CS74" i="25"/>
  <c r="CS76" i="25"/>
  <c r="CS51" i="25"/>
  <c r="CS28" i="25"/>
  <c r="CS41" i="25"/>
  <c r="CS44" i="25"/>
  <c r="CS27" i="25"/>
  <c r="CS11" i="25"/>
  <c r="CS36" i="25"/>
  <c r="CS67" i="25"/>
  <c r="CS31" i="25"/>
  <c r="CS47" i="25"/>
  <c r="CS59" i="25"/>
  <c r="CS71" i="25"/>
  <c r="CS94" i="25"/>
  <c r="CS45" i="25"/>
  <c r="CS40" i="25"/>
  <c r="CS43" i="25"/>
  <c r="CS78" i="25"/>
  <c r="CS85" i="25"/>
  <c r="CS77" i="25"/>
  <c r="CS63" i="25"/>
  <c r="CS23" i="25"/>
  <c r="CS37" i="25"/>
  <c r="CS104" i="25"/>
  <c r="CS82" i="25"/>
  <c r="CS8" i="25"/>
  <c r="CS99" i="25"/>
  <c r="CS93" i="25"/>
  <c r="CS39" i="25"/>
  <c r="CS12" i="25"/>
  <c r="CS100" i="25"/>
  <c r="CS24" i="25"/>
  <c r="CS19" i="25"/>
  <c r="CS52" i="25"/>
  <c r="CJ306" i="25"/>
  <c r="CJ300" i="25"/>
  <c r="CJ299" i="25"/>
  <c r="CJ278" i="25"/>
  <c r="CJ263" i="25"/>
  <c r="CJ259" i="25"/>
  <c r="CJ256" i="25"/>
  <c r="CJ250" i="25"/>
  <c r="CJ235" i="25"/>
  <c r="CJ225" i="25"/>
  <c r="CJ220" i="25"/>
  <c r="CJ210" i="25"/>
  <c r="CJ207" i="25"/>
  <c r="CJ200" i="25"/>
  <c r="CJ197" i="25"/>
  <c r="CJ195" i="25"/>
  <c r="CJ194" i="25"/>
  <c r="CJ192" i="25"/>
  <c r="CJ186" i="25"/>
  <c r="CJ178" i="25"/>
  <c r="CJ167" i="25"/>
  <c r="CJ147" i="25"/>
  <c r="CJ309" i="25"/>
  <c r="CJ307" i="25"/>
  <c r="CJ275" i="25"/>
  <c r="CJ272" i="25"/>
  <c r="CJ271" i="25"/>
  <c r="CJ267" i="25"/>
  <c r="CJ255" i="25"/>
  <c r="CJ254" i="25"/>
  <c r="CJ251" i="25"/>
  <c r="CJ242" i="25"/>
  <c r="CJ241" i="25"/>
  <c r="CJ236" i="25"/>
  <c r="CJ231" i="25"/>
  <c r="CJ218" i="25"/>
  <c r="CJ205" i="25"/>
  <c r="CJ198" i="25"/>
  <c r="CJ182" i="25"/>
  <c r="CJ181" i="25"/>
  <c r="CJ180" i="25"/>
  <c r="CJ179" i="25"/>
  <c r="CJ166" i="25"/>
  <c r="CJ158" i="25"/>
  <c r="CJ155" i="25"/>
  <c r="CJ149" i="25"/>
  <c r="CJ314" i="25"/>
  <c r="CJ295" i="25"/>
  <c r="CJ294" i="25"/>
  <c r="CJ289" i="25"/>
  <c r="CJ279" i="25"/>
  <c r="CJ268" i="25"/>
  <c r="CJ260" i="25"/>
  <c r="CJ253" i="25"/>
  <c r="CJ252" i="25"/>
  <c r="CJ244" i="25"/>
  <c r="CJ237" i="25"/>
  <c r="CJ228" i="25"/>
  <c r="CJ204" i="25"/>
  <c r="CJ203" i="25"/>
  <c r="CJ187" i="25"/>
  <c r="CJ183" i="25"/>
  <c r="CJ168" i="25"/>
  <c r="CJ164" i="25"/>
  <c r="CJ161" i="25"/>
  <c r="CJ152" i="25"/>
  <c r="CJ310" i="25"/>
  <c r="CJ303" i="25"/>
  <c r="CJ301" i="25"/>
  <c r="CJ246" i="25"/>
  <c r="CJ245" i="25"/>
  <c r="CJ243" i="25"/>
  <c r="CJ238" i="25"/>
  <c r="CJ232" i="25"/>
  <c r="CJ223" i="25"/>
  <c r="CJ221" i="25"/>
  <c r="CJ191" i="25"/>
  <c r="CJ170" i="25"/>
  <c r="CJ169" i="25"/>
  <c r="CJ156" i="25"/>
  <c r="CJ146" i="25"/>
  <c r="CJ315" i="25"/>
  <c r="CJ311" i="25"/>
  <c r="CJ297" i="25"/>
  <c r="CJ296" i="25"/>
  <c r="CJ292" i="25"/>
  <c r="CJ290" i="25"/>
  <c r="CJ280" i="25"/>
  <c r="CJ276" i="25"/>
  <c r="CJ269" i="25"/>
  <c r="CJ261" i="25"/>
  <c r="CJ248" i="25"/>
  <c r="CJ229" i="25"/>
  <c r="CJ190" i="25"/>
  <c r="CJ189" i="25"/>
  <c r="CJ188" i="25"/>
  <c r="CJ185" i="25"/>
  <c r="CJ184" i="25"/>
  <c r="CJ165" i="25"/>
  <c r="CJ162" i="25"/>
  <c r="CJ159" i="25"/>
  <c r="CJ308" i="25"/>
  <c r="CJ287" i="25"/>
  <c r="CJ285" i="25"/>
  <c r="CJ283" i="25"/>
  <c r="CJ281" i="25"/>
  <c r="CJ274" i="25"/>
  <c r="CJ273" i="25"/>
  <c r="CJ270" i="25"/>
  <c r="CJ247" i="25"/>
  <c r="CJ239" i="25"/>
  <c r="CJ233" i="25"/>
  <c r="CJ226" i="25"/>
  <c r="CJ219" i="25"/>
  <c r="CJ217" i="25"/>
  <c r="CJ206" i="25"/>
  <c r="CJ202" i="25"/>
  <c r="CJ172" i="25"/>
  <c r="CJ171" i="25"/>
  <c r="CJ153" i="25"/>
  <c r="CJ148" i="25"/>
  <c r="CJ302" i="25"/>
  <c r="CJ291" i="25"/>
  <c r="CJ249" i="25"/>
  <c r="CJ222" i="25"/>
  <c r="CJ193" i="25"/>
  <c r="CJ173" i="25"/>
  <c r="CJ151" i="25"/>
  <c r="CJ143" i="25"/>
  <c r="CJ288" i="25"/>
  <c r="CJ282" i="25"/>
  <c r="CJ264" i="25"/>
  <c r="CJ224" i="25"/>
  <c r="CJ209" i="25"/>
  <c r="CJ140" i="25"/>
  <c r="CJ130" i="25"/>
  <c r="CJ129" i="25"/>
  <c r="CJ128" i="25"/>
  <c r="CJ124" i="25"/>
  <c r="CJ120" i="25"/>
  <c r="CJ118" i="25"/>
  <c r="CJ78" i="25"/>
  <c r="CJ69" i="25"/>
  <c r="CJ65" i="25"/>
  <c r="CJ57" i="25"/>
  <c r="CJ44" i="25"/>
  <c r="CJ32" i="25"/>
  <c r="CJ304" i="25"/>
  <c r="CJ293" i="25"/>
  <c r="CJ257" i="25"/>
  <c r="CJ227" i="25"/>
  <c r="CJ177" i="25"/>
  <c r="CJ145" i="25"/>
  <c r="CJ137" i="25"/>
  <c r="CJ134" i="25"/>
  <c r="CJ127" i="25"/>
  <c r="CJ123" i="25"/>
  <c r="CJ122" i="25"/>
  <c r="CJ121" i="25"/>
  <c r="CJ100" i="25"/>
  <c r="CJ85" i="25"/>
  <c r="CJ39" i="25"/>
  <c r="CJ312" i="25"/>
  <c r="CJ201" i="25"/>
  <c r="CJ174" i="25"/>
  <c r="CJ142" i="25"/>
  <c r="CJ139" i="25"/>
  <c r="CJ126" i="25"/>
  <c r="CJ125" i="25"/>
  <c r="CJ102" i="25"/>
  <c r="CJ101" i="25"/>
  <c r="CJ99" i="25"/>
  <c r="CJ94" i="25"/>
  <c r="CJ93" i="25"/>
  <c r="CJ88" i="25"/>
  <c r="CJ86" i="25"/>
  <c r="CJ79" i="25"/>
  <c r="CJ64" i="25"/>
  <c r="CJ56" i="25"/>
  <c r="CJ54" i="25"/>
  <c r="CJ50" i="25"/>
  <c r="CJ45" i="25"/>
  <c r="CJ40" i="25"/>
  <c r="CJ34" i="25"/>
  <c r="CJ33" i="25"/>
  <c r="CJ316" i="25"/>
  <c r="CJ286" i="25"/>
  <c r="CJ265" i="25"/>
  <c r="CJ150" i="25"/>
  <c r="CJ136" i="25"/>
  <c r="CJ95" i="25"/>
  <c r="CJ87" i="25"/>
  <c r="CJ74" i="25"/>
  <c r="CJ73" i="25"/>
  <c r="CJ63" i="25"/>
  <c r="CJ62" i="25"/>
  <c r="CJ52" i="25"/>
  <c r="CJ46" i="25"/>
  <c r="CJ298" i="25"/>
  <c r="CJ277" i="25"/>
  <c r="CJ262" i="25"/>
  <c r="CJ234" i="25"/>
  <c r="CJ196" i="25"/>
  <c r="CJ144" i="25"/>
  <c r="CJ138" i="25"/>
  <c r="CJ104" i="25"/>
  <c r="CJ96" i="25"/>
  <c r="CJ90" i="25"/>
  <c r="CJ89" i="25"/>
  <c r="CJ68" i="25"/>
  <c r="CJ67" i="25"/>
  <c r="CJ53" i="25"/>
  <c r="CJ51" i="25"/>
  <c r="CJ313" i="25"/>
  <c r="CJ284" i="25"/>
  <c r="CJ266" i="25"/>
  <c r="CJ119" i="25"/>
  <c r="CJ91" i="25"/>
  <c r="CJ84" i="25"/>
  <c r="CJ80" i="25"/>
  <c r="CJ75" i="25"/>
  <c r="CJ70" i="25"/>
  <c r="CJ48" i="25"/>
  <c r="CJ47" i="25"/>
  <c r="CJ22" i="25"/>
  <c r="CJ12" i="25"/>
  <c r="CJ11" i="25"/>
  <c r="CJ10" i="25"/>
  <c r="CJ258" i="25"/>
  <c r="CJ115" i="25"/>
  <c r="CJ71" i="25"/>
  <c r="CJ55" i="25"/>
  <c r="CJ43" i="25"/>
  <c r="CJ305" i="25"/>
  <c r="CJ135" i="25"/>
  <c r="CJ116" i="25"/>
  <c r="CJ111" i="25"/>
  <c r="CJ105" i="25"/>
  <c r="CJ92" i="25"/>
  <c r="CJ82" i="25"/>
  <c r="CJ59" i="25"/>
  <c r="CJ49" i="25"/>
  <c r="CJ36" i="25"/>
  <c r="CJ35" i="25"/>
  <c r="CJ41" i="25"/>
  <c r="CJ30" i="25"/>
  <c r="CJ28" i="25"/>
  <c r="CJ27" i="25"/>
  <c r="CJ25" i="25"/>
  <c r="CJ16" i="25"/>
  <c r="CJ61" i="25"/>
  <c r="CJ31" i="25"/>
  <c r="CJ141" i="25"/>
  <c r="CJ13" i="25"/>
  <c r="CJ9" i="25"/>
  <c r="CJ175" i="25"/>
  <c r="CJ117" i="25"/>
  <c r="CJ103" i="25"/>
  <c r="CJ97" i="25"/>
  <c r="CJ77" i="25"/>
  <c r="CJ21" i="25"/>
  <c r="CJ42" i="25"/>
  <c r="CJ17" i="25"/>
  <c r="CJ15" i="25"/>
  <c r="CJ230" i="25"/>
  <c r="CJ131" i="25"/>
  <c r="CJ83" i="25"/>
  <c r="CJ72" i="25"/>
  <c r="CJ66" i="25"/>
  <c r="CJ81" i="25"/>
  <c r="CJ176" i="25"/>
  <c r="CJ157" i="25"/>
  <c r="CJ154" i="25"/>
  <c r="CJ132" i="25"/>
  <c r="CJ113" i="25"/>
  <c r="CJ98" i="25"/>
  <c r="CJ60" i="25"/>
  <c r="CJ29" i="25"/>
  <c r="CJ14" i="25"/>
  <c r="CJ208" i="25"/>
  <c r="CJ199" i="25"/>
  <c r="CJ163" i="25"/>
  <c r="CJ160" i="25"/>
  <c r="CJ133" i="25"/>
  <c r="CJ114" i="25"/>
  <c r="CJ58" i="25"/>
  <c r="CJ37" i="25"/>
  <c r="CJ8" i="25"/>
  <c r="CJ240" i="25"/>
  <c r="CJ76" i="25"/>
  <c r="CJ26" i="25"/>
  <c r="CJ19" i="25"/>
  <c r="CJ23" i="25"/>
  <c r="CJ24" i="25"/>
  <c r="CJ38" i="25"/>
  <c r="CJ20" i="25"/>
  <c r="CJ18" i="25"/>
  <c r="CJ300" i="24"/>
  <c r="ES300" i="24" s="1"/>
  <c r="EV300" i="24" s="1"/>
  <c r="CJ296" i="24"/>
  <c r="ES296" i="24" s="1"/>
  <c r="EV296" i="24" s="1"/>
  <c r="CJ289" i="24"/>
  <c r="ES289" i="24" s="1"/>
  <c r="EV289" i="24" s="1"/>
  <c r="CJ280" i="24"/>
  <c r="ES280" i="24" s="1"/>
  <c r="EV280" i="24" s="1"/>
  <c r="CJ274" i="24"/>
  <c r="ES274" i="24" s="1"/>
  <c r="EV274" i="24" s="1"/>
  <c r="CJ269" i="24"/>
  <c r="ES269" i="24" s="1"/>
  <c r="EV269" i="24" s="1"/>
  <c r="CJ316" i="24"/>
  <c r="ES316" i="24" s="1"/>
  <c r="EV316" i="24" s="1"/>
  <c r="CJ313" i="24"/>
  <c r="ES313" i="24" s="1"/>
  <c r="EV313" i="24" s="1"/>
  <c r="CJ302" i="24"/>
  <c r="ES302" i="24" s="1"/>
  <c r="EV302" i="24" s="1"/>
  <c r="CJ283" i="24"/>
  <c r="ES283" i="24" s="1"/>
  <c r="EV283" i="24" s="1"/>
  <c r="CJ281" i="24"/>
  <c r="ES281" i="24" s="1"/>
  <c r="EV281" i="24" s="1"/>
  <c r="CJ278" i="24"/>
  <c r="ES278" i="24" s="1"/>
  <c r="EV278" i="24" s="1"/>
  <c r="CJ254" i="24"/>
  <c r="ES254" i="24" s="1"/>
  <c r="EV254" i="24" s="1"/>
  <c r="CJ252" i="24"/>
  <c r="ES252" i="24" s="1"/>
  <c r="EV252" i="24" s="1"/>
  <c r="CJ251" i="24"/>
  <c r="ES251" i="24" s="1"/>
  <c r="EV251" i="24" s="1"/>
  <c r="CJ246" i="24"/>
  <c r="ES246" i="24" s="1"/>
  <c r="EV246" i="24" s="1"/>
  <c r="CJ238" i="24"/>
  <c r="ES238" i="24" s="1"/>
  <c r="EV238" i="24" s="1"/>
  <c r="CJ236" i="24"/>
  <c r="ES236" i="24" s="1"/>
  <c r="EV236" i="24" s="1"/>
  <c r="CJ205" i="24"/>
  <c r="CJ204" i="24"/>
  <c r="CJ202" i="24"/>
  <c r="CJ199" i="24"/>
  <c r="CJ198" i="24"/>
  <c r="CJ196" i="24"/>
  <c r="CJ190" i="24"/>
  <c r="CJ189" i="24"/>
  <c r="CJ314" i="24"/>
  <c r="ES314" i="24" s="1"/>
  <c r="EV314" i="24" s="1"/>
  <c r="CJ311" i="24"/>
  <c r="ES311" i="24" s="1"/>
  <c r="EV311" i="24" s="1"/>
  <c r="CJ308" i="24"/>
  <c r="ES308" i="24" s="1"/>
  <c r="EV308" i="24" s="1"/>
  <c r="CJ304" i="24"/>
  <c r="ES304" i="24" s="1"/>
  <c r="EV304" i="24" s="1"/>
  <c r="CJ295" i="24"/>
  <c r="ES295" i="24" s="1"/>
  <c r="EV295" i="24" s="1"/>
  <c r="CJ290" i="24"/>
  <c r="ES290" i="24" s="1"/>
  <c r="EV290" i="24" s="1"/>
  <c r="CJ287" i="24"/>
  <c r="ES287" i="24" s="1"/>
  <c r="EV287" i="24" s="1"/>
  <c r="CJ284" i="24"/>
  <c r="ES284" i="24" s="1"/>
  <c r="EV284" i="24" s="1"/>
  <c r="CJ282" i="24"/>
  <c r="ES282" i="24" s="1"/>
  <c r="EV282" i="24" s="1"/>
  <c r="CJ262" i="24"/>
  <c r="ES262" i="24" s="1"/>
  <c r="EV262" i="24" s="1"/>
  <c r="CJ248" i="24"/>
  <c r="ES248" i="24" s="1"/>
  <c r="EV248" i="24" s="1"/>
  <c r="CJ247" i="24"/>
  <c r="ES247" i="24" s="1"/>
  <c r="EV247" i="24" s="1"/>
  <c r="CJ227" i="24"/>
  <c r="ES227" i="24" s="1"/>
  <c r="EV227" i="24" s="1"/>
  <c r="CJ223" i="24"/>
  <c r="ES223" i="24" s="1"/>
  <c r="EV223" i="24" s="1"/>
  <c r="CJ219" i="24"/>
  <c r="ES219" i="24" s="1"/>
  <c r="EV219" i="24" s="1"/>
  <c r="CJ206" i="24"/>
  <c r="CJ200" i="24"/>
  <c r="CJ293" i="24"/>
  <c r="ES293" i="24" s="1"/>
  <c r="EV293" i="24" s="1"/>
  <c r="CJ292" i="24"/>
  <c r="ES292" i="24" s="1"/>
  <c r="EV292" i="24" s="1"/>
  <c r="CJ273" i="24"/>
  <c r="ES273" i="24" s="1"/>
  <c r="EV273" i="24" s="1"/>
  <c r="CJ268" i="24"/>
  <c r="ES268" i="24" s="1"/>
  <c r="EV268" i="24" s="1"/>
  <c r="CJ260" i="24"/>
  <c r="ES260" i="24" s="1"/>
  <c r="EV260" i="24" s="1"/>
  <c r="CJ259" i="24"/>
  <c r="ES259" i="24" s="1"/>
  <c r="EV259" i="24" s="1"/>
  <c r="CJ255" i="24"/>
  <c r="ES255" i="24" s="1"/>
  <c r="EV255" i="24" s="1"/>
  <c r="CJ253" i="24"/>
  <c r="ES253" i="24" s="1"/>
  <c r="EV253" i="24" s="1"/>
  <c r="CJ245" i="24"/>
  <c r="ES245" i="24" s="1"/>
  <c r="EV245" i="24" s="1"/>
  <c r="CJ241" i="24"/>
  <c r="ES241" i="24" s="1"/>
  <c r="EV241" i="24" s="1"/>
  <c r="CJ231" i="24"/>
  <c r="ES231" i="24" s="1"/>
  <c r="EV231" i="24" s="1"/>
  <c r="CJ229" i="24"/>
  <c r="ES229" i="24" s="1"/>
  <c r="EV229" i="24" s="1"/>
  <c r="CJ225" i="24"/>
  <c r="ES225" i="24" s="1"/>
  <c r="EV225" i="24" s="1"/>
  <c r="CJ208" i="24"/>
  <c r="CJ203" i="24"/>
  <c r="CJ187" i="24"/>
  <c r="CJ185" i="24"/>
  <c r="CJ305" i="24"/>
  <c r="ES305" i="24" s="1"/>
  <c r="EV305" i="24" s="1"/>
  <c r="CJ303" i="24"/>
  <c r="ES303" i="24" s="1"/>
  <c r="EV303" i="24" s="1"/>
  <c r="CJ301" i="24"/>
  <c r="ES301" i="24" s="1"/>
  <c r="EV301" i="24" s="1"/>
  <c r="CJ299" i="24"/>
  <c r="ES299" i="24" s="1"/>
  <c r="EV299" i="24" s="1"/>
  <c r="CJ297" i="24"/>
  <c r="ES297" i="24" s="1"/>
  <c r="EV297" i="24" s="1"/>
  <c r="CJ285" i="24"/>
  <c r="ES285" i="24" s="1"/>
  <c r="EV285" i="24" s="1"/>
  <c r="CJ277" i="24"/>
  <c r="ES277" i="24" s="1"/>
  <c r="EV277" i="24" s="1"/>
  <c r="CJ276" i="24"/>
  <c r="ES276" i="24" s="1"/>
  <c r="EV276" i="24" s="1"/>
  <c r="CJ265" i="24"/>
  <c r="ES265" i="24" s="1"/>
  <c r="EV265" i="24" s="1"/>
  <c r="CJ261" i="24"/>
  <c r="ES261" i="24" s="1"/>
  <c r="EV261" i="24" s="1"/>
  <c r="CJ257" i="24"/>
  <c r="ES257" i="24" s="1"/>
  <c r="EV257" i="24" s="1"/>
  <c r="CJ239" i="24"/>
  <c r="ES239" i="24" s="1"/>
  <c r="EV239" i="24" s="1"/>
  <c r="CJ232" i="24"/>
  <c r="ES232" i="24" s="1"/>
  <c r="EV232" i="24" s="1"/>
  <c r="CJ226" i="24"/>
  <c r="ES226" i="24" s="1"/>
  <c r="EV226" i="24" s="1"/>
  <c r="CJ224" i="24"/>
  <c r="ES224" i="24" s="1"/>
  <c r="EV224" i="24" s="1"/>
  <c r="CJ222" i="24"/>
  <c r="ES222" i="24" s="1"/>
  <c r="EV222" i="24" s="1"/>
  <c r="CJ210" i="24"/>
  <c r="CJ197" i="24"/>
  <c r="CJ195" i="24"/>
  <c r="CJ315" i="24"/>
  <c r="ES315" i="24" s="1"/>
  <c r="EV315" i="24" s="1"/>
  <c r="CJ309" i="24"/>
  <c r="ES309" i="24" s="1"/>
  <c r="EV309" i="24" s="1"/>
  <c r="CJ294" i="24"/>
  <c r="ES294" i="24" s="1"/>
  <c r="EV294" i="24" s="1"/>
  <c r="CJ286" i="24"/>
  <c r="ES286" i="24" s="1"/>
  <c r="EV286" i="24" s="1"/>
  <c r="CJ279" i="24"/>
  <c r="ES279" i="24" s="1"/>
  <c r="EV279" i="24" s="1"/>
  <c r="CJ275" i="24"/>
  <c r="ES275" i="24" s="1"/>
  <c r="EV275" i="24" s="1"/>
  <c r="CJ270" i="24"/>
  <c r="ES270" i="24" s="1"/>
  <c r="EV270" i="24" s="1"/>
  <c r="CJ249" i="24"/>
  <c r="ES249" i="24" s="1"/>
  <c r="EV249" i="24" s="1"/>
  <c r="CJ237" i="24"/>
  <c r="ES237" i="24" s="1"/>
  <c r="EV237" i="24" s="1"/>
  <c r="CJ233" i="24"/>
  <c r="ES233" i="24" s="1"/>
  <c r="EV233" i="24" s="1"/>
  <c r="CJ221" i="24"/>
  <c r="ES221" i="24" s="1"/>
  <c r="EV221" i="24" s="1"/>
  <c r="CJ192" i="24"/>
  <c r="CJ191" i="24"/>
  <c r="CJ312" i="24"/>
  <c r="ES312" i="24" s="1"/>
  <c r="EV312" i="24" s="1"/>
  <c r="CJ288" i="24"/>
  <c r="ES288" i="24" s="1"/>
  <c r="EV288" i="24" s="1"/>
  <c r="CJ272" i="24"/>
  <c r="ES272" i="24" s="1"/>
  <c r="EV272" i="24" s="1"/>
  <c r="CJ271" i="24"/>
  <c r="ES271" i="24" s="1"/>
  <c r="EV271" i="24" s="1"/>
  <c r="CJ267" i="24"/>
  <c r="ES267" i="24" s="1"/>
  <c r="EV267" i="24" s="1"/>
  <c r="CJ263" i="24"/>
  <c r="ES263" i="24" s="1"/>
  <c r="EV263" i="24" s="1"/>
  <c r="CJ240" i="24"/>
  <c r="ES240" i="24" s="1"/>
  <c r="EV240" i="24" s="1"/>
  <c r="CJ235" i="24"/>
  <c r="ES235" i="24" s="1"/>
  <c r="EV235" i="24" s="1"/>
  <c r="CJ230" i="24"/>
  <c r="ES230" i="24" s="1"/>
  <c r="EV230" i="24" s="1"/>
  <c r="CJ220" i="24"/>
  <c r="ES220" i="24" s="1"/>
  <c r="EV220" i="24" s="1"/>
  <c r="CJ207" i="24"/>
  <c r="CJ201" i="24"/>
  <c r="CJ306" i="24"/>
  <c r="ES306" i="24" s="1"/>
  <c r="EV306" i="24" s="1"/>
  <c r="CJ298" i="24"/>
  <c r="ES298" i="24" s="1"/>
  <c r="EV298" i="24" s="1"/>
  <c r="CJ291" i="24"/>
  <c r="ES291" i="24" s="1"/>
  <c r="EV291" i="24" s="1"/>
  <c r="CJ243" i="24"/>
  <c r="ES243" i="24" s="1"/>
  <c r="EV243" i="24" s="1"/>
  <c r="CJ183" i="24"/>
  <c r="CJ181" i="24"/>
  <c r="CJ180" i="24"/>
  <c r="CJ176" i="24"/>
  <c r="CJ171" i="24"/>
  <c r="CJ157" i="24"/>
  <c r="CJ150" i="24"/>
  <c r="CJ143" i="24"/>
  <c r="CJ134" i="24"/>
  <c r="CJ131" i="24"/>
  <c r="CJ125" i="24"/>
  <c r="CJ114" i="24"/>
  <c r="CJ98" i="24"/>
  <c r="CJ83" i="24"/>
  <c r="CJ250" i="24"/>
  <c r="ES250" i="24" s="1"/>
  <c r="EV250" i="24" s="1"/>
  <c r="CJ228" i="24"/>
  <c r="ES228" i="24" s="1"/>
  <c r="EV228" i="24" s="1"/>
  <c r="CJ186" i="24"/>
  <c r="CJ184" i="24"/>
  <c r="CJ178" i="24"/>
  <c r="CJ174" i="24"/>
  <c r="CJ161" i="24"/>
  <c r="CJ153" i="24"/>
  <c r="CJ115" i="24"/>
  <c r="CJ112" i="24"/>
  <c r="CJ105" i="24"/>
  <c r="CJ101" i="24"/>
  <c r="CJ95" i="24"/>
  <c r="CJ310" i="24"/>
  <c r="ES310" i="24" s="1"/>
  <c r="EV310" i="24" s="1"/>
  <c r="CJ307" i="24"/>
  <c r="ES307" i="24" s="1"/>
  <c r="EV307" i="24" s="1"/>
  <c r="CJ209" i="24"/>
  <c r="CJ194" i="24"/>
  <c r="CJ175" i="24"/>
  <c r="CJ169" i="24"/>
  <c r="CJ160" i="24"/>
  <c r="CJ141" i="24"/>
  <c r="CJ138" i="24"/>
  <c r="CJ132" i="24"/>
  <c r="CJ123" i="24"/>
  <c r="CJ116" i="24"/>
  <c r="CJ104" i="24"/>
  <c r="CJ102" i="24"/>
  <c r="CJ100" i="24"/>
  <c r="CJ256" i="24"/>
  <c r="ES256" i="24" s="1"/>
  <c r="EV256" i="24" s="1"/>
  <c r="CJ188" i="24"/>
  <c r="CJ179" i="24"/>
  <c r="CJ177" i="24"/>
  <c r="CJ164" i="24"/>
  <c r="CJ154" i="24"/>
  <c r="CJ147" i="24"/>
  <c r="CJ135" i="24"/>
  <c r="CJ128" i="24"/>
  <c r="CJ124" i="24"/>
  <c r="CJ81" i="24"/>
  <c r="CJ244" i="24"/>
  <c r="ES244" i="24" s="1"/>
  <c r="EV244" i="24" s="1"/>
  <c r="CJ242" i="24"/>
  <c r="ES242" i="24" s="1"/>
  <c r="EV242" i="24" s="1"/>
  <c r="CJ182" i="24"/>
  <c r="CJ173" i="24"/>
  <c r="CJ165" i="24"/>
  <c r="CJ158" i="24"/>
  <c r="CJ151" i="24"/>
  <c r="CJ148" i="24"/>
  <c r="CJ146" i="24"/>
  <c r="CJ133" i="24"/>
  <c r="CJ129" i="24"/>
  <c r="CJ126" i="24"/>
  <c r="CJ121" i="24"/>
  <c r="CJ117" i="24"/>
  <c r="CJ99" i="24"/>
  <c r="CJ264" i="24"/>
  <c r="ES264" i="24" s="1"/>
  <c r="EV264" i="24" s="1"/>
  <c r="CJ217" i="24"/>
  <c r="ES217" i="24" s="1"/>
  <c r="EV217" i="24" s="1"/>
  <c r="CJ172" i="24"/>
  <c r="CJ166" i="24"/>
  <c r="CJ155" i="24"/>
  <c r="CJ144" i="24"/>
  <c r="CJ142" i="24"/>
  <c r="CJ140" i="24"/>
  <c r="CJ139" i="24"/>
  <c r="CJ136" i="24"/>
  <c r="CJ111" i="24"/>
  <c r="CJ82" i="24"/>
  <c r="CJ80" i="24"/>
  <c r="CJ78" i="24"/>
  <c r="CJ74" i="24"/>
  <c r="CJ69" i="24"/>
  <c r="CJ47" i="24"/>
  <c r="CJ40" i="24"/>
  <c r="CJ38" i="24"/>
  <c r="CJ37" i="24"/>
  <c r="CJ33" i="24"/>
  <c r="CJ32" i="24"/>
  <c r="CJ31" i="24"/>
  <c r="CJ266" i="24"/>
  <c r="ES266" i="24" s="1"/>
  <c r="EV266" i="24" s="1"/>
  <c r="CJ258" i="24"/>
  <c r="ES258" i="24" s="1"/>
  <c r="EV258" i="24" s="1"/>
  <c r="CJ234" i="24"/>
  <c r="ES234" i="24" s="1"/>
  <c r="EV234" i="24" s="1"/>
  <c r="CJ193" i="24"/>
  <c r="CJ170" i="24"/>
  <c r="CJ163" i="24"/>
  <c r="CJ159" i="24"/>
  <c r="CJ145" i="24"/>
  <c r="CJ127" i="24"/>
  <c r="CJ120" i="24"/>
  <c r="CJ113" i="24"/>
  <c r="CJ89" i="24"/>
  <c r="CJ88" i="24"/>
  <c r="CJ76" i="24"/>
  <c r="CJ68" i="24"/>
  <c r="CJ218" i="24"/>
  <c r="ES218" i="24" s="1"/>
  <c r="EV218" i="24" s="1"/>
  <c r="CJ168" i="24"/>
  <c r="CJ167" i="24"/>
  <c r="CJ162" i="24"/>
  <c r="CJ156" i="24"/>
  <c r="CJ152" i="24"/>
  <c r="CJ149" i="24"/>
  <c r="CJ137" i="24"/>
  <c r="CJ130" i="24"/>
  <c r="CJ122" i="24"/>
  <c r="CJ119" i="24"/>
  <c r="CJ118" i="24"/>
  <c r="CJ103" i="24"/>
  <c r="CJ97" i="24"/>
  <c r="CJ93" i="24"/>
  <c r="CJ63" i="24"/>
  <c r="CJ44" i="24"/>
  <c r="CJ43" i="24"/>
  <c r="CJ41" i="24"/>
  <c r="CJ70" i="24"/>
  <c r="CJ20" i="24"/>
  <c r="CJ7" i="24"/>
  <c r="CJ90" i="24"/>
  <c r="CJ85" i="24"/>
  <c r="CJ79" i="24"/>
  <c r="CJ71" i="24"/>
  <c r="CJ66" i="24"/>
  <c r="CJ64" i="24"/>
  <c r="CJ60" i="24"/>
  <c r="CJ56" i="24"/>
  <c r="CJ54" i="24"/>
  <c r="CJ51" i="24"/>
  <c r="CJ49" i="24"/>
  <c r="CJ39" i="24"/>
  <c r="CJ36" i="24"/>
  <c r="CJ14" i="24"/>
  <c r="CJ29" i="24"/>
  <c r="CJ19" i="24"/>
  <c r="CJ8" i="24"/>
  <c r="CJ13" i="24"/>
  <c r="CJ96" i="24"/>
  <c r="CJ91" i="24"/>
  <c r="CJ75" i="24"/>
  <c r="CJ73" i="24"/>
  <c r="CJ62" i="24"/>
  <c r="CJ55" i="24"/>
  <c r="CJ25" i="24"/>
  <c r="CJ23" i="24"/>
  <c r="CJ12" i="24"/>
  <c r="CJ11" i="24"/>
  <c r="CJ9" i="24"/>
  <c r="CJ6" i="24"/>
  <c r="CJ58" i="24"/>
  <c r="CJ27" i="24"/>
  <c r="CJ24" i="24"/>
  <c r="CJ35" i="24"/>
  <c r="CJ77" i="24"/>
  <c r="CJ42" i="24"/>
  <c r="CJ21" i="24"/>
  <c r="CJ52" i="24"/>
  <c r="CJ84" i="24"/>
  <c r="CJ67" i="24"/>
  <c r="CJ65" i="24"/>
  <c r="CJ61" i="24"/>
  <c r="CJ59" i="24"/>
  <c r="CJ53" i="24"/>
  <c r="CJ45" i="24"/>
  <c r="CJ18" i="24"/>
  <c r="CJ10" i="24"/>
  <c r="CJ48" i="24"/>
  <c r="CJ16" i="24"/>
  <c r="CJ94" i="24"/>
  <c r="CJ92" i="24"/>
  <c r="CJ87" i="24"/>
  <c r="CJ86" i="24"/>
  <c r="CJ72" i="24"/>
  <c r="CJ57" i="24"/>
  <c r="CJ50" i="24"/>
  <c r="CJ46" i="24"/>
  <c r="CJ28" i="24"/>
  <c r="CJ26" i="24"/>
  <c r="CJ34" i="24"/>
  <c r="CJ15" i="24"/>
  <c r="CJ30" i="24"/>
  <c r="CJ17" i="24"/>
  <c r="CJ22" i="24"/>
  <c r="I3" i="29"/>
  <c r="B222" i="2"/>
  <c r="B281" i="2"/>
  <c r="A28" i="16"/>
  <c r="BQ5" i="25"/>
  <c r="B277" i="2"/>
  <c r="D277" i="2" s="1"/>
  <c r="D34" i="16"/>
  <c r="W64" i="2"/>
  <c r="R66" i="2"/>
  <c r="S29" i="1" s="1"/>
  <c r="R67" i="2"/>
  <c r="B26" i="2"/>
  <c r="I9" i="19"/>
  <c r="I8" i="19"/>
  <c r="I7" i="19"/>
  <c r="I6" i="19"/>
  <c r="B125" i="2"/>
  <c r="B22" i="2"/>
  <c r="F17" i="23"/>
  <c r="J17" i="23" s="1"/>
  <c r="I33" i="23"/>
  <c r="F54" i="23"/>
  <c r="J54" i="23" s="1"/>
  <c r="I9" i="23"/>
  <c r="I70" i="23"/>
  <c r="F32" i="23"/>
  <c r="J32" i="23" s="1"/>
  <c r="F49" i="23"/>
  <c r="G49" i="23" s="1"/>
  <c r="H49" i="23" s="1"/>
  <c r="F103" i="23"/>
  <c r="G103" i="23" s="1"/>
  <c r="H103" i="23" s="1"/>
  <c r="F53" i="23"/>
  <c r="J53" i="23" s="1"/>
  <c r="I16" i="23"/>
  <c r="F46" i="23"/>
  <c r="J46" i="23" s="1"/>
  <c r="I43" i="23"/>
  <c r="I36" i="23"/>
  <c r="F67" i="23"/>
  <c r="G67" i="23" s="1"/>
  <c r="H67" i="23" s="1"/>
  <c r="I59" i="23"/>
  <c r="F30" i="23"/>
  <c r="J30" i="23" s="1"/>
  <c r="F88" i="23"/>
  <c r="G88" i="23" s="1"/>
  <c r="H88" i="23" s="1"/>
  <c r="I78" i="23"/>
  <c r="I27" i="23"/>
  <c r="I75" i="23"/>
  <c r="F73" i="23"/>
  <c r="J73" i="23" s="1"/>
  <c r="F71" i="23"/>
  <c r="J71" i="23" s="1"/>
  <c r="I48" i="23"/>
  <c r="F84" i="23"/>
  <c r="G84" i="23" s="1"/>
  <c r="H84" i="23" s="1"/>
  <c r="F6" i="23"/>
  <c r="J6" i="23" s="1"/>
  <c r="F25" i="23"/>
  <c r="J25" i="23" s="1"/>
  <c r="I23" i="23"/>
  <c r="F60" i="23"/>
  <c r="G60" i="23" s="1"/>
  <c r="H60" i="23" s="1"/>
  <c r="I38" i="23"/>
  <c r="I62" i="23"/>
  <c r="F105" i="23"/>
  <c r="J105" i="23" s="1"/>
  <c r="F94" i="23"/>
  <c r="J94" i="23" s="1"/>
  <c r="I41" i="23"/>
  <c r="F92" i="23"/>
  <c r="J92" i="23" s="1"/>
  <c r="A258" i="2"/>
  <c r="C258" i="2"/>
  <c r="I11" i="23"/>
  <c r="F101" i="23"/>
  <c r="J101" i="23" s="1"/>
  <c r="F20" i="23"/>
  <c r="G20" i="23" s="1"/>
  <c r="H20" i="23" s="1"/>
  <c r="F81" i="23"/>
  <c r="J81" i="23" s="1"/>
  <c r="F14" i="23"/>
  <c r="J14" i="23" s="1"/>
  <c r="F22" i="23"/>
  <c r="J22" i="23" s="1"/>
  <c r="F63" i="23"/>
  <c r="G63" i="23" s="1"/>
  <c r="H63" i="23" s="1"/>
  <c r="I99" i="23"/>
  <c r="F80" i="23"/>
  <c r="J80" i="23" s="1"/>
  <c r="I31" i="23"/>
  <c r="I96" i="23"/>
  <c r="F77" i="23"/>
  <c r="G77" i="23" s="1"/>
  <c r="H77" i="23" s="1"/>
  <c r="I56" i="23"/>
  <c r="I86" i="23"/>
  <c r="I98" i="23"/>
  <c r="H109" i="19"/>
  <c r="H110" i="19" s="1"/>
  <c r="F52" i="23"/>
  <c r="J52" i="23" s="1"/>
  <c r="F102" i="23"/>
  <c r="J102" i="23" s="1"/>
  <c r="J79" i="23"/>
  <c r="J7" i="23"/>
  <c r="J106" i="23"/>
  <c r="I87" i="23"/>
  <c r="I8" i="23"/>
  <c r="I106" i="23"/>
  <c r="J31" i="23"/>
  <c r="J99" i="23"/>
  <c r="J56" i="23"/>
  <c r="J27" i="23"/>
  <c r="J96" i="23"/>
  <c r="J86" i="23"/>
  <c r="J70" i="23"/>
  <c r="J38" i="23"/>
  <c r="J33" i="23"/>
  <c r="J69" i="23"/>
  <c r="J89" i="23"/>
  <c r="J44" i="23"/>
  <c r="F12" i="23"/>
  <c r="J12" i="23" s="1"/>
  <c r="J39" i="23"/>
  <c r="I76" i="23"/>
  <c r="J76" i="23"/>
  <c r="F24" i="23"/>
  <c r="G24" i="23" s="1"/>
  <c r="H24" i="23" s="1"/>
  <c r="J98" i="23"/>
  <c r="I50" i="23"/>
  <c r="F34" i="23"/>
  <c r="J34" i="23" s="1"/>
  <c r="F13" i="23"/>
  <c r="J13" i="23" s="1"/>
  <c r="F85" i="23"/>
  <c r="J85" i="23" s="1"/>
  <c r="F87" i="23"/>
  <c r="J87" i="23" s="1"/>
  <c r="I55" i="23"/>
  <c r="F26" i="23"/>
  <c r="J26" i="23" s="1"/>
  <c r="F61" i="23"/>
  <c r="J61" i="23" s="1"/>
  <c r="I90" i="23"/>
  <c r="J59" i="23"/>
  <c r="J36" i="23"/>
  <c r="J43" i="23"/>
  <c r="J11" i="23"/>
  <c r="J75" i="23"/>
  <c r="J23" i="23"/>
  <c r="J48" i="23"/>
  <c r="J16" i="23"/>
  <c r="J78" i="23"/>
  <c r="J62" i="23"/>
  <c r="J41" i="23"/>
  <c r="J9" i="23"/>
  <c r="N91" i="23"/>
  <c r="O91" i="23" s="1"/>
  <c r="P91" i="23" s="1"/>
  <c r="N47" i="23"/>
  <c r="O47" i="23" s="1"/>
  <c r="P47" i="23" s="1"/>
  <c r="N100" i="23"/>
  <c r="O100" i="23" s="1"/>
  <c r="P100" i="23" s="1"/>
  <c r="N79" i="23"/>
  <c r="O79" i="23" s="1"/>
  <c r="P79" i="23" s="1"/>
  <c r="N57" i="23"/>
  <c r="O57" i="23" s="1"/>
  <c r="P57" i="23" s="1"/>
  <c r="N28" i="23"/>
  <c r="O28" i="23" s="1"/>
  <c r="P28" i="23" s="1"/>
  <c r="N104" i="23"/>
  <c r="O104" i="23" s="1"/>
  <c r="P104" i="23" s="1"/>
  <c r="N83" i="23"/>
  <c r="O83" i="23" s="1"/>
  <c r="P83" i="23" s="1"/>
  <c r="N61" i="23"/>
  <c r="O61" i="23" s="1"/>
  <c r="P61" i="23" s="1"/>
  <c r="N35" i="23"/>
  <c r="O35" i="23" s="1"/>
  <c r="P35" i="23" s="1"/>
  <c r="N8" i="23"/>
  <c r="O8" i="23" s="1"/>
  <c r="P8" i="23" s="1"/>
  <c r="N64" i="23"/>
  <c r="O64" i="23" s="1"/>
  <c r="P64" i="23" s="1"/>
  <c r="N7" i="23"/>
  <c r="O7" i="23" s="1"/>
  <c r="P7" i="23" s="1"/>
  <c r="N87" i="23"/>
  <c r="O87" i="23" s="1"/>
  <c r="P87" i="23" s="1"/>
  <c r="N65" i="23"/>
  <c r="O65" i="23" s="1"/>
  <c r="P65" i="23" s="1"/>
  <c r="N40" i="23"/>
  <c r="O40" i="23" s="1"/>
  <c r="P40" i="23" s="1"/>
  <c r="N106" i="23"/>
  <c r="O106" i="23" s="1"/>
  <c r="P106" i="23" s="1"/>
  <c r="N90" i="23"/>
  <c r="O90" i="23" s="1"/>
  <c r="P90" i="23" s="1"/>
  <c r="N74" i="23"/>
  <c r="O74" i="23" s="1"/>
  <c r="P74" i="23" s="1"/>
  <c r="N58" i="23"/>
  <c r="O58" i="23" s="1"/>
  <c r="P58" i="23" s="1"/>
  <c r="N42" i="23"/>
  <c r="O42" i="23" s="1"/>
  <c r="P42" i="23" s="1"/>
  <c r="N26" i="23"/>
  <c r="O26" i="23" s="1"/>
  <c r="P26" i="23" s="1"/>
  <c r="N10" i="23"/>
  <c r="O10" i="23" s="1"/>
  <c r="P10" i="23" s="1"/>
  <c r="N37" i="23"/>
  <c r="O37" i="23" s="1"/>
  <c r="P37" i="23" s="1"/>
  <c r="N21" i="23"/>
  <c r="O21" i="23" s="1"/>
  <c r="P21" i="23" s="1"/>
  <c r="I57" i="23"/>
  <c r="F91" i="23"/>
  <c r="J91" i="23" s="1"/>
  <c r="I21" i="23"/>
  <c r="F21" i="23"/>
  <c r="J21" i="23" s="1"/>
  <c r="I40" i="23"/>
  <c r="I104" i="23"/>
  <c r="I42" i="23"/>
  <c r="N80" i="23"/>
  <c r="O80" i="23" s="1"/>
  <c r="P80" i="23" s="1"/>
  <c r="N31" i="23"/>
  <c r="O31" i="23" s="1"/>
  <c r="P31" i="23" s="1"/>
  <c r="N95" i="23"/>
  <c r="O95" i="23" s="1"/>
  <c r="P95" i="23" s="1"/>
  <c r="N73" i="23"/>
  <c r="O73" i="23" s="1"/>
  <c r="P73" i="23" s="1"/>
  <c r="N52" i="23"/>
  <c r="O52" i="23" s="1"/>
  <c r="P52" i="23" s="1"/>
  <c r="N20" i="23"/>
  <c r="O20" i="23" s="1"/>
  <c r="P20" i="23" s="1"/>
  <c r="N99" i="23"/>
  <c r="O99" i="23" s="1"/>
  <c r="P99" i="23" s="1"/>
  <c r="N77" i="23"/>
  <c r="O77" i="23" s="1"/>
  <c r="P77" i="23" s="1"/>
  <c r="N56" i="23"/>
  <c r="O56" i="23" s="1"/>
  <c r="P56" i="23" s="1"/>
  <c r="N27" i="23"/>
  <c r="O27" i="23" s="1"/>
  <c r="P27" i="23" s="1"/>
  <c r="N96" i="23"/>
  <c r="O96" i="23" s="1"/>
  <c r="P96" i="23" s="1"/>
  <c r="N53" i="23"/>
  <c r="O53" i="23" s="1"/>
  <c r="P53" i="23" s="1"/>
  <c r="N103" i="23"/>
  <c r="O103" i="23" s="1"/>
  <c r="P103" i="23" s="1"/>
  <c r="N81" i="23"/>
  <c r="O81" i="23" s="1"/>
  <c r="P81" i="23" s="1"/>
  <c r="N60" i="23"/>
  <c r="O60" i="23" s="1"/>
  <c r="P60" i="23" s="1"/>
  <c r="N32" i="23"/>
  <c r="O32" i="23" s="1"/>
  <c r="P32" i="23" s="1"/>
  <c r="N102" i="23"/>
  <c r="O102" i="23" s="1"/>
  <c r="P102" i="23" s="1"/>
  <c r="N86" i="23"/>
  <c r="O86" i="23" s="1"/>
  <c r="P86" i="23" s="1"/>
  <c r="N70" i="23"/>
  <c r="O70" i="23" s="1"/>
  <c r="P70" i="23" s="1"/>
  <c r="N54" i="23"/>
  <c r="O54" i="23" s="1"/>
  <c r="P54" i="23" s="1"/>
  <c r="N38" i="23"/>
  <c r="O38" i="23" s="1"/>
  <c r="P38" i="23" s="1"/>
  <c r="N22" i="23"/>
  <c r="O22" i="23" s="1"/>
  <c r="P22" i="23" s="1"/>
  <c r="N49" i="23"/>
  <c r="O49" i="23" s="1"/>
  <c r="P49" i="23" s="1"/>
  <c r="N33" i="23"/>
  <c r="O33" i="23" s="1"/>
  <c r="P33" i="23" s="1"/>
  <c r="N17" i="23"/>
  <c r="O17" i="23" s="1"/>
  <c r="P17" i="23" s="1"/>
  <c r="N69" i="23"/>
  <c r="O69" i="23" s="1"/>
  <c r="P69" i="23" s="1"/>
  <c r="N15" i="23"/>
  <c r="O15" i="23" s="1"/>
  <c r="P15" i="23" s="1"/>
  <c r="N89" i="23"/>
  <c r="O89" i="23" s="1"/>
  <c r="P89" i="23" s="1"/>
  <c r="N68" i="23"/>
  <c r="O68" i="23" s="1"/>
  <c r="P68" i="23" s="1"/>
  <c r="N44" i="23"/>
  <c r="O44" i="23" s="1"/>
  <c r="P44" i="23" s="1"/>
  <c r="N12" i="23"/>
  <c r="O12" i="23" s="1"/>
  <c r="P12" i="23" s="1"/>
  <c r="N93" i="23"/>
  <c r="O93" i="23" s="1"/>
  <c r="P93" i="23" s="1"/>
  <c r="N72" i="23"/>
  <c r="O72" i="23" s="1"/>
  <c r="P72" i="23" s="1"/>
  <c r="N51" i="23"/>
  <c r="O51" i="23" s="1"/>
  <c r="P51" i="23" s="1"/>
  <c r="N19" i="23"/>
  <c r="O19" i="23" s="1"/>
  <c r="P19" i="23" s="1"/>
  <c r="N85" i="23"/>
  <c r="O85" i="23" s="1"/>
  <c r="P85" i="23" s="1"/>
  <c r="N39" i="23"/>
  <c r="O39" i="23" s="1"/>
  <c r="P39" i="23" s="1"/>
  <c r="N97" i="23"/>
  <c r="O97" i="23" s="1"/>
  <c r="P97" i="23" s="1"/>
  <c r="N76" i="23"/>
  <c r="O76" i="23" s="1"/>
  <c r="P76" i="23" s="1"/>
  <c r="N55" i="23"/>
  <c r="O55" i="23" s="1"/>
  <c r="P55" i="23" s="1"/>
  <c r="N24" i="23"/>
  <c r="O24" i="23" s="1"/>
  <c r="P24" i="23" s="1"/>
  <c r="N98" i="23"/>
  <c r="O98" i="23" s="1"/>
  <c r="P98" i="23" s="1"/>
  <c r="N82" i="23"/>
  <c r="O82" i="23" s="1"/>
  <c r="P82" i="23" s="1"/>
  <c r="N66" i="23"/>
  <c r="O66" i="23" s="1"/>
  <c r="P66" i="23" s="1"/>
  <c r="N50" i="23"/>
  <c r="O50" i="23" s="1"/>
  <c r="P50" i="23" s="1"/>
  <c r="N34" i="23"/>
  <c r="O34" i="23" s="1"/>
  <c r="P34" i="23" s="1"/>
  <c r="N18" i="23"/>
  <c r="O18" i="23" s="1"/>
  <c r="P18" i="23" s="1"/>
  <c r="N45" i="23"/>
  <c r="O45" i="23" s="1"/>
  <c r="P45" i="23" s="1"/>
  <c r="N29" i="23"/>
  <c r="O29" i="23" s="1"/>
  <c r="P29" i="23" s="1"/>
  <c r="N13" i="23"/>
  <c r="O13" i="23" s="1"/>
  <c r="P13" i="23" s="1"/>
  <c r="I51" i="23"/>
  <c r="I83" i="23"/>
  <c r="I91" i="23"/>
  <c r="I44" i="23"/>
  <c r="F90" i="23"/>
  <c r="J90" i="23" s="1"/>
  <c r="F83" i="23"/>
  <c r="G83" i="23" s="1"/>
  <c r="H83" i="23" s="1"/>
  <c r="F42" i="23"/>
  <c r="G42" i="23" s="1"/>
  <c r="H42" i="23" s="1"/>
  <c r="F35" i="23"/>
  <c r="J35" i="23" s="1"/>
  <c r="I69" i="23"/>
  <c r="F50" i="23"/>
  <c r="J50" i="23" s="1"/>
  <c r="I72" i="23"/>
  <c r="I45" i="23"/>
  <c r="F65" i="23"/>
  <c r="G65" i="23" s="1"/>
  <c r="H65" i="23" s="1"/>
  <c r="F82" i="23"/>
  <c r="J82" i="23" s="1"/>
  <c r="N101" i="23"/>
  <c r="O101" i="23" s="1"/>
  <c r="P101" i="23" s="1"/>
  <c r="N59" i="23"/>
  <c r="O59" i="23" s="1"/>
  <c r="P59" i="23" s="1"/>
  <c r="N105" i="23"/>
  <c r="O105" i="23" s="1"/>
  <c r="P105" i="23" s="1"/>
  <c r="N84" i="23"/>
  <c r="O84" i="23" s="1"/>
  <c r="P84" i="23" s="1"/>
  <c r="N63" i="23"/>
  <c r="O63" i="23" s="1"/>
  <c r="P63" i="23" s="1"/>
  <c r="N36" i="23"/>
  <c r="O36" i="23" s="1"/>
  <c r="P36" i="23" s="1"/>
  <c r="N6" i="23"/>
  <c r="O6" i="23" s="1"/>
  <c r="P6" i="23" s="1"/>
  <c r="N88" i="23"/>
  <c r="O88" i="23" s="1"/>
  <c r="P88" i="23" s="1"/>
  <c r="N67" i="23"/>
  <c r="O67" i="23" s="1"/>
  <c r="P67" i="23" s="1"/>
  <c r="N43" i="23"/>
  <c r="O43" i="23" s="1"/>
  <c r="P43" i="23" s="1"/>
  <c r="N11" i="23"/>
  <c r="O11" i="23" s="1"/>
  <c r="P11" i="23" s="1"/>
  <c r="N75" i="23"/>
  <c r="O75" i="23" s="1"/>
  <c r="P75" i="23" s="1"/>
  <c r="N23" i="23"/>
  <c r="O23" i="23" s="1"/>
  <c r="P23" i="23" s="1"/>
  <c r="N92" i="23"/>
  <c r="O92" i="23" s="1"/>
  <c r="P92" i="23" s="1"/>
  <c r="N71" i="23"/>
  <c r="O71" i="23" s="1"/>
  <c r="P71" i="23" s="1"/>
  <c r="N48" i="23"/>
  <c r="O48" i="23" s="1"/>
  <c r="P48" i="23" s="1"/>
  <c r="N16" i="23"/>
  <c r="O16" i="23" s="1"/>
  <c r="P16" i="23" s="1"/>
  <c r="N94" i="23"/>
  <c r="O94" i="23" s="1"/>
  <c r="P94" i="23" s="1"/>
  <c r="N78" i="23"/>
  <c r="O78" i="23" s="1"/>
  <c r="P78" i="23" s="1"/>
  <c r="N62" i="23"/>
  <c r="O62" i="23" s="1"/>
  <c r="P62" i="23" s="1"/>
  <c r="N46" i="23"/>
  <c r="O46" i="23" s="1"/>
  <c r="P46" i="23" s="1"/>
  <c r="N30" i="23"/>
  <c r="O30" i="23" s="1"/>
  <c r="P30" i="23" s="1"/>
  <c r="N14" i="23"/>
  <c r="O14" i="23" s="1"/>
  <c r="P14" i="23" s="1"/>
  <c r="N41" i="23"/>
  <c r="O41" i="23" s="1"/>
  <c r="P41" i="23" s="1"/>
  <c r="N25" i="23"/>
  <c r="O25" i="23" s="1"/>
  <c r="P25" i="23" s="1"/>
  <c r="N9" i="23"/>
  <c r="O9" i="23" s="1"/>
  <c r="P9" i="23" s="1"/>
  <c r="I19" i="23"/>
  <c r="I28" i="23"/>
  <c r="I89" i="23"/>
  <c r="F64" i="23"/>
  <c r="J64" i="23" s="1"/>
  <c r="F37" i="23"/>
  <c r="J37" i="23" s="1"/>
  <c r="F74" i="23"/>
  <c r="G74" i="23" s="1"/>
  <c r="H74" i="23" s="1"/>
  <c r="F15" i="23"/>
  <c r="J15" i="23" s="1"/>
  <c r="I47" i="23"/>
  <c r="I97" i="23"/>
  <c r="F68" i="23"/>
  <c r="J68" i="23" s="1"/>
  <c r="F45" i="23"/>
  <c r="J45" i="23" s="1"/>
  <c r="F19" i="23"/>
  <c r="J19" i="23" s="1"/>
  <c r="F47" i="23"/>
  <c r="J47" i="23" s="1"/>
  <c r="I68" i="23"/>
  <c r="F40" i="23"/>
  <c r="J40" i="23" s="1"/>
  <c r="F104" i="23"/>
  <c r="J104" i="23" s="1"/>
  <c r="F18" i="23"/>
  <c r="J18" i="23" s="1"/>
  <c r="F57" i="23"/>
  <c r="G57" i="23" s="1"/>
  <c r="H57" i="23" s="1"/>
  <c r="I7" i="23"/>
  <c r="F28" i="23"/>
  <c r="J28" i="23" s="1"/>
  <c r="F97" i="23"/>
  <c r="G97" i="23" s="1"/>
  <c r="H97" i="23" s="1"/>
  <c r="F8" i="23"/>
  <c r="J8" i="23" s="1"/>
  <c r="I58" i="23"/>
  <c r="I82" i="23"/>
  <c r="I74" i="23"/>
  <c r="I37" i="23"/>
  <c r="I35" i="23"/>
  <c r="I85" i="23"/>
  <c r="I29" i="23"/>
  <c r="F58" i="23"/>
  <c r="G58" i="23" s="1"/>
  <c r="H58" i="23" s="1"/>
  <c r="F51" i="23"/>
  <c r="J51" i="23" s="1"/>
  <c r="I15" i="23"/>
  <c r="I79" i="23"/>
  <c r="I93" i="23"/>
  <c r="I64" i="23"/>
  <c r="F100" i="23"/>
  <c r="G100" i="23" s="1"/>
  <c r="H100" i="23" s="1"/>
  <c r="F10" i="23"/>
  <c r="J10" i="23" s="1"/>
  <c r="F66" i="23"/>
  <c r="G66" i="23" s="1"/>
  <c r="H66" i="23" s="1"/>
  <c r="F55" i="23"/>
  <c r="J55" i="23" s="1"/>
  <c r="I100" i="23"/>
  <c r="F72" i="23"/>
  <c r="G72" i="23" s="1"/>
  <c r="H72" i="23" s="1"/>
  <c r="I39" i="23"/>
  <c r="I24" i="23"/>
  <c r="F29" i="23"/>
  <c r="J29" i="23" s="1"/>
  <c r="F93" i="23"/>
  <c r="G93" i="23" s="1"/>
  <c r="H93" i="23" s="1"/>
  <c r="F95" i="23"/>
  <c r="G95" i="23" s="1"/>
  <c r="H95" i="23" s="1"/>
  <c r="I26" i="23"/>
  <c r="I66" i="23"/>
  <c r="I18" i="23"/>
  <c r="I34" i="23"/>
  <c r="G96" i="23"/>
  <c r="H96" i="23" s="1"/>
  <c r="G41" i="23"/>
  <c r="H41" i="23" s="1"/>
  <c r="G36" i="23"/>
  <c r="H36" i="23" s="1"/>
  <c r="G86" i="23"/>
  <c r="H86" i="23" s="1"/>
  <c r="G23" i="23"/>
  <c r="H23" i="23" s="1"/>
  <c r="G62" i="23"/>
  <c r="H62" i="23" s="1"/>
  <c r="G11" i="23"/>
  <c r="H11" i="23" s="1"/>
  <c r="G48" i="23"/>
  <c r="H48" i="23" s="1"/>
  <c r="G9" i="23"/>
  <c r="H9" i="23" s="1"/>
  <c r="G69" i="23"/>
  <c r="H69" i="23" s="1"/>
  <c r="G75" i="23"/>
  <c r="H75" i="23" s="1"/>
  <c r="G89" i="23"/>
  <c r="H89" i="23" s="1"/>
  <c r="G39" i="23"/>
  <c r="H39" i="23" s="1"/>
  <c r="G99" i="23"/>
  <c r="H99" i="23" s="1"/>
  <c r="G76" i="23"/>
  <c r="H76" i="23" s="1"/>
  <c r="G98" i="23"/>
  <c r="H98" i="23" s="1"/>
  <c r="G27" i="23"/>
  <c r="H27" i="23" s="1"/>
  <c r="G79" i="23"/>
  <c r="H79" i="23" s="1"/>
  <c r="G78" i="23"/>
  <c r="H78" i="23" s="1"/>
  <c r="G70" i="23"/>
  <c r="H70" i="23" s="1"/>
  <c r="G59" i="23"/>
  <c r="H59" i="23" s="1"/>
  <c r="G33" i="23"/>
  <c r="H33" i="23" s="1"/>
  <c r="G43" i="23"/>
  <c r="H43" i="23" s="1"/>
  <c r="G16" i="23"/>
  <c r="H16" i="23" s="1"/>
  <c r="G106" i="23"/>
  <c r="H106" i="23" s="1"/>
  <c r="G31" i="23"/>
  <c r="H31" i="23" s="1"/>
  <c r="G38" i="23"/>
  <c r="H38" i="23" s="1"/>
  <c r="G56" i="23"/>
  <c r="H56" i="23" s="1"/>
  <c r="G44" i="23"/>
  <c r="H44" i="23" s="1"/>
  <c r="G7" i="23"/>
  <c r="H7" i="23" s="1"/>
  <c r="B19" i="19"/>
  <c r="D19" i="19" s="1"/>
  <c r="I17" i="8"/>
  <c r="J17" i="8" s="1"/>
  <c r="D182" i="2" s="1"/>
  <c r="F270" i="2" s="1"/>
  <c r="G181" i="2"/>
  <c r="F181" i="2"/>
  <c r="E50" i="1" s="1"/>
  <c r="H269" i="2" s="1"/>
  <c r="C48" i="16" s="1"/>
  <c r="I18" i="8"/>
  <c r="J18" i="8" s="1"/>
  <c r="G273" i="2" s="1"/>
  <c r="A276" i="2"/>
  <c r="B276" i="2"/>
  <c r="B257" i="2"/>
  <c r="R76" i="2"/>
  <c r="C34" i="16"/>
  <c r="B167" i="2"/>
  <c r="K71" i="2"/>
  <c r="K72" i="2"/>
  <c r="D257" i="2"/>
  <c r="C157" i="8"/>
  <c r="C156" i="8" s="1"/>
  <c r="C155" i="8" s="1"/>
  <c r="C154" i="8" s="1"/>
  <c r="C153" i="8" s="1"/>
  <c r="C152" i="8" s="1"/>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256" i="2"/>
  <c r="C257" i="2"/>
  <c r="B258" i="2"/>
  <c r="A259" i="2"/>
  <c r="B262" i="2"/>
  <c r="I11" i="19"/>
  <c r="I15" i="19"/>
  <c r="I19" i="19"/>
  <c r="I23" i="19"/>
  <c r="I27" i="19"/>
  <c r="I31" i="19"/>
  <c r="I35" i="19"/>
  <c r="I39" i="19"/>
  <c r="I43" i="19"/>
  <c r="I47" i="19"/>
  <c r="I51" i="19"/>
  <c r="I55" i="19"/>
  <c r="I59" i="19"/>
  <c r="I63" i="19"/>
  <c r="I67" i="19"/>
  <c r="I71" i="19"/>
  <c r="I75" i="19"/>
  <c r="I79" i="19"/>
  <c r="I83" i="19"/>
  <c r="I87" i="19"/>
  <c r="I91" i="19"/>
  <c r="I95" i="19"/>
  <c r="I99" i="19"/>
  <c r="I103" i="19"/>
  <c r="I13" i="19"/>
  <c r="I17" i="19"/>
  <c r="I21" i="19"/>
  <c r="I25" i="19"/>
  <c r="I29" i="19"/>
  <c r="I33" i="19"/>
  <c r="I37" i="19"/>
  <c r="I41" i="19"/>
  <c r="I45" i="19"/>
  <c r="I49" i="19"/>
  <c r="I53" i="19"/>
  <c r="I57" i="19"/>
  <c r="I61" i="19"/>
  <c r="I65" i="19"/>
  <c r="I69" i="19"/>
  <c r="I73" i="19"/>
  <c r="I77" i="19"/>
  <c r="I81" i="19"/>
  <c r="I85" i="19"/>
  <c r="I89" i="19"/>
  <c r="I93" i="19"/>
  <c r="I97" i="19"/>
  <c r="I101" i="19"/>
  <c r="I105" i="19"/>
  <c r="I10" i="19"/>
  <c r="I18" i="19"/>
  <c r="I26" i="19"/>
  <c r="I34" i="19"/>
  <c r="I42" i="19"/>
  <c r="I50" i="19"/>
  <c r="I58" i="19"/>
  <c r="I66" i="19"/>
  <c r="I74" i="19"/>
  <c r="I82" i="19"/>
  <c r="I90" i="19"/>
  <c r="I98" i="19"/>
  <c r="I106" i="19"/>
  <c r="I14" i="19"/>
  <c r="I22" i="19"/>
  <c r="I30" i="19"/>
  <c r="I38" i="19"/>
  <c r="I46" i="19"/>
  <c r="I54" i="19"/>
  <c r="I62" i="19"/>
  <c r="I70" i="19"/>
  <c r="I78" i="19"/>
  <c r="I86" i="19"/>
  <c r="I94" i="19"/>
  <c r="I102" i="19"/>
  <c r="I20" i="19"/>
  <c r="I36" i="19"/>
  <c r="I52" i="19"/>
  <c r="I68" i="19"/>
  <c r="I84" i="19"/>
  <c r="I100" i="19"/>
  <c r="I24" i="19"/>
  <c r="I40" i="19"/>
  <c r="I56" i="19"/>
  <c r="I72" i="19"/>
  <c r="I88" i="19"/>
  <c r="I104" i="19"/>
  <c r="I12" i="19"/>
  <c r="I28" i="19"/>
  <c r="I44" i="19"/>
  <c r="I60" i="19"/>
  <c r="I76" i="19"/>
  <c r="I92" i="19"/>
  <c r="I16" i="19"/>
  <c r="I32" i="19"/>
  <c r="I48" i="19"/>
  <c r="I64" i="19"/>
  <c r="I80" i="19"/>
  <c r="I96" i="19"/>
  <c r="D18" i="19"/>
  <c r="W65" i="2" l="1"/>
  <c r="W66" i="2" s="1"/>
  <c r="D54" i="16" s="1"/>
  <c r="B25" i="29"/>
  <c r="B26" i="29" s="1"/>
  <c r="D26" i="29" s="1"/>
  <c r="DC5" i="24"/>
  <c r="N329" i="25"/>
  <c r="L75" i="1" s="1"/>
  <c r="K76" i="1" s="1"/>
  <c r="O329" i="25"/>
  <c r="I25" i="8" s="1"/>
  <c r="J25" i="8" s="1"/>
  <c r="G329" i="24"/>
  <c r="H329" i="24"/>
  <c r="I23" i="8" s="1"/>
  <c r="J23" i="8" s="1"/>
  <c r="CS110" i="25"/>
  <c r="DS110" i="25" s="1"/>
  <c r="B15" i="29"/>
  <c r="B21" i="29" s="1"/>
  <c r="B22" i="29" s="1"/>
  <c r="CU212" i="25"/>
  <c r="CW212" i="25"/>
  <c r="CO212" i="25" s="1"/>
  <c r="CZ212" i="25" s="1"/>
  <c r="CV212" i="25"/>
  <c r="DS212" i="25"/>
  <c r="CY212" i="25"/>
  <c r="CT212" i="25"/>
  <c r="FD212" i="25" s="1"/>
  <c r="G329" i="25"/>
  <c r="I28" i="8"/>
  <c r="EQ266" i="25"/>
  <c r="EU266" i="25" s="1"/>
  <c r="FG266" i="25"/>
  <c r="EQ277" i="25"/>
  <c r="EU277" i="25" s="1"/>
  <c r="FG277" i="25"/>
  <c r="FG233" i="25"/>
  <c r="EQ233" i="25"/>
  <c r="EU233" i="25" s="1"/>
  <c r="EQ285" i="25"/>
  <c r="EU285" i="25" s="1"/>
  <c r="FG285" i="25"/>
  <c r="FG280" i="25"/>
  <c r="EQ280" i="25"/>
  <c r="EU280" i="25" s="1"/>
  <c r="FG243" i="25"/>
  <c r="EQ243" i="25"/>
  <c r="EU243" i="25" s="1"/>
  <c r="EQ244" i="25"/>
  <c r="EU244" i="25" s="1"/>
  <c r="FG244" i="25"/>
  <c r="FG295" i="25"/>
  <c r="EQ295" i="25"/>
  <c r="EU295" i="25" s="1"/>
  <c r="FG242" i="25"/>
  <c r="EQ242" i="25"/>
  <c r="EU242" i="25" s="1"/>
  <c r="EQ307" i="25"/>
  <c r="EU307" i="25" s="1"/>
  <c r="FG307" i="25"/>
  <c r="EQ250" i="25"/>
  <c r="EU250" i="25" s="1"/>
  <c r="FG250" i="25"/>
  <c r="FG284" i="25"/>
  <c r="EQ284" i="25"/>
  <c r="EU284" i="25" s="1"/>
  <c r="EQ298" i="25"/>
  <c r="EU298" i="25" s="1"/>
  <c r="FG298" i="25"/>
  <c r="EQ227" i="25"/>
  <c r="EU227" i="25" s="1"/>
  <c r="FG227" i="25"/>
  <c r="EQ239" i="25"/>
  <c r="EU239" i="25" s="1"/>
  <c r="FG239" i="25"/>
  <c r="EQ287" i="25"/>
  <c r="EU287" i="25" s="1"/>
  <c r="FG287" i="25"/>
  <c r="FG290" i="25"/>
  <c r="EQ290" i="25"/>
  <c r="EU290" i="25" s="1"/>
  <c r="EQ245" i="25"/>
  <c r="EU245" i="25" s="1"/>
  <c r="FG245" i="25"/>
  <c r="EQ252" i="25"/>
  <c r="EU252" i="25" s="1"/>
  <c r="FG252" i="25"/>
  <c r="FG314" i="25"/>
  <c r="EQ314" i="25"/>
  <c r="EU314" i="25" s="1"/>
  <c r="EQ251" i="25"/>
  <c r="EU251" i="25" s="1"/>
  <c r="FG251" i="25"/>
  <c r="FG309" i="25"/>
  <c r="EQ309" i="25"/>
  <c r="EU309" i="25" s="1"/>
  <c r="EQ256" i="25"/>
  <c r="EU256" i="25" s="1"/>
  <c r="FG256" i="25"/>
  <c r="FG313" i="25"/>
  <c r="EQ313" i="25"/>
  <c r="EU313" i="25" s="1"/>
  <c r="FG257" i="25"/>
  <c r="EQ257" i="25"/>
  <c r="EU257" i="25" s="1"/>
  <c r="FG247" i="25"/>
  <c r="EQ247" i="25"/>
  <c r="EU247" i="25" s="1"/>
  <c r="FG308" i="25"/>
  <c r="EQ308" i="25"/>
  <c r="EU308" i="25" s="1"/>
  <c r="EQ292" i="25"/>
  <c r="EU292" i="25" s="1"/>
  <c r="FG292" i="25"/>
  <c r="EQ246" i="25"/>
  <c r="EU246" i="25" s="1"/>
  <c r="FG246" i="25"/>
  <c r="FG253" i="25"/>
  <c r="EQ253" i="25"/>
  <c r="EU253" i="25" s="1"/>
  <c r="EQ254" i="25"/>
  <c r="EU254" i="25" s="1"/>
  <c r="FG254" i="25"/>
  <c r="FG259" i="25"/>
  <c r="EQ259" i="25"/>
  <c r="EU259" i="25" s="1"/>
  <c r="FG258" i="25"/>
  <c r="EQ258" i="25"/>
  <c r="EU258" i="25" s="1"/>
  <c r="EQ293" i="25"/>
  <c r="EU293" i="25" s="1"/>
  <c r="FG293" i="25"/>
  <c r="EQ224" i="25"/>
  <c r="EU224" i="25" s="1"/>
  <c r="FG224" i="25"/>
  <c r="FG222" i="25"/>
  <c r="EQ222" i="25"/>
  <c r="EU222" i="25" s="1"/>
  <c r="EQ270" i="25"/>
  <c r="EU270" i="25" s="1"/>
  <c r="FG270" i="25"/>
  <c r="FG229" i="25"/>
  <c r="EQ229" i="25"/>
  <c r="EU229" i="25" s="1"/>
  <c r="EQ296" i="25"/>
  <c r="EU296" i="25" s="1"/>
  <c r="FG296" i="25"/>
  <c r="EQ301" i="25"/>
  <c r="EU301" i="25" s="1"/>
  <c r="FG301" i="25"/>
  <c r="EQ260" i="25"/>
  <c r="EU260" i="25" s="1"/>
  <c r="FG260" i="25"/>
  <c r="EQ255" i="25"/>
  <c r="EU255" i="25" s="1"/>
  <c r="FG255" i="25"/>
  <c r="EQ263" i="25"/>
  <c r="EU263" i="25" s="1"/>
  <c r="FG263" i="25"/>
  <c r="EQ265" i="25"/>
  <c r="EU265" i="25" s="1"/>
  <c r="FG265" i="25"/>
  <c r="FG304" i="25"/>
  <c r="EQ304" i="25"/>
  <c r="EU304" i="25" s="1"/>
  <c r="FG264" i="25"/>
  <c r="EQ264" i="25"/>
  <c r="EU264" i="25" s="1"/>
  <c r="EQ249" i="25"/>
  <c r="EU249" i="25" s="1"/>
  <c r="FG249" i="25"/>
  <c r="FG273" i="25"/>
  <c r="EQ273" i="25"/>
  <c r="EU273" i="25" s="1"/>
  <c r="FG248" i="25"/>
  <c r="EQ248" i="25"/>
  <c r="EU248" i="25" s="1"/>
  <c r="EQ297" i="25"/>
  <c r="EU297" i="25" s="1"/>
  <c r="FG297" i="25"/>
  <c r="EQ221" i="25"/>
  <c r="EU221" i="25" s="1"/>
  <c r="FG221" i="25"/>
  <c r="EQ303" i="25"/>
  <c r="EU303" i="25" s="1"/>
  <c r="FG303" i="25"/>
  <c r="EQ268" i="25"/>
  <c r="EU268" i="25" s="1"/>
  <c r="FG268" i="25"/>
  <c r="FG218" i="25"/>
  <c r="EQ218" i="25"/>
  <c r="EU218" i="25" s="1"/>
  <c r="EQ267" i="25"/>
  <c r="EU267" i="25" s="1"/>
  <c r="FG267" i="25"/>
  <c r="EQ278" i="25"/>
  <c r="EU278" i="25" s="1"/>
  <c r="FG278" i="25"/>
  <c r="EQ286" i="25"/>
  <c r="EU286" i="25" s="1"/>
  <c r="FG286" i="25"/>
  <c r="EQ312" i="25"/>
  <c r="EU312" i="25" s="1"/>
  <c r="FG312" i="25"/>
  <c r="EQ282" i="25"/>
  <c r="EU282" i="25" s="1"/>
  <c r="FG282" i="25"/>
  <c r="EQ291" i="25"/>
  <c r="EU291" i="25" s="1"/>
  <c r="FG291" i="25"/>
  <c r="EQ217" i="25"/>
  <c r="EU217" i="25" s="1"/>
  <c r="FG217" i="25"/>
  <c r="FG274" i="25"/>
  <c r="EQ274" i="25"/>
  <c r="EU274" i="25" s="1"/>
  <c r="EQ261" i="25"/>
  <c r="EU261" i="25" s="1"/>
  <c r="FG261" i="25"/>
  <c r="EQ311" i="25"/>
  <c r="EU311" i="25" s="1"/>
  <c r="FG311" i="25"/>
  <c r="FG223" i="25"/>
  <c r="EQ223" i="25"/>
  <c r="EU223" i="25" s="1"/>
  <c r="EQ310" i="25"/>
  <c r="EU310" i="25" s="1"/>
  <c r="FG310" i="25"/>
  <c r="FG279" i="25"/>
  <c r="EQ279" i="25"/>
  <c r="EU279" i="25" s="1"/>
  <c r="EQ231" i="25"/>
  <c r="EU231" i="25" s="1"/>
  <c r="FG231" i="25"/>
  <c r="EQ271" i="25"/>
  <c r="EU271" i="25" s="1"/>
  <c r="FG271" i="25"/>
  <c r="EQ220" i="25"/>
  <c r="EU220" i="25" s="1"/>
  <c r="FG220" i="25"/>
  <c r="FG299" i="25"/>
  <c r="EQ299" i="25"/>
  <c r="EU299" i="25" s="1"/>
  <c r="FG305" i="25"/>
  <c r="EQ305" i="25"/>
  <c r="EU305" i="25" s="1"/>
  <c r="EQ234" i="25"/>
  <c r="EU234" i="25" s="1"/>
  <c r="FG234" i="25"/>
  <c r="EQ316" i="25"/>
  <c r="EU316" i="25" s="1"/>
  <c r="FG316" i="25"/>
  <c r="EQ288" i="25"/>
  <c r="EU288" i="25" s="1"/>
  <c r="FG288" i="25"/>
  <c r="EQ302" i="25"/>
  <c r="EU302" i="25" s="1"/>
  <c r="FG302" i="25"/>
  <c r="FG219" i="25"/>
  <c r="EQ219" i="25"/>
  <c r="EU219" i="25" s="1"/>
  <c r="FG281" i="25"/>
  <c r="EQ281" i="25"/>
  <c r="EU281" i="25" s="1"/>
  <c r="FG269" i="25"/>
  <c r="EQ269" i="25"/>
  <c r="EU269" i="25" s="1"/>
  <c r="EQ315" i="25"/>
  <c r="EU315" i="25" s="1"/>
  <c r="FG315" i="25"/>
  <c r="EQ232" i="25"/>
  <c r="EU232" i="25" s="1"/>
  <c r="FG232" i="25"/>
  <c r="FG228" i="25"/>
  <c r="EQ228" i="25"/>
  <c r="EU228" i="25" s="1"/>
  <c r="FG289" i="25"/>
  <c r="EQ289" i="25"/>
  <c r="EU289" i="25" s="1"/>
  <c r="EQ236" i="25"/>
  <c r="EU236" i="25" s="1"/>
  <c r="FG236" i="25"/>
  <c r="EQ272" i="25"/>
  <c r="EU272" i="25" s="1"/>
  <c r="FG272" i="25"/>
  <c r="EQ225" i="25"/>
  <c r="EU225" i="25" s="1"/>
  <c r="FG225" i="25"/>
  <c r="FG300" i="25"/>
  <c r="EQ300" i="25"/>
  <c r="EU300" i="25" s="1"/>
  <c r="EQ240" i="25"/>
  <c r="EU240" i="25" s="1"/>
  <c r="FG240" i="25"/>
  <c r="EQ230" i="25"/>
  <c r="EU230" i="25" s="1"/>
  <c r="FG230" i="25"/>
  <c r="EQ262" i="25"/>
  <c r="EU262" i="25" s="1"/>
  <c r="FG262" i="25"/>
  <c r="EQ226" i="25"/>
  <c r="EU226" i="25" s="1"/>
  <c r="FG226" i="25"/>
  <c r="EQ283" i="25"/>
  <c r="EU283" i="25" s="1"/>
  <c r="FG283" i="25"/>
  <c r="EQ276" i="25"/>
  <c r="EU276" i="25" s="1"/>
  <c r="FG276" i="25"/>
  <c r="FG238" i="25"/>
  <c r="EQ238" i="25"/>
  <c r="EU238" i="25" s="1"/>
  <c r="FG237" i="25"/>
  <c r="EQ237" i="25"/>
  <c r="EU237" i="25" s="1"/>
  <c r="FG294" i="25"/>
  <c r="EQ294" i="25"/>
  <c r="EU294" i="25" s="1"/>
  <c r="EQ241" i="25"/>
  <c r="EU241" i="25" s="1"/>
  <c r="FG241" i="25"/>
  <c r="FG275" i="25"/>
  <c r="EQ275" i="25"/>
  <c r="EU275" i="25" s="1"/>
  <c r="EQ235" i="25"/>
  <c r="EU235" i="25" s="1"/>
  <c r="FG235" i="25"/>
  <c r="EQ306" i="25"/>
  <c r="EU306" i="25" s="1"/>
  <c r="FG306" i="25"/>
  <c r="CU112" i="25"/>
  <c r="CV112" i="25"/>
  <c r="CL112" i="25"/>
  <c r="DP112" i="25"/>
  <c r="EQ112" i="25"/>
  <c r="EU112" i="25" s="1"/>
  <c r="FG112" i="25"/>
  <c r="CX112" i="25"/>
  <c r="CW112" i="25"/>
  <c r="CO112" i="25" s="1"/>
  <c r="B41" i="2"/>
  <c r="B110" i="2" s="1"/>
  <c r="CT112" i="25"/>
  <c r="CY110" i="24"/>
  <c r="DA110" i="24" s="1"/>
  <c r="CT110" i="24"/>
  <c r="CU110" i="24"/>
  <c r="CU5" i="24"/>
  <c r="CV5" i="24" s="1"/>
  <c r="CT5" i="24"/>
  <c r="CS216" i="25"/>
  <c r="DS216" i="25" s="1"/>
  <c r="CS110" i="24"/>
  <c r="FD110" i="24" s="1"/>
  <c r="DM110" i="24"/>
  <c r="DB110" i="24"/>
  <c r="DE110" i="24" s="1"/>
  <c r="DF110" i="24" s="1"/>
  <c r="DG110" i="24" s="1"/>
  <c r="DI110" i="24"/>
  <c r="DB5" i="24"/>
  <c r="DE5" i="24" s="1"/>
  <c r="DF5" i="24" s="1"/>
  <c r="DG5" i="24" s="1"/>
  <c r="DM5" i="24"/>
  <c r="DI5" i="24"/>
  <c r="CY216" i="24"/>
  <c r="CT216" i="24"/>
  <c r="DT216" i="24"/>
  <c r="CU216" i="24"/>
  <c r="CS216" i="24"/>
  <c r="FD216" i="24" s="1"/>
  <c r="CN216" i="24"/>
  <c r="CW113" i="25"/>
  <c r="CO113" i="25" s="1"/>
  <c r="CU113" i="25"/>
  <c r="CV113" i="25"/>
  <c r="FG20" i="25"/>
  <c r="DP20" i="25"/>
  <c r="EQ20" i="25"/>
  <c r="EU20" i="25" s="1"/>
  <c r="CL20" i="25"/>
  <c r="CX20" i="25"/>
  <c r="EQ8" i="25"/>
  <c r="EU8" i="25" s="1"/>
  <c r="DP8" i="25"/>
  <c r="FG8" i="25"/>
  <c r="CX8" i="25"/>
  <c r="CL8" i="25"/>
  <c r="EQ208" i="25"/>
  <c r="EU208" i="25" s="1"/>
  <c r="CL208" i="25"/>
  <c r="CX208" i="25"/>
  <c r="DP208" i="25"/>
  <c r="FG208" i="25"/>
  <c r="FG157" i="25"/>
  <c r="CL157" i="25"/>
  <c r="EQ157" i="25"/>
  <c r="EU157" i="25" s="1"/>
  <c r="DP157" i="25"/>
  <c r="CX157" i="25"/>
  <c r="CY157" i="25" s="1"/>
  <c r="DP15" i="25"/>
  <c r="CL15" i="25"/>
  <c r="EQ15" i="25"/>
  <c r="EU15" i="25" s="1"/>
  <c r="FG15" i="25"/>
  <c r="CX15" i="25"/>
  <c r="EQ117" i="25"/>
  <c r="EU117" i="25" s="1"/>
  <c r="CX117" i="25"/>
  <c r="DP117" i="25"/>
  <c r="CL117" i="25"/>
  <c r="FG117" i="25"/>
  <c r="EQ25" i="25"/>
  <c r="EU25" i="25" s="1"/>
  <c r="CL25" i="25"/>
  <c r="CX25" i="25"/>
  <c r="FG25" i="25"/>
  <c r="DP25" i="25"/>
  <c r="EQ59" i="25"/>
  <c r="EU59" i="25" s="1"/>
  <c r="DP59" i="25"/>
  <c r="CL59" i="25"/>
  <c r="FG59" i="25"/>
  <c r="CX59" i="25"/>
  <c r="EQ43" i="25"/>
  <c r="EU43" i="25" s="1"/>
  <c r="CL43" i="25"/>
  <c r="FG43" i="25"/>
  <c r="DP43" i="25"/>
  <c r="CX43" i="25"/>
  <c r="FG22" i="25"/>
  <c r="CX22" i="25"/>
  <c r="DP22" i="25"/>
  <c r="EQ22" i="25"/>
  <c r="EU22" i="25" s="1"/>
  <c r="CL22" i="25"/>
  <c r="EQ119" i="25"/>
  <c r="EU119" i="25" s="1"/>
  <c r="FG119" i="25"/>
  <c r="CX119" i="25"/>
  <c r="DP119" i="25"/>
  <c r="CL119" i="25"/>
  <c r="CL89" i="25"/>
  <c r="FG89" i="25"/>
  <c r="EQ89" i="25"/>
  <c r="EU89" i="25" s="1"/>
  <c r="DP89" i="25"/>
  <c r="CX89" i="25"/>
  <c r="DP262" i="25"/>
  <c r="CL262" i="25"/>
  <c r="CX262" i="25"/>
  <c r="CL74" i="25"/>
  <c r="DP74" i="25"/>
  <c r="EQ74" i="25"/>
  <c r="EU74" i="25" s="1"/>
  <c r="FG74" i="25"/>
  <c r="CX74" i="25"/>
  <c r="CL33" i="25"/>
  <c r="EQ33" i="25"/>
  <c r="EU33" i="25" s="1"/>
  <c r="FG33" i="25"/>
  <c r="DP33" i="25"/>
  <c r="CX33" i="25"/>
  <c r="DP79" i="25"/>
  <c r="EQ79" i="25"/>
  <c r="EU79" i="25" s="1"/>
  <c r="CX79" i="25"/>
  <c r="FG79" i="25"/>
  <c r="CL79" i="25"/>
  <c r="CX125" i="25"/>
  <c r="DP125" i="25"/>
  <c r="CL125" i="25"/>
  <c r="EQ125" i="25"/>
  <c r="EU125" i="25" s="1"/>
  <c r="FG125" i="25"/>
  <c r="FG85" i="25"/>
  <c r="CL85" i="25"/>
  <c r="DP85" i="25"/>
  <c r="EQ85" i="25"/>
  <c r="EU85" i="25" s="1"/>
  <c r="CX85" i="25"/>
  <c r="EQ145" i="25"/>
  <c r="EU145" i="25" s="1"/>
  <c r="FG145" i="25"/>
  <c r="CL145" i="25"/>
  <c r="DP145" i="25"/>
  <c r="CX145" i="25"/>
  <c r="EQ57" i="25"/>
  <c r="EU57" i="25" s="1"/>
  <c r="DP57" i="25"/>
  <c r="CX57" i="25"/>
  <c r="CL57" i="25"/>
  <c r="FG57" i="25"/>
  <c r="EQ129" i="25"/>
  <c r="EU129" i="25" s="1"/>
  <c r="FG129" i="25"/>
  <c r="CL129" i="25"/>
  <c r="DP129" i="25"/>
  <c r="CX129" i="25"/>
  <c r="FG143" i="25"/>
  <c r="CL143" i="25"/>
  <c r="DP143" i="25"/>
  <c r="CX143" i="25"/>
  <c r="EQ143" i="25"/>
  <c r="EU143" i="25" s="1"/>
  <c r="EQ148" i="25"/>
  <c r="EU148" i="25" s="1"/>
  <c r="FG148" i="25"/>
  <c r="DP148" i="25"/>
  <c r="CL148" i="25"/>
  <c r="CX148" i="25"/>
  <c r="DP226" i="25"/>
  <c r="CL226" i="25"/>
  <c r="CX226" i="25"/>
  <c r="CY226" i="25" s="1"/>
  <c r="DP283" i="25"/>
  <c r="CL283" i="25"/>
  <c r="CX283" i="25"/>
  <c r="EQ185" i="25"/>
  <c r="EU185" i="25" s="1"/>
  <c r="FG185" i="25"/>
  <c r="CL185" i="25"/>
  <c r="DP185" i="25"/>
  <c r="CX185" i="25"/>
  <c r="CL276" i="25"/>
  <c r="CX276" i="25"/>
  <c r="DP276" i="25"/>
  <c r="EQ146" i="25"/>
  <c r="EU146" i="25" s="1"/>
  <c r="FG146" i="25"/>
  <c r="CL146" i="25"/>
  <c r="DP146" i="25"/>
  <c r="CX146" i="25"/>
  <c r="CL238" i="25"/>
  <c r="DP238" i="25"/>
  <c r="CX238" i="25"/>
  <c r="CY238" i="25" s="1"/>
  <c r="CL161" i="25"/>
  <c r="FG161" i="25"/>
  <c r="DP161" i="25"/>
  <c r="EQ161" i="25"/>
  <c r="EU161" i="25" s="1"/>
  <c r="CX161" i="25"/>
  <c r="CL237" i="25"/>
  <c r="CX237" i="25"/>
  <c r="DP237" i="25"/>
  <c r="DP294" i="25"/>
  <c r="CX294" i="25"/>
  <c r="CL294" i="25"/>
  <c r="EQ180" i="25"/>
  <c r="EU180" i="25" s="1"/>
  <c r="DP180" i="25"/>
  <c r="CX180" i="25"/>
  <c r="FG180" i="25"/>
  <c r="CL180" i="25"/>
  <c r="CL241" i="25"/>
  <c r="CX241" i="25"/>
  <c r="DP241" i="25"/>
  <c r="CL275" i="25"/>
  <c r="DP275" i="25"/>
  <c r="CX275" i="25"/>
  <c r="FG194" i="25"/>
  <c r="CX194" i="25"/>
  <c r="DP194" i="25"/>
  <c r="CL194" i="25"/>
  <c r="EQ194" i="25"/>
  <c r="EU194" i="25" s="1"/>
  <c r="CX235" i="25"/>
  <c r="CL235" i="25"/>
  <c r="DP235" i="25"/>
  <c r="DP306" i="25"/>
  <c r="CL306" i="25"/>
  <c r="CX306" i="25"/>
  <c r="CU12" i="25"/>
  <c r="CW12" i="25"/>
  <c r="CO12" i="25" s="1"/>
  <c r="CV12" i="25"/>
  <c r="CV8" i="25"/>
  <c r="CW8" i="25"/>
  <c r="CO8" i="25" s="1"/>
  <c r="CU8" i="25"/>
  <c r="CW63" i="25"/>
  <c r="CO63" i="25" s="1"/>
  <c r="CU63" i="25"/>
  <c r="CV63" i="25"/>
  <c r="CV225" i="25"/>
  <c r="CU225" i="25"/>
  <c r="CW225" i="25"/>
  <c r="CO225" i="25" s="1"/>
  <c r="CV230" i="25"/>
  <c r="CU230" i="25"/>
  <c r="CW230" i="25"/>
  <c r="CO230" i="25" s="1"/>
  <c r="CW222" i="25"/>
  <c r="CO222" i="25" s="1"/>
  <c r="CU222" i="25"/>
  <c r="CV222" i="25"/>
  <c r="CU261" i="25"/>
  <c r="CV261" i="25"/>
  <c r="CW261" i="25"/>
  <c r="CO261" i="25" s="1"/>
  <c r="CW74" i="25"/>
  <c r="CO74" i="25" s="1"/>
  <c r="CV74" i="25"/>
  <c r="CU74" i="25"/>
  <c r="CV33" i="25"/>
  <c r="CU33" i="25"/>
  <c r="CW33" i="25"/>
  <c r="CO33" i="25" s="1"/>
  <c r="CU291" i="25"/>
  <c r="CV291" i="25"/>
  <c r="CW291" i="25"/>
  <c r="CO291" i="25" s="1"/>
  <c r="CW238" i="25"/>
  <c r="CO238" i="25" s="1"/>
  <c r="CV238" i="25"/>
  <c r="CU238" i="25"/>
  <c r="CU285" i="25"/>
  <c r="CW285" i="25"/>
  <c r="CO285" i="25" s="1"/>
  <c r="CV285" i="25"/>
  <c r="CU309" i="25"/>
  <c r="CW309" i="25"/>
  <c r="CO309" i="25" s="1"/>
  <c r="CV309" i="25"/>
  <c r="CV273" i="25"/>
  <c r="CW273" i="25"/>
  <c r="CO273" i="25" s="1"/>
  <c r="CU273" i="25"/>
  <c r="CW253" i="25"/>
  <c r="CO253" i="25" s="1"/>
  <c r="CU253" i="25"/>
  <c r="CV253" i="25"/>
  <c r="CV223" i="25"/>
  <c r="CU223" i="25"/>
  <c r="CW223" i="25"/>
  <c r="CO223" i="25" s="1"/>
  <c r="CU197" i="25"/>
  <c r="CW197" i="25"/>
  <c r="CO197" i="25" s="1"/>
  <c r="CV197" i="25"/>
  <c r="CW189" i="25"/>
  <c r="CO189" i="25" s="1"/>
  <c r="CV189" i="25"/>
  <c r="CU189" i="25"/>
  <c r="CU297" i="25"/>
  <c r="CW297" i="25"/>
  <c r="CO297" i="25" s="1"/>
  <c r="CV297" i="25"/>
  <c r="CV296" i="25"/>
  <c r="CU296" i="25"/>
  <c r="CW296" i="25"/>
  <c r="CO296" i="25" s="1"/>
  <c r="CW219" i="25"/>
  <c r="CO219" i="25" s="1"/>
  <c r="CV219" i="25"/>
  <c r="CU219" i="25"/>
  <c r="CW140" i="25"/>
  <c r="CO140" i="25" s="1"/>
  <c r="CV140" i="25"/>
  <c r="CU140" i="25"/>
  <c r="CU54" i="25"/>
  <c r="CW54" i="25"/>
  <c r="CO54" i="25" s="1"/>
  <c r="CV54" i="25"/>
  <c r="CV245" i="25"/>
  <c r="CU245" i="25"/>
  <c r="CW245" i="25"/>
  <c r="CO245" i="25" s="1"/>
  <c r="CW133" i="25"/>
  <c r="CO133" i="25" s="1"/>
  <c r="CU133" i="25"/>
  <c r="CV133" i="25"/>
  <c r="CW123" i="25"/>
  <c r="CO123" i="25" s="1"/>
  <c r="CV123" i="25"/>
  <c r="CU123" i="25"/>
  <c r="CW73" i="25"/>
  <c r="CO73" i="25" s="1"/>
  <c r="CV73" i="25"/>
  <c r="CU73" i="25"/>
  <c r="CW125" i="25"/>
  <c r="CO125" i="25" s="1"/>
  <c r="CV125" i="25"/>
  <c r="CU125" i="25"/>
  <c r="CU118" i="25"/>
  <c r="CW118" i="25"/>
  <c r="CO118" i="25" s="1"/>
  <c r="CV118" i="25"/>
  <c r="CW115" i="25"/>
  <c r="CO115" i="25" s="1"/>
  <c r="CV115" i="25"/>
  <c r="CU115" i="25"/>
  <c r="CW49" i="25"/>
  <c r="CO49" i="25" s="1"/>
  <c r="CU49" i="25"/>
  <c r="CV49" i="25"/>
  <c r="CV204" i="25"/>
  <c r="CU204" i="25"/>
  <c r="CW204" i="25"/>
  <c r="CO204" i="25" s="1"/>
  <c r="CW182" i="25"/>
  <c r="CO182" i="25" s="1"/>
  <c r="CU182" i="25"/>
  <c r="CV182" i="25"/>
  <c r="CW178" i="25"/>
  <c r="CO178" i="25" s="1"/>
  <c r="CU178" i="25"/>
  <c r="CV178" i="25"/>
  <c r="CV192" i="25"/>
  <c r="CW192" i="25"/>
  <c r="CO192" i="25" s="1"/>
  <c r="CU192" i="25"/>
  <c r="CW258" i="25"/>
  <c r="CO258" i="25" s="1"/>
  <c r="CV258" i="25"/>
  <c r="CU258" i="25"/>
  <c r="FG154" i="25"/>
  <c r="CL154" i="25"/>
  <c r="EQ154" i="25"/>
  <c r="EU154" i="25" s="1"/>
  <c r="DP154" i="25"/>
  <c r="CX154" i="25"/>
  <c r="CY154" i="25" s="1"/>
  <c r="DP305" i="25"/>
  <c r="CX305" i="25"/>
  <c r="CL305" i="25"/>
  <c r="FG68" i="25"/>
  <c r="CL68" i="25"/>
  <c r="DP68" i="25"/>
  <c r="EQ68" i="25"/>
  <c r="EU68" i="25" s="1"/>
  <c r="CX68" i="25"/>
  <c r="DP64" i="25"/>
  <c r="EQ64" i="25"/>
  <c r="EU64" i="25" s="1"/>
  <c r="FG64" i="25"/>
  <c r="CL64" i="25"/>
  <c r="CX64" i="25"/>
  <c r="EQ128" i="25"/>
  <c r="EU128" i="25" s="1"/>
  <c r="FG128" i="25"/>
  <c r="CL128" i="25"/>
  <c r="DP128" i="25"/>
  <c r="CX128" i="25"/>
  <c r="CL232" i="25"/>
  <c r="DP232" i="25"/>
  <c r="CX232" i="25"/>
  <c r="EQ179" i="25"/>
  <c r="EU179" i="25" s="1"/>
  <c r="DP179" i="25"/>
  <c r="CX179" i="25"/>
  <c r="FG179" i="25"/>
  <c r="CL179" i="25"/>
  <c r="CU250" i="25"/>
  <c r="CW250" i="25"/>
  <c r="CO250" i="25" s="1"/>
  <c r="CV250" i="25"/>
  <c r="CU94" i="25"/>
  <c r="CW94" i="25"/>
  <c r="CO94" i="25" s="1"/>
  <c r="CV94" i="25"/>
  <c r="CW55" i="25"/>
  <c r="CO55" i="25" s="1"/>
  <c r="CV55" i="25"/>
  <c r="CU55" i="25"/>
  <c r="CU260" i="25"/>
  <c r="CV260" i="25"/>
  <c r="CW260" i="25"/>
  <c r="CO260" i="25" s="1"/>
  <c r="CU124" i="25"/>
  <c r="CW124" i="25"/>
  <c r="CO124" i="25" s="1"/>
  <c r="CV124" i="25"/>
  <c r="CW145" i="25"/>
  <c r="CO145" i="25" s="1"/>
  <c r="CV145" i="25"/>
  <c r="CU145" i="25"/>
  <c r="CW62" i="25"/>
  <c r="CO62" i="25" s="1"/>
  <c r="CU62" i="25"/>
  <c r="CV62" i="25"/>
  <c r="CW139" i="25"/>
  <c r="CO139" i="25" s="1"/>
  <c r="CV139" i="25"/>
  <c r="CU139" i="25"/>
  <c r="CU315" i="25"/>
  <c r="CV315" i="25"/>
  <c r="CW315" i="25"/>
  <c r="CO315" i="25" s="1"/>
  <c r="CW69" i="25"/>
  <c r="CO69" i="25" s="1"/>
  <c r="CV69" i="25"/>
  <c r="CU69" i="25"/>
  <c r="CW177" i="25"/>
  <c r="CO177" i="25" s="1"/>
  <c r="CU177" i="25"/>
  <c r="CV177" i="25"/>
  <c r="FG38" i="25"/>
  <c r="CX38" i="25"/>
  <c r="DP38" i="25"/>
  <c r="EQ38" i="25"/>
  <c r="EU38" i="25" s="1"/>
  <c r="CL38" i="25"/>
  <c r="EQ37" i="25"/>
  <c r="EU37" i="25" s="1"/>
  <c r="CL37" i="25"/>
  <c r="CX37" i="25"/>
  <c r="DP37" i="25"/>
  <c r="FG37" i="25"/>
  <c r="FG14" i="25"/>
  <c r="CX14" i="25"/>
  <c r="CL14" i="25"/>
  <c r="EQ14" i="25"/>
  <c r="EU14" i="25" s="1"/>
  <c r="DP14" i="25"/>
  <c r="EQ176" i="25"/>
  <c r="EU176" i="25" s="1"/>
  <c r="DP176" i="25"/>
  <c r="FG176" i="25"/>
  <c r="CX176" i="25"/>
  <c r="CL176" i="25"/>
  <c r="FG17" i="25"/>
  <c r="CL17" i="25"/>
  <c r="EQ17" i="25"/>
  <c r="EU17" i="25" s="1"/>
  <c r="CX17" i="25"/>
  <c r="DP17" i="25"/>
  <c r="FG175" i="25"/>
  <c r="CX175" i="25"/>
  <c r="DP175" i="25"/>
  <c r="CL175" i="25"/>
  <c r="EQ175" i="25"/>
  <c r="EU175" i="25" s="1"/>
  <c r="EQ27" i="25"/>
  <c r="EU27" i="25" s="1"/>
  <c r="DP27" i="25"/>
  <c r="CL27" i="25"/>
  <c r="FG27" i="25"/>
  <c r="CX27" i="25"/>
  <c r="DP82" i="25"/>
  <c r="CL82" i="25"/>
  <c r="FG82" i="25"/>
  <c r="EQ82" i="25"/>
  <c r="EU82" i="25" s="1"/>
  <c r="CX82" i="25"/>
  <c r="CY82" i="25" s="1"/>
  <c r="CL55" i="25"/>
  <c r="FG55" i="25"/>
  <c r="EQ55" i="25"/>
  <c r="EU55" i="25" s="1"/>
  <c r="DP55" i="25"/>
  <c r="CX55" i="25"/>
  <c r="DP47" i="25"/>
  <c r="FG47" i="25"/>
  <c r="EQ47" i="25"/>
  <c r="EU47" i="25" s="1"/>
  <c r="CL47" i="25"/>
  <c r="CX47" i="25"/>
  <c r="CX266" i="25"/>
  <c r="DP266" i="25"/>
  <c r="CL266" i="25"/>
  <c r="DP90" i="25"/>
  <c r="CL90" i="25"/>
  <c r="CX90" i="25"/>
  <c r="EQ90" i="25"/>
  <c r="EU90" i="25" s="1"/>
  <c r="FG90" i="25"/>
  <c r="CX277" i="25"/>
  <c r="CL277" i="25"/>
  <c r="DP277" i="25"/>
  <c r="CL87" i="25"/>
  <c r="EQ87" i="25"/>
  <c r="EU87" i="25" s="1"/>
  <c r="CX87" i="25"/>
  <c r="FG87" i="25"/>
  <c r="DP87" i="25"/>
  <c r="EQ34" i="25"/>
  <c r="EU34" i="25" s="1"/>
  <c r="CX34" i="25"/>
  <c r="DP34" i="25"/>
  <c r="CL34" i="25"/>
  <c r="FG34" i="25"/>
  <c r="CL86" i="25"/>
  <c r="DP86" i="25"/>
  <c r="CX86" i="25"/>
  <c r="FG86" i="25"/>
  <c r="EQ86" i="25"/>
  <c r="EU86" i="25" s="1"/>
  <c r="DP126" i="25"/>
  <c r="CL126" i="25"/>
  <c r="EQ126" i="25"/>
  <c r="EU126" i="25" s="1"/>
  <c r="FG126" i="25"/>
  <c r="CX126" i="25"/>
  <c r="EQ100" i="25"/>
  <c r="EU100" i="25" s="1"/>
  <c r="DP100" i="25"/>
  <c r="CL100" i="25"/>
  <c r="CX100" i="25"/>
  <c r="FG100" i="25"/>
  <c r="EQ177" i="25"/>
  <c r="EU177" i="25" s="1"/>
  <c r="CL177" i="25"/>
  <c r="CX177" i="25"/>
  <c r="FG177" i="25"/>
  <c r="DP177" i="25"/>
  <c r="EQ65" i="25"/>
  <c r="EU65" i="25" s="1"/>
  <c r="DP65" i="25"/>
  <c r="CL65" i="25"/>
  <c r="CX65" i="25"/>
  <c r="FG65" i="25"/>
  <c r="EQ130" i="25"/>
  <c r="EU130" i="25" s="1"/>
  <c r="DP130" i="25"/>
  <c r="CX130" i="25"/>
  <c r="FG130" i="25"/>
  <c r="CL130" i="25"/>
  <c r="FG151" i="25"/>
  <c r="CL151" i="25"/>
  <c r="CX151" i="25"/>
  <c r="DP151" i="25"/>
  <c r="EQ151" i="25"/>
  <c r="EU151" i="25" s="1"/>
  <c r="FG153" i="25"/>
  <c r="CL153" i="25"/>
  <c r="EQ153" i="25"/>
  <c r="EU153" i="25" s="1"/>
  <c r="DP153" i="25"/>
  <c r="CX153" i="25"/>
  <c r="CX233" i="25"/>
  <c r="DP233" i="25"/>
  <c r="CL233" i="25"/>
  <c r="CL285" i="25"/>
  <c r="CX285" i="25"/>
  <c r="DP285" i="25"/>
  <c r="FG188" i="25"/>
  <c r="DP188" i="25"/>
  <c r="EQ188" i="25"/>
  <c r="EU188" i="25" s="1"/>
  <c r="CL188" i="25"/>
  <c r="CX188" i="25"/>
  <c r="CL280" i="25"/>
  <c r="DP280" i="25"/>
  <c r="CX280" i="25"/>
  <c r="CL156" i="25"/>
  <c r="FG156" i="25"/>
  <c r="DP156" i="25"/>
  <c r="EQ156" i="25"/>
  <c r="EU156" i="25" s="1"/>
  <c r="CX156" i="25"/>
  <c r="CL243" i="25"/>
  <c r="DP243" i="25"/>
  <c r="CX243" i="25"/>
  <c r="FG164" i="25"/>
  <c r="CL164" i="25"/>
  <c r="EQ164" i="25"/>
  <c r="EU164" i="25" s="1"/>
  <c r="DP164" i="25"/>
  <c r="CX164" i="25"/>
  <c r="CY164" i="25" s="1"/>
  <c r="CL244" i="25"/>
  <c r="DP244" i="25"/>
  <c r="CX244" i="25"/>
  <c r="CL295" i="25"/>
  <c r="CX295" i="25"/>
  <c r="DP295" i="25"/>
  <c r="EQ181" i="25"/>
  <c r="EU181" i="25" s="1"/>
  <c r="DP181" i="25"/>
  <c r="CL181" i="25"/>
  <c r="CX181" i="25"/>
  <c r="FG181" i="25"/>
  <c r="DP242" i="25"/>
  <c r="CL242" i="25"/>
  <c r="CX242" i="25"/>
  <c r="CL307" i="25"/>
  <c r="DP307" i="25"/>
  <c r="CX307" i="25"/>
  <c r="DP195" i="25"/>
  <c r="CX195" i="25"/>
  <c r="CL195" i="25"/>
  <c r="EQ195" i="25"/>
  <c r="EU195" i="25" s="1"/>
  <c r="FG195" i="25"/>
  <c r="DP250" i="25"/>
  <c r="CL250" i="25"/>
  <c r="CX250" i="25"/>
  <c r="CU159" i="25"/>
  <c r="CW159" i="25"/>
  <c r="CO159" i="25" s="1"/>
  <c r="CV159" i="25"/>
  <c r="CV152" i="25"/>
  <c r="CW152" i="25"/>
  <c r="CO152" i="25" s="1"/>
  <c r="CU152" i="25"/>
  <c r="CW82" i="25"/>
  <c r="CO82" i="25" s="1"/>
  <c r="CU82" i="25"/>
  <c r="CV82" i="25"/>
  <c r="CV154" i="25"/>
  <c r="CW154" i="25"/>
  <c r="CO154" i="25" s="1"/>
  <c r="CU154" i="25"/>
  <c r="CU288" i="25"/>
  <c r="CW288" i="25"/>
  <c r="CO288" i="25" s="1"/>
  <c r="CV288" i="25"/>
  <c r="CU236" i="25"/>
  <c r="CW236" i="25"/>
  <c r="CO236" i="25" s="1"/>
  <c r="CV236" i="25"/>
  <c r="CU36" i="25"/>
  <c r="CW36" i="25"/>
  <c r="CO36" i="25" s="1"/>
  <c r="CV36" i="25"/>
  <c r="CU313" i="25"/>
  <c r="CW313" i="25"/>
  <c r="CO313" i="25" s="1"/>
  <c r="CV313" i="25"/>
  <c r="CV163" i="25"/>
  <c r="CW163" i="25"/>
  <c r="CO163" i="25" s="1"/>
  <c r="CU163" i="25"/>
  <c r="CU90" i="25"/>
  <c r="CW90" i="25"/>
  <c r="CO90" i="25" s="1"/>
  <c r="CV90" i="25"/>
  <c r="CW221" i="25"/>
  <c r="CO221" i="25" s="1"/>
  <c r="CU221" i="25"/>
  <c r="CV221" i="25"/>
  <c r="CV224" i="25"/>
  <c r="CU224" i="25"/>
  <c r="CW224" i="25"/>
  <c r="CO224" i="25" s="1"/>
  <c r="CW155" i="25"/>
  <c r="CO155" i="25" s="1"/>
  <c r="CU155" i="25"/>
  <c r="CV155" i="25"/>
  <c r="CW281" i="25"/>
  <c r="CO281" i="25" s="1"/>
  <c r="CU281" i="25"/>
  <c r="CV281" i="25"/>
  <c r="CW310" i="25"/>
  <c r="CO310" i="25" s="1"/>
  <c r="CU310" i="25"/>
  <c r="CV310" i="25"/>
  <c r="CV278" i="25"/>
  <c r="CU278" i="25"/>
  <c r="CW278" i="25"/>
  <c r="CO278" i="25" s="1"/>
  <c r="CU263" i="25"/>
  <c r="CV263" i="25"/>
  <c r="CW263" i="25"/>
  <c r="CO263" i="25" s="1"/>
  <c r="CV194" i="25"/>
  <c r="CW194" i="25"/>
  <c r="CO194" i="25" s="1"/>
  <c r="CU194" i="25"/>
  <c r="CW142" i="25"/>
  <c r="CO142" i="25" s="1"/>
  <c r="CV142" i="25"/>
  <c r="CU142" i="25"/>
  <c r="CV170" i="25"/>
  <c r="CU170" i="25"/>
  <c r="CW170" i="25"/>
  <c r="CO170" i="25" s="1"/>
  <c r="CW167" i="25"/>
  <c r="CO167" i="25" s="1"/>
  <c r="CU167" i="25"/>
  <c r="CV167" i="25"/>
  <c r="CV293" i="25"/>
  <c r="CW293" i="25"/>
  <c r="CO293" i="25" s="1"/>
  <c r="CU293" i="25"/>
  <c r="CW135" i="25"/>
  <c r="CO135" i="25" s="1"/>
  <c r="CV135" i="25"/>
  <c r="CU135" i="25"/>
  <c r="CU17" i="25"/>
  <c r="CV17" i="25"/>
  <c r="CW17" i="25"/>
  <c r="CO17" i="25" s="1"/>
  <c r="CV46" i="25"/>
  <c r="CU46" i="25"/>
  <c r="CW46" i="25"/>
  <c r="CO46" i="25" s="1"/>
  <c r="CU21" i="25"/>
  <c r="CW21" i="25"/>
  <c r="CO21" i="25" s="1"/>
  <c r="CV21" i="25"/>
  <c r="CU13" i="25"/>
  <c r="CW13" i="25"/>
  <c r="CO13" i="25" s="1"/>
  <c r="CV13" i="25"/>
  <c r="CW127" i="25"/>
  <c r="CO127" i="25" s="1"/>
  <c r="CV127" i="25"/>
  <c r="CU127" i="25"/>
  <c r="CU101" i="25"/>
  <c r="CW101" i="25"/>
  <c r="CO101" i="25" s="1"/>
  <c r="CV101" i="25"/>
  <c r="CW126" i="25"/>
  <c r="CO126" i="25" s="1"/>
  <c r="CU126" i="25"/>
  <c r="CV126" i="25"/>
  <c r="CW128" i="25"/>
  <c r="CO128" i="25" s="1"/>
  <c r="CU128" i="25"/>
  <c r="CV128" i="25"/>
  <c r="CW117" i="25"/>
  <c r="CO117" i="25" s="1"/>
  <c r="CV117" i="25"/>
  <c r="CU117" i="25"/>
  <c r="CU96" i="25"/>
  <c r="CW96" i="25"/>
  <c r="CO96" i="25" s="1"/>
  <c r="CV96" i="25"/>
  <c r="CU243" i="25"/>
  <c r="CV243" i="25"/>
  <c r="CW243" i="25"/>
  <c r="CO243" i="25" s="1"/>
  <c r="CW198" i="25"/>
  <c r="CO198" i="25" s="1"/>
  <c r="CU198" i="25"/>
  <c r="CV198" i="25"/>
  <c r="CV208" i="25"/>
  <c r="CU208" i="25"/>
  <c r="CW208" i="25"/>
  <c r="CO208" i="25" s="1"/>
  <c r="CU195" i="25"/>
  <c r="CV195" i="25"/>
  <c r="CW195" i="25"/>
  <c r="CO195" i="25" s="1"/>
  <c r="CW171" i="25"/>
  <c r="CO171" i="25" s="1"/>
  <c r="CU171" i="25"/>
  <c r="CV171" i="25"/>
  <c r="EQ12" i="25"/>
  <c r="EU12" i="25" s="1"/>
  <c r="DP12" i="25"/>
  <c r="FG12" i="25"/>
  <c r="CL12" i="25"/>
  <c r="CX12" i="25"/>
  <c r="CX269" i="25"/>
  <c r="CL269" i="25"/>
  <c r="DP269" i="25"/>
  <c r="CL225" i="25"/>
  <c r="DP225" i="25"/>
  <c r="CX225" i="25"/>
  <c r="CW185" i="25"/>
  <c r="CO185" i="25" s="1"/>
  <c r="CV185" i="25"/>
  <c r="CU185" i="25"/>
  <c r="CU176" i="25"/>
  <c r="CW176" i="25"/>
  <c r="CO176" i="25" s="1"/>
  <c r="CV176" i="25"/>
  <c r="CT176" i="25"/>
  <c r="CT175" i="25"/>
  <c r="CT173" i="25"/>
  <c r="CT286" i="25"/>
  <c r="CT284" i="25"/>
  <c r="CT282" i="25"/>
  <c r="CT277" i="25"/>
  <c r="CT264" i="25"/>
  <c r="CT249" i="25"/>
  <c r="CT201" i="25"/>
  <c r="CT177" i="25"/>
  <c r="CT174" i="25"/>
  <c r="CT256" i="25"/>
  <c r="CT235" i="25"/>
  <c r="CT208" i="25"/>
  <c r="CT199" i="25"/>
  <c r="CT178" i="25"/>
  <c r="CT251" i="25"/>
  <c r="CT241" i="25"/>
  <c r="CT209" i="25"/>
  <c r="CT205" i="25"/>
  <c r="CT198" i="25"/>
  <c r="CT182" i="25"/>
  <c r="CT181" i="25"/>
  <c r="CT180" i="25"/>
  <c r="CT179" i="25"/>
  <c r="CT271" i="25"/>
  <c r="CT252" i="25"/>
  <c r="CT243" i="25"/>
  <c r="CT231" i="25"/>
  <c r="CT207" i="25"/>
  <c r="CT204" i="25"/>
  <c r="CT203" i="25"/>
  <c r="CT197" i="25"/>
  <c r="CT146" i="25"/>
  <c r="CT295" i="25"/>
  <c r="CT294" i="25"/>
  <c r="CT245" i="25"/>
  <c r="CT183" i="25"/>
  <c r="CT169" i="25"/>
  <c r="CT168" i="25"/>
  <c r="CT165" i="25"/>
  <c r="CT184" i="25"/>
  <c r="CT141" i="25"/>
  <c r="CT202" i="25"/>
  <c r="CT172" i="25"/>
  <c r="CT143" i="25"/>
  <c r="CT97" i="25"/>
  <c r="CT83" i="25"/>
  <c r="CT140" i="25"/>
  <c r="CT132" i="25"/>
  <c r="CT131" i="25"/>
  <c r="CT115" i="25"/>
  <c r="CT113" i="25"/>
  <c r="CT111" i="25"/>
  <c r="CT137" i="25"/>
  <c r="CT130" i="25"/>
  <c r="CT129" i="25"/>
  <c r="CT128" i="25"/>
  <c r="CT118" i="25"/>
  <c r="CT69" i="25"/>
  <c r="CT65" i="25"/>
  <c r="CT57" i="25"/>
  <c r="CT296" i="25"/>
  <c r="CT145" i="25"/>
  <c r="CT139" i="25"/>
  <c r="CT134" i="25"/>
  <c r="CT127" i="25"/>
  <c r="CT123" i="25"/>
  <c r="CT122" i="25"/>
  <c r="CT120" i="25"/>
  <c r="CT229" i="25"/>
  <c r="CT148" i="25"/>
  <c r="CT110" i="25"/>
  <c r="CT297" i="25"/>
  <c r="CT233" i="25"/>
  <c r="CT73" i="25"/>
  <c r="CT29" i="25"/>
  <c r="CT144" i="25"/>
  <c r="CT133" i="25"/>
  <c r="CT269" i="25"/>
  <c r="CT247" i="25"/>
  <c r="CT171" i="25"/>
  <c r="CT125" i="25"/>
  <c r="CT13" i="25"/>
  <c r="CT17" i="25"/>
  <c r="CT206" i="25"/>
  <c r="CT136" i="25"/>
  <c r="CT135" i="25"/>
  <c r="CT53" i="25"/>
  <c r="CT142" i="25"/>
  <c r="CT126" i="25"/>
  <c r="CT49" i="25"/>
  <c r="CT35" i="25"/>
  <c r="CT25" i="25"/>
  <c r="CT21" i="25"/>
  <c r="CT138" i="25"/>
  <c r="CT87" i="25"/>
  <c r="CT61" i="25"/>
  <c r="CT75" i="25"/>
  <c r="CT170" i="25"/>
  <c r="CT14" i="25"/>
  <c r="CT84" i="25"/>
  <c r="CT119" i="25"/>
  <c r="CT192" i="25"/>
  <c r="CT6" i="25"/>
  <c r="CT46" i="25"/>
  <c r="CT62" i="25"/>
  <c r="CT70" i="25"/>
  <c r="CT81" i="25"/>
  <c r="CT88" i="25"/>
  <c r="CT18" i="25"/>
  <c r="CT10" i="25"/>
  <c r="CT22" i="25"/>
  <c r="CT79" i="25"/>
  <c r="CT92" i="25"/>
  <c r="CT60" i="25"/>
  <c r="CT188" i="25"/>
  <c r="CT195" i="25"/>
  <c r="CT217" i="25"/>
  <c r="CT292" i="25"/>
  <c r="CT42" i="25"/>
  <c r="CT56" i="25"/>
  <c r="CT54" i="25"/>
  <c r="CT101" i="25"/>
  <c r="CT117" i="25"/>
  <c r="CT223" i="25"/>
  <c r="CT299" i="25"/>
  <c r="CT262" i="25"/>
  <c r="CT9" i="25"/>
  <c r="CT105" i="25"/>
  <c r="CT26" i="25"/>
  <c r="CT64" i="25"/>
  <c r="CT72" i="25"/>
  <c r="CT289" i="25"/>
  <c r="CT279" i="25"/>
  <c r="CT191" i="25"/>
  <c r="CT166" i="25"/>
  <c r="CT258" i="25"/>
  <c r="CT316" i="25"/>
  <c r="CT283" i="25"/>
  <c r="CT34" i="25"/>
  <c r="CT287" i="25"/>
  <c r="CT66" i="25"/>
  <c r="CT16" i="25"/>
  <c r="CT124" i="25"/>
  <c r="CT116" i="25"/>
  <c r="CT80" i="25"/>
  <c r="CT266" i="25"/>
  <c r="CT285" i="25"/>
  <c r="CT98" i="25"/>
  <c r="CT147" i="25"/>
  <c r="CT38" i="25"/>
  <c r="CT30" i="25"/>
  <c r="CT200" i="25"/>
  <c r="CT102" i="25"/>
  <c r="CT303" i="25"/>
  <c r="CT95" i="25"/>
  <c r="CT312" i="25"/>
  <c r="CT190" i="25"/>
  <c r="CT114" i="25"/>
  <c r="CT315" i="25"/>
  <c r="CT167" i="25"/>
  <c r="CT196" i="25"/>
  <c r="CT278" i="25"/>
  <c r="CT227" i="25"/>
  <c r="CT121" i="25"/>
  <c r="CT68" i="25"/>
  <c r="CT50" i="25"/>
  <c r="CT306" i="25"/>
  <c r="CT265" i="25"/>
  <c r="CT263" i="25"/>
  <c r="CT253" i="25"/>
  <c r="CT58" i="25"/>
  <c r="CT189" i="25"/>
  <c r="CT237" i="25"/>
  <c r="CT300" i="25"/>
  <c r="CT193" i="25"/>
  <c r="CT257" i="25"/>
  <c r="CT293" i="25"/>
  <c r="CT310" i="25"/>
  <c r="CT254" i="25"/>
  <c r="CT219" i="25"/>
  <c r="CT280" i="25"/>
  <c r="CT305" i="25"/>
  <c r="CT309" i="25"/>
  <c r="CT311" i="25"/>
  <c r="CT239" i="25"/>
  <c r="CT268" i="25"/>
  <c r="CT194" i="25"/>
  <c r="CT255" i="25"/>
  <c r="CT91" i="25"/>
  <c r="CT149" i="25"/>
  <c r="CT260" i="25"/>
  <c r="CT273" i="25"/>
  <c r="CT275" i="25"/>
  <c r="CT304" i="25"/>
  <c r="CT96" i="25"/>
  <c r="CT276" i="25"/>
  <c r="CT281" i="25"/>
  <c r="CT41" i="25"/>
  <c r="CT298" i="25"/>
  <c r="CT224" i="25"/>
  <c r="CT240" i="25"/>
  <c r="CT155" i="25"/>
  <c r="CT55" i="25"/>
  <c r="CT47" i="25"/>
  <c r="CT225" i="25"/>
  <c r="FD225" i="25" s="1"/>
  <c r="CT59" i="25"/>
  <c r="CT44" i="25"/>
  <c r="CT154" i="25"/>
  <c r="CT267" i="25"/>
  <c r="CT238" i="25"/>
  <c r="CT33" i="25"/>
  <c r="CT15" i="25"/>
  <c r="CT291" i="25"/>
  <c r="CT77" i="25"/>
  <c r="CT7" i="25"/>
  <c r="FD7" i="25" s="1"/>
  <c r="CT36" i="25"/>
  <c r="CT301" i="25"/>
  <c r="CT19" i="25"/>
  <c r="CT162" i="25"/>
  <c r="CT187" i="25"/>
  <c r="CT100" i="25"/>
  <c r="CT156" i="25"/>
  <c r="CT220" i="25"/>
  <c r="CT27" i="25"/>
  <c r="CT185" i="25"/>
  <c r="CT288" i="25"/>
  <c r="CT157" i="25"/>
  <c r="CT163" i="25"/>
  <c r="CT222" i="25"/>
  <c r="CT259" i="25"/>
  <c r="CT218" i="25"/>
  <c r="CT232" i="25"/>
  <c r="CT32" i="25"/>
  <c r="CT103" i="25"/>
  <c r="CT290" i="25"/>
  <c r="CT270" i="25"/>
  <c r="CT20" i="25"/>
  <c r="CT76" i="25"/>
  <c r="CT28" i="25"/>
  <c r="CT242" i="25"/>
  <c r="CT313" i="25"/>
  <c r="CT86" i="25"/>
  <c r="CT48" i="25"/>
  <c r="CT67" i="25"/>
  <c r="CT159" i="25"/>
  <c r="CT99" i="25"/>
  <c r="CT37" i="25"/>
  <c r="CT8" i="25"/>
  <c r="CT228" i="25"/>
  <c r="CT11" i="25"/>
  <c r="CT307" i="25"/>
  <c r="CT161" i="25"/>
  <c r="CT248" i="25"/>
  <c r="CT31" i="25"/>
  <c r="CT90" i="25"/>
  <c r="CT160" i="25"/>
  <c r="CT158" i="25"/>
  <c r="CT82" i="25"/>
  <c r="CT226" i="25"/>
  <c r="CT150" i="25"/>
  <c r="CT71" i="25"/>
  <c r="CT230" i="25"/>
  <c r="CT94" i="25"/>
  <c r="CT164" i="25"/>
  <c r="CT216" i="25"/>
  <c r="CT74" i="25"/>
  <c r="CT78" i="25"/>
  <c r="CT85" i="25"/>
  <c r="CT186" i="25"/>
  <c r="CT274" i="25"/>
  <c r="CT236" i="25"/>
  <c r="CT89" i="25"/>
  <c r="CT151" i="25"/>
  <c r="CT45" i="25"/>
  <c r="CT244" i="25"/>
  <c r="CT210" i="25"/>
  <c r="CT153" i="25"/>
  <c r="CT234" i="25"/>
  <c r="CT152" i="25"/>
  <c r="CT246" i="25"/>
  <c r="CT51" i="25"/>
  <c r="CT43" i="25"/>
  <c r="CT12" i="25"/>
  <c r="CT63" i="25"/>
  <c r="CT314" i="25"/>
  <c r="CT93" i="25"/>
  <c r="CT104" i="25"/>
  <c r="CT23" i="25"/>
  <c r="CT308" i="25"/>
  <c r="CT261" i="25"/>
  <c r="CT302" i="25"/>
  <c r="CT272" i="25"/>
  <c r="CT24" i="25"/>
  <c r="CT40" i="25"/>
  <c r="CT250" i="25"/>
  <c r="CT39" i="25"/>
  <c r="CT221" i="25"/>
  <c r="CT52" i="25"/>
  <c r="FG24" i="25"/>
  <c r="DP24" i="25"/>
  <c r="CX24" i="25"/>
  <c r="CL24" i="25"/>
  <c r="EQ24" i="25"/>
  <c r="EU24" i="25" s="1"/>
  <c r="FG58" i="25"/>
  <c r="EQ58" i="25"/>
  <c r="EU58" i="25" s="1"/>
  <c r="DP58" i="25"/>
  <c r="CL58" i="25"/>
  <c r="CX58" i="25"/>
  <c r="CL29" i="25"/>
  <c r="EQ29" i="25"/>
  <c r="EU29" i="25" s="1"/>
  <c r="CX29" i="25"/>
  <c r="FG29" i="25"/>
  <c r="DP29" i="25"/>
  <c r="CL81" i="25"/>
  <c r="FG81" i="25"/>
  <c r="DP81" i="25"/>
  <c r="EQ81" i="25"/>
  <c r="EU81" i="25" s="1"/>
  <c r="CX81" i="25"/>
  <c r="DP42" i="25"/>
  <c r="FG42" i="25"/>
  <c r="CX42" i="25"/>
  <c r="EQ42" i="25"/>
  <c r="EU42" i="25" s="1"/>
  <c r="CL42" i="25"/>
  <c r="CL9" i="25"/>
  <c r="FG9" i="25"/>
  <c r="EQ9" i="25"/>
  <c r="EU9" i="25" s="1"/>
  <c r="DP9" i="25"/>
  <c r="CX9" i="25"/>
  <c r="DP28" i="25"/>
  <c r="FG28" i="25"/>
  <c r="CX28" i="25"/>
  <c r="CL28" i="25"/>
  <c r="EQ28" i="25"/>
  <c r="EU28" i="25" s="1"/>
  <c r="CX92" i="25"/>
  <c r="DP92" i="25"/>
  <c r="CL92" i="25"/>
  <c r="EQ92" i="25"/>
  <c r="EU92" i="25" s="1"/>
  <c r="FG92" i="25"/>
  <c r="FG71" i="25"/>
  <c r="EQ71" i="25"/>
  <c r="EU71" i="25" s="1"/>
  <c r="DP71" i="25"/>
  <c r="CL71" i="25"/>
  <c r="CX71" i="25"/>
  <c r="DP48" i="25"/>
  <c r="CX48" i="25"/>
  <c r="CL48" i="25"/>
  <c r="EQ48" i="25"/>
  <c r="EU48" i="25" s="1"/>
  <c r="FG48" i="25"/>
  <c r="CL284" i="25"/>
  <c r="DP284" i="25"/>
  <c r="CX284" i="25"/>
  <c r="EQ96" i="25"/>
  <c r="EU96" i="25" s="1"/>
  <c r="FG96" i="25"/>
  <c r="CX96" i="25"/>
  <c r="DP96" i="25"/>
  <c r="CL96" i="25"/>
  <c r="DP298" i="25"/>
  <c r="CL298" i="25"/>
  <c r="CX298" i="25"/>
  <c r="CL95" i="25"/>
  <c r="EQ95" i="25"/>
  <c r="EU95" i="25" s="1"/>
  <c r="CX95" i="25"/>
  <c r="FG95" i="25"/>
  <c r="DP95" i="25"/>
  <c r="FG40" i="25"/>
  <c r="DP40" i="25"/>
  <c r="CX40" i="25"/>
  <c r="CL40" i="25"/>
  <c r="EQ40" i="25"/>
  <c r="EU40" i="25" s="1"/>
  <c r="DP88" i="25"/>
  <c r="CL88" i="25"/>
  <c r="FG88" i="25"/>
  <c r="CX88" i="25"/>
  <c r="EQ88" i="25"/>
  <c r="EU88" i="25" s="1"/>
  <c r="FG139" i="25"/>
  <c r="CL139" i="25"/>
  <c r="DP139" i="25"/>
  <c r="EQ139" i="25"/>
  <c r="EU139" i="25" s="1"/>
  <c r="CX139" i="25"/>
  <c r="EQ121" i="25"/>
  <c r="EU121" i="25" s="1"/>
  <c r="CL121" i="25"/>
  <c r="FG121" i="25"/>
  <c r="CX121" i="25"/>
  <c r="DP121" i="25"/>
  <c r="DP227" i="25"/>
  <c r="CX227" i="25"/>
  <c r="CL227" i="25"/>
  <c r="EQ69" i="25"/>
  <c r="EU69" i="25" s="1"/>
  <c r="CX69" i="25"/>
  <c r="DP69" i="25"/>
  <c r="FG69" i="25"/>
  <c r="CL69" i="25"/>
  <c r="FG140" i="25"/>
  <c r="DP140" i="25"/>
  <c r="CL140" i="25"/>
  <c r="EQ140" i="25"/>
  <c r="EU140" i="25" s="1"/>
  <c r="CX140" i="25"/>
  <c r="EQ173" i="25"/>
  <c r="EU173" i="25" s="1"/>
  <c r="DP173" i="25"/>
  <c r="CX173" i="25"/>
  <c r="CL173" i="25"/>
  <c r="FG173" i="25"/>
  <c r="EQ171" i="25"/>
  <c r="EU171" i="25" s="1"/>
  <c r="CL171" i="25"/>
  <c r="CX171" i="25"/>
  <c r="DP171" i="25"/>
  <c r="FG171" i="25"/>
  <c r="CL239" i="25"/>
  <c r="CX239" i="25"/>
  <c r="DP239" i="25"/>
  <c r="CL287" i="25"/>
  <c r="CX287" i="25"/>
  <c r="DP287" i="25"/>
  <c r="EQ189" i="25"/>
  <c r="EU189" i="25" s="1"/>
  <c r="CL189" i="25"/>
  <c r="CX189" i="25"/>
  <c r="FG189" i="25"/>
  <c r="DP189" i="25"/>
  <c r="DP290" i="25"/>
  <c r="CL290" i="25"/>
  <c r="CX290" i="25"/>
  <c r="EQ169" i="25"/>
  <c r="EU169" i="25" s="1"/>
  <c r="CL169" i="25"/>
  <c r="FG169" i="25"/>
  <c r="CX169" i="25"/>
  <c r="DP169" i="25"/>
  <c r="CL245" i="25"/>
  <c r="CX245" i="25"/>
  <c r="DP245" i="25"/>
  <c r="DP168" i="25"/>
  <c r="EQ168" i="25"/>
  <c r="EU168" i="25" s="1"/>
  <c r="FG168" i="25"/>
  <c r="CX168" i="25"/>
  <c r="CL168" i="25"/>
  <c r="DP252" i="25"/>
  <c r="CX252" i="25"/>
  <c r="CL252" i="25"/>
  <c r="CL314" i="25"/>
  <c r="DP314" i="25"/>
  <c r="CX314" i="25"/>
  <c r="EQ182" i="25"/>
  <c r="EU182" i="25" s="1"/>
  <c r="CL182" i="25"/>
  <c r="FG182" i="25"/>
  <c r="DP182" i="25"/>
  <c r="CX182" i="25"/>
  <c r="DP251" i="25"/>
  <c r="CL251" i="25"/>
  <c r="CX251" i="25"/>
  <c r="DP309" i="25"/>
  <c r="CL309" i="25"/>
  <c r="CX309" i="25"/>
  <c r="FG197" i="25"/>
  <c r="DP197" i="25"/>
  <c r="EQ197" i="25"/>
  <c r="EU197" i="25" s="1"/>
  <c r="CL197" i="25"/>
  <c r="CX197" i="25"/>
  <c r="DP256" i="25"/>
  <c r="CL256" i="25"/>
  <c r="CX256" i="25"/>
  <c r="CU52" i="25"/>
  <c r="CV52" i="25"/>
  <c r="CW52" i="25"/>
  <c r="CO52" i="25" s="1"/>
  <c r="CW39" i="25"/>
  <c r="CO39" i="25" s="1"/>
  <c r="CU39" i="25"/>
  <c r="CV39" i="25"/>
  <c r="CU246" i="25"/>
  <c r="CW246" i="25"/>
  <c r="CO246" i="25" s="1"/>
  <c r="CV246" i="25"/>
  <c r="CW77" i="25"/>
  <c r="CO77" i="25" s="1"/>
  <c r="CU77" i="25"/>
  <c r="CV77" i="25"/>
  <c r="CV153" i="25"/>
  <c r="CW153" i="25"/>
  <c r="CO153" i="25" s="1"/>
  <c r="CU153" i="25"/>
  <c r="CV71" i="25"/>
  <c r="CU71" i="25"/>
  <c r="CW71" i="25"/>
  <c r="CO71" i="25" s="1"/>
  <c r="CV150" i="25"/>
  <c r="CU150" i="25"/>
  <c r="CW150" i="25"/>
  <c r="CO150" i="25" s="1"/>
  <c r="CV162" i="25"/>
  <c r="CU162" i="25"/>
  <c r="CW162" i="25"/>
  <c r="CO162" i="25" s="1"/>
  <c r="CU242" i="25"/>
  <c r="CW242" i="25"/>
  <c r="CO242" i="25" s="1"/>
  <c r="CV242" i="25"/>
  <c r="CV89" i="25"/>
  <c r="CU89" i="25"/>
  <c r="CW89" i="25"/>
  <c r="CO89" i="25" s="1"/>
  <c r="CU20" i="25"/>
  <c r="CW20" i="25"/>
  <c r="CO20" i="25" s="1"/>
  <c r="CV20" i="25"/>
  <c r="CU48" i="25"/>
  <c r="CW48" i="25"/>
  <c r="CO48" i="25" s="1"/>
  <c r="CV48" i="25"/>
  <c r="CW240" i="25"/>
  <c r="CO240" i="25" s="1"/>
  <c r="CV240" i="25"/>
  <c r="CU240" i="25"/>
  <c r="CW303" i="25"/>
  <c r="CO303" i="25" s="1"/>
  <c r="CU303" i="25"/>
  <c r="CV303" i="25"/>
  <c r="CV300" i="25"/>
  <c r="CW300" i="25"/>
  <c r="CO300" i="25" s="1"/>
  <c r="CU300" i="25"/>
  <c r="CV316" i="25"/>
  <c r="CW316" i="25"/>
  <c r="CO316" i="25" s="1"/>
  <c r="CU316" i="25"/>
  <c r="CV265" i="25"/>
  <c r="CW265" i="25"/>
  <c r="CO265" i="25" s="1"/>
  <c r="CU265" i="25"/>
  <c r="CV193" i="25"/>
  <c r="CW193" i="25"/>
  <c r="CO193" i="25" s="1"/>
  <c r="CU193" i="25"/>
  <c r="CV114" i="25"/>
  <c r="CW114" i="25"/>
  <c r="CO114" i="25" s="1"/>
  <c r="CU114" i="25"/>
  <c r="CW116" i="25"/>
  <c r="CO116" i="25" s="1"/>
  <c r="CV116" i="25"/>
  <c r="CU116" i="25"/>
  <c r="CV119" i="25"/>
  <c r="CW119" i="25"/>
  <c r="CO119" i="25" s="1"/>
  <c r="CU119" i="25"/>
  <c r="CW146" i="25"/>
  <c r="CO146" i="25" s="1"/>
  <c r="CU146" i="25"/>
  <c r="CV146" i="25"/>
  <c r="CW137" i="25"/>
  <c r="CO137" i="25" s="1"/>
  <c r="CV137" i="25"/>
  <c r="CU137" i="25"/>
  <c r="CU25" i="25"/>
  <c r="CV25" i="25"/>
  <c r="CW25" i="25"/>
  <c r="CO25" i="25" s="1"/>
  <c r="CW10" i="25"/>
  <c r="CO10" i="25" s="1"/>
  <c r="CU10" i="25"/>
  <c r="CV10" i="25"/>
  <c r="CV72" i="25"/>
  <c r="CW72" i="25"/>
  <c r="CO72" i="25" s="1"/>
  <c r="CU72" i="25"/>
  <c r="CW134" i="25"/>
  <c r="CO134" i="25" s="1"/>
  <c r="CV134" i="25"/>
  <c r="CU134" i="25"/>
  <c r="CW61" i="25"/>
  <c r="CO61" i="25" s="1"/>
  <c r="CU61" i="25"/>
  <c r="CV61" i="25"/>
  <c r="CW22" i="25"/>
  <c r="CO22" i="25" s="1"/>
  <c r="CV22" i="25"/>
  <c r="CU22" i="25"/>
  <c r="CW183" i="25"/>
  <c r="CO183" i="25" s="1"/>
  <c r="CU183" i="25"/>
  <c r="CV183" i="25"/>
  <c r="CW129" i="25"/>
  <c r="CO129" i="25" s="1"/>
  <c r="CU129" i="25"/>
  <c r="CV129" i="25"/>
  <c r="CW131" i="25"/>
  <c r="CO131" i="25" s="1"/>
  <c r="CV131" i="25"/>
  <c r="CU131" i="25"/>
  <c r="CU169" i="25"/>
  <c r="CW169" i="25"/>
  <c r="CO169" i="25" s="1"/>
  <c r="CV169" i="25"/>
  <c r="CU271" i="25"/>
  <c r="CW271" i="25"/>
  <c r="CO271" i="25" s="1"/>
  <c r="CV271" i="25"/>
  <c r="CU205" i="25"/>
  <c r="CV205" i="25"/>
  <c r="CW205" i="25"/>
  <c r="CO205" i="25" s="1"/>
  <c r="CV235" i="25"/>
  <c r="CU235" i="25"/>
  <c r="CW235" i="25"/>
  <c r="CO235" i="25" s="1"/>
  <c r="CU201" i="25"/>
  <c r="CW201" i="25"/>
  <c r="CO201" i="25" s="1"/>
  <c r="CV201" i="25"/>
  <c r="CW172" i="25"/>
  <c r="CO172" i="25" s="1"/>
  <c r="CV172" i="25"/>
  <c r="CU172" i="25"/>
  <c r="EQ199" i="25"/>
  <c r="EU199" i="25" s="1"/>
  <c r="CX199" i="25"/>
  <c r="CL199" i="25"/>
  <c r="DP199" i="25"/>
  <c r="FG199" i="25"/>
  <c r="CL49" i="25"/>
  <c r="EQ49" i="25"/>
  <c r="EU49" i="25" s="1"/>
  <c r="DP49" i="25"/>
  <c r="FG49" i="25"/>
  <c r="CX49" i="25"/>
  <c r="EQ73" i="25"/>
  <c r="EU73" i="25" s="1"/>
  <c r="CL73" i="25"/>
  <c r="DP73" i="25"/>
  <c r="CX73" i="25"/>
  <c r="FG73" i="25"/>
  <c r="EQ39" i="25"/>
  <c r="EU39" i="25" s="1"/>
  <c r="CL39" i="25"/>
  <c r="FG39" i="25"/>
  <c r="DP39" i="25"/>
  <c r="CX39" i="25"/>
  <c r="DP302" i="25"/>
  <c r="CL302" i="25"/>
  <c r="CX302" i="25"/>
  <c r="EQ184" i="25"/>
  <c r="EU184" i="25" s="1"/>
  <c r="CX184" i="25"/>
  <c r="FG184" i="25"/>
  <c r="DP184" i="25"/>
  <c r="CL184" i="25"/>
  <c r="CX289" i="25"/>
  <c r="CL289" i="25"/>
  <c r="DP289" i="25"/>
  <c r="CL272" i="25"/>
  <c r="DP272" i="25"/>
  <c r="CX272" i="25"/>
  <c r="CW43" i="25"/>
  <c r="CO43" i="25" s="1"/>
  <c r="CV43" i="25"/>
  <c r="CU43" i="25"/>
  <c r="CV160" i="25"/>
  <c r="CU160" i="25"/>
  <c r="CW160" i="25"/>
  <c r="CO160" i="25" s="1"/>
  <c r="CV268" i="25"/>
  <c r="CU268" i="25"/>
  <c r="CW268" i="25"/>
  <c r="CO268" i="25" s="1"/>
  <c r="CW88" i="25"/>
  <c r="CO88" i="25" s="1"/>
  <c r="CV88" i="25"/>
  <c r="CU88" i="25"/>
  <c r="CW181" i="25"/>
  <c r="CO181" i="25" s="1"/>
  <c r="CU181" i="25"/>
  <c r="CV181" i="25"/>
  <c r="CL23" i="25"/>
  <c r="EQ23" i="25"/>
  <c r="EU23" i="25" s="1"/>
  <c r="DP23" i="25"/>
  <c r="FG23" i="25"/>
  <c r="CX23" i="25"/>
  <c r="EQ114" i="25"/>
  <c r="EU114" i="25" s="1"/>
  <c r="CL114" i="25"/>
  <c r="FG114" i="25"/>
  <c r="CX114" i="25"/>
  <c r="DP114" i="25"/>
  <c r="DP60" i="25"/>
  <c r="FG60" i="25"/>
  <c r="EQ60" i="25"/>
  <c r="EU60" i="25" s="1"/>
  <c r="CX60" i="25"/>
  <c r="CL60" i="25"/>
  <c r="DP66" i="25"/>
  <c r="EQ66" i="25"/>
  <c r="EU66" i="25" s="1"/>
  <c r="FG66" i="25"/>
  <c r="CL66" i="25"/>
  <c r="CX66" i="25"/>
  <c r="CY66" i="25" s="1"/>
  <c r="EQ21" i="25"/>
  <c r="EU21" i="25" s="1"/>
  <c r="FG21" i="25"/>
  <c r="CL21" i="25"/>
  <c r="DP21" i="25"/>
  <c r="CX21" i="25"/>
  <c r="EQ13" i="25"/>
  <c r="EU13" i="25" s="1"/>
  <c r="FG13" i="25"/>
  <c r="CL13" i="25"/>
  <c r="DP13" i="25"/>
  <c r="CX13" i="25"/>
  <c r="FG30" i="25"/>
  <c r="CX30" i="25"/>
  <c r="DP30" i="25"/>
  <c r="EQ30" i="25"/>
  <c r="EU30" i="25" s="1"/>
  <c r="CL30" i="25"/>
  <c r="CL105" i="25"/>
  <c r="FG105" i="25"/>
  <c r="EQ105" i="25"/>
  <c r="EU105" i="25" s="1"/>
  <c r="CX105" i="25"/>
  <c r="DP105" i="25"/>
  <c r="CX115" i="25"/>
  <c r="DP115" i="25"/>
  <c r="CL115" i="25"/>
  <c r="FG115" i="25"/>
  <c r="EQ115" i="25"/>
  <c r="EU115" i="25" s="1"/>
  <c r="EQ70" i="25"/>
  <c r="EU70" i="25" s="1"/>
  <c r="DP70" i="25"/>
  <c r="FG70" i="25"/>
  <c r="CX70" i="25"/>
  <c r="CL70" i="25"/>
  <c r="DP313" i="25"/>
  <c r="CL313" i="25"/>
  <c r="CX313" i="25"/>
  <c r="DP104" i="25"/>
  <c r="CL104" i="25"/>
  <c r="EQ104" i="25"/>
  <c r="EU104" i="25" s="1"/>
  <c r="FG104" i="25"/>
  <c r="CX104" i="25"/>
  <c r="CL46" i="25"/>
  <c r="CX46" i="25"/>
  <c r="DP46" i="25"/>
  <c r="EQ46" i="25"/>
  <c r="EU46" i="25" s="1"/>
  <c r="FG46" i="25"/>
  <c r="FG136" i="25"/>
  <c r="CL136" i="25"/>
  <c r="DP136" i="25"/>
  <c r="CX136" i="25"/>
  <c r="EQ136" i="25"/>
  <c r="EU136" i="25" s="1"/>
  <c r="CL45" i="25"/>
  <c r="EQ45" i="25"/>
  <c r="EU45" i="25" s="1"/>
  <c r="FG45" i="25"/>
  <c r="DP45" i="25"/>
  <c r="CX45" i="25"/>
  <c r="CL93" i="25"/>
  <c r="FG93" i="25"/>
  <c r="EQ93" i="25"/>
  <c r="EU93" i="25" s="1"/>
  <c r="DP93" i="25"/>
  <c r="CX93" i="25"/>
  <c r="FG142" i="25"/>
  <c r="DP142" i="25"/>
  <c r="CL142" i="25"/>
  <c r="EQ142" i="25"/>
  <c r="EU142" i="25" s="1"/>
  <c r="CX142" i="25"/>
  <c r="EQ122" i="25"/>
  <c r="EU122" i="25" s="1"/>
  <c r="DP122" i="25"/>
  <c r="CL122" i="25"/>
  <c r="FG122" i="25"/>
  <c r="CX122" i="25"/>
  <c r="DP257" i="25"/>
  <c r="CL257" i="25"/>
  <c r="CX257" i="25"/>
  <c r="EQ78" i="25"/>
  <c r="EU78" i="25" s="1"/>
  <c r="DP78" i="25"/>
  <c r="CL78" i="25"/>
  <c r="FG78" i="25"/>
  <c r="CX78" i="25"/>
  <c r="EQ209" i="25"/>
  <c r="EU209" i="25" s="1"/>
  <c r="FG209" i="25"/>
  <c r="DP209" i="25"/>
  <c r="CX209" i="25"/>
  <c r="CL209" i="25"/>
  <c r="EQ193" i="25"/>
  <c r="EU193" i="25" s="1"/>
  <c r="CL193" i="25"/>
  <c r="DP193" i="25"/>
  <c r="CX193" i="25"/>
  <c r="FG193" i="25"/>
  <c r="EQ172" i="25"/>
  <c r="EU172" i="25" s="1"/>
  <c r="CL172" i="25"/>
  <c r="FG172" i="25"/>
  <c r="CX172" i="25"/>
  <c r="DP172" i="25"/>
  <c r="CL247" i="25"/>
  <c r="DP247" i="25"/>
  <c r="CX247" i="25"/>
  <c r="CL308" i="25"/>
  <c r="CX308" i="25"/>
  <c r="DP308" i="25"/>
  <c r="FG190" i="25"/>
  <c r="CL190" i="25"/>
  <c r="EQ190" i="25"/>
  <c r="EU190" i="25" s="1"/>
  <c r="CX190" i="25"/>
  <c r="DP190" i="25"/>
  <c r="CL292" i="25"/>
  <c r="CX292" i="25"/>
  <c r="DP292" i="25"/>
  <c r="CL170" i="25"/>
  <c r="EQ170" i="25"/>
  <c r="EU170" i="25" s="1"/>
  <c r="CX170" i="25"/>
  <c r="DP170" i="25"/>
  <c r="FG170" i="25"/>
  <c r="CL246" i="25"/>
  <c r="DP246" i="25"/>
  <c r="CX246" i="25"/>
  <c r="EQ183" i="25"/>
  <c r="EU183" i="25" s="1"/>
  <c r="DP183" i="25"/>
  <c r="CX183" i="25"/>
  <c r="CL183" i="25"/>
  <c r="FG183" i="25"/>
  <c r="CL253" i="25"/>
  <c r="DP253" i="25"/>
  <c r="CX253" i="25"/>
  <c r="DP149" i="25"/>
  <c r="CL149" i="25"/>
  <c r="FG149" i="25"/>
  <c r="CX149" i="25"/>
  <c r="EQ149" i="25"/>
  <c r="EU149" i="25" s="1"/>
  <c r="CL198" i="25"/>
  <c r="FG198" i="25"/>
  <c r="DP198" i="25"/>
  <c r="CX198" i="25"/>
  <c r="EQ198" i="25"/>
  <c r="EU198" i="25" s="1"/>
  <c r="DP254" i="25"/>
  <c r="CL254" i="25"/>
  <c r="CX254" i="25"/>
  <c r="EQ147" i="25"/>
  <c r="EU147" i="25" s="1"/>
  <c r="CL147" i="25"/>
  <c r="FG147" i="25"/>
  <c r="DP147" i="25"/>
  <c r="CX147" i="25"/>
  <c r="EQ200" i="25"/>
  <c r="EU200" i="25" s="1"/>
  <c r="DP200" i="25"/>
  <c r="CL200" i="25"/>
  <c r="FG200" i="25"/>
  <c r="CX200" i="25"/>
  <c r="DP259" i="25"/>
  <c r="CL259" i="25"/>
  <c r="CX259" i="25"/>
  <c r="CY259" i="25" s="1"/>
  <c r="CU19" i="25"/>
  <c r="CV19" i="25"/>
  <c r="CW19" i="25"/>
  <c r="CO19" i="25" s="1"/>
  <c r="CU272" i="25"/>
  <c r="CW272" i="25"/>
  <c r="CO272" i="25" s="1"/>
  <c r="CV272" i="25"/>
  <c r="CU307" i="25"/>
  <c r="CV307" i="25"/>
  <c r="CW307" i="25"/>
  <c r="CO307" i="25" s="1"/>
  <c r="CV186" i="25"/>
  <c r="CU186" i="25"/>
  <c r="CW186" i="25"/>
  <c r="CO186" i="25" s="1"/>
  <c r="CW218" i="25"/>
  <c r="CO218" i="25" s="1"/>
  <c r="CV218" i="25"/>
  <c r="CU218" i="25"/>
  <c r="CV274" i="25"/>
  <c r="CU274" i="25"/>
  <c r="CW274" i="25"/>
  <c r="CO274" i="25" s="1"/>
  <c r="CV161" i="25"/>
  <c r="CU161" i="25"/>
  <c r="CW161" i="25"/>
  <c r="CO161" i="25" s="1"/>
  <c r="CU301" i="25"/>
  <c r="CW301" i="25"/>
  <c r="CO301" i="25" s="1"/>
  <c r="CV301" i="25"/>
  <c r="CV28" i="25"/>
  <c r="CU28" i="25"/>
  <c r="CW28" i="25"/>
  <c r="CO28" i="25" s="1"/>
  <c r="CV270" i="25"/>
  <c r="CU270" i="25"/>
  <c r="CW270" i="25"/>
  <c r="CO270" i="25" s="1"/>
  <c r="CW86" i="25"/>
  <c r="CO86" i="25" s="1"/>
  <c r="CV86" i="25"/>
  <c r="CU86" i="25"/>
  <c r="CV151" i="25"/>
  <c r="CU151" i="25"/>
  <c r="CW151" i="25"/>
  <c r="CO151" i="25" s="1"/>
  <c r="CU298" i="25"/>
  <c r="CW298" i="25"/>
  <c r="CO298" i="25" s="1"/>
  <c r="CV298" i="25"/>
  <c r="CW305" i="25"/>
  <c r="CO305" i="25" s="1"/>
  <c r="CU305" i="25"/>
  <c r="CV305" i="25"/>
  <c r="CW255" i="25"/>
  <c r="CO255" i="25" s="1"/>
  <c r="CU255" i="25"/>
  <c r="CV255" i="25"/>
  <c r="CW312" i="25"/>
  <c r="CO312" i="25" s="1"/>
  <c r="CV312" i="25"/>
  <c r="CU312" i="25"/>
  <c r="CU287" i="25"/>
  <c r="CV287" i="25"/>
  <c r="CW287" i="25"/>
  <c r="CO287" i="25" s="1"/>
  <c r="CV66" i="25"/>
  <c r="CU66" i="25"/>
  <c r="CW66" i="25"/>
  <c r="CO66" i="25" s="1"/>
  <c r="CW121" i="25"/>
  <c r="CO121" i="25" s="1"/>
  <c r="CU121" i="25"/>
  <c r="CV121" i="25"/>
  <c r="CW16" i="25"/>
  <c r="CO16" i="25" s="1"/>
  <c r="CU16" i="25"/>
  <c r="CV16" i="25"/>
  <c r="CW68" i="25"/>
  <c r="CO68" i="25" s="1"/>
  <c r="CU68" i="25"/>
  <c r="CV68" i="25"/>
  <c r="CW141" i="25"/>
  <c r="CO141" i="25" s="1"/>
  <c r="CV141" i="25"/>
  <c r="CU141" i="25"/>
  <c r="CW136" i="25"/>
  <c r="CO136" i="25" s="1"/>
  <c r="CV136" i="25"/>
  <c r="CU136" i="25"/>
  <c r="CW149" i="25"/>
  <c r="CO149" i="25" s="1"/>
  <c r="CU149" i="25"/>
  <c r="CV149" i="25"/>
  <c r="CV229" i="25"/>
  <c r="CU229" i="25"/>
  <c r="CW229" i="25"/>
  <c r="CO229" i="25" s="1"/>
  <c r="CW148" i="25"/>
  <c r="CO148" i="25" s="1"/>
  <c r="CV148" i="25"/>
  <c r="CU148" i="25"/>
  <c r="CW6" i="25"/>
  <c r="CO6" i="25" s="1"/>
  <c r="CV6" i="25"/>
  <c r="CU6" i="25"/>
  <c r="FD6" i="25"/>
  <c r="DS6" i="25"/>
  <c r="CW18" i="25"/>
  <c r="CO18" i="25" s="1"/>
  <c r="CV18" i="25"/>
  <c r="CU18" i="25"/>
  <c r="CV75" i="25"/>
  <c r="CU75" i="25"/>
  <c r="CW75" i="25"/>
  <c r="CO75" i="25" s="1"/>
  <c r="CU247" i="25"/>
  <c r="CV247" i="25"/>
  <c r="CW247" i="25"/>
  <c r="CO247" i="25" s="1"/>
  <c r="CW130" i="25"/>
  <c r="CO130" i="25" s="1"/>
  <c r="CV130" i="25"/>
  <c r="CU130" i="25"/>
  <c r="CV165" i="25"/>
  <c r="CW165" i="25"/>
  <c r="CO165" i="25" s="1"/>
  <c r="CU165" i="25"/>
  <c r="CW184" i="25"/>
  <c r="CO184" i="25" s="1"/>
  <c r="CV184" i="25"/>
  <c r="CU184" i="25"/>
  <c r="CW279" i="25"/>
  <c r="CO279" i="25" s="1"/>
  <c r="CU279" i="25"/>
  <c r="CV279" i="25"/>
  <c r="CV209" i="25"/>
  <c r="CU209" i="25"/>
  <c r="CW209" i="25"/>
  <c r="CO209" i="25" s="1"/>
  <c r="CV256" i="25"/>
  <c r="CU256" i="25"/>
  <c r="CW256" i="25"/>
  <c r="CO256" i="25" s="1"/>
  <c r="CV264" i="25"/>
  <c r="CU264" i="25"/>
  <c r="CW264" i="25"/>
  <c r="CO264" i="25" s="1"/>
  <c r="CW196" i="25"/>
  <c r="CO196" i="25" s="1"/>
  <c r="CV196" i="25"/>
  <c r="CU196" i="25"/>
  <c r="DP230" i="25"/>
  <c r="CL230" i="25"/>
  <c r="CX230" i="25"/>
  <c r="FG137" i="25"/>
  <c r="CL137" i="25"/>
  <c r="DP137" i="25"/>
  <c r="EQ137" i="25"/>
  <c r="EU137" i="25" s="1"/>
  <c r="CX137" i="25"/>
  <c r="CL228" i="25"/>
  <c r="DP228" i="25"/>
  <c r="CX228" i="25"/>
  <c r="DP300" i="25"/>
  <c r="CL300" i="25"/>
  <c r="CX300" i="25"/>
  <c r="CY300" i="25" s="1"/>
  <c r="CW11" i="25"/>
  <c r="CO11" i="25" s="1"/>
  <c r="CV11" i="25"/>
  <c r="CU11" i="25"/>
  <c r="CV227" i="25"/>
  <c r="CU227" i="25"/>
  <c r="CW227" i="25"/>
  <c r="CO227" i="25" s="1"/>
  <c r="CV30" i="25"/>
  <c r="CW30" i="25"/>
  <c r="CO30" i="25" s="1"/>
  <c r="CU30" i="25"/>
  <c r="CL19" i="25"/>
  <c r="EQ19" i="25"/>
  <c r="EU19" i="25" s="1"/>
  <c r="DP19" i="25"/>
  <c r="FG19" i="25"/>
  <c r="CX19" i="25"/>
  <c r="CY19" i="25" s="1"/>
  <c r="FG133" i="25"/>
  <c r="DP133" i="25"/>
  <c r="CL133" i="25"/>
  <c r="EQ133" i="25"/>
  <c r="EU133" i="25" s="1"/>
  <c r="CX133" i="25"/>
  <c r="CX98" i="25"/>
  <c r="FG98" i="25"/>
  <c r="CL98" i="25"/>
  <c r="EQ98" i="25"/>
  <c r="EU98" i="25" s="1"/>
  <c r="DP98" i="25"/>
  <c r="DP72" i="25"/>
  <c r="CL72" i="25"/>
  <c r="EQ72" i="25"/>
  <c r="EU72" i="25" s="1"/>
  <c r="FG72" i="25"/>
  <c r="CX72" i="25"/>
  <c r="FG77" i="25"/>
  <c r="CL77" i="25"/>
  <c r="EQ77" i="25"/>
  <c r="EU77" i="25" s="1"/>
  <c r="DP77" i="25"/>
  <c r="CX77" i="25"/>
  <c r="FG141" i="25"/>
  <c r="DP141" i="25"/>
  <c r="CL141" i="25"/>
  <c r="EQ141" i="25"/>
  <c r="EU141" i="25" s="1"/>
  <c r="CX141" i="25"/>
  <c r="CL41" i="25"/>
  <c r="EQ41" i="25"/>
  <c r="EU41" i="25" s="1"/>
  <c r="FG41" i="25"/>
  <c r="DP41" i="25"/>
  <c r="CX41" i="25"/>
  <c r="EQ111" i="25"/>
  <c r="EU111" i="25" s="1"/>
  <c r="DP111" i="25"/>
  <c r="CL111" i="25"/>
  <c r="FG111" i="25"/>
  <c r="CX111" i="25"/>
  <c r="DP258" i="25"/>
  <c r="CL258" i="25"/>
  <c r="CX258" i="25"/>
  <c r="EQ75" i="25"/>
  <c r="EU75" i="25" s="1"/>
  <c r="FG75" i="25"/>
  <c r="CX75" i="25"/>
  <c r="CL75" i="25"/>
  <c r="DP75" i="25"/>
  <c r="DP51" i="25"/>
  <c r="CL51" i="25"/>
  <c r="FG51" i="25"/>
  <c r="EQ51" i="25"/>
  <c r="EU51" i="25" s="1"/>
  <c r="CX51" i="25"/>
  <c r="CY51" i="25" s="1"/>
  <c r="FG138" i="25"/>
  <c r="DP138" i="25"/>
  <c r="CL138" i="25"/>
  <c r="EQ138" i="25"/>
  <c r="EU138" i="25" s="1"/>
  <c r="CX138" i="25"/>
  <c r="DP52" i="25"/>
  <c r="CL52" i="25"/>
  <c r="EQ52" i="25"/>
  <c r="EU52" i="25" s="1"/>
  <c r="FG52" i="25"/>
  <c r="CX52" i="25"/>
  <c r="FG150" i="25"/>
  <c r="CL150" i="25"/>
  <c r="EQ150" i="25"/>
  <c r="EU150" i="25" s="1"/>
  <c r="DP150" i="25"/>
  <c r="CX150" i="25"/>
  <c r="FG50" i="25"/>
  <c r="CX50" i="25"/>
  <c r="DP50" i="25"/>
  <c r="EQ50" i="25"/>
  <c r="EU50" i="25" s="1"/>
  <c r="CL50" i="25"/>
  <c r="CL94" i="25"/>
  <c r="DP94" i="25"/>
  <c r="FG94" i="25"/>
  <c r="EQ94" i="25"/>
  <c r="EU94" i="25" s="1"/>
  <c r="CX94" i="25"/>
  <c r="EQ174" i="25"/>
  <c r="EU174" i="25" s="1"/>
  <c r="DP174" i="25"/>
  <c r="CX174" i="25"/>
  <c r="FG174" i="25"/>
  <c r="CL174" i="25"/>
  <c r="DP123" i="25"/>
  <c r="CL123" i="25"/>
  <c r="EQ123" i="25"/>
  <c r="EU123" i="25" s="1"/>
  <c r="CX123" i="25"/>
  <c r="FG123" i="25"/>
  <c r="CL293" i="25"/>
  <c r="CX293" i="25"/>
  <c r="DP293" i="25"/>
  <c r="EQ118" i="25"/>
  <c r="EU118" i="25" s="1"/>
  <c r="DP118" i="25"/>
  <c r="CX118" i="25"/>
  <c r="CL118" i="25"/>
  <c r="FG118" i="25"/>
  <c r="DP224" i="25"/>
  <c r="CL224" i="25"/>
  <c r="CX224" i="25"/>
  <c r="CL222" i="25"/>
  <c r="DP222" i="25"/>
  <c r="CX222" i="25"/>
  <c r="DP202" i="25"/>
  <c r="CL202" i="25"/>
  <c r="CX202" i="25"/>
  <c r="FG202" i="25"/>
  <c r="EQ202" i="25"/>
  <c r="EU202" i="25" s="1"/>
  <c r="CL270" i="25"/>
  <c r="DP270" i="25"/>
  <c r="CX270" i="25"/>
  <c r="CY270" i="25" s="1"/>
  <c r="FG159" i="25"/>
  <c r="CL159" i="25"/>
  <c r="DP159" i="25"/>
  <c r="EQ159" i="25"/>
  <c r="EU159" i="25" s="1"/>
  <c r="CX159" i="25"/>
  <c r="CL229" i="25"/>
  <c r="CX229" i="25"/>
  <c r="DP229" i="25"/>
  <c r="DP296" i="25"/>
  <c r="CX296" i="25"/>
  <c r="CL296" i="25"/>
  <c r="FG191" i="25"/>
  <c r="DP191" i="25"/>
  <c r="CX191" i="25"/>
  <c r="EQ191" i="25"/>
  <c r="EU191" i="25" s="1"/>
  <c r="CL191" i="25"/>
  <c r="CL301" i="25"/>
  <c r="DP301" i="25"/>
  <c r="CX301" i="25"/>
  <c r="DP187" i="25"/>
  <c r="FG187" i="25"/>
  <c r="EQ187" i="25"/>
  <c r="EU187" i="25" s="1"/>
  <c r="CL187" i="25"/>
  <c r="CX187" i="25"/>
  <c r="DP260" i="25"/>
  <c r="CX260" i="25"/>
  <c r="CL260" i="25"/>
  <c r="FG155" i="25"/>
  <c r="CL155" i="25"/>
  <c r="DP155" i="25"/>
  <c r="EQ155" i="25"/>
  <c r="EU155" i="25" s="1"/>
  <c r="CX155" i="25"/>
  <c r="CY155" i="25" s="1"/>
  <c r="DP205" i="25"/>
  <c r="CX205" i="25"/>
  <c r="FG205" i="25"/>
  <c r="CL205" i="25"/>
  <c r="EQ205" i="25"/>
  <c r="EU205" i="25" s="1"/>
  <c r="DP255" i="25"/>
  <c r="CX255" i="25"/>
  <c r="CL255" i="25"/>
  <c r="DP167" i="25"/>
  <c r="CL167" i="25"/>
  <c r="CX167" i="25"/>
  <c r="FG167" i="25"/>
  <c r="EQ167" i="25"/>
  <c r="EU167" i="25" s="1"/>
  <c r="EQ207" i="25"/>
  <c r="EU207" i="25" s="1"/>
  <c r="CX207" i="25"/>
  <c r="CY207" i="25" s="1"/>
  <c r="CL207" i="25"/>
  <c r="FG207" i="25"/>
  <c r="DP207" i="25"/>
  <c r="DP263" i="25"/>
  <c r="CX263" i="25"/>
  <c r="CL263" i="25"/>
  <c r="CV24" i="25"/>
  <c r="CU24" i="25"/>
  <c r="CW24" i="25"/>
  <c r="CO24" i="25" s="1"/>
  <c r="CW93" i="25"/>
  <c r="CO93" i="25" s="1"/>
  <c r="CV93" i="25"/>
  <c r="CU93" i="25"/>
  <c r="CV104" i="25"/>
  <c r="CU104" i="25"/>
  <c r="CW104" i="25"/>
  <c r="CO104" i="25" s="1"/>
  <c r="CV85" i="25"/>
  <c r="CU85" i="25"/>
  <c r="CW85" i="25"/>
  <c r="CO85" i="25" s="1"/>
  <c r="CU244" i="25"/>
  <c r="CW244" i="25"/>
  <c r="CO244" i="25" s="1"/>
  <c r="CV244" i="25"/>
  <c r="CW59" i="25"/>
  <c r="CO59" i="25" s="1"/>
  <c r="CV59" i="25"/>
  <c r="CU59" i="25"/>
  <c r="CV232" i="25"/>
  <c r="CU232" i="25"/>
  <c r="CW232" i="25"/>
  <c r="CO232" i="25" s="1"/>
  <c r="CU248" i="25"/>
  <c r="CW248" i="25"/>
  <c r="CO248" i="25" s="1"/>
  <c r="CV248" i="25"/>
  <c r="CV51" i="25"/>
  <c r="CU51" i="25"/>
  <c r="CW51" i="25"/>
  <c r="CO51" i="25" s="1"/>
  <c r="CW234" i="25"/>
  <c r="CO234" i="25" s="1"/>
  <c r="CV234" i="25"/>
  <c r="CU234" i="25"/>
  <c r="CU157" i="25"/>
  <c r="CV157" i="25"/>
  <c r="CW157" i="25"/>
  <c r="CO157" i="25" s="1"/>
  <c r="CU290" i="25"/>
  <c r="CW290" i="25"/>
  <c r="CO290" i="25" s="1"/>
  <c r="CV290" i="25"/>
  <c r="CV226" i="25"/>
  <c r="CU226" i="25"/>
  <c r="CW226" i="25"/>
  <c r="CO226" i="25" s="1"/>
  <c r="CV266" i="25"/>
  <c r="CW266" i="25"/>
  <c r="CO266" i="25" s="1"/>
  <c r="CU266" i="25"/>
  <c r="CV257" i="25"/>
  <c r="CU257" i="25"/>
  <c r="CW257" i="25"/>
  <c r="CO257" i="25" s="1"/>
  <c r="CW304" i="25"/>
  <c r="CO304" i="25" s="1"/>
  <c r="CV304" i="25"/>
  <c r="CU304" i="25"/>
  <c r="CU217" i="25"/>
  <c r="CV217" i="25"/>
  <c r="CW217" i="25"/>
  <c r="CO217" i="25" s="1"/>
  <c r="CU29" i="25"/>
  <c r="CW29" i="25"/>
  <c r="CO29" i="25" s="1"/>
  <c r="CV29" i="25"/>
  <c r="CW50" i="25"/>
  <c r="CO50" i="25" s="1"/>
  <c r="CU50" i="25"/>
  <c r="CV50" i="25"/>
  <c r="CW282" i="25"/>
  <c r="CO282" i="25" s="1"/>
  <c r="CU282" i="25"/>
  <c r="CV282" i="25"/>
  <c r="CV207" i="25"/>
  <c r="CU207" i="25"/>
  <c r="CW207" i="25"/>
  <c r="CO207" i="25" s="1"/>
  <c r="CW249" i="25"/>
  <c r="CO249" i="25" s="1"/>
  <c r="CU249" i="25"/>
  <c r="CV249" i="25"/>
  <c r="CV81" i="25"/>
  <c r="CW81" i="25"/>
  <c r="CO81" i="25" s="1"/>
  <c r="CU81" i="25"/>
  <c r="CW252" i="25"/>
  <c r="CO252" i="25" s="1"/>
  <c r="CV252" i="25"/>
  <c r="CU252" i="25"/>
  <c r="CW286" i="25"/>
  <c r="CO286" i="25" s="1"/>
  <c r="CU286" i="25"/>
  <c r="CV286" i="25"/>
  <c r="CV14" i="25"/>
  <c r="CW14" i="25"/>
  <c r="CO14" i="25" s="1"/>
  <c r="CU14" i="25"/>
  <c r="CW26" i="25"/>
  <c r="CO26" i="25" s="1"/>
  <c r="CV26" i="25"/>
  <c r="CU26" i="25"/>
  <c r="CW53" i="25"/>
  <c r="CO53" i="25" s="1"/>
  <c r="CU53" i="25"/>
  <c r="CV53" i="25"/>
  <c r="CW269" i="25"/>
  <c r="CO269" i="25" s="1"/>
  <c r="CU269" i="25"/>
  <c r="CV269" i="25"/>
  <c r="CV38" i="25"/>
  <c r="CU38" i="25"/>
  <c r="CW38" i="25"/>
  <c r="CO38" i="25" s="1"/>
  <c r="CU60" i="25"/>
  <c r="CV60" i="25"/>
  <c r="CW60" i="25"/>
  <c r="CO60" i="25" s="1"/>
  <c r="CW188" i="25"/>
  <c r="CO188" i="25" s="1"/>
  <c r="CV188" i="25"/>
  <c r="CU188" i="25"/>
  <c r="CW289" i="25"/>
  <c r="CO289" i="25" s="1"/>
  <c r="CV289" i="25"/>
  <c r="CU289" i="25"/>
  <c r="CV237" i="25"/>
  <c r="CU237" i="25"/>
  <c r="CW237" i="25"/>
  <c r="CO237" i="25" s="1"/>
  <c r="CV299" i="25"/>
  <c r="CU299" i="25"/>
  <c r="CW299" i="25"/>
  <c r="CO299" i="25" s="1"/>
  <c r="CU277" i="25"/>
  <c r="CW277" i="25"/>
  <c r="CO277" i="25" s="1"/>
  <c r="CV277" i="25"/>
  <c r="CW206" i="25"/>
  <c r="CO206" i="25" s="1"/>
  <c r="CV206" i="25"/>
  <c r="CU206" i="25"/>
  <c r="DP240" i="25"/>
  <c r="CL240" i="25"/>
  <c r="CX240" i="25"/>
  <c r="DP16" i="25"/>
  <c r="FG16" i="25"/>
  <c r="EQ16" i="25"/>
  <c r="EU16" i="25" s="1"/>
  <c r="CX16" i="25"/>
  <c r="CL16" i="25"/>
  <c r="EQ91" i="25"/>
  <c r="EU91" i="25" s="1"/>
  <c r="CL91" i="25"/>
  <c r="FG91" i="25"/>
  <c r="CX91" i="25"/>
  <c r="DP91" i="25"/>
  <c r="CL102" i="25"/>
  <c r="DP102" i="25"/>
  <c r="EQ102" i="25"/>
  <c r="EU102" i="25" s="1"/>
  <c r="FG102" i="25"/>
  <c r="CX102" i="25"/>
  <c r="DP288" i="25"/>
  <c r="CL288" i="25"/>
  <c r="CX288" i="25"/>
  <c r="CX219" i="25"/>
  <c r="DP219" i="25"/>
  <c r="CL219" i="25"/>
  <c r="CL152" i="25"/>
  <c r="FG152" i="25"/>
  <c r="EQ152" i="25"/>
  <c r="EU152" i="25" s="1"/>
  <c r="DP152" i="25"/>
  <c r="CX152" i="25"/>
  <c r="EQ192" i="25"/>
  <c r="EU192" i="25" s="1"/>
  <c r="FG192" i="25"/>
  <c r="CX192" i="25"/>
  <c r="CL192" i="25"/>
  <c r="DP192" i="25"/>
  <c r="CW23" i="25"/>
  <c r="CO23" i="25" s="1"/>
  <c r="CV23" i="25"/>
  <c r="CU23" i="25"/>
  <c r="CV41" i="25"/>
  <c r="CW41" i="25"/>
  <c r="CO41" i="25" s="1"/>
  <c r="CU41" i="25"/>
  <c r="CW15" i="25"/>
  <c r="CO15" i="25" s="1"/>
  <c r="CV15" i="25"/>
  <c r="CU15" i="25"/>
  <c r="CV58" i="25"/>
  <c r="CU58" i="25"/>
  <c r="CW58" i="25"/>
  <c r="CO58" i="25" s="1"/>
  <c r="CW91" i="25"/>
  <c r="CO91" i="25" s="1"/>
  <c r="CU91" i="25"/>
  <c r="CV91" i="25"/>
  <c r="CU95" i="25"/>
  <c r="CW95" i="25"/>
  <c r="CO95" i="25" s="1"/>
  <c r="CV95" i="25"/>
  <c r="CU132" i="25"/>
  <c r="CW132" i="25"/>
  <c r="CO132" i="25" s="1"/>
  <c r="CV132" i="25"/>
  <c r="CU105" i="25"/>
  <c r="CW105" i="25"/>
  <c r="CO105" i="25" s="1"/>
  <c r="CV105" i="25"/>
  <c r="CU102" i="25"/>
  <c r="CV102" i="25"/>
  <c r="CW102" i="25"/>
  <c r="CO102" i="25" s="1"/>
  <c r="CW166" i="25"/>
  <c r="CO166" i="25" s="1"/>
  <c r="CU166" i="25"/>
  <c r="CV166" i="25"/>
  <c r="FG26" i="25"/>
  <c r="CX26" i="25"/>
  <c r="DP26" i="25"/>
  <c r="CL26" i="25"/>
  <c r="EQ26" i="25"/>
  <c r="EU26" i="25" s="1"/>
  <c r="FG160" i="25"/>
  <c r="CL160" i="25"/>
  <c r="CX160" i="25"/>
  <c r="DP160" i="25"/>
  <c r="EQ160" i="25"/>
  <c r="EU160" i="25" s="1"/>
  <c r="EQ113" i="25"/>
  <c r="EU113" i="25" s="1"/>
  <c r="CL113" i="25"/>
  <c r="FG113" i="25"/>
  <c r="CX113" i="25"/>
  <c r="DP113" i="25"/>
  <c r="EQ83" i="25"/>
  <c r="EU83" i="25" s="1"/>
  <c r="CL83" i="25"/>
  <c r="DP83" i="25"/>
  <c r="FG83" i="25"/>
  <c r="CX83" i="25"/>
  <c r="CL97" i="25"/>
  <c r="DP97" i="25"/>
  <c r="EQ97" i="25"/>
  <c r="EU97" i="25" s="1"/>
  <c r="FG97" i="25"/>
  <c r="CX97" i="25"/>
  <c r="EQ31" i="25"/>
  <c r="EU31" i="25" s="1"/>
  <c r="CL31" i="25"/>
  <c r="FG31" i="25"/>
  <c r="DP31" i="25"/>
  <c r="CX31" i="25"/>
  <c r="EQ35" i="25"/>
  <c r="EU35" i="25" s="1"/>
  <c r="CL35" i="25"/>
  <c r="DP35" i="25"/>
  <c r="CX35" i="25"/>
  <c r="FG35" i="25"/>
  <c r="EQ116" i="25"/>
  <c r="EU116" i="25" s="1"/>
  <c r="DP116" i="25"/>
  <c r="CL116" i="25"/>
  <c r="FG116" i="25"/>
  <c r="CX116" i="25"/>
  <c r="DP10" i="25"/>
  <c r="FG10" i="25"/>
  <c r="CL10" i="25"/>
  <c r="CX10" i="25"/>
  <c r="EQ10" i="25"/>
  <c r="EU10" i="25" s="1"/>
  <c r="EQ80" i="25"/>
  <c r="EU80" i="25" s="1"/>
  <c r="DP80" i="25"/>
  <c r="CL80" i="25"/>
  <c r="FG80" i="25"/>
  <c r="CX80" i="25"/>
  <c r="EQ53" i="25"/>
  <c r="EU53" i="25" s="1"/>
  <c r="CL53" i="25"/>
  <c r="DP53" i="25"/>
  <c r="CX53" i="25"/>
  <c r="FG53" i="25"/>
  <c r="EQ144" i="25"/>
  <c r="EU144" i="25" s="1"/>
  <c r="FG144" i="25"/>
  <c r="DP144" i="25"/>
  <c r="CL144" i="25"/>
  <c r="CX144" i="25"/>
  <c r="EQ62" i="25"/>
  <c r="EU62" i="25" s="1"/>
  <c r="DP62" i="25"/>
  <c r="FG62" i="25"/>
  <c r="CX62" i="25"/>
  <c r="CL62" i="25"/>
  <c r="DP265" i="25"/>
  <c r="CL265" i="25"/>
  <c r="CX265" i="25"/>
  <c r="CY265" i="25" s="1"/>
  <c r="FG54" i="25"/>
  <c r="CX54" i="25"/>
  <c r="DP54" i="25"/>
  <c r="CL54" i="25"/>
  <c r="EQ54" i="25"/>
  <c r="EU54" i="25" s="1"/>
  <c r="CL99" i="25"/>
  <c r="DP99" i="25"/>
  <c r="FG99" i="25"/>
  <c r="EQ99" i="25"/>
  <c r="EU99" i="25" s="1"/>
  <c r="CX99" i="25"/>
  <c r="DP201" i="25"/>
  <c r="CL201" i="25"/>
  <c r="FG201" i="25"/>
  <c r="CX201" i="25"/>
  <c r="EQ201" i="25"/>
  <c r="EU201" i="25" s="1"/>
  <c r="EQ127" i="25"/>
  <c r="EU127" i="25" s="1"/>
  <c r="CL127" i="25"/>
  <c r="FG127" i="25"/>
  <c r="DP127" i="25"/>
  <c r="CX127" i="25"/>
  <c r="DP304" i="25"/>
  <c r="CL304" i="25"/>
  <c r="CX304" i="25"/>
  <c r="CX120" i="25"/>
  <c r="CL120" i="25"/>
  <c r="FG120" i="25"/>
  <c r="DP120" i="25"/>
  <c r="EQ120" i="25"/>
  <c r="EU120" i="25" s="1"/>
  <c r="CX264" i="25"/>
  <c r="DP264" i="25"/>
  <c r="CL264" i="25"/>
  <c r="CX249" i="25"/>
  <c r="CL249" i="25"/>
  <c r="DP249" i="25"/>
  <c r="FG206" i="25"/>
  <c r="DP206" i="25"/>
  <c r="CL206" i="25"/>
  <c r="EQ206" i="25"/>
  <c r="EU206" i="25" s="1"/>
  <c r="CX206" i="25"/>
  <c r="CL273" i="25"/>
  <c r="DP273" i="25"/>
  <c r="CX273" i="25"/>
  <c r="FG162" i="25"/>
  <c r="CL162" i="25"/>
  <c r="DP162" i="25"/>
  <c r="EQ162" i="25"/>
  <c r="EU162" i="25" s="1"/>
  <c r="CX162" i="25"/>
  <c r="CY162" i="25" s="1"/>
  <c r="CL248" i="25"/>
  <c r="DP248" i="25"/>
  <c r="CX248" i="25"/>
  <c r="CL297" i="25"/>
  <c r="CX297" i="25"/>
  <c r="DP297" i="25"/>
  <c r="DP221" i="25"/>
  <c r="CL221" i="25"/>
  <c r="CX221" i="25"/>
  <c r="CX303" i="25"/>
  <c r="DP303" i="25"/>
  <c r="CL303" i="25"/>
  <c r="CX203" i="25"/>
  <c r="FG203" i="25"/>
  <c r="CL203" i="25"/>
  <c r="EQ203" i="25"/>
  <c r="EU203" i="25" s="1"/>
  <c r="DP203" i="25"/>
  <c r="DP268" i="25"/>
  <c r="CX268" i="25"/>
  <c r="CL268" i="25"/>
  <c r="FG158" i="25"/>
  <c r="CL158" i="25"/>
  <c r="EQ158" i="25"/>
  <c r="EU158" i="25" s="1"/>
  <c r="DP158" i="25"/>
  <c r="CX158" i="25"/>
  <c r="CX218" i="25"/>
  <c r="DP218" i="25"/>
  <c r="CL218" i="25"/>
  <c r="DP267" i="25"/>
  <c r="CL267" i="25"/>
  <c r="CX267" i="25"/>
  <c r="EQ178" i="25"/>
  <c r="EU178" i="25" s="1"/>
  <c r="FG178" i="25"/>
  <c r="CL178" i="25"/>
  <c r="DP178" i="25"/>
  <c r="CX178" i="25"/>
  <c r="FG210" i="25"/>
  <c r="EQ210" i="25"/>
  <c r="EU210" i="25" s="1"/>
  <c r="DP210" i="25"/>
  <c r="CL210" i="25"/>
  <c r="CX210" i="25"/>
  <c r="CX278" i="25"/>
  <c r="DP278" i="25"/>
  <c r="CL278" i="25"/>
  <c r="CW302" i="25"/>
  <c r="CO302" i="25" s="1"/>
  <c r="CU302" i="25"/>
  <c r="CV302" i="25"/>
  <c r="CU228" i="25"/>
  <c r="CW228" i="25"/>
  <c r="CO228" i="25" s="1"/>
  <c r="CV228" i="25"/>
  <c r="CU314" i="25"/>
  <c r="CW314" i="25"/>
  <c r="CO314" i="25" s="1"/>
  <c r="CV314" i="25"/>
  <c r="CW78" i="25"/>
  <c r="CO78" i="25" s="1"/>
  <c r="CV78" i="25"/>
  <c r="CU78" i="25"/>
  <c r="CW40" i="25"/>
  <c r="CO40" i="25" s="1"/>
  <c r="CV40" i="25"/>
  <c r="CU40" i="25"/>
  <c r="CW47" i="25"/>
  <c r="CO47" i="25" s="1"/>
  <c r="CV47" i="25"/>
  <c r="CU47" i="25"/>
  <c r="CV308" i="25"/>
  <c r="CW308" i="25"/>
  <c r="CO308" i="25" s="1"/>
  <c r="CU308" i="25"/>
  <c r="CW27" i="25"/>
  <c r="CO27" i="25" s="1"/>
  <c r="CV27" i="25"/>
  <c r="CU27" i="25"/>
  <c r="CU210" i="25"/>
  <c r="CW210" i="25"/>
  <c r="CO210" i="25" s="1"/>
  <c r="CV210" i="25"/>
  <c r="CV220" i="25"/>
  <c r="CW220" i="25"/>
  <c r="CO220" i="25" s="1"/>
  <c r="CU220" i="25"/>
  <c r="CV267" i="25"/>
  <c r="CW267" i="25"/>
  <c r="CO267" i="25" s="1"/>
  <c r="CU267" i="25"/>
  <c r="CU7" i="25"/>
  <c r="CW7" i="25"/>
  <c r="CO7" i="25" s="1"/>
  <c r="CV7" i="25"/>
  <c r="DS7" i="25"/>
  <c r="CV32" i="25"/>
  <c r="CU32" i="25"/>
  <c r="CW32" i="25"/>
  <c r="CO32" i="25" s="1"/>
  <c r="CV254" i="25"/>
  <c r="CW254" i="25"/>
  <c r="CO254" i="25" s="1"/>
  <c r="CU254" i="25"/>
  <c r="CU79" i="25"/>
  <c r="CW79" i="25"/>
  <c r="CO79" i="25" s="1"/>
  <c r="CV79" i="25"/>
  <c r="CV276" i="25"/>
  <c r="CU276" i="25"/>
  <c r="CW276" i="25"/>
  <c r="CO276" i="25" s="1"/>
  <c r="CV200" i="25"/>
  <c r="CW200" i="25"/>
  <c r="CO200" i="25" s="1"/>
  <c r="CU200" i="25"/>
  <c r="CU42" i="25"/>
  <c r="CV42" i="25"/>
  <c r="CW42" i="25"/>
  <c r="CO42" i="25" s="1"/>
  <c r="CW147" i="25"/>
  <c r="CO147" i="25" s="1"/>
  <c r="CV147" i="25"/>
  <c r="CU147" i="25"/>
  <c r="CW138" i="25"/>
  <c r="CO138" i="25" s="1"/>
  <c r="CV138" i="25"/>
  <c r="CU138" i="25"/>
  <c r="CW120" i="25"/>
  <c r="CO120" i="25" s="1"/>
  <c r="CV120" i="25"/>
  <c r="CU120" i="25"/>
  <c r="CV294" i="25"/>
  <c r="CW294" i="25"/>
  <c r="CO294" i="25" s="1"/>
  <c r="CU294" i="25"/>
  <c r="CW199" i="25"/>
  <c r="CO199" i="25" s="1"/>
  <c r="CV199" i="25"/>
  <c r="CU199" i="25"/>
  <c r="CW80" i="25"/>
  <c r="CO80" i="25" s="1"/>
  <c r="CU80" i="25"/>
  <c r="CV80" i="25"/>
  <c r="CU87" i="25"/>
  <c r="CW87" i="25"/>
  <c r="CO87" i="25" s="1"/>
  <c r="CV87" i="25"/>
  <c r="CU231" i="25"/>
  <c r="CW231" i="25"/>
  <c r="CO231" i="25" s="1"/>
  <c r="CV231" i="25"/>
  <c r="CW190" i="25"/>
  <c r="CO190" i="25" s="1"/>
  <c r="CV190" i="25"/>
  <c r="CU190" i="25"/>
  <c r="CU34" i="25"/>
  <c r="CW34" i="25"/>
  <c r="CO34" i="25" s="1"/>
  <c r="CV34" i="25"/>
  <c r="CU56" i="25"/>
  <c r="CV56" i="25"/>
  <c r="CW56" i="25"/>
  <c r="CO56" i="25" s="1"/>
  <c r="CW57" i="25"/>
  <c r="CO57" i="25" s="1"/>
  <c r="CV57" i="25"/>
  <c r="CU57" i="25"/>
  <c r="CV84" i="25"/>
  <c r="CW84" i="25"/>
  <c r="CO84" i="25" s="1"/>
  <c r="CU84" i="25"/>
  <c r="CW83" i="25"/>
  <c r="CO83" i="25" s="1"/>
  <c r="CU83" i="25"/>
  <c r="CV83" i="25"/>
  <c r="CW262" i="25"/>
  <c r="CO262" i="25" s="1"/>
  <c r="CV262" i="25"/>
  <c r="CU262" i="25"/>
  <c r="CW179" i="25"/>
  <c r="CO179" i="25" s="1"/>
  <c r="CU179" i="25"/>
  <c r="CV179" i="25"/>
  <c r="CU241" i="25"/>
  <c r="CW241" i="25"/>
  <c r="CO241" i="25" s="1"/>
  <c r="CV241" i="25"/>
  <c r="CV306" i="25"/>
  <c r="CW306" i="25"/>
  <c r="CO306" i="25" s="1"/>
  <c r="CU306" i="25"/>
  <c r="CW173" i="25"/>
  <c r="CO173" i="25" s="1"/>
  <c r="CU173" i="25"/>
  <c r="CV173" i="25"/>
  <c r="CW233" i="25"/>
  <c r="CO233" i="25" s="1"/>
  <c r="CV233" i="25"/>
  <c r="CU233" i="25"/>
  <c r="FG18" i="25"/>
  <c r="CX18" i="25"/>
  <c r="DP18" i="25"/>
  <c r="CL18" i="25"/>
  <c r="EQ18" i="25"/>
  <c r="EU18" i="25" s="1"/>
  <c r="DP234" i="25"/>
  <c r="CL234" i="25"/>
  <c r="CX234" i="25"/>
  <c r="CX316" i="25"/>
  <c r="CL316" i="25"/>
  <c r="DP316" i="25"/>
  <c r="DP44" i="25"/>
  <c r="EQ44" i="25"/>
  <c r="EU44" i="25" s="1"/>
  <c r="FG44" i="25"/>
  <c r="CL44" i="25"/>
  <c r="CX44" i="25"/>
  <c r="DP281" i="25"/>
  <c r="CX281" i="25"/>
  <c r="CL281" i="25"/>
  <c r="DP315" i="25"/>
  <c r="CX315" i="25"/>
  <c r="CL315" i="25"/>
  <c r="DP236" i="25"/>
  <c r="CL236" i="25"/>
  <c r="CX236" i="25"/>
  <c r="CY236" i="25" s="1"/>
  <c r="CU259" i="25"/>
  <c r="CV259" i="25"/>
  <c r="CW259" i="25"/>
  <c r="CO259" i="25" s="1"/>
  <c r="CW67" i="25"/>
  <c r="CO67" i="25" s="1"/>
  <c r="CV67" i="25"/>
  <c r="CU67" i="25"/>
  <c r="CU311" i="25"/>
  <c r="CW311" i="25"/>
  <c r="CO311" i="25" s="1"/>
  <c r="CV311" i="25"/>
  <c r="CW9" i="25"/>
  <c r="CO9" i="25" s="1"/>
  <c r="CV9" i="25"/>
  <c r="CU9" i="25"/>
  <c r="CV203" i="25"/>
  <c r="CW203" i="25"/>
  <c r="CO203" i="25" s="1"/>
  <c r="CU203" i="25"/>
  <c r="EQ76" i="25"/>
  <c r="EU76" i="25" s="1"/>
  <c r="FG76" i="25"/>
  <c r="CX76" i="25"/>
  <c r="DP76" i="25"/>
  <c r="CL76" i="25"/>
  <c r="FG163" i="25"/>
  <c r="CL163" i="25"/>
  <c r="DP163" i="25"/>
  <c r="EQ163" i="25"/>
  <c r="EU163" i="25" s="1"/>
  <c r="CX163" i="25"/>
  <c r="FG132" i="25"/>
  <c r="DP132" i="25"/>
  <c r="CL132" i="25"/>
  <c r="CX132" i="25"/>
  <c r="EQ132" i="25"/>
  <c r="EU132" i="25" s="1"/>
  <c r="FG131" i="25"/>
  <c r="DP131" i="25"/>
  <c r="CX131" i="25"/>
  <c r="CL131" i="25"/>
  <c r="EQ131" i="25"/>
  <c r="EU131" i="25" s="1"/>
  <c r="CL103" i="25"/>
  <c r="DP103" i="25"/>
  <c r="CX103" i="25"/>
  <c r="EQ103" i="25"/>
  <c r="EU103" i="25" s="1"/>
  <c r="FG103" i="25"/>
  <c r="EQ61" i="25"/>
  <c r="EU61" i="25" s="1"/>
  <c r="DP61" i="25"/>
  <c r="CX61" i="25"/>
  <c r="FG61" i="25"/>
  <c r="CL61" i="25"/>
  <c r="DP36" i="25"/>
  <c r="FG36" i="25"/>
  <c r="CL36" i="25"/>
  <c r="CX36" i="25"/>
  <c r="EQ36" i="25"/>
  <c r="EU36" i="25" s="1"/>
  <c r="FG135" i="25"/>
  <c r="DP135" i="25"/>
  <c r="CL135" i="25"/>
  <c r="EQ135" i="25"/>
  <c r="EU135" i="25" s="1"/>
  <c r="CX135" i="25"/>
  <c r="DP11" i="25"/>
  <c r="EQ11" i="25"/>
  <c r="EU11" i="25" s="1"/>
  <c r="CL11" i="25"/>
  <c r="FG11" i="25"/>
  <c r="CX11" i="25"/>
  <c r="EQ84" i="25"/>
  <c r="EU84" i="25" s="1"/>
  <c r="FG84" i="25"/>
  <c r="CL84" i="25"/>
  <c r="CX84" i="25"/>
  <c r="DP84" i="25"/>
  <c r="DP67" i="25"/>
  <c r="CL67" i="25"/>
  <c r="FG67" i="25"/>
  <c r="EQ67" i="25"/>
  <c r="EU67" i="25" s="1"/>
  <c r="CX67" i="25"/>
  <c r="FG196" i="25"/>
  <c r="EQ196" i="25"/>
  <c r="EU196" i="25" s="1"/>
  <c r="DP196" i="25"/>
  <c r="CL196" i="25"/>
  <c r="CX196" i="25"/>
  <c r="CL63" i="25"/>
  <c r="FG63" i="25"/>
  <c r="EQ63" i="25"/>
  <c r="EU63" i="25" s="1"/>
  <c r="DP63" i="25"/>
  <c r="CX63" i="25"/>
  <c r="CY63" i="25" s="1"/>
  <c r="CX286" i="25"/>
  <c r="CL286" i="25"/>
  <c r="DP286" i="25"/>
  <c r="DP56" i="25"/>
  <c r="EQ56" i="25"/>
  <c r="EU56" i="25" s="1"/>
  <c r="CX56" i="25"/>
  <c r="CL56" i="25"/>
  <c r="FG56" i="25"/>
  <c r="CL101" i="25"/>
  <c r="FG101" i="25"/>
  <c r="DP101" i="25"/>
  <c r="EQ101" i="25"/>
  <c r="EU101" i="25" s="1"/>
  <c r="CX101" i="25"/>
  <c r="DP312" i="25"/>
  <c r="CL312" i="25"/>
  <c r="CX312" i="25"/>
  <c r="FG134" i="25"/>
  <c r="DP134" i="25"/>
  <c r="CL134" i="25"/>
  <c r="CX134" i="25"/>
  <c r="EQ134" i="25"/>
  <c r="EU134" i="25" s="1"/>
  <c r="FG32" i="25"/>
  <c r="DP32" i="25"/>
  <c r="CL32" i="25"/>
  <c r="EQ32" i="25"/>
  <c r="EU32" i="25" s="1"/>
  <c r="CX32" i="25"/>
  <c r="DP124" i="25"/>
  <c r="CL124" i="25"/>
  <c r="EQ124" i="25"/>
  <c r="EU124" i="25" s="1"/>
  <c r="FG124" i="25"/>
  <c r="CX124" i="25"/>
  <c r="CL282" i="25"/>
  <c r="DP282" i="25"/>
  <c r="CX282" i="25"/>
  <c r="DP291" i="25"/>
  <c r="CX291" i="25"/>
  <c r="CL291" i="25"/>
  <c r="CL217" i="25"/>
  <c r="CX217" i="25"/>
  <c r="DP217" i="25"/>
  <c r="CL274" i="25"/>
  <c r="DP274" i="25"/>
  <c r="CX274" i="25"/>
  <c r="EQ165" i="25"/>
  <c r="EU165" i="25" s="1"/>
  <c r="DP165" i="25"/>
  <c r="CX165" i="25"/>
  <c r="CL165" i="25"/>
  <c r="FG165" i="25"/>
  <c r="CL261" i="25"/>
  <c r="DP261" i="25"/>
  <c r="CX261" i="25"/>
  <c r="CX311" i="25"/>
  <c r="DP311" i="25"/>
  <c r="CL311" i="25"/>
  <c r="CX223" i="25"/>
  <c r="CL223" i="25"/>
  <c r="DP223" i="25"/>
  <c r="CL310" i="25"/>
  <c r="DP310" i="25"/>
  <c r="CX310" i="25"/>
  <c r="DP204" i="25"/>
  <c r="CX204" i="25"/>
  <c r="CL204" i="25"/>
  <c r="FG204" i="25"/>
  <c r="EQ204" i="25"/>
  <c r="EU204" i="25" s="1"/>
  <c r="CL279" i="25"/>
  <c r="DP279" i="25"/>
  <c r="CX279" i="25"/>
  <c r="EQ166" i="25"/>
  <c r="EU166" i="25" s="1"/>
  <c r="DP166" i="25"/>
  <c r="CL166" i="25"/>
  <c r="CX166" i="25"/>
  <c r="FG166" i="25"/>
  <c r="DP231" i="25"/>
  <c r="CL231" i="25"/>
  <c r="CX231" i="25"/>
  <c r="DP271" i="25"/>
  <c r="CX271" i="25"/>
  <c r="CL271" i="25"/>
  <c r="FG186" i="25"/>
  <c r="EQ186" i="25"/>
  <c r="EU186" i="25" s="1"/>
  <c r="CX186" i="25"/>
  <c r="DP186" i="25"/>
  <c r="CL186" i="25"/>
  <c r="DP220" i="25"/>
  <c r="CL220" i="25"/>
  <c r="CX220" i="25"/>
  <c r="CY220" i="25" s="1"/>
  <c r="DP299" i="25"/>
  <c r="CX299" i="25"/>
  <c r="CL299" i="25"/>
  <c r="CW100" i="25"/>
  <c r="CO100" i="25" s="1"/>
  <c r="CV100" i="25"/>
  <c r="CU100" i="25"/>
  <c r="CW99" i="25"/>
  <c r="CO99" i="25" s="1"/>
  <c r="CV99" i="25"/>
  <c r="CU99" i="25"/>
  <c r="CV37" i="25"/>
  <c r="CU37" i="25"/>
  <c r="CW37" i="25"/>
  <c r="CO37" i="25" s="1"/>
  <c r="CV187" i="25"/>
  <c r="CU187" i="25"/>
  <c r="CW187" i="25"/>
  <c r="CO187" i="25" s="1"/>
  <c r="CU45" i="25"/>
  <c r="CW45" i="25"/>
  <c r="CO45" i="25" s="1"/>
  <c r="CV45" i="25"/>
  <c r="CV31" i="25"/>
  <c r="CU31" i="25"/>
  <c r="CW31" i="25"/>
  <c r="CO31" i="25" s="1"/>
  <c r="CU158" i="25"/>
  <c r="CW158" i="25"/>
  <c r="CO158" i="25" s="1"/>
  <c r="CV158" i="25"/>
  <c r="CU44" i="25"/>
  <c r="CV44" i="25"/>
  <c r="CW44" i="25"/>
  <c r="CO44" i="25" s="1"/>
  <c r="CV76" i="25"/>
  <c r="CW76" i="25"/>
  <c r="CO76" i="25" s="1"/>
  <c r="CU76" i="25"/>
  <c r="CV164" i="25"/>
  <c r="CU164" i="25"/>
  <c r="CW164" i="25"/>
  <c r="CO164" i="25" s="1"/>
  <c r="CV156" i="25"/>
  <c r="CU156" i="25"/>
  <c r="CW156" i="25"/>
  <c r="CO156" i="25" s="1"/>
  <c r="CV103" i="25"/>
  <c r="CW103" i="25"/>
  <c r="CO103" i="25" s="1"/>
  <c r="CU103" i="25"/>
  <c r="CW275" i="25"/>
  <c r="CO275" i="25" s="1"/>
  <c r="CV275" i="25"/>
  <c r="CU275" i="25"/>
  <c r="CU283" i="25"/>
  <c r="CV283" i="25"/>
  <c r="CW283" i="25"/>
  <c r="CO283" i="25" s="1"/>
  <c r="CW280" i="25"/>
  <c r="CO280" i="25" s="1"/>
  <c r="CU280" i="25"/>
  <c r="CV280" i="25"/>
  <c r="CW239" i="25"/>
  <c r="CO239" i="25" s="1"/>
  <c r="CV239" i="25"/>
  <c r="CU239" i="25"/>
  <c r="CW284" i="25"/>
  <c r="CO284" i="25" s="1"/>
  <c r="CU284" i="25"/>
  <c r="CV284" i="25"/>
  <c r="CW35" i="25"/>
  <c r="CO35" i="25" s="1"/>
  <c r="CV35" i="25"/>
  <c r="CU35" i="25"/>
  <c r="CU295" i="25"/>
  <c r="CW295" i="25"/>
  <c r="CO295" i="25" s="1"/>
  <c r="CV295" i="25"/>
  <c r="CV98" i="25"/>
  <c r="CU98" i="25"/>
  <c r="CW98" i="25"/>
  <c r="CO98" i="25" s="1"/>
  <c r="CU92" i="25"/>
  <c r="CW92" i="25"/>
  <c r="CO92" i="25" s="1"/>
  <c r="CV92" i="25"/>
  <c r="CV168" i="25"/>
  <c r="CW168" i="25"/>
  <c r="CO168" i="25" s="1"/>
  <c r="CU168" i="25"/>
  <c r="CW144" i="25"/>
  <c r="CO144" i="25" s="1"/>
  <c r="CV144" i="25"/>
  <c r="CU144" i="25"/>
  <c r="CV70" i="25"/>
  <c r="CU70" i="25"/>
  <c r="CW70" i="25"/>
  <c r="CO70" i="25" s="1"/>
  <c r="CW143" i="25"/>
  <c r="CO143" i="25" s="1"/>
  <c r="CU143" i="25"/>
  <c r="CV143" i="25"/>
  <c r="CW97" i="25"/>
  <c r="CO97" i="25" s="1"/>
  <c r="CV97" i="25"/>
  <c r="CU97" i="25"/>
  <c r="CV122" i="25"/>
  <c r="CU122" i="25"/>
  <c r="CW122" i="25"/>
  <c r="CO122" i="25" s="1"/>
  <c r="CU64" i="25"/>
  <c r="CV64" i="25"/>
  <c r="CW64" i="25"/>
  <c r="CO64" i="25" s="1"/>
  <c r="CW65" i="25"/>
  <c r="CO65" i="25" s="1"/>
  <c r="CV65" i="25"/>
  <c r="CU65" i="25"/>
  <c r="CV111" i="25"/>
  <c r="CU111" i="25"/>
  <c r="CW111" i="25"/>
  <c r="CO111" i="25" s="1"/>
  <c r="CV202" i="25"/>
  <c r="CU202" i="25"/>
  <c r="CW202" i="25"/>
  <c r="CO202" i="25" s="1"/>
  <c r="CV191" i="25"/>
  <c r="CW191" i="25"/>
  <c r="CO191" i="25" s="1"/>
  <c r="CU191" i="25"/>
  <c r="CW180" i="25"/>
  <c r="CO180" i="25" s="1"/>
  <c r="CV180" i="25"/>
  <c r="CU180" i="25"/>
  <c r="CU251" i="25"/>
  <c r="CW251" i="25"/>
  <c r="CO251" i="25" s="1"/>
  <c r="CV251" i="25"/>
  <c r="CU174" i="25"/>
  <c r="CW174" i="25"/>
  <c r="CO174" i="25" s="1"/>
  <c r="CV174" i="25"/>
  <c r="CU175" i="25"/>
  <c r="CV175" i="25"/>
  <c r="CW175" i="25"/>
  <c r="CO175" i="25" s="1"/>
  <c r="CW292" i="25"/>
  <c r="CO292" i="25" s="1"/>
  <c r="CU292" i="25"/>
  <c r="CV292" i="25"/>
  <c r="CL34" i="24"/>
  <c r="CW34" i="24"/>
  <c r="CX34" i="24" s="1"/>
  <c r="DQ34" i="24"/>
  <c r="ES34" i="24"/>
  <c r="EV34" i="24" s="1"/>
  <c r="CY34" i="24"/>
  <c r="CU34" i="24"/>
  <c r="CV34" i="24" s="1"/>
  <c r="CY87" i="24"/>
  <c r="CL87" i="24"/>
  <c r="ES87" i="24"/>
  <c r="EV87" i="24" s="1"/>
  <c r="CW87" i="24"/>
  <c r="CX87" i="24" s="1"/>
  <c r="DQ87" i="24"/>
  <c r="CU87" i="24"/>
  <c r="CV87" i="24" s="1"/>
  <c r="ES53" i="24"/>
  <c r="EV53" i="24" s="1"/>
  <c r="CL53" i="24"/>
  <c r="DQ53" i="24"/>
  <c r="CW53" i="24"/>
  <c r="CX53" i="24" s="1"/>
  <c r="CY53" i="24"/>
  <c r="CU53" i="24"/>
  <c r="CV53" i="24" s="1"/>
  <c r="ES42" i="24"/>
  <c r="EV42" i="24" s="1"/>
  <c r="CL42" i="24"/>
  <c r="CW42" i="24"/>
  <c r="CX42" i="24" s="1"/>
  <c r="CY42" i="24"/>
  <c r="DQ42" i="24"/>
  <c r="CU42" i="24"/>
  <c r="CV42" i="24" s="1"/>
  <c r="CU11" i="24"/>
  <c r="CV11" i="24" s="1"/>
  <c r="CL11" i="24"/>
  <c r="DQ11" i="24"/>
  <c r="ES11" i="24"/>
  <c r="EV11" i="24" s="1"/>
  <c r="CW11" i="24"/>
  <c r="CX11" i="24" s="1"/>
  <c r="CY11" i="24"/>
  <c r="CZ11" i="24" s="1"/>
  <c r="CL91" i="24"/>
  <c r="DQ91" i="24"/>
  <c r="ES91" i="24"/>
  <c r="EV91" i="24" s="1"/>
  <c r="CW91" i="24"/>
  <c r="CX91" i="24" s="1"/>
  <c r="CY91" i="24"/>
  <c r="CZ91" i="24" s="1"/>
  <c r="CU91" i="24"/>
  <c r="CV91" i="24" s="1"/>
  <c r="CL39" i="24"/>
  <c r="CU39" i="24"/>
  <c r="CV39" i="24" s="1"/>
  <c r="ES39" i="24"/>
  <c r="EV39" i="24" s="1"/>
  <c r="CY39" i="24"/>
  <c r="CW39" i="24"/>
  <c r="CX39" i="24" s="1"/>
  <c r="DQ39" i="24"/>
  <c r="CW71" i="24"/>
  <c r="CX71" i="24" s="1"/>
  <c r="DQ71" i="24"/>
  <c r="ES71" i="24"/>
  <c r="EV71" i="24" s="1"/>
  <c r="CL71" i="24"/>
  <c r="CY71" i="24"/>
  <c r="CU71" i="24"/>
  <c r="CV71" i="24" s="1"/>
  <c r="CW43" i="24"/>
  <c r="CX43" i="24" s="1"/>
  <c r="CL43" i="24"/>
  <c r="ES43" i="24"/>
  <c r="EV43" i="24" s="1"/>
  <c r="CU43" i="24"/>
  <c r="CV43" i="24" s="1"/>
  <c r="DQ43" i="24"/>
  <c r="CY43" i="24"/>
  <c r="DQ122" i="24"/>
  <c r="CY122" i="24"/>
  <c r="CZ122" i="24" s="1"/>
  <c r="CU122" i="24"/>
  <c r="ES122" i="24"/>
  <c r="EV122" i="24" s="1"/>
  <c r="CW122" i="24"/>
  <c r="CX122" i="24" s="1"/>
  <c r="CL122" i="24"/>
  <c r="ES168" i="24"/>
  <c r="EV168" i="24" s="1"/>
  <c r="CL168" i="24"/>
  <c r="CU168" i="24"/>
  <c r="CW168" i="24"/>
  <c r="CX168" i="24" s="1"/>
  <c r="DQ168" i="24"/>
  <c r="CY168" i="24"/>
  <c r="CZ168" i="24" s="1"/>
  <c r="ES127" i="24"/>
  <c r="EV127" i="24" s="1"/>
  <c r="DQ127" i="24"/>
  <c r="CW127" i="24"/>
  <c r="CX127" i="24" s="1"/>
  <c r="CL127" i="24"/>
  <c r="CY127" i="24"/>
  <c r="CU127" i="24"/>
  <c r="CW266" i="24"/>
  <c r="CX266" i="24" s="1"/>
  <c r="CU266" i="24"/>
  <c r="CL266" i="24"/>
  <c r="DQ266" i="24"/>
  <c r="CY266" i="24"/>
  <c r="ES69" i="24"/>
  <c r="EV69" i="24" s="1"/>
  <c r="CW69" i="24"/>
  <c r="CX69" i="24" s="1"/>
  <c r="CL69" i="24"/>
  <c r="DQ69" i="24"/>
  <c r="CU69" i="24"/>
  <c r="CV69" i="24" s="1"/>
  <c r="CY69" i="24"/>
  <c r="CL140" i="24"/>
  <c r="ES140" i="24"/>
  <c r="EV140" i="24" s="1"/>
  <c r="DQ140" i="24"/>
  <c r="CW140" i="24"/>
  <c r="CX140" i="24" s="1"/>
  <c r="CY140" i="24"/>
  <c r="CU140" i="24"/>
  <c r="ES99" i="24"/>
  <c r="EV99" i="24" s="1"/>
  <c r="CW99" i="24"/>
  <c r="CX99" i="24" s="1"/>
  <c r="CY99" i="24"/>
  <c r="DQ99" i="24"/>
  <c r="CL99" i="24"/>
  <c r="CU99" i="24"/>
  <c r="CV99" i="24" s="1"/>
  <c r="DQ151" i="24"/>
  <c r="CL151" i="24"/>
  <c r="CW151" i="24"/>
  <c r="CX151" i="24" s="1"/>
  <c r="ES151" i="24"/>
  <c r="EV151" i="24" s="1"/>
  <c r="CY151" i="24"/>
  <c r="CU151" i="24"/>
  <c r="CY124" i="24"/>
  <c r="DQ124" i="24"/>
  <c r="ES124" i="24"/>
  <c r="EV124" i="24" s="1"/>
  <c r="CL124" i="24"/>
  <c r="CW124" i="24"/>
  <c r="CX124" i="24" s="1"/>
  <c r="CU124" i="24"/>
  <c r="DQ188" i="24"/>
  <c r="CY188" i="24"/>
  <c r="ES188" i="24"/>
  <c r="EV188" i="24" s="1"/>
  <c r="CU188" i="24"/>
  <c r="CL188" i="24"/>
  <c r="CW188" i="24"/>
  <c r="CX188" i="24" s="1"/>
  <c r="ES138" i="24"/>
  <c r="EV138" i="24" s="1"/>
  <c r="CL138" i="24"/>
  <c r="DQ138" i="24"/>
  <c r="CY138" i="24"/>
  <c r="CW138" i="24"/>
  <c r="CX138" i="24" s="1"/>
  <c r="CU138" i="24"/>
  <c r="CL310" i="24"/>
  <c r="CW310" i="24"/>
  <c r="CX310" i="24" s="1"/>
  <c r="CU310" i="24"/>
  <c r="CY310" i="24"/>
  <c r="DQ310" i="24"/>
  <c r="CL174" i="24"/>
  <c r="ES174" i="24"/>
  <c r="EV174" i="24" s="1"/>
  <c r="DQ174" i="24"/>
  <c r="CU174" i="24"/>
  <c r="CW174" i="24"/>
  <c r="CX174" i="24" s="1"/>
  <c r="CY174" i="24"/>
  <c r="ES114" i="24"/>
  <c r="EV114" i="24" s="1"/>
  <c r="CW114" i="24"/>
  <c r="CX114" i="24" s="1"/>
  <c r="DQ114" i="24"/>
  <c r="CL114" i="24"/>
  <c r="CY114" i="24"/>
  <c r="CU114" i="24"/>
  <c r="CL176" i="24"/>
  <c r="CU176" i="24"/>
  <c r="ES176" i="24"/>
  <c r="EV176" i="24" s="1"/>
  <c r="CW176" i="24"/>
  <c r="CX176" i="24" s="1"/>
  <c r="DQ176" i="24"/>
  <c r="CY176" i="24"/>
  <c r="ES201" i="24"/>
  <c r="EV201" i="24" s="1"/>
  <c r="DQ201" i="24"/>
  <c r="CW201" i="24"/>
  <c r="CX201" i="24" s="1"/>
  <c r="CU201" i="24"/>
  <c r="CL201" i="24"/>
  <c r="CY201" i="24"/>
  <c r="CZ201" i="24" s="1"/>
  <c r="CW271" i="24"/>
  <c r="CX271" i="24" s="1"/>
  <c r="CL271" i="24"/>
  <c r="DQ271" i="24"/>
  <c r="CY271" i="24"/>
  <c r="CU271" i="24"/>
  <c r="DQ237" i="24"/>
  <c r="CL237" i="24"/>
  <c r="CW237" i="24"/>
  <c r="CX237" i="24" s="1"/>
  <c r="CU237" i="24"/>
  <c r="CY237" i="24"/>
  <c r="DQ315" i="24"/>
  <c r="CL315" i="24"/>
  <c r="CW315" i="24"/>
  <c r="CX315" i="24" s="1"/>
  <c r="CY315" i="24"/>
  <c r="CU315" i="24"/>
  <c r="DQ239" i="24"/>
  <c r="CW239" i="24"/>
  <c r="CX239" i="24" s="1"/>
  <c r="CL239" i="24"/>
  <c r="CY239" i="24"/>
  <c r="CU239" i="24"/>
  <c r="DQ299" i="24"/>
  <c r="CL299" i="24"/>
  <c r="CY299" i="24"/>
  <c r="CZ299" i="24" s="1"/>
  <c r="CW299" i="24"/>
  <c r="CX299" i="24" s="1"/>
  <c r="CU299" i="24"/>
  <c r="CY225" i="24"/>
  <c r="CW225" i="24"/>
  <c r="CX225" i="24" s="1"/>
  <c r="CU225" i="24"/>
  <c r="DQ225" i="24"/>
  <c r="CL225" i="24"/>
  <c r="CW260" i="24"/>
  <c r="CX260" i="24" s="1"/>
  <c r="CU260" i="24"/>
  <c r="CL260" i="24"/>
  <c r="DQ260" i="24"/>
  <c r="CY260" i="24"/>
  <c r="CU223" i="24"/>
  <c r="CW223" i="24"/>
  <c r="CX223" i="24" s="1"/>
  <c r="CY223" i="24"/>
  <c r="DQ223" i="24"/>
  <c r="CL223" i="24"/>
  <c r="DQ290" i="24"/>
  <c r="CL290" i="24"/>
  <c r="CW290" i="24"/>
  <c r="CX290" i="24" s="1"/>
  <c r="CY290" i="24"/>
  <c r="CU290" i="24"/>
  <c r="ES196" i="24"/>
  <c r="EV196" i="24" s="1"/>
  <c r="CU196" i="24"/>
  <c r="CY196" i="24"/>
  <c r="DQ196" i="24"/>
  <c r="CW196" i="24"/>
  <c r="CX196" i="24" s="1"/>
  <c r="CL196" i="24"/>
  <c r="DQ246" i="24"/>
  <c r="CU246" i="24"/>
  <c r="CL246" i="24"/>
  <c r="CW246" i="24"/>
  <c r="CX246" i="24" s="1"/>
  <c r="CY246" i="24"/>
  <c r="CL313" i="24"/>
  <c r="DQ313" i="24"/>
  <c r="CY313" i="24"/>
  <c r="CW313" i="24"/>
  <c r="CX313" i="24" s="1"/>
  <c r="CU313" i="24"/>
  <c r="CL26" i="24"/>
  <c r="CW26" i="24"/>
  <c r="CX26" i="24" s="1"/>
  <c r="CY26" i="24"/>
  <c r="ES26" i="24"/>
  <c r="EV26" i="24" s="1"/>
  <c r="DQ26" i="24"/>
  <c r="CU26" i="24"/>
  <c r="CV26" i="24" s="1"/>
  <c r="DQ92" i="24"/>
  <c r="CL92" i="24"/>
  <c r="CW92" i="24"/>
  <c r="CX92" i="24" s="1"/>
  <c r="CY92" i="24"/>
  <c r="CU92" i="24"/>
  <c r="CV92" i="24" s="1"/>
  <c r="ES92" i="24"/>
  <c r="EV92" i="24" s="1"/>
  <c r="DQ59" i="24"/>
  <c r="ES59" i="24"/>
  <c r="EV59" i="24" s="1"/>
  <c r="CL59" i="24"/>
  <c r="CW59" i="24"/>
  <c r="CX59" i="24" s="1"/>
  <c r="CY59" i="24"/>
  <c r="CU59" i="24"/>
  <c r="CV59" i="24" s="1"/>
  <c r="CW77" i="24"/>
  <c r="CX77" i="24" s="1"/>
  <c r="ES77" i="24"/>
  <c r="EV77" i="24" s="1"/>
  <c r="CL77" i="24"/>
  <c r="CY77" i="24"/>
  <c r="DQ77" i="24"/>
  <c r="CU77" i="24"/>
  <c r="CV77" i="24" s="1"/>
  <c r="CY12" i="24"/>
  <c r="ES12" i="24"/>
  <c r="EV12" i="24" s="1"/>
  <c r="CW12" i="24"/>
  <c r="CX12" i="24" s="1"/>
  <c r="CU12" i="24"/>
  <c r="CV12" i="24" s="1"/>
  <c r="DQ12" i="24"/>
  <c r="CL12" i="24"/>
  <c r="ES96" i="24"/>
  <c r="EV96" i="24" s="1"/>
  <c r="CL96" i="24"/>
  <c r="DQ96" i="24"/>
  <c r="CW96" i="24"/>
  <c r="CX96" i="24" s="1"/>
  <c r="CU96" i="24"/>
  <c r="CV96" i="24" s="1"/>
  <c r="CY96" i="24"/>
  <c r="ES49" i="24"/>
  <c r="EV49" i="24" s="1"/>
  <c r="CL49" i="24"/>
  <c r="CW49" i="24"/>
  <c r="CX49" i="24" s="1"/>
  <c r="CY49" i="24"/>
  <c r="DQ49" i="24"/>
  <c r="CU49" i="24"/>
  <c r="CV49" i="24" s="1"/>
  <c r="ES79" i="24"/>
  <c r="EV79" i="24" s="1"/>
  <c r="CW79" i="24"/>
  <c r="CX79" i="24" s="1"/>
  <c r="CY79" i="24"/>
  <c r="DQ79" i="24"/>
  <c r="CU79" i="24"/>
  <c r="CV79" i="24" s="1"/>
  <c r="CL79" i="24"/>
  <c r="CW44" i="24"/>
  <c r="CX44" i="24" s="1"/>
  <c r="CL44" i="24"/>
  <c r="DQ44" i="24"/>
  <c r="ES44" i="24"/>
  <c r="EV44" i="24" s="1"/>
  <c r="CY44" i="24"/>
  <c r="CU44" i="24"/>
  <c r="CV44" i="24" s="1"/>
  <c r="ES130" i="24"/>
  <c r="EV130" i="24" s="1"/>
  <c r="DQ130" i="24"/>
  <c r="CL130" i="24"/>
  <c r="CU130" i="24"/>
  <c r="CW130" i="24"/>
  <c r="CX130" i="24" s="1"/>
  <c r="CY130" i="24"/>
  <c r="CU218" i="24"/>
  <c r="CW218" i="24"/>
  <c r="CX218" i="24" s="1"/>
  <c r="CL218" i="24"/>
  <c r="CY218" i="24"/>
  <c r="DQ218" i="24"/>
  <c r="ES145" i="24"/>
  <c r="EV145" i="24" s="1"/>
  <c r="CW145" i="24"/>
  <c r="CX145" i="24" s="1"/>
  <c r="DQ145" i="24"/>
  <c r="CL145" i="24"/>
  <c r="CU145" i="24"/>
  <c r="CY145" i="24"/>
  <c r="ES31" i="24"/>
  <c r="EV31" i="24" s="1"/>
  <c r="DQ31" i="24"/>
  <c r="CY31" i="24"/>
  <c r="CW31" i="24"/>
  <c r="CX31" i="24" s="1"/>
  <c r="CU31" i="24"/>
  <c r="CV31" i="24" s="1"/>
  <c r="CL31" i="24"/>
  <c r="DQ74" i="24"/>
  <c r="ES74" i="24"/>
  <c r="EV74" i="24" s="1"/>
  <c r="CL74" i="24"/>
  <c r="CW74" i="24"/>
  <c r="CX74" i="24" s="1"/>
  <c r="CU74" i="24"/>
  <c r="CV74" i="24" s="1"/>
  <c r="CY74" i="24"/>
  <c r="DQ142" i="24"/>
  <c r="CW142" i="24"/>
  <c r="CX142" i="24" s="1"/>
  <c r="CL142" i="24"/>
  <c r="ES142" i="24"/>
  <c r="EV142" i="24" s="1"/>
  <c r="CU142" i="24"/>
  <c r="CY142" i="24"/>
  <c r="ES117" i="24"/>
  <c r="EV117" i="24" s="1"/>
  <c r="DQ117" i="24"/>
  <c r="CL117" i="24"/>
  <c r="CW117" i="24"/>
  <c r="CX117" i="24" s="1"/>
  <c r="CU117" i="24"/>
  <c r="CY117" i="24"/>
  <c r="DQ158" i="24"/>
  <c r="CL158" i="24"/>
  <c r="ES158" i="24"/>
  <c r="EV158" i="24" s="1"/>
  <c r="CY158" i="24"/>
  <c r="CW158" i="24"/>
  <c r="CX158" i="24" s="1"/>
  <c r="CU158" i="24"/>
  <c r="CW128" i="24"/>
  <c r="CX128" i="24" s="1"/>
  <c r="ES128" i="24"/>
  <c r="EV128" i="24" s="1"/>
  <c r="DQ128" i="24"/>
  <c r="CU128" i="24"/>
  <c r="CY128" i="24"/>
  <c r="CL128" i="24"/>
  <c r="CW256" i="24"/>
  <c r="CX256" i="24" s="1"/>
  <c r="CU256" i="24"/>
  <c r="CY256" i="24"/>
  <c r="DQ256" i="24"/>
  <c r="CL256" i="24"/>
  <c r="ES141" i="24"/>
  <c r="EV141" i="24" s="1"/>
  <c r="CL141" i="24"/>
  <c r="DQ141" i="24"/>
  <c r="CW141" i="24"/>
  <c r="CX141" i="24" s="1"/>
  <c r="CY141" i="24"/>
  <c r="CU141" i="24"/>
  <c r="ES95" i="24"/>
  <c r="EV95" i="24" s="1"/>
  <c r="DQ95" i="24"/>
  <c r="CL95" i="24"/>
  <c r="CU95" i="24"/>
  <c r="CV95" i="24" s="1"/>
  <c r="CW95" i="24"/>
  <c r="CX95" i="24" s="1"/>
  <c r="CY95" i="24"/>
  <c r="DQ178" i="24"/>
  <c r="CL178" i="24"/>
  <c r="CW178" i="24"/>
  <c r="CX178" i="24" s="1"/>
  <c r="CY178" i="24"/>
  <c r="ES178" i="24"/>
  <c r="EV178" i="24" s="1"/>
  <c r="CU178" i="24"/>
  <c r="ES125" i="24"/>
  <c r="EV125" i="24" s="1"/>
  <c r="DQ125" i="24"/>
  <c r="CL125" i="24"/>
  <c r="CW125" i="24"/>
  <c r="CX125" i="24" s="1"/>
  <c r="CY125" i="24"/>
  <c r="CU125" i="24"/>
  <c r="ES180" i="24"/>
  <c r="EV180" i="24" s="1"/>
  <c r="DQ180" i="24"/>
  <c r="CU180" i="24"/>
  <c r="CL180" i="24"/>
  <c r="CY180" i="24"/>
  <c r="CW180" i="24"/>
  <c r="CX180" i="24" s="1"/>
  <c r="ES207" i="24"/>
  <c r="EV207" i="24" s="1"/>
  <c r="CL207" i="24"/>
  <c r="DQ207" i="24"/>
  <c r="CY207" i="24"/>
  <c r="CW207" i="24"/>
  <c r="CX207" i="24" s="1"/>
  <c r="CU207" i="24"/>
  <c r="DQ272" i="24"/>
  <c r="CW272" i="24"/>
  <c r="CX272" i="24" s="1"/>
  <c r="CL272" i="24"/>
  <c r="CY272" i="24"/>
  <c r="CU272" i="24"/>
  <c r="DQ249" i="24"/>
  <c r="CL249" i="24"/>
  <c r="CW249" i="24"/>
  <c r="CX249" i="24" s="1"/>
  <c r="CU249" i="24"/>
  <c r="CY249" i="24"/>
  <c r="DQ195" i="24"/>
  <c r="CW195" i="24"/>
  <c r="CX195" i="24" s="1"/>
  <c r="ES195" i="24"/>
  <c r="EV195" i="24" s="1"/>
  <c r="CY195" i="24"/>
  <c r="CL195" i="24"/>
  <c r="CU195" i="24"/>
  <c r="DQ257" i="24"/>
  <c r="CL257" i="24"/>
  <c r="CW257" i="24"/>
  <c r="CX257" i="24" s="1"/>
  <c r="CY257" i="24"/>
  <c r="CU257" i="24"/>
  <c r="DQ301" i="24"/>
  <c r="CL301" i="24"/>
  <c r="CW301" i="24"/>
  <c r="CX301" i="24" s="1"/>
  <c r="CY301" i="24"/>
  <c r="CU301" i="24"/>
  <c r="DQ229" i="24"/>
  <c r="CY229" i="24"/>
  <c r="CZ229" i="24" s="1"/>
  <c r="CL229" i="24"/>
  <c r="CW229" i="24"/>
  <c r="CX229" i="24" s="1"/>
  <c r="CU229" i="24"/>
  <c r="DQ268" i="24"/>
  <c r="CL268" i="24"/>
  <c r="CW268" i="24"/>
  <c r="CX268" i="24" s="1"/>
  <c r="CY268" i="24"/>
  <c r="CU268" i="24"/>
  <c r="CY227" i="24"/>
  <c r="CZ227" i="24" s="1"/>
  <c r="CL227" i="24"/>
  <c r="DQ227" i="24"/>
  <c r="CW227" i="24"/>
  <c r="CX227" i="24" s="1"/>
  <c r="CU227" i="24"/>
  <c r="CY295" i="24"/>
  <c r="CW295" i="24"/>
  <c r="CX295" i="24" s="1"/>
  <c r="CL295" i="24"/>
  <c r="DQ295" i="24"/>
  <c r="CU295" i="24"/>
  <c r="ES198" i="24"/>
  <c r="EV198" i="24" s="1"/>
  <c r="CL198" i="24"/>
  <c r="CY198" i="24"/>
  <c r="DQ198" i="24"/>
  <c r="CW198" i="24"/>
  <c r="CX198" i="24" s="1"/>
  <c r="CU198" i="24"/>
  <c r="DQ251" i="24"/>
  <c r="CY251" i="24"/>
  <c r="CL251" i="24"/>
  <c r="CW251" i="24"/>
  <c r="CX251" i="24" s="1"/>
  <c r="CU251" i="24"/>
  <c r="DQ316" i="24"/>
  <c r="CY316" i="24"/>
  <c r="CL316" i="24"/>
  <c r="CW316" i="24"/>
  <c r="CX316" i="24" s="1"/>
  <c r="CU316" i="24"/>
  <c r="CL28" i="24"/>
  <c r="CU28" i="24"/>
  <c r="CV28" i="24" s="1"/>
  <c r="DQ28" i="24"/>
  <c r="CW28" i="24"/>
  <c r="CX28" i="24" s="1"/>
  <c r="CY28" i="24"/>
  <c r="CZ28" i="24" s="1"/>
  <c r="ES28" i="24"/>
  <c r="EV28" i="24" s="1"/>
  <c r="CL94" i="24"/>
  <c r="CY94" i="24"/>
  <c r="CW94" i="24"/>
  <c r="CX94" i="24" s="1"/>
  <c r="ES94" i="24"/>
  <c r="EV94" i="24" s="1"/>
  <c r="DQ94" i="24"/>
  <c r="CU94" i="24"/>
  <c r="CV94" i="24" s="1"/>
  <c r="CL61" i="24"/>
  <c r="CY61" i="24"/>
  <c r="CW61" i="24"/>
  <c r="CX61" i="24" s="1"/>
  <c r="DQ61" i="24"/>
  <c r="ES61" i="24"/>
  <c r="EV61" i="24" s="1"/>
  <c r="CU61" i="24"/>
  <c r="CV61" i="24" s="1"/>
  <c r="CL35" i="24"/>
  <c r="ES35" i="24"/>
  <c r="EV35" i="24" s="1"/>
  <c r="DQ35" i="24"/>
  <c r="CU35" i="24"/>
  <c r="CV35" i="24" s="1"/>
  <c r="CY35" i="24"/>
  <c r="CW35" i="24"/>
  <c r="CX35" i="24" s="1"/>
  <c r="ES23" i="24"/>
  <c r="EV23" i="24" s="1"/>
  <c r="DQ23" i="24"/>
  <c r="CY23" i="24"/>
  <c r="CW23" i="24"/>
  <c r="CX23" i="24" s="1"/>
  <c r="CL23" i="24"/>
  <c r="CU23" i="24"/>
  <c r="CV23" i="24" s="1"/>
  <c r="ES13" i="24"/>
  <c r="EV13" i="24" s="1"/>
  <c r="CL13" i="24"/>
  <c r="CW13" i="24"/>
  <c r="CX13" i="24" s="1"/>
  <c r="CY13" i="24"/>
  <c r="CU13" i="24"/>
  <c r="CV13" i="24" s="1"/>
  <c r="DQ13" i="24"/>
  <c r="CU51" i="24"/>
  <c r="CV51" i="24" s="1"/>
  <c r="CY51" i="24"/>
  <c r="CW51" i="24"/>
  <c r="CX51" i="24" s="1"/>
  <c r="CL51" i="24"/>
  <c r="ES51" i="24"/>
  <c r="EV51" i="24" s="1"/>
  <c r="DQ51" i="24"/>
  <c r="CL85" i="24"/>
  <c r="CW85" i="24"/>
  <c r="CX85" i="24" s="1"/>
  <c r="ES85" i="24"/>
  <c r="EV85" i="24" s="1"/>
  <c r="DQ85" i="24"/>
  <c r="CY85" i="24"/>
  <c r="CU85" i="24"/>
  <c r="CV85" i="24" s="1"/>
  <c r="CU63" i="24"/>
  <c r="CV63" i="24" s="1"/>
  <c r="DQ63" i="24"/>
  <c r="CW63" i="24"/>
  <c r="CX63" i="24" s="1"/>
  <c r="CL63" i="24"/>
  <c r="ES63" i="24"/>
  <c r="EV63" i="24" s="1"/>
  <c r="CY63" i="24"/>
  <c r="ES137" i="24"/>
  <c r="EV137" i="24" s="1"/>
  <c r="CW137" i="24"/>
  <c r="CX137" i="24" s="1"/>
  <c r="CL137" i="24"/>
  <c r="DQ137" i="24"/>
  <c r="CY137" i="24"/>
  <c r="CU137" i="24"/>
  <c r="DQ68" i="24"/>
  <c r="CL68" i="24"/>
  <c r="CW68" i="24"/>
  <c r="CX68" i="24" s="1"/>
  <c r="CU68" i="24"/>
  <c r="CV68" i="24" s="1"/>
  <c r="ES68" i="24"/>
  <c r="EV68" i="24" s="1"/>
  <c r="CY68" i="24"/>
  <c r="DQ159" i="24"/>
  <c r="CW159" i="24"/>
  <c r="CX159" i="24" s="1"/>
  <c r="CY159" i="24"/>
  <c r="CU159" i="24"/>
  <c r="ES159" i="24"/>
  <c r="EV159" i="24" s="1"/>
  <c r="CL159" i="24"/>
  <c r="ES32" i="24"/>
  <c r="EV32" i="24" s="1"/>
  <c r="CL32" i="24"/>
  <c r="DQ32" i="24"/>
  <c r="CW32" i="24"/>
  <c r="CX32" i="24" s="1"/>
  <c r="CY32" i="24"/>
  <c r="CU32" i="24"/>
  <c r="CV32" i="24" s="1"/>
  <c r="DQ78" i="24"/>
  <c r="CW78" i="24"/>
  <c r="CX78" i="24" s="1"/>
  <c r="CU78" i="24"/>
  <c r="CV78" i="24" s="1"/>
  <c r="CL78" i="24"/>
  <c r="ES78" i="24"/>
  <c r="EV78" i="24" s="1"/>
  <c r="CY78" i="24"/>
  <c r="ES144" i="24"/>
  <c r="EV144" i="24" s="1"/>
  <c r="CW144" i="24"/>
  <c r="CX144" i="24" s="1"/>
  <c r="CL144" i="24"/>
  <c r="CU144" i="24"/>
  <c r="DQ144" i="24"/>
  <c r="CY144" i="24"/>
  <c r="DQ121" i="24"/>
  <c r="ES121" i="24"/>
  <c r="EV121" i="24" s="1"/>
  <c r="CU121" i="24"/>
  <c r="CY121" i="24"/>
  <c r="CW121" i="24"/>
  <c r="CX121" i="24" s="1"/>
  <c r="CL121" i="24"/>
  <c r="ES165" i="24"/>
  <c r="EV165" i="24" s="1"/>
  <c r="CU165" i="24"/>
  <c r="CY165" i="24"/>
  <c r="CL165" i="24"/>
  <c r="CW165" i="24"/>
  <c r="CX165" i="24" s="1"/>
  <c r="DQ165" i="24"/>
  <c r="CL135" i="24"/>
  <c r="ES135" i="24"/>
  <c r="EV135" i="24" s="1"/>
  <c r="DQ135" i="24"/>
  <c r="CY135" i="24"/>
  <c r="CW135" i="24"/>
  <c r="CX135" i="24" s="1"/>
  <c r="CU135" i="24"/>
  <c r="DQ100" i="24"/>
  <c r="CL100" i="24"/>
  <c r="ES100" i="24"/>
  <c r="EV100" i="24" s="1"/>
  <c r="CU100" i="24"/>
  <c r="CV100" i="24" s="1"/>
  <c r="CY100" i="24"/>
  <c r="CW100" i="24"/>
  <c r="CX100" i="24" s="1"/>
  <c r="CL160" i="24"/>
  <c r="ES160" i="24"/>
  <c r="EV160" i="24" s="1"/>
  <c r="CU160" i="24"/>
  <c r="DQ160" i="24"/>
  <c r="CW160" i="24"/>
  <c r="CX160" i="24" s="1"/>
  <c r="CY160" i="24"/>
  <c r="CY101" i="24"/>
  <c r="CU101" i="24"/>
  <c r="CV101" i="24" s="1"/>
  <c r="DQ101" i="24"/>
  <c r="ES101" i="24"/>
  <c r="EV101" i="24" s="1"/>
  <c r="CL101" i="24"/>
  <c r="CW101" i="24"/>
  <c r="CX101" i="24" s="1"/>
  <c r="DQ184" i="24"/>
  <c r="ES184" i="24"/>
  <c r="EV184" i="24" s="1"/>
  <c r="CL184" i="24"/>
  <c r="CU184" i="24"/>
  <c r="CW184" i="24"/>
  <c r="CX184" i="24" s="1"/>
  <c r="CY184" i="24"/>
  <c r="CZ184" i="24" s="1"/>
  <c r="CU131" i="24"/>
  <c r="CL131" i="24"/>
  <c r="CY131" i="24"/>
  <c r="DQ131" i="24"/>
  <c r="ES131" i="24"/>
  <c r="EV131" i="24" s="1"/>
  <c r="CW131" i="24"/>
  <c r="CX131" i="24" s="1"/>
  <c r="DQ181" i="24"/>
  <c r="CW181" i="24"/>
  <c r="CX181" i="24" s="1"/>
  <c r="CY181" i="24"/>
  <c r="ES181" i="24"/>
  <c r="EV181" i="24" s="1"/>
  <c r="CL181" i="24"/>
  <c r="CU181" i="24"/>
  <c r="CL220" i="24"/>
  <c r="DQ220" i="24"/>
  <c r="CY220" i="24"/>
  <c r="CW220" i="24"/>
  <c r="CX220" i="24" s="1"/>
  <c r="CU220" i="24"/>
  <c r="DQ288" i="24"/>
  <c r="CY288" i="24"/>
  <c r="CL288" i="24"/>
  <c r="CU288" i="24"/>
  <c r="CW288" i="24"/>
  <c r="CX288" i="24" s="1"/>
  <c r="CY270" i="24"/>
  <c r="DQ270" i="24"/>
  <c r="CL270" i="24"/>
  <c r="CU270" i="24"/>
  <c r="CW270" i="24"/>
  <c r="CX270" i="24" s="1"/>
  <c r="CL197" i="24"/>
  <c r="CW197" i="24"/>
  <c r="CX197" i="24" s="1"/>
  <c r="ES197" i="24"/>
  <c r="EV197" i="24" s="1"/>
  <c r="DQ197" i="24"/>
  <c r="CY197" i="24"/>
  <c r="CU197" i="24"/>
  <c r="CW261" i="24"/>
  <c r="CX261" i="24" s="1"/>
  <c r="CY261" i="24"/>
  <c r="CZ261" i="24" s="1"/>
  <c r="DQ261" i="24"/>
  <c r="CL261" i="24"/>
  <c r="CU261" i="24"/>
  <c r="CW303" i="24"/>
  <c r="CX303" i="24" s="1"/>
  <c r="DQ303" i="24"/>
  <c r="CL303" i="24"/>
  <c r="CY303" i="24"/>
  <c r="CU303" i="24"/>
  <c r="CL231" i="24"/>
  <c r="CU231" i="24"/>
  <c r="CY231" i="24"/>
  <c r="DQ231" i="24"/>
  <c r="CW231" i="24"/>
  <c r="CX231" i="24" s="1"/>
  <c r="CL273" i="24"/>
  <c r="CW273" i="24"/>
  <c r="CX273" i="24" s="1"/>
  <c r="DQ273" i="24"/>
  <c r="CY273" i="24"/>
  <c r="CU273" i="24"/>
  <c r="CL247" i="24"/>
  <c r="DQ247" i="24"/>
  <c r="CW247" i="24"/>
  <c r="CX247" i="24" s="1"/>
  <c r="CY247" i="24"/>
  <c r="CU247" i="24"/>
  <c r="CL304" i="24"/>
  <c r="DQ304" i="24"/>
  <c r="CW304" i="24"/>
  <c r="CX304" i="24" s="1"/>
  <c r="CY304" i="24"/>
  <c r="CU304" i="24"/>
  <c r="DQ199" i="24"/>
  <c r="CW199" i="24"/>
  <c r="CX199" i="24" s="1"/>
  <c r="CL199" i="24"/>
  <c r="ES199" i="24"/>
  <c r="EV199" i="24" s="1"/>
  <c r="CY199" i="24"/>
  <c r="CU199" i="24"/>
  <c r="CW252" i="24"/>
  <c r="CX252" i="24" s="1"/>
  <c r="CL252" i="24"/>
  <c r="CU252" i="24"/>
  <c r="DQ252" i="24"/>
  <c r="CY252" i="24"/>
  <c r="CL269" i="24"/>
  <c r="DQ269" i="24"/>
  <c r="CW269" i="24"/>
  <c r="CX269" i="24" s="1"/>
  <c r="CU269" i="24"/>
  <c r="CY269" i="24"/>
  <c r="ES46" i="24"/>
  <c r="EV46" i="24" s="1"/>
  <c r="DQ46" i="24"/>
  <c r="CU46" i="24"/>
  <c r="CV46" i="24" s="1"/>
  <c r="CW46" i="24"/>
  <c r="CX46" i="24" s="1"/>
  <c r="CL46" i="24"/>
  <c r="CY46" i="24"/>
  <c r="CL16" i="24"/>
  <c r="ES16" i="24"/>
  <c r="EV16" i="24" s="1"/>
  <c r="DQ16" i="24"/>
  <c r="CW16" i="24"/>
  <c r="CX16" i="24" s="1"/>
  <c r="CY16" i="24"/>
  <c r="CU16" i="24"/>
  <c r="CV16" i="24" s="1"/>
  <c r="ES65" i="24"/>
  <c r="EV65" i="24" s="1"/>
  <c r="DQ65" i="24"/>
  <c r="CY65" i="24"/>
  <c r="CZ65" i="24" s="1"/>
  <c r="CL65" i="24"/>
  <c r="CW65" i="24"/>
  <c r="CX65" i="24" s="1"/>
  <c r="CU65" i="24"/>
  <c r="CV65" i="24" s="1"/>
  <c r="CL24" i="24"/>
  <c r="ES24" i="24"/>
  <c r="EV24" i="24" s="1"/>
  <c r="DQ24" i="24"/>
  <c r="CW24" i="24"/>
  <c r="CX24" i="24" s="1"/>
  <c r="CY24" i="24"/>
  <c r="CU24" i="24"/>
  <c r="CV24" i="24" s="1"/>
  <c r="DQ25" i="24"/>
  <c r="ES25" i="24"/>
  <c r="EV25" i="24" s="1"/>
  <c r="CW25" i="24"/>
  <c r="CX25" i="24" s="1"/>
  <c r="CL25" i="24"/>
  <c r="CY25" i="24"/>
  <c r="CU25" i="24"/>
  <c r="CV25" i="24" s="1"/>
  <c r="CL8" i="24"/>
  <c r="ES8" i="24"/>
  <c r="EV8" i="24" s="1"/>
  <c r="DQ8" i="24"/>
  <c r="CW8" i="24"/>
  <c r="CX8" i="24" s="1"/>
  <c r="CY8" i="24"/>
  <c r="CU8" i="24"/>
  <c r="CV8" i="24" s="1"/>
  <c r="DQ54" i="24"/>
  <c r="CY54" i="24"/>
  <c r="CL54" i="24"/>
  <c r="CU54" i="24"/>
  <c r="CV54" i="24" s="1"/>
  <c r="ES54" i="24"/>
  <c r="EV54" i="24" s="1"/>
  <c r="CW54" i="24"/>
  <c r="CX54" i="24" s="1"/>
  <c r="CL90" i="24"/>
  <c r="CW90" i="24"/>
  <c r="CX90" i="24" s="1"/>
  <c r="ES90" i="24"/>
  <c r="EV90" i="24" s="1"/>
  <c r="DQ90" i="24"/>
  <c r="CU90" i="24"/>
  <c r="CV90" i="24" s="1"/>
  <c r="CY90" i="24"/>
  <c r="DQ93" i="24"/>
  <c r="ES93" i="24"/>
  <c r="EV93" i="24" s="1"/>
  <c r="CY93" i="24"/>
  <c r="CL93" i="24"/>
  <c r="CW93" i="24"/>
  <c r="CX93" i="24" s="1"/>
  <c r="CU93" i="24"/>
  <c r="CV93" i="24" s="1"/>
  <c r="DQ149" i="24"/>
  <c r="CY149" i="24"/>
  <c r="CU149" i="24"/>
  <c r="CW149" i="24"/>
  <c r="CX149" i="24" s="1"/>
  <c r="ES149" i="24"/>
  <c r="EV149" i="24" s="1"/>
  <c r="CL149" i="24"/>
  <c r="CL76" i="24"/>
  <c r="ES76" i="24"/>
  <c r="EV76" i="24" s="1"/>
  <c r="CY76" i="24"/>
  <c r="CZ76" i="24" s="1"/>
  <c r="CW76" i="24"/>
  <c r="CX76" i="24" s="1"/>
  <c r="DQ76" i="24"/>
  <c r="CU76" i="24"/>
  <c r="CV76" i="24" s="1"/>
  <c r="DQ163" i="24"/>
  <c r="ES163" i="24"/>
  <c r="EV163" i="24" s="1"/>
  <c r="CL163" i="24"/>
  <c r="CW163" i="24"/>
  <c r="CX163" i="24" s="1"/>
  <c r="CY163" i="24"/>
  <c r="CZ163" i="24" s="1"/>
  <c r="CU163" i="24"/>
  <c r="ES33" i="24"/>
  <c r="EV33" i="24" s="1"/>
  <c r="DQ33" i="24"/>
  <c r="CY33" i="24"/>
  <c r="CL33" i="24"/>
  <c r="CW33" i="24"/>
  <c r="CX33" i="24" s="1"/>
  <c r="CU33" i="24"/>
  <c r="CV33" i="24" s="1"/>
  <c r="DQ80" i="24"/>
  <c r="CW80" i="24"/>
  <c r="CX80" i="24" s="1"/>
  <c r="ES80" i="24"/>
  <c r="EV80" i="24" s="1"/>
  <c r="CU80" i="24"/>
  <c r="CV80" i="24" s="1"/>
  <c r="CL80" i="24"/>
  <c r="CY80" i="24"/>
  <c r="ES155" i="24"/>
  <c r="EV155" i="24" s="1"/>
  <c r="DQ155" i="24"/>
  <c r="CL155" i="24"/>
  <c r="CW155" i="24"/>
  <c r="CX155" i="24" s="1"/>
  <c r="CY155" i="24"/>
  <c r="CU155" i="24"/>
  <c r="DQ126" i="24"/>
  <c r="CW126" i="24"/>
  <c r="CX126" i="24" s="1"/>
  <c r="CL126" i="24"/>
  <c r="ES126" i="24"/>
  <c r="EV126" i="24" s="1"/>
  <c r="CU126" i="24"/>
  <c r="CY126" i="24"/>
  <c r="CW173" i="24"/>
  <c r="CX173" i="24" s="1"/>
  <c r="CL173" i="24"/>
  <c r="ES173" i="24"/>
  <c r="EV173" i="24" s="1"/>
  <c r="DQ173" i="24"/>
  <c r="CY173" i="24"/>
  <c r="CU173" i="24"/>
  <c r="CY147" i="24"/>
  <c r="CU147" i="24"/>
  <c r="DQ147" i="24"/>
  <c r="CW147" i="24"/>
  <c r="CX147" i="24" s="1"/>
  <c r="ES147" i="24"/>
  <c r="EV147" i="24" s="1"/>
  <c r="CL147" i="24"/>
  <c r="ES102" i="24"/>
  <c r="EV102" i="24" s="1"/>
  <c r="CL102" i="24"/>
  <c r="DQ102" i="24"/>
  <c r="CW102" i="24"/>
  <c r="CX102" i="24" s="1"/>
  <c r="CY102" i="24"/>
  <c r="CU102" i="24"/>
  <c r="CV102" i="24" s="1"/>
  <c r="DQ169" i="24"/>
  <c r="CW169" i="24"/>
  <c r="CX169" i="24" s="1"/>
  <c r="CL169" i="24"/>
  <c r="ES169" i="24"/>
  <c r="EV169" i="24" s="1"/>
  <c r="CY169" i="24"/>
  <c r="CU169" i="24"/>
  <c r="CL105" i="24"/>
  <c r="ES105" i="24"/>
  <c r="EV105" i="24" s="1"/>
  <c r="DQ105" i="24"/>
  <c r="CW105" i="24"/>
  <c r="CX105" i="24" s="1"/>
  <c r="CY105" i="24"/>
  <c r="CU105" i="24"/>
  <c r="CV105" i="24" s="1"/>
  <c r="DQ186" i="24"/>
  <c r="CW186" i="24"/>
  <c r="CX186" i="24" s="1"/>
  <c r="CL186" i="24"/>
  <c r="ES186" i="24"/>
  <c r="EV186" i="24" s="1"/>
  <c r="CY186" i="24"/>
  <c r="CU186" i="24"/>
  <c r="DQ134" i="24"/>
  <c r="CL134" i="24"/>
  <c r="CW134" i="24"/>
  <c r="CX134" i="24" s="1"/>
  <c r="CY134" i="24"/>
  <c r="ES134" i="24"/>
  <c r="EV134" i="24" s="1"/>
  <c r="CU134" i="24"/>
  <c r="ES183" i="24"/>
  <c r="EV183" i="24" s="1"/>
  <c r="DQ183" i="24"/>
  <c r="CY183" i="24"/>
  <c r="CL183" i="24"/>
  <c r="CW183" i="24"/>
  <c r="CX183" i="24" s="1"/>
  <c r="CU183" i="24"/>
  <c r="DQ230" i="24"/>
  <c r="CW230" i="24"/>
  <c r="CX230" i="24" s="1"/>
  <c r="CL230" i="24"/>
  <c r="CY230" i="24"/>
  <c r="CU230" i="24"/>
  <c r="DQ312" i="24"/>
  <c r="CL312" i="24"/>
  <c r="CY312" i="24"/>
  <c r="CW312" i="24"/>
  <c r="CX312" i="24" s="1"/>
  <c r="CU312" i="24"/>
  <c r="CL275" i="24"/>
  <c r="DQ275" i="24"/>
  <c r="CW275" i="24"/>
  <c r="CX275" i="24" s="1"/>
  <c r="CU275" i="24"/>
  <c r="CY275" i="24"/>
  <c r="ES210" i="24"/>
  <c r="EV210" i="24" s="1"/>
  <c r="CW210" i="24"/>
  <c r="CX210" i="24" s="1"/>
  <c r="CY210" i="24"/>
  <c r="CU210" i="24"/>
  <c r="CL210" i="24"/>
  <c r="DQ210" i="24"/>
  <c r="DQ265" i="24"/>
  <c r="CL265" i="24"/>
  <c r="CU265" i="24"/>
  <c r="CW265" i="24"/>
  <c r="CX265" i="24" s="1"/>
  <c r="CY265" i="24"/>
  <c r="DQ305" i="24"/>
  <c r="CW305" i="24"/>
  <c r="CX305" i="24" s="1"/>
  <c r="CY305" i="24"/>
  <c r="CZ305" i="24" s="1"/>
  <c r="CL305" i="24"/>
  <c r="CU305" i="24"/>
  <c r="DQ241" i="24"/>
  <c r="CW241" i="24"/>
  <c r="CX241" i="24" s="1"/>
  <c r="CL241" i="24"/>
  <c r="CU241" i="24"/>
  <c r="CY241" i="24"/>
  <c r="CL292" i="24"/>
  <c r="DQ292" i="24"/>
  <c r="CY292" i="24"/>
  <c r="CW292" i="24"/>
  <c r="CX292" i="24" s="1"/>
  <c r="CU292" i="24"/>
  <c r="CY248" i="24"/>
  <c r="CZ248" i="24" s="1"/>
  <c r="DQ248" i="24"/>
  <c r="CU248" i="24"/>
  <c r="CW248" i="24"/>
  <c r="CX248" i="24" s="1"/>
  <c r="CL248" i="24"/>
  <c r="CL308" i="24"/>
  <c r="DQ308" i="24"/>
  <c r="CU308" i="24"/>
  <c r="CY308" i="24"/>
  <c r="CW308" i="24"/>
  <c r="CX308" i="24" s="1"/>
  <c r="ES202" i="24"/>
  <c r="EV202" i="24" s="1"/>
  <c r="DQ202" i="24"/>
  <c r="CW202" i="24"/>
  <c r="CX202" i="24" s="1"/>
  <c r="CL202" i="24"/>
  <c r="CU202" i="24"/>
  <c r="CY202" i="24"/>
  <c r="CZ202" i="24" s="1"/>
  <c r="DQ254" i="24"/>
  <c r="CW254" i="24"/>
  <c r="CX254" i="24" s="1"/>
  <c r="CL254" i="24"/>
  <c r="CY254" i="24"/>
  <c r="CU254" i="24"/>
  <c r="CU274" i="24"/>
  <c r="CL274" i="24"/>
  <c r="CW274" i="24"/>
  <c r="CX274" i="24" s="1"/>
  <c r="DQ274" i="24"/>
  <c r="CY274" i="24"/>
  <c r="ES22" i="24"/>
  <c r="EV22" i="24" s="1"/>
  <c r="DQ22" i="24"/>
  <c r="CW22" i="24"/>
  <c r="CX22" i="24" s="1"/>
  <c r="CY22" i="24"/>
  <c r="CU22" i="24"/>
  <c r="CV22" i="24" s="1"/>
  <c r="CL22" i="24"/>
  <c r="ES50" i="24"/>
  <c r="EV50" i="24" s="1"/>
  <c r="CL50" i="24"/>
  <c r="CU50" i="24"/>
  <c r="CV50" i="24" s="1"/>
  <c r="CW50" i="24"/>
  <c r="CX50" i="24" s="1"/>
  <c r="DQ50" i="24"/>
  <c r="CY50" i="24"/>
  <c r="CZ50" i="24" s="1"/>
  <c r="CW48" i="24"/>
  <c r="CX48" i="24" s="1"/>
  <c r="DQ48" i="24"/>
  <c r="ES48" i="24"/>
  <c r="EV48" i="24" s="1"/>
  <c r="CL48" i="24"/>
  <c r="CY48" i="24"/>
  <c r="CU48" i="24"/>
  <c r="CV48" i="24" s="1"/>
  <c r="DQ67" i="24"/>
  <c r="ES67" i="24"/>
  <c r="EV67" i="24" s="1"/>
  <c r="CL67" i="24"/>
  <c r="CW67" i="24"/>
  <c r="CX67" i="24" s="1"/>
  <c r="CY67" i="24"/>
  <c r="CU67" i="24"/>
  <c r="CV67" i="24" s="1"/>
  <c r="CL27" i="24"/>
  <c r="CU27" i="24"/>
  <c r="CV27" i="24" s="1"/>
  <c r="CW27" i="24"/>
  <c r="CX27" i="24" s="1"/>
  <c r="DQ27" i="24"/>
  <c r="ES27" i="24"/>
  <c r="EV27" i="24" s="1"/>
  <c r="CY27" i="24"/>
  <c r="CL55" i="24"/>
  <c r="CW55" i="24"/>
  <c r="CX55" i="24" s="1"/>
  <c r="ES55" i="24"/>
  <c r="EV55" i="24" s="1"/>
  <c r="CY55" i="24"/>
  <c r="DQ55" i="24"/>
  <c r="CU55" i="24"/>
  <c r="CV55" i="24" s="1"/>
  <c r="CU19" i="24"/>
  <c r="CV19" i="24" s="1"/>
  <c r="CL19" i="24"/>
  <c r="CY19" i="24"/>
  <c r="ES19" i="24"/>
  <c r="EV19" i="24" s="1"/>
  <c r="DQ19" i="24"/>
  <c r="CW19" i="24"/>
  <c r="CX19" i="24" s="1"/>
  <c r="CL56" i="24"/>
  <c r="ES56" i="24"/>
  <c r="EV56" i="24" s="1"/>
  <c r="CY56" i="24"/>
  <c r="CW56" i="24"/>
  <c r="CX56" i="24" s="1"/>
  <c r="DQ56" i="24"/>
  <c r="CU56" i="24"/>
  <c r="CV56" i="24" s="1"/>
  <c r="ES7" i="24"/>
  <c r="EV7" i="24" s="1"/>
  <c r="CL7" i="24"/>
  <c r="DQ7" i="24"/>
  <c r="CW7" i="24"/>
  <c r="CX7" i="24" s="1"/>
  <c r="CY7" i="24"/>
  <c r="CU7" i="24"/>
  <c r="CV7" i="24" s="1"/>
  <c r="DQ97" i="24"/>
  <c r="CL97" i="24"/>
  <c r="ES97" i="24"/>
  <c r="EV97" i="24" s="1"/>
  <c r="CW97" i="24"/>
  <c r="CX97" i="24" s="1"/>
  <c r="CY97" i="24"/>
  <c r="CU97" i="24"/>
  <c r="CV97" i="24" s="1"/>
  <c r="ES152" i="24"/>
  <c r="EV152" i="24" s="1"/>
  <c r="CU152" i="24"/>
  <c r="CY152" i="24"/>
  <c r="CW152" i="24"/>
  <c r="CX152" i="24" s="1"/>
  <c r="CL152" i="24"/>
  <c r="DQ152" i="24"/>
  <c r="ES88" i="24"/>
  <c r="EV88" i="24" s="1"/>
  <c r="CU88" i="24"/>
  <c r="CV88" i="24" s="1"/>
  <c r="CL88" i="24"/>
  <c r="CW88" i="24"/>
  <c r="CX88" i="24" s="1"/>
  <c r="DQ88" i="24"/>
  <c r="CY88" i="24"/>
  <c r="DQ170" i="24"/>
  <c r="CL170" i="24"/>
  <c r="CW170" i="24"/>
  <c r="CX170" i="24" s="1"/>
  <c r="CU170" i="24"/>
  <c r="ES170" i="24"/>
  <c r="EV170" i="24" s="1"/>
  <c r="CY170" i="24"/>
  <c r="ES37" i="24"/>
  <c r="EV37" i="24" s="1"/>
  <c r="CL37" i="24"/>
  <c r="CY37" i="24"/>
  <c r="CW37" i="24"/>
  <c r="CX37" i="24" s="1"/>
  <c r="DQ37" i="24"/>
  <c r="CU37" i="24"/>
  <c r="CV37" i="24" s="1"/>
  <c r="ES82" i="24"/>
  <c r="EV82" i="24" s="1"/>
  <c r="DQ82" i="24"/>
  <c r="CL82" i="24"/>
  <c r="CY82" i="24"/>
  <c r="CW82" i="24"/>
  <c r="CX82" i="24" s="1"/>
  <c r="CU82" i="24"/>
  <c r="CV82" i="24" s="1"/>
  <c r="ES166" i="24"/>
  <c r="EV166" i="24" s="1"/>
  <c r="DQ166" i="24"/>
  <c r="CL166" i="24"/>
  <c r="CW166" i="24"/>
  <c r="CX166" i="24" s="1"/>
  <c r="CY166" i="24"/>
  <c r="CU166" i="24"/>
  <c r="DQ129" i="24"/>
  <c r="CW129" i="24"/>
  <c r="CX129" i="24" s="1"/>
  <c r="CL129" i="24"/>
  <c r="ES129" i="24"/>
  <c r="EV129" i="24" s="1"/>
  <c r="CU129" i="24"/>
  <c r="CY129" i="24"/>
  <c r="ES182" i="24"/>
  <c r="EV182" i="24" s="1"/>
  <c r="DQ182" i="24"/>
  <c r="CL182" i="24"/>
  <c r="CW182" i="24"/>
  <c r="CX182" i="24" s="1"/>
  <c r="CU182" i="24"/>
  <c r="CY182" i="24"/>
  <c r="DQ154" i="24"/>
  <c r="CL154" i="24"/>
  <c r="CW154" i="24"/>
  <c r="CX154" i="24" s="1"/>
  <c r="CY154" i="24"/>
  <c r="ES154" i="24"/>
  <c r="EV154" i="24" s="1"/>
  <c r="CU154" i="24"/>
  <c r="ES104" i="24"/>
  <c r="EV104" i="24" s="1"/>
  <c r="DQ104" i="24"/>
  <c r="CW104" i="24"/>
  <c r="CX104" i="24" s="1"/>
  <c r="CY104" i="24"/>
  <c r="CL104" i="24"/>
  <c r="CU104" i="24"/>
  <c r="CV104" i="24" s="1"/>
  <c r="CY175" i="24"/>
  <c r="DQ175" i="24"/>
  <c r="CW175" i="24"/>
  <c r="CX175" i="24" s="1"/>
  <c r="ES175" i="24"/>
  <c r="EV175" i="24" s="1"/>
  <c r="CL175" i="24"/>
  <c r="CU175" i="24"/>
  <c r="DQ112" i="24"/>
  <c r="CW112" i="24"/>
  <c r="CX112" i="24" s="1"/>
  <c r="ES112" i="24"/>
  <c r="EV112" i="24" s="1"/>
  <c r="CL112" i="24"/>
  <c r="CY112" i="24"/>
  <c r="CU112" i="24"/>
  <c r="DQ228" i="24"/>
  <c r="CL228" i="24"/>
  <c r="CW228" i="24"/>
  <c r="CX228" i="24" s="1"/>
  <c r="CY228" i="24"/>
  <c r="CU228" i="24"/>
  <c r="DQ143" i="24"/>
  <c r="CL143" i="24"/>
  <c r="CW143" i="24"/>
  <c r="CX143" i="24" s="1"/>
  <c r="ES143" i="24"/>
  <c r="EV143" i="24" s="1"/>
  <c r="CU143" i="24"/>
  <c r="CY143" i="24"/>
  <c r="DQ243" i="24"/>
  <c r="CW243" i="24"/>
  <c r="CX243" i="24" s="1"/>
  <c r="CL243" i="24"/>
  <c r="CU243" i="24"/>
  <c r="CY243" i="24"/>
  <c r="DQ235" i="24"/>
  <c r="CL235" i="24"/>
  <c r="CY235" i="24"/>
  <c r="CW235" i="24"/>
  <c r="CX235" i="24" s="1"/>
  <c r="CU235" i="24"/>
  <c r="CL191" i="24"/>
  <c r="CU191" i="24"/>
  <c r="CY191" i="24"/>
  <c r="ES191" i="24"/>
  <c r="EV191" i="24" s="1"/>
  <c r="CW191" i="24"/>
  <c r="CX191" i="24" s="1"/>
  <c r="DQ191" i="24"/>
  <c r="DQ279" i="24"/>
  <c r="CL279" i="24"/>
  <c r="CW279" i="24"/>
  <c r="CX279" i="24" s="1"/>
  <c r="CU279" i="24"/>
  <c r="CY279" i="24"/>
  <c r="DQ222" i="24"/>
  <c r="CW222" i="24"/>
  <c r="CX222" i="24" s="1"/>
  <c r="CL222" i="24"/>
  <c r="CY222" i="24"/>
  <c r="CU222" i="24"/>
  <c r="CL276" i="24"/>
  <c r="CY276" i="24"/>
  <c r="CZ276" i="24" s="1"/>
  <c r="CW276" i="24"/>
  <c r="CX276" i="24" s="1"/>
  <c r="DQ276" i="24"/>
  <c r="CU276" i="24"/>
  <c r="ES185" i="24"/>
  <c r="EV185" i="24" s="1"/>
  <c r="CL185" i="24"/>
  <c r="CW185" i="24"/>
  <c r="CX185" i="24" s="1"/>
  <c r="DQ185" i="24"/>
  <c r="CU185" i="24"/>
  <c r="CY185" i="24"/>
  <c r="CL245" i="24"/>
  <c r="CY245" i="24"/>
  <c r="CZ245" i="24" s="1"/>
  <c r="DQ245" i="24"/>
  <c r="CW245" i="24"/>
  <c r="CX245" i="24" s="1"/>
  <c r="CU245" i="24"/>
  <c r="CU293" i="24"/>
  <c r="CW293" i="24"/>
  <c r="CX293" i="24" s="1"/>
  <c r="DQ293" i="24"/>
  <c r="CL293" i="24"/>
  <c r="CY293" i="24"/>
  <c r="CL262" i="24"/>
  <c r="DQ262" i="24"/>
  <c r="CW262" i="24"/>
  <c r="CX262" i="24" s="1"/>
  <c r="CU262" i="24"/>
  <c r="CY262" i="24"/>
  <c r="CL311" i="24"/>
  <c r="DQ311" i="24"/>
  <c r="CY311" i="24"/>
  <c r="CW311" i="24"/>
  <c r="CX311" i="24" s="1"/>
  <c r="CU311" i="24"/>
  <c r="ES204" i="24"/>
  <c r="EV204" i="24" s="1"/>
  <c r="CW204" i="24"/>
  <c r="CX204" i="24" s="1"/>
  <c r="CY204" i="24"/>
  <c r="CL204" i="24"/>
  <c r="DQ204" i="24"/>
  <c r="CU204" i="24"/>
  <c r="CL278" i="24"/>
  <c r="DQ278" i="24"/>
  <c r="CW278" i="24"/>
  <c r="CX278" i="24" s="1"/>
  <c r="CY278" i="24"/>
  <c r="CU278" i="24"/>
  <c r="CY280" i="24"/>
  <c r="CL280" i="24"/>
  <c r="CW280" i="24"/>
  <c r="CX280" i="24" s="1"/>
  <c r="CU280" i="24"/>
  <c r="DQ280" i="24"/>
  <c r="ES17" i="24"/>
  <c r="EV17" i="24" s="1"/>
  <c r="CW17" i="24"/>
  <c r="CX17" i="24" s="1"/>
  <c r="DQ17" i="24"/>
  <c r="CL17" i="24"/>
  <c r="CU17" i="24"/>
  <c r="CV17" i="24" s="1"/>
  <c r="CY17" i="24"/>
  <c r="ES57" i="24"/>
  <c r="EV57" i="24" s="1"/>
  <c r="DQ57" i="24"/>
  <c r="CW57" i="24"/>
  <c r="CX57" i="24" s="1"/>
  <c r="CL57" i="24"/>
  <c r="CY57" i="24"/>
  <c r="CU57" i="24"/>
  <c r="CV57" i="24" s="1"/>
  <c r="CL10" i="24"/>
  <c r="ES10" i="24"/>
  <c r="EV10" i="24" s="1"/>
  <c r="CW10" i="24"/>
  <c r="CX10" i="24" s="1"/>
  <c r="DQ10" i="24"/>
  <c r="CU10" i="24"/>
  <c r="CV10" i="24" s="1"/>
  <c r="CY10" i="24"/>
  <c r="DQ84" i="24"/>
  <c r="ES84" i="24"/>
  <c r="EV84" i="24" s="1"/>
  <c r="CU84" i="24"/>
  <c r="CV84" i="24" s="1"/>
  <c r="CW84" i="24"/>
  <c r="CX84" i="24" s="1"/>
  <c r="CL84" i="24"/>
  <c r="CY84" i="24"/>
  <c r="DQ58" i="24"/>
  <c r="ES58" i="24"/>
  <c r="EV58" i="24" s="1"/>
  <c r="CL58" i="24"/>
  <c r="CY58" i="24"/>
  <c r="CU58" i="24"/>
  <c r="CV58" i="24" s="1"/>
  <c r="CW58" i="24"/>
  <c r="CX58" i="24" s="1"/>
  <c r="ES62" i="24"/>
  <c r="EV62" i="24" s="1"/>
  <c r="CL62" i="24"/>
  <c r="CW62" i="24"/>
  <c r="CX62" i="24" s="1"/>
  <c r="CU62" i="24"/>
  <c r="CV62" i="24" s="1"/>
  <c r="CY62" i="24"/>
  <c r="DQ62" i="24"/>
  <c r="ES29" i="24"/>
  <c r="EV29" i="24" s="1"/>
  <c r="CL29" i="24"/>
  <c r="CW29" i="24"/>
  <c r="CX29" i="24" s="1"/>
  <c r="CY29" i="24"/>
  <c r="CU29" i="24"/>
  <c r="CV29" i="24" s="1"/>
  <c r="DQ29" i="24"/>
  <c r="CY60" i="24"/>
  <c r="CW60" i="24"/>
  <c r="CX60" i="24" s="1"/>
  <c r="ES60" i="24"/>
  <c r="EV60" i="24" s="1"/>
  <c r="DQ60" i="24"/>
  <c r="CL60" i="24"/>
  <c r="CU60" i="24"/>
  <c r="CV60" i="24" s="1"/>
  <c r="CY20" i="24"/>
  <c r="CU20" i="24"/>
  <c r="CV20" i="24" s="1"/>
  <c r="CL20" i="24"/>
  <c r="CW20" i="24"/>
  <c r="CX20" i="24" s="1"/>
  <c r="ES20" i="24"/>
  <c r="EV20" i="24" s="1"/>
  <c r="DQ20" i="24"/>
  <c r="DQ103" i="24"/>
  <c r="ES103" i="24"/>
  <c r="EV103" i="24" s="1"/>
  <c r="CL103" i="24"/>
  <c r="CW103" i="24"/>
  <c r="CX103" i="24" s="1"/>
  <c r="CY103" i="24"/>
  <c r="CU103" i="24"/>
  <c r="CV103" i="24" s="1"/>
  <c r="ES156" i="24"/>
  <c r="EV156" i="24" s="1"/>
  <c r="DQ156" i="24"/>
  <c r="CW156" i="24"/>
  <c r="CX156" i="24" s="1"/>
  <c r="CL156" i="24"/>
  <c r="CY156" i="24"/>
  <c r="CU156" i="24"/>
  <c r="CU89" i="24"/>
  <c r="CV89" i="24" s="1"/>
  <c r="DQ89" i="24"/>
  <c r="CL89" i="24"/>
  <c r="ES89" i="24"/>
  <c r="EV89" i="24" s="1"/>
  <c r="CW89" i="24"/>
  <c r="CX89" i="24" s="1"/>
  <c r="CY89" i="24"/>
  <c r="CZ89" i="24" s="1"/>
  <c r="ES193" i="24"/>
  <c r="EV193" i="24" s="1"/>
  <c r="DQ193" i="24"/>
  <c r="CW193" i="24"/>
  <c r="CX193" i="24" s="1"/>
  <c r="CL193" i="24"/>
  <c r="CY193" i="24"/>
  <c r="CU193" i="24"/>
  <c r="ES38" i="24"/>
  <c r="EV38" i="24" s="1"/>
  <c r="DQ38" i="24"/>
  <c r="CW38" i="24"/>
  <c r="CX38" i="24" s="1"/>
  <c r="CU38" i="24"/>
  <c r="CV38" i="24" s="1"/>
  <c r="CY38" i="24"/>
  <c r="CL38" i="24"/>
  <c r="DQ111" i="24"/>
  <c r="CW111" i="24"/>
  <c r="CX111" i="24" s="1"/>
  <c r="ES111" i="24"/>
  <c r="EV111" i="24" s="1"/>
  <c r="CY111" i="24"/>
  <c r="CL111" i="24"/>
  <c r="CU111" i="24"/>
  <c r="ES172" i="24"/>
  <c r="EV172" i="24" s="1"/>
  <c r="CW172" i="24"/>
  <c r="CX172" i="24" s="1"/>
  <c r="CU172" i="24"/>
  <c r="CL172" i="24"/>
  <c r="DQ172" i="24"/>
  <c r="CY172" i="24"/>
  <c r="ES133" i="24"/>
  <c r="EV133" i="24" s="1"/>
  <c r="DQ133" i="24"/>
  <c r="CL133" i="24"/>
  <c r="CW133" i="24"/>
  <c r="CX133" i="24" s="1"/>
  <c r="CY133" i="24"/>
  <c r="CU133" i="24"/>
  <c r="CW242" i="24"/>
  <c r="CX242" i="24" s="1"/>
  <c r="DQ242" i="24"/>
  <c r="CL242" i="24"/>
  <c r="CY242" i="24"/>
  <c r="CU242" i="24"/>
  <c r="ES164" i="24"/>
  <c r="EV164" i="24" s="1"/>
  <c r="CL164" i="24"/>
  <c r="DQ164" i="24"/>
  <c r="CW164" i="24"/>
  <c r="CX164" i="24" s="1"/>
  <c r="CU164" i="24"/>
  <c r="CY164" i="24"/>
  <c r="CL116" i="24"/>
  <c r="ES116" i="24"/>
  <c r="EV116" i="24" s="1"/>
  <c r="CW116" i="24"/>
  <c r="CX116" i="24" s="1"/>
  <c r="DQ116" i="24"/>
  <c r="CY116" i="24"/>
  <c r="CU116" i="24"/>
  <c r="CW194" i="24"/>
  <c r="CX194" i="24" s="1"/>
  <c r="CY194" i="24"/>
  <c r="CZ194" i="24" s="1"/>
  <c r="DQ194" i="24"/>
  <c r="CU194" i="24"/>
  <c r="ES194" i="24"/>
  <c r="EV194" i="24" s="1"/>
  <c r="CL194" i="24"/>
  <c r="CY115" i="24"/>
  <c r="CZ115" i="24" s="1"/>
  <c r="CW115" i="24"/>
  <c r="CX115" i="24" s="1"/>
  <c r="CU115" i="24"/>
  <c r="DQ115" i="24"/>
  <c r="ES115" i="24"/>
  <c r="EV115" i="24" s="1"/>
  <c r="CL115" i="24"/>
  <c r="DQ250" i="24"/>
  <c r="CY250" i="24"/>
  <c r="CZ250" i="24" s="1"/>
  <c r="CW250" i="24"/>
  <c r="CX250" i="24" s="1"/>
  <c r="CL250" i="24"/>
  <c r="CU250" i="24"/>
  <c r="ES150" i="24"/>
  <c r="EV150" i="24" s="1"/>
  <c r="CL150" i="24"/>
  <c r="DQ150" i="24"/>
  <c r="CU150" i="24"/>
  <c r="CW150" i="24"/>
  <c r="CX150" i="24" s="1"/>
  <c r="CY150" i="24"/>
  <c r="DQ291" i="24"/>
  <c r="CL291" i="24"/>
  <c r="CW291" i="24"/>
  <c r="CX291" i="24" s="1"/>
  <c r="CY291" i="24"/>
  <c r="CU291" i="24"/>
  <c r="CL240" i="24"/>
  <c r="CW240" i="24"/>
  <c r="CX240" i="24" s="1"/>
  <c r="DQ240" i="24"/>
  <c r="CY240" i="24"/>
  <c r="CU240" i="24"/>
  <c r="ES192" i="24"/>
  <c r="EV192" i="24" s="1"/>
  <c r="CW192" i="24"/>
  <c r="CX192" i="24" s="1"/>
  <c r="CL192" i="24"/>
  <c r="DQ192" i="24"/>
  <c r="CY192" i="24"/>
  <c r="CU192" i="24"/>
  <c r="DQ286" i="24"/>
  <c r="CY286" i="24"/>
  <c r="CL286" i="24"/>
  <c r="CW286" i="24"/>
  <c r="CX286" i="24" s="1"/>
  <c r="CU286" i="24"/>
  <c r="CL224" i="24"/>
  <c r="DQ224" i="24"/>
  <c r="CW224" i="24"/>
  <c r="CX224" i="24" s="1"/>
  <c r="CU224" i="24"/>
  <c r="CY224" i="24"/>
  <c r="DQ277" i="24"/>
  <c r="CY277" i="24"/>
  <c r="CL277" i="24"/>
  <c r="CW277" i="24"/>
  <c r="CX277" i="24" s="1"/>
  <c r="CU277" i="24"/>
  <c r="CL187" i="24"/>
  <c r="CY187" i="24"/>
  <c r="ES187" i="24"/>
  <c r="EV187" i="24" s="1"/>
  <c r="CU187" i="24"/>
  <c r="CW187" i="24"/>
  <c r="CX187" i="24" s="1"/>
  <c r="DQ187" i="24"/>
  <c r="CY253" i="24"/>
  <c r="DQ253" i="24"/>
  <c r="CW253" i="24"/>
  <c r="CX253" i="24" s="1"/>
  <c r="CL253" i="24"/>
  <c r="CU253" i="24"/>
  <c r="CL200" i="24"/>
  <c r="CW200" i="24"/>
  <c r="CX200" i="24" s="1"/>
  <c r="DQ200" i="24"/>
  <c r="ES200" i="24"/>
  <c r="EV200" i="24" s="1"/>
  <c r="CY200" i="24"/>
  <c r="CU200" i="24"/>
  <c r="CL282" i="24"/>
  <c r="CY282" i="24"/>
  <c r="CU282" i="24"/>
  <c r="CW282" i="24"/>
  <c r="CX282" i="24" s="1"/>
  <c r="DQ282" i="24"/>
  <c r="CW314" i="24"/>
  <c r="CX314" i="24" s="1"/>
  <c r="CU314" i="24"/>
  <c r="CL314" i="24"/>
  <c r="CY314" i="24"/>
  <c r="DQ314" i="24"/>
  <c r="CW205" i="24"/>
  <c r="CX205" i="24" s="1"/>
  <c r="CY205" i="24"/>
  <c r="DQ205" i="24"/>
  <c r="CU205" i="24"/>
  <c r="CL205" i="24"/>
  <c r="ES205" i="24"/>
  <c r="EV205" i="24" s="1"/>
  <c r="CL281" i="24"/>
  <c r="DQ281" i="24"/>
  <c r="CW281" i="24"/>
  <c r="CX281" i="24" s="1"/>
  <c r="CU281" i="24"/>
  <c r="CY281" i="24"/>
  <c r="CU289" i="24"/>
  <c r="CL289" i="24"/>
  <c r="CY289" i="24"/>
  <c r="DQ289" i="24"/>
  <c r="CW289" i="24"/>
  <c r="CX289" i="24" s="1"/>
  <c r="ES30" i="24"/>
  <c r="EV30" i="24" s="1"/>
  <c r="DQ30" i="24"/>
  <c r="CY30" i="24"/>
  <c r="CW30" i="24"/>
  <c r="CX30" i="24" s="1"/>
  <c r="CL30" i="24"/>
  <c r="CU30" i="24"/>
  <c r="CV30" i="24" s="1"/>
  <c r="CY72" i="24"/>
  <c r="ES72" i="24"/>
  <c r="EV72" i="24" s="1"/>
  <c r="DQ72" i="24"/>
  <c r="CW72" i="24"/>
  <c r="CX72" i="24" s="1"/>
  <c r="CL72" i="24"/>
  <c r="CU72" i="24"/>
  <c r="CV72" i="24" s="1"/>
  <c r="CL18" i="24"/>
  <c r="ES18" i="24"/>
  <c r="EV18" i="24" s="1"/>
  <c r="CW18" i="24"/>
  <c r="CX18" i="24" s="1"/>
  <c r="DQ18" i="24"/>
  <c r="CY18" i="24"/>
  <c r="CZ18" i="24" s="1"/>
  <c r="CU18" i="24"/>
  <c r="CV18" i="24" s="1"/>
  <c r="ES52" i="24"/>
  <c r="EV52" i="24" s="1"/>
  <c r="DQ52" i="24"/>
  <c r="CW52" i="24"/>
  <c r="CX52" i="24" s="1"/>
  <c r="CU52" i="24"/>
  <c r="CV52" i="24" s="1"/>
  <c r="CL52" i="24"/>
  <c r="CY52" i="24"/>
  <c r="CZ52" i="24" s="1"/>
  <c r="DQ6" i="24"/>
  <c r="CY6" i="24"/>
  <c r="CU6" i="24"/>
  <c r="CV6" i="24" s="1"/>
  <c r="CL6" i="24"/>
  <c r="CW6" i="24"/>
  <c r="CX6" i="24" s="1"/>
  <c r="ES6" i="24"/>
  <c r="EV6" i="24" s="1"/>
  <c r="ES73" i="24"/>
  <c r="EV73" i="24" s="1"/>
  <c r="DQ73" i="24"/>
  <c r="CU73" i="24"/>
  <c r="CV73" i="24" s="1"/>
  <c r="CW73" i="24"/>
  <c r="CX73" i="24" s="1"/>
  <c r="CY73" i="24"/>
  <c r="CL73" i="24"/>
  <c r="ES14" i="24"/>
  <c r="EV14" i="24" s="1"/>
  <c r="DQ14" i="24"/>
  <c r="CY14" i="24"/>
  <c r="CZ14" i="24" s="1"/>
  <c r="CW14" i="24"/>
  <c r="CX14" i="24" s="1"/>
  <c r="CL14" i="24"/>
  <c r="CU14" i="24"/>
  <c r="CV14" i="24" s="1"/>
  <c r="CL64" i="24"/>
  <c r="DQ64" i="24"/>
  <c r="CY64" i="24"/>
  <c r="CW64" i="24"/>
  <c r="CX64" i="24" s="1"/>
  <c r="ES64" i="24"/>
  <c r="EV64" i="24" s="1"/>
  <c r="CU64" i="24"/>
  <c r="CV64" i="24" s="1"/>
  <c r="CL70" i="24"/>
  <c r="DQ70" i="24"/>
  <c r="CY70" i="24"/>
  <c r="CZ70" i="24" s="1"/>
  <c r="CW70" i="24"/>
  <c r="CX70" i="24" s="1"/>
  <c r="CU70" i="24"/>
  <c r="CV70" i="24" s="1"/>
  <c r="ES70" i="24"/>
  <c r="EV70" i="24" s="1"/>
  <c r="DQ118" i="24"/>
  <c r="CU118" i="24"/>
  <c r="CL118" i="24"/>
  <c r="CY118" i="24"/>
  <c r="CW118" i="24"/>
  <c r="CX118" i="24" s="1"/>
  <c r="ES118" i="24"/>
  <c r="EV118" i="24" s="1"/>
  <c r="DQ162" i="24"/>
  <c r="CL162" i="24"/>
  <c r="CW162" i="24"/>
  <c r="CX162" i="24" s="1"/>
  <c r="CY162" i="24"/>
  <c r="CU162" i="24"/>
  <c r="ES162" i="24"/>
  <c r="EV162" i="24" s="1"/>
  <c r="ES113" i="24"/>
  <c r="EV113" i="24" s="1"/>
  <c r="CU113" i="24"/>
  <c r="CW113" i="24"/>
  <c r="CX113" i="24" s="1"/>
  <c r="DQ113" i="24"/>
  <c r="CL113" i="24"/>
  <c r="CY113" i="24"/>
  <c r="DQ234" i="24"/>
  <c r="CL234" i="24"/>
  <c r="CY234" i="24"/>
  <c r="CW234" i="24"/>
  <c r="CX234" i="24" s="1"/>
  <c r="CU234" i="24"/>
  <c r="ES40" i="24"/>
  <c r="EV40" i="24" s="1"/>
  <c r="DQ40" i="24"/>
  <c r="CY40" i="24"/>
  <c r="CU40" i="24"/>
  <c r="CV40" i="24" s="1"/>
  <c r="CL40" i="24"/>
  <c r="CW40" i="24"/>
  <c r="CX40" i="24" s="1"/>
  <c r="ES136" i="24"/>
  <c r="EV136" i="24" s="1"/>
  <c r="CU136" i="24"/>
  <c r="CL136" i="24"/>
  <c r="DQ136" i="24"/>
  <c r="CW136" i="24"/>
  <c r="CX136" i="24" s="1"/>
  <c r="CY136" i="24"/>
  <c r="CY217" i="24"/>
  <c r="CW217" i="24"/>
  <c r="CX217" i="24" s="1"/>
  <c r="CU217" i="24"/>
  <c r="CL217" i="24"/>
  <c r="DQ217" i="24"/>
  <c r="ES146" i="24"/>
  <c r="EV146" i="24" s="1"/>
  <c r="CL146" i="24"/>
  <c r="DQ146" i="24"/>
  <c r="CW146" i="24"/>
  <c r="CX146" i="24" s="1"/>
  <c r="CU146" i="24"/>
  <c r="CY146" i="24"/>
  <c r="DQ244" i="24"/>
  <c r="CY244" i="24"/>
  <c r="CW244" i="24"/>
  <c r="CX244" i="24" s="1"/>
  <c r="CU244" i="24"/>
  <c r="CL244" i="24"/>
  <c r="DQ177" i="24"/>
  <c r="CW177" i="24"/>
  <c r="CX177" i="24" s="1"/>
  <c r="CY177" i="24"/>
  <c r="CL177" i="24"/>
  <c r="ES177" i="24"/>
  <c r="EV177" i="24" s="1"/>
  <c r="CU177" i="24"/>
  <c r="CY123" i="24"/>
  <c r="CU123" i="24"/>
  <c r="CL123" i="24"/>
  <c r="DQ123" i="24"/>
  <c r="ES123" i="24"/>
  <c r="EV123" i="24" s="1"/>
  <c r="CW123" i="24"/>
  <c r="CX123" i="24" s="1"/>
  <c r="DQ209" i="24"/>
  <c r="CL209" i="24"/>
  <c r="ES209" i="24"/>
  <c r="EV209" i="24" s="1"/>
  <c r="CW209" i="24"/>
  <c r="CX209" i="24" s="1"/>
  <c r="CY209" i="24"/>
  <c r="CU209" i="24"/>
  <c r="CL153" i="24"/>
  <c r="ES153" i="24"/>
  <c r="EV153" i="24" s="1"/>
  <c r="DQ153" i="24"/>
  <c r="CW153" i="24"/>
  <c r="CX153" i="24" s="1"/>
  <c r="CU153" i="24"/>
  <c r="CY153" i="24"/>
  <c r="ES83" i="24"/>
  <c r="EV83" i="24" s="1"/>
  <c r="CL83" i="24"/>
  <c r="DQ83" i="24"/>
  <c r="CW83" i="24"/>
  <c r="CX83" i="24" s="1"/>
  <c r="CY83" i="24"/>
  <c r="CZ83" i="24" s="1"/>
  <c r="CU83" i="24"/>
  <c r="CV83" i="24" s="1"/>
  <c r="ES157" i="24"/>
  <c r="EV157" i="24" s="1"/>
  <c r="CY157" i="24"/>
  <c r="CW157" i="24"/>
  <c r="CX157" i="24" s="1"/>
  <c r="DQ157" i="24"/>
  <c r="CL157" i="24"/>
  <c r="CU157" i="24"/>
  <c r="DQ298" i="24"/>
  <c r="CW298" i="24"/>
  <c r="CX298" i="24" s="1"/>
  <c r="CL298" i="24"/>
  <c r="CU298" i="24"/>
  <c r="CY298" i="24"/>
  <c r="DQ263" i="24"/>
  <c r="CL263" i="24"/>
  <c r="CW263" i="24"/>
  <c r="CX263" i="24" s="1"/>
  <c r="CU263" i="24"/>
  <c r="CY263" i="24"/>
  <c r="CL221" i="24"/>
  <c r="CY221" i="24"/>
  <c r="CU221" i="24"/>
  <c r="CW221" i="24"/>
  <c r="CX221" i="24" s="1"/>
  <c r="DQ221" i="24"/>
  <c r="CW294" i="24"/>
  <c r="CX294" i="24" s="1"/>
  <c r="DQ294" i="24"/>
  <c r="CY294" i="24"/>
  <c r="CL294" i="24"/>
  <c r="CU294" i="24"/>
  <c r="CL226" i="24"/>
  <c r="CW226" i="24"/>
  <c r="CX226" i="24" s="1"/>
  <c r="DQ226" i="24"/>
  <c r="CU226" i="24"/>
  <c r="CY226" i="24"/>
  <c r="CL285" i="24"/>
  <c r="DQ285" i="24"/>
  <c r="CW285" i="24"/>
  <c r="CX285" i="24" s="1"/>
  <c r="CY285" i="24"/>
  <c r="CU285" i="24"/>
  <c r="ES203" i="24"/>
  <c r="EV203" i="24" s="1"/>
  <c r="DQ203" i="24"/>
  <c r="CL203" i="24"/>
  <c r="CW203" i="24"/>
  <c r="CX203" i="24" s="1"/>
  <c r="CY203" i="24"/>
  <c r="CU203" i="24"/>
  <c r="DQ255" i="24"/>
  <c r="CL255" i="24"/>
  <c r="CY255" i="24"/>
  <c r="CU255" i="24"/>
  <c r="CW255" i="24"/>
  <c r="CX255" i="24" s="1"/>
  <c r="ES206" i="24"/>
  <c r="EV206" i="24" s="1"/>
  <c r="CL206" i="24"/>
  <c r="DQ206" i="24"/>
  <c r="CW206" i="24"/>
  <c r="CX206" i="24" s="1"/>
  <c r="CY206" i="24"/>
  <c r="CU206" i="24"/>
  <c r="CL284" i="24"/>
  <c r="CW284" i="24"/>
  <c r="CX284" i="24" s="1"/>
  <c r="CY284" i="24"/>
  <c r="DQ284" i="24"/>
  <c r="CU284" i="24"/>
  <c r="DQ189" i="24"/>
  <c r="CU189" i="24"/>
  <c r="CL189" i="24"/>
  <c r="CY189" i="24"/>
  <c r="CZ189" i="24" s="1"/>
  <c r="CW189" i="24"/>
  <c r="CX189" i="24" s="1"/>
  <c r="ES189" i="24"/>
  <c r="EV189" i="24" s="1"/>
  <c r="DQ236" i="24"/>
  <c r="CL236" i="24"/>
  <c r="CW236" i="24"/>
  <c r="CX236" i="24" s="1"/>
  <c r="CY236" i="24"/>
  <c r="CU236" i="24"/>
  <c r="CL283" i="24"/>
  <c r="DQ283" i="24"/>
  <c r="CW283" i="24"/>
  <c r="CX283" i="24" s="1"/>
  <c r="CY283" i="24"/>
  <c r="CU283" i="24"/>
  <c r="DQ296" i="24"/>
  <c r="CL296" i="24"/>
  <c r="CY296" i="24"/>
  <c r="CW296" i="24"/>
  <c r="CX296" i="24" s="1"/>
  <c r="CU296" i="24"/>
  <c r="DQ15" i="24"/>
  <c r="ES15" i="24"/>
  <c r="EV15" i="24" s="1"/>
  <c r="CL15" i="24"/>
  <c r="CW15" i="24"/>
  <c r="CX15" i="24" s="1"/>
  <c r="CY15" i="24"/>
  <c r="CU15" i="24"/>
  <c r="CV15" i="24" s="1"/>
  <c r="CW86" i="24"/>
  <c r="CX86" i="24" s="1"/>
  <c r="ES86" i="24"/>
  <c r="EV86" i="24" s="1"/>
  <c r="DQ86" i="24"/>
  <c r="CL86" i="24"/>
  <c r="CU86" i="24"/>
  <c r="CV86" i="24" s="1"/>
  <c r="CY86" i="24"/>
  <c r="CW45" i="24"/>
  <c r="CX45" i="24" s="1"/>
  <c r="DQ45" i="24"/>
  <c r="CL45" i="24"/>
  <c r="ES45" i="24"/>
  <c r="EV45" i="24" s="1"/>
  <c r="CY45" i="24"/>
  <c r="CU45" i="24"/>
  <c r="CV45" i="24" s="1"/>
  <c r="ES21" i="24"/>
  <c r="EV21" i="24" s="1"/>
  <c r="CL21" i="24"/>
  <c r="CY21" i="24"/>
  <c r="CW21" i="24"/>
  <c r="CX21" i="24" s="1"/>
  <c r="CU21" i="24"/>
  <c r="CV21" i="24" s="1"/>
  <c r="DQ21" i="24"/>
  <c r="DQ9" i="24"/>
  <c r="CL9" i="24"/>
  <c r="CU9" i="24"/>
  <c r="CV9" i="24" s="1"/>
  <c r="CW9" i="24"/>
  <c r="CX9" i="24" s="1"/>
  <c r="ES9" i="24"/>
  <c r="EV9" i="24" s="1"/>
  <c r="CY9" i="24"/>
  <c r="ES75" i="24"/>
  <c r="EV75" i="24" s="1"/>
  <c r="CL75" i="24"/>
  <c r="DQ75" i="24"/>
  <c r="CW75" i="24"/>
  <c r="CX75" i="24" s="1"/>
  <c r="CY75" i="24"/>
  <c r="CU75" i="24"/>
  <c r="CV75" i="24" s="1"/>
  <c r="DQ36" i="24"/>
  <c r="CU36" i="24"/>
  <c r="CV36" i="24" s="1"/>
  <c r="ES36" i="24"/>
  <c r="EV36" i="24" s="1"/>
  <c r="CW36" i="24"/>
  <c r="CX36" i="24" s="1"/>
  <c r="CL36" i="24"/>
  <c r="CY36" i="24"/>
  <c r="CL66" i="24"/>
  <c r="ES66" i="24"/>
  <c r="EV66" i="24" s="1"/>
  <c r="DQ66" i="24"/>
  <c r="CW66" i="24"/>
  <c r="CX66" i="24" s="1"/>
  <c r="CY66" i="24"/>
  <c r="CU66" i="24"/>
  <c r="CV66" i="24" s="1"/>
  <c r="DQ41" i="24"/>
  <c r="ES41" i="24"/>
  <c r="EV41" i="24" s="1"/>
  <c r="CL41" i="24"/>
  <c r="CW41" i="24"/>
  <c r="CX41" i="24" s="1"/>
  <c r="CY41" i="24"/>
  <c r="CU41" i="24"/>
  <c r="CV41" i="24" s="1"/>
  <c r="DQ119" i="24"/>
  <c r="CY119" i="24"/>
  <c r="CU119" i="24"/>
  <c r="CL119" i="24"/>
  <c r="ES119" i="24"/>
  <c r="EV119" i="24" s="1"/>
  <c r="CW119" i="24"/>
  <c r="CX119" i="24" s="1"/>
  <c r="DQ167" i="24"/>
  <c r="CY167" i="24"/>
  <c r="CW167" i="24"/>
  <c r="CX167" i="24" s="1"/>
  <c r="CU167" i="24"/>
  <c r="ES167" i="24"/>
  <c r="EV167" i="24" s="1"/>
  <c r="CL167" i="24"/>
  <c r="DQ120" i="24"/>
  <c r="ES120" i="24"/>
  <c r="EV120" i="24" s="1"/>
  <c r="CW120" i="24"/>
  <c r="CX120" i="24" s="1"/>
  <c r="CL120" i="24"/>
  <c r="CY120" i="24"/>
  <c r="CU120" i="24"/>
  <c r="DQ258" i="24"/>
  <c r="CW258" i="24"/>
  <c r="CX258" i="24" s="1"/>
  <c r="CL258" i="24"/>
  <c r="CY258" i="24"/>
  <c r="CU258" i="24"/>
  <c r="CW47" i="24"/>
  <c r="CX47" i="24" s="1"/>
  <c r="DQ47" i="24"/>
  <c r="CL47" i="24"/>
  <c r="CY47" i="24"/>
  <c r="ES47" i="24"/>
  <c r="EV47" i="24" s="1"/>
  <c r="CU47" i="24"/>
  <c r="CV47" i="24" s="1"/>
  <c r="CU139" i="24"/>
  <c r="CL139" i="24"/>
  <c r="ES139" i="24"/>
  <c r="EV139" i="24" s="1"/>
  <c r="CY139" i="24"/>
  <c r="CW139" i="24"/>
  <c r="CX139" i="24" s="1"/>
  <c r="DQ139" i="24"/>
  <c r="CU264" i="24"/>
  <c r="CL264" i="24"/>
  <c r="CW264" i="24"/>
  <c r="CX264" i="24" s="1"/>
  <c r="CY264" i="24"/>
  <c r="DQ264" i="24"/>
  <c r="ES148" i="24"/>
  <c r="EV148" i="24" s="1"/>
  <c r="CL148" i="24"/>
  <c r="CW148" i="24"/>
  <c r="CX148" i="24" s="1"/>
  <c r="DQ148" i="24"/>
  <c r="CY148" i="24"/>
  <c r="CU148" i="24"/>
  <c r="DQ81" i="24"/>
  <c r="ES81" i="24"/>
  <c r="EV81" i="24" s="1"/>
  <c r="CY81" i="24"/>
  <c r="CZ81" i="24" s="1"/>
  <c r="CU81" i="24"/>
  <c r="CV81" i="24" s="1"/>
  <c r="CL81" i="24"/>
  <c r="CW81" i="24"/>
  <c r="CX81" i="24" s="1"/>
  <c r="ES179" i="24"/>
  <c r="EV179" i="24" s="1"/>
  <c r="CL179" i="24"/>
  <c r="CY179" i="24"/>
  <c r="DQ179" i="24"/>
  <c r="CW179" i="24"/>
  <c r="CX179" i="24" s="1"/>
  <c r="CU179" i="24"/>
  <c r="CL132" i="24"/>
  <c r="ES132" i="24"/>
  <c r="EV132" i="24" s="1"/>
  <c r="CW132" i="24"/>
  <c r="CX132" i="24" s="1"/>
  <c r="DQ132" i="24"/>
  <c r="CY132" i="24"/>
  <c r="CU132" i="24"/>
  <c r="DQ307" i="24"/>
  <c r="CW307" i="24"/>
  <c r="CX307" i="24" s="1"/>
  <c r="CL307" i="24"/>
  <c r="CY307" i="24"/>
  <c r="CU307" i="24"/>
  <c r="ES161" i="24"/>
  <c r="EV161" i="24" s="1"/>
  <c r="CY161" i="24"/>
  <c r="DQ161" i="24"/>
  <c r="CL161" i="24"/>
  <c r="CW161" i="24"/>
  <c r="CX161" i="24" s="1"/>
  <c r="CU161" i="24"/>
  <c r="ES98" i="24"/>
  <c r="EV98" i="24" s="1"/>
  <c r="CL98" i="24"/>
  <c r="DQ98" i="24"/>
  <c r="CW98" i="24"/>
  <c r="CX98" i="24" s="1"/>
  <c r="CY98" i="24"/>
  <c r="CU98" i="24"/>
  <c r="CV98" i="24" s="1"/>
  <c r="DQ171" i="24"/>
  <c r="CL171" i="24"/>
  <c r="ES171" i="24"/>
  <c r="EV171" i="24" s="1"/>
  <c r="CY171" i="24"/>
  <c r="CZ171" i="24" s="1"/>
  <c r="CW171" i="24"/>
  <c r="CX171" i="24" s="1"/>
  <c r="CU171" i="24"/>
  <c r="CW306" i="24"/>
  <c r="CX306" i="24" s="1"/>
  <c r="CL306" i="24"/>
  <c r="CU306" i="24"/>
  <c r="CY306" i="24"/>
  <c r="DQ306" i="24"/>
  <c r="DQ267" i="24"/>
  <c r="CL267" i="24"/>
  <c r="CY267" i="24"/>
  <c r="CU267" i="24"/>
  <c r="CW267" i="24"/>
  <c r="CX267" i="24" s="1"/>
  <c r="CW233" i="24"/>
  <c r="CX233" i="24" s="1"/>
  <c r="CU233" i="24"/>
  <c r="CL233" i="24"/>
  <c r="DQ233" i="24"/>
  <c r="CY233" i="24"/>
  <c r="DQ309" i="24"/>
  <c r="CY309" i="24"/>
  <c r="CL309" i="24"/>
  <c r="CW309" i="24"/>
  <c r="CX309" i="24" s="1"/>
  <c r="CU309" i="24"/>
  <c r="CL232" i="24"/>
  <c r="DQ232" i="24"/>
  <c r="CY232" i="24"/>
  <c r="CZ232" i="24" s="1"/>
  <c r="CW232" i="24"/>
  <c r="CX232" i="24" s="1"/>
  <c r="CU232" i="24"/>
  <c r="CL297" i="24"/>
  <c r="CU297" i="24"/>
  <c r="DQ297" i="24"/>
  <c r="CY297" i="24"/>
  <c r="CW297" i="24"/>
  <c r="CX297" i="24" s="1"/>
  <c r="CL208" i="24"/>
  <c r="CW208" i="24"/>
  <c r="CX208" i="24" s="1"/>
  <c r="DQ208" i="24"/>
  <c r="ES208" i="24"/>
  <c r="EV208" i="24" s="1"/>
  <c r="CY208" i="24"/>
  <c r="CU208" i="24"/>
  <c r="CL259" i="24"/>
  <c r="DQ259" i="24"/>
  <c r="CY259" i="24"/>
  <c r="CW259" i="24"/>
  <c r="CX259" i="24" s="1"/>
  <c r="CU259" i="24"/>
  <c r="DQ219" i="24"/>
  <c r="CU219" i="24"/>
  <c r="CL219" i="24"/>
  <c r="CW219" i="24"/>
  <c r="CX219" i="24" s="1"/>
  <c r="CY219" i="24"/>
  <c r="CL287" i="24"/>
  <c r="CW287" i="24"/>
  <c r="CX287" i="24" s="1"/>
  <c r="DQ287" i="24"/>
  <c r="CY287" i="24"/>
  <c r="CU287" i="24"/>
  <c r="CW190" i="24"/>
  <c r="CX190" i="24" s="1"/>
  <c r="CL190" i="24"/>
  <c r="DQ190" i="24"/>
  <c r="ES190" i="24"/>
  <c r="EV190" i="24" s="1"/>
  <c r="CU190" i="24"/>
  <c r="CY190" i="24"/>
  <c r="CW238" i="24"/>
  <c r="CX238" i="24" s="1"/>
  <c r="CL238" i="24"/>
  <c r="DQ238" i="24"/>
  <c r="CU238" i="24"/>
  <c r="CY238" i="24"/>
  <c r="CU302" i="24"/>
  <c r="DQ302" i="24"/>
  <c r="CW302" i="24"/>
  <c r="CX302" i="24" s="1"/>
  <c r="CL302" i="24"/>
  <c r="CY302" i="24"/>
  <c r="DQ300" i="24"/>
  <c r="CL300" i="24"/>
  <c r="CW300" i="24"/>
  <c r="CX300" i="24" s="1"/>
  <c r="CY300" i="24"/>
  <c r="CU300" i="24"/>
  <c r="J77" i="23"/>
  <c r="L77" i="23" s="1"/>
  <c r="B25" i="2"/>
  <c r="AY7" i="19"/>
  <c r="BD7" i="19" s="1"/>
  <c r="BN7" i="19"/>
  <c r="AY8" i="19"/>
  <c r="BC8" i="19" s="1"/>
  <c r="BN8" i="19"/>
  <c r="AY6" i="19"/>
  <c r="BJ6" i="19" s="1"/>
  <c r="BN6" i="19"/>
  <c r="AY9" i="19"/>
  <c r="BN9" i="19"/>
  <c r="J67" i="23"/>
  <c r="L67" i="23" s="1"/>
  <c r="G71" i="23"/>
  <c r="H71" i="23" s="1"/>
  <c r="G17" i="23"/>
  <c r="H17" i="23" s="1"/>
  <c r="G32" i="23"/>
  <c r="H32" i="23" s="1"/>
  <c r="G54" i="23"/>
  <c r="H54" i="23" s="1"/>
  <c r="G101" i="23"/>
  <c r="H101" i="23" s="1"/>
  <c r="G30" i="23"/>
  <c r="H30" i="23" s="1"/>
  <c r="G51" i="23"/>
  <c r="H51" i="23" s="1"/>
  <c r="J103" i="23"/>
  <c r="K103" i="23" s="1"/>
  <c r="G25" i="23"/>
  <c r="H25" i="23" s="1"/>
  <c r="G80" i="23"/>
  <c r="H80" i="23" s="1"/>
  <c r="G21" i="23"/>
  <c r="H21" i="23" s="1"/>
  <c r="G105" i="23"/>
  <c r="H105" i="23" s="1"/>
  <c r="J63" i="23"/>
  <c r="L63" i="23" s="1"/>
  <c r="J88" i="23"/>
  <c r="K88" i="23" s="1"/>
  <c r="J49" i="23"/>
  <c r="K49" i="23" s="1"/>
  <c r="G92" i="23"/>
  <c r="H92" i="23" s="1"/>
  <c r="G22" i="23"/>
  <c r="H22" i="23" s="1"/>
  <c r="J20" i="23"/>
  <c r="L20" i="23" s="1"/>
  <c r="G53" i="23"/>
  <c r="H53" i="23" s="1"/>
  <c r="G73" i="23"/>
  <c r="H73" i="23" s="1"/>
  <c r="G46" i="23"/>
  <c r="H46" i="23" s="1"/>
  <c r="G6" i="23"/>
  <c r="H6" i="23" s="1"/>
  <c r="G94" i="23"/>
  <c r="H94" i="23" s="1"/>
  <c r="G90" i="23"/>
  <c r="H90" i="23" s="1"/>
  <c r="G14" i="23"/>
  <c r="H14" i="23" s="1"/>
  <c r="J60" i="23"/>
  <c r="K60" i="23" s="1"/>
  <c r="J10" i="8"/>
  <c r="B195" i="2" s="1"/>
  <c r="B259" i="2" s="1"/>
  <c r="J84" i="23"/>
  <c r="L84" i="23" s="1"/>
  <c r="G81" i="23"/>
  <c r="H81" i="23" s="1"/>
  <c r="G52" i="23"/>
  <c r="H52" i="23" s="1"/>
  <c r="G87" i="23"/>
  <c r="H87" i="23" s="1"/>
  <c r="G47" i="23"/>
  <c r="H47" i="23" s="1"/>
  <c r="G15" i="23"/>
  <c r="H15" i="23" s="1"/>
  <c r="G34" i="23"/>
  <c r="H34" i="23" s="1"/>
  <c r="Q34" i="23"/>
  <c r="Q44" i="23"/>
  <c r="Q106" i="23"/>
  <c r="Q14" i="23"/>
  <c r="Q81" i="23"/>
  <c r="Q91" i="23"/>
  <c r="Q6" i="23"/>
  <c r="Q48" i="23"/>
  <c r="Q82" i="23"/>
  <c r="Q93" i="23"/>
  <c r="Q22" i="23"/>
  <c r="Q99" i="23"/>
  <c r="Q42" i="23"/>
  <c r="Q35" i="23"/>
  <c r="Q9" i="23"/>
  <c r="Q78" i="23"/>
  <c r="Q75" i="23"/>
  <c r="Q88" i="23"/>
  <c r="Q63" i="23"/>
  <c r="Q101" i="23"/>
  <c r="Q29" i="23"/>
  <c r="Q98" i="23"/>
  <c r="Q19" i="23"/>
  <c r="Q12" i="23"/>
  <c r="Q89" i="23"/>
  <c r="Q33" i="23"/>
  <c r="Q38" i="23"/>
  <c r="Q102" i="23"/>
  <c r="Q27" i="23"/>
  <c r="Q95" i="23"/>
  <c r="Q37" i="23"/>
  <c r="Q58" i="23"/>
  <c r="Q7" i="23"/>
  <c r="Q28" i="23"/>
  <c r="Q47" i="23"/>
  <c r="J24" i="23"/>
  <c r="K24" i="23" s="1"/>
  <c r="J97" i="23"/>
  <c r="K97" i="23" s="1"/>
  <c r="H5" i="24"/>
  <c r="Q23" i="23"/>
  <c r="Q59" i="23"/>
  <c r="Q13" i="23"/>
  <c r="Q76" i="23"/>
  <c r="Q17" i="23"/>
  <c r="Q96" i="23"/>
  <c r="Q21" i="23"/>
  <c r="Q87" i="23"/>
  <c r="Q94" i="23"/>
  <c r="Q71" i="23"/>
  <c r="Q84" i="23"/>
  <c r="Q24" i="23"/>
  <c r="Q97" i="23"/>
  <c r="Q54" i="23"/>
  <c r="Q103" i="23"/>
  <c r="Q20" i="23"/>
  <c r="Q31" i="23"/>
  <c r="Q10" i="23"/>
  <c r="Q40" i="23"/>
  <c r="Q64" i="23"/>
  <c r="Q61" i="23"/>
  <c r="Q57" i="23"/>
  <c r="Q62" i="23"/>
  <c r="Q67" i="23"/>
  <c r="Q36" i="23"/>
  <c r="Q85" i="23"/>
  <c r="Q68" i="23"/>
  <c r="Q86" i="23"/>
  <c r="Q73" i="23"/>
  <c r="Q104" i="23"/>
  <c r="Q100" i="23"/>
  <c r="Q25" i="23"/>
  <c r="Q30" i="23"/>
  <c r="Q11" i="23"/>
  <c r="Q45" i="23"/>
  <c r="Q50" i="23"/>
  <c r="Q51" i="23"/>
  <c r="Q15" i="23"/>
  <c r="Q49" i="23"/>
  <c r="Q32" i="23"/>
  <c r="Q56" i="23"/>
  <c r="Q74" i="23"/>
  <c r="G82" i="23"/>
  <c r="H82" i="23" s="1"/>
  <c r="G102" i="23"/>
  <c r="H102" i="23" s="1"/>
  <c r="G13" i="23"/>
  <c r="H13" i="23" s="1"/>
  <c r="G104" i="23"/>
  <c r="H104" i="23" s="1"/>
  <c r="Q41" i="23"/>
  <c r="Q46" i="23"/>
  <c r="Q16" i="23"/>
  <c r="Q92" i="23"/>
  <c r="Q43" i="23"/>
  <c r="Q105" i="23"/>
  <c r="Q18" i="23"/>
  <c r="Q66" i="23"/>
  <c r="Q55" i="23"/>
  <c r="Q39" i="23"/>
  <c r="Q72" i="23"/>
  <c r="Q69" i="23"/>
  <c r="Q70" i="23"/>
  <c r="Q60" i="23"/>
  <c r="Q53" i="23"/>
  <c r="Q77" i="23"/>
  <c r="Q52" i="23"/>
  <c r="Q80" i="23"/>
  <c r="Q26" i="23"/>
  <c r="Q90" i="23"/>
  <c r="Q65" i="23"/>
  <c r="Q8" i="23"/>
  <c r="Q83" i="23"/>
  <c r="Q79" i="23"/>
  <c r="G85" i="23"/>
  <c r="H85" i="23" s="1"/>
  <c r="J83" i="23"/>
  <c r="L83" i="23" s="1"/>
  <c r="G12" i="23"/>
  <c r="H12" i="23" s="1"/>
  <c r="J65" i="23"/>
  <c r="L65" i="23" s="1"/>
  <c r="G61" i="23"/>
  <c r="H61" i="23" s="1"/>
  <c r="J58" i="23"/>
  <c r="L58" i="23" s="1"/>
  <c r="J100" i="23"/>
  <c r="K100" i="23" s="1"/>
  <c r="G26" i="23"/>
  <c r="H26" i="23" s="1"/>
  <c r="G91" i="23"/>
  <c r="H91" i="23" s="1"/>
  <c r="G40" i="23"/>
  <c r="H40" i="23" s="1"/>
  <c r="G55" i="23"/>
  <c r="H55" i="23" s="1"/>
  <c r="J74" i="23"/>
  <c r="L74" i="23" s="1"/>
  <c r="G35" i="23"/>
  <c r="H35" i="23" s="1"/>
  <c r="G68" i="23"/>
  <c r="H68" i="23" s="1"/>
  <c r="G29" i="23"/>
  <c r="H29" i="23" s="1"/>
  <c r="J72" i="23"/>
  <c r="K72" i="23" s="1"/>
  <c r="G45" i="23"/>
  <c r="H45" i="23" s="1"/>
  <c r="J66" i="23"/>
  <c r="L66" i="23" s="1"/>
  <c r="J95" i="23"/>
  <c r="K95" i="23" s="1"/>
  <c r="J93" i="23"/>
  <c r="L93" i="23" s="1"/>
  <c r="J42" i="23"/>
  <c r="L42" i="23" s="1"/>
  <c r="J57" i="23"/>
  <c r="K57" i="23" s="1"/>
  <c r="G37" i="23"/>
  <c r="H37" i="23" s="1"/>
  <c r="G50" i="23"/>
  <c r="H50" i="23" s="1"/>
  <c r="G64" i="23"/>
  <c r="H64" i="23" s="1"/>
  <c r="G18" i="23"/>
  <c r="H18" i="23" s="1"/>
  <c r="G10" i="23"/>
  <c r="H10" i="23" s="1"/>
  <c r="G28" i="23"/>
  <c r="H28" i="23" s="1"/>
  <c r="G8" i="23"/>
  <c r="H8" i="23" s="1"/>
  <c r="G19" i="23"/>
  <c r="H19" i="23" s="1"/>
  <c r="K26" i="23"/>
  <c r="L26" i="23"/>
  <c r="K44" i="23"/>
  <c r="L44" i="23"/>
  <c r="K102" i="23"/>
  <c r="L102" i="23"/>
  <c r="L56" i="23"/>
  <c r="K56" i="23"/>
  <c r="L35" i="23"/>
  <c r="K35" i="23"/>
  <c r="K13" i="23"/>
  <c r="L13" i="23"/>
  <c r="K30" i="23"/>
  <c r="L30" i="23"/>
  <c r="K73" i="23"/>
  <c r="L73" i="23"/>
  <c r="L16" i="23"/>
  <c r="K16" i="23"/>
  <c r="L43" i="23"/>
  <c r="K43" i="23"/>
  <c r="K33" i="23"/>
  <c r="L33" i="23"/>
  <c r="K92" i="23"/>
  <c r="L92" i="23"/>
  <c r="L59" i="23"/>
  <c r="K59" i="23"/>
  <c r="L104" i="23"/>
  <c r="K104" i="23"/>
  <c r="L47" i="23"/>
  <c r="K47" i="23"/>
  <c r="K45" i="23"/>
  <c r="L45" i="23"/>
  <c r="K101" i="23"/>
  <c r="L101" i="23"/>
  <c r="K37" i="23"/>
  <c r="L37" i="23"/>
  <c r="L79" i="23"/>
  <c r="K79" i="23"/>
  <c r="K22" i="23"/>
  <c r="L22" i="23"/>
  <c r="L12" i="23"/>
  <c r="K12" i="23"/>
  <c r="L39" i="23"/>
  <c r="K39" i="23"/>
  <c r="K21" i="23"/>
  <c r="L21" i="23"/>
  <c r="L75" i="23"/>
  <c r="K75" i="23"/>
  <c r="K17" i="23"/>
  <c r="L17" i="23"/>
  <c r="L71" i="23"/>
  <c r="K71" i="23"/>
  <c r="K69" i="23"/>
  <c r="L69" i="23"/>
  <c r="K9" i="23"/>
  <c r="L9" i="23"/>
  <c r="K29" i="23"/>
  <c r="L29" i="23"/>
  <c r="K14" i="23"/>
  <c r="L14" i="23"/>
  <c r="K53" i="23"/>
  <c r="L53" i="23"/>
  <c r="L55" i="23"/>
  <c r="K55" i="23"/>
  <c r="L51" i="23"/>
  <c r="K51" i="23"/>
  <c r="K41" i="23"/>
  <c r="L41" i="23"/>
  <c r="L96" i="23"/>
  <c r="K96" i="23"/>
  <c r="K82" i="23"/>
  <c r="L82" i="23"/>
  <c r="K50" i="23"/>
  <c r="L50" i="23"/>
  <c r="L6" i="23"/>
  <c r="K6" i="23"/>
  <c r="K61" i="23"/>
  <c r="L61" i="23"/>
  <c r="L7" i="23"/>
  <c r="K7" i="23"/>
  <c r="L87" i="23"/>
  <c r="K87" i="23"/>
  <c r="K85" i="23"/>
  <c r="L85" i="23"/>
  <c r="K25" i="23"/>
  <c r="L25" i="23"/>
  <c r="L91" i="23"/>
  <c r="K91" i="23"/>
  <c r="K38" i="23"/>
  <c r="L38" i="23"/>
  <c r="K81" i="23"/>
  <c r="L81" i="23"/>
  <c r="L31" i="23"/>
  <c r="K31" i="23"/>
  <c r="K106" i="23"/>
  <c r="L106" i="23"/>
  <c r="L80" i="23"/>
  <c r="K80" i="23"/>
  <c r="L8" i="23"/>
  <c r="K8" i="23"/>
  <c r="K54" i="23"/>
  <c r="L54" i="23"/>
  <c r="K28" i="23"/>
  <c r="L28" i="23"/>
  <c r="K70" i="23"/>
  <c r="L70" i="23"/>
  <c r="L40" i="23"/>
  <c r="K40" i="23"/>
  <c r="L19" i="23"/>
  <c r="K19" i="23"/>
  <c r="K78" i="23"/>
  <c r="L78" i="23"/>
  <c r="K68" i="23"/>
  <c r="L68" i="23"/>
  <c r="L15" i="23"/>
  <c r="K15" i="23"/>
  <c r="L64" i="23"/>
  <c r="K64" i="23"/>
  <c r="L27" i="23"/>
  <c r="K27" i="23"/>
  <c r="K76" i="23"/>
  <c r="L76" i="23"/>
  <c r="L99" i="23"/>
  <c r="K99" i="23"/>
  <c r="K46" i="23"/>
  <c r="L46" i="23"/>
  <c r="K89" i="23"/>
  <c r="L89" i="23"/>
  <c r="K94" i="23"/>
  <c r="L94" i="23"/>
  <c r="K52" i="23"/>
  <c r="L52" i="23"/>
  <c r="L48" i="23"/>
  <c r="K48" i="23"/>
  <c r="L11" i="23"/>
  <c r="K11" i="23"/>
  <c r="K62" i="23"/>
  <c r="L62" i="23"/>
  <c r="L23" i="23"/>
  <c r="K23" i="23"/>
  <c r="K86" i="23"/>
  <c r="L86" i="23"/>
  <c r="K10" i="23"/>
  <c r="L10" i="23"/>
  <c r="K36" i="23"/>
  <c r="L36" i="23"/>
  <c r="K105" i="23"/>
  <c r="L105" i="23"/>
  <c r="L32" i="23"/>
  <c r="K32" i="23"/>
  <c r="K18" i="23"/>
  <c r="L18" i="23"/>
  <c r="K98" i="23"/>
  <c r="L98" i="23"/>
  <c r="K90" i="23"/>
  <c r="L90" i="23"/>
  <c r="K34" i="23"/>
  <c r="L34" i="23"/>
  <c r="C269" i="2"/>
  <c r="B269" i="2"/>
  <c r="B185" i="2"/>
  <c r="A228" i="2"/>
  <c r="F269" i="2"/>
  <c r="B270" i="2"/>
  <c r="H270" i="2"/>
  <c r="C49" i="16" s="1"/>
  <c r="F182" i="2"/>
  <c r="E51" i="1" s="1"/>
  <c r="A229" i="2" s="1"/>
  <c r="G182" i="2"/>
  <c r="G270" i="2"/>
  <c r="C270" i="2"/>
  <c r="A270" i="2" s="1"/>
  <c r="B184" i="2"/>
  <c r="AO2" i="19"/>
  <c r="H273" i="2"/>
  <c r="F273" i="2"/>
  <c r="K57" i="16"/>
  <c r="M57" i="16" s="1"/>
  <c r="B235" i="2"/>
  <c r="A235" i="2"/>
  <c r="E43" i="1"/>
  <c r="A2" i="21"/>
  <c r="K70" i="2"/>
  <c r="G89" i="19"/>
  <c r="G64" i="19"/>
  <c r="G65" i="19"/>
  <c r="G90" i="19"/>
  <c r="G91" i="19"/>
  <c r="AY106" i="19"/>
  <c r="G66" i="19"/>
  <c r="BN106" i="19"/>
  <c r="FD243" i="25" l="1"/>
  <c r="FD233" i="25"/>
  <c r="DB212" i="25"/>
  <c r="CV110" i="25"/>
  <c r="B47" i="2"/>
  <c r="CW110" i="25"/>
  <c r="CO110" i="25" s="1"/>
  <c r="DH110" i="25" s="1"/>
  <c r="CU110" i="25"/>
  <c r="FD110" i="25"/>
  <c r="B112" i="2"/>
  <c r="B113" i="2" s="1"/>
  <c r="L6" i="1"/>
  <c r="M76" i="1"/>
  <c r="L76" i="1"/>
  <c r="L77" i="1" s="1"/>
  <c r="E75" i="1"/>
  <c r="B43" i="2"/>
  <c r="D25" i="29"/>
  <c r="Q3" i="29" s="1"/>
  <c r="B27" i="29"/>
  <c r="D27" i="29" s="1"/>
  <c r="DH212" i="25"/>
  <c r="DA212" i="25"/>
  <c r="DD212" i="25" s="1"/>
  <c r="DE212" i="25" s="1"/>
  <c r="DF212" i="25" s="1"/>
  <c r="DM212" i="25" s="1"/>
  <c r="DW212" i="25" s="1"/>
  <c r="DS193" i="25"/>
  <c r="DS204" i="25"/>
  <c r="DS203" i="25"/>
  <c r="DS99" i="25"/>
  <c r="DS96" i="25"/>
  <c r="DS194" i="25"/>
  <c r="DS206" i="25"/>
  <c r="DS209" i="25"/>
  <c r="DS100" i="25"/>
  <c r="DS201" i="25"/>
  <c r="DS205" i="25"/>
  <c r="DS105" i="25"/>
  <c r="DS103" i="25"/>
  <c r="DS198" i="25"/>
  <c r="DS102" i="25"/>
  <c r="DS202" i="25"/>
  <c r="DS200" i="25"/>
  <c r="DS199" i="25"/>
  <c r="DS196" i="25"/>
  <c r="DS97" i="25"/>
  <c r="DS197" i="25"/>
  <c r="DS208" i="25"/>
  <c r="DS101" i="25"/>
  <c r="DS207" i="25"/>
  <c r="DS210" i="25"/>
  <c r="DS98" i="25"/>
  <c r="DS104" i="25"/>
  <c r="DS195" i="25"/>
  <c r="DS91" i="25"/>
  <c r="DS94" i="25"/>
  <c r="DS93" i="25"/>
  <c r="DS95" i="25"/>
  <c r="DS92" i="25"/>
  <c r="DT120" i="24"/>
  <c r="DT189" i="24"/>
  <c r="DT157" i="24"/>
  <c r="DT153" i="24"/>
  <c r="DT193" i="24"/>
  <c r="DT204" i="24"/>
  <c r="DT202" i="24"/>
  <c r="DT155" i="24"/>
  <c r="DT198" i="24"/>
  <c r="DT180" i="24"/>
  <c r="DT117" i="24"/>
  <c r="DT174" i="24"/>
  <c r="DT139" i="24"/>
  <c r="DT192" i="24"/>
  <c r="DT115" i="24"/>
  <c r="DT133" i="24"/>
  <c r="DT143" i="24"/>
  <c r="DT129" i="24"/>
  <c r="DT183" i="24"/>
  <c r="DT134" i="24"/>
  <c r="DT184" i="24"/>
  <c r="DT137" i="24"/>
  <c r="DT195" i="24"/>
  <c r="DT128" i="24"/>
  <c r="DT140" i="24"/>
  <c r="DT122" i="24"/>
  <c r="DT208" i="24"/>
  <c r="DT179" i="24"/>
  <c r="DT123" i="24"/>
  <c r="DT150" i="24"/>
  <c r="DT116" i="24"/>
  <c r="DT191" i="24"/>
  <c r="DT112" i="24"/>
  <c r="DT170" i="24"/>
  <c r="DT169" i="24"/>
  <c r="DT126" i="24"/>
  <c r="DT163" i="24"/>
  <c r="DT197" i="24"/>
  <c r="DT121" i="24"/>
  <c r="DT159" i="24"/>
  <c r="DT141" i="24"/>
  <c r="DT201" i="24"/>
  <c r="DT138" i="24"/>
  <c r="DT118" i="24"/>
  <c r="DT200" i="24"/>
  <c r="DT111" i="24"/>
  <c r="DT182" i="24"/>
  <c r="DT152" i="24"/>
  <c r="DT210" i="24"/>
  <c r="H83" i="2" s="1"/>
  <c r="DT147" i="24"/>
  <c r="DT149" i="24"/>
  <c r="DT181" i="24"/>
  <c r="DT135" i="24"/>
  <c r="DT144" i="24"/>
  <c r="DT158" i="24"/>
  <c r="DT130" i="24"/>
  <c r="DT190" i="24"/>
  <c r="DT167" i="24"/>
  <c r="DT119" i="24"/>
  <c r="DT206" i="24"/>
  <c r="DT146" i="24"/>
  <c r="DT156" i="24"/>
  <c r="DT185" i="24"/>
  <c r="DT199" i="24"/>
  <c r="DT131" i="24"/>
  <c r="DT207" i="24"/>
  <c r="DT176" i="24"/>
  <c r="DT124" i="24"/>
  <c r="DT151" i="24"/>
  <c r="DT171" i="24"/>
  <c r="DT132" i="24"/>
  <c r="DT209" i="24"/>
  <c r="DT113" i="24"/>
  <c r="DT173" i="24"/>
  <c r="DT188" i="24"/>
  <c r="DT148" i="24"/>
  <c r="DT203" i="24"/>
  <c r="DT136" i="24"/>
  <c r="DT162" i="24"/>
  <c r="DT187" i="24"/>
  <c r="DT172" i="24"/>
  <c r="DT154" i="24"/>
  <c r="DT186" i="24"/>
  <c r="DT165" i="24"/>
  <c r="DT178" i="24"/>
  <c r="DT142" i="24"/>
  <c r="DT196" i="24"/>
  <c r="DT161" i="24"/>
  <c r="DT177" i="24"/>
  <c r="DT205" i="24"/>
  <c r="DT194" i="24"/>
  <c r="DT164" i="24"/>
  <c r="DT175" i="24"/>
  <c r="DT166" i="24"/>
  <c r="DT160" i="24"/>
  <c r="DT125" i="24"/>
  <c r="DT145" i="24"/>
  <c r="DT114" i="24"/>
  <c r="DT127" i="24"/>
  <c r="DT168" i="24"/>
  <c r="FD266" i="25"/>
  <c r="FD232" i="25"/>
  <c r="FD305" i="25"/>
  <c r="FD235" i="25"/>
  <c r="FD216" i="25"/>
  <c r="FD241" i="25"/>
  <c r="FD269" i="25"/>
  <c r="FD277" i="25"/>
  <c r="FD237" i="25"/>
  <c r="FD276" i="25"/>
  <c r="FD307" i="25"/>
  <c r="FD238" i="25"/>
  <c r="FD242" i="25"/>
  <c r="FD226" i="25"/>
  <c r="FD294" i="25"/>
  <c r="FD275" i="25"/>
  <c r="FD295" i="25"/>
  <c r="FD154" i="25"/>
  <c r="FD250" i="25"/>
  <c r="FD306" i="25"/>
  <c r="FD262" i="25"/>
  <c r="FD280" i="25"/>
  <c r="FD244" i="25"/>
  <c r="FD285" i="25"/>
  <c r="FD283" i="25"/>
  <c r="FD234" i="25"/>
  <c r="FD274" i="25"/>
  <c r="FD230" i="25"/>
  <c r="FD259" i="25"/>
  <c r="FD300" i="25"/>
  <c r="FD292" i="25"/>
  <c r="FD249" i="25"/>
  <c r="FD314" i="25"/>
  <c r="FD248" i="25"/>
  <c r="FD222" i="25"/>
  <c r="FD291" i="25"/>
  <c r="FD281" i="25"/>
  <c r="FD279" i="25"/>
  <c r="FD299" i="25"/>
  <c r="FD217" i="25"/>
  <c r="FD229" i="25"/>
  <c r="FD296" i="25"/>
  <c r="FD264" i="25"/>
  <c r="FD272" i="25"/>
  <c r="FD270" i="25"/>
  <c r="FD255" i="25"/>
  <c r="FD219" i="25"/>
  <c r="FD312" i="25"/>
  <c r="FD287" i="25"/>
  <c r="FD289" i="25"/>
  <c r="FD223" i="25"/>
  <c r="FD302" i="25"/>
  <c r="FD290" i="25"/>
  <c r="FD254" i="25"/>
  <c r="FD227" i="25"/>
  <c r="FD245" i="25"/>
  <c r="FD231" i="25"/>
  <c r="FD282" i="25"/>
  <c r="FD261" i="25"/>
  <c r="FD288" i="25"/>
  <c r="FD304" i="25"/>
  <c r="FD268" i="25"/>
  <c r="FD310" i="25"/>
  <c r="FD253" i="25"/>
  <c r="FD278" i="25"/>
  <c r="FD303" i="25"/>
  <c r="FD256" i="25"/>
  <c r="FD284" i="25"/>
  <c r="FD221" i="25"/>
  <c r="FD308" i="25"/>
  <c r="FD228" i="25"/>
  <c r="FD313" i="25"/>
  <c r="FD301" i="25"/>
  <c r="FD267" i="25"/>
  <c r="FD240" i="25"/>
  <c r="FD239" i="25"/>
  <c r="FD293" i="25"/>
  <c r="FD263" i="25"/>
  <c r="FD316" i="25"/>
  <c r="FD252" i="25"/>
  <c r="FD286" i="25"/>
  <c r="FD246" i="25"/>
  <c r="FD224" i="25"/>
  <c r="FD273" i="25"/>
  <c r="FD311" i="25"/>
  <c r="FD257" i="25"/>
  <c r="FD265" i="25"/>
  <c r="FD258" i="25"/>
  <c r="FD297" i="25"/>
  <c r="FD271" i="25"/>
  <c r="FD236" i="25"/>
  <c r="FD218" i="25"/>
  <c r="FD220" i="25"/>
  <c r="FD298" i="25"/>
  <c r="FD260" i="25"/>
  <c r="FD309" i="25"/>
  <c r="FD315" i="25"/>
  <c r="FD247" i="25"/>
  <c r="FD251" i="25"/>
  <c r="B45" i="2"/>
  <c r="FD112" i="25"/>
  <c r="DL112" i="25"/>
  <c r="DS112" i="25"/>
  <c r="DA112" i="25"/>
  <c r="DD112" i="25" s="1"/>
  <c r="DE112" i="25" s="1"/>
  <c r="DF112" i="25" s="1"/>
  <c r="DH112" i="25"/>
  <c r="CY112" i="25"/>
  <c r="CZ112" i="25"/>
  <c r="CZ110" i="24"/>
  <c r="DC110" i="24" s="1"/>
  <c r="DN5" i="24"/>
  <c r="DZ5" i="24" s="1"/>
  <c r="FD27" i="25"/>
  <c r="CW216" i="25"/>
  <c r="FD51" i="25"/>
  <c r="DS24" i="25"/>
  <c r="FD31" i="25"/>
  <c r="CV216" i="25"/>
  <c r="CU216" i="25"/>
  <c r="DS87" i="25"/>
  <c r="DN110" i="24"/>
  <c r="DX110" i="24" s="1"/>
  <c r="DJ5" i="24"/>
  <c r="DK5" i="24"/>
  <c r="DJ110" i="24"/>
  <c r="DK110" i="24"/>
  <c r="DI216" i="24"/>
  <c r="DM216" i="24"/>
  <c r="DB216" i="24"/>
  <c r="DE216" i="24" s="1"/>
  <c r="DF216" i="24" s="1"/>
  <c r="DG216" i="24" s="1"/>
  <c r="DA216" i="24"/>
  <c r="CZ216" i="24"/>
  <c r="DT35" i="24"/>
  <c r="DT289" i="24"/>
  <c r="DT221" i="24"/>
  <c r="DT37" i="24"/>
  <c r="DT50" i="24"/>
  <c r="FD19" i="25"/>
  <c r="DS9" i="25"/>
  <c r="DS83" i="25"/>
  <c r="DS49" i="25"/>
  <c r="DS245" i="25"/>
  <c r="DA180" i="25"/>
  <c r="DD180" i="25" s="1"/>
  <c r="DE180" i="25" s="1"/>
  <c r="DF180" i="25" s="1"/>
  <c r="DH180" i="25"/>
  <c r="DA122" i="25"/>
  <c r="DD122" i="25" s="1"/>
  <c r="DE122" i="25" s="1"/>
  <c r="DF122" i="25" s="1"/>
  <c r="DH122" i="25"/>
  <c r="DL271" i="25"/>
  <c r="DS271" i="25"/>
  <c r="DL231" i="25"/>
  <c r="DS231" i="25"/>
  <c r="DS166" i="25"/>
  <c r="FD166" i="25"/>
  <c r="DL166" i="25"/>
  <c r="DS279" i="25"/>
  <c r="DL279" i="25"/>
  <c r="CY204" i="25"/>
  <c r="CZ204" i="25"/>
  <c r="CY165" i="25"/>
  <c r="CZ165" i="25"/>
  <c r="DL274" i="25"/>
  <c r="DS274" i="25"/>
  <c r="CY32" i="25"/>
  <c r="CZ32" i="25"/>
  <c r="CZ101" i="25"/>
  <c r="CY101" i="25"/>
  <c r="DL36" i="25"/>
  <c r="FD36" i="25"/>
  <c r="DS36" i="25"/>
  <c r="DA203" i="25"/>
  <c r="DD203" i="25" s="1"/>
  <c r="DE203" i="25" s="1"/>
  <c r="DF203" i="25" s="1"/>
  <c r="DH203" i="25"/>
  <c r="CY315" i="25"/>
  <c r="CZ315" i="25"/>
  <c r="DA233" i="25"/>
  <c r="DD233" i="25" s="1"/>
  <c r="DE233" i="25" s="1"/>
  <c r="DF233" i="25" s="1"/>
  <c r="DH233" i="25"/>
  <c r="DA241" i="25"/>
  <c r="DD241" i="25" s="1"/>
  <c r="DE241" i="25" s="1"/>
  <c r="DF241" i="25" s="1"/>
  <c r="DH241" i="25"/>
  <c r="DA57" i="25"/>
  <c r="DD57" i="25" s="1"/>
  <c r="DE57" i="25" s="1"/>
  <c r="DF57" i="25" s="1"/>
  <c r="DH57" i="25"/>
  <c r="DH276" i="25"/>
  <c r="DA276" i="25"/>
  <c r="DD276" i="25" s="1"/>
  <c r="DE276" i="25" s="1"/>
  <c r="DF276" i="25" s="1"/>
  <c r="CZ7" i="25"/>
  <c r="DB7" i="25" s="1"/>
  <c r="DH7" i="25"/>
  <c r="DA7" i="25"/>
  <c r="DD7" i="25" s="1"/>
  <c r="DE7" i="25" s="1"/>
  <c r="DF7" i="25" s="1"/>
  <c r="DM7" i="25" s="1"/>
  <c r="CZ278" i="25"/>
  <c r="CY278" i="25"/>
  <c r="CY221" i="25"/>
  <c r="CZ221" i="25"/>
  <c r="DL297" i="25"/>
  <c r="DS264" i="25"/>
  <c r="DL264" i="25"/>
  <c r="CY304" i="25"/>
  <c r="CZ304" i="25"/>
  <c r="DL127" i="25"/>
  <c r="FD127" i="25"/>
  <c r="DS127" i="25"/>
  <c r="CZ201" i="25"/>
  <c r="CY201" i="25"/>
  <c r="CY99" i="25"/>
  <c r="CZ99" i="25"/>
  <c r="DL62" i="25"/>
  <c r="DS62" i="25"/>
  <c r="FD62" i="25"/>
  <c r="CZ144" i="25"/>
  <c r="CY144" i="25"/>
  <c r="FD116" i="25"/>
  <c r="DS116" i="25"/>
  <c r="DL116" i="25"/>
  <c r="DS113" i="25"/>
  <c r="FD113" i="25"/>
  <c r="DL113" i="25"/>
  <c r="CY160" i="25"/>
  <c r="CZ160" i="25"/>
  <c r="FD26" i="25"/>
  <c r="DS26" i="25"/>
  <c r="DL26" i="25"/>
  <c r="DL240" i="25"/>
  <c r="DS240" i="25"/>
  <c r="DH206" i="25"/>
  <c r="DA206" i="25"/>
  <c r="DD206" i="25" s="1"/>
  <c r="DE206" i="25" s="1"/>
  <c r="DF206" i="25" s="1"/>
  <c r="DA60" i="25"/>
  <c r="DD60" i="25" s="1"/>
  <c r="DE60" i="25" s="1"/>
  <c r="DF60" i="25" s="1"/>
  <c r="DH60" i="25"/>
  <c r="DH269" i="25"/>
  <c r="DA269" i="25"/>
  <c r="DD269" i="25" s="1"/>
  <c r="DE269" i="25" s="1"/>
  <c r="DF269" i="25" s="1"/>
  <c r="DH14" i="25"/>
  <c r="DA14" i="25"/>
  <c r="DD14" i="25" s="1"/>
  <c r="DE14" i="25" s="1"/>
  <c r="DF14" i="25" s="1"/>
  <c r="FD50" i="25"/>
  <c r="DL50" i="25"/>
  <c r="DS50" i="25"/>
  <c r="DH174" i="25"/>
  <c r="DA174" i="25"/>
  <c r="DD174" i="25" s="1"/>
  <c r="DE174" i="25" s="1"/>
  <c r="DF174" i="25" s="1"/>
  <c r="DH92" i="25"/>
  <c r="DA92" i="25"/>
  <c r="DD92" i="25" s="1"/>
  <c r="DE92" i="25" s="1"/>
  <c r="DF92" i="25" s="1"/>
  <c r="DA239" i="25"/>
  <c r="DD239" i="25" s="1"/>
  <c r="DE239" i="25" s="1"/>
  <c r="DF239" i="25" s="1"/>
  <c r="DH239" i="25"/>
  <c r="CZ164" i="25"/>
  <c r="DB164" i="25" s="1"/>
  <c r="DH164" i="25"/>
  <c r="DA164" i="25"/>
  <c r="DD164" i="25" s="1"/>
  <c r="DE164" i="25" s="1"/>
  <c r="DF164" i="25" s="1"/>
  <c r="DL220" i="25"/>
  <c r="DS220" i="25"/>
  <c r="CY186" i="25"/>
  <c r="CZ186" i="25"/>
  <c r="CY271" i="25"/>
  <c r="CZ271" i="25"/>
  <c r="DS311" i="25"/>
  <c r="DL311" i="25"/>
  <c r="DL261" i="25"/>
  <c r="DS261" i="25"/>
  <c r="DS282" i="25"/>
  <c r="DL282" i="25"/>
  <c r="CZ134" i="25"/>
  <c r="CY134" i="25"/>
  <c r="CZ312" i="25"/>
  <c r="CY312" i="25"/>
  <c r="CZ196" i="25"/>
  <c r="CY196" i="25"/>
  <c r="CY61" i="25"/>
  <c r="CZ61" i="25"/>
  <c r="DH56" i="25"/>
  <c r="DA56" i="25"/>
  <c r="DD56" i="25" s="1"/>
  <c r="DE56" i="25" s="1"/>
  <c r="DF56" i="25" s="1"/>
  <c r="DA190" i="25"/>
  <c r="DD190" i="25" s="1"/>
  <c r="DE190" i="25" s="1"/>
  <c r="DF190" i="25" s="1"/>
  <c r="DH190" i="25"/>
  <c r="DH147" i="25"/>
  <c r="DA147" i="25"/>
  <c r="DD147" i="25" s="1"/>
  <c r="DE147" i="25" s="1"/>
  <c r="DF147" i="25" s="1"/>
  <c r="DA32" i="25"/>
  <c r="DD32" i="25" s="1"/>
  <c r="DE32" i="25" s="1"/>
  <c r="DF32" i="25" s="1"/>
  <c r="DH32" i="25"/>
  <c r="DA210" i="25"/>
  <c r="DD210" i="25" s="1"/>
  <c r="DE210" i="25" s="1"/>
  <c r="DF210" i="25" s="1"/>
  <c r="DH210" i="25"/>
  <c r="DA78" i="25"/>
  <c r="DD78" i="25" s="1"/>
  <c r="DE78" i="25" s="1"/>
  <c r="DF78" i="25" s="1"/>
  <c r="DH78" i="25"/>
  <c r="DL221" i="25"/>
  <c r="DS221" i="25"/>
  <c r="CZ206" i="25"/>
  <c r="CY206" i="25"/>
  <c r="DL304" i="25"/>
  <c r="DS304" i="25"/>
  <c r="CY62" i="25"/>
  <c r="CZ62" i="25"/>
  <c r="CY35" i="25"/>
  <c r="CZ35" i="25"/>
  <c r="CY31" i="25"/>
  <c r="CZ31" i="25"/>
  <c r="DL160" i="25"/>
  <c r="FD160" i="25"/>
  <c r="DS160" i="25"/>
  <c r="DH105" i="25"/>
  <c r="DA105" i="25"/>
  <c r="DD105" i="25" s="1"/>
  <c r="DE105" i="25" s="1"/>
  <c r="DF105" i="25" s="1"/>
  <c r="DH15" i="25"/>
  <c r="DA15" i="25"/>
  <c r="DD15" i="25" s="1"/>
  <c r="DE15" i="25" s="1"/>
  <c r="DF15" i="25" s="1"/>
  <c r="DL219" i="25"/>
  <c r="DS219" i="25"/>
  <c r="CY16" i="25"/>
  <c r="CZ16" i="25"/>
  <c r="CZ226" i="25"/>
  <c r="DB226" i="25" s="1"/>
  <c r="DH226" i="25"/>
  <c r="DA226" i="25"/>
  <c r="DD226" i="25" s="1"/>
  <c r="DE226" i="25" s="1"/>
  <c r="DF226" i="25" s="1"/>
  <c r="DH59" i="25"/>
  <c r="DA59" i="25"/>
  <c r="DD59" i="25" s="1"/>
  <c r="DE59" i="25" s="1"/>
  <c r="DF59" i="25" s="1"/>
  <c r="CY167" i="25"/>
  <c r="CZ167" i="25"/>
  <c r="CZ229" i="25"/>
  <c r="CY229" i="25"/>
  <c r="DL202" i="25"/>
  <c r="FD202" i="25"/>
  <c r="DL224" i="25"/>
  <c r="DS224" i="25"/>
  <c r="DS123" i="25"/>
  <c r="DL123" i="25"/>
  <c r="FD123" i="25"/>
  <c r="DL150" i="25"/>
  <c r="DS150" i="25"/>
  <c r="FD150" i="25"/>
  <c r="DL41" i="25"/>
  <c r="FD41" i="25"/>
  <c r="DS41" i="25"/>
  <c r="DH191" i="25"/>
  <c r="DA191" i="25"/>
  <c r="DD191" i="25" s="1"/>
  <c r="DE191" i="25" s="1"/>
  <c r="DF191" i="25" s="1"/>
  <c r="DA275" i="25"/>
  <c r="DD275" i="25" s="1"/>
  <c r="DE275" i="25" s="1"/>
  <c r="DF275" i="25" s="1"/>
  <c r="DH275" i="25"/>
  <c r="DH45" i="25"/>
  <c r="DA45" i="25"/>
  <c r="DD45" i="25" s="1"/>
  <c r="DE45" i="25" s="1"/>
  <c r="DF45" i="25" s="1"/>
  <c r="DS299" i="25"/>
  <c r="DL299" i="25"/>
  <c r="DL291" i="25"/>
  <c r="DS291" i="25"/>
  <c r="DS124" i="25"/>
  <c r="FD124" i="25"/>
  <c r="DL124" i="25"/>
  <c r="DL32" i="25"/>
  <c r="DS32" i="25"/>
  <c r="FD32" i="25"/>
  <c r="DS134" i="25"/>
  <c r="FD134" i="25"/>
  <c r="DL134" i="25"/>
  <c r="DL312" i="25"/>
  <c r="DS312" i="25"/>
  <c r="DL286" i="25"/>
  <c r="DS286" i="25"/>
  <c r="FD196" i="25"/>
  <c r="DL196" i="25"/>
  <c r="CZ67" i="25"/>
  <c r="CY67" i="25"/>
  <c r="CY103" i="25"/>
  <c r="CZ103" i="25"/>
  <c r="DL131" i="25"/>
  <c r="DS131" i="25"/>
  <c r="FD131" i="25"/>
  <c r="DH67" i="25"/>
  <c r="DA67" i="25"/>
  <c r="DD67" i="25" s="1"/>
  <c r="DE67" i="25" s="1"/>
  <c r="DF67" i="25" s="1"/>
  <c r="DL236" i="25"/>
  <c r="DS236" i="25"/>
  <c r="CY234" i="25"/>
  <c r="CZ234" i="25"/>
  <c r="DH83" i="25"/>
  <c r="DA83" i="25"/>
  <c r="DD83" i="25" s="1"/>
  <c r="DE83" i="25" s="1"/>
  <c r="DF83" i="25" s="1"/>
  <c r="DA80" i="25"/>
  <c r="DD80" i="25" s="1"/>
  <c r="DE80" i="25" s="1"/>
  <c r="DF80" i="25" s="1"/>
  <c r="DH80" i="25"/>
  <c r="DH42" i="25"/>
  <c r="DA42" i="25"/>
  <c r="DD42" i="25" s="1"/>
  <c r="DE42" i="25" s="1"/>
  <c r="DF42" i="25" s="1"/>
  <c r="DH302" i="25"/>
  <c r="DA302" i="25"/>
  <c r="DD302" i="25" s="1"/>
  <c r="DE302" i="25" s="1"/>
  <c r="DF302" i="25" s="1"/>
  <c r="DS303" i="25"/>
  <c r="DL303" i="25"/>
  <c r="CY264" i="25"/>
  <c r="CZ264" i="25"/>
  <c r="FD201" i="25"/>
  <c r="DL201" i="25"/>
  <c r="FD54" i="25"/>
  <c r="DS54" i="25"/>
  <c r="DL54" i="25"/>
  <c r="DL265" i="25"/>
  <c r="DS265" i="25"/>
  <c r="FD144" i="25"/>
  <c r="DS144" i="25"/>
  <c r="DL144" i="25"/>
  <c r="CY97" i="25"/>
  <c r="CZ97" i="25"/>
  <c r="CZ26" i="25"/>
  <c r="CY26" i="25"/>
  <c r="DH277" i="25"/>
  <c r="DA277" i="25"/>
  <c r="DD277" i="25" s="1"/>
  <c r="DE277" i="25" s="1"/>
  <c r="DF277" i="25" s="1"/>
  <c r="DH304" i="25"/>
  <c r="DA304" i="25"/>
  <c r="DD304" i="25" s="1"/>
  <c r="DE304" i="25" s="1"/>
  <c r="DF304" i="25" s="1"/>
  <c r="DA97" i="25"/>
  <c r="DD97" i="25" s="1"/>
  <c r="DE97" i="25" s="1"/>
  <c r="DF97" i="25" s="1"/>
  <c r="DH97" i="25"/>
  <c r="DH98" i="25"/>
  <c r="DA98" i="25"/>
  <c r="DD98" i="25" s="1"/>
  <c r="DE98" i="25" s="1"/>
  <c r="DF98" i="25" s="1"/>
  <c r="DH35" i="25"/>
  <c r="DA35" i="25"/>
  <c r="DD35" i="25" s="1"/>
  <c r="DE35" i="25" s="1"/>
  <c r="DF35" i="25" s="1"/>
  <c r="DH158" i="25"/>
  <c r="DA158" i="25"/>
  <c r="DD158" i="25" s="1"/>
  <c r="DE158" i="25" s="1"/>
  <c r="DF158" i="25" s="1"/>
  <c r="CZ299" i="25"/>
  <c r="CY299" i="25"/>
  <c r="CY311" i="25"/>
  <c r="CZ311" i="25"/>
  <c r="CY291" i="25"/>
  <c r="CZ291" i="25"/>
  <c r="DL56" i="25"/>
  <c r="DS56" i="25"/>
  <c r="FD56" i="25"/>
  <c r="CY286" i="25"/>
  <c r="CZ286" i="25"/>
  <c r="CZ131" i="25"/>
  <c r="CY131" i="25"/>
  <c r="CZ132" i="25"/>
  <c r="CY132" i="25"/>
  <c r="CY163" i="25"/>
  <c r="CZ163" i="25"/>
  <c r="CZ259" i="25"/>
  <c r="DB259" i="25" s="1"/>
  <c r="DH259" i="25"/>
  <c r="DA259" i="25"/>
  <c r="DD259" i="25" s="1"/>
  <c r="DE259" i="25" s="1"/>
  <c r="DF259" i="25" s="1"/>
  <c r="DL234" i="25"/>
  <c r="DS234" i="25"/>
  <c r="DL18" i="25"/>
  <c r="DS18" i="25"/>
  <c r="FD18" i="25"/>
  <c r="DH173" i="25"/>
  <c r="DA173" i="25"/>
  <c r="DD173" i="25" s="1"/>
  <c r="DE173" i="25" s="1"/>
  <c r="DF173" i="25" s="1"/>
  <c r="DH231" i="25"/>
  <c r="DA231" i="25"/>
  <c r="DD231" i="25" s="1"/>
  <c r="DE231" i="25" s="1"/>
  <c r="DF231" i="25" s="1"/>
  <c r="DA120" i="25"/>
  <c r="DD120" i="25" s="1"/>
  <c r="DE120" i="25" s="1"/>
  <c r="DF120" i="25" s="1"/>
  <c r="DH120" i="25"/>
  <c r="DH267" i="25"/>
  <c r="DA267" i="25"/>
  <c r="DD267" i="25" s="1"/>
  <c r="DE267" i="25" s="1"/>
  <c r="DF267" i="25" s="1"/>
  <c r="DH47" i="25"/>
  <c r="DA47" i="25"/>
  <c r="DD47" i="25" s="1"/>
  <c r="DE47" i="25" s="1"/>
  <c r="DF47" i="25" s="1"/>
  <c r="DH314" i="25"/>
  <c r="DA314" i="25"/>
  <c r="DD314" i="25" s="1"/>
  <c r="DE314" i="25" s="1"/>
  <c r="DF314" i="25" s="1"/>
  <c r="CZ158" i="25"/>
  <c r="CY158" i="25"/>
  <c r="DS268" i="25"/>
  <c r="DL268" i="25"/>
  <c r="CY273" i="25"/>
  <c r="CZ273" i="25"/>
  <c r="FD206" i="25"/>
  <c r="DL206" i="25"/>
  <c r="DL249" i="25"/>
  <c r="DS249" i="25"/>
  <c r="FD120" i="25"/>
  <c r="DS120" i="25"/>
  <c r="DL120" i="25"/>
  <c r="DS35" i="25"/>
  <c r="DL35" i="25"/>
  <c r="FD35" i="25"/>
  <c r="CZ83" i="25"/>
  <c r="CY83" i="25"/>
  <c r="DH91" i="25"/>
  <c r="DA91" i="25"/>
  <c r="DD91" i="25" s="1"/>
  <c r="DE91" i="25" s="1"/>
  <c r="DF91" i="25" s="1"/>
  <c r="DH41" i="25"/>
  <c r="DA41" i="25"/>
  <c r="DD41" i="25" s="1"/>
  <c r="DE41" i="25" s="1"/>
  <c r="DF41" i="25" s="1"/>
  <c r="CY152" i="25"/>
  <c r="CZ152" i="25"/>
  <c r="DA257" i="25"/>
  <c r="DD257" i="25" s="1"/>
  <c r="DE257" i="25" s="1"/>
  <c r="DF257" i="25" s="1"/>
  <c r="DH257" i="25"/>
  <c r="DH244" i="25"/>
  <c r="DA244" i="25"/>
  <c r="DD244" i="25" s="1"/>
  <c r="DE244" i="25" s="1"/>
  <c r="DF244" i="25" s="1"/>
  <c r="DH292" i="25"/>
  <c r="DA292" i="25"/>
  <c r="DD292" i="25" s="1"/>
  <c r="DE292" i="25" s="1"/>
  <c r="DF292" i="25" s="1"/>
  <c r="DH251" i="25"/>
  <c r="DA251" i="25"/>
  <c r="DD251" i="25" s="1"/>
  <c r="DE251" i="25" s="1"/>
  <c r="DF251" i="25" s="1"/>
  <c r="DH202" i="25"/>
  <c r="DA202" i="25"/>
  <c r="DD202" i="25" s="1"/>
  <c r="DE202" i="25" s="1"/>
  <c r="DF202" i="25" s="1"/>
  <c r="DA65" i="25"/>
  <c r="DD65" i="25" s="1"/>
  <c r="DE65" i="25" s="1"/>
  <c r="DF65" i="25" s="1"/>
  <c r="DH65" i="25"/>
  <c r="DH144" i="25"/>
  <c r="DA144" i="25"/>
  <c r="DD144" i="25" s="1"/>
  <c r="DE144" i="25" s="1"/>
  <c r="DF144" i="25" s="1"/>
  <c r="DA280" i="25"/>
  <c r="DD280" i="25" s="1"/>
  <c r="DE280" i="25" s="1"/>
  <c r="DF280" i="25" s="1"/>
  <c r="DH280" i="25"/>
  <c r="DH103" i="25"/>
  <c r="DA103" i="25"/>
  <c r="DD103" i="25" s="1"/>
  <c r="DE103" i="25" s="1"/>
  <c r="DF103" i="25" s="1"/>
  <c r="DA187" i="25"/>
  <c r="DD187" i="25" s="1"/>
  <c r="DE187" i="25" s="1"/>
  <c r="DF187" i="25" s="1"/>
  <c r="DH187" i="25"/>
  <c r="DH99" i="25"/>
  <c r="DA99" i="25"/>
  <c r="DD99" i="25" s="1"/>
  <c r="DE99" i="25" s="1"/>
  <c r="DF99" i="25" s="1"/>
  <c r="DL223" i="25"/>
  <c r="DS223" i="25"/>
  <c r="FD101" i="25"/>
  <c r="DL101" i="25"/>
  <c r="CY56" i="25"/>
  <c r="CZ56" i="25"/>
  <c r="DL63" i="25"/>
  <c r="DS63" i="25"/>
  <c r="FD63" i="25"/>
  <c r="CZ84" i="25"/>
  <c r="CY84" i="25"/>
  <c r="CY11" i="25"/>
  <c r="CZ11" i="25"/>
  <c r="CZ135" i="25"/>
  <c r="CY135" i="25"/>
  <c r="DL103" i="25"/>
  <c r="FD103" i="25"/>
  <c r="DS132" i="25"/>
  <c r="DL132" i="25"/>
  <c r="FD132" i="25"/>
  <c r="DS76" i="25"/>
  <c r="DL76" i="25"/>
  <c r="FD76" i="25"/>
  <c r="DH9" i="25"/>
  <c r="DA9" i="25"/>
  <c r="DD9" i="25" s="1"/>
  <c r="DE9" i="25" s="1"/>
  <c r="DF9" i="25" s="1"/>
  <c r="CY44" i="25"/>
  <c r="CZ44" i="25"/>
  <c r="DA179" i="25"/>
  <c r="DD179" i="25" s="1"/>
  <c r="DE179" i="25" s="1"/>
  <c r="DF179" i="25" s="1"/>
  <c r="DH179" i="25"/>
  <c r="DA84" i="25"/>
  <c r="DD84" i="25" s="1"/>
  <c r="DE84" i="25" s="1"/>
  <c r="DF84" i="25" s="1"/>
  <c r="DH84" i="25"/>
  <c r="DA79" i="25"/>
  <c r="DD79" i="25" s="1"/>
  <c r="DE79" i="25" s="1"/>
  <c r="DF79" i="25" s="1"/>
  <c r="DH79" i="25"/>
  <c r="DL218" i="25"/>
  <c r="DS218" i="25"/>
  <c r="CY268" i="25"/>
  <c r="CZ268" i="25"/>
  <c r="DL203" i="25"/>
  <c r="FD203" i="25"/>
  <c r="CY303" i="25"/>
  <c r="CZ303" i="25"/>
  <c r="CY248" i="25"/>
  <c r="CZ248" i="25"/>
  <c r="CY249" i="25"/>
  <c r="CZ249" i="25"/>
  <c r="CZ120" i="25"/>
  <c r="CY120" i="25"/>
  <c r="DL99" i="25"/>
  <c r="FD99" i="25"/>
  <c r="CY54" i="25"/>
  <c r="CZ54" i="25"/>
  <c r="CY53" i="25"/>
  <c r="CZ53" i="25"/>
  <c r="CY80" i="25"/>
  <c r="CZ80" i="25"/>
  <c r="DL31" i="25"/>
  <c r="DS31" i="25"/>
  <c r="DH166" i="25"/>
  <c r="DA166" i="25"/>
  <c r="DD166" i="25" s="1"/>
  <c r="DE166" i="25" s="1"/>
  <c r="DF166" i="25" s="1"/>
  <c r="DH132" i="25"/>
  <c r="DA132" i="25"/>
  <c r="DD132" i="25" s="1"/>
  <c r="DE132" i="25" s="1"/>
  <c r="DF132" i="25" s="1"/>
  <c r="DA58" i="25"/>
  <c r="DD58" i="25" s="1"/>
  <c r="DE58" i="25" s="1"/>
  <c r="DF58" i="25" s="1"/>
  <c r="DH58" i="25"/>
  <c r="DS192" i="25"/>
  <c r="FD192" i="25"/>
  <c r="DL192" i="25"/>
  <c r="DL91" i="25"/>
  <c r="DH299" i="25"/>
  <c r="DA299" i="25"/>
  <c r="DD299" i="25" s="1"/>
  <c r="DE299" i="25" s="1"/>
  <c r="DF299" i="25" s="1"/>
  <c r="DA289" i="25"/>
  <c r="DD289" i="25" s="1"/>
  <c r="DE289" i="25" s="1"/>
  <c r="DF289" i="25" s="1"/>
  <c r="DH289" i="25"/>
  <c r="DH286" i="25"/>
  <c r="DA286" i="25"/>
  <c r="DD286" i="25" s="1"/>
  <c r="DE286" i="25" s="1"/>
  <c r="DF286" i="25" s="1"/>
  <c r="DH234" i="25"/>
  <c r="DA234" i="25"/>
  <c r="DD234" i="25" s="1"/>
  <c r="DE234" i="25" s="1"/>
  <c r="DF234" i="25" s="1"/>
  <c r="DA232" i="25"/>
  <c r="DD232" i="25" s="1"/>
  <c r="DE232" i="25" s="1"/>
  <c r="DF232" i="25" s="1"/>
  <c r="DH232" i="25"/>
  <c r="DL270" i="25"/>
  <c r="DS270" i="25"/>
  <c r="DL293" i="25"/>
  <c r="DS138" i="25"/>
  <c r="DL138" i="25"/>
  <c r="FD138" i="25"/>
  <c r="DH175" i="25"/>
  <c r="DA175" i="25"/>
  <c r="DD175" i="25" s="1"/>
  <c r="DE175" i="25" s="1"/>
  <c r="DF175" i="25" s="1"/>
  <c r="DA64" i="25"/>
  <c r="DD64" i="25" s="1"/>
  <c r="DE64" i="25" s="1"/>
  <c r="DF64" i="25" s="1"/>
  <c r="DH64" i="25"/>
  <c r="DH283" i="25"/>
  <c r="DA283" i="25"/>
  <c r="DD283" i="25" s="1"/>
  <c r="DE283" i="25" s="1"/>
  <c r="DF283" i="25" s="1"/>
  <c r="DA76" i="25"/>
  <c r="DD76" i="25" s="1"/>
  <c r="DE76" i="25" s="1"/>
  <c r="DF76" i="25" s="1"/>
  <c r="DH76" i="25"/>
  <c r="DA31" i="25"/>
  <c r="DD31" i="25" s="1"/>
  <c r="DE31" i="25" s="1"/>
  <c r="DF31" i="25" s="1"/>
  <c r="DH31" i="25"/>
  <c r="CY310" i="25"/>
  <c r="CZ310" i="25"/>
  <c r="CZ223" i="25"/>
  <c r="CY223" i="25"/>
  <c r="CY217" i="25"/>
  <c r="CZ217" i="25"/>
  <c r="DL67" i="25"/>
  <c r="DS67" i="25"/>
  <c r="FD67" i="25"/>
  <c r="DS84" i="25"/>
  <c r="FD84" i="25"/>
  <c r="DL84" i="25"/>
  <c r="DS281" i="25"/>
  <c r="DL281" i="25"/>
  <c r="DL44" i="25"/>
  <c r="DS44" i="25"/>
  <c r="DS316" i="25"/>
  <c r="DL316" i="25"/>
  <c r="CZ18" i="25"/>
  <c r="CY18" i="25"/>
  <c r="DH306" i="25"/>
  <c r="DA306" i="25"/>
  <c r="DD306" i="25" s="1"/>
  <c r="DE306" i="25" s="1"/>
  <c r="DF306" i="25" s="1"/>
  <c r="DH34" i="25"/>
  <c r="DA34" i="25"/>
  <c r="DD34" i="25" s="1"/>
  <c r="DE34" i="25" s="1"/>
  <c r="DF34" i="25" s="1"/>
  <c r="DA199" i="25"/>
  <c r="DD199" i="25" s="1"/>
  <c r="DE199" i="25" s="1"/>
  <c r="DF199" i="25" s="1"/>
  <c r="DH199" i="25"/>
  <c r="DH27" i="25"/>
  <c r="DA27" i="25"/>
  <c r="DD27" i="25" s="1"/>
  <c r="DE27" i="25" s="1"/>
  <c r="DF27" i="25" s="1"/>
  <c r="CY210" i="25"/>
  <c r="CZ210" i="25"/>
  <c r="CY178" i="25"/>
  <c r="CZ178" i="25"/>
  <c r="DL273" i="25"/>
  <c r="DS273" i="25"/>
  <c r="CZ127" i="25"/>
  <c r="CY127" i="25"/>
  <c r="DH102" i="25"/>
  <c r="DA102" i="25"/>
  <c r="DD102" i="25" s="1"/>
  <c r="DE102" i="25" s="1"/>
  <c r="DF102" i="25" s="1"/>
  <c r="CZ192" i="25"/>
  <c r="CY192" i="25"/>
  <c r="DH249" i="25"/>
  <c r="DA249" i="25"/>
  <c r="DD249" i="25" s="1"/>
  <c r="DE249" i="25" s="1"/>
  <c r="DF249" i="25" s="1"/>
  <c r="DH217" i="25"/>
  <c r="DA217" i="25"/>
  <c r="DD217" i="25" s="1"/>
  <c r="DE217" i="25" s="1"/>
  <c r="DF217" i="25" s="1"/>
  <c r="CY205" i="25"/>
  <c r="CZ205" i="25"/>
  <c r="DH143" i="25"/>
  <c r="DA143" i="25"/>
  <c r="DD143" i="25" s="1"/>
  <c r="DE143" i="25" s="1"/>
  <c r="DF143" i="25" s="1"/>
  <c r="DA168" i="25"/>
  <c r="DD168" i="25" s="1"/>
  <c r="DE168" i="25" s="1"/>
  <c r="DF168" i="25" s="1"/>
  <c r="DH168" i="25"/>
  <c r="DH284" i="25"/>
  <c r="DA284" i="25"/>
  <c r="DD284" i="25" s="1"/>
  <c r="DE284" i="25" s="1"/>
  <c r="DF284" i="25" s="1"/>
  <c r="DH156" i="25"/>
  <c r="DA156" i="25"/>
  <c r="DD156" i="25" s="1"/>
  <c r="DE156" i="25" s="1"/>
  <c r="DF156" i="25" s="1"/>
  <c r="CY279" i="25"/>
  <c r="CZ279" i="25"/>
  <c r="CY274" i="25"/>
  <c r="CZ274" i="25"/>
  <c r="DL217" i="25"/>
  <c r="DS217" i="25"/>
  <c r="DL11" i="25"/>
  <c r="DS11" i="25"/>
  <c r="FD11" i="25"/>
  <c r="DL163" i="25"/>
  <c r="FD163" i="25"/>
  <c r="DS163" i="25"/>
  <c r="CY76" i="25"/>
  <c r="CZ76" i="25"/>
  <c r="DH311" i="25"/>
  <c r="DA311" i="25"/>
  <c r="DD311" i="25" s="1"/>
  <c r="DE311" i="25" s="1"/>
  <c r="DF311" i="25" s="1"/>
  <c r="CZ281" i="25"/>
  <c r="CY281" i="25"/>
  <c r="CY316" i="25"/>
  <c r="CZ316" i="25"/>
  <c r="DA87" i="25"/>
  <c r="DD87" i="25" s="1"/>
  <c r="DE87" i="25" s="1"/>
  <c r="DF87" i="25" s="1"/>
  <c r="DH87" i="25"/>
  <c r="DH138" i="25"/>
  <c r="DA138" i="25"/>
  <c r="DD138" i="25" s="1"/>
  <c r="DE138" i="25" s="1"/>
  <c r="DF138" i="25" s="1"/>
  <c r="DH200" i="25"/>
  <c r="DA200" i="25"/>
  <c r="DD200" i="25" s="1"/>
  <c r="DE200" i="25" s="1"/>
  <c r="DF200" i="25" s="1"/>
  <c r="CZ220" i="25"/>
  <c r="DB220" i="25" s="1"/>
  <c r="DH220" i="25"/>
  <c r="DA220" i="25"/>
  <c r="DD220" i="25" s="1"/>
  <c r="DE220" i="25" s="1"/>
  <c r="DF220" i="25" s="1"/>
  <c r="DH40" i="25"/>
  <c r="DA40" i="25"/>
  <c r="DD40" i="25" s="1"/>
  <c r="DE40" i="25" s="1"/>
  <c r="DF40" i="25" s="1"/>
  <c r="DH228" i="25"/>
  <c r="DA228" i="25"/>
  <c r="DD228" i="25" s="1"/>
  <c r="DE228" i="25" s="1"/>
  <c r="DF228" i="25" s="1"/>
  <c r="DL278" i="25"/>
  <c r="DS278" i="25"/>
  <c r="DL210" i="25"/>
  <c r="FD210" i="25"/>
  <c r="CY267" i="25"/>
  <c r="CZ267" i="25"/>
  <c r="CY218" i="25"/>
  <c r="CZ218" i="25"/>
  <c r="DL158" i="25"/>
  <c r="DS158" i="25"/>
  <c r="FD158" i="25"/>
  <c r="CZ203" i="25"/>
  <c r="CY203" i="25"/>
  <c r="DS297" i="25"/>
  <c r="DL248" i="25"/>
  <c r="DS248" i="25"/>
  <c r="DL162" i="25"/>
  <c r="DS162" i="25"/>
  <c r="FD162" i="25"/>
  <c r="DS53" i="25"/>
  <c r="FD53" i="25"/>
  <c r="DL53" i="25"/>
  <c r="DS80" i="25"/>
  <c r="FD80" i="25"/>
  <c r="DL80" i="25"/>
  <c r="CY10" i="25"/>
  <c r="CZ10" i="25"/>
  <c r="CY116" i="25"/>
  <c r="CZ116" i="25"/>
  <c r="DL97" i="25"/>
  <c r="FD97" i="25"/>
  <c r="DL83" i="25"/>
  <c r="FD83" i="25"/>
  <c r="CY113" i="25"/>
  <c r="CZ113" i="25"/>
  <c r="CY288" i="25"/>
  <c r="CZ288" i="25"/>
  <c r="DS191" i="25"/>
  <c r="FD191" i="25"/>
  <c r="DL191" i="25"/>
  <c r="CY118" i="25"/>
  <c r="CZ118" i="25"/>
  <c r="CZ174" i="25"/>
  <c r="CY174" i="25"/>
  <c r="CY133" i="25"/>
  <c r="CZ133" i="25"/>
  <c r="DA111" i="25"/>
  <c r="DD111" i="25" s="1"/>
  <c r="DE111" i="25" s="1"/>
  <c r="DF111" i="25" s="1"/>
  <c r="DH111" i="25"/>
  <c r="DH70" i="25"/>
  <c r="DA70" i="25"/>
  <c r="DD70" i="25" s="1"/>
  <c r="DE70" i="25" s="1"/>
  <c r="DF70" i="25" s="1"/>
  <c r="DA295" i="25"/>
  <c r="DD295" i="25" s="1"/>
  <c r="DE295" i="25" s="1"/>
  <c r="DF295" i="25" s="1"/>
  <c r="DH295" i="25"/>
  <c r="DH44" i="25"/>
  <c r="DA44" i="25"/>
  <c r="DD44" i="25" s="1"/>
  <c r="DE44" i="25" s="1"/>
  <c r="DF44" i="25" s="1"/>
  <c r="DH37" i="25"/>
  <c r="DA37" i="25"/>
  <c r="DD37" i="25" s="1"/>
  <c r="DE37" i="25" s="1"/>
  <c r="DF37" i="25" s="1"/>
  <c r="DH100" i="25"/>
  <c r="DA100" i="25"/>
  <c r="DD100" i="25" s="1"/>
  <c r="DE100" i="25" s="1"/>
  <c r="DF100" i="25" s="1"/>
  <c r="DL186" i="25"/>
  <c r="FD186" i="25"/>
  <c r="DS186" i="25"/>
  <c r="CZ231" i="25"/>
  <c r="CY231" i="25"/>
  <c r="CZ166" i="25"/>
  <c r="CY166" i="25"/>
  <c r="DL204" i="25"/>
  <c r="FD204" i="25"/>
  <c r="DL310" i="25"/>
  <c r="DS310" i="25"/>
  <c r="CY261" i="25"/>
  <c r="CZ261" i="25"/>
  <c r="DL165" i="25"/>
  <c r="DS165" i="25"/>
  <c r="FD165" i="25"/>
  <c r="CY282" i="25"/>
  <c r="CZ282" i="25"/>
  <c r="CZ124" i="25"/>
  <c r="CY124" i="25"/>
  <c r="DL135" i="25"/>
  <c r="FD135" i="25"/>
  <c r="DS135" i="25"/>
  <c r="CY36" i="25"/>
  <c r="CZ36" i="25"/>
  <c r="DS61" i="25"/>
  <c r="DL61" i="25"/>
  <c r="FD61" i="25"/>
  <c r="DL315" i="25"/>
  <c r="DS315" i="25"/>
  <c r="DH262" i="25"/>
  <c r="DA262" i="25"/>
  <c r="DD262" i="25" s="1"/>
  <c r="DE262" i="25" s="1"/>
  <c r="DF262" i="25" s="1"/>
  <c r="DA294" i="25"/>
  <c r="DD294" i="25" s="1"/>
  <c r="DE294" i="25" s="1"/>
  <c r="DF294" i="25" s="1"/>
  <c r="DH294" i="25"/>
  <c r="DA254" i="25"/>
  <c r="DD254" i="25" s="1"/>
  <c r="DE254" i="25" s="1"/>
  <c r="DF254" i="25" s="1"/>
  <c r="DH254" i="25"/>
  <c r="DH308" i="25"/>
  <c r="DA308" i="25"/>
  <c r="DD308" i="25" s="1"/>
  <c r="DE308" i="25" s="1"/>
  <c r="DF308" i="25" s="1"/>
  <c r="DS178" i="25"/>
  <c r="FD178" i="25"/>
  <c r="DL178" i="25"/>
  <c r="DL267" i="25"/>
  <c r="DS267" i="25"/>
  <c r="CY297" i="25"/>
  <c r="CZ297" i="25"/>
  <c r="FD10" i="25"/>
  <c r="DS10" i="25"/>
  <c r="DL10" i="25"/>
  <c r="DA95" i="25"/>
  <c r="DD95" i="25" s="1"/>
  <c r="DE95" i="25" s="1"/>
  <c r="DF95" i="25" s="1"/>
  <c r="DH95" i="25"/>
  <c r="DH23" i="25"/>
  <c r="DA23" i="25"/>
  <c r="DD23" i="25" s="1"/>
  <c r="DE23" i="25" s="1"/>
  <c r="DF23" i="25" s="1"/>
  <c r="DL152" i="25"/>
  <c r="FD152" i="25"/>
  <c r="DS152" i="25"/>
  <c r="DL288" i="25"/>
  <c r="DS288" i="25"/>
  <c r="FD102" i="25"/>
  <c r="DL102" i="25"/>
  <c r="DA266" i="25"/>
  <c r="DD266" i="25" s="1"/>
  <c r="DE266" i="25" s="1"/>
  <c r="DF266" i="25" s="1"/>
  <c r="DH266" i="25"/>
  <c r="CZ157" i="25"/>
  <c r="DB157" i="25" s="1"/>
  <c r="DH157" i="25"/>
  <c r="DA157" i="25"/>
  <c r="DD157" i="25" s="1"/>
  <c r="DE157" i="25" s="1"/>
  <c r="DF157" i="25" s="1"/>
  <c r="CZ91" i="25"/>
  <c r="CY91" i="25"/>
  <c r="DL16" i="25"/>
  <c r="DS16" i="25"/>
  <c r="FD16" i="25"/>
  <c r="CY240" i="25"/>
  <c r="CZ240" i="25"/>
  <c r="DH38" i="25"/>
  <c r="DA38" i="25"/>
  <c r="DD38" i="25" s="1"/>
  <c r="DE38" i="25" s="1"/>
  <c r="DF38" i="25" s="1"/>
  <c r="DA53" i="25"/>
  <c r="DD53" i="25" s="1"/>
  <c r="DE53" i="25" s="1"/>
  <c r="DF53" i="25" s="1"/>
  <c r="DH53" i="25"/>
  <c r="DH29" i="25"/>
  <c r="DA29" i="25"/>
  <c r="DD29" i="25" s="1"/>
  <c r="DE29" i="25" s="1"/>
  <c r="DF29" i="25" s="1"/>
  <c r="DA248" i="25"/>
  <c r="DD248" i="25" s="1"/>
  <c r="DE248" i="25" s="1"/>
  <c r="DF248" i="25" s="1"/>
  <c r="DH248" i="25"/>
  <c r="CY202" i="25"/>
  <c r="CZ202" i="25"/>
  <c r="DL222" i="25"/>
  <c r="DS222" i="25"/>
  <c r="DL94" i="25"/>
  <c r="FD94" i="25"/>
  <c r="CY50" i="25"/>
  <c r="CZ50" i="25"/>
  <c r="CZ111" i="25"/>
  <c r="CY111" i="25"/>
  <c r="DS133" i="25"/>
  <c r="DL133" i="25"/>
  <c r="FD133" i="25"/>
  <c r="DH141" i="25"/>
  <c r="DA141" i="25"/>
  <c r="DD141" i="25" s="1"/>
  <c r="DE141" i="25" s="1"/>
  <c r="DF141" i="25" s="1"/>
  <c r="DL147" i="25"/>
  <c r="DS147" i="25"/>
  <c r="FD198" i="25"/>
  <c r="DL198" i="25"/>
  <c r="FD149" i="25"/>
  <c r="DL149" i="25"/>
  <c r="DS149" i="25"/>
  <c r="DS247" i="25"/>
  <c r="CY193" i="25"/>
  <c r="CZ193" i="25"/>
  <c r="DL209" i="25"/>
  <c r="FD209" i="25"/>
  <c r="CY122" i="25"/>
  <c r="CZ122" i="25"/>
  <c r="CZ142" i="25"/>
  <c r="CY142" i="25"/>
  <c r="CY46" i="25"/>
  <c r="CZ46" i="25"/>
  <c r="DS115" i="25"/>
  <c r="DL115" i="25"/>
  <c r="FD115" i="25"/>
  <c r="CY105" i="25"/>
  <c r="CZ105" i="25"/>
  <c r="FD30" i="25"/>
  <c r="DL30" i="25"/>
  <c r="DS30" i="25"/>
  <c r="CY114" i="25"/>
  <c r="CZ114" i="25"/>
  <c r="CZ23" i="25"/>
  <c r="CY23" i="25"/>
  <c r="DH268" i="25"/>
  <c r="DA268" i="25"/>
  <c r="DD268" i="25" s="1"/>
  <c r="DE268" i="25" s="1"/>
  <c r="DF268" i="25" s="1"/>
  <c r="DH43" i="25"/>
  <c r="DA43" i="25"/>
  <c r="DD43" i="25" s="1"/>
  <c r="DE43" i="25" s="1"/>
  <c r="DF43" i="25" s="1"/>
  <c r="DH134" i="25"/>
  <c r="DA134" i="25"/>
  <c r="DD134" i="25" s="1"/>
  <c r="DE134" i="25" s="1"/>
  <c r="DF134" i="25" s="1"/>
  <c r="DA316" i="25"/>
  <c r="DD316" i="25" s="1"/>
  <c r="DE316" i="25" s="1"/>
  <c r="DF316" i="25" s="1"/>
  <c r="DH316" i="25"/>
  <c r="CZ251" i="25"/>
  <c r="CY251" i="25"/>
  <c r="CZ95" i="25"/>
  <c r="CY95" i="25"/>
  <c r="FD92" i="25"/>
  <c r="DL92" i="25"/>
  <c r="DL28" i="25"/>
  <c r="DS28" i="25"/>
  <c r="CZ9" i="25"/>
  <c r="CY9" i="25"/>
  <c r="DS29" i="25"/>
  <c r="FD29" i="25"/>
  <c r="DL29" i="25"/>
  <c r="CY24" i="25"/>
  <c r="CZ24" i="25"/>
  <c r="CZ269" i="25"/>
  <c r="CY269" i="25"/>
  <c r="DA208" i="25"/>
  <c r="DD208" i="25" s="1"/>
  <c r="DE208" i="25" s="1"/>
  <c r="DF208" i="25" s="1"/>
  <c r="DH208" i="25"/>
  <c r="DH170" i="25"/>
  <c r="DA170" i="25"/>
  <c r="DD170" i="25" s="1"/>
  <c r="DE170" i="25" s="1"/>
  <c r="DF170" i="25" s="1"/>
  <c r="DA224" i="25"/>
  <c r="DD224" i="25" s="1"/>
  <c r="DE224" i="25" s="1"/>
  <c r="DF224" i="25" s="1"/>
  <c r="DH224" i="25"/>
  <c r="DH90" i="25"/>
  <c r="DA90" i="25"/>
  <c r="DD90" i="25" s="1"/>
  <c r="DE90" i="25" s="1"/>
  <c r="DF90" i="25" s="1"/>
  <c r="CY307" i="25"/>
  <c r="CZ307" i="25"/>
  <c r="CZ188" i="25"/>
  <c r="CY188" i="25"/>
  <c r="CY14" i="25"/>
  <c r="CZ14" i="25"/>
  <c r="CY37" i="25"/>
  <c r="CZ37" i="25"/>
  <c r="DS128" i="25"/>
  <c r="DL128" i="25"/>
  <c r="FD128" i="25"/>
  <c r="DS64" i="25"/>
  <c r="DL64" i="25"/>
  <c r="FD64" i="25"/>
  <c r="CY68" i="25"/>
  <c r="CZ68" i="25"/>
  <c r="DS305" i="25"/>
  <c r="DL305" i="25"/>
  <c r="DA178" i="25"/>
  <c r="DD178" i="25" s="1"/>
  <c r="DE178" i="25" s="1"/>
  <c r="DF178" i="25" s="1"/>
  <c r="DH178" i="25"/>
  <c r="DH123" i="25"/>
  <c r="DA123" i="25"/>
  <c r="DD123" i="25" s="1"/>
  <c r="DE123" i="25" s="1"/>
  <c r="DF123" i="25" s="1"/>
  <c r="DH54" i="25"/>
  <c r="DA54" i="25"/>
  <c r="DD54" i="25" s="1"/>
  <c r="DE54" i="25" s="1"/>
  <c r="DF54" i="25" s="1"/>
  <c r="DA296" i="25"/>
  <c r="DD296" i="25" s="1"/>
  <c r="DE296" i="25" s="1"/>
  <c r="DF296" i="25" s="1"/>
  <c r="DH296" i="25"/>
  <c r="DA189" i="25"/>
  <c r="DD189" i="25" s="1"/>
  <c r="DE189" i="25" s="1"/>
  <c r="DF189" i="25" s="1"/>
  <c r="DH189" i="25"/>
  <c r="DH225" i="25"/>
  <c r="DA225" i="25"/>
  <c r="DD225" i="25" s="1"/>
  <c r="DE225" i="25" s="1"/>
  <c r="DF225" i="25" s="1"/>
  <c r="DS306" i="25"/>
  <c r="DL306" i="25"/>
  <c r="CY235" i="25"/>
  <c r="CZ235" i="25"/>
  <c r="CY194" i="25"/>
  <c r="CZ194" i="25"/>
  <c r="DS180" i="25"/>
  <c r="FD180" i="25"/>
  <c r="DL180" i="25"/>
  <c r="CY237" i="25"/>
  <c r="CZ237" i="25"/>
  <c r="DL238" i="25"/>
  <c r="DS238" i="25"/>
  <c r="CY148" i="25"/>
  <c r="CZ148" i="25"/>
  <c r="DL85" i="25"/>
  <c r="FD85" i="25"/>
  <c r="DS85" i="25"/>
  <c r="DS125" i="25"/>
  <c r="FD125" i="25"/>
  <c r="DL125" i="25"/>
  <c r="CY33" i="25"/>
  <c r="CZ33" i="25"/>
  <c r="DS119" i="25"/>
  <c r="FD119" i="25"/>
  <c r="DL119" i="25"/>
  <c r="CY117" i="25"/>
  <c r="CZ117" i="25"/>
  <c r="CY258" i="25"/>
  <c r="CZ258" i="25"/>
  <c r="CY41" i="25"/>
  <c r="CZ41" i="25"/>
  <c r="CY141" i="25"/>
  <c r="CZ141" i="25"/>
  <c r="CZ98" i="25"/>
  <c r="CY98" i="25"/>
  <c r="DA11" i="25"/>
  <c r="DD11" i="25" s="1"/>
  <c r="DE11" i="25" s="1"/>
  <c r="DF11" i="25" s="1"/>
  <c r="DH11" i="25"/>
  <c r="DA256" i="25"/>
  <c r="DD256" i="25" s="1"/>
  <c r="DE256" i="25" s="1"/>
  <c r="DF256" i="25" s="1"/>
  <c r="DH256" i="25"/>
  <c r="DH279" i="25"/>
  <c r="DA279" i="25"/>
  <c r="DD279" i="25" s="1"/>
  <c r="DE279" i="25" s="1"/>
  <c r="DF279" i="25" s="1"/>
  <c r="DA6" i="25"/>
  <c r="DD6" i="25" s="1"/>
  <c r="DE6" i="25" s="1"/>
  <c r="DF6" i="25" s="1"/>
  <c r="DM6" i="25" s="1"/>
  <c r="DH6" i="25"/>
  <c r="CZ6" i="25"/>
  <c r="DB6" i="25" s="1"/>
  <c r="DH121" i="25"/>
  <c r="DA121" i="25"/>
  <c r="DD121" i="25" s="1"/>
  <c r="DE121" i="25" s="1"/>
  <c r="DF121" i="25" s="1"/>
  <c r="DH305" i="25"/>
  <c r="DA305" i="25"/>
  <c r="DD305" i="25" s="1"/>
  <c r="DE305" i="25" s="1"/>
  <c r="DF305" i="25" s="1"/>
  <c r="DA307" i="25"/>
  <c r="DD307" i="25" s="1"/>
  <c r="DE307" i="25" s="1"/>
  <c r="DF307" i="25" s="1"/>
  <c r="DH307" i="25"/>
  <c r="DL247" i="25"/>
  <c r="DL172" i="25"/>
  <c r="DS172" i="25"/>
  <c r="FD172" i="25"/>
  <c r="CZ209" i="25"/>
  <c r="CY209" i="25"/>
  <c r="CY78" i="25"/>
  <c r="CZ78" i="25"/>
  <c r="CZ257" i="25"/>
  <c r="CY257" i="25"/>
  <c r="DS46" i="25"/>
  <c r="DL46" i="25"/>
  <c r="FD46" i="25"/>
  <c r="DL104" i="25"/>
  <c r="FD104" i="25"/>
  <c r="CY39" i="25"/>
  <c r="CZ39" i="25"/>
  <c r="DA201" i="25"/>
  <c r="DD201" i="25" s="1"/>
  <c r="DE201" i="25" s="1"/>
  <c r="DF201" i="25" s="1"/>
  <c r="DH201" i="25"/>
  <c r="DA131" i="25"/>
  <c r="DD131" i="25" s="1"/>
  <c r="DE131" i="25" s="1"/>
  <c r="DF131" i="25" s="1"/>
  <c r="DH131" i="25"/>
  <c r="DH119" i="25"/>
  <c r="DA119" i="25"/>
  <c r="DD119" i="25" s="1"/>
  <c r="DE119" i="25" s="1"/>
  <c r="DF119" i="25" s="1"/>
  <c r="DH89" i="25"/>
  <c r="DA89" i="25"/>
  <c r="DD89" i="25" s="1"/>
  <c r="DE89" i="25" s="1"/>
  <c r="DF89" i="25" s="1"/>
  <c r="DH153" i="25"/>
  <c r="DA153" i="25"/>
  <c r="DD153" i="25" s="1"/>
  <c r="DE153" i="25" s="1"/>
  <c r="DF153" i="25" s="1"/>
  <c r="CY197" i="25"/>
  <c r="CZ197" i="25"/>
  <c r="CZ309" i="25"/>
  <c r="CY309" i="25"/>
  <c r="DS251" i="25"/>
  <c r="DL251" i="25"/>
  <c r="DL314" i="25"/>
  <c r="DS314" i="25"/>
  <c r="CY140" i="25"/>
  <c r="CZ140" i="25"/>
  <c r="CY28" i="25"/>
  <c r="CZ28" i="25"/>
  <c r="DS42" i="25"/>
  <c r="FD42" i="25"/>
  <c r="DL42" i="25"/>
  <c r="DL225" i="25"/>
  <c r="DA128" i="25"/>
  <c r="DD128" i="25" s="1"/>
  <c r="DE128" i="25" s="1"/>
  <c r="DF128" i="25" s="1"/>
  <c r="DH128" i="25"/>
  <c r="DH46" i="25"/>
  <c r="DA46" i="25"/>
  <c r="DD46" i="25" s="1"/>
  <c r="DE46" i="25" s="1"/>
  <c r="DF46" i="25" s="1"/>
  <c r="DH135" i="25"/>
  <c r="DA135" i="25"/>
  <c r="DD135" i="25" s="1"/>
  <c r="DE135" i="25" s="1"/>
  <c r="DF135" i="25" s="1"/>
  <c r="DH263" i="25"/>
  <c r="DA263" i="25"/>
  <c r="DD263" i="25" s="1"/>
  <c r="DE263" i="25" s="1"/>
  <c r="DF263" i="25" s="1"/>
  <c r="DA310" i="25"/>
  <c r="DD310" i="25" s="1"/>
  <c r="DE310" i="25" s="1"/>
  <c r="DF310" i="25" s="1"/>
  <c r="DH310" i="25"/>
  <c r="DH36" i="25"/>
  <c r="DA36" i="25"/>
  <c r="DD36" i="25" s="1"/>
  <c r="DE36" i="25" s="1"/>
  <c r="DF36" i="25" s="1"/>
  <c r="DH152" i="25"/>
  <c r="DA152" i="25"/>
  <c r="DD152" i="25" s="1"/>
  <c r="DE152" i="25" s="1"/>
  <c r="DF152" i="25" s="1"/>
  <c r="CZ250" i="25"/>
  <c r="CY250" i="25"/>
  <c r="CY156" i="25"/>
  <c r="CZ156" i="25"/>
  <c r="CY280" i="25"/>
  <c r="CZ280" i="25"/>
  <c r="FD188" i="25"/>
  <c r="DS188" i="25"/>
  <c r="DL188" i="25"/>
  <c r="CY285" i="25"/>
  <c r="CZ285" i="25"/>
  <c r="CZ233" i="25"/>
  <c r="CY233" i="25"/>
  <c r="DL153" i="25"/>
  <c r="FD153" i="25"/>
  <c r="DS153" i="25"/>
  <c r="CY151" i="25"/>
  <c r="CZ151" i="25"/>
  <c r="DL86" i="25"/>
  <c r="DS86" i="25"/>
  <c r="FD86" i="25"/>
  <c r="CZ34" i="25"/>
  <c r="CY34" i="25"/>
  <c r="CY87" i="25"/>
  <c r="CZ87" i="25"/>
  <c r="DS277" i="25"/>
  <c r="DL277" i="25"/>
  <c r="CY90" i="25"/>
  <c r="CZ90" i="25"/>
  <c r="CY266" i="25"/>
  <c r="CZ266" i="25"/>
  <c r="CZ27" i="25"/>
  <c r="CY27" i="25"/>
  <c r="DL37" i="25"/>
  <c r="DS37" i="25"/>
  <c r="FD37" i="25"/>
  <c r="DH250" i="25"/>
  <c r="DA250" i="25"/>
  <c r="DD250" i="25" s="1"/>
  <c r="DE250" i="25" s="1"/>
  <c r="DF250" i="25" s="1"/>
  <c r="CZ179" i="25"/>
  <c r="CY179" i="25"/>
  <c r="DL232" i="25"/>
  <c r="DS232" i="25"/>
  <c r="CZ305" i="25"/>
  <c r="CY305" i="25"/>
  <c r="DA49" i="25"/>
  <c r="DD49" i="25" s="1"/>
  <c r="DE49" i="25" s="1"/>
  <c r="DF49" i="25" s="1"/>
  <c r="DH49" i="25"/>
  <c r="DH253" i="25"/>
  <c r="DA253" i="25"/>
  <c r="DD253" i="25" s="1"/>
  <c r="DE253" i="25" s="1"/>
  <c r="DF253" i="25" s="1"/>
  <c r="DA285" i="25"/>
  <c r="DD285" i="25" s="1"/>
  <c r="DE285" i="25" s="1"/>
  <c r="DF285" i="25" s="1"/>
  <c r="DH285" i="25"/>
  <c r="DH33" i="25"/>
  <c r="DA33" i="25"/>
  <c r="DD33" i="25" s="1"/>
  <c r="DE33" i="25" s="1"/>
  <c r="DF33" i="25" s="1"/>
  <c r="DH12" i="25"/>
  <c r="DA12" i="25"/>
  <c r="DD12" i="25" s="1"/>
  <c r="DE12" i="25" s="1"/>
  <c r="DF12" i="25" s="1"/>
  <c r="DL294" i="25"/>
  <c r="DS294" i="25"/>
  <c r="DL237" i="25"/>
  <c r="DS237" i="25"/>
  <c r="CY143" i="25"/>
  <c r="CZ143" i="25"/>
  <c r="CY79" i="25"/>
  <c r="CZ79" i="25"/>
  <c r="CY74" i="25"/>
  <c r="CZ74" i="25"/>
  <c r="DL262" i="25"/>
  <c r="DS262" i="25"/>
  <c r="DS22" i="25"/>
  <c r="DL22" i="25"/>
  <c r="FD22" i="25"/>
  <c r="DL15" i="25"/>
  <c r="FD15" i="25"/>
  <c r="DS15" i="25"/>
  <c r="DL8" i="25"/>
  <c r="FD8" i="25"/>
  <c r="DS8" i="25"/>
  <c r="CY187" i="25"/>
  <c r="CZ187" i="25"/>
  <c r="CZ301" i="25"/>
  <c r="CY301" i="25"/>
  <c r="DL296" i="25"/>
  <c r="DS296" i="25"/>
  <c r="DL229" i="25"/>
  <c r="DS229" i="25"/>
  <c r="DL159" i="25"/>
  <c r="DS159" i="25"/>
  <c r="FD159" i="25"/>
  <c r="DS293" i="25"/>
  <c r="DL52" i="25"/>
  <c r="DS52" i="25"/>
  <c r="FD52" i="25"/>
  <c r="FD75" i="25"/>
  <c r="DS75" i="25"/>
  <c r="DL75" i="25"/>
  <c r="DS258" i="25"/>
  <c r="DL258" i="25"/>
  <c r="DL111" i="25"/>
  <c r="DS111" i="25"/>
  <c r="FD111" i="25"/>
  <c r="DH30" i="25"/>
  <c r="DA30" i="25"/>
  <c r="DD30" i="25" s="1"/>
  <c r="DE30" i="25" s="1"/>
  <c r="DF30" i="25" s="1"/>
  <c r="CZ137" i="25"/>
  <c r="CY137" i="25"/>
  <c r="DA130" i="25"/>
  <c r="DD130" i="25" s="1"/>
  <c r="DE130" i="25" s="1"/>
  <c r="DF130" i="25" s="1"/>
  <c r="DH130" i="25"/>
  <c r="DH149" i="25"/>
  <c r="DA149" i="25"/>
  <c r="DD149" i="25" s="1"/>
  <c r="DE149" i="25" s="1"/>
  <c r="DF149" i="25" s="1"/>
  <c r="CZ66" i="25"/>
  <c r="DB66" i="25" s="1"/>
  <c r="DA66" i="25"/>
  <c r="DD66" i="25" s="1"/>
  <c r="DE66" i="25" s="1"/>
  <c r="DF66" i="25" s="1"/>
  <c r="DH66" i="25"/>
  <c r="DH312" i="25"/>
  <c r="DA312" i="25"/>
  <c r="DD312" i="25" s="1"/>
  <c r="DE312" i="25" s="1"/>
  <c r="DF312" i="25" s="1"/>
  <c r="DH86" i="25"/>
  <c r="DA86" i="25"/>
  <c r="DD86" i="25" s="1"/>
  <c r="DE86" i="25" s="1"/>
  <c r="DF86" i="25" s="1"/>
  <c r="DH301" i="25"/>
  <c r="DA301" i="25"/>
  <c r="DD301" i="25" s="1"/>
  <c r="DE301" i="25" s="1"/>
  <c r="DF301" i="25" s="1"/>
  <c r="CY190" i="25"/>
  <c r="CZ190" i="25"/>
  <c r="CY308" i="25"/>
  <c r="CZ308" i="25"/>
  <c r="FD193" i="25"/>
  <c r="DL193" i="25"/>
  <c r="DL257" i="25"/>
  <c r="DS257" i="25"/>
  <c r="DS122" i="25"/>
  <c r="FD122" i="25"/>
  <c r="DL122" i="25"/>
  <c r="CZ93" i="25"/>
  <c r="CY93" i="25"/>
  <c r="CY115" i="25"/>
  <c r="CZ115" i="25"/>
  <c r="CY13" i="25"/>
  <c r="CZ13" i="25"/>
  <c r="FD114" i="25"/>
  <c r="DS114" i="25"/>
  <c r="DL114" i="25"/>
  <c r="DS184" i="25"/>
  <c r="DL184" i="25"/>
  <c r="FD184" i="25"/>
  <c r="CY302" i="25"/>
  <c r="CZ302" i="25"/>
  <c r="CY73" i="25"/>
  <c r="CZ73" i="25"/>
  <c r="CY49" i="25"/>
  <c r="CZ49" i="25"/>
  <c r="DH271" i="25"/>
  <c r="DA271" i="25"/>
  <c r="DD271" i="25" s="1"/>
  <c r="DE271" i="25" s="1"/>
  <c r="DF271" i="25" s="1"/>
  <c r="DH22" i="25"/>
  <c r="DA22" i="25"/>
  <c r="DD22" i="25" s="1"/>
  <c r="DE22" i="25" s="1"/>
  <c r="DF22" i="25" s="1"/>
  <c r="DH72" i="25"/>
  <c r="DA72" i="25"/>
  <c r="DD72" i="25" s="1"/>
  <c r="DE72" i="25" s="1"/>
  <c r="DF72" i="25" s="1"/>
  <c r="DA193" i="25"/>
  <c r="DD193" i="25" s="1"/>
  <c r="DE193" i="25" s="1"/>
  <c r="DF193" i="25" s="1"/>
  <c r="DH193" i="25"/>
  <c r="DA240" i="25"/>
  <c r="DD240" i="25" s="1"/>
  <c r="DE240" i="25" s="1"/>
  <c r="DF240" i="25" s="1"/>
  <c r="DH240" i="25"/>
  <c r="DH150" i="25"/>
  <c r="DA150" i="25"/>
  <c r="DD150" i="25" s="1"/>
  <c r="DE150" i="25" s="1"/>
  <c r="DF150" i="25" s="1"/>
  <c r="CZ256" i="25"/>
  <c r="CY256" i="25"/>
  <c r="FD197" i="25"/>
  <c r="DL197" i="25"/>
  <c r="DL309" i="25"/>
  <c r="DS309" i="25"/>
  <c r="FD182" i="25"/>
  <c r="DL182" i="25"/>
  <c r="DS182" i="25"/>
  <c r="CZ239" i="25"/>
  <c r="CY239" i="25"/>
  <c r="CY171" i="25"/>
  <c r="CZ171" i="25"/>
  <c r="DS173" i="25"/>
  <c r="FD173" i="25"/>
  <c r="DL173" i="25"/>
  <c r="DS69" i="25"/>
  <c r="FD69" i="25"/>
  <c r="DL69" i="25"/>
  <c r="CZ139" i="25"/>
  <c r="CY139" i="25"/>
  <c r="DL95" i="25"/>
  <c r="CY92" i="25"/>
  <c r="CZ92" i="25"/>
  <c r="CY81" i="25"/>
  <c r="CZ81" i="25"/>
  <c r="DA96" i="25"/>
  <c r="DD96" i="25" s="1"/>
  <c r="DE96" i="25" s="1"/>
  <c r="DF96" i="25" s="1"/>
  <c r="DH96" i="25"/>
  <c r="DA127" i="25"/>
  <c r="DD127" i="25" s="1"/>
  <c r="DE127" i="25" s="1"/>
  <c r="DF127" i="25" s="1"/>
  <c r="DH127" i="25"/>
  <c r="CZ154" i="25"/>
  <c r="DB154" i="25" s="1"/>
  <c r="DH154" i="25"/>
  <c r="DA154" i="25"/>
  <c r="DD154" i="25" s="1"/>
  <c r="DE154" i="25" s="1"/>
  <c r="DF154" i="25" s="1"/>
  <c r="DL250" i="25"/>
  <c r="DS250" i="25"/>
  <c r="FD195" i="25"/>
  <c r="DL195" i="25"/>
  <c r="DL307" i="25"/>
  <c r="DS307" i="25"/>
  <c r="CZ243" i="25"/>
  <c r="CY243" i="25"/>
  <c r="DS285" i="25"/>
  <c r="DL285" i="25"/>
  <c r="DL151" i="25"/>
  <c r="DS151" i="25"/>
  <c r="FD151" i="25"/>
  <c r="CZ130" i="25"/>
  <c r="CY130" i="25"/>
  <c r="CY65" i="25"/>
  <c r="CZ65" i="25"/>
  <c r="CY277" i="25"/>
  <c r="CZ277" i="25"/>
  <c r="DL90" i="25"/>
  <c r="FD90" i="25"/>
  <c r="DS90" i="25"/>
  <c r="CZ38" i="25"/>
  <c r="CY38" i="25"/>
  <c r="DH145" i="25"/>
  <c r="DA145" i="25"/>
  <c r="DD145" i="25" s="1"/>
  <c r="DE145" i="25" s="1"/>
  <c r="DF145" i="25" s="1"/>
  <c r="DL154" i="25"/>
  <c r="DS154" i="25"/>
  <c r="DH258" i="25"/>
  <c r="DA258" i="25"/>
  <c r="DD258" i="25" s="1"/>
  <c r="DE258" i="25" s="1"/>
  <c r="DF258" i="25" s="1"/>
  <c r="DH125" i="25"/>
  <c r="DA125" i="25"/>
  <c r="DD125" i="25" s="1"/>
  <c r="DE125" i="25" s="1"/>
  <c r="DF125" i="25" s="1"/>
  <c r="DA197" i="25"/>
  <c r="DD197" i="25" s="1"/>
  <c r="DE197" i="25" s="1"/>
  <c r="DF197" i="25" s="1"/>
  <c r="DH197" i="25"/>
  <c r="CY180" i="25"/>
  <c r="CZ180" i="25"/>
  <c r="CZ294" i="25"/>
  <c r="CY294" i="25"/>
  <c r="DL161" i="25"/>
  <c r="DS161" i="25"/>
  <c r="FD161" i="25"/>
  <c r="DS148" i="25"/>
  <c r="DL148" i="25"/>
  <c r="FD148" i="25"/>
  <c r="CZ129" i="25"/>
  <c r="CY129" i="25"/>
  <c r="CZ125" i="25"/>
  <c r="CY125" i="25"/>
  <c r="CY119" i="25"/>
  <c r="CZ119" i="25"/>
  <c r="CZ43" i="25"/>
  <c r="CY43" i="25"/>
  <c r="DL157" i="25"/>
  <c r="DS157" i="25"/>
  <c r="FD157" i="25"/>
  <c r="CZ208" i="25"/>
  <c r="CY208" i="25"/>
  <c r="CY8" i="25"/>
  <c r="CZ8" i="25"/>
  <c r="CY20" i="25"/>
  <c r="CZ20" i="25"/>
  <c r="CZ219" i="25"/>
  <c r="CY219" i="25"/>
  <c r="DH26" i="25"/>
  <c r="DA26" i="25"/>
  <c r="DD26" i="25" s="1"/>
  <c r="DE26" i="25" s="1"/>
  <c r="DF26" i="25" s="1"/>
  <c r="DH282" i="25"/>
  <c r="DA282" i="25"/>
  <c r="DD282" i="25" s="1"/>
  <c r="DE282" i="25" s="1"/>
  <c r="DF282" i="25" s="1"/>
  <c r="DH290" i="25"/>
  <c r="DA290" i="25"/>
  <c r="DD290" i="25" s="1"/>
  <c r="DE290" i="25" s="1"/>
  <c r="DF290" i="25" s="1"/>
  <c r="CZ51" i="25"/>
  <c r="DB51" i="25" s="1"/>
  <c r="DA51" i="25"/>
  <c r="DD51" i="25" s="1"/>
  <c r="DE51" i="25" s="1"/>
  <c r="DF51" i="25" s="1"/>
  <c r="DH51" i="25"/>
  <c r="DH85" i="25"/>
  <c r="DA85" i="25"/>
  <c r="DD85" i="25" s="1"/>
  <c r="DE85" i="25" s="1"/>
  <c r="DF85" i="25" s="1"/>
  <c r="DH93" i="25"/>
  <c r="DA93" i="25"/>
  <c r="DD93" i="25" s="1"/>
  <c r="DE93" i="25" s="1"/>
  <c r="DF93" i="25" s="1"/>
  <c r="DL263" i="25"/>
  <c r="DS263" i="25"/>
  <c r="DL255" i="25"/>
  <c r="DL205" i="25"/>
  <c r="FD205" i="25"/>
  <c r="DS260" i="25"/>
  <c r="DL260" i="25"/>
  <c r="DL187" i="25"/>
  <c r="FD187" i="25"/>
  <c r="DS187" i="25"/>
  <c r="CY191" i="25"/>
  <c r="CZ191" i="25"/>
  <c r="CY296" i="25"/>
  <c r="CZ296" i="25"/>
  <c r="CZ293" i="25"/>
  <c r="CY293" i="25"/>
  <c r="CY123" i="25"/>
  <c r="CZ123" i="25"/>
  <c r="DL174" i="25"/>
  <c r="DS174" i="25"/>
  <c r="FD174" i="25"/>
  <c r="DL51" i="25"/>
  <c r="DS51" i="25"/>
  <c r="CZ75" i="25"/>
  <c r="CY75" i="25"/>
  <c r="DS141" i="25"/>
  <c r="FD141" i="25"/>
  <c r="DL141" i="25"/>
  <c r="CY77" i="25"/>
  <c r="CZ77" i="25"/>
  <c r="DL19" i="25"/>
  <c r="DS19" i="25"/>
  <c r="CY230" i="25"/>
  <c r="CZ230" i="25"/>
  <c r="DH247" i="25"/>
  <c r="DA247" i="25"/>
  <c r="DD247" i="25" s="1"/>
  <c r="DE247" i="25" s="1"/>
  <c r="DF247" i="25" s="1"/>
  <c r="DH18" i="25"/>
  <c r="DA18" i="25"/>
  <c r="DD18" i="25" s="1"/>
  <c r="DE18" i="25" s="1"/>
  <c r="DF18" i="25" s="1"/>
  <c r="DA68" i="25"/>
  <c r="DD68" i="25" s="1"/>
  <c r="DE68" i="25" s="1"/>
  <c r="DF68" i="25" s="1"/>
  <c r="DH68" i="25"/>
  <c r="DA298" i="25"/>
  <c r="DD298" i="25" s="1"/>
  <c r="DE298" i="25" s="1"/>
  <c r="DF298" i="25" s="1"/>
  <c r="DH298" i="25"/>
  <c r="CZ270" i="25"/>
  <c r="DB270" i="25" s="1"/>
  <c r="DA270" i="25"/>
  <c r="DD270" i="25" s="1"/>
  <c r="DE270" i="25" s="1"/>
  <c r="DF270" i="25" s="1"/>
  <c r="DH270" i="25"/>
  <c r="CY198" i="25"/>
  <c r="CZ198" i="25"/>
  <c r="CY246" i="25"/>
  <c r="CZ246" i="25"/>
  <c r="CZ292" i="25"/>
  <c r="CY292" i="25"/>
  <c r="DL308" i="25"/>
  <c r="DS308" i="25"/>
  <c r="DL78" i="25"/>
  <c r="FD78" i="25"/>
  <c r="DS78" i="25"/>
  <c r="DL142" i="25"/>
  <c r="DS142" i="25"/>
  <c r="FD142" i="25"/>
  <c r="CY45" i="25"/>
  <c r="CZ45" i="25"/>
  <c r="FD105" i="25"/>
  <c r="DL105" i="25"/>
  <c r="CZ30" i="25"/>
  <c r="CY30" i="25"/>
  <c r="DS13" i="25"/>
  <c r="CZ21" i="25"/>
  <c r="CY21" i="25"/>
  <c r="DH160" i="25"/>
  <c r="DA160" i="25"/>
  <c r="DD160" i="25" s="1"/>
  <c r="DE160" i="25" s="1"/>
  <c r="DF160" i="25" s="1"/>
  <c r="DL289" i="25"/>
  <c r="DS289" i="25"/>
  <c r="DL302" i="25"/>
  <c r="DS302" i="25"/>
  <c r="DA235" i="25"/>
  <c r="DD235" i="25" s="1"/>
  <c r="DE235" i="25" s="1"/>
  <c r="DF235" i="25" s="1"/>
  <c r="DH235" i="25"/>
  <c r="CZ300" i="25"/>
  <c r="DB300" i="25" s="1"/>
  <c r="DH300" i="25"/>
  <c r="DA300" i="25"/>
  <c r="DD300" i="25" s="1"/>
  <c r="DE300" i="25" s="1"/>
  <c r="DF300" i="25" s="1"/>
  <c r="DH39" i="25"/>
  <c r="DA39" i="25"/>
  <c r="DD39" i="25" s="1"/>
  <c r="DE39" i="25" s="1"/>
  <c r="DF39" i="25" s="1"/>
  <c r="DS256" i="25"/>
  <c r="DL256" i="25"/>
  <c r="DL239" i="25"/>
  <c r="DS239" i="25"/>
  <c r="DS171" i="25"/>
  <c r="DL171" i="25"/>
  <c r="FD171" i="25"/>
  <c r="CZ173" i="25"/>
  <c r="CY173" i="25"/>
  <c r="DL227" i="25"/>
  <c r="DS227" i="25"/>
  <c r="CY121" i="25"/>
  <c r="CZ121" i="25"/>
  <c r="CY42" i="25"/>
  <c r="CZ42" i="25"/>
  <c r="FD28" i="25"/>
  <c r="FD44" i="25"/>
  <c r="DA185" i="25"/>
  <c r="DD185" i="25" s="1"/>
  <c r="DE185" i="25" s="1"/>
  <c r="DF185" i="25" s="1"/>
  <c r="DH185" i="25"/>
  <c r="DH293" i="25"/>
  <c r="DA293" i="25"/>
  <c r="DD293" i="25" s="1"/>
  <c r="DE293" i="25" s="1"/>
  <c r="DF293" i="25" s="1"/>
  <c r="DH163" i="25"/>
  <c r="DA163" i="25"/>
  <c r="DD163" i="25" s="1"/>
  <c r="DE163" i="25" s="1"/>
  <c r="DF163" i="25" s="1"/>
  <c r="CY195" i="25"/>
  <c r="CZ195" i="25"/>
  <c r="CZ244" i="25"/>
  <c r="CY244" i="25"/>
  <c r="DS243" i="25"/>
  <c r="DL280" i="25"/>
  <c r="DS280" i="25"/>
  <c r="FD65" i="25"/>
  <c r="DL65" i="25"/>
  <c r="DS65" i="25"/>
  <c r="FD87" i="25"/>
  <c r="DL87" i="25"/>
  <c r="DL55" i="25"/>
  <c r="DS55" i="25"/>
  <c r="DL82" i="25"/>
  <c r="FD82" i="25"/>
  <c r="DS82" i="25"/>
  <c r="DL27" i="25"/>
  <c r="DS27" i="25"/>
  <c r="DS175" i="25"/>
  <c r="DL175" i="25"/>
  <c r="FD175" i="25"/>
  <c r="DS17" i="25"/>
  <c r="DA177" i="25"/>
  <c r="DD177" i="25" s="1"/>
  <c r="DE177" i="25" s="1"/>
  <c r="DF177" i="25" s="1"/>
  <c r="DH177" i="25"/>
  <c r="DH55" i="25"/>
  <c r="DA55" i="25"/>
  <c r="DD55" i="25" s="1"/>
  <c r="DE55" i="25" s="1"/>
  <c r="DF55" i="25" s="1"/>
  <c r="DL68" i="25"/>
  <c r="FD68" i="25"/>
  <c r="DS68" i="25"/>
  <c r="DH182" i="25"/>
  <c r="DA182" i="25"/>
  <c r="DD182" i="25" s="1"/>
  <c r="DE182" i="25" s="1"/>
  <c r="DF182" i="25" s="1"/>
  <c r="DH133" i="25"/>
  <c r="DA133" i="25"/>
  <c r="DD133" i="25" s="1"/>
  <c r="DE133" i="25" s="1"/>
  <c r="DF133" i="25" s="1"/>
  <c r="DH273" i="25"/>
  <c r="DA273" i="25"/>
  <c r="DD273" i="25" s="1"/>
  <c r="DE273" i="25" s="1"/>
  <c r="DF273" i="25" s="1"/>
  <c r="DS225" i="25"/>
  <c r="CZ63" i="25"/>
  <c r="DB63" i="25" s="1"/>
  <c r="DH63" i="25"/>
  <c r="DA63" i="25"/>
  <c r="DD63" i="25" s="1"/>
  <c r="DE63" i="25" s="1"/>
  <c r="DF63" i="25" s="1"/>
  <c r="DL226" i="25"/>
  <c r="DS226" i="25"/>
  <c r="FD143" i="25"/>
  <c r="DS143" i="25"/>
  <c r="DL143" i="25"/>
  <c r="DL89" i="25"/>
  <c r="DS89" i="25"/>
  <c r="FD89" i="25"/>
  <c r="CY59" i="25"/>
  <c r="CZ59" i="25"/>
  <c r="DL208" i="25"/>
  <c r="FD208" i="25"/>
  <c r="FD20" i="25"/>
  <c r="DL20" i="25"/>
  <c r="DS20" i="25"/>
  <c r="DA237" i="25"/>
  <c r="DD237" i="25" s="1"/>
  <c r="DE237" i="25" s="1"/>
  <c r="DF237" i="25" s="1"/>
  <c r="DH237" i="25"/>
  <c r="DH188" i="25"/>
  <c r="DA188" i="25"/>
  <c r="DD188" i="25" s="1"/>
  <c r="DE188" i="25" s="1"/>
  <c r="DF188" i="25" s="1"/>
  <c r="DH252" i="25"/>
  <c r="DA252" i="25"/>
  <c r="DD252" i="25" s="1"/>
  <c r="DE252" i="25" s="1"/>
  <c r="DF252" i="25" s="1"/>
  <c r="DH24" i="25"/>
  <c r="DA24" i="25"/>
  <c r="DD24" i="25" s="1"/>
  <c r="DE24" i="25" s="1"/>
  <c r="DF24" i="25" s="1"/>
  <c r="CY263" i="25"/>
  <c r="CZ263" i="25"/>
  <c r="DL207" i="25"/>
  <c r="FD207" i="25"/>
  <c r="CY255" i="25"/>
  <c r="CZ255" i="25"/>
  <c r="CZ260" i="25"/>
  <c r="CY260" i="25"/>
  <c r="DL301" i="25"/>
  <c r="DS301" i="25"/>
  <c r="CZ224" i="25"/>
  <c r="CY224" i="25"/>
  <c r="FD118" i="25"/>
  <c r="DS118" i="25"/>
  <c r="DL118" i="25"/>
  <c r="CZ94" i="25"/>
  <c r="CY94" i="25"/>
  <c r="CY72" i="25"/>
  <c r="CZ72" i="25"/>
  <c r="DH227" i="25"/>
  <c r="DA227" i="25"/>
  <c r="DD227" i="25" s="1"/>
  <c r="DE227" i="25" s="1"/>
  <c r="DF227" i="25" s="1"/>
  <c r="CY228" i="25"/>
  <c r="CZ228" i="25"/>
  <c r="DL230" i="25"/>
  <c r="DS230" i="25"/>
  <c r="DH209" i="25"/>
  <c r="DA209" i="25"/>
  <c r="DD209" i="25" s="1"/>
  <c r="DE209" i="25" s="1"/>
  <c r="DF209" i="25" s="1"/>
  <c r="DH184" i="25"/>
  <c r="DA184" i="25"/>
  <c r="DD184" i="25" s="1"/>
  <c r="DE184" i="25" s="1"/>
  <c r="DF184" i="25" s="1"/>
  <c r="DH148" i="25"/>
  <c r="DA148" i="25"/>
  <c r="DD148" i="25" s="1"/>
  <c r="DE148" i="25" s="1"/>
  <c r="DF148" i="25" s="1"/>
  <c r="DH161" i="25"/>
  <c r="DA161" i="25"/>
  <c r="DD161" i="25" s="1"/>
  <c r="DE161" i="25" s="1"/>
  <c r="DF161" i="25" s="1"/>
  <c r="DH218" i="25"/>
  <c r="DA218" i="25"/>
  <c r="DD218" i="25" s="1"/>
  <c r="DE218" i="25" s="1"/>
  <c r="DF218" i="25" s="1"/>
  <c r="DL183" i="25"/>
  <c r="FD183" i="25"/>
  <c r="DS183" i="25"/>
  <c r="CY170" i="25"/>
  <c r="CZ170" i="25"/>
  <c r="DS292" i="25"/>
  <c r="DL292" i="25"/>
  <c r="DL190" i="25"/>
  <c r="DS190" i="25"/>
  <c r="FD190" i="25"/>
  <c r="CY136" i="25"/>
  <c r="CZ136" i="25"/>
  <c r="DL13" i="25"/>
  <c r="FD13" i="25"/>
  <c r="DL23" i="25"/>
  <c r="FD23" i="25"/>
  <c r="DS23" i="25"/>
  <c r="DH181" i="25"/>
  <c r="DA181" i="25"/>
  <c r="DD181" i="25" s="1"/>
  <c r="DE181" i="25" s="1"/>
  <c r="DF181" i="25" s="1"/>
  <c r="CY272" i="25"/>
  <c r="CZ272" i="25"/>
  <c r="CZ289" i="25"/>
  <c r="CY289" i="25"/>
  <c r="DL39" i="25"/>
  <c r="FD39" i="25"/>
  <c r="DS39" i="25"/>
  <c r="DL73" i="25"/>
  <c r="DS73" i="25"/>
  <c r="FD73" i="25"/>
  <c r="DA129" i="25"/>
  <c r="DD129" i="25" s="1"/>
  <c r="DE129" i="25" s="1"/>
  <c r="DF129" i="25" s="1"/>
  <c r="DH129" i="25"/>
  <c r="DH137" i="25"/>
  <c r="DA137" i="25"/>
  <c r="DD137" i="25" s="1"/>
  <c r="DE137" i="25" s="1"/>
  <c r="DF137" i="25" s="1"/>
  <c r="DH48" i="25"/>
  <c r="DA48" i="25"/>
  <c r="DD48" i="25" s="1"/>
  <c r="DE48" i="25" s="1"/>
  <c r="DF48" i="25" s="1"/>
  <c r="DH52" i="25"/>
  <c r="DA52" i="25"/>
  <c r="DD52" i="25" s="1"/>
  <c r="DE52" i="25" s="1"/>
  <c r="DF52" i="25" s="1"/>
  <c r="CY290" i="25"/>
  <c r="CZ290" i="25"/>
  <c r="CY287" i="25"/>
  <c r="CZ287" i="25"/>
  <c r="FD140" i="25"/>
  <c r="DS140" i="25"/>
  <c r="DL140" i="25"/>
  <c r="CY227" i="25"/>
  <c r="CZ227" i="25"/>
  <c r="CY284" i="25"/>
  <c r="CZ284" i="25"/>
  <c r="FD9" i="25"/>
  <c r="DL9" i="25"/>
  <c r="DH171" i="25"/>
  <c r="DA171" i="25"/>
  <c r="DD171" i="25" s="1"/>
  <c r="DE171" i="25" s="1"/>
  <c r="DF171" i="25" s="1"/>
  <c r="DH126" i="25"/>
  <c r="DA126" i="25"/>
  <c r="DD126" i="25" s="1"/>
  <c r="DE126" i="25" s="1"/>
  <c r="DF126" i="25" s="1"/>
  <c r="DH13" i="25"/>
  <c r="DA13" i="25"/>
  <c r="DD13" i="25" s="1"/>
  <c r="DE13" i="25" s="1"/>
  <c r="DF13" i="25" s="1"/>
  <c r="DH17" i="25"/>
  <c r="DA17" i="25"/>
  <c r="DD17" i="25" s="1"/>
  <c r="DE17" i="25" s="1"/>
  <c r="DF17" i="25" s="1"/>
  <c r="DH278" i="25"/>
  <c r="DA278" i="25"/>
  <c r="DD278" i="25" s="1"/>
  <c r="DE278" i="25" s="1"/>
  <c r="DF278" i="25" s="1"/>
  <c r="DA281" i="25"/>
  <c r="DD281" i="25" s="1"/>
  <c r="DE281" i="25" s="1"/>
  <c r="DF281" i="25" s="1"/>
  <c r="DH281" i="25"/>
  <c r="CZ236" i="25"/>
  <c r="DB236" i="25" s="1"/>
  <c r="DH236" i="25"/>
  <c r="DA236" i="25"/>
  <c r="DD236" i="25" s="1"/>
  <c r="DE236" i="25" s="1"/>
  <c r="DF236" i="25" s="1"/>
  <c r="DH159" i="25"/>
  <c r="DA159" i="25"/>
  <c r="DD159" i="25" s="1"/>
  <c r="DE159" i="25" s="1"/>
  <c r="DF159" i="25" s="1"/>
  <c r="DL243" i="25"/>
  <c r="CY177" i="25"/>
  <c r="CZ177" i="25"/>
  <c r="CY100" i="25"/>
  <c r="CZ100" i="25"/>
  <c r="CY126" i="25"/>
  <c r="CZ126" i="25"/>
  <c r="CY17" i="25"/>
  <c r="CZ17" i="25"/>
  <c r="DS176" i="25"/>
  <c r="FD176" i="25"/>
  <c r="DL176" i="25"/>
  <c r="DH139" i="25"/>
  <c r="DA139" i="25"/>
  <c r="DD139" i="25" s="1"/>
  <c r="DE139" i="25" s="1"/>
  <c r="DF139" i="25" s="1"/>
  <c r="DH124" i="25"/>
  <c r="DA124" i="25"/>
  <c r="DD124" i="25" s="1"/>
  <c r="DE124" i="25" s="1"/>
  <c r="DF124" i="25" s="1"/>
  <c r="FD55" i="25"/>
  <c r="DA192" i="25"/>
  <c r="DD192" i="25" s="1"/>
  <c r="DE192" i="25" s="1"/>
  <c r="DF192" i="25" s="1"/>
  <c r="DH192" i="25"/>
  <c r="DA204" i="25"/>
  <c r="DD204" i="25" s="1"/>
  <c r="DE204" i="25" s="1"/>
  <c r="DF204" i="25" s="1"/>
  <c r="DH204" i="25"/>
  <c r="DH115" i="25"/>
  <c r="DA115" i="25"/>
  <c r="DD115" i="25" s="1"/>
  <c r="DE115" i="25" s="1"/>
  <c r="DF115" i="25" s="1"/>
  <c r="DH245" i="25"/>
  <c r="DA245" i="25"/>
  <c r="DD245" i="25" s="1"/>
  <c r="DE245" i="25" s="1"/>
  <c r="DF245" i="25" s="1"/>
  <c r="DH140" i="25"/>
  <c r="DA140" i="25"/>
  <c r="DD140" i="25" s="1"/>
  <c r="DE140" i="25" s="1"/>
  <c r="DF140" i="25" s="1"/>
  <c r="DH297" i="25"/>
  <c r="DA297" i="25"/>
  <c r="DD297" i="25" s="1"/>
  <c r="DE297" i="25" s="1"/>
  <c r="DF297" i="25" s="1"/>
  <c r="DH223" i="25"/>
  <c r="DA223" i="25"/>
  <c r="DD223" i="25" s="1"/>
  <c r="DE223" i="25" s="1"/>
  <c r="DF223" i="25" s="1"/>
  <c r="DH222" i="25"/>
  <c r="DA222" i="25"/>
  <c r="DD222" i="25" s="1"/>
  <c r="DE222" i="25" s="1"/>
  <c r="DF222" i="25" s="1"/>
  <c r="CZ241" i="25"/>
  <c r="CY241" i="25"/>
  <c r="CY146" i="25"/>
  <c r="CZ146" i="25"/>
  <c r="CY185" i="25"/>
  <c r="CZ185" i="25"/>
  <c r="CZ283" i="25"/>
  <c r="CY283" i="25"/>
  <c r="DS129" i="25"/>
  <c r="DL129" i="25"/>
  <c r="FD129" i="25"/>
  <c r="DL57" i="25"/>
  <c r="DS57" i="25"/>
  <c r="FD57" i="25"/>
  <c r="CZ145" i="25"/>
  <c r="CY145" i="25"/>
  <c r="DL33" i="25"/>
  <c r="FD33" i="25"/>
  <c r="DS33" i="25"/>
  <c r="CY22" i="25"/>
  <c r="CZ22" i="25"/>
  <c r="DS25" i="25"/>
  <c r="DA196" i="25"/>
  <c r="DD196" i="25" s="1"/>
  <c r="DE196" i="25" s="1"/>
  <c r="DF196" i="25" s="1"/>
  <c r="DH196" i="25"/>
  <c r="DA229" i="25"/>
  <c r="DD229" i="25" s="1"/>
  <c r="DE229" i="25" s="1"/>
  <c r="DF229" i="25" s="1"/>
  <c r="DH229" i="25"/>
  <c r="DH136" i="25"/>
  <c r="DA136" i="25"/>
  <c r="DD136" i="25" s="1"/>
  <c r="DE136" i="25" s="1"/>
  <c r="DF136" i="25" s="1"/>
  <c r="DA287" i="25"/>
  <c r="DD287" i="25" s="1"/>
  <c r="DE287" i="25" s="1"/>
  <c r="DF287" i="25" s="1"/>
  <c r="DH287" i="25"/>
  <c r="DA255" i="25"/>
  <c r="DD255" i="25" s="1"/>
  <c r="DE255" i="25" s="1"/>
  <c r="DF255" i="25" s="1"/>
  <c r="DH255" i="25"/>
  <c r="DH151" i="25"/>
  <c r="DA151" i="25"/>
  <c r="DD151" i="25" s="1"/>
  <c r="DE151" i="25" s="1"/>
  <c r="DF151" i="25" s="1"/>
  <c r="DA186" i="25"/>
  <c r="DD186" i="25" s="1"/>
  <c r="DE186" i="25" s="1"/>
  <c r="DF186" i="25" s="1"/>
  <c r="DH186" i="25"/>
  <c r="DH272" i="25"/>
  <c r="DA272" i="25"/>
  <c r="DD272" i="25" s="1"/>
  <c r="DE272" i="25" s="1"/>
  <c r="DF272" i="25" s="1"/>
  <c r="CY200" i="25"/>
  <c r="CZ200" i="25"/>
  <c r="CY147" i="25"/>
  <c r="CZ147" i="25"/>
  <c r="CY254" i="25"/>
  <c r="CZ254" i="25"/>
  <c r="CY253" i="25"/>
  <c r="CZ253" i="25"/>
  <c r="CZ183" i="25"/>
  <c r="CY183" i="25"/>
  <c r="DL246" i="25"/>
  <c r="DS246" i="25"/>
  <c r="FD70" i="25"/>
  <c r="DS70" i="25"/>
  <c r="DL70" i="25"/>
  <c r="DL21" i="25"/>
  <c r="FD21" i="25"/>
  <c r="DS21" i="25"/>
  <c r="DS66" i="25"/>
  <c r="DL66" i="25"/>
  <c r="FD66" i="25"/>
  <c r="CZ184" i="25"/>
  <c r="CY184" i="25"/>
  <c r="FD199" i="25"/>
  <c r="DL199" i="25"/>
  <c r="DH169" i="25"/>
  <c r="DA169" i="25"/>
  <c r="DD169" i="25" s="1"/>
  <c r="DE169" i="25" s="1"/>
  <c r="DF169" i="25" s="1"/>
  <c r="DA61" i="25"/>
  <c r="DD61" i="25" s="1"/>
  <c r="DE61" i="25" s="1"/>
  <c r="DF61" i="25" s="1"/>
  <c r="DH61" i="25"/>
  <c r="DH116" i="25"/>
  <c r="DA116" i="25"/>
  <c r="DD116" i="25" s="1"/>
  <c r="DE116" i="25" s="1"/>
  <c r="DF116" i="25" s="1"/>
  <c r="CZ265" i="25"/>
  <c r="DB265" i="25" s="1"/>
  <c r="DA265" i="25"/>
  <c r="DD265" i="25" s="1"/>
  <c r="DE265" i="25" s="1"/>
  <c r="DF265" i="25" s="1"/>
  <c r="DH265" i="25"/>
  <c r="DH242" i="25"/>
  <c r="DA242" i="25"/>
  <c r="DD242" i="25" s="1"/>
  <c r="DE242" i="25" s="1"/>
  <c r="DF242" i="25" s="1"/>
  <c r="DA71" i="25"/>
  <c r="DD71" i="25" s="1"/>
  <c r="DE71" i="25" s="1"/>
  <c r="DF71" i="25" s="1"/>
  <c r="DH71" i="25"/>
  <c r="DH77" i="25"/>
  <c r="DA77" i="25"/>
  <c r="DD77" i="25" s="1"/>
  <c r="DE77" i="25" s="1"/>
  <c r="DF77" i="25" s="1"/>
  <c r="FD168" i="25"/>
  <c r="DS168" i="25"/>
  <c r="DL168" i="25"/>
  <c r="CY169" i="25"/>
  <c r="CZ169" i="25"/>
  <c r="DS290" i="25"/>
  <c r="DL290" i="25"/>
  <c r="CZ189" i="25"/>
  <c r="CY189" i="25"/>
  <c r="DS287" i="25"/>
  <c r="DL287" i="25"/>
  <c r="FD121" i="25"/>
  <c r="DS121" i="25"/>
  <c r="DL121" i="25"/>
  <c r="CY88" i="25"/>
  <c r="CZ88" i="25"/>
  <c r="FD96" i="25"/>
  <c r="DL96" i="25"/>
  <c r="CY71" i="25"/>
  <c r="CZ71" i="25"/>
  <c r="CY58" i="25"/>
  <c r="CZ58" i="25"/>
  <c r="FD91" i="25"/>
  <c r="FD147" i="25"/>
  <c r="CY12" i="25"/>
  <c r="CZ12" i="25"/>
  <c r="DA195" i="25"/>
  <c r="DD195" i="25" s="1"/>
  <c r="DE195" i="25" s="1"/>
  <c r="DF195" i="25" s="1"/>
  <c r="DH195" i="25"/>
  <c r="DA198" i="25"/>
  <c r="DD198" i="25" s="1"/>
  <c r="DE198" i="25" s="1"/>
  <c r="DF198" i="25" s="1"/>
  <c r="DH198" i="25"/>
  <c r="DH142" i="25"/>
  <c r="DA142" i="25"/>
  <c r="DD142" i="25" s="1"/>
  <c r="DE142" i="25" s="1"/>
  <c r="DF142" i="25" s="1"/>
  <c r="DH221" i="25"/>
  <c r="DA221" i="25"/>
  <c r="DD221" i="25" s="1"/>
  <c r="DE221" i="25" s="1"/>
  <c r="DF221" i="25" s="1"/>
  <c r="CY181" i="25"/>
  <c r="CZ181" i="25"/>
  <c r="DS295" i="25"/>
  <c r="DL244" i="25"/>
  <c r="DS244" i="25"/>
  <c r="DL164" i="25"/>
  <c r="FD164" i="25"/>
  <c r="DS164" i="25"/>
  <c r="DL156" i="25"/>
  <c r="DS156" i="25"/>
  <c r="FD156" i="25"/>
  <c r="DL177" i="25"/>
  <c r="DS177" i="25"/>
  <c r="FD177" i="25"/>
  <c r="DL100" i="25"/>
  <c r="FD100" i="25"/>
  <c r="CZ175" i="25"/>
  <c r="CY175" i="25"/>
  <c r="CZ176" i="25"/>
  <c r="CY176" i="25"/>
  <c r="CZ128" i="25"/>
  <c r="CY128" i="25"/>
  <c r="DA73" i="25"/>
  <c r="DD73" i="25" s="1"/>
  <c r="DE73" i="25" s="1"/>
  <c r="DF73" i="25" s="1"/>
  <c r="DH73" i="25"/>
  <c r="CZ238" i="25"/>
  <c r="DB238" i="25" s="1"/>
  <c r="DH238" i="25"/>
  <c r="DA238" i="25"/>
  <c r="DD238" i="25" s="1"/>
  <c r="DE238" i="25" s="1"/>
  <c r="DF238" i="25" s="1"/>
  <c r="DA230" i="25"/>
  <c r="DD230" i="25" s="1"/>
  <c r="DE230" i="25" s="1"/>
  <c r="DF230" i="25" s="1"/>
  <c r="DH230" i="25"/>
  <c r="CY275" i="25"/>
  <c r="CZ275" i="25"/>
  <c r="DL241" i="25"/>
  <c r="DS241" i="25"/>
  <c r="DS283" i="25"/>
  <c r="DL283" i="25"/>
  <c r="CY57" i="25"/>
  <c r="CZ57" i="25"/>
  <c r="CY85" i="25"/>
  <c r="CZ85" i="25"/>
  <c r="DL74" i="25"/>
  <c r="FD74" i="25"/>
  <c r="DS74" i="25"/>
  <c r="DL43" i="25"/>
  <c r="FD43" i="25"/>
  <c r="DS43" i="25"/>
  <c r="DL59" i="25"/>
  <c r="DS59" i="25"/>
  <c r="FD59" i="25"/>
  <c r="CY102" i="25"/>
  <c r="CZ102" i="25"/>
  <c r="DH81" i="25"/>
  <c r="DA81" i="25"/>
  <c r="DD81" i="25" s="1"/>
  <c r="DE81" i="25" s="1"/>
  <c r="DF81" i="25" s="1"/>
  <c r="CZ207" i="25"/>
  <c r="DB207" i="25" s="1"/>
  <c r="DH207" i="25"/>
  <c r="DA207" i="25"/>
  <c r="DD207" i="25" s="1"/>
  <c r="DE207" i="25" s="1"/>
  <c r="DF207" i="25" s="1"/>
  <c r="DH50" i="25"/>
  <c r="DA50" i="25"/>
  <c r="DD50" i="25" s="1"/>
  <c r="DE50" i="25" s="1"/>
  <c r="DF50" i="25" s="1"/>
  <c r="DH104" i="25"/>
  <c r="DA104" i="25"/>
  <c r="DD104" i="25" s="1"/>
  <c r="DE104" i="25" s="1"/>
  <c r="DF104" i="25" s="1"/>
  <c r="DS167" i="25"/>
  <c r="DL167" i="25"/>
  <c r="FD167" i="25"/>
  <c r="DL155" i="25"/>
  <c r="DS155" i="25"/>
  <c r="FD155" i="25"/>
  <c r="CY222" i="25"/>
  <c r="CZ222" i="25"/>
  <c r="CZ150" i="25"/>
  <c r="CY150" i="25"/>
  <c r="CZ138" i="25"/>
  <c r="CY138" i="25"/>
  <c r="DL77" i="25"/>
  <c r="DS77" i="25"/>
  <c r="FD77" i="25"/>
  <c r="DL228" i="25"/>
  <c r="DS228" i="25"/>
  <c r="DS137" i="25"/>
  <c r="FD137" i="25"/>
  <c r="DL137" i="25"/>
  <c r="DH264" i="25"/>
  <c r="DA264" i="25"/>
  <c r="DD264" i="25" s="1"/>
  <c r="DE264" i="25" s="1"/>
  <c r="DF264" i="25" s="1"/>
  <c r="DH165" i="25"/>
  <c r="DA165" i="25"/>
  <c r="DD165" i="25" s="1"/>
  <c r="DE165" i="25" s="1"/>
  <c r="DF165" i="25" s="1"/>
  <c r="DA75" i="25"/>
  <c r="DD75" i="25" s="1"/>
  <c r="DE75" i="25" s="1"/>
  <c r="DF75" i="25" s="1"/>
  <c r="DH75" i="25"/>
  <c r="DH16" i="25"/>
  <c r="DA16" i="25"/>
  <c r="DD16" i="25" s="1"/>
  <c r="DE16" i="25" s="1"/>
  <c r="DF16" i="25" s="1"/>
  <c r="DS255" i="25"/>
  <c r="DH28" i="25"/>
  <c r="DA28" i="25"/>
  <c r="DD28" i="25" s="1"/>
  <c r="DE28" i="25" s="1"/>
  <c r="DF28" i="25" s="1"/>
  <c r="DL254" i="25"/>
  <c r="DS254" i="25"/>
  <c r="CZ149" i="25"/>
  <c r="CY149" i="25"/>
  <c r="DS170" i="25"/>
  <c r="FD170" i="25"/>
  <c r="DL170" i="25"/>
  <c r="DL93" i="25"/>
  <c r="FD93" i="25"/>
  <c r="CY104" i="25"/>
  <c r="CZ104" i="25"/>
  <c r="CY313" i="25"/>
  <c r="CZ313" i="25"/>
  <c r="CY70" i="25"/>
  <c r="CZ70" i="25"/>
  <c r="FD60" i="25"/>
  <c r="DL60" i="25"/>
  <c r="DS60" i="25"/>
  <c r="DL272" i="25"/>
  <c r="DS272" i="25"/>
  <c r="DL49" i="25"/>
  <c r="FD49" i="25"/>
  <c r="CZ199" i="25"/>
  <c r="CY199" i="25"/>
  <c r="DH205" i="25"/>
  <c r="DA205" i="25"/>
  <c r="DD205" i="25" s="1"/>
  <c r="DE205" i="25" s="1"/>
  <c r="DF205" i="25" s="1"/>
  <c r="DH10" i="25"/>
  <c r="DA10" i="25"/>
  <c r="DD10" i="25" s="1"/>
  <c r="DE10" i="25" s="1"/>
  <c r="DF10" i="25" s="1"/>
  <c r="DS252" i="25"/>
  <c r="DL252" i="25"/>
  <c r="CZ168" i="25"/>
  <c r="CY168" i="25"/>
  <c r="CY245" i="25"/>
  <c r="CZ245" i="25"/>
  <c r="DL189" i="25"/>
  <c r="FD189" i="25"/>
  <c r="DS189" i="25"/>
  <c r="CY69" i="25"/>
  <c r="CZ69" i="25"/>
  <c r="DS139" i="25"/>
  <c r="DL139" i="25"/>
  <c r="FD139" i="25"/>
  <c r="DL40" i="25"/>
  <c r="FD40" i="25"/>
  <c r="DS40" i="25"/>
  <c r="CY298" i="25"/>
  <c r="CZ298" i="25"/>
  <c r="DS284" i="25"/>
  <c r="DL284" i="25"/>
  <c r="DL48" i="25"/>
  <c r="DS48" i="25"/>
  <c r="FD71" i="25"/>
  <c r="DL71" i="25"/>
  <c r="DS71" i="25"/>
  <c r="DL81" i="25"/>
  <c r="DS81" i="25"/>
  <c r="FD81" i="25"/>
  <c r="CZ29" i="25"/>
  <c r="CY29" i="25"/>
  <c r="DS58" i="25"/>
  <c r="DL58" i="25"/>
  <c r="FD58" i="25"/>
  <c r="DL12" i="25"/>
  <c r="DS12" i="25"/>
  <c r="FD12" i="25"/>
  <c r="DH243" i="25"/>
  <c r="DA243" i="25"/>
  <c r="DD243" i="25" s="1"/>
  <c r="DE243" i="25" s="1"/>
  <c r="DF243" i="25" s="1"/>
  <c r="DA117" i="25"/>
  <c r="DD117" i="25" s="1"/>
  <c r="DE117" i="25" s="1"/>
  <c r="DF117" i="25" s="1"/>
  <c r="DH117" i="25"/>
  <c r="DH101" i="25"/>
  <c r="DA101" i="25"/>
  <c r="DD101" i="25" s="1"/>
  <c r="DE101" i="25" s="1"/>
  <c r="DF101" i="25" s="1"/>
  <c r="DH313" i="25"/>
  <c r="DA313" i="25"/>
  <c r="DD313" i="25" s="1"/>
  <c r="DE313" i="25" s="1"/>
  <c r="DF313" i="25" s="1"/>
  <c r="CY242" i="25"/>
  <c r="CZ242" i="25"/>
  <c r="DS181" i="25"/>
  <c r="FD181" i="25"/>
  <c r="DL181" i="25"/>
  <c r="CY295" i="25"/>
  <c r="CZ295" i="25"/>
  <c r="CY153" i="25"/>
  <c r="CZ153" i="25"/>
  <c r="CY47" i="25"/>
  <c r="CZ47" i="25"/>
  <c r="FD17" i="25"/>
  <c r="DL17" i="25"/>
  <c r="DA69" i="25"/>
  <c r="DD69" i="25" s="1"/>
  <c r="DE69" i="25" s="1"/>
  <c r="DF69" i="25" s="1"/>
  <c r="DH69" i="25"/>
  <c r="DH260" i="25"/>
  <c r="DA260" i="25"/>
  <c r="DD260" i="25" s="1"/>
  <c r="DE260" i="25" s="1"/>
  <c r="DF260" i="25" s="1"/>
  <c r="DH94" i="25"/>
  <c r="DA94" i="25"/>
  <c r="DD94" i="25" s="1"/>
  <c r="DE94" i="25" s="1"/>
  <c r="DF94" i="25" s="1"/>
  <c r="DH118" i="25"/>
  <c r="DA118" i="25"/>
  <c r="DD118" i="25" s="1"/>
  <c r="DE118" i="25" s="1"/>
  <c r="DF118" i="25" s="1"/>
  <c r="DH309" i="25"/>
  <c r="DA309" i="25"/>
  <c r="DD309" i="25" s="1"/>
  <c r="DE309" i="25" s="1"/>
  <c r="DF309" i="25" s="1"/>
  <c r="DA291" i="25"/>
  <c r="DD291" i="25" s="1"/>
  <c r="DE291" i="25" s="1"/>
  <c r="DF291" i="25" s="1"/>
  <c r="DH291" i="25"/>
  <c r="DH74" i="25"/>
  <c r="DA74" i="25"/>
  <c r="DD74" i="25" s="1"/>
  <c r="DE74" i="25" s="1"/>
  <c r="DF74" i="25" s="1"/>
  <c r="DH8" i="25"/>
  <c r="DA8" i="25"/>
  <c r="DD8" i="25" s="1"/>
  <c r="DE8" i="25" s="1"/>
  <c r="DF8" i="25" s="1"/>
  <c r="FD194" i="25"/>
  <c r="DL194" i="25"/>
  <c r="CZ161" i="25"/>
  <c r="CY161" i="25"/>
  <c r="CY276" i="25"/>
  <c r="CZ276" i="25"/>
  <c r="DL185" i="25"/>
  <c r="DS185" i="25"/>
  <c r="FD185" i="25"/>
  <c r="DS145" i="25"/>
  <c r="DL145" i="25"/>
  <c r="FD145" i="25"/>
  <c r="CY25" i="25"/>
  <c r="CZ25" i="25"/>
  <c r="DS117" i="25"/>
  <c r="DL117" i="25"/>
  <c r="FD117" i="25"/>
  <c r="CY15" i="25"/>
  <c r="CZ15" i="25"/>
  <c r="CY159" i="25"/>
  <c r="CZ159" i="25"/>
  <c r="CY52" i="25"/>
  <c r="CZ52" i="25"/>
  <c r="DL72" i="25"/>
  <c r="DS72" i="25"/>
  <c r="FD72" i="25"/>
  <c r="FD98" i="25"/>
  <c r="DL98" i="25"/>
  <c r="DS300" i="25"/>
  <c r="DL300" i="25"/>
  <c r="DH274" i="25"/>
  <c r="DA274" i="25"/>
  <c r="DD274" i="25" s="1"/>
  <c r="DE274" i="25" s="1"/>
  <c r="DF274" i="25" s="1"/>
  <c r="CZ19" i="25"/>
  <c r="DB19" i="25" s="1"/>
  <c r="DH19" i="25"/>
  <c r="DA19" i="25"/>
  <c r="DD19" i="25" s="1"/>
  <c r="DE19" i="25" s="1"/>
  <c r="DF19" i="25" s="1"/>
  <c r="DL259" i="25"/>
  <c r="DS259" i="25"/>
  <c r="DL200" i="25"/>
  <c r="FD200" i="25"/>
  <c r="DL253" i="25"/>
  <c r="DS253" i="25"/>
  <c r="CY247" i="25"/>
  <c r="CZ247" i="25"/>
  <c r="CZ172" i="25"/>
  <c r="CY172" i="25"/>
  <c r="DL45" i="25"/>
  <c r="DS45" i="25"/>
  <c r="FD45" i="25"/>
  <c r="FD136" i="25"/>
  <c r="DS136" i="25"/>
  <c r="DL136" i="25"/>
  <c r="DL313" i="25"/>
  <c r="DS313" i="25"/>
  <c r="CY60" i="25"/>
  <c r="CZ60" i="25"/>
  <c r="DH88" i="25"/>
  <c r="DA88" i="25"/>
  <c r="DD88" i="25" s="1"/>
  <c r="DE88" i="25" s="1"/>
  <c r="DF88" i="25" s="1"/>
  <c r="DA172" i="25"/>
  <c r="DD172" i="25" s="1"/>
  <c r="DE172" i="25" s="1"/>
  <c r="DF172" i="25" s="1"/>
  <c r="DH172" i="25"/>
  <c r="DH183" i="25"/>
  <c r="DA183" i="25"/>
  <c r="DD183" i="25" s="1"/>
  <c r="DE183" i="25" s="1"/>
  <c r="DF183" i="25" s="1"/>
  <c r="DH25" i="25"/>
  <c r="DA25" i="25"/>
  <c r="DD25" i="25" s="1"/>
  <c r="DE25" i="25" s="1"/>
  <c r="DF25" i="25" s="1"/>
  <c r="DH146" i="25"/>
  <c r="DA146" i="25"/>
  <c r="DD146" i="25" s="1"/>
  <c r="DE146" i="25" s="1"/>
  <c r="DF146" i="25" s="1"/>
  <c r="DA114" i="25"/>
  <c r="DD114" i="25" s="1"/>
  <c r="DE114" i="25" s="1"/>
  <c r="DF114" i="25" s="1"/>
  <c r="DH114" i="25"/>
  <c r="DH303" i="25"/>
  <c r="DA303" i="25"/>
  <c r="DD303" i="25" s="1"/>
  <c r="DE303" i="25" s="1"/>
  <c r="DF303" i="25" s="1"/>
  <c r="DH20" i="25"/>
  <c r="DA20" i="25"/>
  <c r="DD20" i="25" s="1"/>
  <c r="DE20" i="25" s="1"/>
  <c r="DF20" i="25" s="1"/>
  <c r="CZ162" i="25"/>
  <c r="DB162" i="25" s="1"/>
  <c r="DH162" i="25"/>
  <c r="DA162" i="25"/>
  <c r="DD162" i="25" s="1"/>
  <c r="DE162" i="25" s="1"/>
  <c r="DF162" i="25" s="1"/>
  <c r="DH246" i="25"/>
  <c r="DA246" i="25"/>
  <c r="DD246" i="25" s="1"/>
  <c r="DE246" i="25" s="1"/>
  <c r="DF246" i="25" s="1"/>
  <c r="CY182" i="25"/>
  <c r="CZ182" i="25"/>
  <c r="CY314" i="25"/>
  <c r="CZ314" i="25"/>
  <c r="CZ252" i="25"/>
  <c r="CY252" i="25"/>
  <c r="DL245" i="25"/>
  <c r="FD169" i="25"/>
  <c r="DS169" i="25"/>
  <c r="DL169" i="25"/>
  <c r="DL88" i="25"/>
  <c r="DS88" i="25"/>
  <c r="FD88" i="25"/>
  <c r="CY40" i="25"/>
  <c r="CZ40" i="25"/>
  <c r="DL298" i="25"/>
  <c r="DS298" i="25"/>
  <c r="CZ96" i="25"/>
  <c r="CY96" i="25"/>
  <c r="CY48" i="25"/>
  <c r="CZ48" i="25"/>
  <c r="DL24" i="25"/>
  <c r="FD24" i="25"/>
  <c r="FD48" i="25"/>
  <c r="FD95" i="25"/>
  <c r="DH176" i="25"/>
  <c r="DA176" i="25"/>
  <c r="DD176" i="25" s="1"/>
  <c r="DE176" i="25" s="1"/>
  <c r="DF176" i="25" s="1"/>
  <c r="CY225" i="25"/>
  <c r="CZ225" i="25"/>
  <c r="DL269" i="25"/>
  <c r="DS269" i="25"/>
  <c r="DH21" i="25"/>
  <c r="DA21" i="25"/>
  <c r="DD21" i="25" s="1"/>
  <c r="DE21" i="25" s="1"/>
  <c r="DF21" i="25" s="1"/>
  <c r="DH167" i="25"/>
  <c r="DA167" i="25"/>
  <c r="DD167" i="25" s="1"/>
  <c r="DE167" i="25" s="1"/>
  <c r="DF167" i="25" s="1"/>
  <c r="DA194" i="25"/>
  <c r="DD194" i="25" s="1"/>
  <c r="DE194" i="25" s="1"/>
  <c r="DF194" i="25" s="1"/>
  <c r="DH194" i="25"/>
  <c r="CZ155" i="25"/>
  <c r="DB155" i="25" s="1"/>
  <c r="DH155" i="25"/>
  <c r="DA155" i="25"/>
  <c r="DD155" i="25" s="1"/>
  <c r="DE155" i="25" s="1"/>
  <c r="DF155" i="25" s="1"/>
  <c r="DH288" i="25"/>
  <c r="DA288" i="25"/>
  <c r="DD288" i="25" s="1"/>
  <c r="DE288" i="25" s="1"/>
  <c r="DF288" i="25" s="1"/>
  <c r="CZ82" i="25"/>
  <c r="DB82" i="25" s="1"/>
  <c r="DH82" i="25"/>
  <c r="DA82" i="25"/>
  <c r="DD82" i="25" s="1"/>
  <c r="DE82" i="25" s="1"/>
  <c r="DF82" i="25" s="1"/>
  <c r="DL242" i="25"/>
  <c r="DS242" i="25"/>
  <c r="DL295" i="25"/>
  <c r="DS233" i="25"/>
  <c r="DL233" i="25"/>
  <c r="FD130" i="25"/>
  <c r="DL130" i="25"/>
  <c r="DS130" i="25"/>
  <c r="DS126" i="25"/>
  <c r="FD126" i="25"/>
  <c r="DL126" i="25"/>
  <c r="CY86" i="25"/>
  <c r="CZ86" i="25"/>
  <c r="FD34" i="25"/>
  <c r="DL34" i="25"/>
  <c r="DS34" i="25"/>
  <c r="DS266" i="25"/>
  <c r="DL266" i="25"/>
  <c r="DL47" i="25"/>
  <c r="DS47" i="25"/>
  <c r="FD47" i="25"/>
  <c r="CY55" i="25"/>
  <c r="CZ55" i="25"/>
  <c r="DL14" i="25"/>
  <c r="DS14" i="25"/>
  <c r="FD14" i="25"/>
  <c r="DS38" i="25"/>
  <c r="FD38" i="25"/>
  <c r="DL38" i="25"/>
  <c r="DH315" i="25"/>
  <c r="DA315" i="25"/>
  <c r="DD315" i="25" s="1"/>
  <c r="DE315" i="25" s="1"/>
  <c r="DF315" i="25" s="1"/>
  <c r="DA62" i="25"/>
  <c r="DD62" i="25" s="1"/>
  <c r="DE62" i="25" s="1"/>
  <c r="DF62" i="25" s="1"/>
  <c r="DH62" i="25"/>
  <c r="DL179" i="25"/>
  <c r="FD179" i="25"/>
  <c r="DS179" i="25"/>
  <c r="CY232" i="25"/>
  <c r="CZ232" i="25"/>
  <c r="CY64" i="25"/>
  <c r="CZ64" i="25"/>
  <c r="DH219" i="25"/>
  <c r="DA219" i="25"/>
  <c r="DD219" i="25" s="1"/>
  <c r="DE219" i="25" s="1"/>
  <c r="DF219" i="25" s="1"/>
  <c r="DA261" i="25"/>
  <c r="DD261" i="25" s="1"/>
  <c r="DE261" i="25" s="1"/>
  <c r="DF261" i="25" s="1"/>
  <c r="DH261" i="25"/>
  <c r="CZ306" i="25"/>
  <c r="CY306" i="25"/>
  <c r="DL235" i="25"/>
  <c r="DS235" i="25"/>
  <c r="DL275" i="25"/>
  <c r="DS275" i="25"/>
  <c r="DS146" i="25"/>
  <c r="FD146" i="25"/>
  <c r="DL146" i="25"/>
  <c r="DL276" i="25"/>
  <c r="DS276" i="25"/>
  <c r="DS79" i="25"/>
  <c r="DL79" i="25"/>
  <c r="FD79" i="25"/>
  <c r="CY262" i="25"/>
  <c r="CZ262" i="25"/>
  <c r="CY89" i="25"/>
  <c r="CZ89" i="25"/>
  <c r="DL25" i="25"/>
  <c r="FD25" i="25"/>
  <c r="DH113" i="25"/>
  <c r="DA113" i="25"/>
  <c r="DD113" i="25" s="1"/>
  <c r="DE113" i="25" s="1"/>
  <c r="DF113" i="25" s="1"/>
  <c r="DT43" i="24"/>
  <c r="DT282" i="24"/>
  <c r="DT29" i="24"/>
  <c r="DT11" i="24"/>
  <c r="CN302" i="24"/>
  <c r="DA302" i="24" s="1"/>
  <c r="CS302" i="24"/>
  <c r="FD302" i="24" s="1"/>
  <c r="DT287" i="24"/>
  <c r="DT219" i="24"/>
  <c r="CS267" i="24"/>
  <c r="FD267" i="24" s="1"/>
  <c r="CN267" i="24"/>
  <c r="DA267" i="24" s="1"/>
  <c r="CZ47" i="24"/>
  <c r="DT66" i="24"/>
  <c r="DT36" i="24"/>
  <c r="CS9" i="24"/>
  <c r="FD9" i="24" s="1"/>
  <c r="CN9" i="24"/>
  <c r="DA9" i="24" s="1"/>
  <c r="CZ86" i="24"/>
  <c r="DT15" i="24"/>
  <c r="CS236" i="24"/>
  <c r="FD236" i="24" s="1"/>
  <c r="CN236" i="24"/>
  <c r="DA236" i="24" s="1"/>
  <c r="CN206" i="24"/>
  <c r="DA206" i="24" s="1"/>
  <c r="CS206" i="24"/>
  <c r="FD206" i="24" s="1"/>
  <c r="CZ226" i="24"/>
  <c r="DT263" i="24"/>
  <c r="DT83" i="24"/>
  <c r="CZ153" i="24"/>
  <c r="CN73" i="24"/>
  <c r="DA73" i="24" s="1"/>
  <c r="CS73" i="24"/>
  <c r="FD73" i="24" s="1"/>
  <c r="CS52" i="24"/>
  <c r="FD52" i="24" s="1"/>
  <c r="CN52" i="24"/>
  <c r="CZ72" i="24"/>
  <c r="CS30" i="24"/>
  <c r="FD30" i="24" s="1"/>
  <c r="CN30" i="24"/>
  <c r="DA30" i="24" s="1"/>
  <c r="DT281" i="24"/>
  <c r="DT277" i="24"/>
  <c r="CN192" i="24"/>
  <c r="DA192" i="24" s="1"/>
  <c r="CS192" i="24"/>
  <c r="FD192" i="24" s="1"/>
  <c r="CZ240" i="24"/>
  <c r="CN116" i="24"/>
  <c r="DA116" i="24" s="1"/>
  <c r="CS116" i="24"/>
  <c r="FD116" i="24" s="1"/>
  <c r="CN133" i="24"/>
  <c r="DA133" i="24" s="1"/>
  <c r="CS133" i="24"/>
  <c r="FD133" i="24" s="1"/>
  <c r="CZ172" i="24"/>
  <c r="DT38" i="24"/>
  <c r="DT103" i="24"/>
  <c r="CN20" i="24"/>
  <c r="DA20" i="24" s="1"/>
  <c r="CS20" i="24"/>
  <c r="FD20" i="24" s="1"/>
  <c r="CN311" i="24"/>
  <c r="DA311" i="24" s="1"/>
  <c r="CS311" i="24"/>
  <c r="FD311" i="24" s="1"/>
  <c r="DT238" i="24"/>
  <c r="CS259" i="24"/>
  <c r="FD259" i="24" s="1"/>
  <c r="CN259" i="24"/>
  <c r="DA259" i="24" s="1"/>
  <c r="CS232" i="24"/>
  <c r="FD232" i="24" s="1"/>
  <c r="CN232" i="24"/>
  <c r="CN233" i="24"/>
  <c r="DA233" i="24" s="1"/>
  <c r="CS233" i="24"/>
  <c r="FD233" i="24" s="1"/>
  <c r="DT306" i="24"/>
  <c r="DT98" i="24"/>
  <c r="CS161" i="24"/>
  <c r="FD161" i="24" s="1"/>
  <c r="CN161" i="24"/>
  <c r="DA161" i="24" s="1"/>
  <c r="CS132" i="24"/>
  <c r="FD132" i="24" s="1"/>
  <c r="CN132" i="24"/>
  <c r="DA132" i="24" s="1"/>
  <c r="CZ148" i="24"/>
  <c r="DT47" i="24"/>
  <c r="CS120" i="24"/>
  <c r="FD120" i="24" s="1"/>
  <c r="CN120" i="24"/>
  <c r="DA120" i="24" s="1"/>
  <c r="CZ119" i="24"/>
  <c r="CZ41" i="24"/>
  <c r="CZ66" i="24"/>
  <c r="CS36" i="24"/>
  <c r="FD36" i="24" s="1"/>
  <c r="CN36" i="24"/>
  <c r="DA36" i="24" s="1"/>
  <c r="DT21" i="24"/>
  <c r="DT45" i="24"/>
  <c r="DT236" i="24"/>
  <c r="CS189" i="24"/>
  <c r="FD189" i="24" s="1"/>
  <c r="CN189" i="24"/>
  <c r="CS255" i="24"/>
  <c r="FD255" i="24" s="1"/>
  <c r="CN255" i="24"/>
  <c r="DA255" i="24" s="1"/>
  <c r="DT285" i="24"/>
  <c r="DT298" i="24"/>
  <c r="CS146" i="24"/>
  <c r="FD146" i="24" s="1"/>
  <c r="CN146" i="24"/>
  <c r="DA146" i="24" s="1"/>
  <c r="DT217" i="24"/>
  <c r="CZ40" i="24"/>
  <c r="DT70" i="24"/>
  <c r="CZ30" i="24"/>
  <c r="CZ314" i="24"/>
  <c r="CN200" i="24"/>
  <c r="DA200" i="24" s="1"/>
  <c r="CS200" i="24"/>
  <c r="FD200" i="24" s="1"/>
  <c r="CZ277" i="24"/>
  <c r="CN224" i="24"/>
  <c r="DA224" i="24" s="1"/>
  <c r="CS224" i="24"/>
  <c r="FD224" i="24" s="1"/>
  <c r="DT242" i="24"/>
  <c r="CS29" i="24"/>
  <c r="FD29" i="24" s="1"/>
  <c r="CN29" i="24"/>
  <c r="DA29" i="24" s="1"/>
  <c r="CZ259" i="24"/>
  <c r="CZ208" i="24"/>
  <c r="DT297" i="24"/>
  <c r="CZ267" i="24"/>
  <c r="CN179" i="24"/>
  <c r="DA179" i="24" s="1"/>
  <c r="CS179" i="24"/>
  <c r="FD179" i="24" s="1"/>
  <c r="CN41" i="24"/>
  <c r="CS41" i="24"/>
  <c r="FD41" i="24" s="1"/>
  <c r="DT9" i="24"/>
  <c r="CN296" i="24"/>
  <c r="DA296" i="24" s="1"/>
  <c r="CS296" i="24"/>
  <c r="FD296" i="24" s="1"/>
  <c r="CS298" i="24"/>
  <c r="FD298" i="24" s="1"/>
  <c r="CN298" i="24"/>
  <c r="DA298" i="24" s="1"/>
  <c r="CS153" i="24"/>
  <c r="FD153" i="24" s="1"/>
  <c r="CN153" i="24"/>
  <c r="DA153" i="24" s="1"/>
  <c r="CS234" i="24"/>
  <c r="FD234" i="24" s="1"/>
  <c r="CN234" i="24"/>
  <c r="DA234" i="24" s="1"/>
  <c r="CN118" i="24"/>
  <c r="DA118" i="24" s="1"/>
  <c r="CS118" i="24"/>
  <c r="FD118" i="24" s="1"/>
  <c r="CS64" i="24"/>
  <c r="FD64" i="24" s="1"/>
  <c r="CN64" i="24"/>
  <c r="CS6" i="24"/>
  <c r="FD6" i="24" s="1"/>
  <c r="CN6" i="24"/>
  <c r="DA6" i="24" s="1"/>
  <c r="DT18" i="24"/>
  <c r="CN289" i="24"/>
  <c r="DA289" i="24" s="1"/>
  <c r="CS289" i="24"/>
  <c r="FD289" i="24" s="1"/>
  <c r="CZ205" i="24"/>
  <c r="DT314" i="24"/>
  <c r="DT253" i="24"/>
  <c r="CN240" i="24"/>
  <c r="DA240" i="24" s="1"/>
  <c r="CS240" i="24"/>
  <c r="FD240" i="24" s="1"/>
  <c r="CZ111" i="24"/>
  <c r="DT58" i="24"/>
  <c r="CN238" i="24"/>
  <c r="DA238" i="24" s="1"/>
  <c r="CS238" i="24"/>
  <c r="FD238" i="24" s="1"/>
  <c r="DT267" i="24"/>
  <c r="CN306" i="24"/>
  <c r="DA306" i="24" s="1"/>
  <c r="CS306" i="24"/>
  <c r="FD306" i="24" s="1"/>
  <c r="CS171" i="24"/>
  <c r="FD171" i="24" s="1"/>
  <c r="CN171" i="24"/>
  <c r="CS148" i="24"/>
  <c r="FD148" i="24" s="1"/>
  <c r="CN148" i="24"/>
  <c r="DA148" i="24" s="1"/>
  <c r="CZ258" i="24"/>
  <c r="DT41" i="24"/>
  <c r="CS45" i="24"/>
  <c r="FD45" i="24" s="1"/>
  <c r="CN45" i="24"/>
  <c r="DA45" i="24" s="1"/>
  <c r="DT86" i="24"/>
  <c r="CZ296" i="24"/>
  <c r="CZ255" i="24"/>
  <c r="CZ285" i="24"/>
  <c r="CS226" i="24"/>
  <c r="FD226" i="24" s="1"/>
  <c r="CN226" i="24"/>
  <c r="DT294" i="24"/>
  <c r="CZ123" i="24"/>
  <c r="CZ136" i="24"/>
  <c r="CZ234" i="24"/>
  <c r="CZ113" i="24"/>
  <c r="CZ118" i="24"/>
  <c r="CZ64" i="24"/>
  <c r="DT6" i="24"/>
  <c r="CS18" i="24"/>
  <c r="FD18" i="24" s="1"/>
  <c r="CN18" i="24"/>
  <c r="CS205" i="24"/>
  <c r="FD205" i="24" s="1"/>
  <c r="CN205" i="24"/>
  <c r="CN253" i="24"/>
  <c r="DA253" i="24" s="1"/>
  <c r="CS253" i="24"/>
  <c r="FD253" i="24" s="1"/>
  <c r="DT224" i="24"/>
  <c r="CS286" i="24"/>
  <c r="FD286" i="24" s="1"/>
  <c r="CN286" i="24"/>
  <c r="DA286" i="24" s="1"/>
  <c r="DT240" i="24"/>
  <c r="CZ150" i="24"/>
  <c r="CN242" i="24"/>
  <c r="DA242" i="24" s="1"/>
  <c r="CS242" i="24"/>
  <c r="FD242" i="24" s="1"/>
  <c r="CN89" i="24"/>
  <c r="CS89" i="24"/>
  <c r="FD89" i="24" s="1"/>
  <c r="CZ20" i="24"/>
  <c r="DT280" i="24"/>
  <c r="DT311" i="24"/>
  <c r="CZ300" i="24"/>
  <c r="DT259" i="24"/>
  <c r="DT232" i="24"/>
  <c r="CS309" i="24"/>
  <c r="FD309" i="24" s="1"/>
  <c r="CN309" i="24"/>
  <c r="DA309" i="24" s="1"/>
  <c r="CZ161" i="24"/>
  <c r="CZ307" i="24"/>
  <c r="CZ179" i="24"/>
  <c r="CS81" i="24"/>
  <c r="FD81" i="24" s="1"/>
  <c r="CN81" i="24"/>
  <c r="CZ264" i="24"/>
  <c r="CN47" i="24"/>
  <c r="DA47" i="24" s="1"/>
  <c r="CS47" i="24"/>
  <c r="FD47" i="24" s="1"/>
  <c r="CS167" i="24"/>
  <c r="FD167" i="24" s="1"/>
  <c r="CN167" i="24"/>
  <c r="DA167" i="24" s="1"/>
  <c r="CZ75" i="24"/>
  <c r="CN21" i="24"/>
  <c r="DA21" i="24" s="1"/>
  <c r="CS21" i="24"/>
  <c r="FD21" i="24" s="1"/>
  <c r="DT296" i="24"/>
  <c r="CZ283" i="24"/>
  <c r="DT255" i="24"/>
  <c r="CZ203" i="24"/>
  <c r="DT226" i="24"/>
  <c r="CZ294" i="24"/>
  <c r="CS221" i="24"/>
  <c r="FD221" i="24" s="1"/>
  <c r="CN221" i="24"/>
  <c r="DA221" i="24" s="1"/>
  <c r="CS157" i="24"/>
  <c r="FD157" i="24" s="1"/>
  <c r="CN157" i="24"/>
  <c r="DA157" i="24" s="1"/>
  <c r="CZ209" i="24"/>
  <c r="CZ177" i="24"/>
  <c r="DT244" i="24"/>
  <c r="CS217" i="24"/>
  <c r="FD217" i="24" s="1"/>
  <c r="CN217" i="24"/>
  <c r="DA217" i="24" s="1"/>
  <c r="CS136" i="24"/>
  <c r="FD136" i="24" s="1"/>
  <c r="CN136" i="24"/>
  <c r="DT234" i="24"/>
  <c r="DT14" i="24"/>
  <c r="DT72" i="24"/>
  <c r="CZ289" i="24"/>
  <c r="CZ281" i="24"/>
  <c r="CS282" i="24"/>
  <c r="FD282" i="24" s="1"/>
  <c r="CN282" i="24"/>
  <c r="DA282" i="24" s="1"/>
  <c r="CN187" i="24"/>
  <c r="DA187" i="24" s="1"/>
  <c r="CS187" i="24"/>
  <c r="FD187" i="24" s="1"/>
  <c r="DT286" i="24"/>
  <c r="CN291" i="24"/>
  <c r="DA291" i="24" s="1"/>
  <c r="CS291" i="24"/>
  <c r="FD291" i="24" s="1"/>
  <c r="CN150" i="24"/>
  <c r="CS150" i="24"/>
  <c r="FD150" i="24" s="1"/>
  <c r="CN115" i="24"/>
  <c r="CS115" i="24"/>
  <c r="FD115" i="24" s="1"/>
  <c r="CS172" i="24"/>
  <c r="FD172" i="24" s="1"/>
  <c r="CN172" i="24"/>
  <c r="DA172" i="24" s="1"/>
  <c r="CZ17" i="24"/>
  <c r="CS300" i="24"/>
  <c r="FD300" i="24" s="1"/>
  <c r="CN300" i="24"/>
  <c r="DA300" i="24" s="1"/>
  <c r="CZ238" i="24"/>
  <c r="CS190" i="24"/>
  <c r="FD190" i="24" s="1"/>
  <c r="CN190" i="24"/>
  <c r="DA190" i="24" s="1"/>
  <c r="CZ287" i="24"/>
  <c r="DT309" i="24"/>
  <c r="CZ233" i="24"/>
  <c r="DT307" i="24"/>
  <c r="DT81" i="24"/>
  <c r="CN264" i="24"/>
  <c r="DA264" i="24" s="1"/>
  <c r="CS264" i="24"/>
  <c r="FD264" i="24" s="1"/>
  <c r="DT258" i="24"/>
  <c r="CZ167" i="24"/>
  <c r="CN119" i="24"/>
  <c r="DA119" i="24" s="1"/>
  <c r="CS119" i="24"/>
  <c r="FD119" i="24" s="1"/>
  <c r="CN66" i="24"/>
  <c r="CS66" i="24"/>
  <c r="FD66" i="24" s="1"/>
  <c r="CN75" i="24"/>
  <c r="DA75" i="24" s="1"/>
  <c r="CS75" i="24"/>
  <c r="FD75" i="24" s="1"/>
  <c r="CZ21" i="24"/>
  <c r="CS283" i="24"/>
  <c r="FD283" i="24" s="1"/>
  <c r="CN283" i="24"/>
  <c r="DA283" i="24" s="1"/>
  <c r="DT284" i="24"/>
  <c r="CS203" i="24"/>
  <c r="FD203" i="24" s="1"/>
  <c r="CN203" i="24"/>
  <c r="DA203" i="24" s="1"/>
  <c r="CZ263" i="24"/>
  <c r="CZ157" i="24"/>
  <c r="CN209" i="24"/>
  <c r="DA209" i="24" s="1"/>
  <c r="CS209" i="24"/>
  <c r="FD209" i="24" s="1"/>
  <c r="CS177" i="24"/>
  <c r="FD177" i="24" s="1"/>
  <c r="CN177" i="24"/>
  <c r="CZ217" i="24"/>
  <c r="DT64" i="24"/>
  <c r="CS14" i="24"/>
  <c r="FD14" i="24" s="1"/>
  <c r="CN14" i="24"/>
  <c r="CZ6" i="24"/>
  <c r="CN72" i="24"/>
  <c r="CS72" i="24"/>
  <c r="FD72" i="24" s="1"/>
  <c r="CS314" i="24"/>
  <c r="FD314" i="24" s="1"/>
  <c r="CN314" i="24"/>
  <c r="CZ253" i="24"/>
  <c r="CZ286" i="24"/>
  <c r="CZ192" i="24"/>
  <c r="DT291" i="24"/>
  <c r="CZ116" i="24"/>
  <c r="CS193" i="24"/>
  <c r="FD193" i="24" s="1"/>
  <c r="CN193" i="24"/>
  <c r="DA193" i="24" s="1"/>
  <c r="CZ156" i="24"/>
  <c r="DT300" i="24"/>
  <c r="CZ302" i="24"/>
  <c r="CZ190" i="24"/>
  <c r="CZ219" i="24"/>
  <c r="CN208" i="24"/>
  <c r="CS208" i="24"/>
  <c r="FD208" i="24" s="1"/>
  <c r="CN297" i="24"/>
  <c r="DA297" i="24" s="1"/>
  <c r="CS297" i="24"/>
  <c r="FD297" i="24" s="1"/>
  <c r="CZ309" i="24"/>
  <c r="CZ98" i="24"/>
  <c r="CN307" i="24"/>
  <c r="DA307" i="24" s="1"/>
  <c r="CS307" i="24"/>
  <c r="FD307" i="24" s="1"/>
  <c r="DT264" i="24"/>
  <c r="CN139" i="24"/>
  <c r="DA139" i="24" s="1"/>
  <c r="CS139" i="24"/>
  <c r="FD139" i="24" s="1"/>
  <c r="CS258" i="24"/>
  <c r="FD258" i="24" s="1"/>
  <c r="CN258" i="24"/>
  <c r="CZ9" i="24"/>
  <c r="CS86" i="24"/>
  <c r="FD86" i="24" s="1"/>
  <c r="CN86" i="24"/>
  <c r="DA86" i="24" s="1"/>
  <c r="CZ15" i="24"/>
  <c r="CZ284" i="24"/>
  <c r="CN294" i="24"/>
  <c r="DA294" i="24" s="1"/>
  <c r="CS294" i="24"/>
  <c r="FD294" i="24" s="1"/>
  <c r="CZ221" i="24"/>
  <c r="CS83" i="24"/>
  <c r="FD83" i="24" s="1"/>
  <c r="CN83" i="24"/>
  <c r="CS123" i="24"/>
  <c r="FD123" i="24" s="1"/>
  <c r="CN123" i="24"/>
  <c r="CS244" i="24"/>
  <c r="FD244" i="24" s="1"/>
  <c r="CN244" i="24"/>
  <c r="DA244" i="24" s="1"/>
  <c r="CZ146" i="24"/>
  <c r="CN40" i="24"/>
  <c r="CS40" i="24"/>
  <c r="FD40" i="24" s="1"/>
  <c r="CN113" i="24"/>
  <c r="DA113" i="24" s="1"/>
  <c r="CS113" i="24"/>
  <c r="FD113" i="24" s="1"/>
  <c r="CZ162" i="24"/>
  <c r="CS70" i="24"/>
  <c r="FD70" i="24" s="1"/>
  <c r="CN70" i="24"/>
  <c r="DT73" i="24"/>
  <c r="DT52" i="24"/>
  <c r="CS281" i="24"/>
  <c r="FD281" i="24" s="1"/>
  <c r="CN281" i="24"/>
  <c r="DA281" i="24" s="1"/>
  <c r="CZ282" i="24"/>
  <c r="CZ200" i="24"/>
  <c r="CZ224" i="24"/>
  <c r="DT250" i="24"/>
  <c r="CZ103" i="24"/>
  <c r="CZ57" i="24"/>
  <c r="CN262" i="24"/>
  <c r="DA262" i="24" s="1"/>
  <c r="CS262" i="24"/>
  <c r="FD262" i="24" s="1"/>
  <c r="DT302" i="24"/>
  <c r="CN287" i="24"/>
  <c r="DA287" i="24" s="1"/>
  <c r="CS287" i="24"/>
  <c r="FD287" i="24" s="1"/>
  <c r="CN219" i="24"/>
  <c r="CS219" i="24"/>
  <c r="FD219" i="24" s="1"/>
  <c r="CZ297" i="24"/>
  <c r="DT233" i="24"/>
  <c r="CZ306" i="24"/>
  <c r="CS98" i="24"/>
  <c r="FD98" i="24" s="1"/>
  <c r="CN98" i="24"/>
  <c r="CZ132" i="24"/>
  <c r="CZ139" i="24"/>
  <c r="CZ120" i="24"/>
  <c r="CZ36" i="24"/>
  <c r="DT75" i="24"/>
  <c r="CZ45" i="24"/>
  <c r="CN15" i="24"/>
  <c r="CS15" i="24"/>
  <c r="FD15" i="24" s="1"/>
  <c r="DT283" i="24"/>
  <c r="CZ236" i="24"/>
  <c r="CS284" i="24"/>
  <c r="FD284" i="24" s="1"/>
  <c r="CN284" i="24"/>
  <c r="CZ206" i="24"/>
  <c r="CS285" i="24"/>
  <c r="FD285" i="24" s="1"/>
  <c r="CN285" i="24"/>
  <c r="DA285" i="24" s="1"/>
  <c r="CS263" i="24"/>
  <c r="FD263" i="24" s="1"/>
  <c r="CN263" i="24"/>
  <c r="CZ298" i="24"/>
  <c r="CZ244" i="24"/>
  <c r="DT40" i="24"/>
  <c r="CN162" i="24"/>
  <c r="DA162" i="24" s="1"/>
  <c r="CS162" i="24"/>
  <c r="FD162" i="24" s="1"/>
  <c r="CZ73" i="24"/>
  <c r="DT30" i="24"/>
  <c r="CZ187" i="24"/>
  <c r="CN277" i="24"/>
  <c r="DA277" i="24" s="1"/>
  <c r="CS277" i="24"/>
  <c r="FD277" i="24" s="1"/>
  <c r="CS250" i="24"/>
  <c r="FD250" i="24" s="1"/>
  <c r="CN250" i="24"/>
  <c r="CN194" i="24"/>
  <c r="CS194" i="24"/>
  <c r="FD194" i="24" s="1"/>
  <c r="CZ164" i="24"/>
  <c r="CZ242" i="24"/>
  <c r="CZ133" i="24"/>
  <c r="CS103" i="24"/>
  <c r="FD103" i="24" s="1"/>
  <c r="CN103" i="24"/>
  <c r="DA103" i="24" s="1"/>
  <c r="DT60" i="24"/>
  <c r="CS58" i="24"/>
  <c r="FD58" i="24" s="1"/>
  <c r="CN58" i="24"/>
  <c r="DA58" i="24" s="1"/>
  <c r="CZ84" i="24"/>
  <c r="CZ185" i="24"/>
  <c r="CZ222" i="24"/>
  <c r="CZ235" i="24"/>
  <c r="DT228" i="24"/>
  <c r="CZ112" i="24"/>
  <c r="CS104" i="24"/>
  <c r="FD104" i="24" s="1"/>
  <c r="CN104" i="24"/>
  <c r="DA104" i="24" s="1"/>
  <c r="DT82" i="24"/>
  <c r="CS67" i="24"/>
  <c r="FD67" i="24" s="1"/>
  <c r="CN67" i="24"/>
  <c r="DA67" i="24" s="1"/>
  <c r="CN50" i="24"/>
  <c r="CS50" i="24"/>
  <c r="FD50" i="24" s="1"/>
  <c r="DT22" i="24"/>
  <c r="DT274" i="24"/>
  <c r="CN248" i="24"/>
  <c r="CS248" i="24"/>
  <c r="FD248" i="24" s="1"/>
  <c r="CZ183" i="24"/>
  <c r="CN186" i="24"/>
  <c r="DA186" i="24" s="1"/>
  <c r="CS186" i="24"/>
  <c r="FD186" i="24" s="1"/>
  <c r="CZ105" i="24"/>
  <c r="CN102" i="24"/>
  <c r="DA102" i="24" s="1"/>
  <c r="CS102" i="24"/>
  <c r="FD102" i="24" s="1"/>
  <c r="DT80" i="24"/>
  <c r="CS163" i="24"/>
  <c r="FD163" i="24" s="1"/>
  <c r="CN163" i="24"/>
  <c r="DT54" i="24"/>
  <c r="CZ8" i="24"/>
  <c r="CN25" i="24"/>
  <c r="DA25" i="24" s="1"/>
  <c r="CS25" i="24"/>
  <c r="FD25" i="24" s="1"/>
  <c r="CS269" i="24"/>
  <c r="FD269" i="24" s="1"/>
  <c r="CN269" i="24"/>
  <c r="DA269" i="24" s="1"/>
  <c r="CZ252" i="24"/>
  <c r="CS247" i="24"/>
  <c r="FD247" i="24" s="1"/>
  <c r="CN247" i="24"/>
  <c r="DA247" i="24" s="1"/>
  <c r="CN303" i="24"/>
  <c r="DA303" i="24" s="1"/>
  <c r="CS303" i="24"/>
  <c r="FD303" i="24" s="1"/>
  <c r="CZ288" i="24"/>
  <c r="CN160" i="24"/>
  <c r="DA160" i="24" s="1"/>
  <c r="CS160" i="24"/>
  <c r="FD160" i="24" s="1"/>
  <c r="CZ135" i="24"/>
  <c r="CZ144" i="24"/>
  <c r="CN78" i="24"/>
  <c r="DA78" i="24" s="1"/>
  <c r="CS78" i="24"/>
  <c r="FD78" i="24" s="1"/>
  <c r="CZ32" i="24"/>
  <c r="CS68" i="24"/>
  <c r="FD68" i="24" s="1"/>
  <c r="CN68" i="24"/>
  <c r="DA68" i="24" s="1"/>
  <c r="CZ94" i="24"/>
  <c r="CS268" i="24"/>
  <c r="FD268" i="24" s="1"/>
  <c r="CN268" i="24"/>
  <c r="DA268" i="24" s="1"/>
  <c r="CN257" i="24"/>
  <c r="DA257" i="24" s="1"/>
  <c r="CS257" i="24"/>
  <c r="FD257" i="24" s="1"/>
  <c r="DT272" i="24"/>
  <c r="CS125" i="24"/>
  <c r="FD125" i="24" s="1"/>
  <c r="CN125" i="24"/>
  <c r="DA125" i="24" s="1"/>
  <c r="CZ141" i="24"/>
  <c r="CZ158" i="24"/>
  <c r="CN142" i="24"/>
  <c r="DA142" i="24" s="1"/>
  <c r="CS142" i="24"/>
  <c r="FD142" i="24" s="1"/>
  <c r="CS74" i="24"/>
  <c r="FD74" i="24" s="1"/>
  <c r="CN74" i="24"/>
  <c r="DA74" i="24" s="1"/>
  <c r="DT218" i="24"/>
  <c r="DT44" i="24"/>
  <c r="CS59" i="24"/>
  <c r="FD59" i="24" s="1"/>
  <c r="CN59" i="24"/>
  <c r="DA59" i="24" s="1"/>
  <c r="DT26" i="24"/>
  <c r="CS313" i="24"/>
  <c r="FD313" i="24" s="1"/>
  <c r="CN313" i="24"/>
  <c r="DA313" i="24" s="1"/>
  <c r="CN290" i="24"/>
  <c r="DA290" i="24" s="1"/>
  <c r="CS290" i="24"/>
  <c r="FD290" i="24" s="1"/>
  <c r="CS225" i="24"/>
  <c r="FD225" i="24" s="1"/>
  <c r="CN225" i="24"/>
  <c r="DA225" i="24" s="1"/>
  <c r="CN237" i="24"/>
  <c r="DA237" i="24" s="1"/>
  <c r="CS237" i="24"/>
  <c r="FD237" i="24" s="1"/>
  <c r="CZ271" i="24"/>
  <c r="CZ114" i="24"/>
  <c r="CZ310" i="24"/>
  <c r="CZ188" i="24"/>
  <c r="DT69" i="24"/>
  <c r="CZ266" i="24"/>
  <c r="CS122" i="24"/>
  <c r="FD122" i="24" s="1"/>
  <c r="CN122" i="24"/>
  <c r="CS43" i="24"/>
  <c r="FD43" i="24" s="1"/>
  <c r="CN43" i="24"/>
  <c r="DA43" i="24" s="1"/>
  <c r="DT71" i="24"/>
  <c r="DT91" i="24"/>
  <c r="DT53" i="24"/>
  <c r="CS60" i="24"/>
  <c r="FD60" i="24" s="1"/>
  <c r="CN60" i="24"/>
  <c r="DA60" i="24" s="1"/>
  <c r="CS17" i="24"/>
  <c r="FD17" i="24" s="1"/>
  <c r="CN17" i="24"/>
  <c r="CZ311" i="24"/>
  <c r="CZ262" i="24"/>
  <c r="DT222" i="24"/>
  <c r="CZ279" i="24"/>
  <c r="DT235" i="24"/>
  <c r="DT243" i="24"/>
  <c r="CN37" i="24"/>
  <c r="DA37" i="24" s="1"/>
  <c r="CS37" i="24"/>
  <c r="FD37" i="24" s="1"/>
  <c r="CS152" i="24"/>
  <c r="FD152" i="24" s="1"/>
  <c r="CN152" i="24"/>
  <c r="DA152" i="24" s="1"/>
  <c r="DT7" i="24"/>
  <c r="CZ55" i="24"/>
  <c r="DT67" i="24"/>
  <c r="CZ254" i="24"/>
  <c r="DT308" i="24"/>
  <c r="CS305" i="24"/>
  <c r="FD305" i="24" s="1"/>
  <c r="CN305" i="24"/>
  <c r="CZ265" i="24"/>
  <c r="CS275" i="24"/>
  <c r="FD275" i="24" s="1"/>
  <c r="CN275" i="24"/>
  <c r="DA275" i="24" s="1"/>
  <c r="CN173" i="24"/>
  <c r="DA173" i="24" s="1"/>
  <c r="CS173" i="24"/>
  <c r="FD173" i="24" s="1"/>
  <c r="CZ149" i="24"/>
  <c r="CS93" i="24"/>
  <c r="FD93" i="24" s="1"/>
  <c r="CN93" i="24"/>
  <c r="DA93" i="24" s="1"/>
  <c r="CZ90" i="24"/>
  <c r="CZ54" i="24"/>
  <c r="CS16" i="24"/>
  <c r="FD16" i="24" s="1"/>
  <c r="CN16" i="24"/>
  <c r="DA16" i="24" s="1"/>
  <c r="DT304" i="24"/>
  <c r="CZ273" i="24"/>
  <c r="CZ197" i="24"/>
  <c r="CS220" i="24"/>
  <c r="FD220" i="24" s="1"/>
  <c r="CN220" i="24"/>
  <c r="DA220" i="24" s="1"/>
  <c r="CZ131" i="24"/>
  <c r="CZ101" i="24"/>
  <c r="CS32" i="24"/>
  <c r="FD32" i="24" s="1"/>
  <c r="CN32" i="24"/>
  <c r="DA32" i="24" s="1"/>
  <c r="DT68" i="24"/>
  <c r="DT94" i="24"/>
  <c r="CS28" i="24"/>
  <c r="FD28" i="24" s="1"/>
  <c r="CN28" i="24"/>
  <c r="CZ198" i="24"/>
  <c r="DT268" i="24"/>
  <c r="DT257" i="24"/>
  <c r="CN272" i="24"/>
  <c r="DA272" i="24" s="1"/>
  <c r="CS272" i="24"/>
  <c r="FD272" i="24" s="1"/>
  <c r="CN207" i="24"/>
  <c r="DA207" i="24" s="1"/>
  <c r="CS207" i="24"/>
  <c r="FD207" i="24" s="1"/>
  <c r="CN141" i="24"/>
  <c r="CS141" i="24"/>
  <c r="FD141" i="24" s="1"/>
  <c r="CZ128" i="24"/>
  <c r="CZ117" i="24"/>
  <c r="DT74" i="24"/>
  <c r="DT31" i="24"/>
  <c r="CZ145" i="24"/>
  <c r="CS218" i="24"/>
  <c r="FD218" i="24" s="1"/>
  <c r="CN218" i="24"/>
  <c r="DA218" i="24" s="1"/>
  <c r="CZ130" i="24"/>
  <c r="CN44" i="24"/>
  <c r="DA44" i="24" s="1"/>
  <c r="CS44" i="24"/>
  <c r="FD44" i="24" s="1"/>
  <c r="DT96" i="24"/>
  <c r="DT12" i="24"/>
  <c r="CN77" i="24"/>
  <c r="DA77" i="24" s="1"/>
  <c r="CS77" i="24"/>
  <c r="FD77" i="24" s="1"/>
  <c r="DT59" i="24"/>
  <c r="CZ313" i="24"/>
  <c r="CZ246" i="24"/>
  <c r="DT290" i="24"/>
  <c r="DT223" i="24"/>
  <c r="CZ260" i="24"/>
  <c r="CZ225" i="24"/>
  <c r="CN299" i="24"/>
  <c r="CS299" i="24"/>
  <c r="FD299" i="24" s="1"/>
  <c r="DT237" i="24"/>
  <c r="CN124" i="24"/>
  <c r="DA124" i="24" s="1"/>
  <c r="CS124" i="24"/>
  <c r="FD124" i="24" s="1"/>
  <c r="CZ99" i="24"/>
  <c r="CN69" i="24"/>
  <c r="DA69" i="24" s="1"/>
  <c r="CS69" i="24"/>
  <c r="FD69" i="24" s="1"/>
  <c r="CZ127" i="24"/>
  <c r="CN39" i="24"/>
  <c r="DA39" i="24" s="1"/>
  <c r="CS39" i="24"/>
  <c r="FD39" i="24" s="1"/>
  <c r="CS87" i="24"/>
  <c r="FD87" i="24" s="1"/>
  <c r="CN87" i="24"/>
  <c r="DA87" i="24" s="1"/>
  <c r="CZ291" i="24"/>
  <c r="CS111" i="24"/>
  <c r="FD111" i="24" s="1"/>
  <c r="CN111" i="24"/>
  <c r="DA111" i="24" s="1"/>
  <c r="CZ38" i="24"/>
  <c r="DT89" i="24"/>
  <c r="CZ60" i="24"/>
  <c r="CZ29" i="24"/>
  <c r="CZ58" i="24"/>
  <c r="CN10" i="24"/>
  <c r="DA10" i="24" s="1"/>
  <c r="CS10" i="24"/>
  <c r="FD10" i="24" s="1"/>
  <c r="CN280" i="24"/>
  <c r="DA280" i="24" s="1"/>
  <c r="CS280" i="24"/>
  <c r="FD280" i="24" s="1"/>
  <c r="CZ293" i="24"/>
  <c r="DT245" i="24"/>
  <c r="CS222" i="24"/>
  <c r="FD222" i="24" s="1"/>
  <c r="CN222" i="24"/>
  <c r="CS243" i="24"/>
  <c r="FD243" i="24" s="1"/>
  <c r="CN243" i="24"/>
  <c r="DA243" i="24" s="1"/>
  <c r="CZ143" i="24"/>
  <c r="CZ37" i="24"/>
  <c r="CZ170" i="24"/>
  <c r="CZ152" i="24"/>
  <c r="CZ27" i="24"/>
  <c r="DT254" i="24"/>
  <c r="CS292" i="24"/>
  <c r="FD292" i="24" s="1"/>
  <c r="CN292" i="24"/>
  <c r="DA292" i="24" s="1"/>
  <c r="CN265" i="24"/>
  <c r="CS265" i="24"/>
  <c r="FD265" i="24" s="1"/>
  <c r="CN312" i="24"/>
  <c r="DA312" i="24" s="1"/>
  <c r="CS312" i="24"/>
  <c r="FD312" i="24" s="1"/>
  <c r="CZ134" i="24"/>
  <c r="CS105" i="24"/>
  <c r="FD105" i="24" s="1"/>
  <c r="CN105" i="24"/>
  <c r="CZ169" i="24"/>
  <c r="DT102" i="24"/>
  <c r="DT93" i="24"/>
  <c r="CZ24" i="24"/>
  <c r="CZ46" i="24"/>
  <c r="DT269" i="24"/>
  <c r="CZ199" i="24"/>
  <c r="DT247" i="24"/>
  <c r="DT273" i="24"/>
  <c r="CS231" i="24"/>
  <c r="FD231" i="24" s="1"/>
  <c r="CN231" i="24"/>
  <c r="DA231" i="24" s="1"/>
  <c r="CN261" i="24"/>
  <c r="CS261" i="24"/>
  <c r="FD261" i="24" s="1"/>
  <c r="CZ220" i="24"/>
  <c r="CS184" i="24"/>
  <c r="FD184" i="24" s="1"/>
  <c r="CN184" i="24"/>
  <c r="CS100" i="24"/>
  <c r="FD100" i="24" s="1"/>
  <c r="CN100" i="24"/>
  <c r="DA100" i="24" s="1"/>
  <c r="CN165" i="24"/>
  <c r="DA165" i="24" s="1"/>
  <c r="CS165" i="24"/>
  <c r="FD165" i="24" s="1"/>
  <c r="CZ78" i="24"/>
  <c r="CN137" i="24"/>
  <c r="DA137" i="24" s="1"/>
  <c r="CS137" i="24"/>
  <c r="FD137" i="24" s="1"/>
  <c r="CN85" i="24"/>
  <c r="DA85" i="24" s="1"/>
  <c r="CS85" i="24"/>
  <c r="FD85" i="24" s="1"/>
  <c r="DT23" i="24"/>
  <c r="CN229" i="24"/>
  <c r="CS229" i="24"/>
  <c r="FD229" i="24" s="1"/>
  <c r="CZ195" i="24"/>
  <c r="CZ207" i="24"/>
  <c r="DT256" i="24"/>
  <c r="CN130" i="24"/>
  <c r="DA130" i="24" s="1"/>
  <c r="CS130" i="24"/>
  <c r="FD130" i="24" s="1"/>
  <c r="CZ79" i="24"/>
  <c r="CZ92" i="24"/>
  <c r="CN246" i="24"/>
  <c r="DA246" i="24" s="1"/>
  <c r="CS246" i="24"/>
  <c r="FD246" i="24" s="1"/>
  <c r="CS310" i="24"/>
  <c r="FD310" i="24" s="1"/>
  <c r="CN310" i="24"/>
  <c r="CS138" i="24"/>
  <c r="FD138" i="24" s="1"/>
  <c r="CN138" i="24"/>
  <c r="CN99" i="24"/>
  <c r="CS99" i="24"/>
  <c r="FD99" i="24" s="1"/>
  <c r="DT266" i="24"/>
  <c r="CZ39" i="24"/>
  <c r="DT293" i="24"/>
  <c r="CS185" i="24"/>
  <c r="FD185" i="24" s="1"/>
  <c r="CN185" i="24"/>
  <c r="DA185" i="24" s="1"/>
  <c r="CS279" i="24"/>
  <c r="FD279" i="24" s="1"/>
  <c r="CN279" i="24"/>
  <c r="CN112" i="24"/>
  <c r="CS112" i="24"/>
  <c r="FD112" i="24" s="1"/>
  <c r="CZ154" i="24"/>
  <c r="CS129" i="24"/>
  <c r="FD129" i="24" s="1"/>
  <c r="CN129" i="24"/>
  <c r="DA129" i="24" s="1"/>
  <c r="CZ166" i="24"/>
  <c r="CZ88" i="24"/>
  <c r="CZ97" i="24"/>
  <c r="CS56" i="24"/>
  <c r="FD56" i="24" s="1"/>
  <c r="CN56" i="24"/>
  <c r="DA56" i="24" s="1"/>
  <c r="CN55" i="24"/>
  <c r="CS55" i="24"/>
  <c r="FD55" i="24" s="1"/>
  <c r="CZ48" i="24"/>
  <c r="CZ22" i="24"/>
  <c r="CS254" i="24"/>
  <c r="FD254" i="24" s="1"/>
  <c r="CN254" i="24"/>
  <c r="CZ292" i="24"/>
  <c r="CZ241" i="24"/>
  <c r="DT275" i="24"/>
  <c r="CZ312" i="24"/>
  <c r="CS134" i="24"/>
  <c r="FD134" i="24" s="1"/>
  <c r="CN134" i="24"/>
  <c r="CN147" i="24"/>
  <c r="DA147" i="24" s="1"/>
  <c r="CS147" i="24"/>
  <c r="FD147" i="24" s="1"/>
  <c r="CS126" i="24"/>
  <c r="FD126" i="24" s="1"/>
  <c r="CN126" i="24"/>
  <c r="DA126" i="24" s="1"/>
  <c r="CN80" i="24"/>
  <c r="DA80" i="24" s="1"/>
  <c r="CS80" i="24"/>
  <c r="FD80" i="24" s="1"/>
  <c r="CS76" i="24"/>
  <c r="FD76" i="24" s="1"/>
  <c r="CN76" i="24"/>
  <c r="CZ93" i="24"/>
  <c r="CN8" i="24"/>
  <c r="DA8" i="24" s="1"/>
  <c r="CS8" i="24"/>
  <c r="FD8" i="24" s="1"/>
  <c r="CS24" i="24"/>
  <c r="FD24" i="24" s="1"/>
  <c r="CN24" i="24"/>
  <c r="DA24" i="24" s="1"/>
  <c r="DT46" i="24"/>
  <c r="DT252" i="24"/>
  <c r="CN273" i="24"/>
  <c r="DA273" i="24" s="1"/>
  <c r="CS273" i="24"/>
  <c r="FD273" i="24" s="1"/>
  <c r="DT231" i="24"/>
  <c r="CS270" i="24"/>
  <c r="FD270" i="24" s="1"/>
  <c r="CN270" i="24"/>
  <c r="DA270" i="24" s="1"/>
  <c r="CZ100" i="24"/>
  <c r="DT32" i="24"/>
  <c r="CZ63" i="24"/>
  <c r="DT85" i="24"/>
  <c r="DT51" i="24"/>
  <c r="DT13" i="24"/>
  <c r="CN23" i="24"/>
  <c r="DA23" i="24" s="1"/>
  <c r="CS23" i="24"/>
  <c r="FD23" i="24" s="1"/>
  <c r="DT61" i="24"/>
  <c r="CN316" i="24"/>
  <c r="DA316" i="24" s="1"/>
  <c r="CS316" i="24"/>
  <c r="FD316" i="24" s="1"/>
  <c r="DT295" i="24"/>
  <c r="DT229" i="24"/>
  <c r="CS180" i="24"/>
  <c r="FD180" i="24" s="1"/>
  <c r="CN180" i="24"/>
  <c r="DA180" i="24" s="1"/>
  <c r="CZ178" i="24"/>
  <c r="CS117" i="24"/>
  <c r="FD117" i="24" s="1"/>
  <c r="CN117" i="24"/>
  <c r="CZ142" i="24"/>
  <c r="CN31" i="24"/>
  <c r="DA31" i="24" s="1"/>
  <c r="CS31" i="24"/>
  <c r="FD31" i="24" s="1"/>
  <c r="CN79" i="24"/>
  <c r="CS79" i="24"/>
  <c r="FD79" i="24" s="1"/>
  <c r="CS92" i="24"/>
  <c r="FD92" i="24" s="1"/>
  <c r="CN92" i="24"/>
  <c r="DA92" i="24" s="1"/>
  <c r="DT313" i="24"/>
  <c r="DT246" i="24"/>
  <c r="CZ223" i="24"/>
  <c r="DT260" i="24"/>
  <c r="DT299" i="24"/>
  <c r="CZ239" i="24"/>
  <c r="DT271" i="24"/>
  <c r="DT310" i="24"/>
  <c r="CZ138" i="24"/>
  <c r="CZ140" i="24"/>
  <c r="CZ43" i="24"/>
  <c r="CN71" i="24"/>
  <c r="DA71" i="24" s="1"/>
  <c r="CS71" i="24"/>
  <c r="FD71" i="24" s="1"/>
  <c r="CZ42" i="24"/>
  <c r="DT87" i="24"/>
  <c r="CZ34" i="24"/>
  <c r="CS38" i="24"/>
  <c r="FD38" i="24" s="1"/>
  <c r="CN38" i="24"/>
  <c r="DA38" i="24" s="1"/>
  <c r="DT20" i="24"/>
  <c r="DT62" i="24"/>
  <c r="DT84" i="24"/>
  <c r="DT10" i="24"/>
  <c r="DT57" i="24"/>
  <c r="CZ280" i="24"/>
  <c r="CZ278" i="24"/>
  <c r="DT279" i="24"/>
  <c r="CN191" i="24"/>
  <c r="DA191" i="24" s="1"/>
  <c r="CS191" i="24"/>
  <c r="FD191" i="24" s="1"/>
  <c r="DT104" i="24"/>
  <c r="CS154" i="24"/>
  <c r="FD154" i="24" s="1"/>
  <c r="CN154" i="24"/>
  <c r="DA154" i="24" s="1"/>
  <c r="CZ182" i="24"/>
  <c r="CS166" i="24"/>
  <c r="FD166" i="24" s="1"/>
  <c r="CN166" i="24"/>
  <c r="DA166" i="24" s="1"/>
  <c r="CN97" i="24"/>
  <c r="CS97" i="24"/>
  <c r="FD97" i="24" s="1"/>
  <c r="CZ7" i="24"/>
  <c r="CZ56" i="24"/>
  <c r="CN19" i="24"/>
  <c r="DA19" i="24" s="1"/>
  <c r="CS19" i="24"/>
  <c r="FD19" i="24" s="1"/>
  <c r="DT55" i="24"/>
  <c r="DT48" i="24"/>
  <c r="CS22" i="24"/>
  <c r="FD22" i="24" s="1"/>
  <c r="CN22" i="24"/>
  <c r="DA22" i="24" s="1"/>
  <c r="DT265" i="24"/>
  <c r="DT312" i="24"/>
  <c r="CZ230" i="24"/>
  <c r="CZ155" i="24"/>
  <c r="CS33" i="24"/>
  <c r="FD33" i="24" s="1"/>
  <c r="CN33" i="24"/>
  <c r="DA33" i="24" s="1"/>
  <c r="DT16" i="24"/>
  <c r="CS46" i="24"/>
  <c r="FD46" i="24" s="1"/>
  <c r="CN46" i="24"/>
  <c r="CS252" i="24"/>
  <c r="FD252" i="24" s="1"/>
  <c r="CN252" i="24"/>
  <c r="DA252" i="24" s="1"/>
  <c r="CZ247" i="24"/>
  <c r="CZ231" i="24"/>
  <c r="CS197" i="24"/>
  <c r="FD197" i="24" s="1"/>
  <c r="CN197" i="24"/>
  <c r="DT220" i="24"/>
  <c r="CN101" i="24"/>
  <c r="CS101" i="24"/>
  <c r="FD101" i="24" s="1"/>
  <c r="CZ165" i="24"/>
  <c r="CN51" i="24"/>
  <c r="DA51" i="24" s="1"/>
  <c r="CS51" i="24"/>
  <c r="FD51" i="24" s="1"/>
  <c r="CZ23" i="24"/>
  <c r="CN61" i="24"/>
  <c r="DA61" i="24" s="1"/>
  <c r="CS61" i="24"/>
  <c r="FD61" i="24" s="1"/>
  <c r="DT28" i="24"/>
  <c r="DT316" i="24"/>
  <c r="CN295" i="24"/>
  <c r="DA295" i="24" s="1"/>
  <c r="CS295" i="24"/>
  <c r="FD295" i="24" s="1"/>
  <c r="CS195" i="24"/>
  <c r="FD195" i="24" s="1"/>
  <c r="CN195" i="24"/>
  <c r="DA195" i="24" s="1"/>
  <c r="CZ249" i="24"/>
  <c r="CZ180" i="24"/>
  <c r="CS178" i="24"/>
  <c r="FD178" i="24" s="1"/>
  <c r="CN178" i="24"/>
  <c r="DA178" i="24" s="1"/>
  <c r="CZ95" i="24"/>
  <c r="CZ256" i="24"/>
  <c r="CZ74" i="24"/>
  <c r="CZ31" i="24"/>
  <c r="CZ44" i="24"/>
  <c r="CZ96" i="24"/>
  <c r="CN12" i="24"/>
  <c r="DA12" i="24" s="1"/>
  <c r="CS12" i="24"/>
  <c r="FD12" i="24" s="1"/>
  <c r="DT92" i="24"/>
  <c r="CS196" i="24"/>
  <c r="FD196" i="24" s="1"/>
  <c r="CN196" i="24"/>
  <c r="DA196" i="24" s="1"/>
  <c r="CS223" i="24"/>
  <c r="FD223" i="24" s="1"/>
  <c r="CN223" i="24"/>
  <c r="DT225" i="24"/>
  <c r="DT239" i="24"/>
  <c r="CN271" i="24"/>
  <c r="CS271" i="24"/>
  <c r="FD271" i="24" s="1"/>
  <c r="CZ174" i="24"/>
  <c r="CS188" i="24"/>
  <c r="FD188" i="24" s="1"/>
  <c r="CN188" i="24"/>
  <c r="CZ151" i="24"/>
  <c r="CS140" i="24"/>
  <c r="FD140" i="24" s="1"/>
  <c r="CN140" i="24"/>
  <c r="DA140" i="24" s="1"/>
  <c r="CS266" i="24"/>
  <c r="FD266" i="24" s="1"/>
  <c r="CN266" i="24"/>
  <c r="CN127" i="24"/>
  <c r="DA127" i="24" s="1"/>
  <c r="CS127" i="24"/>
  <c r="FD127" i="24" s="1"/>
  <c r="CS42" i="24"/>
  <c r="FD42" i="24" s="1"/>
  <c r="CN42" i="24"/>
  <c r="DA42" i="24" s="1"/>
  <c r="CZ87" i="24"/>
  <c r="CN164" i="24"/>
  <c r="DA164" i="24" s="1"/>
  <c r="CS164" i="24"/>
  <c r="FD164" i="24" s="1"/>
  <c r="CZ193" i="24"/>
  <c r="CS156" i="24"/>
  <c r="FD156" i="24" s="1"/>
  <c r="CN156" i="24"/>
  <c r="CZ62" i="24"/>
  <c r="CS84" i="24"/>
  <c r="FD84" i="24" s="1"/>
  <c r="CN84" i="24"/>
  <c r="CS57" i="24"/>
  <c r="FD57" i="24" s="1"/>
  <c r="CN57" i="24"/>
  <c r="DA57" i="24" s="1"/>
  <c r="CS278" i="24"/>
  <c r="FD278" i="24" s="1"/>
  <c r="CN278" i="24"/>
  <c r="DA278" i="24" s="1"/>
  <c r="DT262" i="24"/>
  <c r="DT276" i="24"/>
  <c r="CS143" i="24"/>
  <c r="FD143" i="24" s="1"/>
  <c r="CN143" i="24"/>
  <c r="CS175" i="24"/>
  <c r="FD175" i="24" s="1"/>
  <c r="CN175" i="24"/>
  <c r="DA175" i="24" s="1"/>
  <c r="CN170" i="24"/>
  <c r="CS170" i="24"/>
  <c r="FD170" i="24" s="1"/>
  <c r="DT19" i="24"/>
  <c r="CS27" i="24"/>
  <c r="FD27" i="24" s="1"/>
  <c r="CN27" i="24"/>
  <c r="CZ274" i="24"/>
  <c r="CS202" i="24"/>
  <c r="FD202" i="24" s="1"/>
  <c r="CN202" i="24"/>
  <c r="CS308" i="24"/>
  <c r="FD308" i="24" s="1"/>
  <c r="CN308" i="24"/>
  <c r="DA308" i="24" s="1"/>
  <c r="DT292" i="24"/>
  <c r="DT241" i="24"/>
  <c r="DT230" i="24"/>
  <c r="CZ186" i="24"/>
  <c r="DT105" i="24"/>
  <c r="CZ173" i="24"/>
  <c r="CN155" i="24"/>
  <c r="DA155" i="24" s="1"/>
  <c r="CS155" i="24"/>
  <c r="FD155" i="24" s="1"/>
  <c r="DT33" i="24"/>
  <c r="CS54" i="24"/>
  <c r="FD54" i="24" s="1"/>
  <c r="CN54" i="24"/>
  <c r="CS65" i="24"/>
  <c r="FD65" i="24" s="1"/>
  <c r="CN65" i="24"/>
  <c r="CZ304" i="24"/>
  <c r="CZ303" i="24"/>
  <c r="DT270" i="24"/>
  <c r="CN288" i="24"/>
  <c r="DA288" i="24" s="1"/>
  <c r="CS288" i="24"/>
  <c r="FD288" i="24" s="1"/>
  <c r="CZ181" i="24"/>
  <c r="DT101" i="24"/>
  <c r="CS144" i="24"/>
  <c r="FD144" i="24" s="1"/>
  <c r="CN144" i="24"/>
  <c r="CZ159" i="24"/>
  <c r="CZ68" i="24"/>
  <c r="CZ137" i="24"/>
  <c r="DT63" i="24"/>
  <c r="CZ51" i="24"/>
  <c r="CZ13" i="24"/>
  <c r="CS35" i="24"/>
  <c r="FD35" i="24" s="1"/>
  <c r="CN35" i="24"/>
  <c r="DA35" i="24" s="1"/>
  <c r="CZ61" i="24"/>
  <c r="CZ316" i="24"/>
  <c r="CS251" i="24"/>
  <c r="FD251" i="24" s="1"/>
  <c r="CN251" i="24"/>
  <c r="DA251" i="24" s="1"/>
  <c r="CZ295" i="24"/>
  <c r="CN227" i="24"/>
  <c r="CS227" i="24"/>
  <c r="FD227" i="24" s="1"/>
  <c r="CZ301" i="24"/>
  <c r="CS95" i="24"/>
  <c r="FD95" i="24" s="1"/>
  <c r="CN95" i="24"/>
  <c r="CZ49" i="24"/>
  <c r="CN239" i="24"/>
  <c r="CS239" i="24"/>
  <c r="FD239" i="24" s="1"/>
  <c r="CZ315" i="24"/>
  <c r="CS201" i="24"/>
  <c r="FD201" i="24" s="1"/>
  <c r="CN201" i="24"/>
  <c r="CZ176" i="24"/>
  <c r="CN114" i="24"/>
  <c r="CS114" i="24"/>
  <c r="FD114" i="24" s="1"/>
  <c r="CS174" i="24"/>
  <c r="FD174" i="24" s="1"/>
  <c r="CN174" i="24"/>
  <c r="CZ124" i="24"/>
  <c r="CZ69" i="24"/>
  <c r="DT39" i="24"/>
  <c r="CN91" i="24"/>
  <c r="CS91" i="24"/>
  <c r="FD91" i="24" s="1"/>
  <c r="DT42" i="24"/>
  <c r="CZ53" i="24"/>
  <c r="DT34" i="24"/>
  <c r="CZ204" i="24"/>
  <c r="CS293" i="24"/>
  <c r="FD293" i="24" s="1"/>
  <c r="CN293" i="24"/>
  <c r="DA293" i="24" s="1"/>
  <c r="CS276" i="24"/>
  <c r="FD276" i="24" s="1"/>
  <c r="CN276" i="24"/>
  <c r="CZ191" i="24"/>
  <c r="CZ228" i="24"/>
  <c r="CS182" i="24"/>
  <c r="FD182" i="24" s="1"/>
  <c r="CN182" i="24"/>
  <c r="CZ129" i="24"/>
  <c r="CN82" i="24"/>
  <c r="DA82" i="24" s="1"/>
  <c r="CS82" i="24"/>
  <c r="FD82" i="24" s="1"/>
  <c r="CN88" i="24"/>
  <c r="CS88" i="24"/>
  <c r="FD88" i="24" s="1"/>
  <c r="DT97" i="24"/>
  <c r="DT56" i="24"/>
  <c r="CZ308" i="24"/>
  <c r="CS241" i="24"/>
  <c r="FD241" i="24" s="1"/>
  <c r="CN241" i="24"/>
  <c r="CZ210" i="24"/>
  <c r="CN230" i="24"/>
  <c r="DA230" i="24" s="1"/>
  <c r="CS230" i="24"/>
  <c r="FD230" i="24" s="1"/>
  <c r="CN183" i="24"/>
  <c r="DA183" i="24" s="1"/>
  <c r="CS183" i="24"/>
  <c r="FD183" i="24" s="1"/>
  <c r="CZ147" i="24"/>
  <c r="CZ33" i="24"/>
  <c r="DT76" i="24"/>
  <c r="CN90" i="24"/>
  <c r="CS90" i="24"/>
  <c r="FD90" i="24" s="1"/>
  <c r="DT8" i="24"/>
  <c r="CZ25" i="24"/>
  <c r="DT24" i="24"/>
  <c r="DT65" i="24"/>
  <c r="CZ269" i="24"/>
  <c r="CN199" i="24"/>
  <c r="DA199" i="24" s="1"/>
  <c r="CS199" i="24"/>
  <c r="FD199" i="24" s="1"/>
  <c r="DT303" i="24"/>
  <c r="CN181" i="24"/>
  <c r="CS181" i="24"/>
  <c r="FD181" i="24" s="1"/>
  <c r="CN131" i="24"/>
  <c r="DA131" i="24" s="1"/>
  <c r="CS131" i="24"/>
  <c r="FD131" i="24" s="1"/>
  <c r="DT100" i="24"/>
  <c r="CN121" i="24"/>
  <c r="DA121" i="24" s="1"/>
  <c r="CS121" i="24"/>
  <c r="FD121" i="24" s="1"/>
  <c r="DT78" i="24"/>
  <c r="CS159" i="24"/>
  <c r="FD159" i="24" s="1"/>
  <c r="CN159" i="24"/>
  <c r="CS63" i="24"/>
  <c r="FD63" i="24" s="1"/>
  <c r="CN63" i="24"/>
  <c r="CZ35" i="24"/>
  <c r="DT251" i="24"/>
  <c r="CS301" i="24"/>
  <c r="FD301" i="24" s="1"/>
  <c r="CN301" i="24"/>
  <c r="DA301" i="24" s="1"/>
  <c r="CN249" i="24"/>
  <c r="CS249" i="24"/>
  <c r="FD249" i="24" s="1"/>
  <c r="CN256" i="24"/>
  <c r="CS256" i="24"/>
  <c r="FD256" i="24" s="1"/>
  <c r="CS49" i="24"/>
  <c r="FD49" i="24" s="1"/>
  <c r="CN49" i="24"/>
  <c r="DA49" i="24" s="1"/>
  <c r="CZ12" i="24"/>
  <c r="CZ77" i="24"/>
  <c r="CZ26" i="24"/>
  <c r="CZ196" i="24"/>
  <c r="CN260" i="24"/>
  <c r="DA260" i="24" s="1"/>
  <c r="CS260" i="24"/>
  <c r="FD260" i="24" s="1"/>
  <c r="CN315" i="24"/>
  <c r="CS315" i="24"/>
  <c r="FD315" i="24" s="1"/>
  <c r="CZ237" i="24"/>
  <c r="CS151" i="24"/>
  <c r="FD151" i="24" s="1"/>
  <c r="CN151" i="24"/>
  <c r="DA151" i="24" s="1"/>
  <c r="CN168" i="24"/>
  <c r="CS168" i="24"/>
  <c r="FD168" i="24" s="1"/>
  <c r="CN53" i="24"/>
  <c r="DA53" i="24" s="1"/>
  <c r="CS53" i="24"/>
  <c r="FD53" i="24" s="1"/>
  <c r="CS34" i="24"/>
  <c r="FD34" i="24" s="1"/>
  <c r="CN34" i="24"/>
  <c r="DA34" i="24" s="1"/>
  <c r="CN62" i="24"/>
  <c r="DA62" i="24" s="1"/>
  <c r="CS62" i="24"/>
  <c r="FD62" i="24" s="1"/>
  <c r="CZ10" i="24"/>
  <c r="DT17" i="24"/>
  <c r="DT278" i="24"/>
  <c r="CS204" i="24"/>
  <c r="FD204" i="24" s="1"/>
  <c r="CN204" i="24"/>
  <c r="DA204" i="24" s="1"/>
  <c r="CN245" i="24"/>
  <c r="CS245" i="24"/>
  <c r="FD245" i="24" s="1"/>
  <c r="CN235" i="24"/>
  <c r="CS235" i="24"/>
  <c r="FD235" i="24" s="1"/>
  <c r="CZ243" i="24"/>
  <c r="CS228" i="24"/>
  <c r="FD228" i="24" s="1"/>
  <c r="CN228" i="24"/>
  <c r="CZ175" i="24"/>
  <c r="CZ104" i="24"/>
  <c r="CZ82" i="24"/>
  <c r="DT88" i="24"/>
  <c r="CS7" i="24"/>
  <c r="FD7" i="24" s="1"/>
  <c r="CN7" i="24"/>
  <c r="DA7" i="24" s="1"/>
  <c r="CZ19" i="24"/>
  <c r="DT27" i="24"/>
  <c r="CZ67" i="24"/>
  <c r="CS48" i="24"/>
  <c r="FD48" i="24" s="1"/>
  <c r="CN48" i="24"/>
  <c r="DA48" i="24" s="1"/>
  <c r="CS274" i="24"/>
  <c r="FD274" i="24" s="1"/>
  <c r="CN274" i="24"/>
  <c r="DT248" i="24"/>
  <c r="DT305" i="24"/>
  <c r="CN210" i="24"/>
  <c r="CS210" i="24"/>
  <c r="FD210" i="24" s="1"/>
  <c r="CZ275" i="24"/>
  <c r="CN169" i="24"/>
  <c r="DA169" i="24" s="1"/>
  <c r="CS169" i="24"/>
  <c r="FD169" i="24" s="1"/>
  <c r="CZ102" i="24"/>
  <c r="CZ126" i="24"/>
  <c r="CZ80" i="24"/>
  <c r="CS149" i="24"/>
  <c r="FD149" i="24" s="1"/>
  <c r="CN149" i="24"/>
  <c r="DA149" i="24" s="1"/>
  <c r="DT90" i="24"/>
  <c r="DT25" i="24"/>
  <c r="CZ16" i="24"/>
  <c r="CS304" i="24"/>
  <c r="FD304" i="24" s="1"/>
  <c r="CN304" i="24"/>
  <c r="DT261" i="24"/>
  <c r="CZ270" i="24"/>
  <c r="DT288" i="24"/>
  <c r="CZ160" i="24"/>
  <c r="CS135" i="24"/>
  <c r="FD135" i="24" s="1"/>
  <c r="CN135" i="24"/>
  <c r="DA135" i="24" s="1"/>
  <c r="CZ121" i="24"/>
  <c r="CZ85" i="24"/>
  <c r="CN13" i="24"/>
  <c r="DA13" i="24" s="1"/>
  <c r="CS13" i="24"/>
  <c r="FD13" i="24" s="1"/>
  <c r="CS94" i="24"/>
  <c r="FD94" i="24" s="1"/>
  <c r="CN94" i="24"/>
  <c r="CZ251" i="24"/>
  <c r="CS198" i="24"/>
  <c r="FD198" i="24" s="1"/>
  <c r="CN198" i="24"/>
  <c r="DA198" i="24" s="1"/>
  <c r="DT227" i="24"/>
  <c r="CZ268" i="24"/>
  <c r="DT301" i="24"/>
  <c r="CZ257" i="24"/>
  <c r="DT249" i="24"/>
  <c r="CZ272" i="24"/>
  <c r="CZ125" i="24"/>
  <c r="DT95" i="24"/>
  <c r="CN128" i="24"/>
  <c r="DA128" i="24" s="1"/>
  <c r="CS128" i="24"/>
  <c r="FD128" i="24" s="1"/>
  <c r="CN158" i="24"/>
  <c r="CS158" i="24"/>
  <c r="FD158" i="24" s="1"/>
  <c r="CS145" i="24"/>
  <c r="FD145" i="24" s="1"/>
  <c r="CN145" i="24"/>
  <c r="CZ218" i="24"/>
  <c r="DT79" i="24"/>
  <c r="DT49" i="24"/>
  <c r="CN96" i="24"/>
  <c r="CS96" i="24"/>
  <c r="FD96" i="24" s="1"/>
  <c r="DT77" i="24"/>
  <c r="CZ59" i="24"/>
  <c r="CN26" i="24"/>
  <c r="DA26" i="24" s="1"/>
  <c r="CS26" i="24"/>
  <c r="FD26" i="24" s="1"/>
  <c r="CZ290" i="24"/>
  <c r="DT315" i="24"/>
  <c r="CN176" i="24"/>
  <c r="DA176" i="24" s="1"/>
  <c r="CS176" i="24"/>
  <c r="FD176" i="24" s="1"/>
  <c r="DT99" i="24"/>
  <c r="CZ71" i="24"/>
  <c r="CS11" i="24"/>
  <c r="FD11" i="24" s="1"/>
  <c r="CN11" i="24"/>
  <c r="Q5" i="29"/>
  <c r="BC7" i="19"/>
  <c r="K77" i="23"/>
  <c r="M77" i="23" s="1"/>
  <c r="B233" i="2"/>
  <c r="BK6" i="19"/>
  <c r="BB6" i="19"/>
  <c r="BH7" i="19"/>
  <c r="BF6" i="19"/>
  <c r="BK7" i="19"/>
  <c r="BS7" i="19"/>
  <c r="BF9" i="19"/>
  <c r="BH9" i="19"/>
  <c r="BD9" i="19"/>
  <c r="BA6" i="19"/>
  <c r="BI6" i="19"/>
  <c r="BD6" i="19"/>
  <c r="AZ7" i="19"/>
  <c r="BL7" i="19" s="1"/>
  <c r="BM7" i="19" s="1"/>
  <c r="BZ7" i="19" s="1"/>
  <c r="BG7" i="19"/>
  <c r="BJ7" i="19"/>
  <c r="BS6" i="19"/>
  <c r="AZ6" i="19"/>
  <c r="BL6" i="19" s="1"/>
  <c r="BM6" i="19" s="1"/>
  <c r="BZ6" i="19" s="1"/>
  <c r="BG6" i="19"/>
  <c r="BB7" i="19"/>
  <c r="BF7" i="19"/>
  <c r="BA7" i="19"/>
  <c r="BC6" i="19"/>
  <c r="BH6" i="19"/>
  <c r="BE6" i="19"/>
  <c r="BE7" i="19"/>
  <c r="BI7" i="19"/>
  <c r="BB9" i="19"/>
  <c r="BI9" i="19"/>
  <c r="BB8" i="19"/>
  <c r="BS8" i="19"/>
  <c r="BJ9" i="19"/>
  <c r="BS9" i="19"/>
  <c r="BK8" i="19"/>
  <c r="AZ9" i="19"/>
  <c r="BL9" i="19" s="1"/>
  <c r="BM9" i="19" s="1"/>
  <c r="BZ9" i="19" s="1"/>
  <c r="BD8" i="19"/>
  <c r="BE8" i="19"/>
  <c r="BG8" i="19"/>
  <c r="BE9" i="19"/>
  <c r="BA9" i="19"/>
  <c r="BG9" i="19"/>
  <c r="BH8" i="19"/>
  <c r="BI8" i="19"/>
  <c r="BF8" i="19"/>
  <c r="AZ8" i="19"/>
  <c r="BL8" i="19" s="1"/>
  <c r="BM8" i="19" s="1"/>
  <c r="BZ8" i="19" s="1"/>
  <c r="BK9" i="19"/>
  <c r="BC9" i="19"/>
  <c r="BA8" i="19"/>
  <c r="BJ8" i="19"/>
  <c r="K67" i="23"/>
  <c r="M67" i="23" s="1"/>
  <c r="L103" i="23"/>
  <c r="M103" i="23" s="1"/>
  <c r="L88" i="23"/>
  <c r="M88" i="23" s="1"/>
  <c r="K20" i="23"/>
  <c r="M20" i="23" s="1"/>
  <c r="K63" i="23"/>
  <c r="M63" i="23" s="1"/>
  <c r="L49" i="23"/>
  <c r="M49" i="23" s="1"/>
  <c r="K84" i="23"/>
  <c r="M84" i="23" s="1"/>
  <c r="L60" i="23"/>
  <c r="M60" i="23" s="1"/>
  <c r="L100" i="23"/>
  <c r="M100" i="23" s="1"/>
  <c r="L24" i="23"/>
  <c r="M24" i="23" s="1"/>
  <c r="K42" i="23"/>
  <c r="M42" i="23" s="1"/>
  <c r="K66" i="23"/>
  <c r="M66" i="23" s="1"/>
  <c r="K74" i="23"/>
  <c r="M74" i="23" s="1"/>
  <c r="K58" i="23"/>
  <c r="M58" i="23" s="1"/>
  <c r="K93" i="23"/>
  <c r="M93" i="23" s="1"/>
  <c r="L57" i="23"/>
  <c r="M57" i="23" s="1"/>
  <c r="L72" i="23"/>
  <c r="M72" i="23" s="1"/>
  <c r="K65" i="23"/>
  <c r="M65" i="23" s="1"/>
  <c r="L95" i="23"/>
  <c r="M95" i="23" s="1"/>
  <c r="M11" i="23"/>
  <c r="M99" i="23"/>
  <c r="M27" i="23"/>
  <c r="M19" i="23"/>
  <c r="M56" i="23"/>
  <c r="M8" i="23"/>
  <c r="M87" i="23"/>
  <c r="M55" i="23"/>
  <c r="M75" i="23"/>
  <c r="M12" i="23"/>
  <c r="M47" i="23"/>
  <c r="M43" i="23"/>
  <c r="M6" i="23"/>
  <c r="L97" i="23"/>
  <c r="M97" i="23" s="1"/>
  <c r="K83" i="23"/>
  <c r="M83" i="23" s="1"/>
  <c r="M98" i="23"/>
  <c r="M62" i="23"/>
  <c r="M46" i="23"/>
  <c r="M76" i="23"/>
  <c r="M78" i="23"/>
  <c r="M54" i="23"/>
  <c r="M81" i="23"/>
  <c r="M85" i="23"/>
  <c r="M50" i="23"/>
  <c r="M53" i="23"/>
  <c r="M101" i="23"/>
  <c r="M45" i="23"/>
  <c r="M34" i="23"/>
  <c r="M36" i="23"/>
  <c r="M28" i="23"/>
  <c r="M9" i="23"/>
  <c r="M33" i="23"/>
  <c r="M30" i="23"/>
  <c r="M90" i="23"/>
  <c r="M10" i="23"/>
  <c r="M94" i="23"/>
  <c r="M68" i="23"/>
  <c r="M70" i="23"/>
  <c r="M106" i="23"/>
  <c r="M41" i="23"/>
  <c r="M37" i="23"/>
  <c r="M44" i="23"/>
  <c r="M32" i="23"/>
  <c r="M23" i="23"/>
  <c r="M48" i="23"/>
  <c r="M64" i="23"/>
  <c r="M15" i="23"/>
  <c r="M40" i="23"/>
  <c r="M80" i="23"/>
  <c r="M31" i="23"/>
  <c r="M91" i="23"/>
  <c r="M7" i="23"/>
  <c r="M96" i="23"/>
  <c r="M51" i="23"/>
  <c r="M71" i="23"/>
  <c r="M39" i="23"/>
  <c r="M79" i="23"/>
  <c r="M104" i="23"/>
  <c r="M59" i="23"/>
  <c r="M16" i="23"/>
  <c r="M35" i="23"/>
  <c r="M18" i="23"/>
  <c r="M105" i="23"/>
  <c r="M86" i="23"/>
  <c r="M52" i="23"/>
  <c r="M89" i="23"/>
  <c r="M38" i="23"/>
  <c r="M25" i="23"/>
  <c r="M61" i="23"/>
  <c r="M82" i="23"/>
  <c r="M14" i="23"/>
  <c r="M29" i="23"/>
  <c r="M69" i="23"/>
  <c r="M17" i="23"/>
  <c r="M21" i="23"/>
  <c r="M22" i="23"/>
  <c r="M92" i="23"/>
  <c r="M73" i="23"/>
  <c r="M13" i="23"/>
  <c r="M102" i="23"/>
  <c r="M26" i="23"/>
  <c r="B228" i="2"/>
  <c r="A269" i="2"/>
  <c r="D48" i="16"/>
  <c r="B229" i="2"/>
  <c r="D49" i="16"/>
  <c r="DC85" i="24" l="1"/>
  <c r="DC58" i="24"/>
  <c r="DC29" i="24"/>
  <c r="E76" i="1"/>
  <c r="E77" i="1" s="1"/>
  <c r="F76" i="1"/>
  <c r="DC25" i="24"/>
  <c r="DC87" i="24"/>
  <c r="DC74" i="24"/>
  <c r="DC19" i="24"/>
  <c r="DC45" i="24"/>
  <c r="DC82" i="24"/>
  <c r="DC73" i="24"/>
  <c r="DC77" i="24"/>
  <c r="DC67" i="24"/>
  <c r="DB210" i="25"/>
  <c r="DC43" i="24"/>
  <c r="DC23" i="24"/>
  <c r="DC35" i="24"/>
  <c r="DC80" i="24"/>
  <c r="DC93" i="24"/>
  <c r="DC16" i="24"/>
  <c r="DC9" i="24"/>
  <c r="DC104" i="24"/>
  <c r="DC12" i="24"/>
  <c r="DC33" i="24"/>
  <c r="DC102" i="24"/>
  <c r="DC10" i="24"/>
  <c r="DC31" i="24"/>
  <c r="DC61" i="24"/>
  <c r="DC32" i="24"/>
  <c r="DC59" i="24"/>
  <c r="DC60" i="24"/>
  <c r="DC30" i="24"/>
  <c r="DC20" i="24"/>
  <c r="DC51" i="24"/>
  <c r="DC44" i="24"/>
  <c r="DC6" i="24"/>
  <c r="DC21" i="24"/>
  <c r="DC68" i="24"/>
  <c r="DC24" i="24"/>
  <c r="DC36" i="24"/>
  <c r="DC75" i="24"/>
  <c r="DC22" i="24"/>
  <c r="DC86" i="24"/>
  <c r="DC53" i="24"/>
  <c r="DC62" i="24"/>
  <c r="DC48" i="24"/>
  <c r="DC13" i="24"/>
  <c r="DC26" i="24"/>
  <c r="DC49" i="24"/>
  <c r="DC34" i="24"/>
  <c r="DC100" i="24"/>
  <c r="DC39" i="24"/>
  <c r="DC78" i="24"/>
  <c r="DC57" i="24"/>
  <c r="CZ110" i="25"/>
  <c r="DB110" i="25" s="1"/>
  <c r="DC56" i="24"/>
  <c r="DC42" i="24"/>
  <c r="DC92" i="24"/>
  <c r="DC37" i="24"/>
  <c r="DC38" i="24"/>
  <c r="DC8" i="24"/>
  <c r="DC103" i="24"/>
  <c r="DC47" i="24"/>
  <c r="DA110" i="25"/>
  <c r="DD110" i="25" s="1"/>
  <c r="DE110" i="25" s="1"/>
  <c r="DF110" i="25" s="1"/>
  <c r="DM110" i="25" s="1"/>
  <c r="DW110" i="25" s="1"/>
  <c r="DC71" i="24"/>
  <c r="DC69" i="24"/>
  <c r="DC7" i="24"/>
  <c r="DM101" i="25"/>
  <c r="DW101" i="25" s="1"/>
  <c r="K345" i="29"/>
  <c r="K107" i="29"/>
  <c r="K578" i="29"/>
  <c r="L563" i="29"/>
  <c r="L532" i="29"/>
  <c r="K493" i="29"/>
  <c r="K433" i="29"/>
  <c r="K405" i="29"/>
  <c r="L438" i="29"/>
  <c r="L23" i="29"/>
  <c r="L603" i="29"/>
  <c r="L566" i="29"/>
  <c r="K503" i="29"/>
  <c r="L482" i="29"/>
  <c r="K492" i="29"/>
  <c r="K411" i="29"/>
  <c r="L429" i="29"/>
  <c r="L344" i="29"/>
  <c r="L601" i="29"/>
  <c r="K575" i="29"/>
  <c r="K565" i="29"/>
  <c r="L536" i="29"/>
  <c r="L485" i="29"/>
  <c r="L31" i="29"/>
  <c r="L607" i="29"/>
  <c r="L571" i="29"/>
  <c r="K543" i="29"/>
  <c r="K526" i="29"/>
  <c r="K474" i="29"/>
  <c r="L443" i="29"/>
  <c r="K396" i="29"/>
  <c r="K386" i="29"/>
  <c r="K79" i="29"/>
  <c r="K582" i="29"/>
  <c r="K555" i="29"/>
  <c r="K522" i="29"/>
  <c r="L476" i="29"/>
  <c r="K449" i="29"/>
  <c r="L424" i="29"/>
  <c r="K383" i="29"/>
  <c r="K336" i="29"/>
  <c r="L600" i="29"/>
  <c r="K574" i="29"/>
  <c r="L539" i="29"/>
  <c r="L500" i="29"/>
  <c r="K467" i="29"/>
  <c r="K428" i="29"/>
  <c r="L442" i="29"/>
  <c r="L410" i="29"/>
  <c r="K126" i="29"/>
  <c r="K604" i="29"/>
  <c r="K547" i="29"/>
  <c r="K514" i="29"/>
  <c r="L468" i="29"/>
  <c r="K441" i="29"/>
  <c r="K414" i="29"/>
  <c r="K375" i="29"/>
  <c r="K328" i="29"/>
  <c r="K442" i="29"/>
  <c r="L314" i="29"/>
  <c r="K317" i="29"/>
  <c r="L249" i="29"/>
  <c r="K271" i="29"/>
  <c r="K217" i="29"/>
  <c r="K183" i="29"/>
  <c r="L188" i="29"/>
  <c r="K154" i="29"/>
  <c r="K26" i="29"/>
  <c r="K451" i="29"/>
  <c r="K319" i="29"/>
  <c r="L332" i="29"/>
  <c r="K234" i="29"/>
  <c r="L278" i="29"/>
  <c r="L217" i="29"/>
  <c r="L183" i="29"/>
  <c r="L194" i="29"/>
  <c r="L97" i="29"/>
  <c r="L99" i="29"/>
  <c r="K516" i="29"/>
  <c r="L343" i="29"/>
  <c r="K296" i="29"/>
  <c r="L277" i="29"/>
  <c r="K243" i="29"/>
  <c r="L609" i="29"/>
  <c r="K596" i="29"/>
  <c r="K525" i="29"/>
  <c r="K513" i="29"/>
  <c r="K500" i="29"/>
  <c r="L456" i="29"/>
  <c r="K373" i="29"/>
  <c r="L398" i="29"/>
  <c r="L52" i="29"/>
  <c r="L593" i="29"/>
  <c r="L547" i="29"/>
  <c r="L510" i="29"/>
  <c r="K497" i="29"/>
  <c r="K461" i="29"/>
  <c r="L433" i="29"/>
  <c r="K395" i="29"/>
  <c r="K348" i="29"/>
  <c r="L612" i="29"/>
  <c r="L574" i="29"/>
  <c r="K524" i="29"/>
  <c r="L515" i="29"/>
  <c r="K485" i="29"/>
  <c r="K54" i="29"/>
  <c r="K599" i="29"/>
  <c r="L567" i="29"/>
  <c r="K530" i="29"/>
  <c r="K506" i="29"/>
  <c r="K478" i="29"/>
  <c r="L411" i="29"/>
  <c r="L412" i="29"/>
  <c r="L397" i="29"/>
  <c r="K602" i="29"/>
  <c r="L568" i="29"/>
  <c r="K541" i="29"/>
  <c r="L509" i="29"/>
  <c r="K472" i="29"/>
  <c r="K417" i="29"/>
  <c r="K389" i="29"/>
  <c r="K416" i="29"/>
  <c r="L39" i="29"/>
  <c r="L599" i="29"/>
  <c r="K568" i="29"/>
  <c r="K535" i="29"/>
  <c r="K508" i="29"/>
  <c r="K466" i="29"/>
  <c r="L435" i="29"/>
  <c r="K388" i="29"/>
  <c r="K378" i="29"/>
  <c r="K594" i="29"/>
  <c r="L560" i="29"/>
  <c r="K533" i="29"/>
  <c r="K521" i="29"/>
  <c r="K464" i="29"/>
  <c r="K409" i="29"/>
  <c r="K381" i="29"/>
  <c r="K404" i="29"/>
  <c r="L581" i="29"/>
  <c r="L422" i="29"/>
  <c r="L341" i="29"/>
  <c r="K314" i="29"/>
  <c r="K275" i="29"/>
  <c r="K239" i="29"/>
  <c r="K185" i="29"/>
  <c r="K162" i="29"/>
  <c r="L142" i="29"/>
  <c r="L116" i="29"/>
  <c r="L24" i="29"/>
  <c r="K377" i="29"/>
  <c r="L342" i="29"/>
  <c r="K303" i="29"/>
  <c r="L275" i="29"/>
  <c r="L243" i="29"/>
  <c r="L185" i="29"/>
  <c r="K211" i="29"/>
  <c r="K147" i="29"/>
  <c r="L65" i="29"/>
  <c r="L67" i="29"/>
  <c r="L448" i="29"/>
  <c r="K85" i="29"/>
  <c r="K189" i="29"/>
  <c r="K142" i="29"/>
  <c r="K597" i="29"/>
  <c r="K585" i="29"/>
  <c r="K532" i="29"/>
  <c r="L504" i="29"/>
  <c r="K502" i="29"/>
  <c r="K448" i="29"/>
  <c r="L392" i="29"/>
  <c r="K454" i="29"/>
  <c r="K44" i="29"/>
  <c r="K577" i="29"/>
  <c r="K561" i="29"/>
  <c r="L521" i="29"/>
  <c r="L489" i="29"/>
  <c r="K429" i="29"/>
  <c r="K401" i="29"/>
  <c r="L430" i="29"/>
  <c r="L43" i="29"/>
  <c r="K627" i="29"/>
  <c r="K572" i="29"/>
  <c r="L545" i="29"/>
  <c r="L480" i="29"/>
  <c r="L478" i="29"/>
  <c r="K101" i="29"/>
  <c r="L591" i="29"/>
  <c r="L558" i="29"/>
  <c r="L534" i="29"/>
  <c r="K512" i="29"/>
  <c r="K480" i="29"/>
  <c r="K435" i="29"/>
  <c r="L379" i="29"/>
  <c r="L368" i="29"/>
  <c r="K613" i="29"/>
  <c r="K567" i="29"/>
  <c r="L549" i="29"/>
  <c r="L520" i="29"/>
  <c r="L471" i="29"/>
  <c r="L474" i="29"/>
  <c r="K418" i="29"/>
  <c r="L382" i="29"/>
  <c r="K86" i="29"/>
  <c r="K588" i="29"/>
  <c r="K553" i="29"/>
  <c r="L541" i="29"/>
  <c r="K499" i="29"/>
  <c r="L473" i="29"/>
  <c r="K459" i="29"/>
  <c r="L403" i="29"/>
  <c r="L389" i="29"/>
  <c r="K605" i="29"/>
  <c r="K559" i="29"/>
  <c r="K540" i="29"/>
  <c r="L512" i="29"/>
  <c r="L463" i="29"/>
  <c r="K456" i="29"/>
  <c r="L400" i="29"/>
  <c r="L374" i="29"/>
  <c r="L589" i="29"/>
  <c r="L401" i="29"/>
  <c r="K329" i="29"/>
  <c r="K286" i="29"/>
  <c r="K241" i="29"/>
  <c r="L242" i="29"/>
  <c r="L220" i="29"/>
  <c r="K157" i="29"/>
  <c r="L110" i="29"/>
  <c r="L84" i="29"/>
  <c r="L613" i="29"/>
  <c r="L395" i="29"/>
  <c r="L369" i="29"/>
  <c r="K311" i="29"/>
  <c r="L245" i="29"/>
  <c r="K267" i="29"/>
  <c r="K213" i="29"/>
  <c r="K179" i="29"/>
  <c r="L170" i="29"/>
  <c r="K146" i="29"/>
  <c r="K38" i="29"/>
  <c r="K439" i="29"/>
  <c r="K315" i="29"/>
  <c r="L331" i="29"/>
  <c r="K230" i="29"/>
  <c r="K45" i="29"/>
  <c r="K81" i="29"/>
  <c r="K446" i="29"/>
  <c r="L35" i="29"/>
  <c r="I633" i="29"/>
  <c r="K562" i="29"/>
  <c r="L527" i="29"/>
  <c r="L488" i="29"/>
  <c r="L505" i="29"/>
  <c r="L455" i="29"/>
  <c r="L417" i="29"/>
  <c r="K398" i="29"/>
  <c r="L605" i="29"/>
  <c r="L585" i="29"/>
  <c r="L578" i="29"/>
  <c r="K509" i="29"/>
  <c r="K489" i="29"/>
  <c r="L452" i="29"/>
  <c r="K450" i="29"/>
  <c r="L394" i="29"/>
  <c r="K70" i="29"/>
  <c r="K607" i="29"/>
  <c r="L573" i="29"/>
  <c r="K534" i="29"/>
  <c r="L487" i="29"/>
  <c r="L479" i="29"/>
  <c r="K20" i="29"/>
  <c r="L595" i="29"/>
  <c r="K556" i="29"/>
  <c r="L544" i="29"/>
  <c r="L502" i="29"/>
  <c r="L457" i="29"/>
  <c r="L470" i="29"/>
  <c r="L421" i="29"/>
  <c r="L372" i="29"/>
  <c r="L604" i="29"/>
  <c r="K583" i="29"/>
  <c r="L543" i="29"/>
  <c r="L503" i="29"/>
  <c r="K471" i="29"/>
  <c r="K432" i="29"/>
  <c r="L376" i="29"/>
  <c r="K420" i="29"/>
  <c r="K103" i="29"/>
  <c r="K591" i="29"/>
  <c r="L548" i="29"/>
  <c r="K519" i="29"/>
  <c r="L498" i="29"/>
  <c r="K477" i="29"/>
  <c r="K427" i="29"/>
  <c r="L371" i="29"/>
  <c r="L360" i="29"/>
  <c r="L596" i="29"/>
  <c r="K570" i="29"/>
  <c r="L535" i="29"/>
  <c r="L496" i="29"/>
  <c r="K463" i="29"/>
  <c r="K424" i="29"/>
  <c r="K434" i="29"/>
  <c r="K406" i="29"/>
  <c r="K510" i="29"/>
  <c r="K324" i="29"/>
  <c r="L284" i="29"/>
  <c r="K318" i="29"/>
  <c r="L252" i="29"/>
  <c r="L214" i="29"/>
  <c r="K220" i="29"/>
  <c r="K125" i="29"/>
  <c r="L78" i="29"/>
  <c r="K116" i="29"/>
  <c r="L556" i="29"/>
  <c r="L402" i="29"/>
  <c r="L337" i="29"/>
  <c r="L312" i="29"/>
  <c r="K269" i="29"/>
  <c r="L270" i="29"/>
  <c r="K181" i="29"/>
  <c r="K158" i="29"/>
  <c r="L138" i="29"/>
  <c r="L112" i="29"/>
  <c r="K36" i="29"/>
  <c r="L434" i="29"/>
  <c r="L338" i="29"/>
  <c r="K362" i="29"/>
  <c r="L274" i="29"/>
  <c r="E55" i="1"/>
  <c r="L21" i="29"/>
  <c r="K60" i="29"/>
  <c r="K59" i="29"/>
  <c r="L584" i="29"/>
  <c r="K550" i="29"/>
  <c r="K542" i="29"/>
  <c r="L495" i="29"/>
  <c r="K484" i="29"/>
  <c r="L423" i="29"/>
  <c r="K376" i="29"/>
  <c r="K410" i="29"/>
  <c r="K593" i="29"/>
  <c r="L583" i="29"/>
  <c r="K528" i="29"/>
  <c r="K520" i="29"/>
  <c r="K496" i="29"/>
  <c r="K444" i="29"/>
  <c r="L388" i="29"/>
  <c r="K438" i="29"/>
  <c r="K32" i="29"/>
  <c r="K600" i="29"/>
  <c r="L562" i="29"/>
  <c r="L569" i="29"/>
  <c r="L530" i="29"/>
  <c r="L497" i="29"/>
  <c r="L54" i="29"/>
  <c r="K586" i="29"/>
  <c r="L561" i="29"/>
  <c r="L538" i="29"/>
  <c r="L481" i="29"/>
  <c r="K453" i="29"/>
  <c r="L425" i="29"/>
  <c r="K387" i="29"/>
  <c r="K340" i="29"/>
  <c r="L606" i="29"/>
  <c r="K569" i="29"/>
  <c r="K539" i="29"/>
  <c r="L519" i="29"/>
  <c r="K470" i="29"/>
  <c r="L439" i="29"/>
  <c r="K392" i="29"/>
  <c r="K382" i="29"/>
  <c r="K28" i="29"/>
  <c r="L590" i="29"/>
  <c r="K548" i="29"/>
  <c r="K523" i="29"/>
  <c r="K494" i="29"/>
  <c r="L449" i="29"/>
  <c r="L458" i="29"/>
  <c r="K412" i="29"/>
  <c r="K364" i="29"/>
  <c r="L598" i="29"/>
  <c r="L557" i="29"/>
  <c r="K531" i="29"/>
  <c r="L506" i="29"/>
  <c r="K462" i="29"/>
  <c r="L431" i="29"/>
  <c r="K384" i="29"/>
  <c r="K374" i="29"/>
  <c r="L464" i="29"/>
  <c r="L351" i="29"/>
  <c r="K304" i="29"/>
  <c r="L285" i="29"/>
  <c r="K285" i="29"/>
  <c r="K222" i="29"/>
  <c r="K188" i="29"/>
  <c r="L160" i="29"/>
  <c r="K168" i="29"/>
  <c r="K84" i="29"/>
  <c r="K529" i="29"/>
  <c r="L381" i="29"/>
  <c r="K321" i="29"/>
  <c r="K282" i="29"/>
  <c r="L327" i="29"/>
  <c r="L238" i="29"/>
  <c r="L216" i="29"/>
  <c r="K153" i="29"/>
  <c r="L106" i="29"/>
  <c r="L80" i="29"/>
  <c r="K601" i="29"/>
  <c r="L383" i="29"/>
  <c r="L365" i="29"/>
  <c r="L310" i="29"/>
  <c r="K62" i="29"/>
  <c r="K113" i="29"/>
  <c r="K166" i="29"/>
  <c r="L345" i="29"/>
  <c r="L68" i="29"/>
  <c r="G623" i="29"/>
  <c r="K581" i="29"/>
  <c r="L529" i="29"/>
  <c r="K487" i="29"/>
  <c r="L577" i="29"/>
  <c r="K447" i="29"/>
  <c r="L391" i="29"/>
  <c r="L377" i="29"/>
  <c r="L627" i="29"/>
  <c r="K589" i="29"/>
  <c r="L553" i="29"/>
  <c r="L484" i="29"/>
  <c r="K488" i="29"/>
  <c r="L451" i="29"/>
  <c r="L408" i="29"/>
  <c r="K394" i="29"/>
  <c r="K61" i="29"/>
  <c r="L602" i="29"/>
  <c r="K558" i="29"/>
  <c r="L546" i="29"/>
  <c r="L524" i="29"/>
  <c r="L461" i="29"/>
  <c r="K606" i="29"/>
  <c r="L572" i="29"/>
  <c r="L550" i="29"/>
  <c r="L513" i="29"/>
  <c r="K476" i="29"/>
  <c r="K421" i="29"/>
  <c r="K393" i="29"/>
  <c r="L420" i="29"/>
  <c r="L19" i="29"/>
  <c r="K592" i="29"/>
  <c r="K560" i="29"/>
  <c r="K557" i="29"/>
  <c r="K504" i="29"/>
  <c r="L477" i="29"/>
  <c r="L407" i="29"/>
  <c r="K408" i="29"/>
  <c r="L393" i="29"/>
  <c r="K56" i="29"/>
  <c r="K612" i="29"/>
  <c r="K551" i="29"/>
  <c r="K518" i="29"/>
  <c r="L472" i="29"/>
  <c r="K445" i="29"/>
  <c r="L418" i="29"/>
  <c r="K379" i="29"/>
  <c r="L27" i="29"/>
  <c r="K584" i="29"/>
  <c r="K549" i="29"/>
  <c r="L537" i="29"/>
  <c r="K495" i="29"/>
  <c r="L469" i="29"/>
  <c r="K455" i="29"/>
  <c r="L399" i="29"/>
  <c r="L385" i="29"/>
  <c r="K437" i="29"/>
  <c r="K355" i="29"/>
  <c r="K358" i="29"/>
  <c r="K270" i="29"/>
  <c r="K248" i="29"/>
  <c r="K190" i="29"/>
  <c r="L219" i="29"/>
  <c r="L151" i="29"/>
  <c r="K128" i="29"/>
  <c r="K140" i="29"/>
  <c r="K517" i="29"/>
  <c r="K320" i="29"/>
  <c r="L280" i="29"/>
  <c r="K312" i="29"/>
  <c r="L248" i="29"/>
  <c r="L210" i="29"/>
  <c r="K216" i="29"/>
  <c r="K121" i="29"/>
  <c r="L169" i="29"/>
  <c r="K112" i="29"/>
  <c r="L586" i="29"/>
  <c r="L390" i="29"/>
  <c r="L333" i="29"/>
  <c r="K310" i="29"/>
  <c r="K603" i="29"/>
  <c r="K13" i="29"/>
  <c r="K24" i="29"/>
  <c r="L610" i="29"/>
  <c r="L575" i="29"/>
  <c r="K507" i="29"/>
  <c r="L486" i="29"/>
  <c r="K465" i="29"/>
  <c r="K415" i="29"/>
  <c r="L436" i="29"/>
  <c r="L348" i="29"/>
  <c r="L580" i="29"/>
  <c r="K546" i="29"/>
  <c r="K538" i="29"/>
  <c r="L491" i="29"/>
  <c r="L483" i="29"/>
  <c r="L419" i="29"/>
  <c r="K458" i="29"/>
  <c r="L405" i="29"/>
  <c r="L70" i="29"/>
  <c r="K590" i="29"/>
  <c r="L565" i="29"/>
  <c r="K564" i="29"/>
  <c r="L493" i="29"/>
  <c r="K457" i="29"/>
  <c r="L597" i="29"/>
  <c r="K571" i="29"/>
  <c r="L554" i="29"/>
  <c r="L526" i="29"/>
  <c r="L475" i="29"/>
  <c r="L444" i="29"/>
  <c r="L426" i="29"/>
  <c r="L386" i="29"/>
  <c r="K40" i="29"/>
  <c r="L587" i="29"/>
  <c r="L552" i="29"/>
  <c r="L523" i="29"/>
  <c r="L507" i="29"/>
  <c r="K479" i="29"/>
  <c r="K431" i="29"/>
  <c r="L375" i="29"/>
  <c r="L364" i="29"/>
  <c r="K598" i="29"/>
  <c r="L564" i="29"/>
  <c r="K537" i="29"/>
  <c r="L542" i="29"/>
  <c r="K468" i="29"/>
  <c r="K413" i="29"/>
  <c r="K385" i="29"/>
  <c r="L406" i="29"/>
  <c r="K16" i="29"/>
  <c r="K587" i="29"/>
  <c r="L579" i="29"/>
  <c r="K515" i="29"/>
  <c r="L494" i="29"/>
  <c r="K473" i="29"/>
  <c r="K423" i="29"/>
  <c r="L446" i="29"/>
  <c r="L356" i="29"/>
  <c r="L415" i="29"/>
  <c r="K323" i="29"/>
  <c r="K341" i="29"/>
  <c r="K238" i="29"/>
  <c r="L279" i="29"/>
  <c r="L221" i="29"/>
  <c r="L187" i="29"/>
  <c r="L119" i="29"/>
  <c r="L101" i="29"/>
  <c r="L103" i="29"/>
  <c r="L511" i="29"/>
  <c r="L347" i="29"/>
  <c r="K300" i="29"/>
  <c r="L281" i="29"/>
  <c r="K277" i="29"/>
  <c r="K218" i="29"/>
  <c r="K184" i="29"/>
  <c r="L156" i="29"/>
  <c r="L153" i="29"/>
  <c r="K80" i="29"/>
  <c r="K536" i="29"/>
  <c r="K371" i="29"/>
  <c r="L308" i="29"/>
  <c r="K278" i="29"/>
  <c r="L146" i="29"/>
  <c r="K283" i="29"/>
  <c r="K90" i="29"/>
  <c r="K595" i="29"/>
  <c r="L551" i="29"/>
  <c r="L514" i="29"/>
  <c r="K482" i="29"/>
  <c r="L466" i="29"/>
  <c r="L440" i="29"/>
  <c r="K399" i="29"/>
  <c r="K352" i="29"/>
  <c r="K608" i="29"/>
  <c r="K573" i="29"/>
  <c r="L525" i="29"/>
  <c r="K483" i="29"/>
  <c r="K501" i="29"/>
  <c r="K443" i="29"/>
  <c r="L387" i="29"/>
  <c r="L373" i="29"/>
  <c r="K610" i="29"/>
  <c r="L576" i="29"/>
  <c r="L559" i="29"/>
  <c r="L517" i="29"/>
  <c r="K481" i="29"/>
  <c r="K425" i="29"/>
  <c r="L608" i="29"/>
  <c r="L570" i="29"/>
  <c r="L582" i="29"/>
  <c r="K505" i="29"/>
  <c r="K475" i="29"/>
  <c r="K436" i="29"/>
  <c r="L380" i="29"/>
  <c r="K422" i="29"/>
  <c r="K72" i="29"/>
  <c r="L594" i="29"/>
  <c r="K552" i="29"/>
  <c r="L528" i="29"/>
  <c r="K498" i="29"/>
  <c r="L453" i="29"/>
  <c r="L462" i="29"/>
  <c r="L416" i="29"/>
  <c r="K368" i="29"/>
  <c r="K609" i="29"/>
  <c r="K563" i="29"/>
  <c r="K544" i="29"/>
  <c r="L516" i="29"/>
  <c r="L467" i="29"/>
  <c r="K460" i="29"/>
  <c r="L413" i="29"/>
  <c r="L378" i="29"/>
  <c r="K105" i="29"/>
  <c r="K611" i="29"/>
  <c r="K579" i="29"/>
  <c r="L522" i="29"/>
  <c r="K490" i="29"/>
  <c r="L445" i="29"/>
  <c r="L454" i="29"/>
  <c r="L404" i="29"/>
  <c r="K360" i="29"/>
  <c r="K397" i="29"/>
  <c r="L346" i="29"/>
  <c r="K307" i="29"/>
  <c r="L282" i="29"/>
  <c r="L247" i="29"/>
  <c r="L189" i="29"/>
  <c r="K215" i="29"/>
  <c r="K151" i="29"/>
  <c r="L69" i="29"/>
  <c r="L71" i="29"/>
  <c r="L460" i="29"/>
  <c r="K351" i="29"/>
  <c r="K342" i="29"/>
  <c r="K266" i="29"/>
  <c r="K365" i="29"/>
  <c r="K186" i="29"/>
  <c r="L215" i="29"/>
  <c r="L147" i="29"/>
  <c r="L121" i="29"/>
  <c r="L133" i="29"/>
  <c r="L508" i="29"/>
  <c r="K316" i="29"/>
  <c r="L276" i="29"/>
  <c r="L309" i="29"/>
  <c r="K347" i="29"/>
  <c r="L328" i="29"/>
  <c r="K182" i="29"/>
  <c r="L211" i="29"/>
  <c r="L143" i="29"/>
  <c r="L120" i="29"/>
  <c r="K132" i="29"/>
  <c r="K566" i="29"/>
  <c r="L370" i="29"/>
  <c r="L329" i="29"/>
  <c r="K306" i="29"/>
  <c r="K261" i="29"/>
  <c r="L262" i="29"/>
  <c r="K173" i="29"/>
  <c r="L186" i="29"/>
  <c r="L130" i="29"/>
  <c r="L104" i="29"/>
  <c r="L588" i="29"/>
  <c r="L428" i="29"/>
  <c r="L357" i="29"/>
  <c r="L302" i="29"/>
  <c r="K299" i="29"/>
  <c r="K255" i="29"/>
  <c r="K201" i="29"/>
  <c r="L182" i="29"/>
  <c r="L158" i="29"/>
  <c r="K122" i="29"/>
  <c r="K48" i="29"/>
  <c r="K426" i="29"/>
  <c r="L326" i="29"/>
  <c r="L336" i="29"/>
  <c r="L261" i="29"/>
  <c r="K295" i="29"/>
  <c r="K229" i="29"/>
  <c r="K195" i="29"/>
  <c r="K131" i="29"/>
  <c r="L49" i="29"/>
  <c r="L51" i="29"/>
  <c r="L447" i="29"/>
  <c r="K331" i="29"/>
  <c r="L303" i="29"/>
  <c r="K246" i="29"/>
  <c r="L287" i="29"/>
  <c r="L229" i="29"/>
  <c r="L195" i="29"/>
  <c r="L127" i="29"/>
  <c r="L109" i="29"/>
  <c r="L111" i="29"/>
  <c r="K94" i="29"/>
  <c r="K325" i="29"/>
  <c r="K49" i="29"/>
  <c r="L193" i="29"/>
  <c r="K65" i="29"/>
  <c r="L286" i="29"/>
  <c r="L72" i="29"/>
  <c r="K252" i="29"/>
  <c r="K69" i="29"/>
  <c r="K308" i="29"/>
  <c r="K119" i="29"/>
  <c r="K332" i="29"/>
  <c r="K33" i="29"/>
  <c r="K290" i="29"/>
  <c r="L48" i="29"/>
  <c r="K134" i="29"/>
  <c r="K31" i="29"/>
  <c r="L34" i="29"/>
  <c r="L38" i="29"/>
  <c r="K68" i="29"/>
  <c r="L492" i="29"/>
  <c r="L144" i="29"/>
  <c r="K366" i="29"/>
  <c r="L94" i="29"/>
  <c r="L321" i="29"/>
  <c r="L254" i="29"/>
  <c r="L96" i="29"/>
  <c r="L322" i="29"/>
  <c r="K225" i="29"/>
  <c r="K127" i="29"/>
  <c r="L157" i="29"/>
  <c r="L283" i="29"/>
  <c r="K276" i="29"/>
  <c r="K129" i="29"/>
  <c r="K330" i="29"/>
  <c r="L271" i="29"/>
  <c r="L213" i="29"/>
  <c r="L179" i="29"/>
  <c r="L178" i="29"/>
  <c r="L93" i="29"/>
  <c r="L95" i="29"/>
  <c r="L531" i="29"/>
  <c r="L352" i="29"/>
  <c r="L304" i="29"/>
  <c r="K274" i="29"/>
  <c r="L272" i="29"/>
  <c r="L230" i="29"/>
  <c r="L208" i="29"/>
  <c r="K145" i="29"/>
  <c r="L98" i="29"/>
  <c r="L148" i="29"/>
  <c r="K554" i="29"/>
  <c r="K430" i="29"/>
  <c r="L325" i="29"/>
  <c r="K302" i="29"/>
  <c r="K257" i="29"/>
  <c r="L258" i="29"/>
  <c r="K244" i="29"/>
  <c r="L174" i="29"/>
  <c r="L126" i="29"/>
  <c r="L100" i="29"/>
  <c r="K580" i="29"/>
  <c r="K403" i="29"/>
  <c r="L353" i="29"/>
  <c r="L298" i="29"/>
  <c r="K297" i="29"/>
  <c r="K251" i="29"/>
  <c r="K197" i="29"/>
  <c r="L171" i="29"/>
  <c r="L154" i="29"/>
  <c r="K120" i="29"/>
  <c r="K64" i="29"/>
  <c r="L432" i="29"/>
  <c r="L354" i="29"/>
  <c r="L315" i="29"/>
  <c r="L290" i="29"/>
  <c r="L255" i="29"/>
  <c r="L197" i="29"/>
  <c r="K223" i="29"/>
  <c r="K159" i="29"/>
  <c r="L77" i="29"/>
  <c r="L79" i="29"/>
  <c r="K58" i="29"/>
  <c r="L318" i="29"/>
  <c r="K37" i="29"/>
  <c r="L251" i="29"/>
  <c r="K17" i="29"/>
  <c r="K242" i="29"/>
  <c r="K63" i="29"/>
  <c r="K281" i="29"/>
  <c r="K88" i="29"/>
  <c r="L355" i="29"/>
  <c r="L82" i="29"/>
  <c r="L518" i="29"/>
  <c r="L44" i="29"/>
  <c r="K354" i="29"/>
  <c r="L46" i="29"/>
  <c r="K73" i="29"/>
  <c r="K115" i="29"/>
  <c r="K97" i="29"/>
  <c r="K34" i="29"/>
  <c r="K43" i="29"/>
  <c r="K372" i="29"/>
  <c r="K104" i="29"/>
  <c r="L300" i="29"/>
  <c r="L204" i="29"/>
  <c r="L140" i="29"/>
  <c r="K298" i="29"/>
  <c r="K169" i="29"/>
  <c r="L15" i="29"/>
  <c r="L257" i="29"/>
  <c r="K191" i="29"/>
  <c r="K380" i="29"/>
  <c r="K109" i="29"/>
  <c r="K114" i="29"/>
  <c r="K67" i="29"/>
  <c r="K262" i="29"/>
  <c r="L239" i="29"/>
  <c r="L181" i="29"/>
  <c r="K207" i="29"/>
  <c r="K143" i="29"/>
  <c r="L61" i="29"/>
  <c r="K370" i="29"/>
  <c r="L305" i="29"/>
  <c r="L240" i="29"/>
  <c r="L202" i="29"/>
  <c r="L196" i="29"/>
  <c r="L340" i="29"/>
  <c r="K237" i="29"/>
  <c r="K545" i="29"/>
  <c r="K233" i="29"/>
  <c r="K333" i="29"/>
  <c r="L47" i="29"/>
  <c r="L40" i="29"/>
  <c r="K349" i="29"/>
  <c r="K263" i="29"/>
  <c r="K209" i="29"/>
  <c r="K175" i="29"/>
  <c r="L166" i="29"/>
  <c r="K138" i="29"/>
  <c r="K42" i="29"/>
  <c r="L540" i="29"/>
  <c r="L339" i="29"/>
  <c r="K292" i="29"/>
  <c r="L273" i="29"/>
  <c r="K268" i="29"/>
  <c r="K210" i="29"/>
  <c r="K176" i="29"/>
  <c r="L184" i="29"/>
  <c r="L145" i="29"/>
  <c r="L173" i="29"/>
  <c r="L499" i="29"/>
  <c r="L367" i="29"/>
  <c r="K369" i="29"/>
  <c r="L301" i="29"/>
  <c r="L236" i="29"/>
  <c r="L198" i="29"/>
  <c r="K204" i="29"/>
  <c r="L180" i="29"/>
  <c r="L136" i="29"/>
  <c r="K100" i="29"/>
  <c r="L533" i="29"/>
  <c r="K356" i="29"/>
  <c r="L296" i="29"/>
  <c r="K350" i="29"/>
  <c r="L264" i="29"/>
  <c r="L226" i="29"/>
  <c r="K235" i="29"/>
  <c r="K137" i="29"/>
  <c r="L90" i="29"/>
  <c r="L132" i="29"/>
  <c r="L611" i="29"/>
  <c r="K391" i="29"/>
  <c r="L349" i="29"/>
  <c r="K361" i="29"/>
  <c r="K291" i="29"/>
  <c r="K247" i="29"/>
  <c r="K193" i="29"/>
  <c r="K170" i="29"/>
  <c r="L150" i="29"/>
  <c r="K117" i="29"/>
  <c r="L56" i="29"/>
  <c r="K123" i="29"/>
  <c r="K77" i="29"/>
  <c r="K74" i="29"/>
  <c r="L311" i="29"/>
  <c r="L107" i="29"/>
  <c r="K327" i="29"/>
  <c r="L141" i="29"/>
  <c r="K359" i="29"/>
  <c r="L164" i="29"/>
  <c r="L29" i="29"/>
  <c r="K224" i="29"/>
  <c r="L17" i="29"/>
  <c r="L114" i="29"/>
  <c r="L555" i="29"/>
  <c r="L66" i="29"/>
  <c r="K75" i="29"/>
  <c r="L14" i="29"/>
  <c r="K30" i="29"/>
  <c r="K82" i="29"/>
  <c r="K71" i="29"/>
  <c r="L626" i="29"/>
  <c r="L152" i="29"/>
  <c r="L235" i="29"/>
  <c r="K139" i="29"/>
  <c r="L362" i="29"/>
  <c r="L205" i="29"/>
  <c r="L85" i="29"/>
  <c r="K335" i="29"/>
  <c r="L294" i="29"/>
  <c r="L113" i="29"/>
  <c r="L359" i="29"/>
  <c r="K231" i="29"/>
  <c r="L118" i="29"/>
  <c r="L45" i="29"/>
  <c r="L191" i="29"/>
  <c r="K293" i="29"/>
  <c r="L41" i="29"/>
  <c r="K265" i="29"/>
  <c r="L266" i="29"/>
  <c r="K177" i="29"/>
  <c r="L192" i="29"/>
  <c r="L134" i="29"/>
  <c r="L108" i="29"/>
  <c r="L28" i="29"/>
  <c r="K452" i="29"/>
  <c r="K343" i="29"/>
  <c r="K322" i="29"/>
  <c r="K258" i="29"/>
  <c r="K309" i="29"/>
  <c r="K178" i="29"/>
  <c r="L207" i="29"/>
  <c r="L139" i="29"/>
  <c r="K118" i="29"/>
  <c r="L125" i="29"/>
  <c r="L501" i="29"/>
  <c r="L335" i="29"/>
  <c r="K288" i="29"/>
  <c r="L319" i="29"/>
  <c r="K264" i="29"/>
  <c r="K206" i="29"/>
  <c r="K172" i="29"/>
  <c r="L167" i="29"/>
  <c r="K144" i="29"/>
  <c r="K160" i="29"/>
  <c r="K491" i="29"/>
  <c r="L363" i="29"/>
  <c r="K353" i="29"/>
  <c r="L297" i="29"/>
  <c r="L232" i="29"/>
  <c r="L241" i="29"/>
  <c r="K200" i="29"/>
  <c r="K174" i="29"/>
  <c r="L128" i="29"/>
  <c r="K96" i="29"/>
  <c r="K576" i="29"/>
  <c r="K390" i="29"/>
  <c r="L317" i="29"/>
  <c r="K294" i="29"/>
  <c r="K249" i="29"/>
  <c r="L250" i="29"/>
  <c r="L228" i="29"/>
  <c r="K165" i="29"/>
  <c r="K164" i="29"/>
  <c r="L92" i="29"/>
  <c r="L33" i="29"/>
  <c r="K187" i="29"/>
  <c r="L60" i="29"/>
  <c r="L75" i="29"/>
  <c r="L350" i="29"/>
  <c r="L105" i="29"/>
  <c r="L427" i="29"/>
  <c r="L129" i="29"/>
  <c r="L441" i="29"/>
  <c r="K192" i="29"/>
  <c r="L13" i="29"/>
  <c r="L218" i="29"/>
  <c r="K87" i="29"/>
  <c r="K161" i="29"/>
  <c r="K19" i="29"/>
  <c r="K57" i="29"/>
  <c r="K52" i="29"/>
  <c r="K23" i="29"/>
  <c r="K27" i="29"/>
  <c r="K39" i="29"/>
  <c r="L22" i="29"/>
  <c r="K626" i="29"/>
  <c r="K108" i="29"/>
  <c r="L177" i="29"/>
  <c r="L59" i="29"/>
  <c r="L323" i="29"/>
  <c r="L237" i="29"/>
  <c r="L87" i="29"/>
  <c r="K250" i="29"/>
  <c r="L131" i="29"/>
  <c r="L490" i="29"/>
  <c r="K337" i="29"/>
  <c r="L168" i="29"/>
  <c r="K279" i="29"/>
  <c r="L76" i="29"/>
  <c r="K18" i="29"/>
  <c r="K326" i="29"/>
  <c r="K273" i="29"/>
  <c r="L234" i="29"/>
  <c r="L212" i="29"/>
  <c r="K149" i="29"/>
  <c r="L102" i="29"/>
  <c r="L161" i="29"/>
  <c r="K78" i="29"/>
  <c r="K419" i="29"/>
  <c r="L366" i="29"/>
  <c r="L324" i="29"/>
  <c r="K301" i="29"/>
  <c r="L267" i="29"/>
  <c r="L209" i="29"/>
  <c r="L175" i="29"/>
  <c r="L172" i="29"/>
  <c r="L89" i="29"/>
  <c r="L91" i="29"/>
  <c r="K440" i="29"/>
  <c r="K339" i="29"/>
  <c r="K313" i="29"/>
  <c r="K254" i="29"/>
  <c r="L295" i="29"/>
  <c r="K240" i="29"/>
  <c r="L203" i="29"/>
  <c r="L135" i="29"/>
  <c r="L117" i="29"/>
  <c r="K124" i="29"/>
  <c r="L465" i="29"/>
  <c r="K367" i="29"/>
  <c r="K284" i="29"/>
  <c r="K305" i="29"/>
  <c r="K260" i="29"/>
  <c r="K202" i="29"/>
  <c r="K236" i="29"/>
  <c r="L163" i="29"/>
  <c r="L137" i="29"/>
  <c r="L149" i="29"/>
  <c r="K511" i="29"/>
  <c r="K344" i="29"/>
  <c r="L292" i="29"/>
  <c r="K334" i="29"/>
  <c r="L260" i="29"/>
  <c r="L222" i="29"/>
  <c r="K228" i="29"/>
  <c r="K133" i="29"/>
  <c r="L86" i="29"/>
  <c r="L124" i="29"/>
  <c r="K25" i="29"/>
  <c r="K221" i="29"/>
  <c r="K51" i="29"/>
  <c r="L73" i="29"/>
  <c r="L409" i="29"/>
  <c r="L123" i="29"/>
  <c r="L37" i="29"/>
  <c r="L155" i="29"/>
  <c r="L25" i="29"/>
  <c r="K226" i="29"/>
  <c r="K83" i="29"/>
  <c r="L256" i="29"/>
  <c r="K102" i="29"/>
  <c r="L224" i="29"/>
  <c r="K106" i="29"/>
  <c r="K47" i="29"/>
  <c r="K35" i="29"/>
  <c r="L62" i="29"/>
  <c r="K46" i="29"/>
  <c r="K110" i="29"/>
  <c r="K150" i="29"/>
  <c r="L396" i="29"/>
  <c r="L57" i="29"/>
  <c r="L299" i="29"/>
  <c r="K167" i="29"/>
  <c r="L307" i="29"/>
  <c r="K232" i="29"/>
  <c r="L115" i="29"/>
  <c r="L293" i="29"/>
  <c r="K196" i="29"/>
  <c r="L20" i="29"/>
  <c r="K155" i="29"/>
  <c r="L223" i="29"/>
  <c r="K21" i="29"/>
  <c r="L244" i="29"/>
  <c r="L206" i="29"/>
  <c r="K212" i="29"/>
  <c r="L200" i="29"/>
  <c r="L36" i="29"/>
  <c r="L334" i="29"/>
  <c r="K346" i="29"/>
  <c r="L269" i="29"/>
  <c r="K203" i="29"/>
  <c r="K407" i="29"/>
  <c r="L263" i="29"/>
  <c r="L459" i="29"/>
  <c r="L199" i="29"/>
  <c r="L313" i="29"/>
  <c r="K92" i="29"/>
  <c r="K22" i="29"/>
  <c r="K272" i="29"/>
  <c r="K214" i="29"/>
  <c r="K180" i="29"/>
  <c r="L190" i="29"/>
  <c r="K152" i="29"/>
  <c r="K76" i="29"/>
  <c r="L592" i="29"/>
  <c r="L437" i="29"/>
  <c r="L361" i="29"/>
  <c r="L306" i="29"/>
  <c r="L320" i="29"/>
  <c r="K259" i="29"/>
  <c r="K205" i="29"/>
  <c r="K171" i="29"/>
  <c r="L162" i="29"/>
  <c r="K130" i="29"/>
  <c r="L16" i="29"/>
  <c r="L384" i="29"/>
  <c r="L330" i="29"/>
  <c r="K338" i="29"/>
  <c r="L265" i="29"/>
  <c r="L231" i="29"/>
  <c r="L233" i="29"/>
  <c r="K199" i="29"/>
  <c r="K135" i="29"/>
  <c r="L53" i="29"/>
  <c r="L55" i="29"/>
  <c r="L450" i="29"/>
  <c r="L358" i="29"/>
  <c r="L316" i="29"/>
  <c r="L291" i="29"/>
  <c r="L259" i="29"/>
  <c r="L201" i="29"/>
  <c r="K227" i="29"/>
  <c r="K163" i="29"/>
  <c r="L81" i="29"/>
  <c r="L83" i="29"/>
  <c r="K469" i="29"/>
  <c r="K363" i="29"/>
  <c r="K280" i="29"/>
  <c r="K289" i="29"/>
  <c r="K256" i="29"/>
  <c r="K198" i="29"/>
  <c r="L227" i="29"/>
  <c r="L159" i="29"/>
  <c r="K136" i="29"/>
  <c r="K148" i="29"/>
  <c r="K111" i="29"/>
  <c r="L253" i="29"/>
  <c r="L58" i="29"/>
  <c r="K219" i="29"/>
  <c r="L74" i="29"/>
  <c r="L225" i="29"/>
  <c r="K29" i="29"/>
  <c r="K194" i="29"/>
  <c r="K41" i="29"/>
  <c r="L289" i="29"/>
  <c r="K53" i="29"/>
  <c r="L288" i="29"/>
  <c r="K98" i="29"/>
  <c r="K245" i="29"/>
  <c r="K15" i="29"/>
  <c r="L30" i="29"/>
  <c r="L165" i="29"/>
  <c r="K55" i="29"/>
  <c r="K50" i="29"/>
  <c r="L18" i="29"/>
  <c r="L63" i="29"/>
  <c r="K208" i="29"/>
  <c r="K527" i="29"/>
  <c r="L268" i="29"/>
  <c r="K141" i="29"/>
  <c r="K402" i="29"/>
  <c r="K253" i="29"/>
  <c r="L122" i="29"/>
  <c r="K400" i="29"/>
  <c r="K287" i="29"/>
  <c r="L176" i="29"/>
  <c r="L32" i="29"/>
  <c r="K357" i="29"/>
  <c r="K486" i="29"/>
  <c r="L88" i="29"/>
  <c r="L246" i="29"/>
  <c r="L64" i="29"/>
  <c r="L414" i="29"/>
  <c r="L50" i="29"/>
  <c r="K91" i="29"/>
  <c r="K95" i="29"/>
  <c r="K89" i="29"/>
  <c r="K99" i="29"/>
  <c r="K93" i="29"/>
  <c r="K66" i="29"/>
  <c r="K14" i="29"/>
  <c r="K156" i="29"/>
  <c r="L26" i="29"/>
  <c r="L42" i="29"/>
  <c r="K624" i="29"/>
  <c r="K625" i="29"/>
  <c r="L624" i="29"/>
  <c r="L625" i="29"/>
  <c r="Q4" i="29"/>
  <c r="EB212" i="25"/>
  <c r="EA212" i="25"/>
  <c r="DJ212" i="25"/>
  <c r="DI212" i="25"/>
  <c r="DM112" i="25"/>
  <c r="DW112" i="25" s="1"/>
  <c r="EB112" i="25" s="1"/>
  <c r="DB112" i="25"/>
  <c r="DI112" i="25"/>
  <c r="DJ112" i="25"/>
  <c r="CO216" i="25"/>
  <c r="DA216" i="25" s="1"/>
  <c r="DD216" i="25" s="1"/>
  <c r="DE216" i="25" s="1"/>
  <c r="DF216" i="25" s="1"/>
  <c r="DM216" i="25" s="1"/>
  <c r="DW216" i="25" s="1"/>
  <c r="DM219" i="25"/>
  <c r="DW219" i="25" s="1"/>
  <c r="DM229" i="25"/>
  <c r="DW229" i="25" s="1"/>
  <c r="DM163" i="25"/>
  <c r="DW163" i="25" s="1"/>
  <c r="DM184" i="25"/>
  <c r="DW184" i="25" s="1"/>
  <c r="DM297" i="25"/>
  <c r="DW297" i="25" s="1"/>
  <c r="DM224" i="25"/>
  <c r="DW224" i="25" s="1"/>
  <c r="DM152" i="25"/>
  <c r="DW152" i="25" s="1"/>
  <c r="DM135" i="25"/>
  <c r="DW135" i="25" s="1"/>
  <c r="DM166" i="25"/>
  <c r="DW166" i="25" s="1"/>
  <c r="DM69" i="25"/>
  <c r="DW69" i="25" s="1"/>
  <c r="DX5" i="24"/>
  <c r="EE5" i="24" s="1"/>
  <c r="DM207" i="25"/>
  <c r="DW207" i="25" s="1"/>
  <c r="DM192" i="25"/>
  <c r="DW192" i="25" s="1"/>
  <c r="DM204" i="25"/>
  <c r="DW204" i="25" s="1"/>
  <c r="DM201" i="25"/>
  <c r="DW201" i="25" s="1"/>
  <c r="DM142" i="25"/>
  <c r="DW142" i="25" s="1"/>
  <c r="DM151" i="25"/>
  <c r="DW151" i="25" s="1"/>
  <c r="DM209" i="25"/>
  <c r="DW209" i="25" s="1"/>
  <c r="DM237" i="25"/>
  <c r="DW237" i="25" s="1"/>
  <c r="DM196" i="25"/>
  <c r="DW196" i="25" s="1"/>
  <c r="DM76" i="25"/>
  <c r="DW76" i="25" s="1"/>
  <c r="DM61" i="25"/>
  <c r="DW61" i="25" s="1"/>
  <c r="DM240" i="25"/>
  <c r="DW240" i="25" s="1"/>
  <c r="DM221" i="25"/>
  <c r="DW221" i="25" s="1"/>
  <c r="DM222" i="25"/>
  <c r="DW222" i="25" s="1"/>
  <c r="DM53" i="25"/>
  <c r="DW53" i="25" s="1"/>
  <c r="DM238" i="25"/>
  <c r="DW238" i="25" s="1"/>
  <c r="DM273" i="25"/>
  <c r="DW273" i="25" s="1"/>
  <c r="DM270" i="25"/>
  <c r="DW270" i="25" s="1"/>
  <c r="DM288" i="25"/>
  <c r="DW288" i="25" s="1"/>
  <c r="DM104" i="25"/>
  <c r="DW104" i="25" s="1"/>
  <c r="DM183" i="25"/>
  <c r="DW183" i="25" s="1"/>
  <c r="DM75" i="25"/>
  <c r="DW75" i="25" s="1"/>
  <c r="DM149" i="25"/>
  <c r="DW149" i="25" s="1"/>
  <c r="DM125" i="25"/>
  <c r="DW125" i="25" s="1"/>
  <c r="DM223" i="25"/>
  <c r="DW223" i="25" s="1"/>
  <c r="DM165" i="25"/>
  <c r="DW165" i="25" s="1"/>
  <c r="DM162" i="25"/>
  <c r="DW162" i="25" s="1"/>
  <c r="DM188" i="25"/>
  <c r="DW188" i="25" s="1"/>
  <c r="DM182" i="25"/>
  <c r="DW182" i="25" s="1"/>
  <c r="DM274" i="25"/>
  <c r="DW274" i="25" s="1"/>
  <c r="DM255" i="25"/>
  <c r="DW255" i="25" s="1"/>
  <c r="DM62" i="25"/>
  <c r="DW62" i="25" s="1"/>
  <c r="DM268" i="25"/>
  <c r="DW268" i="25" s="1"/>
  <c r="DM303" i="25"/>
  <c r="DW303" i="25" s="1"/>
  <c r="DM113" i="25"/>
  <c r="DW113" i="25" s="1"/>
  <c r="DM159" i="25"/>
  <c r="DW159" i="25" s="1"/>
  <c r="DM63" i="25"/>
  <c r="DW63" i="25" s="1"/>
  <c r="DM10" i="25"/>
  <c r="DW10" i="25" s="1"/>
  <c r="DM312" i="25"/>
  <c r="DW312" i="25" s="1"/>
  <c r="DM282" i="25"/>
  <c r="DW282" i="25" s="1"/>
  <c r="DM57" i="25"/>
  <c r="DW57" i="25" s="1"/>
  <c r="DM54" i="25"/>
  <c r="DW54" i="25" s="1"/>
  <c r="DM246" i="25"/>
  <c r="DW246" i="25" s="1"/>
  <c r="DM260" i="25"/>
  <c r="DW260" i="25" s="1"/>
  <c r="DB10" i="25"/>
  <c r="DB186" i="25"/>
  <c r="DN216" i="24"/>
  <c r="DM315" i="25"/>
  <c r="DW315" i="25" s="1"/>
  <c r="DM197" i="25"/>
  <c r="DW197" i="25" s="1"/>
  <c r="DC198" i="24"/>
  <c r="DM16" i="25"/>
  <c r="DW16" i="25" s="1"/>
  <c r="DM20" i="25"/>
  <c r="DW20" i="25" s="1"/>
  <c r="EE110" i="24"/>
  <c r="DO110" i="24"/>
  <c r="DR110" i="24"/>
  <c r="DO5" i="24"/>
  <c r="DR5" i="24"/>
  <c r="DC216" i="24"/>
  <c r="DB278" i="25"/>
  <c r="DB304" i="25"/>
  <c r="DJ216" i="24"/>
  <c r="DK216" i="24"/>
  <c r="DM205" i="25"/>
  <c r="DW205" i="25" s="1"/>
  <c r="DM85" i="25"/>
  <c r="DW85" i="25" s="1"/>
  <c r="DM150" i="25"/>
  <c r="DW150" i="25" s="1"/>
  <c r="DM309" i="25"/>
  <c r="DW309" i="25" s="1"/>
  <c r="DM195" i="25"/>
  <c r="DW195" i="25" s="1"/>
  <c r="DM186" i="25"/>
  <c r="DW186" i="25" s="1"/>
  <c r="DM281" i="25"/>
  <c r="DW281" i="25" s="1"/>
  <c r="DM28" i="25"/>
  <c r="DW28" i="25" s="1"/>
  <c r="DM134" i="25"/>
  <c r="DW134" i="25" s="1"/>
  <c r="DM202" i="25"/>
  <c r="DW202" i="25" s="1"/>
  <c r="DM41" i="25"/>
  <c r="DW41" i="25" s="1"/>
  <c r="DM234" i="25"/>
  <c r="DW234" i="25" s="1"/>
  <c r="DM160" i="25"/>
  <c r="DW160" i="25" s="1"/>
  <c r="DM316" i="25"/>
  <c r="DW316" i="25" s="1"/>
  <c r="DM286" i="25"/>
  <c r="DW286" i="25" s="1"/>
  <c r="DM304" i="25"/>
  <c r="DW304" i="25" s="1"/>
  <c r="DM130" i="25"/>
  <c r="DW130" i="25" s="1"/>
  <c r="DM231" i="25"/>
  <c r="DW231" i="25" s="1"/>
  <c r="DC183" i="24"/>
  <c r="DC149" i="24"/>
  <c r="DM248" i="25"/>
  <c r="DW248" i="25" s="1"/>
  <c r="DM19" i="25"/>
  <c r="DW19" i="25" s="1"/>
  <c r="DM161" i="25"/>
  <c r="DW161" i="25" s="1"/>
  <c r="DM82" i="25"/>
  <c r="DW82" i="25" s="1"/>
  <c r="DC292" i="24"/>
  <c r="DM155" i="25"/>
  <c r="DW155" i="25" s="1"/>
  <c r="DM30" i="25"/>
  <c r="DW30" i="25" s="1"/>
  <c r="DB310" i="25"/>
  <c r="DB101" i="25"/>
  <c r="DC217" i="24"/>
  <c r="DM46" i="25"/>
  <c r="DW46" i="25" s="1"/>
  <c r="DC165" i="24"/>
  <c r="DB143" i="25"/>
  <c r="DB156" i="25"/>
  <c r="DB140" i="25"/>
  <c r="DB41" i="25"/>
  <c r="DB24" i="25"/>
  <c r="DC288" i="24"/>
  <c r="DB148" i="25"/>
  <c r="DC186" i="24"/>
  <c r="DB279" i="25"/>
  <c r="DM249" i="25"/>
  <c r="DW249" i="25" s="1"/>
  <c r="DM198" i="25"/>
  <c r="DW198" i="25" s="1"/>
  <c r="DM293" i="25"/>
  <c r="DW293" i="25" s="1"/>
  <c r="DM18" i="25"/>
  <c r="DW18" i="25" s="1"/>
  <c r="DM36" i="25"/>
  <c r="DW36" i="25" s="1"/>
  <c r="DM206" i="25"/>
  <c r="DW206" i="25" s="1"/>
  <c r="DM261" i="25"/>
  <c r="DW261" i="25" s="1"/>
  <c r="DB295" i="25"/>
  <c r="DB181" i="25"/>
  <c r="DB71" i="25"/>
  <c r="DB169" i="25"/>
  <c r="DB284" i="25"/>
  <c r="DM218" i="25"/>
  <c r="DW218" i="25" s="1"/>
  <c r="DM31" i="25"/>
  <c r="DW31" i="25" s="1"/>
  <c r="DM118" i="25"/>
  <c r="DW118" i="25" s="1"/>
  <c r="DM73" i="25"/>
  <c r="DW73" i="25" s="1"/>
  <c r="DM220" i="25"/>
  <c r="DW220" i="25" s="1"/>
  <c r="DM114" i="25"/>
  <c r="DW114" i="25" s="1"/>
  <c r="DM172" i="25"/>
  <c r="DW172" i="25" s="1"/>
  <c r="DM52" i="25"/>
  <c r="DW52" i="25" s="1"/>
  <c r="DM133" i="25"/>
  <c r="DW133" i="25" s="1"/>
  <c r="DM94" i="25"/>
  <c r="DW94" i="25" s="1"/>
  <c r="DM264" i="25"/>
  <c r="DW264" i="25" s="1"/>
  <c r="DM278" i="25"/>
  <c r="DW278" i="25" s="1"/>
  <c r="DB27" i="25"/>
  <c r="DB166" i="25"/>
  <c r="DB223" i="25"/>
  <c r="DB44" i="25"/>
  <c r="DB83" i="25"/>
  <c r="DB103" i="25"/>
  <c r="DM258" i="25"/>
  <c r="DW258" i="25" s="1"/>
  <c r="DB73" i="25"/>
  <c r="DB117" i="25"/>
  <c r="DB235" i="25"/>
  <c r="DM21" i="25"/>
  <c r="DW21" i="25" s="1"/>
  <c r="DB150" i="25"/>
  <c r="DB72" i="25"/>
  <c r="DB244" i="25"/>
  <c r="DM247" i="25"/>
  <c r="DW247" i="25" s="1"/>
  <c r="DB268" i="25"/>
  <c r="DB219" i="25"/>
  <c r="DB179" i="25"/>
  <c r="DM243" i="25"/>
  <c r="DW243" i="25" s="1"/>
  <c r="DB200" i="25"/>
  <c r="DB65" i="25"/>
  <c r="DB243" i="25"/>
  <c r="DB218" i="25"/>
  <c r="DB281" i="25"/>
  <c r="DB86" i="25"/>
  <c r="DM116" i="25"/>
  <c r="DW116" i="25" s="1"/>
  <c r="DM115" i="25"/>
  <c r="DW115" i="25" s="1"/>
  <c r="DB255" i="25"/>
  <c r="DM154" i="25"/>
  <c r="DW154" i="25" s="1"/>
  <c r="DM120" i="25"/>
  <c r="DW120" i="25" s="1"/>
  <c r="DM291" i="25"/>
  <c r="DW291" i="25" s="1"/>
  <c r="DM44" i="25"/>
  <c r="DW44" i="25" s="1"/>
  <c r="DM22" i="25"/>
  <c r="DW22" i="25" s="1"/>
  <c r="DB302" i="25"/>
  <c r="DB187" i="25"/>
  <c r="DB90" i="25"/>
  <c r="DB280" i="25"/>
  <c r="DB237" i="25"/>
  <c r="DB269" i="25"/>
  <c r="DB251" i="25"/>
  <c r="DB203" i="25"/>
  <c r="DB192" i="25"/>
  <c r="DM132" i="25"/>
  <c r="DW132" i="25" s="1"/>
  <c r="DM144" i="25"/>
  <c r="DW144" i="25" s="1"/>
  <c r="DM32" i="25"/>
  <c r="DW32" i="25" s="1"/>
  <c r="DB221" i="25"/>
  <c r="DB315" i="25"/>
  <c r="DB32" i="25"/>
  <c r="DM8" i="25"/>
  <c r="DW8" i="25" s="1"/>
  <c r="DM140" i="25"/>
  <c r="DW140" i="25" s="1"/>
  <c r="DM123" i="25"/>
  <c r="DW123" i="25" s="1"/>
  <c r="DB105" i="25"/>
  <c r="DB48" i="25"/>
  <c r="DB276" i="25"/>
  <c r="DB69" i="25"/>
  <c r="DB70" i="25"/>
  <c r="DB222" i="25"/>
  <c r="DB147" i="25"/>
  <c r="DB177" i="25"/>
  <c r="DB263" i="25"/>
  <c r="DB173" i="25"/>
  <c r="DM26" i="25"/>
  <c r="DW26" i="25" s="1"/>
  <c r="DB119" i="25"/>
  <c r="DB277" i="25"/>
  <c r="DB247" i="25"/>
  <c r="DB12" i="25"/>
  <c r="DB241" i="25"/>
  <c r="DM55" i="25"/>
  <c r="DW55" i="25" s="1"/>
  <c r="DB292" i="25"/>
  <c r="DB282" i="25"/>
  <c r="DB76" i="25"/>
  <c r="DB178" i="25"/>
  <c r="DB53" i="25"/>
  <c r="DM84" i="25"/>
  <c r="DW84" i="25" s="1"/>
  <c r="DB135" i="25"/>
  <c r="DB273" i="25"/>
  <c r="DM67" i="25"/>
  <c r="DW67" i="25" s="1"/>
  <c r="DB271" i="25"/>
  <c r="DM146" i="25"/>
  <c r="DW146" i="25" s="1"/>
  <c r="DM271" i="25"/>
  <c r="DW271" i="25" s="1"/>
  <c r="DM310" i="25"/>
  <c r="DW310" i="25" s="1"/>
  <c r="DM102" i="25"/>
  <c r="DW102" i="25" s="1"/>
  <c r="DB306" i="25"/>
  <c r="DB64" i="25"/>
  <c r="DM117" i="25"/>
  <c r="DW117" i="25" s="1"/>
  <c r="DB313" i="25"/>
  <c r="DB189" i="25"/>
  <c r="DM265" i="25"/>
  <c r="DW265" i="25" s="1"/>
  <c r="DB145" i="25"/>
  <c r="DB283" i="25"/>
  <c r="DB260" i="25"/>
  <c r="DB195" i="25"/>
  <c r="DM39" i="25"/>
  <c r="DW39" i="25" s="1"/>
  <c r="DB246" i="25"/>
  <c r="DB230" i="25"/>
  <c r="DB75" i="25"/>
  <c r="DB125" i="25"/>
  <c r="DM153" i="25"/>
  <c r="DW153" i="25" s="1"/>
  <c r="DB33" i="25"/>
  <c r="DB14" i="25"/>
  <c r="DB122" i="25"/>
  <c r="DB316" i="25"/>
  <c r="DB248" i="25"/>
  <c r="DB56" i="25"/>
  <c r="DB97" i="25"/>
  <c r="DM167" i="25"/>
  <c r="DW167" i="25" s="1"/>
  <c r="DM176" i="25"/>
  <c r="DW176" i="25" s="1"/>
  <c r="DM50" i="25"/>
  <c r="DW50" i="25" s="1"/>
  <c r="DM124" i="25"/>
  <c r="DW124" i="25" s="1"/>
  <c r="DM148" i="25"/>
  <c r="DW148" i="25" s="1"/>
  <c r="DB239" i="25"/>
  <c r="DB88" i="25"/>
  <c r="DB228" i="25"/>
  <c r="DM68" i="25"/>
  <c r="DW68" i="25" s="1"/>
  <c r="DB87" i="25"/>
  <c r="DM11" i="25"/>
  <c r="DW11" i="25" s="1"/>
  <c r="DB194" i="25"/>
  <c r="DB114" i="25"/>
  <c r="DB132" i="25"/>
  <c r="DM299" i="25"/>
  <c r="DW299" i="25" s="1"/>
  <c r="DB165" i="25"/>
  <c r="DM307" i="25"/>
  <c r="DW307" i="25" s="1"/>
  <c r="DB182" i="25"/>
  <c r="DB245" i="25"/>
  <c r="DB275" i="25"/>
  <c r="DB175" i="25"/>
  <c r="DB184" i="25"/>
  <c r="DB185" i="25"/>
  <c r="DB126" i="25"/>
  <c r="DM236" i="25"/>
  <c r="DW236" i="25" s="1"/>
  <c r="DB294" i="25"/>
  <c r="DB301" i="25"/>
  <c r="DB39" i="25"/>
  <c r="DB307" i="25"/>
  <c r="DB297" i="25"/>
  <c r="DB261" i="25"/>
  <c r="DB231" i="25"/>
  <c r="DB80" i="25"/>
  <c r="DM71" i="25"/>
  <c r="DW71" i="25" s="1"/>
  <c r="DB224" i="25"/>
  <c r="DB92" i="25"/>
  <c r="DB137" i="25"/>
  <c r="DB78" i="25"/>
  <c r="DM296" i="25"/>
  <c r="DW296" i="25" s="1"/>
  <c r="DB9" i="25"/>
  <c r="DB204" i="25"/>
  <c r="DC308" i="24"/>
  <c r="DC121" i="24"/>
  <c r="DC119" i="24"/>
  <c r="DC173" i="24"/>
  <c r="DC230" i="24"/>
  <c r="DC309" i="24"/>
  <c r="DC298" i="24"/>
  <c r="DC116" i="24"/>
  <c r="DC157" i="24"/>
  <c r="DC272" i="24"/>
  <c r="DJ219" i="25"/>
  <c r="DI219" i="25"/>
  <c r="DJ167" i="25"/>
  <c r="DI167" i="25"/>
  <c r="DJ303" i="25"/>
  <c r="DI303" i="25"/>
  <c r="DJ183" i="25"/>
  <c r="DI183" i="25"/>
  <c r="DJ8" i="25"/>
  <c r="DI8" i="25"/>
  <c r="DJ118" i="25"/>
  <c r="DI118" i="25"/>
  <c r="DJ104" i="25"/>
  <c r="DI104" i="25"/>
  <c r="DJ238" i="25"/>
  <c r="DI238" i="25"/>
  <c r="DM77" i="25"/>
  <c r="DJ186" i="25"/>
  <c r="DI186" i="25"/>
  <c r="DM136" i="25"/>
  <c r="DB22" i="25"/>
  <c r="DJ222" i="25"/>
  <c r="DI222" i="25"/>
  <c r="DJ245" i="25"/>
  <c r="DI245" i="25"/>
  <c r="DJ126" i="25"/>
  <c r="DI126" i="25"/>
  <c r="DJ129" i="25"/>
  <c r="DI129" i="25"/>
  <c r="DJ218" i="25"/>
  <c r="DI218" i="25"/>
  <c r="DJ209" i="25"/>
  <c r="DI209" i="25"/>
  <c r="DJ24" i="25"/>
  <c r="DI24" i="25"/>
  <c r="DB59" i="25"/>
  <c r="DJ185" i="25"/>
  <c r="DI185" i="25"/>
  <c r="DJ39" i="25"/>
  <c r="DI39" i="25"/>
  <c r="DB198" i="25"/>
  <c r="DM290" i="25"/>
  <c r="DW290" i="25" s="1"/>
  <c r="DB180" i="25"/>
  <c r="DM193" i="25"/>
  <c r="DB49" i="25"/>
  <c r="DB115" i="25"/>
  <c r="DJ66" i="25"/>
  <c r="DI66" i="25"/>
  <c r="DJ285" i="25"/>
  <c r="DI285" i="25"/>
  <c r="DJ131" i="25"/>
  <c r="DI131" i="25"/>
  <c r="DB258" i="25"/>
  <c r="DM141" i="25"/>
  <c r="DJ53" i="25"/>
  <c r="DI53" i="25"/>
  <c r="DM266" i="25"/>
  <c r="DW266" i="25" s="1"/>
  <c r="DM254" i="25"/>
  <c r="DW254" i="25" s="1"/>
  <c r="DJ44" i="25"/>
  <c r="DI44" i="25"/>
  <c r="DB133" i="25"/>
  <c r="DB267" i="25"/>
  <c r="DM228" i="25"/>
  <c r="DW228" i="25" s="1"/>
  <c r="DJ200" i="25"/>
  <c r="DI200" i="25"/>
  <c r="DJ168" i="25"/>
  <c r="DI168" i="25"/>
  <c r="DB205" i="25"/>
  <c r="DJ102" i="25"/>
  <c r="DI102" i="25"/>
  <c r="DM306" i="25"/>
  <c r="DW306" i="25" s="1"/>
  <c r="DJ283" i="25"/>
  <c r="DI283" i="25"/>
  <c r="DB303" i="25"/>
  <c r="DJ280" i="25"/>
  <c r="DI280" i="25"/>
  <c r="DM251" i="25"/>
  <c r="DW251" i="25" s="1"/>
  <c r="DM257" i="25"/>
  <c r="DW257" i="25" s="1"/>
  <c r="DM314" i="25"/>
  <c r="DW314" i="25" s="1"/>
  <c r="DM158" i="25"/>
  <c r="DB264" i="25"/>
  <c r="DJ80" i="25"/>
  <c r="DI80" i="25"/>
  <c r="DM226" i="25"/>
  <c r="DW226" i="25" s="1"/>
  <c r="DM15" i="25"/>
  <c r="DM78" i="25"/>
  <c r="DM190" i="25"/>
  <c r="DM164" i="25"/>
  <c r="DJ174" i="25"/>
  <c r="DI174" i="25"/>
  <c r="DJ269" i="25"/>
  <c r="DI269" i="25"/>
  <c r="DJ7" i="25"/>
  <c r="DI7" i="25"/>
  <c r="DJ233" i="25"/>
  <c r="DI233" i="25"/>
  <c r="DJ113" i="25"/>
  <c r="DI113" i="25"/>
  <c r="DB262" i="25"/>
  <c r="DJ288" i="25"/>
  <c r="DI288" i="25"/>
  <c r="DJ176" i="25"/>
  <c r="DI176" i="25"/>
  <c r="DB96" i="25"/>
  <c r="DJ246" i="25"/>
  <c r="DI246" i="25"/>
  <c r="DJ114" i="25"/>
  <c r="DI114" i="25"/>
  <c r="DJ172" i="25"/>
  <c r="DI172" i="25"/>
  <c r="DJ19" i="25"/>
  <c r="DI19" i="25"/>
  <c r="DB52" i="25"/>
  <c r="DB161" i="25"/>
  <c r="DM74" i="25"/>
  <c r="DJ101" i="25"/>
  <c r="DI101" i="25"/>
  <c r="DB168" i="25"/>
  <c r="DJ205" i="25"/>
  <c r="DI205" i="25"/>
  <c r="DB138" i="25"/>
  <c r="DB102" i="25"/>
  <c r="DB57" i="25"/>
  <c r="DJ221" i="25"/>
  <c r="DI221" i="25"/>
  <c r="DJ77" i="25"/>
  <c r="DI77" i="25"/>
  <c r="DB254" i="25"/>
  <c r="DJ136" i="25"/>
  <c r="DI136" i="25"/>
  <c r="DJ124" i="25"/>
  <c r="DI124" i="25"/>
  <c r="DB17" i="25"/>
  <c r="DM171" i="25"/>
  <c r="DB227" i="25"/>
  <c r="DB290" i="25"/>
  <c r="DM129" i="25"/>
  <c r="DB136" i="25"/>
  <c r="DB170" i="25"/>
  <c r="DM252" i="25"/>
  <c r="DW252" i="25" s="1"/>
  <c r="DJ273" i="25"/>
  <c r="DI273" i="25"/>
  <c r="DM185" i="25"/>
  <c r="DM300" i="25"/>
  <c r="DW300" i="25" s="1"/>
  <c r="DB30" i="25"/>
  <c r="DJ270" i="25"/>
  <c r="DI270" i="25"/>
  <c r="DJ18" i="25"/>
  <c r="DI18" i="25"/>
  <c r="DB77" i="25"/>
  <c r="DB123" i="25"/>
  <c r="DM93" i="25"/>
  <c r="DJ290" i="25"/>
  <c r="DI290" i="25"/>
  <c r="DJ197" i="25"/>
  <c r="DI197" i="25"/>
  <c r="DJ96" i="25"/>
  <c r="DI96" i="25"/>
  <c r="DB139" i="25"/>
  <c r="DB256" i="25"/>
  <c r="DM72" i="25"/>
  <c r="DB93" i="25"/>
  <c r="DB190" i="25"/>
  <c r="DM66" i="25"/>
  <c r="DB74" i="25"/>
  <c r="DM285" i="25"/>
  <c r="DW285" i="25" s="1"/>
  <c r="DJ152" i="25"/>
  <c r="DI152" i="25"/>
  <c r="DJ135" i="25"/>
  <c r="DI135" i="25"/>
  <c r="DB197" i="25"/>
  <c r="DJ6" i="25"/>
  <c r="DI6" i="25"/>
  <c r="DB98" i="25"/>
  <c r="DB188" i="25"/>
  <c r="DM170" i="25"/>
  <c r="DJ268" i="25"/>
  <c r="DI268" i="25"/>
  <c r="DB46" i="25"/>
  <c r="DJ141" i="25"/>
  <c r="DI141" i="25"/>
  <c r="DB50" i="25"/>
  <c r="DJ294" i="25"/>
  <c r="DI294" i="25"/>
  <c r="DJ295" i="25"/>
  <c r="DI295" i="25"/>
  <c r="DB174" i="25"/>
  <c r="DB288" i="25"/>
  <c r="DJ228" i="25"/>
  <c r="DI228" i="25"/>
  <c r="DM138" i="25"/>
  <c r="DM311" i="25"/>
  <c r="DW311" i="25" s="1"/>
  <c r="DB274" i="25"/>
  <c r="DM168" i="25"/>
  <c r="DM217" i="25"/>
  <c r="DW217" i="25" s="1"/>
  <c r="DB127" i="25"/>
  <c r="DJ306" i="25"/>
  <c r="DI306" i="25"/>
  <c r="DJ64" i="25"/>
  <c r="DI64" i="25"/>
  <c r="DJ234" i="25"/>
  <c r="DI234" i="25"/>
  <c r="DI132" i="25"/>
  <c r="DJ132" i="25"/>
  <c r="DB120" i="25"/>
  <c r="DM280" i="25"/>
  <c r="DW280" i="25" s="1"/>
  <c r="DJ251" i="25"/>
  <c r="DI251" i="25"/>
  <c r="DB152" i="25"/>
  <c r="DJ314" i="25"/>
  <c r="DI314" i="25"/>
  <c r="DJ231" i="25"/>
  <c r="DI231" i="25"/>
  <c r="DJ158" i="25"/>
  <c r="DI158" i="25"/>
  <c r="DJ304" i="25"/>
  <c r="DI304" i="25"/>
  <c r="DM80" i="25"/>
  <c r="DM45" i="25"/>
  <c r="DJ226" i="25"/>
  <c r="DI226" i="25"/>
  <c r="DJ15" i="25"/>
  <c r="DI15" i="25"/>
  <c r="DB31" i="25"/>
  <c r="DJ210" i="25"/>
  <c r="DI210" i="25"/>
  <c r="DM56" i="25"/>
  <c r="DB61" i="25"/>
  <c r="DJ164" i="25"/>
  <c r="DI164" i="25"/>
  <c r="DJ60" i="25"/>
  <c r="DI60" i="25"/>
  <c r="DM233" i="25"/>
  <c r="DW233" i="25" s="1"/>
  <c r="DJ62" i="25"/>
  <c r="DI62" i="25"/>
  <c r="DJ21" i="25"/>
  <c r="DI21" i="25"/>
  <c r="DB252" i="25"/>
  <c r="DB172" i="25"/>
  <c r="DJ74" i="25"/>
  <c r="DI74" i="25"/>
  <c r="DJ94" i="25"/>
  <c r="DI94" i="25"/>
  <c r="DB47" i="25"/>
  <c r="DJ117" i="25"/>
  <c r="DI117" i="25"/>
  <c r="DB199" i="25"/>
  <c r="DB104" i="25"/>
  <c r="DJ165" i="25"/>
  <c r="DI165" i="25"/>
  <c r="DJ50" i="25"/>
  <c r="DI50" i="25"/>
  <c r="DJ73" i="25"/>
  <c r="DI73" i="25"/>
  <c r="DJ71" i="25"/>
  <c r="DI71" i="25"/>
  <c r="DJ116" i="25"/>
  <c r="DI116" i="25"/>
  <c r="DJ229" i="25"/>
  <c r="DI229" i="25"/>
  <c r="DJ223" i="25"/>
  <c r="DI223" i="25"/>
  <c r="DJ115" i="25"/>
  <c r="DI115" i="25"/>
  <c r="DM139" i="25"/>
  <c r="DJ278" i="25"/>
  <c r="DI278" i="25"/>
  <c r="DJ171" i="25"/>
  <c r="DI171" i="25"/>
  <c r="DB289" i="25"/>
  <c r="DJ161" i="25"/>
  <c r="DI161" i="25"/>
  <c r="DB94" i="25"/>
  <c r="DJ252" i="25"/>
  <c r="DI252" i="25"/>
  <c r="DJ300" i="25"/>
  <c r="DI300" i="25"/>
  <c r="DB293" i="25"/>
  <c r="DJ93" i="25"/>
  <c r="DI93" i="25"/>
  <c r="DB20" i="25"/>
  <c r="DB129" i="25"/>
  <c r="DM145" i="25"/>
  <c r="DM96" i="25"/>
  <c r="DJ72" i="25"/>
  <c r="DI72" i="25"/>
  <c r="DM301" i="25"/>
  <c r="DW301" i="25" s="1"/>
  <c r="DJ30" i="25"/>
  <c r="DI30" i="25"/>
  <c r="DB79" i="25"/>
  <c r="DM253" i="25"/>
  <c r="DW253" i="25" s="1"/>
  <c r="DB233" i="25"/>
  <c r="DJ201" i="25"/>
  <c r="DI201" i="25"/>
  <c r="DB209" i="25"/>
  <c r="DJ307" i="25"/>
  <c r="DI307" i="25"/>
  <c r="DW6" i="25"/>
  <c r="DJ54" i="25"/>
  <c r="DI54" i="25"/>
  <c r="DB68" i="25"/>
  <c r="DM128" i="25"/>
  <c r="DJ170" i="25"/>
  <c r="DI170" i="25"/>
  <c r="DJ316" i="25"/>
  <c r="DI316" i="25"/>
  <c r="DB23" i="25"/>
  <c r="DB142" i="25"/>
  <c r="DB193" i="25"/>
  <c r="DB202" i="25"/>
  <c r="DM38" i="25"/>
  <c r="DB91" i="25"/>
  <c r="DM294" i="25"/>
  <c r="DW294" i="25" s="1"/>
  <c r="DB124" i="25"/>
  <c r="DM295" i="25"/>
  <c r="DW295" i="25" s="1"/>
  <c r="DM40" i="25"/>
  <c r="DJ138" i="25"/>
  <c r="DI138" i="25"/>
  <c r="DJ311" i="25"/>
  <c r="DI311" i="25"/>
  <c r="DM143" i="25"/>
  <c r="DJ217" i="25"/>
  <c r="DI217" i="25"/>
  <c r="DM27" i="25"/>
  <c r="DB18" i="25"/>
  <c r="DM64" i="25"/>
  <c r="DJ79" i="25"/>
  <c r="DI79" i="25"/>
  <c r="DM9" i="25"/>
  <c r="DB11" i="25"/>
  <c r="DM99" i="25"/>
  <c r="DM292" i="25"/>
  <c r="DW292" i="25" s="1"/>
  <c r="DM47" i="25"/>
  <c r="DM173" i="25"/>
  <c r="DB131" i="25"/>
  <c r="DB291" i="25"/>
  <c r="DM35" i="25"/>
  <c r="DM277" i="25"/>
  <c r="DW277" i="25" s="1"/>
  <c r="DM83" i="25"/>
  <c r="DB67" i="25"/>
  <c r="DJ45" i="25"/>
  <c r="DI45" i="25"/>
  <c r="DB229" i="25"/>
  <c r="DM105" i="25"/>
  <c r="DB35" i="25"/>
  <c r="DB206" i="25"/>
  <c r="DM210" i="25"/>
  <c r="DJ56" i="25"/>
  <c r="DI56" i="25"/>
  <c r="DB196" i="25"/>
  <c r="DM60" i="25"/>
  <c r="DM276" i="25"/>
  <c r="DW276" i="25" s="1"/>
  <c r="DJ155" i="25"/>
  <c r="DI155" i="25"/>
  <c r="DJ162" i="25"/>
  <c r="DI162" i="25"/>
  <c r="DM88" i="25"/>
  <c r="DJ291" i="25"/>
  <c r="DI291" i="25"/>
  <c r="DJ28" i="25"/>
  <c r="DI28" i="25"/>
  <c r="DJ142" i="25"/>
  <c r="DI142" i="25"/>
  <c r="DJ61" i="25"/>
  <c r="DI61" i="25"/>
  <c r="DJ151" i="25"/>
  <c r="DI151" i="25"/>
  <c r="DJ204" i="25"/>
  <c r="DI204" i="25"/>
  <c r="DJ139" i="25"/>
  <c r="DI139" i="25"/>
  <c r="DJ159" i="25"/>
  <c r="DI159" i="25"/>
  <c r="DM17" i="25"/>
  <c r="DJ52" i="25"/>
  <c r="DI52" i="25"/>
  <c r="DJ133" i="25"/>
  <c r="DI133" i="25"/>
  <c r="DJ55" i="25"/>
  <c r="DI55" i="25"/>
  <c r="DJ247" i="25"/>
  <c r="DI247" i="25"/>
  <c r="DJ282" i="25"/>
  <c r="DI282" i="25"/>
  <c r="DI145" i="25"/>
  <c r="DJ145" i="25"/>
  <c r="DJ301" i="25"/>
  <c r="DI301" i="25"/>
  <c r="DJ253" i="25"/>
  <c r="DI253" i="25"/>
  <c r="DJ36" i="25"/>
  <c r="DI36" i="25"/>
  <c r="DJ46" i="25"/>
  <c r="DI46" i="25"/>
  <c r="DJ153" i="25"/>
  <c r="DI153" i="25"/>
  <c r="DM225" i="25"/>
  <c r="DW225" i="25" s="1"/>
  <c r="DJ208" i="25"/>
  <c r="DI208" i="25"/>
  <c r="DJ38" i="25"/>
  <c r="DI38" i="25"/>
  <c r="DM262" i="25"/>
  <c r="DW262" i="25" s="1"/>
  <c r="DM100" i="25"/>
  <c r="DM70" i="25"/>
  <c r="DJ40" i="25"/>
  <c r="DI40" i="25"/>
  <c r="DJ87" i="25"/>
  <c r="DI87" i="25"/>
  <c r="DJ143" i="25"/>
  <c r="DI143" i="25"/>
  <c r="DJ27" i="25"/>
  <c r="DI27" i="25"/>
  <c r="DJ31" i="25"/>
  <c r="DI31" i="25"/>
  <c r="DM175" i="25"/>
  <c r="DI286" i="25"/>
  <c r="DJ286" i="25"/>
  <c r="DJ166" i="25"/>
  <c r="DI166" i="25"/>
  <c r="DM79" i="25"/>
  <c r="DJ9" i="25"/>
  <c r="DI9" i="25"/>
  <c r="DJ99" i="25"/>
  <c r="DI99" i="25"/>
  <c r="DJ144" i="25"/>
  <c r="DI144" i="25"/>
  <c r="DJ292" i="25"/>
  <c r="DI292" i="25"/>
  <c r="DJ47" i="25"/>
  <c r="DI47" i="25"/>
  <c r="DJ173" i="25"/>
  <c r="DI173" i="25"/>
  <c r="DM259" i="25"/>
  <c r="DW259" i="25" s="1"/>
  <c r="DJ35" i="25"/>
  <c r="DI35" i="25"/>
  <c r="DJ277" i="25"/>
  <c r="DI277" i="25"/>
  <c r="DJ83" i="25"/>
  <c r="DI83" i="25"/>
  <c r="DJ275" i="25"/>
  <c r="DI275" i="25"/>
  <c r="DJ105" i="25"/>
  <c r="DI105" i="25"/>
  <c r="DJ32" i="25"/>
  <c r="DI32" i="25"/>
  <c r="DJ239" i="25"/>
  <c r="DI239" i="25"/>
  <c r="DM127" i="25"/>
  <c r="DJ276" i="25"/>
  <c r="DI276" i="25"/>
  <c r="DB232" i="25"/>
  <c r="DB314" i="25"/>
  <c r="DJ146" i="25"/>
  <c r="DI146" i="25"/>
  <c r="DJ88" i="25"/>
  <c r="DI88" i="25"/>
  <c r="DJ274" i="25"/>
  <c r="DI274" i="25"/>
  <c r="DB159" i="25"/>
  <c r="DB25" i="25"/>
  <c r="DJ260" i="25"/>
  <c r="DI260" i="25"/>
  <c r="DB153" i="25"/>
  <c r="DB242" i="25"/>
  <c r="DB149" i="25"/>
  <c r="DJ264" i="25"/>
  <c r="DI264" i="25"/>
  <c r="DJ207" i="25"/>
  <c r="DI207" i="25"/>
  <c r="DB128" i="25"/>
  <c r="DJ198" i="25"/>
  <c r="DI198" i="25"/>
  <c r="DB58" i="25"/>
  <c r="DM242" i="25"/>
  <c r="DW242" i="25" s="1"/>
  <c r="DB183" i="25"/>
  <c r="DJ255" i="25"/>
  <c r="DI255" i="25"/>
  <c r="DJ196" i="25"/>
  <c r="DI196" i="25"/>
  <c r="DB146" i="25"/>
  <c r="DJ297" i="25"/>
  <c r="DI297" i="25"/>
  <c r="DB100" i="25"/>
  <c r="DJ17" i="25"/>
  <c r="DI17" i="25"/>
  <c r="DM48" i="25"/>
  <c r="DB272" i="25"/>
  <c r="DJ148" i="25"/>
  <c r="DI148" i="25"/>
  <c r="DJ188" i="25"/>
  <c r="DI188" i="25"/>
  <c r="DJ177" i="25"/>
  <c r="DI177" i="25"/>
  <c r="DB42" i="25"/>
  <c r="DJ235" i="25"/>
  <c r="DI235" i="25"/>
  <c r="DJ298" i="25"/>
  <c r="DI298" i="25"/>
  <c r="DB296" i="25"/>
  <c r="DJ85" i="25"/>
  <c r="DI85" i="25"/>
  <c r="DB8" i="25"/>
  <c r="DB43" i="25"/>
  <c r="DJ125" i="25"/>
  <c r="DI125" i="25"/>
  <c r="DB38" i="25"/>
  <c r="DB81" i="25"/>
  <c r="DB171" i="25"/>
  <c r="DJ150" i="25"/>
  <c r="DI150" i="25"/>
  <c r="DJ22" i="25"/>
  <c r="DI22" i="25"/>
  <c r="DM86" i="25"/>
  <c r="DJ149" i="25"/>
  <c r="DI149" i="25"/>
  <c r="DM12" i="25"/>
  <c r="DJ49" i="25"/>
  <c r="DI49" i="25"/>
  <c r="DB151" i="25"/>
  <c r="DB285" i="25"/>
  <c r="DJ310" i="25"/>
  <c r="DI310" i="25"/>
  <c r="DJ128" i="25"/>
  <c r="DI128" i="25"/>
  <c r="DB28" i="25"/>
  <c r="DM89" i="25"/>
  <c r="DM305" i="25"/>
  <c r="DW305" i="25" s="1"/>
  <c r="DJ279" i="25"/>
  <c r="DI279" i="25"/>
  <c r="DB141" i="25"/>
  <c r="DJ225" i="25"/>
  <c r="DI225" i="25"/>
  <c r="DJ123" i="25"/>
  <c r="DI123" i="25"/>
  <c r="DB37" i="25"/>
  <c r="DM208" i="25"/>
  <c r="DJ248" i="25"/>
  <c r="DI248" i="25"/>
  <c r="DB240" i="25"/>
  <c r="DM157" i="25"/>
  <c r="DM23" i="25"/>
  <c r="DJ262" i="25"/>
  <c r="DI262" i="25"/>
  <c r="DB36" i="25"/>
  <c r="DJ100" i="25"/>
  <c r="DI100" i="25"/>
  <c r="DJ70" i="25"/>
  <c r="DI70" i="25"/>
  <c r="DB118" i="25"/>
  <c r="DB113" i="25"/>
  <c r="DB116" i="25"/>
  <c r="DM87" i="25"/>
  <c r="DM156" i="25"/>
  <c r="DJ249" i="25"/>
  <c r="DI249" i="25"/>
  <c r="DJ199" i="25"/>
  <c r="DI199" i="25"/>
  <c r="DJ175" i="25"/>
  <c r="DI175" i="25"/>
  <c r="DJ289" i="25"/>
  <c r="DI289" i="25"/>
  <c r="DB54" i="25"/>
  <c r="DB249" i="25"/>
  <c r="DJ84" i="25"/>
  <c r="DI84" i="25"/>
  <c r="DB84" i="25"/>
  <c r="DJ187" i="25"/>
  <c r="DI187" i="25"/>
  <c r="DJ65" i="25"/>
  <c r="DI65" i="25"/>
  <c r="DJ41" i="25"/>
  <c r="DI41" i="25"/>
  <c r="DM267" i="25"/>
  <c r="DW267" i="25" s="1"/>
  <c r="DJ259" i="25"/>
  <c r="DI259" i="25"/>
  <c r="DM98" i="25"/>
  <c r="DB26" i="25"/>
  <c r="DM302" i="25"/>
  <c r="DW302" i="25" s="1"/>
  <c r="DJ67" i="25"/>
  <c r="DI67" i="25"/>
  <c r="DM275" i="25"/>
  <c r="DW275" i="25" s="1"/>
  <c r="DB167" i="25"/>
  <c r="DB16" i="25"/>
  <c r="DB62" i="25"/>
  <c r="DB312" i="25"/>
  <c r="DM239" i="25"/>
  <c r="DW239" i="25" s="1"/>
  <c r="DJ206" i="25"/>
  <c r="DI206" i="25"/>
  <c r="DB160" i="25"/>
  <c r="DB99" i="25"/>
  <c r="DJ57" i="25"/>
  <c r="DI57" i="25"/>
  <c r="DJ203" i="25"/>
  <c r="DI203" i="25"/>
  <c r="DJ122" i="25"/>
  <c r="DI122" i="25"/>
  <c r="DJ261" i="25"/>
  <c r="DI261" i="25"/>
  <c r="DJ315" i="25"/>
  <c r="DI315" i="25"/>
  <c r="DJ194" i="25"/>
  <c r="DI194" i="25"/>
  <c r="DM25" i="25"/>
  <c r="DJ69" i="25"/>
  <c r="DI69" i="25"/>
  <c r="DJ243" i="25"/>
  <c r="DI243" i="25"/>
  <c r="DJ230" i="25"/>
  <c r="DI230" i="25"/>
  <c r="DJ242" i="25"/>
  <c r="DI242" i="25"/>
  <c r="DM169" i="25"/>
  <c r="DJ192" i="25"/>
  <c r="DI192" i="25"/>
  <c r="DJ236" i="25"/>
  <c r="DI236" i="25"/>
  <c r="DM13" i="25"/>
  <c r="DJ48" i="25"/>
  <c r="DI48" i="25"/>
  <c r="DJ237" i="25"/>
  <c r="DI237" i="25"/>
  <c r="DJ63" i="25"/>
  <c r="DI63" i="25"/>
  <c r="DJ182" i="25"/>
  <c r="DI182" i="25"/>
  <c r="DM177" i="25"/>
  <c r="DJ163" i="25"/>
  <c r="DI163" i="25"/>
  <c r="DM235" i="25"/>
  <c r="DW235" i="25" s="1"/>
  <c r="DJ160" i="25"/>
  <c r="DI160" i="25"/>
  <c r="DM298" i="25"/>
  <c r="DW298" i="25" s="1"/>
  <c r="DJ51" i="25"/>
  <c r="DI51" i="25"/>
  <c r="DJ154" i="25"/>
  <c r="DI154" i="25"/>
  <c r="DJ240" i="25"/>
  <c r="DI240" i="25"/>
  <c r="DJ86" i="25"/>
  <c r="DI86" i="25"/>
  <c r="DJ130" i="25"/>
  <c r="DI130" i="25"/>
  <c r="DJ12" i="25"/>
  <c r="DI12" i="25"/>
  <c r="DM49" i="25"/>
  <c r="DM250" i="25"/>
  <c r="DW250" i="25" s="1"/>
  <c r="DJ89" i="25"/>
  <c r="DI89" i="25"/>
  <c r="DJ305" i="25"/>
  <c r="DI305" i="25"/>
  <c r="DJ256" i="25"/>
  <c r="DI256" i="25"/>
  <c r="DJ189" i="25"/>
  <c r="DI189" i="25"/>
  <c r="DJ178" i="25"/>
  <c r="DI178" i="25"/>
  <c r="DM90" i="25"/>
  <c r="DJ134" i="25"/>
  <c r="DI134" i="25"/>
  <c r="DJ157" i="25"/>
  <c r="DI157" i="25"/>
  <c r="DJ23" i="25"/>
  <c r="DI23" i="25"/>
  <c r="DM308" i="25"/>
  <c r="DW308" i="25" s="1"/>
  <c r="DM37" i="25"/>
  <c r="DJ111" i="25"/>
  <c r="DI111" i="25"/>
  <c r="DJ220" i="25"/>
  <c r="DI220" i="25"/>
  <c r="DJ156" i="25"/>
  <c r="DI156" i="25"/>
  <c r="DM199" i="25"/>
  <c r="DJ76" i="25"/>
  <c r="DI76" i="25"/>
  <c r="DM289" i="25"/>
  <c r="DW289" i="25" s="1"/>
  <c r="DM187" i="25"/>
  <c r="DM65" i="25"/>
  <c r="DM244" i="25"/>
  <c r="DW244" i="25" s="1"/>
  <c r="DM91" i="25"/>
  <c r="DJ267" i="25"/>
  <c r="DI267" i="25"/>
  <c r="DB286" i="25"/>
  <c r="DB311" i="25"/>
  <c r="DJ98" i="25"/>
  <c r="DI98" i="25"/>
  <c r="DJ302" i="25"/>
  <c r="DI302" i="25"/>
  <c r="DM191" i="25"/>
  <c r="DM147" i="25"/>
  <c r="DM92" i="25"/>
  <c r="DM14" i="25"/>
  <c r="DM203" i="25"/>
  <c r="DM122" i="25"/>
  <c r="DB89" i="25"/>
  <c r="DB55" i="25"/>
  <c r="DJ82" i="25"/>
  <c r="DI82" i="25"/>
  <c r="DM194" i="25"/>
  <c r="DB225" i="25"/>
  <c r="DB40" i="25"/>
  <c r="DJ20" i="25"/>
  <c r="DI20" i="25"/>
  <c r="DJ25" i="25"/>
  <c r="DI25" i="25"/>
  <c r="DB60" i="25"/>
  <c r="DB15" i="25"/>
  <c r="DJ309" i="25"/>
  <c r="DI309" i="25"/>
  <c r="DM313" i="25"/>
  <c r="DW313" i="25" s="1"/>
  <c r="DB29" i="25"/>
  <c r="DB298" i="25"/>
  <c r="DJ16" i="25"/>
  <c r="DI16" i="25"/>
  <c r="DM81" i="25"/>
  <c r="DB85" i="25"/>
  <c r="DM230" i="25"/>
  <c r="DW230" i="25" s="1"/>
  <c r="DB176" i="25"/>
  <c r="DJ195" i="25"/>
  <c r="DI195" i="25"/>
  <c r="DJ265" i="25"/>
  <c r="DI265" i="25"/>
  <c r="DJ169" i="25"/>
  <c r="DI169" i="25"/>
  <c r="DB253" i="25"/>
  <c r="DM272" i="25"/>
  <c r="DW272" i="25" s="1"/>
  <c r="DJ287" i="25"/>
  <c r="DI287" i="25"/>
  <c r="DJ140" i="25"/>
  <c r="DI140" i="25"/>
  <c r="DJ13" i="25"/>
  <c r="DI13" i="25"/>
  <c r="DB287" i="25"/>
  <c r="DM137" i="25"/>
  <c r="DM181" i="25"/>
  <c r="DJ184" i="25"/>
  <c r="DI184" i="25"/>
  <c r="DM227" i="25"/>
  <c r="DW227" i="25" s="1"/>
  <c r="DB121" i="25"/>
  <c r="DB21" i="25"/>
  <c r="DB45" i="25"/>
  <c r="DJ68" i="25"/>
  <c r="DI68" i="25"/>
  <c r="DB191" i="25"/>
  <c r="DM51" i="25"/>
  <c r="DB208" i="25"/>
  <c r="DJ258" i="25"/>
  <c r="DI258" i="25"/>
  <c r="DB130" i="25"/>
  <c r="DJ271" i="25"/>
  <c r="DI271" i="25"/>
  <c r="DB13" i="25"/>
  <c r="DB308" i="25"/>
  <c r="DM33" i="25"/>
  <c r="DB305" i="25"/>
  <c r="DJ250" i="25"/>
  <c r="DI250" i="25"/>
  <c r="DB266" i="25"/>
  <c r="DB34" i="25"/>
  <c r="DB250" i="25"/>
  <c r="DM263" i="25"/>
  <c r="DW263" i="25" s="1"/>
  <c r="DB309" i="25"/>
  <c r="DM119" i="25"/>
  <c r="DB257" i="25"/>
  <c r="DM121" i="25"/>
  <c r="DM256" i="25"/>
  <c r="DW256" i="25" s="1"/>
  <c r="DM189" i="25"/>
  <c r="DM178" i="25"/>
  <c r="DJ90" i="25"/>
  <c r="DI90" i="25"/>
  <c r="DB95" i="25"/>
  <c r="DM43" i="25"/>
  <c r="DB111" i="25"/>
  <c r="DM29" i="25"/>
  <c r="DJ95" i="25"/>
  <c r="DI95" i="25"/>
  <c r="DJ308" i="25"/>
  <c r="DI308" i="25"/>
  <c r="DJ37" i="25"/>
  <c r="DI37" i="25"/>
  <c r="DM111" i="25"/>
  <c r="DM284" i="25"/>
  <c r="DW284" i="25" s="1"/>
  <c r="DI110" i="25"/>
  <c r="DM34" i="25"/>
  <c r="DB217" i="25"/>
  <c r="DJ232" i="25"/>
  <c r="DI232" i="25"/>
  <c r="DJ58" i="25"/>
  <c r="DI58" i="25"/>
  <c r="DJ179" i="25"/>
  <c r="DI179" i="25"/>
  <c r="DM103" i="25"/>
  <c r="DJ244" i="25"/>
  <c r="DI244" i="25"/>
  <c r="DJ91" i="25"/>
  <c r="DI91" i="25"/>
  <c r="DB158" i="25"/>
  <c r="DJ120" i="25"/>
  <c r="DI120" i="25"/>
  <c r="DB163" i="25"/>
  <c r="DB299" i="25"/>
  <c r="DJ97" i="25"/>
  <c r="DI97" i="25"/>
  <c r="DM42" i="25"/>
  <c r="DB234" i="25"/>
  <c r="DJ191" i="25"/>
  <c r="DI191" i="25"/>
  <c r="DM59" i="25"/>
  <c r="DI147" i="25"/>
  <c r="DJ147" i="25"/>
  <c r="DB134" i="25"/>
  <c r="DJ92" i="25"/>
  <c r="DI92" i="25"/>
  <c r="DJ14" i="25"/>
  <c r="DI14" i="25"/>
  <c r="DB144" i="25"/>
  <c r="DB201" i="25"/>
  <c r="DJ241" i="25"/>
  <c r="DI241" i="25"/>
  <c r="DJ180" i="25"/>
  <c r="DI180" i="25"/>
  <c r="DJ313" i="25"/>
  <c r="DI313" i="25"/>
  <c r="DJ10" i="25"/>
  <c r="DI10" i="25"/>
  <c r="DJ75" i="25"/>
  <c r="DI75" i="25"/>
  <c r="DJ81" i="25"/>
  <c r="DI81" i="25"/>
  <c r="DJ272" i="25"/>
  <c r="DI272" i="25"/>
  <c r="DM287" i="25"/>
  <c r="DW287" i="25" s="1"/>
  <c r="DM245" i="25"/>
  <c r="DW245" i="25" s="1"/>
  <c r="DJ281" i="25"/>
  <c r="DI281" i="25"/>
  <c r="DM126" i="25"/>
  <c r="DJ137" i="25"/>
  <c r="DI137" i="25"/>
  <c r="DJ181" i="25"/>
  <c r="DI181" i="25"/>
  <c r="DJ227" i="25"/>
  <c r="DI227" i="25"/>
  <c r="DM24" i="25"/>
  <c r="DJ293" i="25"/>
  <c r="DI293" i="25"/>
  <c r="DJ26" i="25"/>
  <c r="DI26" i="25"/>
  <c r="DJ127" i="25"/>
  <c r="DI127" i="25"/>
  <c r="DJ193" i="25"/>
  <c r="DI193" i="25"/>
  <c r="DJ312" i="25"/>
  <c r="DI312" i="25"/>
  <c r="DJ33" i="25"/>
  <c r="DI33" i="25"/>
  <c r="DJ263" i="25"/>
  <c r="DI263" i="25"/>
  <c r="DJ119" i="25"/>
  <c r="DI119" i="25"/>
  <c r="DJ121" i="25"/>
  <c r="DI121" i="25"/>
  <c r="DJ11" i="25"/>
  <c r="DI11" i="25"/>
  <c r="DJ296" i="25"/>
  <c r="DI296" i="25"/>
  <c r="DJ224" i="25"/>
  <c r="DI224" i="25"/>
  <c r="DJ43" i="25"/>
  <c r="DI43" i="25"/>
  <c r="DJ29" i="25"/>
  <c r="DI29" i="25"/>
  <c r="DJ266" i="25"/>
  <c r="DI266" i="25"/>
  <c r="DM95" i="25"/>
  <c r="DJ254" i="25"/>
  <c r="DI254" i="25"/>
  <c r="DM200" i="25"/>
  <c r="DJ284" i="25"/>
  <c r="DI284" i="25"/>
  <c r="DJ34" i="25"/>
  <c r="DI34" i="25"/>
  <c r="DM283" i="25"/>
  <c r="DW283" i="25" s="1"/>
  <c r="DM232" i="25"/>
  <c r="DW232" i="25" s="1"/>
  <c r="DJ299" i="25"/>
  <c r="DI299" i="25"/>
  <c r="DM58" i="25"/>
  <c r="DM179" i="25"/>
  <c r="DJ103" i="25"/>
  <c r="DI103" i="25"/>
  <c r="DJ202" i="25"/>
  <c r="DI202" i="25"/>
  <c r="DJ257" i="25"/>
  <c r="DI257" i="25"/>
  <c r="DM97" i="25"/>
  <c r="DJ42" i="25"/>
  <c r="DI42" i="25"/>
  <c r="DM131" i="25"/>
  <c r="DJ59" i="25"/>
  <c r="DI59" i="25"/>
  <c r="DJ78" i="25"/>
  <c r="DI78" i="25"/>
  <c r="DJ190" i="25"/>
  <c r="DI190" i="25"/>
  <c r="DM174" i="25"/>
  <c r="DM269" i="25"/>
  <c r="DW269" i="25" s="1"/>
  <c r="DW7" i="25"/>
  <c r="DM241" i="25"/>
  <c r="DW241" i="25" s="1"/>
  <c r="DM279" i="25"/>
  <c r="DW279" i="25" s="1"/>
  <c r="DM180" i="25"/>
  <c r="DC251" i="24"/>
  <c r="DC196" i="24"/>
  <c r="DC191" i="24"/>
  <c r="DC297" i="24"/>
  <c r="DC237" i="24"/>
  <c r="DC220" i="24"/>
  <c r="DC313" i="24"/>
  <c r="DC282" i="24"/>
  <c r="DC286" i="24"/>
  <c r="DC290" i="24"/>
  <c r="DC244" i="24"/>
  <c r="DC306" i="24"/>
  <c r="DC224" i="24"/>
  <c r="DC233" i="24"/>
  <c r="DC126" i="24"/>
  <c r="DC147" i="24"/>
  <c r="DC137" i="24"/>
  <c r="DC193" i="24"/>
  <c r="DC247" i="24"/>
  <c r="DC118" i="24"/>
  <c r="DC312" i="24"/>
  <c r="DC225" i="24"/>
  <c r="DC218" i="24"/>
  <c r="DC270" i="24"/>
  <c r="DC175" i="24"/>
  <c r="DC295" i="24"/>
  <c r="DC207" i="24"/>
  <c r="DC311" i="24"/>
  <c r="DC167" i="24"/>
  <c r="DC179" i="24"/>
  <c r="DC180" i="24"/>
  <c r="DC125" i="24"/>
  <c r="DC303" i="24"/>
  <c r="DC231" i="24"/>
  <c r="DB210" i="24"/>
  <c r="DE210" i="24" s="1"/>
  <c r="DF210" i="24" s="1"/>
  <c r="DG210" i="24" s="1"/>
  <c r="DI210" i="24"/>
  <c r="DM210" i="24"/>
  <c r="DB181" i="24"/>
  <c r="DE181" i="24" s="1"/>
  <c r="DF181" i="24" s="1"/>
  <c r="DG181" i="24" s="1"/>
  <c r="DI181" i="24"/>
  <c r="DM181" i="24"/>
  <c r="DC204" i="24"/>
  <c r="DA91" i="24"/>
  <c r="DC91" i="24" s="1"/>
  <c r="DI91" i="24"/>
  <c r="DB91" i="24"/>
  <c r="DE91" i="24" s="1"/>
  <c r="DF91" i="24" s="1"/>
  <c r="DG91" i="24" s="1"/>
  <c r="DM91" i="24"/>
  <c r="DI27" i="24"/>
  <c r="DB27" i="24"/>
  <c r="DE27" i="24" s="1"/>
  <c r="DF27" i="24" s="1"/>
  <c r="DG27" i="24" s="1"/>
  <c r="DM27" i="24"/>
  <c r="DB271" i="24"/>
  <c r="DE271" i="24" s="1"/>
  <c r="DF271" i="24" s="1"/>
  <c r="DG271" i="24" s="1"/>
  <c r="DI271" i="24"/>
  <c r="DM271" i="24"/>
  <c r="DI197" i="24"/>
  <c r="DB197" i="24"/>
  <c r="DE197" i="24" s="1"/>
  <c r="DF197" i="24" s="1"/>
  <c r="DG197" i="24" s="1"/>
  <c r="DM197" i="24"/>
  <c r="DI79" i="24"/>
  <c r="DB79" i="24"/>
  <c r="DE79" i="24" s="1"/>
  <c r="DF79" i="24" s="1"/>
  <c r="DG79" i="24" s="1"/>
  <c r="DM79" i="24"/>
  <c r="DB80" i="24"/>
  <c r="DE80" i="24" s="1"/>
  <c r="DF80" i="24" s="1"/>
  <c r="DG80" i="24" s="1"/>
  <c r="DI80" i="24"/>
  <c r="DM80" i="24"/>
  <c r="DI254" i="24"/>
  <c r="DB254" i="24"/>
  <c r="DE254" i="24" s="1"/>
  <c r="DF254" i="24" s="1"/>
  <c r="DG254" i="24" s="1"/>
  <c r="DM254" i="24"/>
  <c r="DB56" i="24"/>
  <c r="DE56" i="24" s="1"/>
  <c r="DF56" i="24" s="1"/>
  <c r="DG56" i="24" s="1"/>
  <c r="DI56" i="24"/>
  <c r="DM56" i="24"/>
  <c r="DI112" i="24"/>
  <c r="DB112" i="24"/>
  <c r="DE112" i="24" s="1"/>
  <c r="DF112" i="24" s="1"/>
  <c r="DG112" i="24" s="1"/>
  <c r="DM112" i="24"/>
  <c r="DI137" i="24"/>
  <c r="DB137" i="24"/>
  <c r="DE137" i="24" s="1"/>
  <c r="DF137" i="24" s="1"/>
  <c r="DG137" i="24" s="1"/>
  <c r="DM137" i="24"/>
  <c r="DI100" i="24"/>
  <c r="DB100" i="24"/>
  <c r="DE100" i="24" s="1"/>
  <c r="DF100" i="24" s="1"/>
  <c r="DG100" i="24" s="1"/>
  <c r="DM100" i="24"/>
  <c r="DI312" i="24"/>
  <c r="DB312" i="24"/>
  <c r="DE312" i="24" s="1"/>
  <c r="DF312" i="24" s="1"/>
  <c r="DG312" i="24" s="1"/>
  <c r="DM312" i="24"/>
  <c r="DI222" i="24"/>
  <c r="DB222" i="24"/>
  <c r="DE222" i="24" s="1"/>
  <c r="DF222" i="24" s="1"/>
  <c r="DG222" i="24" s="1"/>
  <c r="DM222" i="24"/>
  <c r="DI207" i="24"/>
  <c r="DB207" i="24"/>
  <c r="DE207" i="24" s="1"/>
  <c r="DF207" i="24" s="1"/>
  <c r="DG207" i="24" s="1"/>
  <c r="DM207" i="24"/>
  <c r="DC131" i="24"/>
  <c r="DI173" i="24"/>
  <c r="DB173" i="24"/>
  <c r="DE173" i="24" s="1"/>
  <c r="DF173" i="24" s="1"/>
  <c r="DG173" i="24" s="1"/>
  <c r="DM173" i="24"/>
  <c r="DI60" i="24"/>
  <c r="DB60" i="24"/>
  <c r="DE60" i="24" s="1"/>
  <c r="DF60" i="24" s="1"/>
  <c r="DG60" i="24" s="1"/>
  <c r="DM60" i="24"/>
  <c r="DB290" i="24"/>
  <c r="DE290" i="24" s="1"/>
  <c r="DF290" i="24" s="1"/>
  <c r="DG290" i="24" s="1"/>
  <c r="DI290" i="24"/>
  <c r="DM290" i="24"/>
  <c r="DA222" i="24"/>
  <c r="DC222" i="24" s="1"/>
  <c r="DC242" i="24"/>
  <c r="DC132" i="24"/>
  <c r="DI123" i="24"/>
  <c r="DB123" i="24"/>
  <c r="DE123" i="24" s="1"/>
  <c r="DF123" i="24" s="1"/>
  <c r="DG123" i="24" s="1"/>
  <c r="DM123" i="24"/>
  <c r="DI72" i="24"/>
  <c r="DB72" i="24"/>
  <c r="DE72" i="24" s="1"/>
  <c r="DF72" i="24" s="1"/>
  <c r="DG72" i="24" s="1"/>
  <c r="DM72" i="24"/>
  <c r="DC283" i="24"/>
  <c r="DI309" i="24"/>
  <c r="DB309" i="24"/>
  <c r="DE309" i="24" s="1"/>
  <c r="DF309" i="24" s="1"/>
  <c r="DG309" i="24" s="1"/>
  <c r="DM309" i="24"/>
  <c r="DA89" i="24"/>
  <c r="DC89" i="24" s="1"/>
  <c r="DB89" i="24"/>
  <c r="DE89" i="24" s="1"/>
  <c r="DF89" i="24" s="1"/>
  <c r="DG89" i="24" s="1"/>
  <c r="DI89" i="24"/>
  <c r="DM89" i="24"/>
  <c r="DB205" i="24"/>
  <c r="DE205" i="24" s="1"/>
  <c r="DF205" i="24" s="1"/>
  <c r="DG205" i="24" s="1"/>
  <c r="DI205" i="24"/>
  <c r="DM205" i="24"/>
  <c r="DB289" i="24"/>
  <c r="DE289" i="24" s="1"/>
  <c r="DF289" i="24" s="1"/>
  <c r="DG289" i="24" s="1"/>
  <c r="DI289" i="24"/>
  <c r="DM289" i="24"/>
  <c r="DI234" i="24"/>
  <c r="DB234" i="24"/>
  <c r="DE234" i="24" s="1"/>
  <c r="DF234" i="24" s="1"/>
  <c r="DG234" i="24" s="1"/>
  <c r="DM234" i="24"/>
  <c r="DC267" i="24"/>
  <c r="DI29" i="24"/>
  <c r="DB29" i="24"/>
  <c r="DE29" i="24" s="1"/>
  <c r="DF29" i="24" s="1"/>
  <c r="DG29" i="24" s="1"/>
  <c r="DM29" i="24"/>
  <c r="DI224" i="24"/>
  <c r="DB224" i="24"/>
  <c r="DE224" i="24" s="1"/>
  <c r="DF224" i="24" s="1"/>
  <c r="DG224" i="24" s="1"/>
  <c r="DM224" i="24"/>
  <c r="DB20" i="24"/>
  <c r="DE20" i="24" s="1"/>
  <c r="DF20" i="24" s="1"/>
  <c r="DG20" i="24" s="1"/>
  <c r="DI20" i="24"/>
  <c r="DM20" i="24"/>
  <c r="DI73" i="24"/>
  <c r="DB73" i="24"/>
  <c r="DE73" i="24" s="1"/>
  <c r="DF73" i="24" s="1"/>
  <c r="DG73" i="24" s="1"/>
  <c r="DM73" i="24"/>
  <c r="DB267" i="24"/>
  <c r="DE267" i="24" s="1"/>
  <c r="DF267" i="24" s="1"/>
  <c r="DG267" i="24" s="1"/>
  <c r="DI267" i="24"/>
  <c r="DM267" i="24"/>
  <c r="DI158" i="24"/>
  <c r="DB158" i="24"/>
  <c r="DE158" i="24" s="1"/>
  <c r="DF158" i="24" s="1"/>
  <c r="DG158" i="24" s="1"/>
  <c r="DM158" i="24"/>
  <c r="DI94" i="24"/>
  <c r="DB94" i="24"/>
  <c r="DE94" i="24" s="1"/>
  <c r="DF94" i="24" s="1"/>
  <c r="DG94" i="24" s="1"/>
  <c r="DM94" i="24"/>
  <c r="DI135" i="24"/>
  <c r="DB135" i="24"/>
  <c r="DE135" i="24" s="1"/>
  <c r="DF135" i="24" s="1"/>
  <c r="DG135" i="24" s="1"/>
  <c r="DM135" i="24"/>
  <c r="DB235" i="24"/>
  <c r="DE235" i="24" s="1"/>
  <c r="DF235" i="24" s="1"/>
  <c r="DG235" i="24" s="1"/>
  <c r="DI235" i="24"/>
  <c r="DM235" i="24"/>
  <c r="DI256" i="24"/>
  <c r="DB256" i="24"/>
  <c r="DE256" i="24" s="1"/>
  <c r="DF256" i="24" s="1"/>
  <c r="DG256" i="24" s="1"/>
  <c r="DM256" i="24"/>
  <c r="DI241" i="24"/>
  <c r="DB241" i="24"/>
  <c r="DE241" i="24" s="1"/>
  <c r="DF241" i="24" s="1"/>
  <c r="DG241" i="24" s="1"/>
  <c r="DM241" i="24"/>
  <c r="DI82" i="24"/>
  <c r="DB82" i="24"/>
  <c r="DE82" i="24" s="1"/>
  <c r="DF82" i="24" s="1"/>
  <c r="DG82" i="24" s="1"/>
  <c r="DM82" i="24"/>
  <c r="DA201" i="24"/>
  <c r="DC201" i="24" s="1"/>
  <c r="DB201" i="24"/>
  <c r="DE201" i="24" s="1"/>
  <c r="DF201" i="24" s="1"/>
  <c r="DG201" i="24" s="1"/>
  <c r="DI201" i="24"/>
  <c r="DM201" i="24"/>
  <c r="DB251" i="24"/>
  <c r="DE251" i="24" s="1"/>
  <c r="DF251" i="24" s="1"/>
  <c r="DG251" i="24" s="1"/>
  <c r="DI251" i="24"/>
  <c r="DM251" i="24"/>
  <c r="DB84" i="24"/>
  <c r="DE84" i="24" s="1"/>
  <c r="DF84" i="24" s="1"/>
  <c r="DG84" i="24" s="1"/>
  <c r="DI84" i="24"/>
  <c r="DM84" i="24"/>
  <c r="DC151" i="24"/>
  <c r="DB61" i="24"/>
  <c r="DE61" i="24" s="1"/>
  <c r="DF61" i="24" s="1"/>
  <c r="DG61" i="24" s="1"/>
  <c r="DI61" i="24"/>
  <c r="DM61" i="24"/>
  <c r="DB46" i="24"/>
  <c r="DE46" i="24" s="1"/>
  <c r="DF46" i="24" s="1"/>
  <c r="DG46" i="24" s="1"/>
  <c r="DI46" i="24"/>
  <c r="DM46" i="24"/>
  <c r="DC155" i="24"/>
  <c r="DI273" i="24"/>
  <c r="DB273" i="24"/>
  <c r="DE273" i="24" s="1"/>
  <c r="DF273" i="24" s="1"/>
  <c r="DG273" i="24" s="1"/>
  <c r="DM273" i="24"/>
  <c r="DB126" i="24"/>
  <c r="DE126" i="24" s="1"/>
  <c r="DF126" i="24" s="1"/>
  <c r="DG126" i="24" s="1"/>
  <c r="DI126" i="24"/>
  <c r="DM126" i="24"/>
  <c r="DB129" i="24"/>
  <c r="DE129" i="24" s="1"/>
  <c r="DF129" i="24" s="1"/>
  <c r="DG129" i="24" s="1"/>
  <c r="DI129" i="24"/>
  <c r="DM129" i="24"/>
  <c r="DI99" i="24"/>
  <c r="DB99" i="24"/>
  <c r="DE99" i="24" s="1"/>
  <c r="DF99" i="24" s="1"/>
  <c r="DG99" i="24" s="1"/>
  <c r="DM99" i="24"/>
  <c r="DC199" i="24"/>
  <c r="DC169" i="24"/>
  <c r="DB10" i="24"/>
  <c r="DE10" i="24" s="1"/>
  <c r="DF10" i="24" s="1"/>
  <c r="DG10" i="24" s="1"/>
  <c r="DI10" i="24"/>
  <c r="DM10" i="24"/>
  <c r="DC291" i="24"/>
  <c r="DC128" i="24"/>
  <c r="DB93" i="24"/>
  <c r="DE93" i="24" s="1"/>
  <c r="DF93" i="24" s="1"/>
  <c r="DG93" i="24" s="1"/>
  <c r="DI93" i="24"/>
  <c r="DM93" i="24"/>
  <c r="DB43" i="24"/>
  <c r="DE43" i="24" s="1"/>
  <c r="DF43" i="24" s="1"/>
  <c r="DG43" i="24" s="1"/>
  <c r="DI43" i="24"/>
  <c r="DM43" i="24"/>
  <c r="DB313" i="24"/>
  <c r="DE313" i="24" s="1"/>
  <c r="DF313" i="24" s="1"/>
  <c r="DG313" i="24" s="1"/>
  <c r="DI313" i="24"/>
  <c r="DM313" i="24"/>
  <c r="DA158" i="24"/>
  <c r="DC158" i="24" s="1"/>
  <c r="DA94" i="24"/>
  <c r="DC94" i="24" s="1"/>
  <c r="DC252" i="24"/>
  <c r="DB186" i="24"/>
  <c r="DE186" i="24" s="1"/>
  <c r="DF186" i="24" s="1"/>
  <c r="DG186" i="24" s="1"/>
  <c r="DI186" i="24"/>
  <c r="DM186" i="24"/>
  <c r="DA112" i="24"/>
  <c r="DC112" i="24" s="1"/>
  <c r="DC164" i="24"/>
  <c r="DI162" i="24"/>
  <c r="DB162" i="24"/>
  <c r="DE162" i="24" s="1"/>
  <c r="DF162" i="24" s="1"/>
  <c r="DG162" i="24" s="1"/>
  <c r="DM162" i="24"/>
  <c r="DC206" i="24"/>
  <c r="DI15" i="24"/>
  <c r="DB15" i="24"/>
  <c r="DE15" i="24" s="1"/>
  <c r="DF15" i="24" s="1"/>
  <c r="DG15" i="24" s="1"/>
  <c r="DM15" i="24"/>
  <c r="DI98" i="24"/>
  <c r="DB98" i="24"/>
  <c r="DE98" i="24" s="1"/>
  <c r="DF98" i="24" s="1"/>
  <c r="DG98" i="24" s="1"/>
  <c r="DM98" i="24"/>
  <c r="DI40" i="24"/>
  <c r="DB40" i="24"/>
  <c r="DE40" i="24" s="1"/>
  <c r="DF40" i="24" s="1"/>
  <c r="DG40" i="24" s="1"/>
  <c r="DM40" i="24"/>
  <c r="DI66" i="24"/>
  <c r="DB66" i="24"/>
  <c r="DE66" i="24" s="1"/>
  <c r="DF66" i="24" s="1"/>
  <c r="DG66" i="24" s="1"/>
  <c r="DM66" i="24"/>
  <c r="DI264" i="24"/>
  <c r="DB264" i="24"/>
  <c r="DE264" i="24" s="1"/>
  <c r="DF264" i="24" s="1"/>
  <c r="DG264" i="24" s="1"/>
  <c r="DM264" i="24"/>
  <c r="DI291" i="24"/>
  <c r="DB291" i="24"/>
  <c r="DE291" i="24" s="1"/>
  <c r="DF291" i="24" s="1"/>
  <c r="DG291" i="24" s="1"/>
  <c r="DM291" i="24"/>
  <c r="DC281" i="24"/>
  <c r="DB136" i="24"/>
  <c r="DE136" i="24" s="1"/>
  <c r="DF136" i="24" s="1"/>
  <c r="DG136" i="24" s="1"/>
  <c r="DI136" i="24"/>
  <c r="DM136" i="24"/>
  <c r="DC209" i="24"/>
  <c r="DB226" i="24"/>
  <c r="DE226" i="24" s="1"/>
  <c r="DF226" i="24" s="1"/>
  <c r="DG226" i="24" s="1"/>
  <c r="DI226" i="24"/>
  <c r="DM226" i="24"/>
  <c r="DA171" i="24"/>
  <c r="DC171" i="24" s="1"/>
  <c r="DI171" i="24"/>
  <c r="DB171" i="24"/>
  <c r="DE171" i="24" s="1"/>
  <c r="DF171" i="24" s="1"/>
  <c r="DG171" i="24" s="1"/>
  <c r="DM171" i="24"/>
  <c r="DI41" i="24"/>
  <c r="DB41" i="24"/>
  <c r="DE41" i="24" s="1"/>
  <c r="DF41" i="24" s="1"/>
  <c r="DG41" i="24" s="1"/>
  <c r="DM41" i="24"/>
  <c r="DI146" i="24"/>
  <c r="DB146" i="24"/>
  <c r="DE146" i="24" s="1"/>
  <c r="DF146" i="24" s="1"/>
  <c r="DG146" i="24" s="1"/>
  <c r="DM146" i="24"/>
  <c r="DM255" i="24"/>
  <c r="DB255" i="24"/>
  <c r="DE255" i="24" s="1"/>
  <c r="DF255" i="24" s="1"/>
  <c r="DG255" i="24" s="1"/>
  <c r="DI255" i="24"/>
  <c r="DB259" i="24"/>
  <c r="DE259" i="24" s="1"/>
  <c r="DF259" i="24" s="1"/>
  <c r="DG259" i="24" s="1"/>
  <c r="DI259" i="24"/>
  <c r="DM259" i="24"/>
  <c r="DB133" i="24"/>
  <c r="DE133" i="24" s="1"/>
  <c r="DF133" i="24" s="1"/>
  <c r="DG133" i="24" s="1"/>
  <c r="DI133" i="24"/>
  <c r="DM133" i="24"/>
  <c r="DB30" i="24"/>
  <c r="DE30" i="24" s="1"/>
  <c r="DF30" i="24" s="1"/>
  <c r="DG30" i="24" s="1"/>
  <c r="DI30" i="24"/>
  <c r="DM30" i="24"/>
  <c r="DC268" i="24"/>
  <c r="DI53" i="24"/>
  <c r="DB53" i="24"/>
  <c r="DE53" i="24" s="1"/>
  <c r="DF53" i="24" s="1"/>
  <c r="DG53" i="24" s="1"/>
  <c r="DM53" i="24"/>
  <c r="DI121" i="24"/>
  <c r="DB121" i="24"/>
  <c r="DE121" i="24" s="1"/>
  <c r="DF121" i="24" s="1"/>
  <c r="DG121" i="24" s="1"/>
  <c r="DM121" i="24"/>
  <c r="DI90" i="24"/>
  <c r="DB90" i="24"/>
  <c r="DE90" i="24" s="1"/>
  <c r="DF90" i="24" s="1"/>
  <c r="DG90" i="24" s="1"/>
  <c r="DM90" i="24"/>
  <c r="DC129" i="24"/>
  <c r="DI308" i="24"/>
  <c r="DB308" i="24"/>
  <c r="DE308" i="24" s="1"/>
  <c r="DF308" i="24" s="1"/>
  <c r="DG308" i="24" s="1"/>
  <c r="DM308" i="24"/>
  <c r="DA256" i="24"/>
  <c r="DC256" i="24" s="1"/>
  <c r="DI295" i="24"/>
  <c r="DB295" i="24"/>
  <c r="DE295" i="24" s="1"/>
  <c r="DF295" i="24" s="1"/>
  <c r="DG295" i="24" s="1"/>
  <c r="DM295" i="24"/>
  <c r="DI97" i="24"/>
  <c r="DB97" i="24"/>
  <c r="DE97" i="24" s="1"/>
  <c r="DF97" i="24" s="1"/>
  <c r="DG97" i="24" s="1"/>
  <c r="DM97" i="24"/>
  <c r="DI31" i="24"/>
  <c r="DB31" i="24"/>
  <c r="DE31" i="24" s="1"/>
  <c r="DF31" i="24" s="1"/>
  <c r="DG31" i="24" s="1"/>
  <c r="DM31" i="24"/>
  <c r="DC178" i="24"/>
  <c r="DI8" i="24"/>
  <c r="DB8" i="24"/>
  <c r="DE8" i="24" s="1"/>
  <c r="DF8" i="24" s="1"/>
  <c r="DG8" i="24" s="1"/>
  <c r="DM8" i="24"/>
  <c r="DB279" i="24"/>
  <c r="DE279" i="24" s="1"/>
  <c r="DF279" i="24" s="1"/>
  <c r="DG279" i="24" s="1"/>
  <c r="DI279" i="24"/>
  <c r="DM279" i="24"/>
  <c r="DA79" i="24"/>
  <c r="DC79" i="24" s="1"/>
  <c r="DA184" i="24"/>
  <c r="DC184" i="24" s="1"/>
  <c r="DI184" i="24"/>
  <c r="DB184" i="24"/>
  <c r="DE184" i="24" s="1"/>
  <c r="DF184" i="24" s="1"/>
  <c r="DG184" i="24" s="1"/>
  <c r="DM184" i="24"/>
  <c r="DA261" i="24"/>
  <c r="DC261" i="24" s="1"/>
  <c r="DI261" i="24"/>
  <c r="DB261" i="24"/>
  <c r="DE261" i="24" s="1"/>
  <c r="DF261" i="24" s="1"/>
  <c r="DG261" i="24" s="1"/>
  <c r="DM261" i="24"/>
  <c r="DI265" i="24"/>
  <c r="DB265" i="24"/>
  <c r="DE265" i="24" s="1"/>
  <c r="DF265" i="24" s="1"/>
  <c r="DG265" i="24" s="1"/>
  <c r="DM265" i="24"/>
  <c r="DA27" i="24"/>
  <c r="DC27" i="24" s="1"/>
  <c r="DI69" i="24"/>
  <c r="DB69" i="24"/>
  <c r="DE69" i="24" s="1"/>
  <c r="DF69" i="24" s="1"/>
  <c r="DG69" i="24" s="1"/>
  <c r="DM69" i="24"/>
  <c r="DI44" i="24"/>
  <c r="DB44" i="24"/>
  <c r="DE44" i="24" s="1"/>
  <c r="DF44" i="24" s="1"/>
  <c r="DG44" i="24" s="1"/>
  <c r="DM44" i="24"/>
  <c r="DB272" i="24"/>
  <c r="DE272" i="24" s="1"/>
  <c r="DF272" i="24" s="1"/>
  <c r="DG272" i="24" s="1"/>
  <c r="DI272" i="24"/>
  <c r="DM272" i="24"/>
  <c r="DI220" i="24"/>
  <c r="DB220" i="24"/>
  <c r="DE220" i="24" s="1"/>
  <c r="DF220" i="24" s="1"/>
  <c r="DG220" i="24" s="1"/>
  <c r="DM220" i="24"/>
  <c r="DC262" i="24"/>
  <c r="DA271" i="24"/>
  <c r="DC271" i="24" s="1"/>
  <c r="DB160" i="24"/>
  <c r="DE160" i="24" s="1"/>
  <c r="DF160" i="24" s="1"/>
  <c r="DG160" i="24" s="1"/>
  <c r="DI160" i="24"/>
  <c r="DM160" i="24"/>
  <c r="DB284" i="24"/>
  <c r="DE284" i="24" s="1"/>
  <c r="DF284" i="24" s="1"/>
  <c r="DG284" i="24" s="1"/>
  <c r="DI284" i="24"/>
  <c r="DM284" i="24"/>
  <c r="DC120" i="24"/>
  <c r="DI281" i="24"/>
  <c r="DB281" i="24"/>
  <c r="DE281" i="24" s="1"/>
  <c r="DF281" i="24" s="1"/>
  <c r="DG281" i="24" s="1"/>
  <c r="DM281" i="24"/>
  <c r="DA70" i="24"/>
  <c r="DC70" i="24" s="1"/>
  <c r="DI70" i="24"/>
  <c r="DB70" i="24"/>
  <c r="DE70" i="24" s="1"/>
  <c r="DF70" i="24" s="1"/>
  <c r="DG70" i="24" s="1"/>
  <c r="DM70" i="24"/>
  <c r="DA83" i="24"/>
  <c r="DC83" i="24" s="1"/>
  <c r="DI83" i="24"/>
  <c r="DB83" i="24"/>
  <c r="DE83" i="24" s="1"/>
  <c r="DF83" i="24" s="1"/>
  <c r="DG83" i="24" s="1"/>
  <c r="DM83" i="24"/>
  <c r="DA284" i="24"/>
  <c r="DC284" i="24" s="1"/>
  <c r="DI307" i="24"/>
  <c r="DB307" i="24"/>
  <c r="DE307" i="24" s="1"/>
  <c r="DF307" i="24" s="1"/>
  <c r="DG307" i="24" s="1"/>
  <c r="DM307" i="24"/>
  <c r="DI297" i="24"/>
  <c r="DB297" i="24"/>
  <c r="DE297" i="24" s="1"/>
  <c r="DF297" i="24" s="1"/>
  <c r="DG297" i="24" s="1"/>
  <c r="DM297" i="24"/>
  <c r="DC302" i="24"/>
  <c r="DC253" i="24"/>
  <c r="DB283" i="24"/>
  <c r="DE283" i="24" s="1"/>
  <c r="DF283" i="24" s="1"/>
  <c r="DG283" i="24" s="1"/>
  <c r="DI283" i="24"/>
  <c r="DM283" i="24"/>
  <c r="DC238" i="24"/>
  <c r="DB172" i="24"/>
  <c r="DE172" i="24" s="1"/>
  <c r="DF172" i="24" s="1"/>
  <c r="DG172" i="24" s="1"/>
  <c r="DI172" i="24"/>
  <c r="DM172" i="24"/>
  <c r="DC289" i="24"/>
  <c r="DI47" i="24"/>
  <c r="DB47" i="24"/>
  <c r="DE47" i="24" s="1"/>
  <c r="DF47" i="24" s="1"/>
  <c r="DG47" i="24" s="1"/>
  <c r="DM47" i="24"/>
  <c r="DM242" i="24"/>
  <c r="DI242" i="24"/>
  <c r="DB242" i="24"/>
  <c r="DE242" i="24" s="1"/>
  <c r="DF242" i="24" s="1"/>
  <c r="DG242" i="24" s="1"/>
  <c r="DI286" i="24"/>
  <c r="DB286" i="24"/>
  <c r="DE286" i="24" s="1"/>
  <c r="DF286" i="24" s="1"/>
  <c r="DG286" i="24" s="1"/>
  <c r="DM286" i="24"/>
  <c r="DA18" i="24"/>
  <c r="DC18" i="24" s="1"/>
  <c r="DI18" i="24"/>
  <c r="DB18" i="24"/>
  <c r="DE18" i="24" s="1"/>
  <c r="DF18" i="24" s="1"/>
  <c r="DG18" i="24" s="1"/>
  <c r="DM18" i="24"/>
  <c r="DC113" i="24"/>
  <c r="DC296" i="24"/>
  <c r="DI6" i="24"/>
  <c r="DB6" i="24"/>
  <c r="DE6" i="24" s="1"/>
  <c r="DF6" i="24" s="1"/>
  <c r="DG6" i="24" s="1"/>
  <c r="DM6" i="24"/>
  <c r="DI153" i="24"/>
  <c r="DB153" i="24"/>
  <c r="DE153" i="24" s="1"/>
  <c r="DF153" i="24" s="1"/>
  <c r="DG153" i="24" s="1"/>
  <c r="DM153" i="24"/>
  <c r="DC277" i="24"/>
  <c r="DI36" i="24"/>
  <c r="DB36" i="24"/>
  <c r="DE36" i="24" s="1"/>
  <c r="DF36" i="24" s="1"/>
  <c r="DG36" i="24" s="1"/>
  <c r="DM36" i="24"/>
  <c r="DB192" i="24"/>
  <c r="DE192" i="24" s="1"/>
  <c r="DF192" i="24" s="1"/>
  <c r="DG192" i="24" s="1"/>
  <c r="DI192" i="24"/>
  <c r="DM192" i="24"/>
  <c r="DA226" i="24"/>
  <c r="DC226" i="24" s="1"/>
  <c r="DI96" i="24"/>
  <c r="DB96" i="24"/>
  <c r="DE96" i="24" s="1"/>
  <c r="DF96" i="24" s="1"/>
  <c r="DG96" i="24" s="1"/>
  <c r="DM96" i="24"/>
  <c r="DI145" i="24"/>
  <c r="DB145" i="24"/>
  <c r="DE145" i="24" s="1"/>
  <c r="DF145" i="24" s="1"/>
  <c r="DG145" i="24" s="1"/>
  <c r="DM145" i="24"/>
  <c r="DM128" i="24"/>
  <c r="DI128" i="24"/>
  <c r="DB128" i="24"/>
  <c r="DE128" i="24" s="1"/>
  <c r="DF128" i="24" s="1"/>
  <c r="DG128" i="24" s="1"/>
  <c r="DC160" i="24"/>
  <c r="DI304" i="24"/>
  <c r="DB304" i="24"/>
  <c r="DE304" i="24" s="1"/>
  <c r="DF304" i="24" s="1"/>
  <c r="DG304" i="24" s="1"/>
  <c r="DM304" i="24"/>
  <c r="DA245" i="24"/>
  <c r="DC245" i="24" s="1"/>
  <c r="DI245" i="24"/>
  <c r="DB245" i="24"/>
  <c r="DE245" i="24" s="1"/>
  <c r="DF245" i="24" s="1"/>
  <c r="DG245" i="24" s="1"/>
  <c r="DM245" i="24"/>
  <c r="DI315" i="24"/>
  <c r="DB315" i="24"/>
  <c r="DE315" i="24" s="1"/>
  <c r="DF315" i="24" s="1"/>
  <c r="DG315" i="24" s="1"/>
  <c r="DM315" i="24"/>
  <c r="DI249" i="24"/>
  <c r="DB249" i="24"/>
  <c r="DE249" i="24" s="1"/>
  <c r="DF249" i="24" s="1"/>
  <c r="DG249" i="24" s="1"/>
  <c r="DM249" i="24"/>
  <c r="DI63" i="24"/>
  <c r="DB63" i="24"/>
  <c r="DE63" i="24" s="1"/>
  <c r="DF63" i="24" s="1"/>
  <c r="DG63" i="24" s="1"/>
  <c r="DM63" i="24"/>
  <c r="DI174" i="24"/>
  <c r="DB174" i="24"/>
  <c r="DE174" i="24" s="1"/>
  <c r="DF174" i="24" s="1"/>
  <c r="DG174" i="24" s="1"/>
  <c r="DM174" i="24"/>
  <c r="DA315" i="24"/>
  <c r="DC315" i="24" s="1"/>
  <c r="DC316" i="24"/>
  <c r="DA65" i="24"/>
  <c r="DC65" i="24" s="1"/>
  <c r="DI65" i="24"/>
  <c r="DB65" i="24"/>
  <c r="DE65" i="24" s="1"/>
  <c r="DF65" i="24" s="1"/>
  <c r="DG65" i="24" s="1"/>
  <c r="DM65" i="24"/>
  <c r="DB175" i="24"/>
  <c r="DE175" i="24" s="1"/>
  <c r="DF175" i="24" s="1"/>
  <c r="DG175" i="24" s="1"/>
  <c r="DI175" i="24"/>
  <c r="DM175" i="24"/>
  <c r="DI188" i="24"/>
  <c r="DB188" i="24"/>
  <c r="DE188" i="24" s="1"/>
  <c r="DF188" i="24" s="1"/>
  <c r="DG188" i="24" s="1"/>
  <c r="DM188" i="24"/>
  <c r="DI101" i="24"/>
  <c r="DB101" i="24"/>
  <c r="DE101" i="24" s="1"/>
  <c r="DF101" i="24" s="1"/>
  <c r="DG101" i="24" s="1"/>
  <c r="DM101" i="24"/>
  <c r="DB166" i="24"/>
  <c r="DE166" i="24" s="1"/>
  <c r="DF166" i="24" s="1"/>
  <c r="DG166" i="24" s="1"/>
  <c r="DI166" i="24"/>
  <c r="DM166" i="24"/>
  <c r="DC140" i="24"/>
  <c r="DC142" i="24"/>
  <c r="DI316" i="24"/>
  <c r="DB316" i="24"/>
  <c r="DE316" i="24" s="1"/>
  <c r="DF316" i="24" s="1"/>
  <c r="DG316" i="24" s="1"/>
  <c r="DM316" i="24"/>
  <c r="DA97" i="24"/>
  <c r="DC97" i="24" s="1"/>
  <c r="DC154" i="24"/>
  <c r="DI231" i="24"/>
  <c r="DB231" i="24"/>
  <c r="DE231" i="24" s="1"/>
  <c r="DF231" i="24" s="1"/>
  <c r="DG231" i="24" s="1"/>
  <c r="DM231" i="24"/>
  <c r="DI105" i="24"/>
  <c r="DB105" i="24"/>
  <c r="DE105" i="24" s="1"/>
  <c r="DF105" i="24" s="1"/>
  <c r="DG105" i="24" s="1"/>
  <c r="DM105" i="24"/>
  <c r="DI292" i="24"/>
  <c r="DB292" i="24"/>
  <c r="DE292" i="24" s="1"/>
  <c r="DF292" i="24" s="1"/>
  <c r="DG292" i="24" s="1"/>
  <c r="DM292" i="24"/>
  <c r="DC152" i="24"/>
  <c r="DI87" i="24"/>
  <c r="DB87" i="24"/>
  <c r="DE87" i="24" s="1"/>
  <c r="DF87" i="24" s="1"/>
  <c r="DG87" i="24" s="1"/>
  <c r="DM87" i="24"/>
  <c r="DA99" i="24"/>
  <c r="DC99" i="24" s="1"/>
  <c r="DA28" i="24"/>
  <c r="DC28" i="24" s="1"/>
  <c r="DI28" i="24"/>
  <c r="DB28" i="24"/>
  <c r="DE28" i="24" s="1"/>
  <c r="DF28" i="24" s="1"/>
  <c r="DG28" i="24" s="1"/>
  <c r="DM28" i="24"/>
  <c r="DI32" i="24"/>
  <c r="DB32" i="24"/>
  <c r="DE32" i="24" s="1"/>
  <c r="DF32" i="24" s="1"/>
  <c r="DG32" i="24" s="1"/>
  <c r="DM32" i="24"/>
  <c r="DI16" i="24"/>
  <c r="DB16" i="24"/>
  <c r="DE16" i="24" s="1"/>
  <c r="DF16" i="24" s="1"/>
  <c r="DG16" i="24" s="1"/>
  <c r="DM16" i="24"/>
  <c r="DB275" i="24"/>
  <c r="DE275" i="24" s="1"/>
  <c r="DF275" i="24" s="1"/>
  <c r="DG275" i="24" s="1"/>
  <c r="DI275" i="24"/>
  <c r="DM275" i="24"/>
  <c r="DI152" i="24"/>
  <c r="DB152" i="24"/>
  <c r="DE152" i="24" s="1"/>
  <c r="DF152" i="24" s="1"/>
  <c r="DG152" i="24" s="1"/>
  <c r="DM152" i="24"/>
  <c r="DA122" i="24"/>
  <c r="DC122" i="24" s="1"/>
  <c r="DI122" i="24"/>
  <c r="DB122" i="24"/>
  <c r="DE122" i="24" s="1"/>
  <c r="DF122" i="24" s="1"/>
  <c r="DG122" i="24" s="1"/>
  <c r="DM122" i="24"/>
  <c r="DA188" i="24"/>
  <c r="DC188" i="24" s="1"/>
  <c r="DI269" i="24"/>
  <c r="DB269" i="24"/>
  <c r="DE269" i="24" s="1"/>
  <c r="DF269" i="24" s="1"/>
  <c r="DG269" i="24" s="1"/>
  <c r="DM269" i="24"/>
  <c r="DC185" i="24"/>
  <c r="DI103" i="24"/>
  <c r="DB103" i="24"/>
  <c r="DE103" i="24" s="1"/>
  <c r="DF103" i="24" s="1"/>
  <c r="DG103" i="24" s="1"/>
  <c r="DM103" i="24"/>
  <c r="DB263" i="24"/>
  <c r="DE263" i="24" s="1"/>
  <c r="DF263" i="24" s="1"/>
  <c r="DG263" i="24" s="1"/>
  <c r="DI263" i="24"/>
  <c r="DM263" i="24"/>
  <c r="DI262" i="24"/>
  <c r="DB262" i="24"/>
  <c r="DE262" i="24" s="1"/>
  <c r="DF262" i="24" s="1"/>
  <c r="DG262" i="24" s="1"/>
  <c r="DM262" i="24"/>
  <c r="DB258" i="24"/>
  <c r="DE258" i="24" s="1"/>
  <c r="DF258" i="24" s="1"/>
  <c r="DG258" i="24" s="1"/>
  <c r="DI258" i="24"/>
  <c r="DM258" i="24"/>
  <c r="DA98" i="24"/>
  <c r="DC98" i="24" s="1"/>
  <c r="DI119" i="24"/>
  <c r="DB119" i="24"/>
  <c r="DE119" i="24" s="1"/>
  <c r="DF119" i="24" s="1"/>
  <c r="DG119" i="24" s="1"/>
  <c r="DM119" i="24"/>
  <c r="DB300" i="24"/>
  <c r="DE300" i="24" s="1"/>
  <c r="DF300" i="24" s="1"/>
  <c r="DG300" i="24" s="1"/>
  <c r="DI300" i="24"/>
  <c r="DM300" i="24"/>
  <c r="DI217" i="24"/>
  <c r="DB217" i="24"/>
  <c r="DE217" i="24" s="1"/>
  <c r="DF217" i="24" s="1"/>
  <c r="DG217" i="24" s="1"/>
  <c r="DM217" i="24"/>
  <c r="DI157" i="24"/>
  <c r="DB157" i="24"/>
  <c r="DE157" i="24" s="1"/>
  <c r="DF157" i="24" s="1"/>
  <c r="DG157" i="24" s="1"/>
  <c r="DM157" i="24"/>
  <c r="DC203" i="24"/>
  <c r="DC264" i="24"/>
  <c r="DC307" i="24"/>
  <c r="DC285" i="24"/>
  <c r="DA258" i="24"/>
  <c r="DC258" i="24" s="1"/>
  <c r="DI238" i="24"/>
  <c r="DB238" i="24"/>
  <c r="DE238" i="24" s="1"/>
  <c r="DF238" i="24" s="1"/>
  <c r="DG238" i="24" s="1"/>
  <c r="DM238" i="24"/>
  <c r="DI179" i="24"/>
  <c r="DB179" i="24"/>
  <c r="DE179" i="24" s="1"/>
  <c r="DF179" i="24" s="1"/>
  <c r="DG179" i="24" s="1"/>
  <c r="DM179" i="24"/>
  <c r="DA189" i="24"/>
  <c r="DC189" i="24" s="1"/>
  <c r="DI189" i="24"/>
  <c r="DB189" i="24"/>
  <c r="DE189" i="24" s="1"/>
  <c r="DF189" i="24" s="1"/>
  <c r="DG189" i="24" s="1"/>
  <c r="DM189" i="24"/>
  <c r="DC148" i="24"/>
  <c r="DB116" i="24"/>
  <c r="DE116" i="24" s="1"/>
  <c r="DF116" i="24" s="1"/>
  <c r="DG116" i="24" s="1"/>
  <c r="DI116" i="24"/>
  <c r="DM116" i="24"/>
  <c r="DC153" i="24"/>
  <c r="DI13" i="24"/>
  <c r="DB13" i="24"/>
  <c r="DE13" i="24" s="1"/>
  <c r="DF13" i="24" s="1"/>
  <c r="DG13" i="24" s="1"/>
  <c r="DM13" i="24"/>
  <c r="DI228" i="24"/>
  <c r="DB228" i="24"/>
  <c r="DE228" i="24" s="1"/>
  <c r="DF228" i="24" s="1"/>
  <c r="DG228" i="24" s="1"/>
  <c r="DM228" i="24"/>
  <c r="DI204" i="24"/>
  <c r="DB204" i="24"/>
  <c r="DE204" i="24" s="1"/>
  <c r="DF204" i="24" s="1"/>
  <c r="DG204" i="24" s="1"/>
  <c r="DM204" i="24"/>
  <c r="DI301" i="24"/>
  <c r="DB301" i="24"/>
  <c r="DE301" i="24" s="1"/>
  <c r="DF301" i="24" s="1"/>
  <c r="DG301" i="24" s="1"/>
  <c r="DM301" i="24"/>
  <c r="DB183" i="24"/>
  <c r="DE183" i="24" s="1"/>
  <c r="DF183" i="24" s="1"/>
  <c r="DG183" i="24" s="1"/>
  <c r="DI183" i="24"/>
  <c r="DM183" i="24"/>
  <c r="DB88" i="24"/>
  <c r="DE88" i="24" s="1"/>
  <c r="DF88" i="24" s="1"/>
  <c r="DG88" i="24" s="1"/>
  <c r="DI88" i="24"/>
  <c r="DM88" i="24"/>
  <c r="DI182" i="24"/>
  <c r="DB182" i="24"/>
  <c r="DE182" i="24" s="1"/>
  <c r="DF182" i="24" s="1"/>
  <c r="DG182" i="24" s="1"/>
  <c r="DM182" i="24"/>
  <c r="DA276" i="24"/>
  <c r="DC276" i="24" s="1"/>
  <c r="DI276" i="24"/>
  <c r="DB276" i="24"/>
  <c r="DE276" i="24" s="1"/>
  <c r="DF276" i="24" s="1"/>
  <c r="DG276" i="24" s="1"/>
  <c r="DM276" i="24"/>
  <c r="DI95" i="24"/>
  <c r="DB95" i="24"/>
  <c r="DE95" i="24" s="1"/>
  <c r="DF95" i="24" s="1"/>
  <c r="DG95" i="24" s="1"/>
  <c r="DM95" i="24"/>
  <c r="DC301" i="24"/>
  <c r="DA202" i="24"/>
  <c r="DC202" i="24" s="1"/>
  <c r="DI202" i="24"/>
  <c r="DB202" i="24"/>
  <c r="DE202" i="24" s="1"/>
  <c r="DF202" i="24" s="1"/>
  <c r="DG202" i="24" s="1"/>
  <c r="DM202" i="24"/>
  <c r="DB170" i="24"/>
  <c r="DE170" i="24" s="1"/>
  <c r="DF170" i="24" s="1"/>
  <c r="DG170" i="24" s="1"/>
  <c r="DI170" i="24"/>
  <c r="DM170" i="24"/>
  <c r="DB164" i="24"/>
  <c r="DE164" i="24" s="1"/>
  <c r="DF164" i="24" s="1"/>
  <c r="DG164" i="24" s="1"/>
  <c r="DI164" i="24"/>
  <c r="DM164" i="24"/>
  <c r="DI127" i="24"/>
  <c r="DB127" i="24"/>
  <c r="DE127" i="24" s="1"/>
  <c r="DF127" i="24" s="1"/>
  <c r="DG127" i="24" s="1"/>
  <c r="DM127" i="24"/>
  <c r="DA95" i="24"/>
  <c r="DC95" i="24" s="1"/>
  <c r="DA249" i="24"/>
  <c r="DC249" i="24" s="1"/>
  <c r="DB22" i="24"/>
  <c r="DE22" i="24" s="1"/>
  <c r="DF22" i="24" s="1"/>
  <c r="DG22" i="24" s="1"/>
  <c r="DI22" i="24"/>
  <c r="DM22" i="24"/>
  <c r="DI19" i="24"/>
  <c r="DB19" i="24"/>
  <c r="DE19" i="24" s="1"/>
  <c r="DF19" i="24" s="1"/>
  <c r="DG19" i="24" s="1"/>
  <c r="DM19" i="24"/>
  <c r="DC278" i="24"/>
  <c r="DB180" i="24"/>
  <c r="DE180" i="24" s="1"/>
  <c r="DF180" i="24" s="1"/>
  <c r="DG180" i="24" s="1"/>
  <c r="DI180" i="24"/>
  <c r="DM180" i="24"/>
  <c r="DI147" i="24"/>
  <c r="DB147" i="24"/>
  <c r="DE147" i="24" s="1"/>
  <c r="DF147" i="24" s="1"/>
  <c r="DG147" i="24" s="1"/>
  <c r="DM147" i="24"/>
  <c r="DA241" i="24"/>
  <c r="DC241" i="24" s="1"/>
  <c r="DI185" i="24"/>
  <c r="DB185" i="24"/>
  <c r="DE185" i="24" s="1"/>
  <c r="DF185" i="24" s="1"/>
  <c r="DG185" i="24" s="1"/>
  <c r="DM185" i="24"/>
  <c r="DB138" i="24"/>
  <c r="DE138" i="24" s="1"/>
  <c r="DF138" i="24" s="1"/>
  <c r="DG138" i="24" s="1"/>
  <c r="DI138" i="24"/>
  <c r="DM138" i="24"/>
  <c r="DA46" i="24"/>
  <c r="DC46" i="24" s="1"/>
  <c r="DI111" i="24"/>
  <c r="DB111" i="24"/>
  <c r="DE111" i="24" s="1"/>
  <c r="DF111" i="24" s="1"/>
  <c r="DG111" i="24" s="1"/>
  <c r="DM111" i="24"/>
  <c r="DA299" i="24"/>
  <c r="DC299" i="24" s="1"/>
  <c r="DB299" i="24"/>
  <c r="DE299" i="24" s="1"/>
  <c r="DF299" i="24" s="1"/>
  <c r="DG299" i="24" s="1"/>
  <c r="DI299" i="24"/>
  <c r="DM299" i="24"/>
  <c r="DI77" i="24"/>
  <c r="DB77" i="24"/>
  <c r="DE77" i="24" s="1"/>
  <c r="DF77" i="24" s="1"/>
  <c r="DG77" i="24" s="1"/>
  <c r="DM77" i="24"/>
  <c r="DC130" i="24"/>
  <c r="DB141" i="24"/>
  <c r="DE141" i="24" s="1"/>
  <c r="DF141" i="24" s="1"/>
  <c r="DG141" i="24" s="1"/>
  <c r="DI141" i="24"/>
  <c r="DM141" i="24"/>
  <c r="DA254" i="24"/>
  <c r="DC254" i="24" s="1"/>
  <c r="DI237" i="24"/>
  <c r="DB237" i="24"/>
  <c r="DE237" i="24" s="1"/>
  <c r="DF237" i="24" s="1"/>
  <c r="DG237" i="24" s="1"/>
  <c r="DM237" i="24"/>
  <c r="DI74" i="24"/>
  <c r="DB74" i="24"/>
  <c r="DE74" i="24" s="1"/>
  <c r="DF74" i="24" s="1"/>
  <c r="DG74" i="24" s="1"/>
  <c r="DM74" i="24"/>
  <c r="DI257" i="24"/>
  <c r="DB257" i="24"/>
  <c r="DE257" i="24" s="1"/>
  <c r="DF257" i="24" s="1"/>
  <c r="DG257" i="24" s="1"/>
  <c r="DM257" i="24"/>
  <c r="DB78" i="24"/>
  <c r="DE78" i="24" s="1"/>
  <c r="DF78" i="24" s="1"/>
  <c r="DG78" i="24" s="1"/>
  <c r="DI78" i="24"/>
  <c r="DM78" i="24"/>
  <c r="DA163" i="24"/>
  <c r="DC163" i="24" s="1"/>
  <c r="DB163" i="24"/>
  <c r="DE163" i="24" s="1"/>
  <c r="DF163" i="24" s="1"/>
  <c r="DG163" i="24" s="1"/>
  <c r="DI163" i="24"/>
  <c r="DM163" i="24"/>
  <c r="DA194" i="24"/>
  <c r="DC194" i="24" s="1"/>
  <c r="DI194" i="24"/>
  <c r="DB194" i="24"/>
  <c r="DE194" i="24" s="1"/>
  <c r="DF194" i="24" s="1"/>
  <c r="DG194" i="24" s="1"/>
  <c r="DM194" i="24"/>
  <c r="DB277" i="24"/>
  <c r="DE277" i="24" s="1"/>
  <c r="DF277" i="24" s="1"/>
  <c r="DG277" i="24" s="1"/>
  <c r="DI277" i="24"/>
  <c r="DM277" i="24"/>
  <c r="DB208" i="24"/>
  <c r="DE208" i="24" s="1"/>
  <c r="DF208" i="24" s="1"/>
  <c r="DG208" i="24" s="1"/>
  <c r="DI208" i="24"/>
  <c r="DM208" i="24"/>
  <c r="DB314" i="24"/>
  <c r="DE314" i="24" s="1"/>
  <c r="DF314" i="24" s="1"/>
  <c r="DG314" i="24" s="1"/>
  <c r="DI314" i="24"/>
  <c r="DM314" i="24"/>
  <c r="DB177" i="24"/>
  <c r="DE177" i="24" s="1"/>
  <c r="DF177" i="24" s="1"/>
  <c r="DG177" i="24" s="1"/>
  <c r="DI177" i="24"/>
  <c r="DM177" i="24"/>
  <c r="DI21" i="24"/>
  <c r="DB21" i="24"/>
  <c r="DE21" i="24" s="1"/>
  <c r="DF21" i="24" s="1"/>
  <c r="DG21" i="24" s="1"/>
  <c r="DM21" i="24"/>
  <c r="DB306" i="24"/>
  <c r="DE306" i="24" s="1"/>
  <c r="DF306" i="24" s="1"/>
  <c r="DG306" i="24" s="1"/>
  <c r="DI306" i="24"/>
  <c r="DM306" i="24"/>
  <c r="DI64" i="24"/>
  <c r="DB64" i="24"/>
  <c r="DE64" i="24" s="1"/>
  <c r="DF64" i="24" s="1"/>
  <c r="DG64" i="24" s="1"/>
  <c r="DM64" i="24"/>
  <c r="DI296" i="24"/>
  <c r="DB296" i="24"/>
  <c r="DE296" i="24" s="1"/>
  <c r="DF296" i="24" s="1"/>
  <c r="DG296" i="24" s="1"/>
  <c r="DM296" i="24"/>
  <c r="DI200" i="24"/>
  <c r="DB200" i="24"/>
  <c r="DE200" i="24" s="1"/>
  <c r="DF200" i="24" s="1"/>
  <c r="DG200" i="24" s="1"/>
  <c r="DM200" i="24"/>
  <c r="DA66" i="24"/>
  <c r="DC66" i="24" s="1"/>
  <c r="DA72" i="24"/>
  <c r="DC72" i="24" s="1"/>
  <c r="DB206" i="24"/>
  <c r="DE206" i="24" s="1"/>
  <c r="DF206" i="24" s="1"/>
  <c r="DG206" i="24" s="1"/>
  <c r="DI206" i="24"/>
  <c r="DM206" i="24"/>
  <c r="DB9" i="24"/>
  <c r="DE9" i="24" s="1"/>
  <c r="DF9" i="24" s="1"/>
  <c r="DG9" i="24" s="1"/>
  <c r="DI9" i="24"/>
  <c r="DM9" i="24"/>
  <c r="DI26" i="24"/>
  <c r="DB26" i="24"/>
  <c r="DE26" i="24" s="1"/>
  <c r="DF26" i="24" s="1"/>
  <c r="DG26" i="24" s="1"/>
  <c r="DM26" i="24"/>
  <c r="DI198" i="24"/>
  <c r="DB198" i="24"/>
  <c r="DE198" i="24" s="1"/>
  <c r="DF198" i="24" s="1"/>
  <c r="DG198" i="24" s="1"/>
  <c r="DM198" i="24"/>
  <c r="DI149" i="24"/>
  <c r="DB149" i="24"/>
  <c r="DE149" i="24" s="1"/>
  <c r="DF149" i="24" s="1"/>
  <c r="DG149" i="24" s="1"/>
  <c r="DM149" i="24"/>
  <c r="DC275" i="24"/>
  <c r="DI274" i="24"/>
  <c r="DB274" i="24"/>
  <c r="DE274" i="24" s="1"/>
  <c r="DF274" i="24" s="1"/>
  <c r="DG274" i="24" s="1"/>
  <c r="DM274" i="24"/>
  <c r="DA168" i="24"/>
  <c r="DC168" i="24" s="1"/>
  <c r="DB168" i="24"/>
  <c r="DE168" i="24" s="1"/>
  <c r="DF168" i="24" s="1"/>
  <c r="DG168" i="24" s="1"/>
  <c r="DI168" i="24"/>
  <c r="DM168" i="24"/>
  <c r="DI260" i="24"/>
  <c r="DB260" i="24"/>
  <c r="DE260" i="24" s="1"/>
  <c r="DF260" i="24" s="1"/>
  <c r="DG260" i="24" s="1"/>
  <c r="DM260" i="24"/>
  <c r="DI159" i="24"/>
  <c r="DB159" i="24"/>
  <c r="DE159" i="24" s="1"/>
  <c r="DF159" i="24" s="1"/>
  <c r="DG159" i="24" s="1"/>
  <c r="DM159" i="24"/>
  <c r="DM199" i="24"/>
  <c r="DB199" i="24"/>
  <c r="DE199" i="24" s="1"/>
  <c r="DF199" i="24" s="1"/>
  <c r="DG199" i="24" s="1"/>
  <c r="DI199" i="24"/>
  <c r="DA159" i="24"/>
  <c r="DC159" i="24" s="1"/>
  <c r="DA181" i="24"/>
  <c r="DC181" i="24" s="1"/>
  <c r="DB54" i="24"/>
  <c r="DE54" i="24" s="1"/>
  <c r="DF54" i="24" s="1"/>
  <c r="DG54" i="24" s="1"/>
  <c r="DI54" i="24"/>
  <c r="DM54" i="24"/>
  <c r="DB155" i="24"/>
  <c r="DE155" i="24" s="1"/>
  <c r="DF155" i="24" s="1"/>
  <c r="DG155" i="24" s="1"/>
  <c r="DI155" i="24"/>
  <c r="DM155" i="24"/>
  <c r="DI143" i="24"/>
  <c r="DB143" i="24"/>
  <c r="DE143" i="24" s="1"/>
  <c r="DF143" i="24" s="1"/>
  <c r="DG143" i="24" s="1"/>
  <c r="DM143" i="24"/>
  <c r="DI278" i="24"/>
  <c r="DB278" i="24"/>
  <c r="DE278" i="24" s="1"/>
  <c r="DF278" i="24" s="1"/>
  <c r="DG278" i="24" s="1"/>
  <c r="DM278" i="24"/>
  <c r="DB156" i="24"/>
  <c r="DE156" i="24" s="1"/>
  <c r="DF156" i="24" s="1"/>
  <c r="DG156" i="24" s="1"/>
  <c r="DI156" i="24"/>
  <c r="DM156" i="24"/>
  <c r="DB266" i="24"/>
  <c r="DE266" i="24" s="1"/>
  <c r="DF266" i="24" s="1"/>
  <c r="DG266" i="24" s="1"/>
  <c r="DI266" i="24"/>
  <c r="DM266" i="24"/>
  <c r="DA174" i="24"/>
  <c r="DC174" i="24" s="1"/>
  <c r="DB223" i="24"/>
  <c r="DE223" i="24" s="1"/>
  <c r="DF223" i="24" s="1"/>
  <c r="DG223" i="24" s="1"/>
  <c r="DI223" i="24"/>
  <c r="DM223" i="24"/>
  <c r="DB12" i="24"/>
  <c r="DE12" i="24" s="1"/>
  <c r="DF12" i="24" s="1"/>
  <c r="DG12" i="24" s="1"/>
  <c r="DI12" i="24"/>
  <c r="DM12" i="24"/>
  <c r="DB51" i="24"/>
  <c r="DE51" i="24" s="1"/>
  <c r="DF51" i="24" s="1"/>
  <c r="DG51" i="24" s="1"/>
  <c r="DI51" i="24"/>
  <c r="DM51" i="24"/>
  <c r="DA182" i="24"/>
  <c r="DC182" i="24" s="1"/>
  <c r="DI191" i="24"/>
  <c r="DB191" i="24"/>
  <c r="DE191" i="24" s="1"/>
  <c r="DF191" i="24" s="1"/>
  <c r="DG191" i="24" s="1"/>
  <c r="DM191" i="24"/>
  <c r="DA138" i="24"/>
  <c r="DC138" i="24" s="1"/>
  <c r="DA223" i="24"/>
  <c r="DC223" i="24" s="1"/>
  <c r="DB92" i="24"/>
  <c r="DE92" i="24" s="1"/>
  <c r="DF92" i="24" s="1"/>
  <c r="DG92" i="24" s="1"/>
  <c r="DI92" i="24"/>
  <c r="DM92" i="24"/>
  <c r="DI117" i="24"/>
  <c r="DB117" i="24"/>
  <c r="DE117" i="24" s="1"/>
  <c r="DF117" i="24" s="1"/>
  <c r="DG117" i="24" s="1"/>
  <c r="DM117" i="24"/>
  <c r="DA63" i="24"/>
  <c r="DC63" i="24" s="1"/>
  <c r="DI270" i="24"/>
  <c r="DB270" i="24"/>
  <c r="DE270" i="24" s="1"/>
  <c r="DF270" i="24" s="1"/>
  <c r="DG270" i="24" s="1"/>
  <c r="DM270" i="24"/>
  <c r="DA76" i="24"/>
  <c r="DC76" i="24" s="1"/>
  <c r="DI76" i="24"/>
  <c r="DB76" i="24"/>
  <c r="DE76" i="24" s="1"/>
  <c r="DF76" i="24" s="1"/>
  <c r="DG76" i="24" s="1"/>
  <c r="DM76" i="24"/>
  <c r="DI134" i="24"/>
  <c r="DB134" i="24"/>
  <c r="DE134" i="24" s="1"/>
  <c r="DF134" i="24" s="1"/>
  <c r="DG134" i="24" s="1"/>
  <c r="DM134" i="24"/>
  <c r="DA88" i="24"/>
  <c r="DC88" i="24" s="1"/>
  <c r="DI130" i="24"/>
  <c r="DB130" i="24"/>
  <c r="DE130" i="24" s="1"/>
  <c r="DF130" i="24" s="1"/>
  <c r="DG130" i="24" s="1"/>
  <c r="DM130" i="24"/>
  <c r="DC195" i="24"/>
  <c r="DA170" i="24"/>
  <c r="DC170" i="24" s="1"/>
  <c r="DA143" i="24"/>
  <c r="DC143" i="24" s="1"/>
  <c r="DC293" i="24"/>
  <c r="DC246" i="24"/>
  <c r="DB218" i="24"/>
  <c r="DE218" i="24" s="1"/>
  <c r="DF218" i="24" s="1"/>
  <c r="DG218" i="24" s="1"/>
  <c r="DI218" i="24"/>
  <c r="DM218" i="24"/>
  <c r="DA101" i="24"/>
  <c r="DC101" i="24" s="1"/>
  <c r="DA197" i="24"/>
  <c r="DC197" i="24" s="1"/>
  <c r="DA54" i="24"/>
  <c r="DC54" i="24" s="1"/>
  <c r="DA265" i="24"/>
  <c r="DC265" i="24" s="1"/>
  <c r="DA279" i="24"/>
  <c r="DC279" i="24" s="1"/>
  <c r="DB225" i="24"/>
  <c r="DE225" i="24" s="1"/>
  <c r="DF225" i="24" s="1"/>
  <c r="DG225" i="24" s="1"/>
  <c r="DI225" i="24"/>
  <c r="DM225" i="24"/>
  <c r="DM59" i="24"/>
  <c r="DI59" i="24"/>
  <c r="DB59" i="24"/>
  <c r="DE59" i="24" s="1"/>
  <c r="DF59" i="24" s="1"/>
  <c r="DG59" i="24" s="1"/>
  <c r="DA141" i="24"/>
  <c r="DC141" i="24" s="1"/>
  <c r="DI268" i="24"/>
  <c r="DB268" i="24"/>
  <c r="DE268" i="24" s="1"/>
  <c r="DF268" i="24" s="1"/>
  <c r="DG268" i="24" s="1"/>
  <c r="DM268" i="24"/>
  <c r="DI102" i="24"/>
  <c r="DB102" i="24"/>
  <c r="DE102" i="24" s="1"/>
  <c r="DF102" i="24" s="1"/>
  <c r="DG102" i="24" s="1"/>
  <c r="DM102" i="24"/>
  <c r="DA50" i="24"/>
  <c r="DC50" i="24" s="1"/>
  <c r="DI50" i="24"/>
  <c r="DB50" i="24"/>
  <c r="DE50" i="24" s="1"/>
  <c r="DF50" i="24" s="1"/>
  <c r="DG50" i="24" s="1"/>
  <c r="DM50" i="24"/>
  <c r="DA235" i="24"/>
  <c r="DC235" i="24" s="1"/>
  <c r="DA84" i="24"/>
  <c r="DC84" i="24" s="1"/>
  <c r="DC133" i="24"/>
  <c r="DA250" i="24"/>
  <c r="DC250" i="24" s="1"/>
  <c r="DB250" i="24"/>
  <c r="DE250" i="24" s="1"/>
  <c r="DF250" i="24" s="1"/>
  <c r="DG250" i="24" s="1"/>
  <c r="DI250" i="24"/>
  <c r="DM250" i="24"/>
  <c r="DC187" i="24"/>
  <c r="DC236" i="24"/>
  <c r="DC139" i="24"/>
  <c r="DI219" i="24"/>
  <c r="DB219" i="24"/>
  <c r="DE219" i="24" s="1"/>
  <c r="DF219" i="24" s="1"/>
  <c r="DG219" i="24" s="1"/>
  <c r="DM219" i="24"/>
  <c r="DC162" i="24"/>
  <c r="DC146" i="24"/>
  <c r="DC221" i="24"/>
  <c r="DA15" i="24"/>
  <c r="DC15" i="24" s="1"/>
  <c r="DA219" i="24"/>
  <c r="DC219" i="24" s="1"/>
  <c r="DA14" i="24"/>
  <c r="DC14" i="24" s="1"/>
  <c r="DB14" i="24"/>
  <c r="DE14" i="24" s="1"/>
  <c r="DF14" i="24" s="1"/>
  <c r="DG14" i="24" s="1"/>
  <c r="DI14" i="24"/>
  <c r="DM14" i="24"/>
  <c r="DC287" i="24"/>
  <c r="DA115" i="24"/>
  <c r="DC115" i="24" s="1"/>
  <c r="DI115" i="24"/>
  <c r="DB115" i="24"/>
  <c r="DE115" i="24" s="1"/>
  <c r="DF115" i="24" s="1"/>
  <c r="DG115" i="24" s="1"/>
  <c r="DM115" i="24"/>
  <c r="DI187" i="24"/>
  <c r="DB187" i="24"/>
  <c r="DE187" i="24" s="1"/>
  <c r="DF187" i="24" s="1"/>
  <c r="DG187" i="24" s="1"/>
  <c r="DM187" i="24"/>
  <c r="DI221" i="24"/>
  <c r="DB221" i="24"/>
  <c r="DE221" i="24" s="1"/>
  <c r="DF221" i="24" s="1"/>
  <c r="DG221" i="24" s="1"/>
  <c r="DM221" i="24"/>
  <c r="DC161" i="24"/>
  <c r="DC234" i="24"/>
  <c r="DA123" i="24"/>
  <c r="DC123" i="24" s="1"/>
  <c r="DC255" i="24"/>
  <c r="DI148" i="24"/>
  <c r="DB148" i="24"/>
  <c r="DE148" i="24" s="1"/>
  <c r="DF148" i="24" s="1"/>
  <c r="DG148" i="24" s="1"/>
  <c r="DM148" i="24"/>
  <c r="DA205" i="24"/>
  <c r="DC205" i="24" s="1"/>
  <c r="DA208" i="24"/>
  <c r="DC208" i="24" s="1"/>
  <c r="DA314" i="24"/>
  <c r="DC314" i="24" s="1"/>
  <c r="DA40" i="24"/>
  <c r="DC40" i="24" s="1"/>
  <c r="DI120" i="24"/>
  <c r="DB120" i="24"/>
  <c r="DE120" i="24" s="1"/>
  <c r="DF120" i="24" s="1"/>
  <c r="DG120" i="24" s="1"/>
  <c r="DM120" i="24"/>
  <c r="DI132" i="24"/>
  <c r="DB132" i="24"/>
  <c r="DE132" i="24" s="1"/>
  <c r="DF132" i="24" s="1"/>
  <c r="DG132" i="24" s="1"/>
  <c r="DM132" i="24"/>
  <c r="DA52" i="24"/>
  <c r="DC52" i="24" s="1"/>
  <c r="DB52" i="24"/>
  <c r="DE52" i="24" s="1"/>
  <c r="DF52" i="24" s="1"/>
  <c r="DG52" i="24" s="1"/>
  <c r="DI52" i="24"/>
  <c r="DM52" i="24"/>
  <c r="DC257" i="24"/>
  <c r="DC243" i="24"/>
  <c r="DB62" i="24"/>
  <c r="DE62" i="24" s="1"/>
  <c r="DF62" i="24" s="1"/>
  <c r="DG62" i="24" s="1"/>
  <c r="DI62" i="24"/>
  <c r="DM62" i="24"/>
  <c r="DI151" i="24"/>
  <c r="DB151" i="24"/>
  <c r="DE151" i="24" s="1"/>
  <c r="DF151" i="24" s="1"/>
  <c r="DG151" i="24" s="1"/>
  <c r="DM151" i="24"/>
  <c r="DI49" i="24"/>
  <c r="DB49" i="24"/>
  <c r="DE49" i="24" s="1"/>
  <c r="DF49" i="24" s="1"/>
  <c r="DG49" i="24" s="1"/>
  <c r="DM49" i="24"/>
  <c r="DI131" i="24"/>
  <c r="DB131" i="24"/>
  <c r="DE131" i="24" s="1"/>
  <c r="DF131" i="24" s="1"/>
  <c r="DG131" i="24" s="1"/>
  <c r="DM131" i="24"/>
  <c r="DC269" i="24"/>
  <c r="DI230" i="24"/>
  <c r="DB230" i="24"/>
  <c r="DE230" i="24" s="1"/>
  <c r="DF230" i="24" s="1"/>
  <c r="DG230" i="24" s="1"/>
  <c r="DM230" i="24"/>
  <c r="DI293" i="24"/>
  <c r="DB293" i="24"/>
  <c r="DE293" i="24" s="1"/>
  <c r="DF293" i="24" s="1"/>
  <c r="DG293" i="24" s="1"/>
  <c r="DM293" i="24"/>
  <c r="DC124" i="24"/>
  <c r="DI114" i="24"/>
  <c r="DB114" i="24"/>
  <c r="DE114" i="24" s="1"/>
  <c r="DF114" i="24" s="1"/>
  <c r="DG114" i="24" s="1"/>
  <c r="DM114" i="24"/>
  <c r="DI239" i="24"/>
  <c r="DB239" i="24"/>
  <c r="DE239" i="24" s="1"/>
  <c r="DF239" i="24" s="1"/>
  <c r="DG239" i="24" s="1"/>
  <c r="DM239" i="24"/>
  <c r="DA227" i="24"/>
  <c r="DC227" i="24" s="1"/>
  <c r="DI227" i="24"/>
  <c r="DB227" i="24"/>
  <c r="DE227" i="24" s="1"/>
  <c r="DF227" i="24" s="1"/>
  <c r="DG227" i="24" s="1"/>
  <c r="DM227" i="24"/>
  <c r="DB144" i="24"/>
  <c r="DE144" i="24" s="1"/>
  <c r="DF144" i="24" s="1"/>
  <c r="DG144" i="24" s="1"/>
  <c r="DI144" i="24"/>
  <c r="DM144" i="24"/>
  <c r="DA304" i="24"/>
  <c r="DC304" i="24" s="1"/>
  <c r="DA96" i="24"/>
  <c r="DC96" i="24" s="1"/>
  <c r="DB178" i="24"/>
  <c r="DE178" i="24" s="1"/>
  <c r="DF178" i="24" s="1"/>
  <c r="DG178" i="24" s="1"/>
  <c r="DI178" i="24"/>
  <c r="DM178" i="24"/>
  <c r="DB195" i="24"/>
  <c r="DE195" i="24" s="1"/>
  <c r="DF195" i="24" s="1"/>
  <c r="DG195" i="24" s="1"/>
  <c r="DI195" i="24"/>
  <c r="DM195" i="24"/>
  <c r="DC280" i="24"/>
  <c r="DI38" i="24"/>
  <c r="DB38" i="24"/>
  <c r="DE38" i="24" s="1"/>
  <c r="DF38" i="24" s="1"/>
  <c r="DG38" i="24" s="1"/>
  <c r="DM38" i="24"/>
  <c r="DI23" i="24"/>
  <c r="DB23" i="24"/>
  <c r="DE23" i="24" s="1"/>
  <c r="DF23" i="24" s="1"/>
  <c r="DG23" i="24" s="1"/>
  <c r="DM23" i="24"/>
  <c r="DB310" i="24"/>
  <c r="DE310" i="24" s="1"/>
  <c r="DF310" i="24" s="1"/>
  <c r="DG310" i="24" s="1"/>
  <c r="DI310" i="24"/>
  <c r="DM310" i="24"/>
  <c r="DI85" i="24"/>
  <c r="DB85" i="24"/>
  <c r="DE85" i="24" s="1"/>
  <c r="DF85" i="24" s="1"/>
  <c r="DG85" i="24" s="1"/>
  <c r="DM85" i="24"/>
  <c r="DA134" i="24"/>
  <c r="DC134" i="24" s="1"/>
  <c r="DI243" i="24"/>
  <c r="DB243" i="24"/>
  <c r="DE243" i="24" s="1"/>
  <c r="DF243" i="24" s="1"/>
  <c r="DG243" i="24" s="1"/>
  <c r="DM243" i="24"/>
  <c r="DM39" i="24"/>
  <c r="DB39" i="24"/>
  <c r="DE39" i="24" s="1"/>
  <c r="DF39" i="24" s="1"/>
  <c r="DG39" i="24" s="1"/>
  <c r="DI39" i="24"/>
  <c r="DB124" i="24"/>
  <c r="DE124" i="24" s="1"/>
  <c r="DF124" i="24" s="1"/>
  <c r="DG124" i="24" s="1"/>
  <c r="DI124" i="24"/>
  <c r="DM124" i="24"/>
  <c r="DI37" i="24"/>
  <c r="DB37" i="24"/>
  <c r="DE37" i="24" s="1"/>
  <c r="DF37" i="24" s="1"/>
  <c r="DG37" i="24" s="1"/>
  <c r="DM37" i="24"/>
  <c r="DI17" i="24"/>
  <c r="DB17" i="24"/>
  <c r="DE17" i="24" s="1"/>
  <c r="DF17" i="24" s="1"/>
  <c r="DG17" i="24" s="1"/>
  <c r="DM17" i="24"/>
  <c r="DA310" i="24"/>
  <c r="DC310" i="24" s="1"/>
  <c r="DA144" i="24"/>
  <c r="DC144" i="24" s="1"/>
  <c r="DI303" i="24"/>
  <c r="DB303" i="24"/>
  <c r="DE303" i="24" s="1"/>
  <c r="DF303" i="24" s="1"/>
  <c r="DG303" i="24" s="1"/>
  <c r="DM303" i="24"/>
  <c r="DI25" i="24"/>
  <c r="DB25" i="24"/>
  <c r="DE25" i="24" s="1"/>
  <c r="DF25" i="24" s="1"/>
  <c r="DG25" i="24" s="1"/>
  <c r="DM25" i="24"/>
  <c r="DA248" i="24"/>
  <c r="DC248" i="24" s="1"/>
  <c r="DI248" i="24"/>
  <c r="DB248" i="24"/>
  <c r="DE248" i="24" s="1"/>
  <c r="DF248" i="24" s="1"/>
  <c r="DG248" i="24" s="1"/>
  <c r="DM248" i="24"/>
  <c r="DB67" i="24"/>
  <c r="DE67" i="24" s="1"/>
  <c r="DF67" i="24" s="1"/>
  <c r="DG67" i="24" s="1"/>
  <c r="DI67" i="24"/>
  <c r="DM67" i="24"/>
  <c r="DI104" i="24"/>
  <c r="DB104" i="24"/>
  <c r="DE104" i="24" s="1"/>
  <c r="DF104" i="24" s="1"/>
  <c r="DG104" i="24" s="1"/>
  <c r="DM104" i="24"/>
  <c r="DI58" i="24"/>
  <c r="DB58" i="24"/>
  <c r="DE58" i="24" s="1"/>
  <c r="DF58" i="24" s="1"/>
  <c r="DG58" i="24" s="1"/>
  <c r="DM58" i="24"/>
  <c r="DI285" i="24"/>
  <c r="DB285" i="24"/>
  <c r="DE285" i="24" s="1"/>
  <c r="DF285" i="24" s="1"/>
  <c r="DG285" i="24" s="1"/>
  <c r="DM285" i="24"/>
  <c r="DC200" i="24"/>
  <c r="DI244" i="24"/>
  <c r="DB244" i="24"/>
  <c r="DE244" i="24" s="1"/>
  <c r="DF244" i="24" s="1"/>
  <c r="DG244" i="24" s="1"/>
  <c r="DM244" i="24"/>
  <c r="DB86" i="24"/>
  <c r="DE86" i="24" s="1"/>
  <c r="DF86" i="24" s="1"/>
  <c r="DG86" i="24" s="1"/>
  <c r="DI86" i="24"/>
  <c r="DM86" i="24"/>
  <c r="DI139" i="24"/>
  <c r="DB139" i="24"/>
  <c r="DE139" i="24" s="1"/>
  <c r="DF139" i="24" s="1"/>
  <c r="DG139" i="24" s="1"/>
  <c r="DM139" i="24"/>
  <c r="DA156" i="24"/>
  <c r="DC156" i="24" s="1"/>
  <c r="DC192" i="24"/>
  <c r="DA263" i="24"/>
  <c r="DC263" i="24" s="1"/>
  <c r="DA17" i="24"/>
  <c r="DC17" i="24" s="1"/>
  <c r="DB282" i="24"/>
  <c r="DE282" i="24" s="1"/>
  <c r="DF282" i="24" s="1"/>
  <c r="DG282" i="24" s="1"/>
  <c r="DI282" i="24"/>
  <c r="DM282" i="24"/>
  <c r="DC300" i="24"/>
  <c r="DA64" i="24"/>
  <c r="DC64" i="24" s="1"/>
  <c r="DA136" i="24"/>
  <c r="DC136" i="24" s="1"/>
  <c r="DI45" i="24"/>
  <c r="DB45" i="24"/>
  <c r="DE45" i="24" s="1"/>
  <c r="DF45" i="24" s="1"/>
  <c r="DG45" i="24" s="1"/>
  <c r="DM45" i="24"/>
  <c r="DI240" i="24"/>
  <c r="DB240" i="24"/>
  <c r="DE240" i="24" s="1"/>
  <c r="DF240" i="24" s="1"/>
  <c r="DG240" i="24" s="1"/>
  <c r="DM240" i="24"/>
  <c r="DB298" i="24"/>
  <c r="DE298" i="24" s="1"/>
  <c r="DF298" i="24" s="1"/>
  <c r="DG298" i="24" s="1"/>
  <c r="DI298" i="24"/>
  <c r="DM298" i="24"/>
  <c r="DC259" i="24"/>
  <c r="DA41" i="24"/>
  <c r="DC41" i="24" s="1"/>
  <c r="DB233" i="24"/>
  <c r="DE233" i="24" s="1"/>
  <c r="DF233" i="24" s="1"/>
  <c r="DG233" i="24" s="1"/>
  <c r="DI233" i="24"/>
  <c r="DM233" i="24"/>
  <c r="DI311" i="24"/>
  <c r="DB311" i="24"/>
  <c r="DE311" i="24" s="1"/>
  <c r="DF311" i="24" s="1"/>
  <c r="DG311" i="24" s="1"/>
  <c r="DM311" i="24"/>
  <c r="DC172" i="24"/>
  <c r="DB236" i="24"/>
  <c r="DE236" i="24" s="1"/>
  <c r="DF236" i="24" s="1"/>
  <c r="DG236" i="24" s="1"/>
  <c r="DI236" i="24"/>
  <c r="DM236" i="24"/>
  <c r="DA11" i="24"/>
  <c r="DC11" i="24" s="1"/>
  <c r="DB11" i="24"/>
  <c r="DE11" i="24" s="1"/>
  <c r="DF11" i="24" s="1"/>
  <c r="DG11" i="24" s="1"/>
  <c r="DI11" i="24"/>
  <c r="DM11" i="24"/>
  <c r="DI176" i="24"/>
  <c r="DB176" i="24"/>
  <c r="DE176" i="24" s="1"/>
  <c r="DF176" i="24" s="1"/>
  <c r="DG176" i="24" s="1"/>
  <c r="DM176" i="24"/>
  <c r="DI169" i="24"/>
  <c r="DB169" i="24"/>
  <c r="DE169" i="24" s="1"/>
  <c r="DF169" i="24" s="1"/>
  <c r="DG169" i="24" s="1"/>
  <c r="DM169" i="24"/>
  <c r="DB48" i="24"/>
  <c r="DE48" i="24" s="1"/>
  <c r="DF48" i="24" s="1"/>
  <c r="DG48" i="24" s="1"/>
  <c r="DI48" i="24"/>
  <c r="DM48" i="24"/>
  <c r="DI7" i="24"/>
  <c r="DB7" i="24"/>
  <c r="DE7" i="24" s="1"/>
  <c r="DF7" i="24" s="1"/>
  <c r="DG7" i="24" s="1"/>
  <c r="DM7" i="24"/>
  <c r="DI34" i="24"/>
  <c r="DB34" i="24"/>
  <c r="DE34" i="24" s="1"/>
  <c r="DF34" i="24" s="1"/>
  <c r="DG34" i="24" s="1"/>
  <c r="DM34" i="24"/>
  <c r="DA210" i="24"/>
  <c r="DC210" i="24" s="1"/>
  <c r="DA228" i="24"/>
  <c r="DC228" i="24" s="1"/>
  <c r="DC176" i="24"/>
  <c r="DB35" i="24"/>
  <c r="DE35" i="24" s="1"/>
  <c r="DF35" i="24" s="1"/>
  <c r="DG35" i="24" s="1"/>
  <c r="DI35" i="24"/>
  <c r="DM35" i="24"/>
  <c r="DI288" i="24"/>
  <c r="DB288" i="24"/>
  <c r="DE288" i="24" s="1"/>
  <c r="DF288" i="24" s="1"/>
  <c r="DG288" i="24" s="1"/>
  <c r="DM288" i="24"/>
  <c r="DA274" i="24"/>
  <c r="DC274" i="24" s="1"/>
  <c r="DI57" i="24"/>
  <c r="DB57" i="24"/>
  <c r="DE57" i="24" s="1"/>
  <c r="DF57" i="24" s="1"/>
  <c r="DG57" i="24" s="1"/>
  <c r="DM57" i="24"/>
  <c r="DI42" i="24"/>
  <c r="DB42" i="24"/>
  <c r="DE42" i="24" s="1"/>
  <c r="DF42" i="24" s="1"/>
  <c r="DG42" i="24" s="1"/>
  <c r="DM42" i="24"/>
  <c r="DI140" i="24"/>
  <c r="DB140" i="24"/>
  <c r="DE140" i="24" s="1"/>
  <c r="DF140" i="24" s="1"/>
  <c r="DG140" i="24" s="1"/>
  <c r="DM140" i="24"/>
  <c r="DI196" i="24"/>
  <c r="DB196" i="24"/>
  <c r="DE196" i="24" s="1"/>
  <c r="DF196" i="24" s="1"/>
  <c r="DG196" i="24" s="1"/>
  <c r="DM196" i="24"/>
  <c r="DI252" i="24"/>
  <c r="DB252" i="24"/>
  <c r="DE252" i="24" s="1"/>
  <c r="DF252" i="24" s="1"/>
  <c r="DG252" i="24" s="1"/>
  <c r="DM252" i="24"/>
  <c r="DB33" i="24"/>
  <c r="DE33" i="24" s="1"/>
  <c r="DF33" i="24" s="1"/>
  <c r="DG33" i="24" s="1"/>
  <c r="DI33" i="24"/>
  <c r="DM33" i="24"/>
  <c r="DI154" i="24"/>
  <c r="DB154" i="24"/>
  <c r="DE154" i="24" s="1"/>
  <c r="DF154" i="24" s="1"/>
  <c r="DG154" i="24" s="1"/>
  <c r="DM154" i="24"/>
  <c r="DI71" i="24"/>
  <c r="DB71" i="24"/>
  <c r="DE71" i="24" s="1"/>
  <c r="DF71" i="24" s="1"/>
  <c r="DG71" i="24" s="1"/>
  <c r="DM71" i="24"/>
  <c r="DA239" i="24"/>
  <c r="DC239" i="24" s="1"/>
  <c r="DI24" i="24"/>
  <c r="DB24" i="24"/>
  <c r="DE24" i="24" s="1"/>
  <c r="DF24" i="24" s="1"/>
  <c r="DG24" i="24" s="1"/>
  <c r="DM24" i="24"/>
  <c r="DI55" i="24"/>
  <c r="DB55" i="24"/>
  <c r="DE55" i="24" s="1"/>
  <c r="DF55" i="24" s="1"/>
  <c r="DG55" i="24" s="1"/>
  <c r="DM55" i="24"/>
  <c r="DC166" i="24"/>
  <c r="DI246" i="24"/>
  <c r="DB246" i="24"/>
  <c r="DE246" i="24" s="1"/>
  <c r="DF246" i="24" s="1"/>
  <c r="DG246" i="24" s="1"/>
  <c r="DM246" i="24"/>
  <c r="DA229" i="24"/>
  <c r="DC229" i="24" s="1"/>
  <c r="DB229" i="24"/>
  <c r="DE229" i="24" s="1"/>
  <c r="DF229" i="24" s="1"/>
  <c r="DG229" i="24" s="1"/>
  <c r="DI229" i="24"/>
  <c r="DM229" i="24"/>
  <c r="DI165" i="24"/>
  <c r="DB165" i="24"/>
  <c r="DE165" i="24" s="1"/>
  <c r="DF165" i="24" s="1"/>
  <c r="DG165" i="24" s="1"/>
  <c r="DM165" i="24"/>
  <c r="DI280" i="24"/>
  <c r="DB280" i="24"/>
  <c r="DE280" i="24" s="1"/>
  <c r="DF280" i="24" s="1"/>
  <c r="DG280" i="24" s="1"/>
  <c r="DM280" i="24"/>
  <c r="DC127" i="24"/>
  <c r="DC260" i="24"/>
  <c r="DA145" i="24"/>
  <c r="DC145" i="24" s="1"/>
  <c r="DA117" i="24"/>
  <c r="DC117" i="24" s="1"/>
  <c r="DC273" i="24"/>
  <c r="DA90" i="24"/>
  <c r="DC90" i="24" s="1"/>
  <c r="DA305" i="24"/>
  <c r="DC305" i="24" s="1"/>
  <c r="DB305" i="24"/>
  <c r="DE305" i="24" s="1"/>
  <c r="DF305" i="24" s="1"/>
  <c r="DG305" i="24" s="1"/>
  <c r="DI305" i="24"/>
  <c r="DM305" i="24"/>
  <c r="DA55" i="24"/>
  <c r="DC55" i="24" s="1"/>
  <c r="DA266" i="24"/>
  <c r="DC266" i="24" s="1"/>
  <c r="DA114" i="24"/>
  <c r="DC114" i="24" s="1"/>
  <c r="DB142" i="24"/>
  <c r="DE142" i="24" s="1"/>
  <c r="DF142" i="24" s="1"/>
  <c r="DG142" i="24" s="1"/>
  <c r="DI142" i="24"/>
  <c r="DM142" i="24"/>
  <c r="DI125" i="24"/>
  <c r="DB125" i="24"/>
  <c r="DE125" i="24" s="1"/>
  <c r="DF125" i="24" s="1"/>
  <c r="DG125" i="24" s="1"/>
  <c r="DM125" i="24"/>
  <c r="DI68" i="24"/>
  <c r="DB68" i="24"/>
  <c r="DE68" i="24" s="1"/>
  <c r="DF68" i="24" s="1"/>
  <c r="DG68" i="24" s="1"/>
  <c r="DM68" i="24"/>
  <c r="DC135" i="24"/>
  <c r="DB247" i="24"/>
  <c r="DE247" i="24" s="1"/>
  <c r="DF247" i="24" s="1"/>
  <c r="DG247" i="24" s="1"/>
  <c r="DI247" i="24"/>
  <c r="DM247" i="24"/>
  <c r="DA105" i="24"/>
  <c r="DC105" i="24" s="1"/>
  <c r="DI287" i="24"/>
  <c r="DB287" i="24"/>
  <c r="DE287" i="24" s="1"/>
  <c r="DF287" i="24" s="1"/>
  <c r="DG287" i="24" s="1"/>
  <c r="DM287" i="24"/>
  <c r="DI113" i="24"/>
  <c r="DB113" i="24"/>
  <c r="DE113" i="24" s="1"/>
  <c r="DF113" i="24" s="1"/>
  <c r="DG113" i="24" s="1"/>
  <c r="DM113" i="24"/>
  <c r="DB294" i="24"/>
  <c r="DE294" i="24" s="1"/>
  <c r="DF294" i="24" s="1"/>
  <c r="DG294" i="24" s="1"/>
  <c r="DI294" i="24"/>
  <c r="DM294" i="24"/>
  <c r="DC190" i="24"/>
  <c r="DB193" i="24"/>
  <c r="DE193" i="24" s="1"/>
  <c r="DF193" i="24" s="1"/>
  <c r="DG193" i="24" s="1"/>
  <c r="DI193" i="24"/>
  <c r="DM193" i="24"/>
  <c r="DI209" i="24"/>
  <c r="DB209" i="24"/>
  <c r="DE209" i="24" s="1"/>
  <c r="DF209" i="24" s="1"/>
  <c r="DG209" i="24" s="1"/>
  <c r="DM209" i="24"/>
  <c r="DI203" i="24"/>
  <c r="DB203" i="24"/>
  <c r="DE203" i="24" s="1"/>
  <c r="DF203" i="24" s="1"/>
  <c r="DG203" i="24" s="1"/>
  <c r="DM203" i="24"/>
  <c r="DI75" i="24"/>
  <c r="DB75" i="24"/>
  <c r="DE75" i="24" s="1"/>
  <c r="DF75" i="24" s="1"/>
  <c r="DG75" i="24" s="1"/>
  <c r="DM75" i="24"/>
  <c r="DI190" i="24"/>
  <c r="DB190" i="24"/>
  <c r="DE190" i="24" s="1"/>
  <c r="DF190" i="24" s="1"/>
  <c r="DG190" i="24" s="1"/>
  <c r="DM190" i="24"/>
  <c r="DI150" i="24"/>
  <c r="DB150" i="24"/>
  <c r="DE150" i="24" s="1"/>
  <c r="DF150" i="24" s="1"/>
  <c r="DG150" i="24" s="1"/>
  <c r="DM150" i="24"/>
  <c r="DA177" i="24"/>
  <c r="DC177" i="24" s="1"/>
  <c r="DC294" i="24"/>
  <c r="DB167" i="24"/>
  <c r="DE167" i="24" s="1"/>
  <c r="DF167" i="24" s="1"/>
  <c r="DG167" i="24" s="1"/>
  <c r="DI167" i="24"/>
  <c r="DM167" i="24"/>
  <c r="DA81" i="24"/>
  <c r="DC81" i="24" s="1"/>
  <c r="DB81" i="24"/>
  <c r="DE81" i="24" s="1"/>
  <c r="DF81" i="24" s="1"/>
  <c r="DG81" i="24" s="1"/>
  <c r="DI81" i="24"/>
  <c r="DM81" i="24"/>
  <c r="DA150" i="24"/>
  <c r="DC150" i="24" s="1"/>
  <c r="DI253" i="24"/>
  <c r="DB253" i="24"/>
  <c r="DE253" i="24" s="1"/>
  <c r="DF253" i="24" s="1"/>
  <c r="DG253" i="24" s="1"/>
  <c r="DM253" i="24"/>
  <c r="DC111" i="24"/>
  <c r="DI118" i="24"/>
  <c r="DB118" i="24"/>
  <c r="DE118" i="24" s="1"/>
  <c r="DF118" i="24" s="1"/>
  <c r="DG118" i="24" s="1"/>
  <c r="DM118" i="24"/>
  <c r="DB161" i="24"/>
  <c r="DE161" i="24" s="1"/>
  <c r="DF161" i="24" s="1"/>
  <c r="DG161" i="24" s="1"/>
  <c r="DI161" i="24"/>
  <c r="DM161" i="24"/>
  <c r="DA232" i="24"/>
  <c r="DC232" i="24" s="1"/>
  <c r="DB232" i="24"/>
  <c r="DE232" i="24" s="1"/>
  <c r="DF232" i="24" s="1"/>
  <c r="DG232" i="24" s="1"/>
  <c r="DI232" i="24"/>
  <c r="DM232" i="24"/>
  <c r="DC240" i="24"/>
  <c r="DI302" i="24"/>
  <c r="DB302" i="24"/>
  <c r="DE302" i="24" s="1"/>
  <c r="DF302" i="24" s="1"/>
  <c r="DG302" i="24" s="1"/>
  <c r="DM302" i="24"/>
  <c r="E56" i="1"/>
  <c r="N53" i="29"/>
  <c r="N309" i="29"/>
  <c r="M226" i="29"/>
  <c r="N150" i="29"/>
  <c r="M67" i="29"/>
  <c r="M323" i="29"/>
  <c r="N239" i="29"/>
  <c r="M160" i="29"/>
  <c r="N185" i="29"/>
  <c r="M102" i="29"/>
  <c r="N26" i="29"/>
  <c r="N282" i="29"/>
  <c r="M199" i="29"/>
  <c r="N115" i="29"/>
  <c r="M36" i="29"/>
  <c r="M292" i="29"/>
  <c r="N212" i="29"/>
  <c r="N101" i="29"/>
  <c r="M18" i="29"/>
  <c r="M274" i="29"/>
  <c r="N198" i="29"/>
  <c r="M115" i="29"/>
  <c r="N31" i="29"/>
  <c r="N287" i="29"/>
  <c r="M208" i="29"/>
  <c r="N128" i="29"/>
  <c r="M285" i="29"/>
  <c r="M54" i="29"/>
  <c r="N130" i="29"/>
  <c r="M203" i="29"/>
  <c r="N267" i="29"/>
  <c r="M328" i="29"/>
  <c r="N332" i="29"/>
  <c r="M562" i="29"/>
  <c r="N486" i="29"/>
  <c r="M407" i="29"/>
  <c r="M233" i="29"/>
  <c r="N209" i="29"/>
  <c r="M342" i="29"/>
  <c r="M139" i="29"/>
  <c r="N263" i="29"/>
  <c r="N40" i="29"/>
  <c r="M378" i="29"/>
  <c r="M257" i="29"/>
  <c r="N384" i="29"/>
  <c r="M587" i="29"/>
  <c r="N543" i="29"/>
  <c r="M468" i="29"/>
  <c r="M74" i="29"/>
  <c r="N206" i="29"/>
  <c r="M335" i="29"/>
  <c r="M124" i="29"/>
  <c r="N200" i="29"/>
  <c r="M502" i="29"/>
  <c r="N462" i="29"/>
  <c r="M419" i="29"/>
  <c r="N383" i="29"/>
  <c r="M109" i="29"/>
  <c r="N169" i="29"/>
  <c r="N114" i="29"/>
  <c r="N71" i="29"/>
  <c r="M340" i="29"/>
  <c r="M446" i="29"/>
  <c r="N506" i="29"/>
  <c r="M559" i="29"/>
  <c r="N603" i="29"/>
  <c r="M592" i="29"/>
  <c r="M513" i="29"/>
  <c r="N105" i="29"/>
  <c r="N50" i="29"/>
  <c r="M343" i="29"/>
  <c r="M280" i="29"/>
  <c r="N109" i="29"/>
  <c r="N62" i="29"/>
  <c r="M347" i="29"/>
  <c r="M288" i="29"/>
  <c r="M410" i="29"/>
  <c r="N470" i="29"/>
  <c r="M523" i="29"/>
  <c r="N571" i="29"/>
  <c r="M568" i="29"/>
  <c r="M489" i="29"/>
  <c r="N437" i="29"/>
  <c r="M22" i="29"/>
  <c r="N306" i="29"/>
  <c r="N85" i="29"/>
  <c r="N341" i="29"/>
  <c r="M258" i="29"/>
  <c r="N182" i="29"/>
  <c r="M99" i="29"/>
  <c r="N15" i="29"/>
  <c r="N271" i="29"/>
  <c r="M192" i="29"/>
  <c r="N217" i="29"/>
  <c r="M134" i="29"/>
  <c r="N58" i="29"/>
  <c r="N314" i="29"/>
  <c r="M231" i="29"/>
  <c r="N147" i="29"/>
  <c r="M68" i="29"/>
  <c r="M324" i="29"/>
  <c r="N244" i="29"/>
  <c r="N133" i="29"/>
  <c r="M50" i="29"/>
  <c r="M306" i="29"/>
  <c r="N230" i="29"/>
  <c r="M147" i="29"/>
  <c r="N63" i="29"/>
  <c r="N319" i="29"/>
  <c r="M240" i="29"/>
  <c r="N160" i="29"/>
  <c r="N33" i="29"/>
  <c r="M106" i="29"/>
  <c r="N178" i="29"/>
  <c r="M251" i="29"/>
  <c r="N323" i="29"/>
  <c r="N36" i="29"/>
  <c r="M221" i="29"/>
  <c r="M594" i="29"/>
  <c r="N518" i="29"/>
  <c r="M439" i="29"/>
  <c r="N367" i="29"/>
  <c r="N269" i="29"/>
  <c r="N66" i="29"/>
  <c r="M191" i="29"/>
  <c r="N327" i="29"/>
  <c r="N88" i="29"/>
  <c r="M414" i="29"/>
  <c r="N374" i="29"/>
  <c r="M197" i="29"/>
  <c r="N392" i="29"/>
  <c r="N575" i="29"/>
  <c r="M500" i="29"/>
  <c r="M126" i="29"/>
  <c r="N266" i="29"/>
  <c r="N55" i="29"/>
  <c r="M184" i="29"/>
  <c r="N252" i="29"/>
  <c r="M538" i="29"/>
  <c r="N498" i="29"/>
  <c r="M455" i="29"/>
  <c r="N419" i="29"/>
  <c r="M352" i="29"/>
  <c r="N253" i="29"/>
  <c r="N202" i="29"/>
  <c r="N139" i="29"/>
  <c r="N68" i="29"/>
  <c r="M494" i="29"/>
  <c r="N554" i="29"/>
  <c r="M611" i="29"/>
  <c r="M77" i="29"/>
  <c r="M273" i="29"/>
  <c r="M545" i="29"/>
  <c r="N177" i="29"/>
  <c r="N138" i="29"/>
  <c r="N75" i="29"/>
  <c r="M348" i="29"/>
  <c r="N193" i="29"/>
  <c r="N142" i="29"/>
  <c r="N87" i="29"/>
  <c r="N16" i="29"/>
  <c r="M458" i="29"/>
  <c r="N514" i="29"/>
  <c r="M575" i="29"/>
  <c r="M49" i="29"/>
  <c r="M600" i="29"/>
  <c r="M521" i="29"/>
  <c r="N469" i="29"/>
  <c r="M90" i="29"/>
  <c r="N117" i="29"/>
  <c r="M34" i="29"/>
  <c r="M290" i="29"/>
  <c r="N214" i="29"/>
  <c r="M131" i="29"/>
  <c r="N47" i="29"/>
  <c r="N303" i="29"/>
  <c r="M224" i="29"/>
  <c r="N249" i="29"/>
  <c r="M166" i="29"/>
  <c r="N90" i="29"/>
  <c r="N346" i="29"/>
  <c r="M263" i="29"/>
  <c r="N179" i="29"/>
  <c r="M100" i="29"/>
  <c r="N20" i="29"/>
  <c r="N276" i="29"/>
  <c r="N165" i="29"/>
  <c r="M82" i="29"/>
  <c r="M338" i="29"/>
  <c r="N262" i="29"/>
  <c r="M179" i="29"/>
  <c r="N95" i="29"/>
  <c r="M16" i="29"/>
  <c r="M272" i="29"/>
  <c r="N192" i="29"/>
  <c r="N81" i="29"/>
  <c r="M154" i="29"/>
  <c r="N234" i="29"/>
  <c r="M303" i="29"/>
  <c r="M40" i="29"/>
  <c r="N76" i="29"/>
  <c r="M370" i="29"/>
  <c r="N388" i="29"/>
  <c r="N550" i="29"/>
  <c r="M471" i="29"/>
  <c r="N399" i="29"/>
  <c r="N329" i="29"/>
  <c r="N126" i="29"/>
  <c r="M255" i="29"/>
  <c r="M52" i="29"/>
  <c r="N136" i="29"/>
  <c r="M450" i="29"/>
  <c r="N410" i="29"/>
  <c r="M367" i="29"/>
  <c r="M201" i="29"/>
  <c r="N607" i="29"/>
  <c r="N61" i="29"/>
  <c r="M186" i="29"/>
  <c r="N322" i="29"/>
  <c r="N107" i="29"/>
  <c r="M248" i="29"/>
  <c r="N300" i="29"/>
  <c r="M574" i="29"/>
  <c r="N534" i="29"/>
  <c r="M491" i="29"/>
  <c r="N455" i="29"/>
  <c r="M384" i="29"/>
  <c r="N321" i="29"/>
  <c r="N274" i="29"/>
  <c r="N227" i="29"/>
  <c r="N132" i="29"/>
  <c r="M546" i="29"/>
  <c r="N602" i="29"/>
  <c r="M169" i="29"/>
  <c r="M360" i="29"/>
  <c r="M117" i="29"/>
  <c r="M577" i="29"/>
  <c r="N257" i="29"/>
  <c r="N210" i="29"/>
  <c r="N155" i="29"/>
  <c r="N72" i="29"/>
  <c r="N265" i="29"/>
  <c r="N222" i="29"/>
  <c r="N163" i="29"/>
  <c r="N80" i="29"/>
  <c r="M510" i="29"/>
  <c r="N566" i="29"/>
  <c r="M337" i="29"/>
  <c r="M173" i="29"/>
  <c r="N376" i="29"/>
  <c r="M553" i="29"/>
  <c r="N501" i="29"/>
  <c r="M174" i="29"/>
  <c r="N149" i="29"/>
  <c r="M66" i="29"/>
  <c r="M322" i="29"/>
  <c r="N246" i="29"/>
  <c r="M163" i="29"/>
  <c r="N79" i="29"/>
  <c r="N335" i="29"/>
  <c r="N25" i="29"/>
  <c r="N281" i="29"/>
  <c r="M198" i="29"/>
  <c r="N122" i="29"/>
  <c r="M39" i="29"/>
  <c r="M295" i="29"/>
  <c r="N211" i="29"/>
  <c r="M132" i="29"/>
  <c r="N52" i="29"/>
  <c r="N308" i="29"/>
  <c r="N197" i="29"/>
  <c r="M114" i="29"/>
  <c r="N38" i="29"/>
  <c r="N294" i="29"/>
  <c r="M211" i="29"/>
  <c r="N127" i="29"/>
  <c r="M48" i="29"/>
  <c r="M304" i="29"/>
  <c r="N224" i="29"/>
  <c r="N137" i="29"/>
  <c r="M206" i="29"/>
  <c r="N286" i="29"/>
  <c r="M351" i="29"/>
  <c r="M88" i="29"/>
  <c r="N120" i="29"/>
  <c r="M402" i="29"/>
  <c r="M161" i="29"/>
  <c r="N582" i="29"/>
  <c r="M503" i="29"/>
  <c r="N431" i="29"/>
  <c r="M46" i="29"/>
  <c r="N190" i="29"/>
  <c r="M315" i="29"/>
  <c r="M108" i="29"/>
  <c r="N184" i="29"/>
  <c r="M486" i="29"/>
  <c r="N446" i="29"/>
  <c r="M403" i="29"/>
  <c r="N371" i="29"/>
  <c r="N468" i="29"/>
  <c r="N113" i="29"/>
  <c r="M246" i="29"/>
  <c r="M43" i="29"/>
  <c r="N171" i="29"/>
  <c r="M296" i="29"/>
  <c r="N348" i="29"/>
  <c r="M610" i="29"/>
  <c r="N570" i="29"/>
  <c r="M527" i="29"/>
  <c r="N491" i="29"/>
  <c r="M416" i="29"/>
  <c r="M62" i="29"/>
  <c r="M15" i="29"/>
  <c r="N299" i="29"/>
  <c r="N196" i="29"/>
  <c r="M590" i="29"/>
  <c r="M101" i="29"/>
  <c r="N379" i="29"/>
  <c r="M400" i="29"/>
  <c r="M353" i="29"/>
  <c r="M609" i="29"/>
  <c r="N333" i="29"/>
  <c r="N290" i="29"/>
  <c r="N235" i="29"/>
  <c r="N140" i="29"/>
  <c r="N349" i="29"/>
  <c r="N298" i="29"/>
  <c r="N247" i="29"/>
  <c r="N144" i="29"/>
  <c r="M554" i="29"/>
  <c r="M145" i="29"/>
  <c r="M297" i="29"/>
  <c r="M368" i="29"/>
  <c r="M181" i="29"/>
  <c r="M585" i="29"/>
  <c r="N533" i="29"/>
  <c r="M250" i="29"/>
  <c r="N181" i="29"/>
  <c r="M98" i="29"/>
  <c r="N22" i="29"/>
  <c r="N278" i="29"/>
  <c r="M195" i="29"/>
  <c r="N111" i="29"/>
  <c r="M32" i="29"/>
  <c r="N57" i="29"/>
  <c r="N313" i="29"/>
  <c r="M230" i="29"/>
  <c r="N154" i="29"/>
  <c r="M71" i="29"/>
  <c r="M327" i="29"/>
  <c r="N243" i="29"/>
  <c r="M164" i="29"/>
  <c r="N84" i="29"/>
  <c r="N340" i="29"/>
  <c r="N229" i="29"/>
  <c r="M146" i="29"/>
  <c r="N70" i="29"/>
  <c r="N326" i="29"/>
  <c r="M243" i="29"/>
  <c r="N159" i="29"/>
  <c r="M80" i="29"/>
  <c r="M336" i="29"/>
  <c r="N256" i="29"/>
  <c r="N189" i="29"/>
  <c r="M254" i="29"/>
  <c r="N334" i="29"/>
  <c r="N67" i="29"/>
  <c r="M140" i="29"/>
  <c r="N164" i="29"/>
  <c r="M434" i="29"/>
  <c r="N358" i="29"/>
  <c r="M13" i="29"/>
  <c r="M535" i="29"/>
  <c r="N463" i="29"/>
  <c r="M110" i="29"/>
  <c r="N242" i="29"/>
  <c r="N35" i="29"/>
  <c r="M168" i="29"/>
  <c r="N232" i="29"/>
  <c r="M522" i="29"/>
  <c r="N482" i="29"/>
  <c r="M443" i="29"/>
  <c r="N407" i="29"/>
  <c r="M269" i="29"/>
  <c r="N173" i="29"/>
  <c r="M302" i="29"/>
  <c r="M107" i="29"/>
  <c r="N231" i="29"/>
  <c r="M344" i="29"/>
  <c r="M354" i="29"/>
  <c r="M65" i="29"/>
  <c r="N606" i="29"/>
  <c r="M563" i="29"/>
  <c r="N523" i="29"/>
  <c r="M448" i="29"/>
  <c r="M142" i="29"/>
  <c r="M91" i="29"/>
  <c r="M44" i="29"/>
  <c r="N264" i="29"/>
  <c r="M33" i="29"/>
  <c r="M363" i="29"/>
  <c r="N427" i="29"/>
  <c r="M444" i="29"/>
  <c r="M385" i="29"/>
  <c r="M217" i="29"/>
  <c r="M78" i="29"/>
  <c r="M27" i="29"/>
  <c r="N311" i="29"/>
  <c r="N208" i="29"/>
  <c r="M86" i="29"/>
  <c r="M31" i="29"/>
  <c r="N315" i="29"/>
  <c r="N216" i="29"/>
  <c r="M606" i="29"/>
  <c r="M165" i="29"/>
  <c r="N391" i="29"/>
  <c r="M412" i="29"/>
  <c r="M361" i="29"/>
  <c r="M25" i="29"/>
  <c r="N45" i="29"/>
  <c r="M330" i="29"/>
  <c r="N213" i="29"/>
  <c r="M130" i="29"/>
  <c r="N54" i="29"/>
  <c r="N310" i="29"/>
  <c r="M227" i="29"/>
  <c r="N143" i="29"/>
  <c r="M64" i="29"/>
  <c r="N89" i="29"/>
  <c r="N345" i="29"/>
  <c r="M262" i="29"/>
  <c r="N186" i="29"/>
  <c r="M103" i="29"/>
  <c r="N19" i="29"/>
  <c r="N275" i="29"/>
  <c r="M196" i="29"/>
  <c r="N116" i="29"/>
  <c r="M189" i="29"/>
  <c r="N261" i="29"/>
  <c r="M178" i="29"/>
  <c r="N102" i="29"/>
  <c r="M19" i="29"/>
  <c r="M275" i="29"/>
  <c r="N191" i="29"/>
  <c r="M112" i="29"/>
  <c r="N32" i="29"/>
  <c r="N288" i="29"/>
  <c r="N237" i="29"/>
  <c r="M310" i="29"/>
  <c r="M47" i="29"/>
  <c r="N119" i="29"/>
  <c r="M188" i="29"/>
  <c r="N204" i="29"/>
  <c r="M466" i="29"/>
  <c r="N390" i="29"/>
  <c r="M37" i="29"/>
  <c r="M567" i="29"/>
  <c r="N41" i="29"/>
  <c r="M170" i="29"/>
  <c r="N302" i="29"/>
  <c r="N91" i="29"/>
  <c r="M220" i="29"/>
  <c r="N280" i="29"/>
  <c r="M558" i="29"/>
  <c r="N522" i="29"/>
  <c r="M479" i="29"/>
  <c r="N443" i="29"/>
  <c r="M372" i="29"/>
  <c r="N233" i="29"/>
  <c r="N34" i="29"/>
  <c r="M159" i="29"/>
  <c r="N291" i="29"/>
  <c r="N56" i="29"/>
  <c r="M390" i="29"/>
  <c r="M349" i="29"/>
  <c r="N448" i="29"/>
  <c r="M603" i="29"/>
  <c r="N555" i="29"/>
  <c r="M480" i="29"/>
  <c r="M218" i="29"/>
  <c r="M175" i="29"/>
  <c r="M120" i="29"/>
  <c r="N324" i="29"/>
  <c r="N362" i="29"/>
  <c r="M415" i="29"/>
  <c r="N475" i="29"/>
  <c r="M488" i="29"/>
  <c r="M417" i="29"/>
  <c r="N365" i="29"/>
  <c r="M150" i="29"/>
  <c r="M111" i="29"/>
  <c r="M56" i="29"/>
  <c r="N268" i="29"/>
  <c r="M158" i="29"/>
  <c r="M119" i="29"/>
  <c r="M60" i="29"/>
  <c r="N272" i="29"/>
  <c r="M129" i="29"/>
  <c r="M379" i="29"/>
  <c r="N439" i="29"/>
  <c r="M456" i="29"/>
  <c r="M393" i="29"/>
  <c r="M281" i="29"/>
  <c r="N125" i="29"/>
  <c r="N74" i="29"/>
  <c r="N245" i="29"/>
  <c r="M162" i="29"/>
  <c r="N86" i="29"/>
  <c r="N342" i="29"/>
  <c r="M259" i="29"/>
  <c r="N175" i="29"/>
  <c r="M96" i="29"/>
  <c r="N121" i="29"/>
  <c r="M38" i="29"/>
  <c r="M294" i="29"/>
  <c r="N218" i="29"/>
  <c r="M135" i="29"/>
  <c r="N51" i="29"/>
  <c r="N307" i="29"/>
  <c r="M228" i="29"/>
  <c r="N148" i="29"/>
  <c r="N37" i="29"/>
  <c r="N293" i="29"/>
  <c r="M210" i="29"/>
  <c r="N134" i="29"/>
  <c r="M51" i="29"/>
  <c r="M307" i="29"/>
  <c r="N223" i="29"/>
  <c r="M144" i="29"/>
  <c r="N64" i="29"/>
  <c r="N320" i="29"/>
  <c r="N289" i="29"/>
  <c r="N30" i="29"/>
  <c r="M95" i="29"/>
  <c r="N167" i="29"/>
  <c r="M244" i="29"/>
  <c r="N248" i="29"/>
  <c r="M498" i="29"/>
  <c r="N422" i="29"/>
  <c r="M293" i="29"/>
  <c r="M599" i="29"/>
  <c r="N97" i="29"/>
  <c r="M222" i="29"/>
  <c r="M23" i="29"/>
  <c r="N151" i="29"/>
  <c r="M276" i="29"/>
  <c r="N328" i="29"/>
  <c r="M598" i="29"/>
  <c r="N558" i="29"/>
  <c r="M515" i="29"/>
  <c r="N479" i="29"/>
  <c r="M404" i="29"/>
  <c r="N297" i="29"/>
  <c r="N94" i="29"/>
  <c r="M219" i="29"/>
  <c r="N347" i="29"/>
  <c r="N104" i="29"/>
  <c r="M426" i="29"/>
  <c r="N386" i="29"/>
  <c r="M325" i="29"/>
  <c r="M41" i="29"/>
  <c r="N587" i="29"/>
  <c r="M512" i="29"/>
  <c r="M298" i="29"/>
  <c r="M247" i="29"/>
  <c r="M204" i="29"/>
  <c r="M346" i="29"/>
  <c r="N406" i="29"/>
  <c r="M463" i="29"/>
  <c r="N519" i="29"/>
  <c r="M528" i="29"/>
  <c r="M449" i="29"/>
  <c r="N397" i="29"/>
  <c r="M234" i="29"/>
  <c r="M183" i="29"/>
  <c r="M136" i="29"/>
  <c r="N336" i="29"/>
  <c r="M238" i="29"/>
  <c r="M187" i="29"/>
  <c r="M148" i="29"/>
  <c r="N344" i="29"/>
  <c r="N370" i="29"/>
  <c r="M427" i="29"/>
  <c r="N487" i="29"/>
  <c r="M496" i="29"/>
  <c r="M425" i="29"/>
  <c r="N373" i="29"/>
  <c r="N201" i="29"/>
  <c r="N158" i="29"/>
  <c r="N21" i="29"/>
  <c r="N277" i="29"/>
  <c r="M194" i="29"/>
  <c r="N118" i="29"/>
  <c r="M35" i="29"/>
  <c r="M291" i="29"/>
  <c r="N207" i="29"/>
  <c r="M128" i="29"/>
  <c r="N153" i="29"/>
  <c r="M70" i="29"/>
  <c r="M326" i="29"/>
  <c r="N250" i="29"/>
  <c r="M167" i="29"/>
  <c r="N83" i="29"/>
  <c r="N339" i="29"/>
  <c r="M260" i="29"/>
  <c r="N180" i="29"/>
  <c r="N69" i="29"/>
  <c r="N325" i="29"/>
  <c r="M242" i="29"/>
  <c r="N166" i="29"/>
  <c r="M83" i="29"/>
  <c r="M339" i="29"/>
  <c r="N255" i="29"/>
  <c r="M176" i="29"/>
  <c r="N96" i="29"/>
  <c r="M29" i="29"/>
  <c r="N337" i="29"/>
  <c r="N78" i="29"/>
  <c r="M151" i="29"/>
  <c r="N219" i="29"/>
  <c r="M284" i="29"/>
  <c r="N292" i="29"/>
  <c r="M530" i="29"/>
  <c r="N454" i="29"/>
  <c r="M375" i="29"/>
  <c r="N440" i="29"/>
  <c r="N157" i="29"/>
  <c r="M282" i="29"/>
  <c r="M79" i="29"/>
  <c r="N203" i="29"/>
  <c r="M320" i="29"/>
  <c r="M253" i="29"/>
  <c r="N436" i="29"/>
  <c r="N594" i="29"/>
  <c r="M551" i="29"/>
  <c r="N511" i="29"/>
  <c r="M436" i="29"/>
  <c r="M14" i="29"/>
  <c r="N146" i="29"/>
  <c r="M279" i="29"/>
  <c r="M72" i="29"/>
  <c r="N152" i="29"/>
  <c r="M462" i="29"/>
  <c r="N426" i="29"/>
  <c r="M383" i="29"/>
  <c r="M329" i="29"/>
  <c r="N360" i="29"/>
  <c r="N93" i="29"/>
  <c r="N46" i="29"/>
  <c r="M331" i="29"/>
  <c r="M268" i="29"/>
  <c r="M398" i="29"/>
  <c r="N458" i="29"/>
  <c r="M511" i="29"/>
  <c r="N563" i="29"/>
  <c r="M560" i="29"/>
  <c r="M481" i="29"/>
  <c r="N17" i="29"/>
  <c r="M314" i="29"/>
  <c r="M267" i="29"/>
  <c r="M212" i="29"/>
  <c r="N29" i="29"/>
  <c r="M318" i="29"/>
  <c r="M271" i="29"/>
  <c r="M216" i="29"/>
  <c r="M362" i="29"/>
  <c r="N418" i="29"/>
  <c r="M475" i="29"/>
  <c r="N531" i="29"/>
  <c r="M536" i="29"/>
  <c r="M457" i="29"/>
  <c r="N405" i="29"/>
  <c r="N273" i="29"/>
  <c r="N226" i="29"/>
  <c r="N251" i="29"/>
  <c r="N156" i="29"/>
  <c r="M566" i="29"/>
  <c r="M305" i="29"/>
  <c r="N351" i="29"/>
  <c r="M376" i="29"/>
  <c r="M213" i="29"/>
  <c r="M589" i="29"/>
  <c r="M42" i="29"/>
  <c r="N338" i="29"/>
  <c r="N283" i="29"/>
  <c r="N176" i="29"/>
  <c r="M582" i="29"/>
  <c r="N428" i="29"/>
  <c r="N363" i="29"/>
  <c r="M392" i="29"/>
  <c r="M309" i="29"/>
  <c r="M601" i="29"/>
  <c r="N350" i="29"/>
  <c r="M430" i="29"/>
  <c r="M543" i="29"/>
  <c r="M580" i="29"/>
  <c r="N429" i="29"/>
  <c r="N552" i="29"/>
  <c r="N361" i="29"/>
  <c r="N364" i="29"/>
  <c r="M59" i="29"/>
  <c r="M442" i="29"/>
  <c r="M555" i="29"/>
  <c r="M588" i="29"/>
  <c r="N433" i="29"/>
  <c r="N584" i="29"/>
  <c r="N241" i="29"/>
  <c r="M236" i="29"/>
  <c r="N510" i="29"/>
  <c r="N611" i="29"/>
  <c r="M517" i="29"/>
  <c r="N581" i="29"/>
  <c r="N354" i="29"/>
  <c r="M116" i="29"/>
  <c r="N285" i="29"/>
  <c r="M252" i="29"/>
  <c r="N530" i="29"/>
  <c r="N404" i="29"/>
  <c r="M529" i="29"/>
  <c r="N585" i="29"/>
  <c r="N27" i="29"/>
  <c r="N318" i="29"/>
  <c r="N77" i="29"/>
  <c r="M84" i="29"/>
  <c r="N438" i="29"/>
  <c r="N547" i="29"/>
  <c r="M469" i="29"/>
  <c r="N557" i="29"/>
  <c r="N270" i="29"/>
  <c r="N168" i="29"/>
  <c r="N546" i="29"/>
  <c r="N493" i="29"/>
  <c r="N59" i="29"/>
  <c r="M81" i="29"/>
  <c r="N403" i="29"/>
  <c r="M369" i="29"/>
  <c r="N497" i="29"/>
  <c r="N504" i="29"/>
  <c r="N417" i="29"/>
  <c r="N597" i="29"/>
  <c r="M55" i="29"/>
  <c r="N331" i="29"/>
  <c r="N220" i="29"/>
  <c r="N13" i="29"/>
  <c r="M229" i="29"/>
  <c r="N395" i="29"/>
  <c r="M420" i="29"/>
  <c r="M365" i="29"/>
  <c r="M57" i="29"/>
  <c r="M122" i="29"/>
  <c r="M75" i="29"/>
  <c r="M24" i="29"/>
  <c r="N240" i="29"/>
  <c r="N408" i="29"/>
  <c r="M355" i="29"/>
  <c r="N415" i="29"/>
  <c r="M432" i="29"/>
  <c r="M377" i="29"/>
  <c r="M153" i="29"/>
  <c r="M223" i="29"/>
  <c r="M526" i="29"/>
  <c r="M73" i="29"/>
  <c r="M21" i="29"/>
  <c r="N465" i="29"/>
  <c r="N496" i="29"/>
  <c r="N561" i="29"/>
  <c r="N369" i="29"/>
  <c r="M239" i="29"/>
  <c r="M542" i="29"/>
  <c r="M137" i="29"/>
  <c r="M85" i="29"/>
  <c r="N473" i="29"/>
  <c r="N528" i="29"/>
  <c r="M118" i="29"/>
  <c r="N60" i="29"/>
  <c r="N610" i="29"/>
  <c r="M364" i="29"/>
  <c r="M581" i="29"/>
  <c r="N613" i="29"/>
  <c r="M607" i="29"/>
  <c r="M602" i="29"/>
  <c r="M138" i="29"/>
  <c r="N100" i="29"/>
  <c r="N368" i="29"/>
  <c r="M380" i="29"/>
  <c r="M593" i="29"/>
  <c r="M177" i="29"/>
  <c r="M394" i="29"/>
  <c r="M312" i="29"/>
  <c r="N301" i="29"/>
  <c r="M264" i="29"/>
  <c r="N538" i="29"/>
  <c r="N424" i="29"/>
  <c r="M533" i="29"/>
  <c r="N589" i="29"/>
  <c r="M308" i="29"/>
  <c r="N562" i="29"/>
  <c r="N559" i="29"/>
  <c r="N488" i="29"/>
  <c r="N279" i="29"/>
  <c r="N382" i="29"/>
  <c r="N499" i="29"/>
  <c r="M433" i="29"/>
  <c r="N537" i="29"/>
  <c r="N604" i="29"/>
  <c r="N544" i="29"/>
  <c r="N572" i="29"/>
  <c r="M123" i="29"/>
  <c r="M76" i="29"/>
  <c r="N284" i="29"/>
  <c r="M193" i="29"/>
  <c r="M387" i="29"/>
  <c r="N447" i="29"/>
  <c r="M460" i="29"/>
  <c r="M397" i="29"/>
  <c r="M313" i="29"/>
  <c r="M202" i="29"/>
  <c r="M155" i="29"/>
  <c r="M104" i="29"/>
  <c r="N312" i="29"/>
  <c r="M321" i="29"/>
  <c r="M399" i="29"/>
  <c r="N467" i="29"/>
  <c r="M476" i="29"/>
  <c r="M409" i="29"/>
  <c r="N357" i="29"/>
  <c r="N103" i="29"/>
  <c r="N352" i="29"/>
  <c r="N411" i="29"/>
  <c r="M373" i="29"/>
  <c r="N505" i="29"/>
  <c r="N536" i="29"/>
  <c r="N556" i="29"/>
  <c r="N565" i="29"/>
  <c r="N123" i="29"/>
  <c r="N464" i="29"/>
  <c r="N423" i="29"/>
  <c r="M381" i="29"/>
  <c r="N509" i="29"/>
  <c r="N568" i="29"/>
  <c r="M334" i="29"/>
  <c r="N236" i="29"/>
  <c r="M371" i="29"/>
  <c r="M452" i="29"/>
  <c r="M249" i="29"/>
  <c r="N456" i="29"/>
  <c r="M484" i="29"/>
  <c r="M423" i="29"/>
  <c r="N14" i="29"/>
  <c r="N260" i="29"/>
  <c r="M391" i="29"/>
  <c r="M464" i="29"/>
  <c r="M345" i="29"/>
  <c r="N480" i="29"/>
  <c r="M411" i="29"/>
  <c r="N366" i="29"/>
  <c r="M182" i="29"/>
  <c r="N108" i="29"/>
  <c r="N400" i="29"/>
  <c r="M388" i="29"/>
  <c r="M597" i="29"/>
  <c r="M241" i="29"/>
  <c r="N450" i="29"/>
  <c r="N567" i="29"/>
  <c r="M413" i="29"/>
  <c r="N161" i="29"/>
  <c r="M156" i="29"/>
  <c r="N478" i="29"/>
  <c r="N583" i="29"/>
  <c r="M497" i="29"/>
  <c r="N569" i="29"/>
  <c r="M190" i="29"/>
  <c r="N39" i="29"/>
  <c r="M207" i="29"/>
  <c r="M152" i="29"/>
  <c r="M61" i="29"/>
  <c r="N378" i="29"/>
  <c r="M431" i="29"/>
  <c r="N495" i="29"/>
  <c r="M504" i="29"/>
  <c r="M429" i="29"/>
  <c r="N377" i="29"/>
  <c r="M278" i="29"/>
  <c r="M235" i="29"/>
  <c r="M180" i="29"/>
  <c r="M157" i="29"/>
  <c r="N398" i="29"/>
  <c r="M451" i="29"/>
  <c r="N507" i="29"/>
  <c r="M520" i="29"/>
  <c r="M441" i="29"/>
  <c r="N389" i="29"/>
  <c r="N295" i="29"/>
  <c r="N394" i="29"/>
  <c r="N503" i="29"/>
  <c r="M437" i="29"/>
  <c r="N541" i="29"/>
  <c r="M143" i="29"/>
  <c r="M214" i="29"/>
  <c r="N588" i="29"/>
  <c r="N343" i="29"/>
  <c r="N402" i="29"/>
  <c r="N515" i="29"/>
  <c r="M445" i="29"/>
  <c r="N545" i="29"/>
  <c r="N317" i="29"/>
  <c r="N194" i="29"/>
  <c r="M358" i="29"/>
  <c r="M467" i="29"/>
  <c r="M532" i="29"/>
  <c r="N401" i="29"/>
  <c r="N548" i="29"/>
  <c r="M605" i="29"/>
  <c r="M141" i="29"/>
  <c r="N238" i="29"/>
  <c r="M374" i="29"/>
  <c r="M487" i="29"/>
  <c r="M544" i="29"/>
  <c r="N409" i="29"/>
  <c r="N580" i="29"/>
  <c r="M45" i="29"/>
  <c r="M519" i="29"/>
  <c r="N42" i="29"/>
  <c r="N296" i="29"/>
  <c r="M395" i="29"/>
  <c r="M472" i="29"/>
  <c r="N353" i="29"/>
  <c r="N512" i="29"/>
  <c r="N375" i="29"/>
  <c r="M421" i="29"/>
  <c r="N593" i="29"/>
  <c r="M30" i="29"/>
  <c r="M332" i="29"/>
  <c r="N578" i="29"/>
  <c r="M237" i="29"/>
  <c r="M561" i="29"/>
  <c r="N601" i="29"/>
  <c r="M92" i="29"/>
  <c r="N316" i="29"/>
  <c r="M283" i="29"/>
  <c r="M232" i="29"/>
  <c r="M366" i="29"/>
  <c r="N430" i="29"/>
  <c r="M483" i="29"/>
  <c r="N535" i="29"/>
  <c r="M540" i="29"/>
  <c r="M461" i="29"/>
  <c r="N73" i="29"/>
  <c r="N18" i="29"/>
  <c r="M311" i="29"/>
  <c r="M256" i="29"/>
  <c r="M386" i="29"/>
  <c r="N442" i="29"/>
  <c r="M499" i="29"/>
  <c r="N551" i="29"/>
  <c r="M552" i="29"/>
  <c r="M473" i="29"/>
  <c r="N205" i="29"/>
  <c r="M172" i="29"/>
  <c r="N490" i="29"/>
  <c r="N591" i="29"/>
  <c r="M501" i="29"/>
  <c r="N573" i="29"/>
  <c r="N304" i="29"/>
  <c r="N259" i="29"/>
  <c r="N221" i="29"/>
  <c r="M200" i="29"/>
  <c r="N502" i="29"/>
  <c r="N599" i="29"/>
  <c r="M509" i="29"/>
  <c r="N577" i="29"/>
  <c r="M490" i="29"/>
  <c r="M63" i="29"/>
  <c r="M454" i="29"/>
  <c r="M571" i="29"/>
  <c r="M596" i="29"/>
  <c r="N441" i="29"/>
  <c r="N532" i="29"/>
  <c r="N453" i="29"/>
  <c r="M357" i="29"/>
  <c r="M87" i="29"/>
  <c r="M474" i="29"/>
  <c r="M583" i="29"/>
  <c r="M608" i="29"/>
  <c r="N445" i="29"/>
  <c r="N492" i="29"/>
  <c r="M477" i="29"/>
  <c r="M408" i="29"/>
  <c r="N254" i="29"/>
  <c r="M382" i="29"/>
  <c r="M495" i="29"/>
  <c r="M548" i="29"/>
  <c r="N413" i="29"/>
  <c r="N612" i="29"/>
  <c r="M341" i="29"/>
  <c r="N457" i="29"/>
  <c r="M506" i="29"/>
  <c r="M266" i="29"/>
  <c r="N172" i="29"/>
  <c r="M261" i="29"/>
  <c r="M424" i="29"/>
  <c r="M89" i="29"/>
  <c r="N396" i="29"/>
  <c r="M586" i="29"/>
  <c r="N466" i="29"/>
  <c r="N23" i="29"/>
  <c r="M300" i="29"/>
  <c r="M418" i="29"/>
  <c r="N474" i="29"/>
  <c r="M531" i="29"/>
  <c r="N579" i="29"/>
  <c r="M572" i="29"/>
  <c r="M493" i="29"/>
  <c r="N145" i="29"/>
  <c r="N106" i="29"/>
  <c r="N43" i="29"/>
  <c r="M316" i="29"/>
  <c r="M438" i="29"/>
  <c r="N494" i="29"/>
  <c r="M547" i="29"/>
  <c r="N595" i="29"/>
  <c r="M584" i="29"/>
  <c r="M505" i="29"/>
  <c r="M58" i="29"/>
  <c r="N28" i="29"/>
  <c r="N586" i="29"/>
  <c r="M301" i="29"/>
  <c r="M565" i="29"/>
  <c r="N605" i="29"/>
  <c r="M69" i="29"/>
  <c r="M406" i="29"/>
  <c r="M94" i="29"/>
  <c r="N44" i="29"/>
  <c r="N598" i="29"/>
  <c r="M356" i="29"/>
  <c r="M573" i="29"/>
  <c r="N609" i="29"/>
  <c r="M556" i="29"/>
  <c r="M287" i="29"/>
  <c r="M550" i="29"/>
  <c r="M265" i="29"/>
  <c r="M149" i="29"/>
  <c r="N477" i="29"/>
  <c r="N560" i="29"/>
  <c r="N356" i="29"/>
  <c r="N421" i="29"/>
  <c r="M299" i="29"/>
  <c r="M570" i="29"/>
  <c r="N355" i="29"/>
  <c r="M245" i="29"/>
  <c r="N481" i="29"/>
  <c r="N592" i="29"/>
  <c r="N489" i="29"/>
  <c r="M485" i="29"/>
  <c r="M127" i="29"/>
  <c r="M478" i="29"/>
  <c r="M591" i="29"/>
  <c r="M612" i="29"/>
  <c r="N449" i="29"/>
  <c r="N524" i="29"/>
  <c r="N525" i="29"/>
  <c r="N576" i="29"/>
  <c r="M17" i="29"/>
  <c r="N110" i="29"/>
  <c r="M93" i="29"/>
  <c r="M435" i="29"/>
  <c r="M508" i="29"/>
  <c r="N381" i="29"/>
  <c r="N608" i="29"/>
  <c r="M507" i="29"/>
  <c r="N387" i="29"/>
  <c r="N99" i="29"/>
  <c r="N24" i="29"/>
  <c r="M470" i="29"/>
  <c r="N526" i="29"/>
  <c r="M579" i="29"/>
  <c r="N380" i="29"/>
  <c r="M604" i="29"/>
  <c r="M525" i="29"/>
  <c r="N225" i="29"/>
  <c r="N174" i="29"/>
  <c r="N131" i="29"/>
  <c r="N48" i="29"/>
  <c r="M482" i="29"/>
  <c r="N542" i="29"/>
  <c r="M595" i="29"/>
  <c r="N444" i="29"/>
  <c r="G628" i="29"/>
  <c r="M537" i="29"/>
  <c r="M270" i="29"/>
  <c r="N188" i="29"/>
  <c r="M350" i="29"/>
  <c r="M428" i="29"/>
  <c r="M121" i="29"/>
  <c r="N412" i="29"/>
  <c r="N471" i="29"/>
  <c r="M133" i="29"/>
  <c r="M286" i="29"/>
  <c r="N228" i="29"/>
  <c r="M359" i="29"/>
  <c r="M440" i="29"/>
  <c r="M185" i="29"/>
  <c r="N432" i="29"/>
  <c r="M209" i="29"/>
  <c r="N135" i="29"/>
  <c r="M97" i="29"/>
  <c r="N435" i="29"/>
  <c r="M389" i="29"/>
  <c r="N513" i="29"/>
  <c r="N600" i="29"/>
  <c r="N540" i="29"/>
  <c r="N372" i="29"/>
  <c r="N187" i="29"/>
  <c r="M225" i="29"/>
  <c r="N451" i="29"/>
  <c r="M401" i="29"/>
  <c r="N517" i="29"/>
  <c r="N476" i="29"/>
  <c r="N596" i="29"/>
  <c r="N529" i="29"/>
  <c r="M319" i="29"/>
  <c r="M578" i="29"/>
  <c r="N359" i="29"/>
  <c r="M277" i="29"/>
  <c r="N485" i="29"/>
  <c r="N500" i="29"/>
  <c r="M26" i="29"/>
  <c r="N82" i="29"/>
  <c r="M492" i="29"/>
  <c r="N330" i="29"/>
  <c r="M422" i="29"/>
  <c r="M539" i="29"/>
  <c r="M576" i="29"/>
  <c r="N425" i="29"/>
  <c r="N520" i="29"/>
  <c r="M396" i="29"/>
  <c r="M564" i="29"/>
  <c r="N183" i="29"/>
  <c r="N92" i="29"/>
  <c r="M514" i="29"/>
  <c r="N574" i="29"/>
  <c r="N416" i="29"/>
  <c r="M205" i="29"/>
  <c r="N420" i="29"/>
  <c r="M557" i="29"/>
  <c r="N305" i="29"/>
  <c r="N258" i="29"/>
  <c r="N199" i="29"/>
  <c r="N112" i="29"/>
  <c r="M534" i="29"/>
  <c r="N590" i="29"/>
  <c r="M105" i="29"/>
  <c r="M333" i="29"/>
  <c r="M53" i="29"/>
  <c r="M569" i="29"/>
  <c r="N162" i="29"/>
  <c r="M125" i="29"/>
  <c r="M447" i="29"/>
  <c r="M516" i="29"/>
  <c r="N385" i="29"/>
  <c r="N484" i="29"/>
  <c r="M113" i="29"/>
  <c r="N483" i="29"/>
  <c r="N170" i="29"/>
  <c r="M317" i="29"/>
  <c r="M459" i="29"/>
  <c r="M524" i="29"/>
  <c r="N393" i="29"/>
  <c r="N516" i="29"/>
  <c r="N49" i="29"/>
  <c r="M20" i="29"/>
  <c r="N414" i="29"/>
  <c r="N527" i="29"/>
  <c r="M453" i="29"/>
  <c r="N549" i="29"/>
  <c r="N215" i="29"/>
  <c r="N98" i="29"/>
  <c r="N65" i="29"/>
  <c r="M28" i="29"/>
  <c r="N434" i="29"/>
  <c r="N539" i="29"/>
  <c r="M465" i="29"/>
  <c r="N553" i="29"/>
  <c r="N129" i="29"/>
  <c r="N141" i="29"/>
  <c r="N472" i="29"/>
  <c r="N195" i="29"/>
  <c r="M289" i="29"/>
  <c r="N459" i="29"/>
  <c r="M405" i="29"/>
  <c r="N521" i="29"/>
  <c r="N508" i="29"/>
  <c r="M171" i="29"/>
  <c r="N124" i="29"/>
  <c r="M549" i="29"/>
  <c r="M215" i="29"/>
  <c r="M518" i="29"/>
  <c r="N460" i="29"/>
  <c r="N452" i="29"/>
  <c r="N461" i="29"/>
  <c r="N564" i="29"/>
  <c r="M541" i="29"/>
  <c r="M613" i="29"/>
  <c r="DJ110" i="25" l="1"/>
  <c r="DQ110" i="25" s="1"/>
  <c r="CZ216" i="25"/>
  <c r="DB216" i="25" s="1"/>
  <c r="T623" i="29"/>
  <c r="O623" i="29"/>
  <c r="K623" i="29"/>
  <c r="L623" i="29"/>
  <c r="P623" i="29"/>
  <c r="U623" i="29"/>
  <c r="S623" i="29"/>
  <c r="V623" i="29"/>
  <c r="Q623" i="29"/>
  <c r="R623" i="29"/>
  <c r="DQ212" i="25"/>
  <c r="DN212" i="25"/>
  <c r="DX216" i="24"/>
  <c r="EE216" i="24" s="1"/>
  <c r="DH216" i="25"/>
  <c r="DJ216" i="25" s="1"/>
  <c r="EB269" i="25"/>
  <c r="EA269" i="25"/>
  <c r="EB245" i="25"/>
  <c r="EA245" i="25"/>
  <c r="EB289" i="25"/>
  <c r="EA289" i="25"/>
  <c r="EB280" i="25"/>
  <c r="EA280" i="25"/>
  <c r="EB285" i="25"/>
  <c r="EA285" i="25"/>
  <c r="EB257" i="25"/>
  <c r="EA257" i="25"/>
  <c r="EB243" i="25"/>
  <c r="EA243" i="25"/>
  <c r="EB293" i="25"/>
  <c r="EA293" i="25"/>
  <c r="EB286" i="25"/>
  <c r="EA286" i="25"/>
  <c r="EB281" i="25"/>
  <c r="EA281" i="25"/>
  <c r="EB274" i="25"/>
  <c r="EA274" i="25"/>
  <c r="EB222" i="25"/>
  <c r="EA222" i="25"/>
  <c r="EB237" i="25"/>
  <c r="EA237" i="25"/>
  <c r="EB287" i="25"/>
  <c r="EA287" i="25"/>
  <c r="EB227" i="25"/>
  <c r="EA227" i="25"/>
  <c r="EB225" i="25"/>
  <c r="EA225" i="25"/>
  <c r="EB251" i="25"/>
  <c r="EA251" i="25"/>
  <c r="EB236" i="25"/>
  <c r="EA236" i="25"/>
  <c r="EB307" i="25"/>
  <c r="EA307" i="25"/>
  <c r="EB316" i="25"/>
  <c r="EA316" i="25"/>
  <c r="EB221" i="25"/>
  <c r="EA221" i="25"/>
  <c r="EB229" i="25"/>
  <c r="EA229" i="25"/>
  <c r="EB263" i="25"/>
  <c r="EA263" i="25"/>
  <c r="EB239" i="25"/>
  <c r="EA239" i="25"/>
  <c r="EB302" i="25"/>
  <c r="EA302" i="25"/>
  <c r="EB292" i="25"/>
  <c r="EA292" i="25"/>
  <c r="EB252" i="25"/>
  <c r="EA252" i="25"/>
  <c r="EB226" i="25"/>
  <c r="EA226" i="25"/>
  <c r="EB310" i="25"/>
  <c r="EA310" i="25"/>
  <c r="EB220" i="25"/>
  <c r="EA220" i="25"/>
  <c r="EB249" i="25"/>
  <c r="EA249" i="25"/>
  <c r="EB248" i="25"/>
  <c r="EA248" i="25"/>
  <c r="EB260" i="25"/>
  <c r="EA260" i="25"/>
  <c r="EB219" i="25"/>
  <c r="EA219" i="25"/>
  <c r="EB295" i="25"/>
  <c r="EA295" i="25"/>
  <c r="EB253" i="25"/>
  <c r="EA253" i="25"/>
  <c r="EB217" i="25"/>
  <c r="EA217" i="25"/>
  <c r="EB296" i="25"/>
  <c r="EA296" i="25"/>
  <c r="EB299" i="25"/>
  <c r="EA299" i="25"/>
  <c r="EB265" i="25"/>
  <c r="EA265" i="25"/>
  <c r="EB271" i="25"/>
  <c r="EA271" i="25"/>
  <c r="EB278" i="25"/>
  <c r="EA278" i="25"/>
  <c r="EB234" i="25"/>
  <c r="EA234" i="25"/>
  <c r="EB309" i="25"/>
  <c r="EA309" i="25"/>
  <c r="EB246" i="25"/>
  <c r="EA246" i="25"/>
  <c r="EB288" i="25"/>
  <c r="EA288" i="25"/>
  <c r="EA216" i="25"/>
  <c r="EB216" i="25"/>
  <c r="EB308" i="25"/>
  <c r="EA308" i="25"/>
  <c r="EB298" i="25"/>
  <c r="EA298" i="25"/>
  <c r="EB242" i="25"/>
  <c r="EA242" i="25"/>
  <c r="EB262" i="25"/>
  <c r="EA262" i="25"/>
  <c r="EB277" i="25"/>
  <c r="EA277" i="25"/>
  <c r="EB254" i="25"/>
  <c r="EA254" i="25"/>
  <c r="EB290" i="25"/>
  <c r="EA290" i="25"/>
  <c r="EB291" i="25"/>
  <c r="EA291" i="25"/>
  <c r="EB247" i="25"/>
  <c r="EA247" i="25"/>
  <c r="EB258" i="25"/>
  <c r="EA258" i="25"/>
  <c r="EB264" i="25"/>
  <c r="EA264" i="25"/>
  <c r="EB261" i="25"/>
  <c r="EA261" i="25"/>
  <c r="EB303" i="25"/>
  <c r="EA303" i="25"/>
  <c r="EB270" i="25"/>
  <c r="EA270" i="25"/>
  <c r="EB240" i="25"/>
  <c r="EA240" i="25"/>
  <c r="EB279" i="25"/>
  <c r="EA279" i="25"/>
  <c r="EB284" i="25"/>
  <c r="EA284" i="25"/>
  <c r="EB256" i="25"/>
  <c r="EA256" i="25"/>
  <c r="EB244" i="25"/>
  <c r="EA244" i="25"/>
  <c r="EB305" i="25"/>
  <c r="EA305" i="25"/>
  <c r="EB259" i="25"/>
  <c r="EA259" i="25"/>
  <c r="EB294" i="25"/>
  <c r="EA294" i="25"/>
  <c r="EB233" i="25"/>
  <c r="EA233" i="25"/>
  <c r="EB266" i="25"/>
  <c r="EA266" i="25"/>
  <c r="EB231" i="25"/>
  <c r="EA231" i="25"/>
  <c r="EB268" i="25"/>
  <c r="EA268" i="25"/>
  <c r="EB223" i="25"/>
  <c r="EA223" i="25"/>
  <c r="EB273" i="25"/>
  <c r="EA273" i="25"/>
  <c r="EB224" i="25"/>
  <c r="EA224" i="25"/>
  <c r="EB241" i="25"/>
  <c r="EA241" i="25"/>
  <c r="EB232" i="25"/>
  <c r="EA232" i="25"/>
  <c r="EB272" i="25"/>
  <c r="EA272" i="25"/>
  <c r="EB313" i="25"/>
  <c r="EA313" i="25"/>
  <c r="EB250" i="25"/>
  <c r="EA250" i="25"/>
  <c r="EB276" i="25"/>
  <c r="EA276" i="25"/>
  <c r="EB311" i="25"/>
  <c r="EA311" i="25"/>
  <c r="EB300" i="25"/>
  <c r="EA300" i="25"/>
  <c r="EB218" i="25"/>
  <c r="EA218" i="25"/>
  <c r="EB315" i="25"/>
  <c r="EA315" i="25"/>
  <c r="EB282" i="25"/>
  <c r="EA282" i="25"/>
  <c r="EB238" i="25"/>
  <c r="EA238" i="25"/>
  <c r="EB297" i="25"/>
  <c r="EA297" i="25"/>
  <c r="EB283" i="25"/>
  <c r="EA283" i="25"/>
  <c r="EB230" i="25"/>
  <c r="EA230" i="25"/>
  <c r="EB235" i="25"/>
  <c r="EA235" i="25"/>
  <c r="EB275" i="25"/>
  <c r="EA275" i="25"/>
  <c r="EB267" i="25"/>
  <c r="EA267" i="25"/>
  <c r="EB301" i="25"/>
  <c r="EA301" i="25"/>
  <c r="EB314" i="25"/>
  <c r="EA314" i="25"/>
  <c r="EB306" i="25"/>
  <c r="EA306" i="25"/>
  <c r="EB228" i="25"/>
  <c r="EA228" i="25"/>
  <c r="EB304" i="25"/>
  <c r="EA304" i="25"/>
  <c r="EB312" i="25"/>
  <c r="EA312" i="25"/>
  <c r="EB255" i="25"/>
  <c r="EA255" i="25"/>
  <c r="EA112" i="25"/>
  <c r="DQ112" i="25"/>
  <c r="DN112" i="25"/>
  <c r="DN183" i="25"/>
  <c r="DN206" i="25"/>
  <c r="DN203" i="24"/>
  <c r="DX203" i="24" s="1"/>
  <c r="DN146" i="24"/>
  <c r="DX146" i="24" s="1"/>
  <c r="DN86" i="24"/>
  <c r="DX86" i="24" s="1"/>
  <c r="DN66" i="24"/>
  <c r="DX66" i="24" s="1"/>
  <c r="DN137" i="24"/>
  <c r="DX137" i="24" s="1"/>
  <c r="DN127" i="25"/>
  <c r="DN187" i="24"/>
  <c r="DX187" i="24" s="1"/>
  <c r="DN207" i="24"/>
  <c r="DX207" i="24" s="1"/>
  <c r="DW110" i="24"/>
  <c r="EN110" i="24"/>
  <c r="EM110" i="24"/>
  <c r="EP110" i="24" s="1"/>
  <c r="DU110" i="24"/>
  <c r="FA110" i="24"/>
  <c r="EL110" i="24"/>
  <c r="EY110" i="24"/>
  <c r="EB110" i="24"/>
  <c r="DN79" i="24"/>
  <c r="DZ79" i="24" s="1"/>
  <c r="DW5" i="24"/>
  <c r="EN5" i="24"/>
  <c r="EM5" i="24"/>
  <c r="EP5" i="24" s="1"/>
  <c r="DU5" i="24"/>
  <c r="FA5" i="24"/>
  <c r="EB5" i="24"/>
  <c r="EL5" i="24"/>
  <c r="EY5" i="24"/>
  <c r="DN234" i="24"/>
  <c r="DO216" i="24"/>
  <c r="DR216" i="24"/>
  <c r="EY216" i="24" s="1"/>
  <c r="DN182" i="25"/>
  <c r="DN69" i="25"/>
  <c r="DN93" i="24"/>
  <c r="DZ93" i="24" s="1"/>
  <c r="DN73" i="25"/>
  <c r="DN139" i="24"/>
  <c r="DX139" i="24" s="1"/>
  <c r="DN248" i="24"/>
  <c r="DN78" i="24"/>
  <c r="DZ78" i="24" s="1"/>
  <c r="DN57" i="25"/>
  <c r="DN196" i="25"/>
  <c r="DN198" i="25"/>
  <c r="DN262" i="25"/>
  <c r="DN94" i="24"/>
  <c r="DZ94" i="24" s="1"/>
  <c r="DN181" i="24"/>
  <c r="DX181" i="24" s="1"/>
  <c r="DN75" i="24"/>
  <c r="DZ75" i="24" s="1"/>
  <c r="DN168" i="24"/>
  <c r="DX168" i="24" s="1"/>
  <c r="DN165" i="24"/>
  <c r="DX165" i="24" s="1"/>
  <c r="DN131" i="24"/>
  <c r="DX131" i="24" s="1"/>
  <c r="DN113" i="24"/>
  <c r="DX113" i="24" s="1"/>
  <c r="DN237" i="24"/>
  <c r="DN116" i="24"/>
  <c r="DX116" i="24" s="1"/>
  <c r="DN291" i="24"/>
  <c r="DN273" i="24"/>
  <c r="DN312" i="24"/>
  <c r="DN254" i="24"/>
  <c r="DN27" i="24"/>
  <c r="DZ27" i="24" s="1"/>
  <c r="DN275" i="24"/>
  <c r="DN284" i="24"/>
  <c r="DN143" i="25"/>
  <c r="DN221" i="24"/>
  <c r="DN16" i="24"/>
  <c r="DZ16" i="24" s="1"/>
  <c r="DN255" i="24"/>
  <c r="DN264" i="24"/>
  <c r="DN162" i="24"/>
  <c r="DX162" i="24" s="1"/>
  <c r="DN310" i="24"/>
  <c r="DN163" i="24"/>
  <c r="DX163" i="24" s="1"/>
  <c r="DN299" i="24"/>
  <c r="DN139" i="25"/>
  <c r="DQ183" i="25"/>
  <c r="DT183" i="25" s="1"/>
  <c r="DN138" i="25"/>
  <c r="DN181" i="25"/>
  <c r="DN179" i="25"/>
  <c r="DN299" i="25"/>
  <c r="DQ73" i="25"/>
  <c r="DQ143" i="25"/>
  <c r="DT143" i="25" s="1"/>
  <c r="DQ138" i="25"/>
  <c r="DV138" i="25" s="1"/>
  <c r="DQ181" i="25"/>
  <c r="EJ181" i="25" s="1"/>
  <c r="DQ182" i="25"/>
  <c r="DV182" i="25" s="1"/>
  <c r="DN178" i="25"/>
  <c r="DN85" i="24"/>
  <c r="DX85" i="24" s="1"/>
  <c r="DN219" i="24"/>
  <c r="DN206" i="24"/>
  <c r="DX206" i="24" s="1"/>
  <c r="DN179" i="24"/>
  <c r="DX179" i="24" s="1"/>
  <c r="DN254" i="25"/>
  <c r="DQ254" i="25"/>
  <c r="DQ137" i="25"/>
  <c r="FA137" i="25" s="1"/>
  <c r="DN137" i="25"/>
  <c r="DW97" i="25"/>
  <c r="EB68" i="25"/>
  <c r="EA68" i="25"/>
  <c r="DN227" i="25"/>
  <c r="DQ227" i="25"/>
  <c r="EB195" i="25"/>
  <c r="EA195" i="25"/>
  <c r="DN115" i="24"/>
  <c r="DX115" i="24" s="1"/>
  <c r="DN95" i="24"/>
  <c r="DZ95" i="24" s="1"/>
  <c r="DN301" i="24"/>
  <c r="DN69" i="24"/>
  <c r="DX69" i="24" s="1"/>
  <c r="DN78" i="25"/>
  <c r="DQ78" i="25"/>
  <c r="DW200" i="25"/>
  <c r="DN196" i="24"/>
  <c r="DX196" i="24" s="1"/>
  <c r="DN169" i="24"/>
  <c r="DX169" i="24" s="1"/>
  <c r="DN243" i="24"/>
  <c r="DN151" i="24"/>
  <c r="DX151" i="24" s="1"/>
  <c r="DN278" i="24"/>
  <c r="DN149" i="24"/>
  <c r="DX149" i="24" s="1"/>
  <c r="DN208" i="24"/>
  <c r="DX208" i="24" s="1"/>
  <c r="DN103" i="25"/>
  <c r="DQ103" i="25"/>
  <c r="DT103" i="25" s="1"/>
  <c r="DN34" i="25"/>
  <c r="DQ34" i="25"/>
  <c r="DN266" i="25"/>
  <c r="DQ266" i="25"/>
  <c r="DN296" i="25"/>
  <c r="DQ296" i="25"/>
  <c r="DQ263" i="25"/>
  <c r="DN263" i="25"/>
  <c r="DQ81" i="25"/>
  <c r="DN81" i="25"/>
  <c r="DN184" i="24"/>
  <c r="DX184" i="24" s="1"/>
  <c r="DN97" i="24"/>
  <c r="DZ97" i="24" s="1"/>
  <c r="DQ241" i="25"/>
  <c r="DN241" i="25"/>
  <c r="DN176" i="24"/>
  <c r="DX176" i="24" s="1"/>
  <c r="DN130" i="24"/>
  <c r="DX130" i="24" s="1"/>
  <c r="DN76" i="24"/>
  <c r="DZ76" i="24" s="1"/>
  <c r="DN117" i="24"/>
  <c r="DX117" i="24" s="1"/>
  <c r="DN191" i="24"/>
  <c r="DX191" i="24" s="1"/>
  <c r="DN198" i="24"/>
  <c r="DX198" i="24" s="1"/>
  <c r="DN306" i="24"/>
  <c r="DN74" i="24"/>
  <c r="DX74" i="24" s="1"/>
  <c r="DN217" i="24"/>
  <c r="DN84" i="24"/>
  <c r="DX84" i="24" s="1"/>
  <c r="DN256" i="24"/>
  <c r="DN135" i="24"/>
  <c r="DX135" i="24" s="1"/>
  <c r="DN205" i="24"/>
  <c r="DX205" i="24" s="1"/>
  <c r="DW174" i="25"/>
  <c r="DW131" i="25"/>
  <c r="EB118" i="25"/>
  <c r="EA118" i="25"/>
  <c r="DN156" i="24"/>
  <c r="DX156" i="24" s="1"/>
  <c r="DN257" i="25"/>
  <c r="DQ257" i="25"/>
  <c r="EB102" i="25"/>
  <c r="EA102" i="25"/>
  <c r="DQ43" i="25"/>
  <c r="DN43" i="25"/>
  <c r="DQ121" i="25"/>
  <c r="FA121" i="25" s="1"/>
  <c r="DN121" i="25"/>
  <c r="DN312" i="25"/>
  <c r="DQ312" i="25"/>
  <c r="DN272" i="25"/>
  <c r="DQ272" i="25"/>
  <c r="DN91" i="24"/>
  <c r="DZ91" i="24" s="1"/>
  <c r="DW180" i="25"/>
  <c r="DW95" i="25"/>
  <c r="DQ224" i="25"/>
  <c r="DN224" i="25"/>
  <c r="DQ119" i="25"/>
  <c r="EJ119" i="25" s="1"/>
  <c r="DN119" i="25"/>
  <c r="DQ193" i="25"/>
  <c r="EJ193" i="25" s="1"/>
  <c r="DN193" i="25"/>
  <c r="DN75" i="25"/>
  <c r="DQ75" i="25"/>
  <c r="DQ299" i="25"/>
  <c r="DQ244" i="25"/>
  <c r="DN244" i="25"/>
  <c r="DW103" i="25"/>
  <c r="DW178" i="25"/>
  <c r="DW51" i="25"/>
  <c r="DN13" i="25"/>
  <c r="DQ13" i="25"/>
  <c r="EB10" i="25"/>
  <c r="EA10" i="25"/>
  <c r="DW91" i="25"/>
  <c r="DN237" i="25"/>
  <c r="DQ237" i="25"/>
  <c r="DN242" i="25"/>
  <c r="DQ242" i="25"/>
  <c r="EB16" i="25"/>
  <c r="EA16" i="25"/>
  <c r="DQ315" i="25"/>
  <c r="DN315" i="25"/>
  <c r="DQ187" i="25"/>
  <c r="EY187" i="25" s="1"/>
  <c r="DN187" i="25"/>
  <c r="EB31" i="25"/>
  <c r="EA31" i="25"/>
  <c r="DW89" i="25"/>
  <c r="DN85" i="25"/>
  <c r="DQ85" i="25"/>
  <c r="DQ148" i="25"/>
  <c r="DN148" i="25"/>
  <c r="DQ35" i="25"/>
  <c r="DN35" i="25"/>
  <c r="DQ144" i="25"/>
  <c r="DN144" i="25"/>
  <c r="DN286" i="25"/>
  <c r="DQ286" i="25"/>
  <c r="DN282" i="25"/>
  <c r="DQ282" i="25"/>
  <c r="DN159" i="25"/>
  <c r="DQ159" i="25"/>
  <c r="DQ151" i="25"/>
  <c r="DN151" i="25"/>
  <c r="EB146" i="25"/>
  <c r="EA146" i="25"/>
  <c r="DQ206" i="25"/>
  <c r="DT206" i="25" s="1"/>
  <c r="DW9" i="25"/>
  <c r="DW143" i="25"/>
  <c r="DQ316" i="25"/>
  <c r="DN316" i="25"/>
  <c r="EB46" i="25"/>
  <c r="EA46" i="25"/>
  <c r="DN72" i="25"/>
  <c r="DQ72" i="25"/>
  <c r="DN171" i="25"/>
  <c r="DQ171" i="25"/>
  <c r="EY171" i="25" s="1"/>
  <c r="DQ116" i="25"/>
  <c r="DN116" i="25"/>
  <c r="EB142" i="25"/>
  <c r="EA142" i="25"/>
  <c r="DQ69" i="25"/>
  <c r="DQ21" i="25"/>
  <c r="DN21" i="25"/>
  <c r="DW56" i="25"/>
  <c r="DW45" i="25"/>
  <c r="DN268" i="25"/>
  <c r="DQ268" i="25"/>
  <c r="DQ139" i="25"/>
  <c r="EJ139" i="25" s="1"/>
  <c r="DW185" i="25"/>
  <c r="DW171" i="25"/>
  <c r="DN113" i="25"/>
  <c r="DQ113" i="25"/>
  <c r="DQ174" i="25"/>
  <c r="FA174" i="25" s="1"/>
  <c r="DN174" i="25"/>
  <c r="DN280" i="25"/>
  <c r="DQ280" i="25"/>
  <c r="DQ168" i="25"/>
  <c r="FA168" i="25" s="1"/>
  <c r="DN168" i="25"/>
  <c r="EB135" i="25"/>
  <c r="EA135" i="25"/>
  <c r="DQ198" i="25"/>
  <c r="DT198" i="25" s="1"/>
  <c r="DQ24" i="25"/>
  <c r="DN24" i="25"/>
  <c r="DN126" i="25"/>
  <c r="DQ126" i="25"/>
  <c r="EJ126" i="25" s="1"/>
  <c r="EB124" i="25"/>
  <c r="EA124" i="25"/>
  <c r="DQ186" i="25"/>
  <c r="DN186" i="25"/>
  <c r="DN210" i="24"/>
  <c r="DX210" i="24" s="1"/>
  <c r="EB7" i="25"/>
  <c r="EA7" i="25"/>
  <c r="DN59" i="25"/>
  <c r="DQ59" i="25"/>
  <c r="DN202" i="25"/>
  <c r="DQ202" i="25"/>
  <c r="DT202" i="25" s="1"/>
  <c r="EB183" i="25"/>
  <c r="EA183" i="25"/>
  <c r="DW59" i="25"/>
  <c r="DN95" i="25"/>
  <c r="DQ95" i="25"/>
  <c r="DT95" i="25" s="1"/>
  <c r="DW189" i="25"/>
  <c r="DQ140" i="25"/>
  <c r="DN140" i="25"/>
  <c r="DN265" i="25"/>
  <c r="DQ265" i="25"/>
  <c r="DQ16" i="25"/>
  <c r="DN16" i="25"/>
  <c r="EB69" i="25"/>
  <c r="EA69" i="25"/>
  <c r="DN20" i="25"/>
  <c r="DQ20" i="25"/>
  <c r="DN302" i="25"/>
  <c r="DQ302" i="25"/>
  <c r="DQ220" i="25"/>
  <c r="DN220" i="25"/>
  <c r="DN157" i="25"/>
  <c r="DQ157" i="25"/>
  <c r="EJ157" i="25" s="1"/>
  <c r="DN189" i="25"/>
  <c r="DQ189" i="25"/>
  <c r="FA189" i="25" s="1"/>
  <c r="DQ86" i="25"/>
  <c r="DN86" i="25"/>
  <c r="DN163" i="25"/>
  <c r="DQ163" i="25"/>
  <c r="DN48" i="25"/>
  <c r="DQ48" i="25"/>
  <c r="DQ230" i="25"/>
  <c r="DN230" i="25"/>
  <c r="DN259" i="25"/>
  <c r="DQ259" i="25"/>
  <c r="DN175" i="25"/>
  <c r="DQ175" i="25"/>
  <c r="EJ175" i="25" s="1"/>
  <c r="DN123" i="25"/>
  <c r="DQ123" i="25"/>
  <c r="DQ49" i="25"/>
  <c r="DN49" i="25"/>
  <c r="DN150" i="25"/>
  <c r="DQ150" i="25"/>
  <c r="DQ105" i="25"/>
  <c r="DT105" i="25" s="1"/>
  <c r="DN105" i="25"/>
  <c r="DQ46" i="25"/>
  <c r="DN46" i="25"/>
  <c r="DN247" i="25"/>
  <c r="DQ247" i="25"/>
  <c r="EB71" i="25"/>
  <c r="EA71" i="25"/>
  <c r="DW88" i="25"/>
  <c r="EB62" i="25"/>
  <c r="EA62" i="25"/>
  <c r="DW35" i="25"/>
  <c r="EB166" i="25"/>
  <c r="EA166" i="25"/>
  <c r="EB153" i="25"/>
  <c r="EA153" i="25"/>
  <c r="DW96" i="25"/>
  <c r="EB197" i="25"/>
  <c r="EA197" i="25"/>
  <c r="EB133" i="25"/>
  <c r="EA133" i="25"/>
  <c r="EB159" i="25"/>
  <c r="EA159" i="25"/>
  <c r="DN62" i="25"/>
  <c r="DQ62" i="25"/>
  <c r="DW80" i="25"/>
  <c r="DQ314" i="25"/>
  <c r="DN314" i="25"/>
  <c r="DW168" i="25"/>
  <c r="DW170" i="25"/>
  <c r="EB54" i="25"/>
  <c r="EA54" i="25"/>
  <c r="DN152" i="25"/>
  <c r="DQ152" i="25"/>
  <c r="DN221" i="25"/>
  <c r="DQ221" i="25"/>
  <c r="DQ246" i="25"/>
  <c r="DN246" i="25"/>
  <c r="DW164" i="25"/>
  <c r="DN131" i="25"/>
  <c r="DQ131" i="25"/>
  <c r="DN285" i="25"/>
  <c r="DQ285" i="25"/>
  <c r="DW77" i="25"/>
  <c r="EB39" i="25"/>
  <c r="EA39" i="25"/>
  <c r="DQ10" i="25"/>
  <c r="DN10" i="25"/>
  <c r="EB8" i="25"/>
  <c r="EA8" i="25"/>
  <c r="EB167" i="25"/>
  <c r="EA167" i="25"/>
  <c r="DW29" i="25"/>
  <c r="DW122" i="25"/>
  <c r="DW65" i="25"/>
  <c r="EB84" i="25"/>
  <c r="EA84" i="25"/>
  <c r="DW49" i="25"/>
  <c r="DW177" i="25"/>
  <c r="DW13" i="25"/>
  <c r="DQ243" i="25"/>
  <c r="DN243" i="25"/>
  <c r="DN261" i="25"/>
  <c r="DQ261" i="25"/>
  <c r="DN199" i="25"/>
  <c r="DQ199" i="25"/>
  <c r="DT199" i="25" s="1"/>
  <c r="DW23" i="25"/>
  <c r="DW12" i="25"/>
  <c r="EB154" i="25"/>
  <c r="EA154" i="25"/>
  <c r="EB160" i="25"/>
  <c r="EA160" i="25"/>
  <c r="DW48" i="25"/>
  <c r="DN274" i="25"/>
  <c r="DQ274" i="25"/>
  <c r="EB206" i="25"/>
  <c r="EA206" i="25"/>
  <c r="EB67" i="25"/>
  <c r="EA67" i="25"/>
  <c r="DQ99" i="25"/>
  <c r="DT99" i="25" s="1"/>
  <c r="DN99" i="25"/>
  <c r="DW175" i="25"/>
  <c r="DN38" i="25"/>
  <c r="DQ38" i="25"/>
  <c r="DN61" i="25"/>
  <c r="DQ61" i="25"/>
  <c r="EB73" i="25"/>
  <c r="EA73" i="25"/>
  <c r="EB207" i="25"/>
  <c r="EA207" i="25"/>
  <c r="DN162" i="25"/>
  <c r="DQ162" i="25"/>
  <c r="EB130" i="25"/>
  <c r="EA130" i="25"/>
  <c r="DW105" i="25"/>
  <c r="DN79" i="25"/>
  <c r="DQ79" i="25"/>
  <c r="DQ311" i="25"/>
  <c r="DN311" i="25"/>
  <c r="DW38" i="25"/>
  <c r="DN170" i="25"/>
  <c r="DQ170" i="25"/>
  <c r="FA170" i="25" s="1"/>
  <c r="DN201" i="25"/>
  <c r="DQ201" i="25"/>
  <c r="DT201" i="25" s="1"/>
  <c r="DW145" i="25"/>
  <c r="EB55" i="25"/>
  <c r="EA55" i="25"/>
  <c r="DN278" i="25"/>
  <c r="DQ278" i="25"/>
  <c r="DW139" i="25"/>
  <c r="DQ71" i="25"/>
  <c r="DN71" i="25"/>
  <c r="DQ117" i="25"/>
  <c r="DN117" i="25"/>
  <c r="DN210" i="25"/>
  <c r="DQ210" i="25"/>
  <c r="DT210" i="25" s="1"/>
  <c r="DN234" i="25"/>
  <c r="DQ234" i="25"/>
  <c r="DN295" i="25"/>
  <c r="DQ295" i="25"/>
  <c r="EB53" i="25"/>
  <c r="EA53" i="25"/>
  <c r="EB30" i="25"/>
  <c r="EA30" i="25"/>
  <c r="DQ96" i="25"/>
  <c r="DT96" i="25" s="1"/>
  <c r="DN96" i="25"/>
  <c r="DN273" i="25"/>
  <c r="DQ273" i="25"/>
  <c r="EB161" i="25"/>
  <c r="EA161" i="25"/>
  <c r="DQ57" i="25"/>
  <c r="EB50" i="25"/>
  <c r="EA50" i="25"/>
  <c r="EB165" i="25"/>
  <c r="EA165" i="25"/>
  <c r="DN233" i="25"/>
  <c r="DQ233" i="25"/>
  <c r="DW190" i="25"/>
  <c r="DW158" i="25"/>
  <c r="DQ283" i="25"/>
  <c r="DN283" i="25"/>
  <c r="DN200" i="25"/>
  <c r="DQ200" i="25"/>
  <c r="DT200" i="25" s="1"/>
  <c r="DN39" i="25"/>
  <c r="DQ39" i="25"/>
  <c r="DQ209" i="25"/>
  <c r="DT209" i="25" s="1"/>
  <c r="DN209" i="25"/>
  <c r="DN245" i="25"/>
  <c r="DQ245" i="25"/>
  <c r="DQ303" i="25"/>
  <c r="DN303" i="25"/>
  <c r="EB176" i="25"/>
  <c r="EA176" i="25"/>
  <c r="DQ14" i="25"/>
  <c r="DN14" i="25"/>
  <c r="DQ191" i="25"/>
  <c r="EJ191" i="25" s="1"/>
  <c r="DN191" i="25"/>
  <c r="DN120" i="25"/>
  <c r="DQ120" i="25"/>
  <c r="DW111" i="25"/>
  <c r="DW121" i="25"/>
  <c r="DN271" i="25"/>
  <c r="DQ271" i="25"/>
  <c r="DN68" i="25"/>
  <c r="DQ68" i="25"/>
  <c r="DN184" i="25"/>
  <c r="DQ184" i="25"/>
  <c r="DQ287" i="25"/>
  <c r="DN287" i="25"/>
  <c r="DQ195" i="25"/>
  <c r="DT195" i="25" s="1"/>
  <c r="DN195" i="25"/>
  <c r="DN309" i="25"/>
  <c r="DQ309" i="25"/>
  <c r="DW203" i="25"/>
  <c r="DN98" i="25"/>
  <c r="DQ98" i="25"/>
  <c r="DT98" i="25" s="1"/>
  <c r="DW187" i="25"/>
  <c r="DQ111" i="25"/>
  <c r="DN111" i="25"/>
  <c r="DN256" i="25"/>
  <c r="DQ256" i="25"/>
  <c r="DQ51" i="25"/>
  <c r="DN51" i="25"/>
  <c r="EB196" i="25"/>
  <c r="EA196" i="25"/>
  <c r="DN67" i="25"/>
  <c r="DQ67" i="25"/>
  <c r="DQ84" i="25"/>
  <c r="DN84" i="25"/>
  <c r="DW157" i="25"/>
  <c r="DN225" i="25"/>
  <c r="DQ225" i="25"/>
  <c r="DQ128" i="25"/>
  <c r="EJ128" i="25" s="1"/>
  <c r="DN128" i="25"/>
  <c r="DN298" i="25"/>
  <c r="DQ298" i="25"/>
  <c r="DN276" i="25"/>
  <c r="DQ276" i="25"/>
  <c r="DQ275" i="25"/>
  <c r="DN275" i="25"/>
  <c r="DN173" i="25"/>
  <c r="DQ173" i="25"/>
  <c r="EJ173" i="25" s="1"/>
  <c r="DN87" i="25"/>
  <c r="DQ87" i="25"/>
  <c r="DQ36" i="25"/>
  <c r="DN36" i="25"/>
  <c r="DQ55" i="25"/>
  <c r="DN55" i="25"/>
  <c r="EB148" i="25"/>
  <c r="EA148" i="25"/>
  <c r="DN142" i="25"/>
  <c r="DQ142" i="25"/>
  <c r="DW60" i="25"/>
  <c r="DW64" i="25"/>
  <c r="DW128" i="25"/>
  <c r="DQ300" i="25"/>
  <c r="DN300" i="25"/>
  <c r="DQ252" i="25"/>
  <c r="DN252" i="25"/>
  <c r="DN304" i="25"/>
  <c r="DQ304" i="25"/>
  <c r="DW66" i="25"/>
  <c r="DQ18" i="25"/>
  <c r="DN18" i="25"/>
  <c r="EB115" i="25"/>
  <c r="EA115" i="25"/>
  <c r="DN19" i="25"/>
  <c r="DQ19" i="25"/>
  <c r="EB21" i="25"/>
  <c r="EA21" i="25"/>
  <c r="DW78" i="25"/>
  <c r="DN53" i="25"/>
  <c r="DQ53" i="25"/>
  <c r="DN66" i="25"/>
  <c r="DQ66" i="25"/>
  <c r="EB101" i="25"/>
  <c r="EA101" i="25"/>
  <c r="EB120" i="25"/>
  <c r="EA120" i="25"/>
  <c r="DW179" i="25"/>
  <c r="DQ178" i="25"/>
  <c r="DQ29" i="25"/>
  <c r="DN29" i="25"/>
  <c r="DN11" i="25"/>
  <c r="DQ11" i="25"/>
  <c r="DN33" i="25"/>
  <c r="DQ33" i="25"/>
  <c r="DQ26" i="25"/>
  <c r="DN26" i="25"/>
  <c r="DN293" i="25"/>
  <c r="DQ293" i="25"/>
  <c r="DW126" i="25"/>
  <c r="DQ313" i="25"/>
  <c r="DN313" i="25"/>
  <c r="DQ58" i="25"/>
  <c r="DN58" i="25"/>
  <c r="DW43" i="25"/>
  <c r="DQ250" i="25"/>
  <c r="DN250" i="25"/>
  <c r="DW181" i="25"/>
  <c r="DW194" i="25"/>
  <c r="DW14" i="25"/>
  <c r="DW37" i="25"/>
  <c r="DN134" i="25"/>
  <c r="DQ134" i="25"/>
  <c r="DN12" i="25"/>
  <c r="DQ12" i="25"/>
  <c r="DN240" i="25"/>
  <c r="DQ240" i="25"/>
  <c r="DN236" i="25"/>
  <c r="DQ236" i="25"/>
  <c r="DQ122" i="25"/>
  <c r="EY122" i="25" s="1"/>
  <c r="DN122" i="25"/>
  <c r="DN41" i="25"/>
  <c r="DQ41" i="25"/>
  <c r="DN249" i="25"/>
  <c r="DQ249" i="25"/>
  <c r="DN70" i="25"/>
  <c r="DQ70" i="25"/>
  <c r="EB134" i="25"/>
  <c r="EA134" i="25"/>
  <c r="DQ149" i="25"/>
  <c r="DN149" i="25"/>
  <c r="DN235" i="25"/>
  <c r="DQ235" i="25"/>
  <c r="EB163" i="25"/>
  <c r="EA163" i="25"/>
  <c r="EB63" i="25"/>
  <c r="EA63" i="25"/>
  <c r="DN17" i="25"/>
  <c r="DQ17" i="25"/>
  <c r="DQ255" i="25"/>
  <c r="DN255" i="25"/>
  <c r="EB61" i="25"/>
  <c r="EA61" i="25"/>
  <c r="DQ88" i="25"/>
  <c r="DN88" i="25"/>
  <c r="DW127" i="25"/>
  <c r="DN83" i="25"/>
  <c r="DQ83" i="25"/>
  <c r="EB41" i="25"/>
  <c r="EA41" i="25"/>
  <c r="DN9" i="25"/>
  <c r="DQ9" i="25"/>
  <c r="DN31" i="25"/>
  <c r="DQ31" i="25"/>
  <c r="EB123" i="25"/>
  <c r="EA123" i="25"/>
  <c r="DQ179" i="25"/>
  <c r="EY179" i="25" s="1"/>
  <c r="EB188" i="25"/>
  <c r="EA188" i="25"/>
  <c r="DQ204" i="25"/>
  <c r="DT204" i="25" s="1"/>
  <c r="DN204" i="25"/>
  <c r="EB117" i="25"/>
  <c r="EA117" i="25"/>
  <c r="DQ155" i="25"/>
  <c r="DN155" i="25"/>
  <c r="DQ196" i="25"/>
  <c r="DT196" i="25" s="1"/>
  <c r="DW173" i="25"/>
  <c r="DN30" i="25"/>
  <c r="DQ30" i="25"/>
  <c r="DQ115" i="25"/>
  <c r="DN115" i="25"/>
  <c r="DQ50" i="25"/>
  <c r="DN50" i="25"/>
  <c r="DN60" i="25"/>
  <c r="DQ60" i="25"/>
  <c r="DN251" i="25"/>
  <c r="DQ251" i="25"/>
  <c r="DN64" i="25"/>
  <c r="DQ64" i="25"/>
  <c r="DW138" i="25"/>
  <c r="DN294" i="25"/>
  <c r="DQ294" i="25"/>
  <c r="DQ6" i="25"/>
  <c r="DN6" i="25"/>
  <c r="DN197" i="25"/>
  <c r="DQ197" i="25"/>
  <c r="DT197" i="25" s="1"/>
  <c r="DQ124" i="25"/>
  <c r="DN124" i="25"/>
  <c r="DN205" i="25"/>
  <c r="DQ205" i="25"/>
  <c r="DT205" i="25" s="1"/>
  <c r="DN176" i="25"/>
  <c r="DQ176" i="25"/>
  <c r="DN7" i="25"/>
  <c r="DQ7" i="25"/>
  <c r="DW15" i="25"/>
  <c r="DW141" i="25"/>
  <c r="DN185" i="25"/>
  <c r="DQ185" i="25"/>
  <c r="DQ218" i="25"/>
  <c r="DN218" i="25"/>
  <c r="DN222" i="25"/>
  <c r="DQ222" i="25"/>
  <c r="DQ238" i="25"/>
  <c r="DN238" i="25"/>
  <c r="EB205" i="25"/>
  <c r="EA205" i="25"/>
  <c r="DN167" i="25"/>
  <c r="DQ167" i="25"/>
  <c r="DN190" i="25"/>
  <c r="DQ190" i="25"/>
  <c r="FA190" i="25" s="1"/>
  <c r="DQ42" i="25"/>
  <c r="DN42" i="25"/>
  <c r="DW58" i="25"/>
  <c r="DQ284" i="25"/>
  <c r="DN284" i="25"/>
  <c r="EB44" i="25"/>
  <c r="EA44" i="25"/>
  <c r="DW24" i="25"/>
  <c r="DN180" i="25"/>
  <c r="DQ92" i="25"/>
  <c r="DT92" i="25" s="1"/>
  <c r="DN92" i="25"/>
  <c r="DW42" i="25"/>
  <c r="EB76" i="25"/>
  <c r="EA76" i="25"/>
  <c r="DN37" i="25"/>
  <c r="DQ37" i="25"/>
  <c r="DW119" i="25"/>
  <c r="DW137" i="25"/>
  <c r="DW92" i="25"/>
  <c r="DQ76" i="25"/>
  <c r="DN76" i="25"/>
  <c r="EA110" i="25"/>
  <c r="EB110" i="25"/>
  <c r="DW90" i="25"/>
  <c r="DQ305" i="25"/>
  <c r="DN305" i="25"/>
  <c r="EB140" i="25"/>
  <c r="EA140" i="25"/>
  <c r="EB20" i="25"/>
  <c r="EA20" i="25"/>
  <c r="EB32" i="25"/>
  <c r="EA32" i="25"/>
  <c r="DW156" i="25"/>
  <c r="DQ310" i="25"/>
  <c r="DN310" i="25"/>
  <c r="DW86" i="25"/>
  <c r="DQ125" i="25"/>
  <c r="DN125" i="25"/>
  <c r="EB182" i="25"/>
  <c r="EA182" i="25"/>
  <c r="EB204" i="25"/>
  <c r="EA204" i="25"/>
  <c r="DQ207" i="25"/>
  <c r="DT207" i="25" s="1"/>
  <c r="DN207" i="25"/>
  <c r="DN260" i="25"/>
  <c r="DQ260" i="25"/>
  <c r="DN239" i="25"/>
  <c r="DQ239" i="25"/>
  <c r="DQ47" i="25"/>
  <c r="DN47" i="25"/>
  <c r="DW79" i="25"/>
  <c r="DN40" i="25"/>
  <c r="DQ40" i="25"/>
  <c r="DQ208" i="25"/>
  <c r="DT208" i="25" s="1"/>
  <c r="DN208" i="25"/>
  <c r="EB201" i="25"/>
  <c r="EA201" i="25"/>
  <c r="EB149" i="25"/>
  <c r="EA149" i="25"/>
  <c r="EB150" i="25"/>
  <c r="EA150" i="25"/>
  <c r="DQ133" i="25"/>
  <c r="DN133" i="25"/>
  <c r="DN52" i="25"/>
  <c r="DQ52" i="25"/>
  <c r="DQ28" i="25"/>
  <c r="DN28" i="25"/>
  <c r="DN45" i="25"/>
  <c r="DQ45" i="25"/>
  <c r="DW47" i="25"/>
  <c r="EB144" i="25"/>
  <c r="EA144" i="25"/>
  <c r="DW27" i="25"/>
  <c r="DW40" i="25"/>
  <c r="EB6" i="25"/>
  <c r="EA6" i="25"/>
  <c r="EB57" i="25"/>
  <c r="EA57" i="25"/>
  <c r="EB28" i="25"/>
  <c r="EA28" i="25"/>
  <c r="DQ94" i="25"/>
  <c r="DT94" i="25" s="1"/>
  <c r="DN94" i="25"/>
  <c r="EB162" i="25"/>
  <c r="EA162" i="25"/>
  <c r="DN15" i="25"/>
  <c r="DQ15" i="25"/>
  <c r="DN158" i="25"/>
  <c r="DQ158" i="25"/>
  <c r="EJ158" i="25" s="1"/>
  <c r="DQ141" i="25"/>
  <c r="DN141" i="25"/>
  <c r="DN270" i="25"/>
  <c r="DQ270" i="25"/>
  <c r="DW129" i="25"/>
  <c r="EB186" i="25"/>
  <c r="EA186" i="25"/>
  <c r="EB116" i="25"/>
  <c r="EA116" i="25"/>
  <c r="DN172" i="25"/>
  <c r="DQ172" i="25"/>
  <c r="DN288" i="25"/>
  <c r="DQ288" i="25"/>
  <c r="DQ102" i="25"/>
  <c r="DT102" i="25" s="1"/>
  <c r="DN102" i="25"/>
  <c r="EB75" i="25"/>
  <c r="EA75" i="25"/>
  <c r="DN118" i="25"/>
  <c r="DQ118" i="25"/>
  <c r="EB113" i="25"/>
  <c r="EA113" i="25"/>
  <c r="EB209" i="25"/>
  <c r="EA209" i="25"/>
  <c r="DQ281" i="25"/>
  <c r="DN281" i="25"/>
  <c r="EB104" i="25"/>
  <c r="EA104" i="25"/>
  <c r="DN91" i="25"/>
  <c r="DQ91" i="25"/>
  <c r="DT91" i="25" s="1"/>
  <c r="DQ232" i="25"/>
  <c r="DN232" i="25"/>
  <c r="DW33" i="25"/>
  <c r="DQ82" i="25"/>
  <c r="DN82" i="25"/>
  <c r="DW147" i="25"/>
  <c r="DW199" i="25"/>
  <c r="DQ154" i="25"/>
  <c r="DN154" i="25"/>
  <c r="DN160" i="25"/>
  <c r="DQ160" i="25"/>
  <c r="DQ63" i="25"/>
  <c r="DN63" i="25"/>
  <c r="EB184" i="25"/>
  <c r="EA184" i="25"/>
  <c r="DQ192" i="25"/>
  <c r="DN192" i="25"/>
  <c r="DW169" i="25"/>
  <c r="DW25" i="25"/>
  <c r="EB82" i="25"/>
  <c r="EA82" i="25"/>
  <c r="DQ203" i="25"/>
  <c r="DT203" i="25" s="1"/>
  <c r="DN203" i="25"/>
  <c r="DQ65" i="25"/>
  <c r="DN65" i="25"/>
  <c r="DW87" i="25"/>
  <c r="DN100" i="25"/>
  <c r="DQ100" i="25"/>
  <c r="DT100" i="25" s="1"/>
  <c r="DQ248" i="25"/>
  <c r="DN248" i="25"/>
  <c r="DW208" i="25"/>
  <c r="DQ279" i="25"/>
  <c r="DN279" i="25"/>
  <c r="DN177" i="25"/>
  <c r="DQ177" i="25"/>
  <c r="EJ177" i="25" s="1"/>
  <c r="DQ188" i="25"/>
  <c r="DN188" i="25"/>
  <c r="DQ146" i="25"/>
  <c r="DN146" i="25"/>
  <c r="DN277" i="25"/>
  <c r="DQ277" i="25"/>
  <c r="DN292" i="25"/>
  <c r="DQ292" i="25"/>
  <c r="DN27" i="25"/>
  <c r="DQ27" i="25"/>
  <c r="DW70" i="25"/>
  <c r="DN253" i="25"/>
  <c r="DQ253" i="25"/>
  <c r="EB22" i="25"/>
  <c r="EA22" i="25"/>
  <c r="DQ145" i="25"/>
  <c r="EJ145" i="25" s="1"/>
  <c r="DN145" i="25"/>
  <c r="EB125" i="25"/>
  <c r="EA125" i="25"/>
  <c r="DW17" i="25"/>
  <c r="DQ56" i="25"/>
  <c r="DN56" i="25"/>
  <c r="DW99" i="25"/>
  <c r="DN54" i="25"/>
  <c r="DQ54" i="25"/>
  <c r="DQ93" i="25"/>
  <c r="DT93" i="25" s="1"/>
  <c r="DN93" i="25"/>
  <c r="DQ161" i="25"/>
  <c r="DN161" i="25"/>
  <c r="EB52" i="25"/>
  <c r="EA52" i="25"/>
  <c r="DN223" i="25"/>
  <c r="DQ223" i="25"/>
  <c r="EB151" i="25"/>
  <c r="EA151" i="25"/>
  <c r="DN165" i="25"/>
  <c r="DQ165" i="25"/>
  <c r="EB114" i="25"/>
  <c r="EA114" i="25"/>
  <c r="DQ164" i="25"/>
  <c r="DN164" i="25"/>
  <c r="DQ306" i="25"/>
  <c r="DN306" i="25"/>
  <c r="DQ228" i="25"/>
  <c r="DN228" i="25"/>
  <c r="DW72" i="25"/>
  <c r="DQ290" i="25"/>
  <c r="DN290" i="25"/>
  <c r="DQ136" i="25"/>
  <c r="DN136" i="25"/>
  <c r="EB94" i="25"/>
  <c r="EA94" i="25"/>
  <c r="DQ262" i="25"/>
  <c r="DN269" i="25"/>
  <c r="DQ269" i="25"/>
  <c r="DW193" i="25"/>
  <c r="DQ129" i="25"/>
  <c r="DN129" i="25"/>
  <c r="DW136" i="25"/>
  <c r="DQ104" i="25"/>
  <c r="DT104" i="25" s="1"/>
  <c r="DN104" i="25"/>
  <c r="EB19" i="25"/>
  <c r="EA19" i="25"/>
  <c r="DQ147" i="25"/>
  <c r="EJ147" i="25" s="1"/>
  <c r="DN147" i="25"/>
  <c r="DN97" i="25"/>
  <c r="DQ97" i="25"/>
  <c r="DT97" i="25" s="1"/>
  <c r="EB202" i="25"/>
  <c r="EA202" i="25"/>
  <c r="DW34" i="25"/>
  <c r="DQ308" i="25"/>
  <c r="DN308" i="25"/>
  <c r="DN90" i="25"/>
  <c r="DQ90" i="25"/>
  <c r="DQ258" i="25"/>
  <c r="DN258" i="25"/>
  <c r="EB26" i="25"/>
  <c r="EA26" i="25"/>
  <c r="EB192" i="25"/>
  <c r="EA192" i="25"/>
  <c r="DQ169" i="25"/>
  <c r="DN169" i="25"/>
  <c r="DW81" i="25"/>
  <c r="DQ25" i="25"/>
  <c r="DN25" i="25"/>
  <c r="DW191" i="25"/>
  <c r="DN267" i="25"/>
  <c r="DQ267" i="25"/>
  <c r="DN156" i="25"/>
  <c r="DQ156" i="25"/>
  <c r="DN23" i="25"/>
  <c r="DQ23" i="25"/>
  <c r="DN89" i="25"/>
  <c r="DQ89" i="25"/>
  <c r="DN130" i="25"/>
  <c r="DQ130" i="25"/>
  <c r="EB198" i="25"/>
  <c r="EA198" i="25"/>
  <c r="DQ194" i="25"/>
  <c r="DT194" i="25" s="1"/>
  <c r="DN194" i="25"/>
  <c r="DW98" i="25"/>
  <c r="DN289" i="25"/>
  <c r="DQ289" i="25"/>
  <c r="DN22" i="25"/>
  <c r="DQ22" i="25"/>
  <c r="DQ297" i="25"/>
  <c r="DN297" i="25"/>
  <c r="DN264" i="25"/>
  <c r="DQ264" i="25"/>
  <c r="DQ32" i="25"/>
  <c r="DN32" i="25"/>
  <c r="DN166" i="25"/>
  <c r="DQ166" i="25"/>
  <c r="DW100" i="25"/>
  <c r="DQ153" i="25"/>
  <c r="DN153" i="25"/>
  <c r="DN301" i="25"/>
  <c r="DQ301" i="25"/>
  <c r="EB85" i="25"/>
  <c r="EA85" i="25"/>
  <c r="DN291" i="25"/>
  <c r="DQ291" i="25"/>
  <c r="DW210" i="25"/>
  <c r="DW83" i="25"/>
  <c r="DN217" i="25"/>
  <c r="DQ217" i="25"/>
  <c r="DQ307" i="25"/>
  <c r="DN307" i="25"/>
  <c r="EB36" i="25"/>
  <c r="EA36" i="25"/>
  <c r="DN229" i="25"/>
  <c r="DQ229" i="25"/>
  <c r="DQ74" i="25"/>
  <c r="DN74" i="25"/>
  <c r="EB172" i="25"/>
  <c r="EA172" i="25"/>
  <c r="EB155" i="25"/>
  <c r="EA155" i="25"/>
  <c r="DQ226" i="25"/>
  <c r="DN226" i="25"/>
  <c r="DN231" i="25"/>
  <c r="DQ231" i="25"/>
  <c r="DQ132" i="25"/>
  <c r="DN132" i="25"/>
  <c r="DQ127" i="25"/>
  <c r="FA127" i="25" s="1"/>
  <c r="DQ135" i="25"/>
  <c r="DN135" i="25"/>
  <c r="DW93" i="25"/>
  <c r="DQ77" i="25"/>
  <c r="DN77" i="25"/>
  <c r="DQ101" i="25"/>
  <c r="DT101" i="25" s="1"/>
  <c r="DN101" i="25"/>
  <c r="DW74" i="25"/>
  <c r="DQ114" i="25"/>
  <c r="DN114" i="25"/>
  <c r="DN80" i="25"/>
  <c r="DQ80" i="25"/>
  <c r="EB132" i="25"/>
  <c r="EA132" i="25"/>
  <c r="DQ44" i="25"/>
  <c r="DN44" i="25"/>
  <c r="EB11" i="25"/>
  <c r="EA11" i="25"/>
  <c r="EB152" i="25"/>
  <c r="EA152" i="25"/>
  <c r="DQ180" i="25"/>
  <c r="EB18" i="25"/>
  <c r="EA18" i="25"/>
  <c r="DN8" i="25"/>
  <c r="DQ8" i="25"/>
  <c r="DQ219" i="25"/>
  <c r="DN219" i="25"/>
  <c r="DN72" i="24"/>
  <c r="DX72" i="24" s="1"/>
  <c r="DN64" i="24"/>
  <c r="DZ64" i="24" s="1"/>
  <c r="DN57" i="24"/>
  <c r="DZ57" i="24" s="1"/>
  <c r="DN46" i="24"/>
  <c r="DX46" i="24" s="1"/>
  <c r="DN9" i="24"/>
  <c r="DZ9" i="24" s="1"/>
  <c r="DN45" i="24"/>
  <c r="DZ45" i="24" s="1"/>
  <c r="DN7" i="24"/>
  <c r="DZ7" i="24" s="1"/>
  <c r="DN59" i="24"/>
  <c r="DX59" i="24" s="1"/>
  <c r="DN20" i="24"/>
  <c r="DX20" i="24" s="1"/>
  <c r="DN140" i="24"/>
  <c r="DX140" i="24" s="1"/>
  <c r="DN233" i="24"/>
  <c r="DN19" i="24"/>
  <c r="DX19" i="24" s="1"/>
  <c r="DN58" i="24"/>
  <c r="DX58" i="24" s="1"/>
  <c r="DN303" i="24"/>
  <c r="DN49" i="24"/>
  <c r="DX49" i="24" s="1"/>
  <c r="DN143" i="24"/>
  <c r="DX143" i="24" s="1"/>
  <c r="DN245" i="24"/>
  <c r="DN297" i="24"/>
  <c r="DN12" i="24"/>
  <c r="DX12" i="24" s="1"/>
  <c r="DN295" i="24"/>
  <c r="DN125" i="24"/>
  <c r="DX125" i="24" s="1"/>
  <c r="DN313" i="24"/>
  <c r="DN28" i="24"/>
  <c r="DX28" i="24" s="1"/>
  <c r="DN166" i="24"/>
  <c r="DX166" i="24" s="1"/>
  <c r="DN315" i="24"/>
  <c r="DN36" i="24"/>
  <c r="DZ36" i="24" s="1"/>
  <c r="DN286" i="24"/>
  <c r="DN31" i="24"/>
  <c r="DZ31" i="24" s="1"/>
  <c r="DN246" i="24"/>
  <c r="DN34" i="24"/>
  <c r="DX34" i="24" s="1"/>
  <c r="DN11" i="24"/>
  <c r="DZ11" i="24" s="1"/>
  <c r="DN311" i="24"/>
  <c r="DN282" i="24"/>
  <c r="DN38" i="24"/>
  <c r="DX38" i="24" s="1"/>
  <c r="DN178" i="24"/>
  <c r="DX178" i="24" s="1"/>
  <c r="DN144" i="24"/>
  <c r="DX144" i="24" s="1"/>
  <c r="DN266" i="24"/>
  <c r="DN200" i="24"/>
  <c r="DX200" i="24" s="1"/>
  <c r="DN105" i="24"/>
  <c r="DZ105" i="24" s="1"/>
  <c r="DN316" i="24"/>
  <c r="DN101" i="24"/>
  <c r="DZ101" i="24" s="1"/>
  <c r="DN153" i="24"/>
  <c r="DX153" i="24" s="1"/>
  <c r="DN18" i="24"/>
  <c r="DZ18" i="24" s="1"/>
  <c r="DN265" i="24"/>
  <c r="DN182" i="24"/>
  <c r="DX182" i="24" s="1"/>
  <c r="DN263" i="24"/>
  <c r="DN32" i="24"/>
  <c r="DX32" i="24" s="1"/>
  <c r="DN87" i="24"/>
  <c r="DZ87" i="24" s="1"/>
  <c r="DN232" i="24"/>
  <c r="DN118" i="24"/>
  <c r="DX118" i="24" s="1"/>
  <c r="DN247" i="24"/>
  <c r="DN141" i="24"/>
  <c r="DX141" i="24" s="1"/>
  <c r="DN251" i="24"/>
  <c r="DN82" i="24"/>
  <c r="DX82" i="24" s="1"/>
  <c r="DN285" i="24"/>
  <c r="DN17" i="24"/>
  <c r="DZ17" i="24" s="1"/>
  <c r="DN120" i="24"/>
  <c r="DX120" i="24" s="1"/>
  <c r="DN148" i="24"/>
  <c r="DX148" i="24" s="1"/>
  <c r="DN102" i="24"/>
  <c r="DX102" i="24" s="1"/>
  <c r="DN274" i="24"/>
  <c r="DN238" i="24"/>
  <c r="DN188" i="24"/>
  <c r="DX188" i="24" s="1"/>
  <c r="DN304" i="24"/>
  <c r="DN6" i="24"/>
  <c r="DX6" i="24" s="1"/>
  <c r="DN220" i="24"/>
  <c r="DN261" i="24"/>
  <c r="DN90" i="24"/>
  <c r="DX90" i="24" s="1"/>
  <c r="DN259" i="24"/>
  <c r="DN15" i="24"/>
  <c r="DX15" i="24" s="1"/>
  <c r="DN222" i="24"/>
  <c r="DN56" i="24"/>
  <c r="DZ56" i="24" s="1"/>
  <c r="DN294" i="24"/>
  <c r="DN287" i="24"/>
  <c r="DN280" i="24"/>
  <c r="DN229" i="24"/>
  <c r="DN252" i="24"/>
  <c r="DN236" i="24"/>
  <c r="DN195" i="24"/>
  <c r="DX195" i="24" s="1"/>
  <c r="DN293" i="24"/>
  <c r="DN92" i="24"/>
  <c r="DZ92" i="24" s="1"/>
  <c r="DN21" i="24"/>
  <c r="DZ21" i="24" s="1"/>
  <c r="DN194" i="24"/>
  <c r="DX194" i="24" s="1"/>
  <c r="DN276" i="24"/>
  <c r="DN88" i="24"/>
  <c r="DZ88" i="24" s="1"/>
  <c r="DN204" i="24"/>
  <c r="DX204" i="24" s="1"/>
  <c r="DN189" i="24"/>
  <c r="DX189" i="24" s="1"/>
  <c r="DN119" i="24"/>
  <c r="DX119" i="24" s="1"/>
  <c r="DN262" i="24"/>
  <c r="DN292" i="24"/>
  <c r="DN96" i="24"/>
  <c r="DX96" i="24" s="1"/>
  <c r="DN241" i="24"/>
  <c r="DN73" i="24"/>
  <c r="DX73" i="24" s="1"/>
  <c r="DN225" i="24"/>
  <c r="DN51" i="24"/>
  <c r="DX51" i="24" s="1"/>
  <c r="DN180" i="24"/>
  <c r="DX180" i="24" s="1"/>
  <c r="DN22" i="24"/>
  <c r="DX22" i="24" s="1"/>
  <c r="DN308" i="24"/>
  <c r="DN121" i="24"/>
  <c r="DX121" i="24" s="1"/>
  <c r="DN235" i="24"/>
  <c r="DN289" i="24"/>
  <c r="DK165" i="24"/>
  <c r="DJ165" i="24"/>
  <c r="DK33" i="24"/>
  <c r="DJ33" i="24"/>
  <c r="DK34" i="24"/>
  <c r="DJ34" i="24"/>
  <c r="DK303" i="24"/>
  <c r="DJ303" i="24"/>
  <c r="DK226" i="24"/>
  <c r="DJ226" i="24"/>
  <c r="DK186" i="24"/>
  <c r="DJ186" i="24"/>
  <c r="DK135" i="24"/>
  <c r="DJ135" i="24"/>
  <c r="DN81" i="24"/>
  <c r="DN150" i="24"/>
  <c r="DN193" i="24"/>
  <c r="DK247" i="24"/>
  <c r="DJ247" i="24"/>
  <c r="DK125" i="24"/>
  <c r="DJ125" i="24"/>
  <c r="DK305" i="24"/>
  <c r="DJ305" i="24"/>
  <c r="DN71" i="24"/>
  <c r="DN33" i="24"/>
  <c r="DK57" i="24"/>
  <c r="DJ57" i="24"/>
  <c r="DN35" i="24"/>
  <c r="DK169" i="24"/>
  <c r="DJ169" i="24"/>
  <c r="DK298" i="24"/>
  <c r="DJ298" i="24"/>
  <c r="DK45" i="24"/>
  <c r="DJ45" i="24"/>
  <c r="DN104" i="24"/>
  <c r="DN37" i="24"/>
  <c r="DN239" i="24"/>
  <c r="DK293" i="24"/>
  <c r="DJ293" i="24"/>
  <c r="DK131" i="24"/>
  <c r="DJ131" i="24"/>
  <c r="DK62" i="24"/>
  <c r="DJ62" i="24"/>
  <c r="DN52" i="24"/>
  <c r="DK221" i="24"/>
  <c r="DJ221" i="24"/>
  <c r="DK102" i="24"/>
  <c r="DJ102" i="24"/>
  <c r="DK130" i="24"/>
  <c r="DJ130" i="24"/>
  <c r="DK76" i="24"/>
  <c r="DJ76" i="24"/>
  <c r="DK117" i="24"/>
  <c r="DJ117" i="24"/>
  <c r="DK191" i="24"/>
  <c r="DJ191" i="24"/>
  <c r="DK266" i="24"/>
  <c r="DJ266" i="24"/>
  <c r="DN54" i="24"/>
  <c r="DN159" i="24"/>
  <c r="DK200" i="24"/>
  <c r="DJ200" i="24"/>
  <c r="DK177" i="24"/>
  <c r="DJ177" i="24"/>
  <c r="DK194" i="24"/>
  <c r="DJ194" i="24"/>
  <c r="DK74" i="24"/>
  <c r="DJ74" i="24"/>
  <c r="DK138" i="24"/>
  <c r="DJ138" i="24"/>
  <c r="DN147" i="24"/>
  <c r="DN127" i="24"/>
  <c r="DK170" i="24"/>
  <c r="DJ170" i="24"/>
  <c r="DN183" i="24"/>
  <c r="DN228" i="24"/>
  <c r="DK217" i="24"/>
  <c r="DJ217" i="24"/>
  <c r="DN269" i="24"/>
  <c r="DN152" i="24"/>
  <c r="DK16" i="24"/>
  <c r="DJ16" i="24"/>
  <c r="DK175" i="24"/>
  <c r="DJ175" i="24"/>
  <c r="DN63" i="24"/>
  <c r="DN128" i="24"/>
  <c r="DK96" i="24"/>
  <c r="DJ96" i="24"/>
  <c r="DN242" i="24"/>
  <c r="DK172" i="24"/>
  <c r="DJ172" i="24"/>
  <c r="DN83" i="24"/>
  <c r="DN281" i="24"/>
  <c r="DK160" i="24"/>
  <c r="DJ160" i="24"/>
  <c r="DK272" i="24"/>
  <c r="DJ272" i="24"/>
  <c r="DN279" i="24"/>
  <c r="DK31" i="24"/>
  <c r="DJ31" i="24"/>
  <c r="DN30" i="24"/>
  <c r="DN41" i="24"/>
  <c r="DN226" i="24"/>
  <c r="DK291" i="24"/>
  <c r="DJ291" i="24"/>
  <c r="DN40" i="24"/>
  <c r="DN186" i="24"/>
  <c r="DN99" i="24"/>
  <c r="DK61" i="24"/>
  <c r="DJ61" i="24"/>
  <c r="DK251" i="24"/>
  <c r="DJ251" i="24"/>
  <c r="DK82" i="24"/>
  <c r="DJ82" i="24"/>
  <c r="DN267" i="24"/>
  <c r="DN224" i="24"/>
  <c r="DK234" i="24"/>
  <c r="DJ234" i="24"/>
  <c r="DK89" i="24"/>
  <c r="DJ89" i="24"/>
  <c r="DN60" i="24"/>
  <c r="DK137" i="24"/>
  <c r="DJ137" i="24"/>
  <c r="DK79" i="24"/>
  <c r="DJ79" i="24"/>
  <c r="DK81" i="24"/>
  <c r="DJ81" i="24"/>
  <c r="DK248" i="24"/>
  <c r="DJ248" i="24"/>
  <c r="DK85" i="24"/>
  <c r="DJ85" i="24"/>
  <c r="DK148" i="24"/>
  <c r="DJ148" i="24"/>
  <c r="DK219" i="24"/>
  <c r="DJ219" i="24"/>
  <c r="DK183" i="24"/>
  <c r="DJ183" i="24"/>
  <c r="DK166" i="24"/>
  <c r="DJ166" i="24"/>
  <c r="DK150" i="24"/>
  <c r="DJ150" i="24"/>
  <c r="DN142" i="24"/>
  <c r="DN305" i="24"/>
  <c r="DK229" i="24"/>
  <c r="DJ229" i="24"/>
  <c r="DN55" i="24"/>
  <c r="DK71" i="24"/>
  <c r="DJ71" i="24"/>
  <c r="DK233" i="24"/>
  <c r="DJ233" i="24"/>
  <c r="DN298" i="24"/>
  <c r="DK86" i="24"/>
  <c r="DJ86" i="24"/>
  <c r="DK104" i="24"/>
  <c r="DJ104" i="24"/>
  <c r="DJ37" i="24"/>
  <c r="DK37" i="24"/>
  <c r="DK310" i="24"/>
  <c r="DJ310" i="24"/>
  <c r="DK178" i="24"/>
  <c r="DJ178" i="24"/>
  <c r="DK144" i="24"/>
  <c r="DJ144" i="24"/>
  <c r="DK239" i="24"/>
  <c r="DJ239" i="24"/>
  <c r="DN62" i="24"/>
  <c r="DK12" i="24"/>
  <c r="DJ12" i="24"/>
  <c r="DK159" i="24"/>
  <c r="DJ159" i="24"/>
  <c r="DK306" i="24"/>
  <c r="DJ306" i="24"/>
  <c r="DN177" i="24"/>
  <c r="DK78" i="24"/>
  <c r="DJ78" i="24"/>
  <c r="DN138" i="24"/>
  <c r="DK147" i="24"/>
  <c r="DJ147" i="24"/>
  <c r="DN170" i="24"/>
  <c r="DK228" i="24"/>
  <c r="DJ228" i="24"/>
  <c r="DK116" i="24"/>
  <c r="DJ116" i="24"/>
  <c r="DK263" i="24"/>
  <c r="DJ263" i="24"/>
  <c r="DK269" i="24"/>
  <c r="DJ269" i="24"/>
  <c r="DK152" i="24"/>
  <c r="DJ152" i="24"/>
  <c r="DN175" i="24"/>
  <c r="DK63" i="24"/>
  <c r="DJ63" i="24"/>
  <c r="DK128" i="24"/>
  <c r="DJ128" i="24"/>
  <c r="DK242" i="24"/>
  <c r="DJ242" i="24"/>
  <c r="DN172" i="24"/>
  <c r="DK83" i="24"/>
  <c r="DJ83" i="24"/>
  <c r="DK281" i="24"/>
  <c r="DJ281" i="24"/>
  <c r="DN160" i="24"/>
  <c r="DN272" i="24"/>
  <c r="DK30" i="24"/>
  <c r="DJ30" i="24"/>
  <c r="DK255" i="24"/>
  <c r="DJ255" i="24"/>
  <c r="DK41" i="24"/>
  <c r="DJ41" i="24"/>
  <c r="DK40" i="24"/>
  <c r="DJ40" i="24"/>
  <c r="DK99" i="24"/>
  <c r="DJ99" i="24"/>
  <c r="DN61" i="24"/>
  <c r="DJ224" i="24"/>
  <c r="DK224" i="24"/>
  <c r="DN89" i="24"/>
  <c r="DK60" i="24"/>
  <c r="DJ60" i="24"/>
  <c r="DK232" i="24"/>
  <c r="DJ232" i="24"/>
  <c r="DK59" i="24"/>
  <c r="DJ59" i="24"/>
  <c r="DK262" i="24"/>
  <c r="DJ262" i="24"/>
  <c r="DK286" i="24"/>
  <c r="DJ286" i="24"/>
  <c r="DK90" i="24"/>
  <c r="DJ90" i="24"/>
  <c r="DK203" i="24"/>
  <c r="DJ203" i="24"/>
  <c r="DK142" i="24"/>
  <c r="DJ142" i="24"/>
  <c r="DK55" i="24"/>
  <c r="DJ55" i="24"/>
  <c r="DK140" i="24"/>
  <c r="DJ140" i="24"/>
  <c r="DK7" i="24"/>
  <c r="DJ7" i="24"/>
  <c r="DK236" i="24"/>
  <c r="DJ236" i="24"/>
  <c r="DK243" i="24"/>
  <c r="DJ243" i="24"/>
  <c r="DK38" i="24"/>
  <c r="DJ38" i="24"/>
  <c r="DK225" i="24"/>
  <c r="DJ225" i="24"/>
  <c r="DK92" i="24"/>
  <c r="DJ92" i="24"/>
  <c r="DK143" i="24"/>
  <c r="DJ143" i="24"/>
  <c r="DK198" i="24"/>
  <c r="DJ198" i="24"/>
  <c r="DK206" i="24"/>
  <c r="DJ206" i="24"/>
  <c r="DK19" i="24"/>
  <c r="DJ19" i="24"/>
  <c r="DK127" i="24"/>
  <c r="DJ127" i="24"/>
  <c r="DK182" i="24"/>
  <c r="DJ182" i="24"/>
  <c r="DK179" i="24"/>
  <c r="DJ179" i="24"/>
  <c r="DK300" i="24"/>
  <c r="DJ300" i="24"/>
  <c r="DK258" i="24"/>
  <c r="DJ258" i="24"/>
  <c r="DK105" i="24"/>
  <c r="DJ105" i="24"/>
  <c r="DK245" i="24"/>
  <c r="DJ245" i="24"/>
  <c r="DK297" i="24"/>
  <c r="DJ297" i="24"/>
  <c r="DK184" i="24"/>
  <c r="DJ184" i="24"/>
  <c r="DK308" i="24"/>
  <c r="DJ308" i="24"/>
  <c r="DK121" i="24"/>
  <c r="DJ121" i="24"/>
  <c r="DK43" i="24"/>
  <c r="DJ43" i="24"/>
  <c r="DK10" i="24"/>
  <c r="DJ10" i="24"/>
  <c r="DK273" i="24"/>
  <c r="DJ273" i="24"/>
  <c r="DK235" i="24"/>
  <c r="DJ235" i="24"/>
  <c r="DK94" i="24"/>
  <c r="DJ94" i="24"/>
  <c r="DK289" i="24"/>
  <c r="DJ289" i="24"/>
  <c r="DK72" i="24"/>
  <c r="DJ72" i="24"/>
  <c r="DK207" i="24"/>
  <c r="DJ207" i="24"/>
  <c r="DK312" i="24"/>
  <c r="DJ312" i="24"/>
  <c r="DK254" i="24"/>
  <c r="DJ254" i="24"/>
  <c r="DK27" i="24"/>
  <c r="DJ27" i="24"/>
  <c r="DK181" i="24"/>
  <c r="DJ181" i="24"/>
  <c r="DK118" i="24"/>
  <c r="DJ118" i="24"/>
  <c r="DK193" i="24"/>
  <c r="DJ193" i="24"/>
  <c r="DK139" i="24"/>
  <c r="DJ139" i="24"/>
  <c r="DK120" i="24"/>
  <c r="DJ120" i="24"/>
  <c r="DK54" i="24"/>
  <c r="DJ54" i="24"/>
  <c r="DK149" i="24"/>
  <c r="DJ149" i="24"/>
  <c r="DK9" i="24"/>
  <c r="DJ9" i="24"/>
  <c r="DK64" i="24"/>
  <c r="DJ64" i="24"/>
  <c r="DK292" i="24"/>
  <c r="DJ292" i="24"/>
  <c r="DK315" i="24"/>
  <c r="DJ315" i="24"/>
  <c r="DN302" i="24"/>
  <c r="DK161" i="24"/>
  <c r="DJ161" i="24"/>
  <c r="DN253" i="24"/>
  <c r="DK167" i="24"/>
  <c r="DJ167" i="24"/>
  <c r="DN190" i="24"/>
  <c r="DK294" i="24"/>
  <c r="DJ294" i="24"/>
  <c r="DK287" i="24"/>
  <c r="DJ287" i="24"/>
  <c r="DK280" i="24"/>
  <c r="DJ280" i="24"/>
  <c r="DN154" i="24"/>
  <c r="DK252" i="24"/>
  <c r="DJ252" i="24"/>
  <c r="DK176" i="24"/>
  <c r="DJ176" i="24"/>
  <c r="DK285" i="24"/>
  <c r="DJ285" i="24"/>
  <c r="DK67" i="24"/>
  <c r="DJ67" i="24"/>
  <c r="DN25" i="24"/>
  <c r="DK124" i="24"/>
  <c r="DJ124" i="24"/>
  <c r="DN114" i="24"/>
  <c r="DN230" i="24"/>
  <c r="DK49" i="24"/>
  <c r="DJ49" i="24"/>
  <c r="DN132" i="24"/>
  <c r="DK187" i="24"/>
  <c r="DJ187" i="24"/>
  <c r="DN50" i="24"/>
  <c r="DN268" i="24"/>
  <c r="DK218" i="24"/>
  <c r="DJ218" i="24"/>
  <c r="DN270" i="24"/>
  <c r="DK156" i="24"/>
  <c r="DJ156" i="24"/>
  <c r="DN260" i="24"/>
  <c r="DK274" i="24"/>
  <c r="DJ274" i="24"/>
  <c r="DN296" i="24"/>
  <c r="DK314" i="24"/>
  <c r="DJ314" i="24"/>
  <c r="DK237" i="24"/>
  <c r="DJ237" i="24"/>
  <c r="DN77" i="24"/>
  <c r="DN111" i="24"/>
  <c r="DN185" i="24"/>
  <c r="DN164" i="24"/>
  <c r="DN202" i="24"/>
  <c r="DK95" i="24"/>
  <c r="DJ95" i="24"/>
  <c r="DK301" i="24"/>
  <c r="DJ301" i="24"/>
  <c r="DN13" i="24"/>
  <c r="DN300" i="24"/>
  <c r="DN258" i="24"/>
  <c r="DK32" i="24"/>
  <c r="DJ32" i="24"/>
  <c r="DK87" i="24"/>
  <c r="DJ87" i="24"/>
  <c r="DK316" i="24"/>
  <c r="DJ316" i="24"/>
  <c r="DK101" i="24"/>
  <c r="DJ101" i="24"/>
  <c r="DN65" i="24"/>
  <c r="DN174" i="24"/>
  <c r="DN249" i="24"/>
  <c r="DK192" i="24"/>
  <c r="DJ192" i="24"/>
  <c r="DK153" i="24"/>
  <c r="DJ153" i="24"/>
  <c r="DK18" i="24"/>
  <c r="DJ18" i="24"/>
  <c r="DN44" i="24"/>
  <c r="DK265" i="24"/>
  <c r="DJ265" i="24"/>
  <c r="DN8" i="24"/>
  <c r="DK97" i="24"/>
  <c r="DJ97" i="24"/>
  <c r="DN171" i="24"/>
  <c r="DK136" i="24"/>
  <c r="DJ136" i="24"/>
  <c r="DK264" i="24"/>
  <c r="DJ264" i="24"/>
  <c r="DN98" i="24"/>
  <c r="DJ162" i="24"/>
  <c r="DK162" i="24"/>
  <c r="DN43" i="24"/>
  <c r="DN10" i="24"/>
  <c r="DK129" i="24"/>
  <c r="DJ129" i="24"/>
  <c r="DK201" i="24"/>
  <c r="DJ201" i="24"/>
  <c r="DK241" i="24"/>
  <c r="DJ241" i="24"/>
  <c r="DK73" i="24"/>
  <c r="DJ73" i="24"/>
  <c r="DN29" i="24"/>
  <c r="DN112" i="24"/>
  <c r="DN197" i="24"/>
  <c r="DK75" i="24"/>
  <c r="DJ75" i="24"/>
  <c r="DK52" i="24"/>
  <c r="DJ52" i="24"/>
  <c r="DK69" i="24"/>
  <c r="DJ69" i="24"/>
  <c r="DK302" i="24"/>
  <c r="DJ302" i="24"/>
  <c r="DN161" i="24"/>
  <c r="DK253" i="24"/>
  <c r="DJ253" i="24"/>
  <c r="DN167" i="24"/>
  <c r="DK190" i="24"/>
  <c r="DJ190" i="24"/>
  <c r="DN209" i="24"/>
  <c r="DN68" i="24"/>
  <c r="DN24" i="24"/>
  <c r="DK154" i="24"/>
  <c r="DJ154" i="24"/>
  <c r="DN42" i="24"/>
  <c r="DN288" i="24"/>
  <c r="DK48" i="24"/>
  <c r="DJ48" i="24"/>
  <c r="DN240" i="24"/>
  <c r="DN244" i="24"/>
  <c r="DN67" i="24"/>
  <c r="DK25" i="24"/>
  <c r="DJ25" i="24"/>
  <c r="DN124" i="24"/>
  <c r="DN23" i="24"/>
  <c r="DN227" i="24"/>
  <c r="DK114" i="24"/>
  <c r="DJ114" i="24"/>
  <c r="DK230" i="24"/>
  <c r="DJ230" i="24"/>
  <c r="DK132" i="24"/>
  <c r="DJ132" i="24"/>
  <c r="DK14" i="24"/>
  <c r="DJ14" i="24"/>
  <c r="DK250" i="24"/>
  <c r="DJ250" i="24"/>
  <c r="DK50" i="24"/>
  <c r="DJ50" i="24"/>
  <c r="DK268" i="24"/>
  <c r="DJ268" i="24"/>
  <c r="DN218" i="24"/>
  <c r="DN134" i="24"/>
  <c r="DK270" i="24"/>
  <c r="DJ270" i="24"/>
  <c r="DK51" i="24"/>
  <c r="DJ51" i="24"/>
  <c r="DK223" i="24"/>
  <c r="DJ223" i="24"/>
  <c r="DK155" i="24"/>
  <c r="DJ155" i="24"/>
  <c r="DK199" i="24"/>
  <c r="DJ199" i="24"/>
  <c r="DK260" i="24"/>
  <c r="DJ260" i="24"/>
  <c r="DN26" i="24"/>
  <c r="DK296" i="24"/>
  <c r="DJ296" i="24"/>
  <c r="DN314" i="24"/>
  <c r="DK277" i="24"/>
  <c r="DJ277" i="24"/>
  <c r="DN257" i="24"/>
  <c r="DK77" i="24"/>
  <c r="DJ77" i="24"/>
  <c r="DK111" i="24"/>
  <c r="DJ111" i="24"/>
  <c r="DK185" i="24"/>
  <c r="DJ185" i="24"/>
  <c r="DK180" i="24"/>
  <c r="DJ180" i="24"/>
  <c r="DK22" i="24"/>
  <c r="DJ22" i="24"/>
  <c r="DK164" i="24"/>
  <c r="DJ164" i="24"/>
  <c r="DK202" i="24"/>
  <c r="DJ202" i="24"/>
  <c r="DJ88" i="24"/>
  <c r="DK88" i="24"/>
  <c r="DK13" i="24"/>
  <c r="DJ13" i="24"/>
  <c r="DN157" i="24"/>
  <c r="DN103" i="24"/>
  <c r="DN122" i="24"/>
  <c r="DK275" i="24"/>
  <c r="DJ275" i="24"/>
  <c r="DN231" i="24"/>
  <c r="DK65" i="24"/>
  <c r="DJ65" i="24"/>
  <c r="DK174" i="24"/>
  <c r="DJ174" i="24"/>
  <c r="DK249" i="24"/>
  <c r="DJ249" i="24"/>
  <c r="DN145" i="24"/>
  <c r="DN192" i="24"/>
  <c r="DN47" i="24"/>
  <c r="DK283" i="24"/>
  <c r="DJ283" i="24"/>
  <c r="DN307" i="24"/>
  <c r="DN70" i="24"/>
  <c r="DK44" i="24"/>
  <c r="DJ44" i="24"/>
  <c r="DK8" i="24"/>
  <c r="DJ8" i="24"/>
  <c r="DN53" i="24"/>
  <c r="DK133" i="24"/>
  <c r="DJ133" i="24"/>
  <c r="DK171" i="24"/>
  <c r="DJ171" i="24"/>
  <c r="DN136" i="24"/>
  <c r="DK98" i="24"/>
  <c r="DJ98" i="24"/>
  <c r="DN129" i="24"/>
  <c r="DN201" i="24"/>
  <c r="DN158" i="24"/>
  <c r="DK29" i="24"/>
  <c r="DJ29" i="24"/>
  <c r="DN309" i="24"/>
  <c r="DN123" i="24"/>
  <c r="DK290" i="24"/>
  <c r="DJ290" i="24"/>
  <c r="DN173" i="24"/>
  <c r="DN100" i="24"/>
  <c r="DK112" i="24"/>
  <c r="DJ112" i="24"/>
  <c r="DK80" i="24"/>
  <c r="DJ80" i="24"/>
  <c r="DK197" i="24"/>
  <c r="DJ197" i="24"/>
  <c r="DK113" i="24"/>
  <c r="DJ113" i="24"/>
  <c r="DK35" i="24"/>
  <c r="DJ35" i="24"/>
  <c r="DK311" i="24"/>
  <c r="DJ311" i="24"/>
  <c r="DK278" i="24"/>
  <c r="DJ278" i="24"/>
  <c r="DK36" i="24"/>
  <c r="DJ36" i="24"/>
  <c r="DK256" i="24"/>
  <c r="DJ256" i="24"/>
  <c r="DK267" i="24"/>
  <c r="DJ267" i="24"/>
  <c r="DK209" i="24"/>
  <c r="DJ209" i="24"/>
  <c r="DK68" i="24"/>
  <c r="DJ68" i="24"/>
  <c r="DK24" i="24"/>
  <c r="DJ24" i="24"/>
  <c r="DK42" i="24"/>
  <c r="DJ42" i="24"/>
  <c r="DK288" i="24"/>
  <c r="DJ288" i="24"/>
  <c r="DN48" i="24"/>
  <c r="DK11" i="24"/>
  <c r="DJ11" i="24"/>
  <c r="DK240" i="24"/>
  <c r="DJ240" i="24"/>
  <c r="DK244" i="24"/>
  <c r="DJ244" i="24"/>
  <c r="DK17" i="24"/>
  <c r="DJ17" i="24"/>
  <c r="DK39" i="24"/>
  <c r="DJ39" i="24"/>
  <c r="DK23" i="24"/>
  <c r="DJ23" i="24"/>
  <c r="DK227" i="24"/>
  <c r="DJ227" i="24"/>
  <c r="DN14" i="24"/>
  <c r="DN250" i="24"/>
  <c r="DK134" i="24"/>
  <c r="DJ134" i="24"/>
  <c r="DN223" i="24"/>
  <c r="DN155" i="24"/>
  <c r="DN199" i="24"/>
  <c r="DK26" i="24"/>
  <c r="DJ26" i="24"/>
  <c r="DN277" i="24"/>
  <c r="DK163" i="24"/>
  <c r="DJ163" i="24"/>
  <c r="DK257" i="24"/>
  <c r="DJ257" i="24"/>
  <c r="DK238" i="24"/>
  <c r="DJ238" i="24"/>
  <c r="DK157" i="24"/>
  <c r="DJ157" i="24"/>
  <c r="DK103" i="24"/>
  <c r="DJ103" i="24"/>
  <c r="DK122" i="24"/>
  <c r="DJ122" i="24"/>
  <c r="DK231" i="24"/>
  <c r="DJ231" i="24"/>
  <c r="DK145" i="24"/>
  <c r="DJ145" i="24"/>
  <c r="DK47" i="24"/>
  <c r="DJ47" i="24"/>
  <c r="DN283" i="24"/>
  <c r="DJ307" i="24"/>
  <c r="DK307" i="24"/>
  <c r="DK70" i="24"/>
  <c r="DJ70" i="24"/>
  <c r="DK284" i="24"/>
  <c r="DJ284" i="24"/>
  <c r="DK53" i="24"/>
  <c r="DJ53" i="24"/>
  <c r="DN133" i="24"/>
  <c r="DK93" i="24"/>
  <c r="DJ93" i="24"/>
  <c r="DN126" i="24"/>
  <c r="DK46" i="24"/>
  <c r="DJ46" i="24"/>
  <c r="DK84" i="24"/>
  <c r="DJ84" i="24"/>
  <c r="DK158" i="24"/>
  <c r="DJ158" i="24"/>
  <c r="DK20" i="24"/>
  <c r="DJ20" i="24"/>
  <c r="DK205" i="24"/>
  <c r="DJ205" i="24"/>
  <c r="DK309" i="24"/>
  <c r="DJ309" i="24"/>
  <c r="DK123" i="24"/>
  <c r="DJ123" i="24"/>
  <c r="DN290" i="24"/>
  <c r="DK173" i="24"/>
  <c r="DJ173" i="24"/>
  <c r="DK100" i="24"/>
  <c r="DJ100" i="24"/>
  <c r="DN80" i="24"/>
  <c r="DN271" i="24"/>
  <c r="DK210" i="24"/>
  <c r="DJ210" i="24"/>
  <c r="DK196" i="24"/>
  <c r="DJ196" i="24"/>
  <c r="DK141" i="24"/>
  <c r="DJ141" i="24"/>
  <c r="DK279" i="24"/>
  <c r="DJ279" i="24"/>
  <c r="DK259" i="24"/>
  <c r="DJ259" i="24"/>
  <c r="DK15" i="24"/>
  <c r="DJ15" i="24"/>
  <c r="DK222" i="24"/>
  <c r="DJ222" i="24"/>
  <c r="DK246" i="24"/>
  <c r="DJ246" i="24"/>
  <c r="DK282" i="24"/>
  <c r="DJ282" i="24"/>
  <c r="DK58" i="24"/>
  <c r="DJ58" i="24"/>
  <c r="DN39" i="24"/>
  <c r="DK195" i="24"/>
  <c r="DJ195" i="24"/>
  <c r="DK151" i="24"/>
  <c r="DJ151" i="24"/>
  <c r="DK115" i="24"/>
  <c r="DJ115" i="24"/>
  <c r="DK168" i="24"/>
  <c r="DJ168" i="24"/>
  <c r="DK21" i="24"/>
  <c r="DJ21" i="24"/>
  <c r="DK208" i="24"/>
  <c r="DJ208" i="24"/>
  <c r="DK299" i="24"/>
  <c r="DJ299" i="24"/>
  <c r="DK276" i="24"/>
  <c r="DJ276" i="24"/>
  <c r="DJ204" i="24"/>
  <c r="DK204" i="24"/>
  <c r="DK189" i="24"/>
  <c r="DJ189" i="24"/>
  <c r="DK119" i="24"/>
  <c r="DJ119" i="24"/>
  <c r="DK28" i="24"/>
  <c r="DJ28" i="24"/>
  <c r="DK188" i="24"/>
  <c r="DJ188" i="24"/>
  <c r="DK304" i="24"/>
  <c r="DJ304" i="24"/>
  <c r="DK6" i="24"/>
  <c r="DJ6" i="24"/>
  <c r="DK220" i="24"/>
  <c r="DJ220" i="24"/>
  <c r="DK261" i="24"/>
  <c r="DJ261" i="24"/>
  <c r="DK295" i="24"/>
  <c r="DJ295" i="24"/>
  <c r="DK146" i="24"/>
  <c r="DJ146" i="24"/>
  <c r="DK66" i="24"/>
  <c r="DJ66" i="24"/>
  <c r="DK313" i="24"/>
  <c r="DJ313" i="24"/>
  <c r="DK126" i="24"/>
  <c r="DJ126" i="24"/>
  <c r="DK56" i="24"/>
  <c r="DJ56" i="24"/>
  <c r="DK271" i="24"/>
  <c r="DJ271" i="24"/>
  <c r="DK91" i="24"/>
  <c r="DJ91" i="24"/>
  <c r="O628" i="29"/>
  <c r="R628" i="29"/>
  <c r="L628" i="29"/>
  <c r="Q628" i="29"/>
  <c r="S628" i="29"/>
  <c r="K628" i="29"/>
  <c r="T628" i="29"/>
  <c r="P628" i="29"/>
  <c r="BQ106" i="19"/>
  <c r="DN110" i="25" l="1"/>
  <c r="DX79" i="24"/>
  <c r="EE79" i="24" s="1"/>
  <c r="AE623" i="29"/>
  <c r="AD623" i="29"/>
  <c r="EJ212" i="25"/>
  <c r="EY212" i="25"/>
  <c r="EL212" i="25"/>
  <c r="DV212" i="25"/>
  <c r="EK212" i="25"/>
  <c r="EN212" i="25" s="1"/>
  <c r="DT212" i="25"/>
  <c r="FA212" i="25"/>
  <c r="EY199" i="25"/>
  <c r="FA200" i="25"/>
  <c r="EY208" i="25"/>
  <c r="EJ210" i="25"/>
  <c r="DZ6" i="24"/>
  <c r="DI216" i="25"/>
  <c r="DN216" i="25" s="1"/>
  <c r="EB216" i="24"/>
  <c r="EL216" i="24"/>
  <c r="EM216" i="24"/>
  <c r="EP216" i="24" s="1"/>
  <c r="EN216" i="24"/>
  <c r="FA216" i="24"/>
  <c r="DX94" i="24"/>
  <c r="EE94" i="24" s="1"/>
  <c r="DX91" i="24"/>
  <c r="EE91" i="24" s="1"/>
  <c r="DX290" i="24"/>
  <c r="EE290" i="24" s="1"/>
  <c r="DX258" i="24"/>
  <c r="EE258" i="24" s="1"/>
  <c r="DX296" i="24"/>
  <c r="EE296" i="24" s="1"/>
  <c r="DX230" i="24"/>
  <c r="DX298" i="24"/>
  <c r="EE298" i="24" s="1"/>
  <c r="DX305" i="24"/>
  <c r="EE305" i="24" s="1"/>
  <c r="DX279" i="24"/>
  <c r="EE279" i="24" s="1"/>
  <c r="DX222" i="24"/>
  <c r="EE222" i="24" s="1"/>
  <c r="DX263" i="24"/>
  <c r="EE263" i="24" s="1"/>
  <c r="DX313" i="24"/>
  <c r="EE313" i="24" s="1"/>
  <c r="DX303" i="24"/>
  <c r="EE303" i="24" s="1"/>
  <c r="DX278" i="24"/>
  <c r="EE278" i="24" s="1"/>
  <c r="DX284" i="24"/>
  <c r="EE284" i="24" s="1"/>
  <c r="DX237" i="24"/>
  <c r="EE237" i="24" s="1"/>
  <c r="DX300" i="24"/>
  <c r="EE300" i="24" s="1"/>
  <c r="DX268" i="24"/>
  <c r="EE268" i="24" s="1"/>
  <c r="DX242" i="24"/>
  <c r="EE242" i="24" s="1"/>
  <c r="DX225" i="24"/>
  <c r="EE225" i="24" s="1"/>
  <c r="DX236" i="24"/>
  <c r="EE236" i="24" s="1"/>
  <c r="DX238" i="24"/>
  <c r="EE238" i="24" s="1"/>
  <c r="DX251" i="24"/>
  <c r="EE251" i="24" s="1"/>
  <c r="DX266" i="24"/>
  <c r="EE266" i="24" s="1"/>
  <c r="DX246" i="24"/>
  <c r="EE246" i="24" s="1"/>
  <c r="DX301" i="24"/>
  <c r="EE301" i="24" s="1"/>
  <c r="DX219" i="24"/>
  <c r="EE219" i="24" s="1"/>
  <c r="DX310" i="24"/>
  <c r="EE310" i="24" s="1"/>
  <c r="DX275" i="24"/>
  <c r="EE275" i="24" s="1"/>
  <c r="DX271" i="24"/>
  <c r="EE271" i="24" s="1"/>
  <c r="DX231" i="24"/>
  <c r="EE231" i="24" s="1"/>
  <c r="DX257" i="24"/>
  <c r="EE257" i="24" s="1"/>
  <c r="DX302" i="24"/>
  <c r="EE302" i="24" s="1"/>
  <c r="DX289" i="24"/>
  <c r="EE289" i="24" s="1"/>
  <c r="DX252" i="24"/>
  <c r="EE252" i="24" s="1"/>
  <c r="DX259" i="24"/>
  <c r="EE259" i="24" s="1"/>
  <c r="DX274" i="24"/>
  <c r="EE274" i="24" s="1"/>
  <c r="DX265" i="24"/>
  <c r="EE265" i="24" s="1"/>
  <c r="DX295" i="24"/>
  <c r="EE295" i="24" s="1"/>
  <c r="DX243" i="24"/>
  <c r="EE243" i="24" s="1"/>
  <c r="DX283" i="24"/>
  <c r="EE283" i="24" s="1"/>
  <c r="DX309" i="24"/>
  <c r="EE309" i="24" s="1"/>
  <c r="DX244" i="24"/>
  <c r="EE244" i="24" s="1"/>
  <c r="DX260" i="24"/>
  <c r="EE260" i="24" s="1"/>
  <c r="DX226" i="24"/>
  <c r="EE226" i="24" s="1"/>
  <c r="DX269" i="24"/>
  <c r="EE269" i="24" s="1"/>
  <c r="DX235" i="24"/>
  <c r="EE235" i="24" s="1"/>
  <c r="DX241" i="24"/>
  <c r="EE241" i="24" s="1"/>
  <c r="DX276" i="24"/>
  <c r="EE276" i="24" s="1"/>
  <c r="DX229" i="24"/>
  <c r="EE229" i="24" s="1"/>
  <c r="DX247" i="24"/>
  <c r="EE247" i="24" s="1"/>
  <c r="DX286" i="24"/>
  <c r="EE286" i="24" s="1"/>
  <c r="DX233" i="24"/>
  <c r="EE233" i="24" s="1"/>
  <c r="DX256" i="24"/>
  <c r="EE256" i="24" s="1"/>
  <c r="DX264" i="24"/>
  <c r="EE264" i="24" s="1"/>
  <c r="DX254" i="24"/>
  <c r="EE254" i="24" s="1"/>
  <c r="DX223" i="24"/>
  <c r="EE223" i="24" s="1"/>
  <c r="DX240" i="24"/>
  <c r="EE240" i="24" s="1"/>
  <c r="DX272" i="24"/>
  <c r="EE272" i="24" s="1"/>
  <c r="DX280" i="24"/>
  <c r="EE280" i="24" s="1"/>
  <c r="DX261" i="24"/>
  <c r="EE261" i="24" s="1"/>
  <c r="DX297" i="24"/>
  <c r="EE297" i="24" s="1"/>
  <c r="DX255" i="24"/>
  <c r="EE255" i="24" s="1"/>
  <c r="DX312" i="24"/>
  <c r="EE312" i="24" s="1"/>
  <c r="DX314" i="24"/>
  <c r="EE314" i="24" s="1"/>
  <c r="DX227" i="24"/>
  <c r="EE227" i="24" s="1"/>
  <c r="DX249" i="24"/>
  <c r="EE249" i="24" s="1"/>
  <c r="DX281" i="24"/>
  <c r="EE281" i="24" s="1"/>
  <c r="DX239" i="24"/>
  <c r="EE239" i="24" s="1"/>
  <c r="DX308" i="24"/>
  <c r="EE308" i="24" s="1"/>
  <c r="DX292" i="24"/>
  <c r="EE292" i="24" s="1"/>
  <c r="DX287" i="24"/>
  <c r="EE287" i="24" s="1"/>
  <c r="DX220" i="24"/>
  <c r="EE220" i="24" s="1"/>
  <c r="DX232" i="24"/>
  <c r="EE232" i="24" s="1"/>
  <c r="DX282" i="24"/>
  <c r="EE282" i="24" s="1"/>
  <c r="DX315" i="24"/>
  <c r="EE315" i="24" s="1"/>
  <c r="DX245" i="24"/>
  <c r="EE245" i="24" s="1"/>
  <c r="DX217" i="24"/>
  <c r="EE217" i="24" s="1"/>
  <c r="DX273" i="24"/>
  <c r="EE273" i="24" s="1"/>
  <c r="DX248" i="24"/>
  <c r="EE248" i="24" s="1"/>
  <c r="DX234" i="24"/>
  <c r="EE234" i="24" s="1"/>
  <c r="DX307" i="24"/>
  <c r="EE307" i="24" s="1"/>
  <c r="DX218" i="24"/>
  <c r="EE218" i="24" s="1"/>
  <c r="DX270" i="24"/>
  <c r="EE270" i="24" s="1"/>
  <c r="DX224" i="24"/>
  <c r="EE224" i="24" s="1"/>
  <c r="DX228" i="24"/>
  <c r="EE228" i="24" s="1"/>
  <c r="DX262" i="24"/>
  <c r="EE262" i="24" s="1"/>
  <c r="DX294" i="24"/>
  <c r="EE294" i="24" s="1"/>
  <c r="DX316" i="24"/>
  <c r="EE316" i="24" s="1"/>
  <c r="DX311" i="24"/>
  <c r="EE311" i="24" s="1"/>
  <c r="DX221" i="24"/>
  <c r="EE221" i="24" s="1"/>
  <c r="DX291" i="24"/>
  <c r="EE291" i="24" s="1"/>
  <c r="DX277" i="24"/>
  <c r="EE277" i="24" s="1"/>
  <c r="DX250" i="24"/>
  <c r="EE250" i="24" s="1"/>
  <c r="DX288" i="24"/>
  <c r="EE288" i="24" s="1"/>
  <c r="DX253" i="24"/>
  <c r="EE253" i="24" s="1"/>
  <c r="DX267" i="24"/>
  <c r="EE267" i="24" s="1"/>
  <c r="DX293" i="24"/>
  <c r="EE293" i="24" s="1"/>
  <c r="DX304" i="24"/>
  <c r="EE304" i="24" s="1"/>
  <c r="DX285" i="24"/>
  <c r="EE285" i="24" s="1"/>
  <c r="DX306" i="24"/>
  <c r="EE306" i="24" s="1"/>
  <c r="DX299" i="24"/>
  <c r="EE299" i="24" s="1"/>
  <c r="EJ229" i="25"/>
  <c r="EK229" i="25"/>
  <c r="EN229" i="25" s="1"/>
  <c r="EY229" i="25"/>
  <c r="FA229" i="25"/>
  <c r="EL229" i="25"/>
  <c r="EJ228" i="25"/>
  <c r="EY228" i="25"/>
  <c r="EK228" i="25"/>
  <c r="EN228" i="25" s="1"/>
  <c r="FA228" i="25"/>
  <c r="EL228" i="25"/>
  <c r="EJ270" i="25"/>
  <c r="FA270" i="25"/>
  <c r="EK270" i="25"/>
  <c r="EN270" i="25" s="1"/>
  <c r="EY270" i="25"/>
  <c r="EL270" i="25"/>
  <c r="EJ284" i="25"/>
  <c r="EY284" i="25"/>
  <c r="EK284" i="25"/>
  <c r="EN284" i="25" s="1"/>
  <c r="FA284" i="25"/>
  <c r="EL284" i="25"/>
  <c r="EJ294" i="25"/>
  <c r="FA294" i="25"/>
  <c r="EY294" i="25"/>
  <c r="EK294" i="25"/>
  <c r="EN294" i="25" s="1"/>
  <c r="EL294" i="25"/>
  <c r="EJ276" i="25"/>
  <c r="EY276" i="25"/>
  <c r="EK276" i="25"/>
  <c r="EN276" i="25" s="1"/>
  <c r="FA276" i="25"/>
  <c r="EL276" i="25"/>
  <c r="EY303" i="25"/>
  <c r="EJ303" i="25"/>
  <c r="FA303" i="25"/>
  <c r="EK303" i="25"/>
  <c r="EN303" i="25" s="1"/>
  <c r="EL303" i="25"/>
  <c r="EJ234" i="25"/>
  <c r="EY234" i="25"/>
  <c r="EK234" i="25"/>
  <c r="EN234" i="25" s="1"/>
  <c r="FA234" i="25"/>
  <c r="EL234" i="25"/>
  <c r="EY247" i="25"/>
  <c r="EJ247" i="25"/>
  <c r="FA247" i="25"/>
  <c r="EK247" i="25"/>
  <c r="EN247" i="25" s="1"/>
  <c r="EL247" i="25"/>
  <c r="EK242" i="25"/>
  <c r="EN242" i="25" s="1"/>
  <c r="EY242" i="25"/>
  <c r="FA242" i="25"/>
  <c r="EJ242" i="25"/>
  <c r="EL242" i="25"/>
  <c r="EJ296" i="25"/>
  <c r="EK296" i="25"/>
  <c r="EN296" i="25" s="1"/>
  <c r="EY296" i="25"/>
  <c r="FA296" i="25"/>
  <c r="EL296" i="25"/>
  <c r="EJ227" i="25"/>
  <c r="EK227" i="25"/>
  <c r="EN227" i="25" s="1"/>
  <c r="EY227" i="25"/>
  <c r="FA227" i="25"/>
  <c r="EL227" i="25"/>
  <c r="EJ219" i="25"/>
  <c r="EK219" i="25"/>
  <c r="EN219" i="25" s="1"/>
  <c r="EY219" i="25"/>
  <c r="FA219" i="25"/>
  <c r="EL219" i="25"/>
  <c r="EJ226" i="25"/>
  <c r="EK226" i="25"/>
  <c r="EN226" i="25" s="1"/>
  <c r="EY226" i="25"/>
  <c r="FA226" i="25"/>
  <c r="EL226" i="25"/>
  <c r="EJ258" i="25"/>
  <c r="EY258" i="25"/>
  <c r="FA258" i="25"/>
  <c r="EK258" i="25"/>
  <c r="EN258" i="25" s="1"/>
  <c r="EL258" i="25"/>
  <c r="EJ235" i="25"/>
  <c r="EK235" i="25"/>
  <c r="EN235" i="25" s="1"/>
  <c r="EY235" i="25"/>
  <c r="FA235" i="25"/>
  <c r="EL235" i="25"/>
  <c r="EY249" i="25"/>
  <c r="EJ249" i="25"/>
  <c r="FA249" i="25"/>
  <c r="EK249" i="25"/>
  <c r="EN249" i="25" s="1"/>
  <c r="EL249" i="25"/>
  <c r="EJ240" i="25"/>
  <c r="EK240" i="25"/>
  <c r="EN240" i="25" s="1"/>
  <c r="EY240" i="25"/>
  <c r="FA240" i="25"/>
  <c r="EL240" i="25"/>
  <c r="EJ313" i="25"/>
  <c r="EY313" i="25"/>
  <c r="EK313" i="25"/>
  <c r="EN313" i="25" s="1"/>
  <c r="FA313" i="25"/>
  <c r="EL313" i="25"/>
  <c r="EJ304" i="25"/>
  <c r="EK304" i="25"/>
  <c r="EN304" i="25" s="1"/>
  <c r="EY304" i="25"/>
  <c r="FA304" i="25"/>
  <c r="EL304" i="25"/>
  <c r="EY256" i="25"/>
  <c r="FA256" i="25"/>
  <c r="EJ256" i="25"/>
  <c r="EK256" i="25"/>
  <c r="EN256" i="25" s="1"/>
  <c r="EL256" i="25"/>
  <c r="EY309" i="25"/>
  <c r="EJ309" i="25"/>
  <c r="FA309" i="25"/>
  <c r="EK309" i="25"/>
  <c r="EN309" i="25" s="1"/>
  <c r="EL309" i="25"/>
  <c r="EJ245" i="25"/>
  <c r="EY245" i="25"/>
  <c r="EK245" i="25"/>
  <c r="EN245" i="25" s="1"/>
  <c r="FA245" i="25"/>
  <c r="EL245" i="25"/>
  <c r="EK278" i="25"/>
  <c r="EN278" i="25" s="1"/>
  <c r="FA278" i="25"/>
  <c r="EY278" i="25"/>
  <c r="EJ278" i="25"/>
  <c r="EL278" i="25"/>
  <c r="EJ243" i="25"/>
  <c r="EK243" i="25"/>
  <c r="EN243" i="25" s="1"/>
  <c r="EY243" i="25"/>
  <c r="FA243" i="25"/>
  <c r="EL243" i="25"/>
  <c r="EY246" i="25"/>
  <c r="EJ246" i="25"/>
  <c r="FA246" i="25"/>
  <c r="EK246" i="25"/>
  <c r="EN246" i="25" s="1"/>
  <c r="EL246" i="25"/>
  <c r="EK230" i="25"/>
  <c r="EN230" i="25" s="1"/>
  <c r="FA230" i="25"/>
  <c r="EJ230" i="25"/>
  <c r="EY230" i="25"/>
  <c r="EL230" i="25"/>
  <c r="EY316" i="25"/>
  <c r="EJ316" i="25"/>
  <c r="FA316" i="25"/>
  <c r="EK316" i="25"/>
  <c r="EN316" i="25" s="1"/>
  <c r="EL316" i="25"/>
  <c r="EJ241" i="25"/>
  <c r="EY241" i="25"/>
  <c r="EK241" i="25"/>
  <c r="EN241" i="25" s="1"/>
  <c r="FA241" i="25"/>
  <c r="EL241" i="25"/>
  <c r="EJ291" i="25"/>
  <c r="EY291" i="25"/>
  <c r="EK291" i="25"/>
  <c r="EN291" i="25" s="1"/>
  <c r="FA291" i="25"/>
  <c r="EL291" i="25"/>
  <c r="FA297" i="25"/>
  <c r="EJ297" i="25"/>
  <c r="EK297" i="25"/>
  <c r="EN297" i="25" s="1"/>
  <c r="EY297" i="25"/>
  <c r="EL297" i="25"/>
  <c r="EJ306" i="25"/>
  <c r="EY306" i="25"/>
  <c r="EK306" i="25"/>
  <c r="EN306" i="25" s="1"/>
  <c r="FA306" i="25"/>
  <c r="EL306" i="25"/>
  <c r="EK248" i="25"/>
  <c r="EN248" i="25" s="1"/>
  <c r="EY248" i="25"/>
  <c r="FA248" i="25"/>
  <c r="EJ248" i="25"/>
  <c r="EL248" i="25"/>
  <c r="EJ310" i="25"/>
  <c r="EK310" i="25"/>
  <c r="EN310" i="25" s="1"/>
  <c r="EY310" i="25"/>
  <c r="FA310" i="25"/>
  <c r="EL310" i="25"/>
  <c r="EY255" i="25"/>
  <c r="EJ255" i="25"/>
  <c r="FA255" i="25"/>
  <c r="EK255" i="25"/>
  <c r="EN255" i="25" s="1"/>
  <c r="EL255" i="25"/>
  <c r="EJ298" i="25"/>
  <c r="EY298" i="25"/>
  <c r="EK298" i="25"/>
  <c r="EN298" i="25" s="1"/>
  <c r="FA298" i="25"/>
  <c r="EL298" i="25"/>
  <c r="EK283" i="25"/>
  <c r="EN283" i="25" s="1"/>
  <c r="FA283" i="25"/>
  <c r="EY283" i="25"/>
  <c r="EJ283" i="25"/>
  <c r="EL283" i="25"/>
  <c r="EJ221" i="25"/>
  <c r="EK221" i="25"/>
  <c r="EN221" i="25" s="1"/>
  <c r="EY221" i="25"/>
  <c r="FA221" i="25"/>
  <c r="EL221" i="25"/>
  <c r="EJ237" i="25"/>
  <c r="EY237" i="25"/>
  <c r="EK237" i="25"/>
  <c r="EN237" i="25" s="1"/>
  <c r="FA237" i="25"/>
  <c r="EL237" i="25"/>
  <c r="EJ272" i="25"/>
  <c r="EK272" i="25"/>
  <c r="EN272" i="25" s="1"/>
  <c r="EY272" i="25"/>
  <c r="FA272" i="25"/>
  <c r="EL272" i="25"/>
  <c r="EJ266" i="25"/>
  <c r="EY266" i="25"/>
  <c r="EK266" i="25"/>
  <c r="EN266" i="25" s="1"/>
  <c r="FA266" i="25"/>
  <c r="EL266" i="25"/>
  <c r="EJ223" i="25"/>
  <c r="FA223" i="25"/>
  <c r="EK223" i="25"/>
  <c r="EN223" i="25" s="1"/>
  <c r="EY223" i="25"/>
  <c r="EL223" i="25"/>
  <c r="EJ305" i="25"/>
  <c r="EY305" i="25"/>
  <c r="EK305" i="25"/>
  <c r="EN305" i="25" s="1"/>
  <c r="FA305" i="25"/>
  <c r="EL305" i="25"/>
  <c r="EY238" i="25"/>
  <c r="EJ238" i="25"/>
  <c r="FA238" i="25"/>
  <c r="EK238" i="25"/>
  <c r="EN238" i="25" s="1"/>
  <c r="EL238" i="25"/>
  <c r="EJ293" i="25"/>
  <c r="EY293" i="25"/>
  <c r="EK293" i="25"/>
  <c r="EN293" i="25" s="1"/>
  <c r="FA293" i="25"/>
  <c r="EL293" i="25"/>
  <c r="EK271" i="25"/>
  <c r="EN271" i="25" s="1"/>
  <c r="EY271" i="25"/>
  <c r="EJ271" i="25"/>
  <c r="FA271" i="25"/>
  <c r="EL271" i="25"/>
  <c r="EK274" i="25"/>
  <c r="EN274" i="25" s="1"/>
  <c r="FA274" i="25"/>
  <c r="EJ274" i="25"/>
  <c r="EY274" i="25"/>
  <c r="EL274" i="25"/>
  <c r="EJ285" i="25"/>
  <c r="EY285" i="25"/>
  <c r="EK285" i="25"/>
  <c r="EN285" i="25" s="1"/>
  <c r="FA285" i="25"/>
  <c r="EL285" i="25"/>
  <c r="EJ314" i="25"/>
  <c r="EY314" i="25"/>
  <c r="EK314" i="25"/>
  <c r="EN314" i="25" s="1"/>
  <c r="FA314" i="25"/>
  <c r="EL314" i="25"/>
  <c r="EY282" i="25"/>
  <c r="EJ282" i="25"/>
  <c r="FA282" i="25"/>
  <c r="EK282" i="25"/>
  <c r="EN282" i="25" s="1"/>
  <c r="EL282" i="25"/>
  <c r="FA267" i="25"/>
  <c r="EJ267" i="25"/>
  <c r="EK267" i="25"/>
  <c r="EN267" i="25" s="1"/>
  <c r="EY267" i="25"/>
  <c r="EL267" i="25"/>
  <c r="EK292" i="25"/>
  <c r="EN292" i="25" s="1"/>
  <c r="FA292" i="25"/>
  <c r="EJ292" i="25"/>
  <c r="EY292" i="25"/>
  <c r="EL292" i="25"/>
  <c r="EK281" i="25"/>
  <c r="EN281" i="25" s="1"/>
  <c r="EY281" i="25"/>
  <c r="FA281" i="25"/>
  <c r="EJ281" i="25"/>
  <c r="EL281" i="25"/>
  <c r="EY239" i="25"/>
  <c r="EJ239" i="25"/>
  <c r="FA239" i="25"/>
  <c r="EK239" i="25"/>
  <c r="EN239" i="25" s="1"/>
  <c r="EL239" i="25"/>
  <c r="EJ222" i="25"/>
  <c r="EK222" i="25"/>
  <c r="EN222" i="25" s="1"/>
  <c r="EY222" i="25"/>
  <c r="FA222" i="25"/>
  <c r="EL222" i="25"/>
  <c r="EJ250" i="25"/>
  <c r="EY250" i="25"/>
  <c r="EK250" i="25"/>
  <c r="EN250" i="25" s="1"/>
  <c r="FA250" i="25"/>
  <c r="EL250" i="25"/>
  <c r="EJ252" i="25"/>
  <c r="EY252" i="25"/>
  <c r="EK252" i="25"/>
  <c r="EN252" i="25" s="1"/>
  <c r="FA252" i="25"/>
  <c r="EL252" i="25"/>
  <c r="EK311" i="25"/>
  <c r="EN311" i="25" s="1"/>
  <c r="FA311" i="25"/>
  <c r="EJ311" i="25"/>
  <c r="EY311" i="25"/>
  <c r="EL311" i="25"/>
  <c r="EJ312" i="25"/>
  <c r="EK312" i="25"/>
  <c r="EN312" i="25" s="1"/>
  <c r="EY312" i="25"/>
  <c r="FA312" i="25"/>
  <c r="EL312" i="25"/>
  <c r="EY257" i="25"/>
  <c r="EJ257" i="25"/>
  <c r="FA257" i="25"/>
  <c r="EK257" i="25"/>
  <c r="EN257" i="25" s="1"/>
  <c r="EL257" i="25"/>
  <c r="EJ307" i="25"/>
  <c r="EY307" i="25"/>
  <c r="EK307" i="25"/>
  <c r="EN307" i="25" s="1"/>
  <c r="FA307" i="25"/>
  <c r="EL307" i="25"/>
  <c r="FA289" i="25"/>
  <c r="EJ289" i="25"/>
  <c r="EK289" i="25"/>
  <c r="EN289" i="25" s="1"/>
  <c r="EY289" i="25"/>
  <c r="EL289" i="25"/>
  <c r="EY308" i="25"/>
  <c r="EJ308" i="25"/>
  <c r="FA308" i="25"/>
  <c r="EK308" i="25"/>
  <c r="EN308" i="25" s="1"/>
  <c r="EL308" i="25"/>
  <c r="EJ269" i="25"/>
  <c r="EY269" i="25"/>
  <c r="EK269" i="25"/>
  <c r="EN269" i="25" s="1"/>
  <c r="FA269" i="25"/>
  <c r="EL269" i="25"/>
  <c r="EJ290" i="25"/>
  <c r="EY290" i="25"/>
  <c r="EK290" i="25"/>
  <c r="EN290" i="25" s="1"/>
  <c r="FA290" i="25"/>
  <c r="EL290" i="25"/>
  <c r="EJ251" i="25"/>
  <c r="EK251" i="25"/>
  <c r="EN251" i="25" s="1"/>
  <c r="EY251" i="25"/>
  <c r="FA251" i="25"/>
  <c r="EL251" i="25"/>
  <c r="EK233" i="25"/>
  <c r="EN233" i="25" s="1"/>
  <c r="EY233" i="25"/>
  <c r="EJ233" i="25"/>
  <c r="FA233" i="25"/>
  <c r="EL233" i="25"/>
  <c r="EY220" i="25"/>
  <c r="EJ220" i="25"/>
  <c r="FA220" i="25"/>
  <c r="EK220" i="25"/>
  <c r="EN220" i="25" s="1"/>
  <c r="EL220" i="25"/>
  <c r="EK286" i="25"/>
  <c r="EN286" i="25" s="1"/>
  <c r="EY286" i="25"/>
  <c r="FA286" i="25"/>
  <c r="EJ286" i="25"/>
  <c r="EL286" i="25"/>
  <c r="EJ315" i="25"/>
  <c r="EY315" i="25"/>
  <c r="EK315" i="25"/>
  <c r="EN315" i="25" s="1"/>
  <c r="FA315" i="25"/>
  <c r="EL315" i="25"/>
  <c r="EK244" i="25"/>
  <c r="EN244" i="25" s="1"/>
  <c r="FA244" i="25"/>
  <c r="EJ244" i="25"/>
  <c r="EY244" i="25"/>
  <c r="EL244" i="25"/>
  <c r="EY231" i="25"/>
  <c r="EJ231" i="25"/>
  <c r="FA231" i="25"/>
  <c r="EK231" i="25"/>
  <c r="EN231" i="25" s="1"/>
  <c r="EL231" i="25"/>
  <c r="EJ217" i="25"/>
  <c r="EY217" i="25"/>
  <c r="EK217" i="25"/>
  <c r="EN217" i="25" s="1"/>
  <c r="FA217" i="25"/>
  <c r="EL217" i="25"/>
  <c r="EJ301" i="25"/>
  <c r="EY301" i="25"/>
  <c r="EK301" i="25"/>
  <c r="EN301" i="25" s="1"/>
  <c r="FA301" i="25"/>
  <c r="EL301" i="25"/>
  <c r="EJ277" i="25"/>
  <c r="EK277" i="25"/>
  <c r="EN277" i="25" s="1"/>
  <c r="EY277" i="25"/>
  <c r="FA277" i="25"/>
  <c r="EL277" i="25"/>
  <c r="EJ232" i="25"/>
  <c r="EK232" i="25"/>
  <c r="EN232" i="25" s="1"/>
  <c r="EY232" i="25"/>
  <c r="FA232" i="25"/>
  <c r="EL232" i="25"/>
  <c r="EY260" i="25"/>
  <c r="EJ260" i="25"/>
  <c r="FA260" i="25"/>
  <c r="EK260" i="25"/>
  <c r="EN260" i="25" s="1"/>
  <c r="EL260" i="25"/>
  <c r="EJ300" i="25"/>
  <c r="EY300" i="25"/>
  <c r="EK300" i="25"/>
  <c r="EN300" i="25" s="1"/>
  <c r="FA300" i="25"/>
  <c r="EL300" i="25"/>
  <c r="EJ225" i="25"/>
  <c r="EK225" i="25"/>
  <c r="EN225" i="25" s="1"/>
  <c r="EY225" i="25"/>
  <c r="FA225" i="25"/>
  <c r="EL225" i="25"/>
  <c r="EJ287" i="25"/>
  <c r="EY287" i="25"/>
  <c r="EK287" i="25"/>
  <c r="EN287" i="25" s="1"/>
  <c r="FA287" i="25"/>
  <c r="EL287" i="25"/>
  <c r="EK273" i="25"/>
  <c r="EN273" i="25" s="1"/>
  <c r="FA273" i="25"/>
  <c r="EY273" i="25"/>
  <c r="EJ273" i="25"/>
  <c r="EL273" i="25"/>
  <c r="EK295" i="25"/>
  <c r="EN295" i="25" s="1"/>
  <c r="EY295" i="25"/>
  <c r="FA295" i="25"/>
  <c r="EJ295" i="25"/>
  <c r="EL295" i="25"/>
  <c r="EK261" i="25"/>
  <c r="EN261" i="25" s="1"/>
  <c r="EY261" i="25"/>
  <c r="FA261" i="25"/>
  <c r="EJ261" i="25"/>
  <c r="EL261" i="25"/>
  <c r="EK259" i="25"/>
  <c r="EN259" i="25" s="1"/>
  <c r="EY259" i="25"/>
  <c r="FA259" i="25"/>
  <c r="EJ259" i="25"/>
  <c r="EL259" i="25"/>
  <c r="EK302" i="25"/>
  <c r="EN302" i="25" s="1"/>
  <c r="EY302" i="25"/>
  <c r="FA302" i="25"/>
  <c r="EJ302" i="25"/>
  <c r="EL302" i="25"/>
  <c r="EY265" i="25"/>
  <c r="EJ265" i="25"/>
  <c r="FA265" i="25"/>
  <c r="EK265" i="25"/>
  <c r="EN265" i="25" s="1"/>
  <c r="EL265" i="25"/>
  <c r="EJ280" i="25"/>
  <c r="FA280" i="25"/>
  <c r="EY280" i="25"/>
  <c r="EK280" i="25"/>
  <c r="EN280" i="25" s="1"/>
  <c r="EL280" i="25"/>
  <c r="EK299" i="25"/>
  <c r="EN299" i="25" s="1"/>
  <c r="EY299" i="25"/>
  <c r="FA299" i="25"/>
  <c r="EJ299" i="25"/>
  <c r="EL299" i="25"/>
  <c r="EJ224" i="25"/>
  <c r="EK224" i="25"/>
  <c r="EN224" i="25" s="1"/>
  <c r="EY224" i="25"/>
  <c r="FA224" i="25"/>
  <c r="EL224" i="25"/>
  <c r="EK264" i="25"/>
  <c r="EN264" i="25" s="1"/>
  <c r="EY264" i="25"/>
  <c r="FA264" i="25"/>
  <c r="EJ264" i="25"/>
  <c r="EL264" i="25"/>
  <c r="EJ262" i="25"/>
  <c r="EY262" i="25"/>
  <c r="EK262" i="25"/>
  <c r="EN262" i="25" s="1"/>
  <c r="FA262" i="25"/>
  <c r="EL262" i="25"/>
  <c r="FA253" i="25"/>
  <c r="EJ253" i="25"/>
  <c r="EK253" i="25"/>
  <c r="EN253" i="25" s="1"/>
  <c r="EY253" i="25"/>
  <c r="EL253" i="25"/>
  <c r="EJ279" i="25"/>
  <c r="EK279" i="25"/>
  <c r="EN279" i="25" s="1"/>
  <c r="EY279" i="25"/>
  <c r="FA279" i="25"/>
  <c r="EL279" i="25"/>
  <c r="EJ288" i="25"/>
  <c r="EK288" i="25"/>
  <c r="EN288" i="25" s="1"/>
  <c r="EY288" i="25"/>
  <c r="FA288" i="25"/>
  <c r="EL288" i="25"/>
  <c r="EJ218" i="25"/>
  <c r="EY218" i="25"/>
  <c r="EK218" i="25"/>
  <c r="EN218" i="25" s="1"/>
  <c r="FA218" i="25"/>
  <c r="EL218" i="25"/>
  <c r="EJ236" i="25"/>
  <c r="EY236" i="25"/>
  <c r="EK236" i="25"/>
  <c r="EN236" i="25" s="1"/>
  <c r="FA236" i="25"/>
  <c r="EL236" i="25"/>
  <c r="EJ275" i="25"/>
  <c r="EK275" i="25"/>
  <c r="EN275" i="25" s="1"/>
  <c r="EY275" i="25"/>
  <c r="FA275" i="25"/>
  <c r="EL275" i="25"/>
  <c r="EY268" i="25"/>
  <c r="EJ268" i="25"/>
  <c r="FA268" i="25"/>
  <c r="EK268" i="25"/>
  <c r="EN268" i="25" s="1"/>
  <c r="EL268" i="25"/>
  <c r="EY263" i="25"/>
  <c r="EJ263" i="25"/>
  <c r="FA263" i="25"/>
  <c r="EK263" i="25"/>
  <c r="EN263" i="25" s="1"/>
  <c r="EL263" i="25"/>
  <c r="EY254" i="25"/>
  <c r="EJ254" i="25"/>
  <c r="FA254" i="25"/>
  <c r="EK254" i="25"/>
  <c r="EN254" i="25" s="1"/>
  <c r="EL254" i="25"/>
  <c r="EL112" i="25"/>
  <c r="DT112" i="25"/>
  <c r="EY112" i="25"/>
  <c r="EJ112" i="25"/>
  <c r="DV112" i="25"/>
  <c r="FA112" i="25"/>
  <c r="EK112" i="25"/>
  <c r="EN112" i="25" s="1"/>
  <c r="FA15" i="25"/>
  <c r="EY65" i="25"/>
  <c r="FA91" i="25"/>
  <c r="EY40" i="25"/>
  <c r="EY60" i="25"/>
  <c r="EY70" i="25"/>
  <c r="EY58" i="25"/>
  <c r="EY33" i="25"/>
  <c r="EJ81" i="25"/>
  <c r="EJ25" i="25"/>
  <c r="EY93" i="25"/>
  <c r="FA27" i="25"/>
  <c r="EY51" i="25"/>
  <c r="FA49" i="25"/>
  <c r="EJ86" i="25"/>
  <c r="EJ13" i="25"/>
  <c r="FA98" i="25"/>
  <c r="EJ99" i="25"/>
  <c r="FA59" i="25"/>
  <c r="FA72" i="25"/>
  <c r="EJ34" i="25"/>
  <c r="EJ92" i="25"/>
  <c r="EJ83" i="25"/>
  <c r="EJ87" i="25"/>
  <c r="EY38" i="25"/>
  <c r="EJ48" i="25"/>
  <c r="EY24" i="25"/>
  <c r="EJ78" i="25"/>
  <c r="EJ47" i="25"/>
  <c r="EY42" i="25"/>
  <c r="EJ17" i="25"/>
  <c r="EJ12" i="25"/>
  <c r="EY66" i="25"/>
  <c r="FA43" i="25"/>
  <c r="EY89" i="25"/>
  <c r="FA37" i="25"/>
  <c r="FA29" i="25"/>
  <c r="FA14" i="25"/>
  <c r="FA35" i="25"/>
  <c r="EJ73" i="25"/>
  <c r="EJ88" i="25"/>
  <c r="EJ80" i="25"/>
  <c r="EJ74" i="25"/>
  <c r="EY79" i="25"/>
  <c r="DX76" i="24"/>
  <c r="EE76" i="24" s="1"/>
  <c r="DX16" i="24"/>
  <c r="EE16" i="24" s="1"/>
  <c r="DZ66" i="24"/>
  <c r="DX78" i="24"/>
  <c r="EE78" i="24" s="1"/>
  <c r="DX75" i="24"/>
  <c r="EE75" i="24" s="1"/>
  <c r="DZ84" i="24"/>
  <c r="DZ86" i="24"/>
  <c r="DZ59" i="24"/>
  <c r="DZ22" i="24"/>
  <c r="EL183" i="25"/>
  <c r="DX18" i="24"/>
  <c r="EE18" i="24" s="1"/>
  <c r="DZ85" i="24"/>
  <c r="DX92" i="24"/>
  <c r="EE92" i="24" s="1"/>
  <c r="DX87" i="24"/>
  <c r="EE87" i="24" s="1"/>
  <c r="DX17" i="24"/>
  <c r="EE17" i="24" s="1"/>
  <c r="DZ82" i="24"/>
  <c r="DZ34" i="24"/>
  <c r="DZ51" i="24"/>
  <c r="DX45" i="24"/>
  <c r="EE45" i="24" s="1"/>
  <c r="FA81" i="25"/>
  <c r="EY81" i="25"/>
  <c r="DZ46" i="24"/>
  <c r="EK143" i="25"/>
  <c r="EN143" i="25" s="1"/>
  <c r="EJ72" i="25"/>
  <c r="EJ100" i="25"/>
  <c r="EY103" i="25"/>
  <c r="EY105" i="25"/>
  <c r="DZ38" i="24"/>
  <c r="EK183" i="25"/>
  <c r="EN183" i="25" s="1"/>
  <c r="DZ20" i="24"/>
  <c r="DR74" i="24"/>
  <c r="DR169" i="24"/>
  <c r="DU169" i="24" s="1"/>
  <c r="DZ32" i="24"/>
  <c r="DV183" i="25"/>
  <c r="DX183" i="25" s="1"/>
  <c r="EC183" i="25" s="1"/>
  <c r="EJ14" i="25"/>
  <c r="DX88" i="24"/>
  <c r="EE88" i="24" s="1"/>
  <c r="EY181" i="25"/>
  <c r="EJ168" i="25"/>
  <c r="DZ73" i="24"/>
  <c r="DX21" i="24"/>
  <c r="EE21" i="24" s="1"/>
  <c r="DX101" i="24"/>
  <c r="EE101" i="24" s="1"/>
  <c r="DZ72" i="24"/>
  <c r="FA193" i="25"/>
  <c r="EJ79" i="25"/>
  <c r="DX97" i="24"/>
  <c r="EE97" i="24" s="1"/>
  <c r="DX93" i="24"/>
  <c r="EE93" i="24" s="1"/>
  <c r="DZ90" i="24"/>
  <c r="DX57" i="24"/>
  <c r="EE57" i="24" s="1"/>
  <c r="EJ98" i="25"/>
  <c r="DZ19" i="24"/>
  <c r="DX95" i="24"/>
  <c r="EE95" i="24" s="1"/>
  <c r="DZ12" i="24"/>
  <c r="DX27" i="24"/>
  <c r="EE27" i="24" s="1"/>
  <c r="FA208" i="25"/>
  <c r="EY72" i="25"/>
  <c r="FA119" i="25"/>
  <c r="FA24" i="25"/>
  <c r="EJ24" i="25"/>
  <c r="EJ70" i="25"/>
  <c r="DY5" i="24"/>
  <c r="EF5" i="24" s="1"/>
  <c r="EA5" i="24"/>
  <c r="DR96" i="24"/>
  <c r="DY110" i="24"/>
  <c r="EF110" i="24" s="1"/>
  <c r="EA110" i="24"/>
  <c r="DR190" i="24"/>
  <c r="EY190" i="24" s="1"/>
  <c r="DR39" i="24"/>
  <c r="DR242" i="24"/>
  <c r="DR243" i="24"/>
  <c r="DW216" i="24"/>
  <c r="DU216" i="24"/>
  <c r="DR92" i="24"/>
  <c r="DT182" i="25"/>
  <c r="EY128" i="25"/>
  <c r="EY49" i="25"/>
  <c r="EJ137" i="25"/>
  <c r="DZ28" i="24"/>
  <c r="DZ74" i="24"/>
  <c r="DX105" i="24"/>
  <c r="EE105" i="24" s="1"/>
  <c r="DX7" i="24"/>
  <c r="EE7" i="24" s="1"/>
  <c r="EY98" i="25"/>
  <c r="EY35" i="25"/>
  <c r="EJ43" i="25"/>
  <c r="DZ49" i="24"/>
  <c r="FA70" i="25"/>
  <c r="DT138" i="25"/>
  <c r="DX56" i="24"/>
  <c r="EE56" i="24" s="1"/>
  <c r="EY138" i="25"/>
  <c r="DX11" i="24"/>
  <c r="EE11" i="24" s="1"/>
  <c r="EY78" i="25"/>
  <c r="DZ69" i="24"/>
  <c r="EJ33" i="25"/>
  <c r="EY119" i="25"/>
  <c r="FA173" i="25"/>
  <c r="DX9" i="24"/>
  <c r="EE9" i="24" s="1"/>
  <c r="EY173" i="25"/>
  <c r="EJ187" i="25"/>
  <c r="DO128" i="24"/>
  <c r="DR78" i="24"/>
  <c r="EY210" i="25"/>
  <c r="EJ105" i="25"/>
  <c r="EJ93" i="25"/>
  <c r="EJ121" i="25"/>
  <c r="FA79" i="25"/>
  <c r="EY121" i="25"/>
  <c r="EY48" i="25"/>
  <c r="EK182" i="25"/>
  <c r="EN182" i="25" s="1"/>
  <c r="EY14" i="25"/>
  <c r="FA38" i="25"/>
  <c r="DZ102" i="24"/>
  <c r="EY175" i="25"/>
  <c r="FA175" i="25"/>
  <c r="DX36" i="24"/>
  <c r="EE36" i="24" s="1"/>
  <c r="DZ96" i="24"/>
  <c r="DX64" i="24"/>
  <c r="EE64" i="24" s="1"/>
  <c r="DR90" i="24"/>
  <c r="EY92" i="25"/>
  <c r="FA210" i="25"/>
  <c r="EY86" i="25"/>
  <c r="DV143" i="25"/>
  <c r="DY143" i="25" s="1"/>
  <c r="CH143" i="25" s="1"/>
  <c r="DT73" i="25"/>
  <c r="FA86" i="25"/>
  <c r="EY191" i="25"/>
  <c r="EL73" i="25"/>
  <c r="EJ143" i="25"/>
  <c r="EY83" i="25"/>
  <c r="FA191" i="25"/>
  <c r="EK73" i="25"/>
  <c r="EN73" i="25" s="1"/>
  <c r="EY143" i="25"/>
  <c r="EL143" i="25"/>
  <c r="FA83" i="25"/>
  <c r="DV73" i="25"/>
  <c r="DX73" i="25" s="1"/>
  <c r="EC73" i="25" s="1"/>
  <c r="FA187" i="25"/>
  <c r="FA143" i="25"/>
  <c r="FA42" i="25"/>
  <c r="FA138" i="25"/>
  <c r="FA78" i="25"/>
  <c r="EL138" i="25"/>
  <c r="FA128" i="25"/>
  <c r="EJ199" i="25"/>
  <c r="EJ138" i="25"/>
  <c r="EK138" i="25"/>
  <c r="EN138" i="25" s="1"/>
  <c r="FA199" i="25"/>
  <c r="EY139" i="25"/>
  <c r="FA139" i="25"/>
  <c r="EY193" i="25"/>
  <c r="EJ40" i="25"/>
  <c r="EJ38" i="25"/>
  <c r="EY183" i="25"/>
  <c r="EJ183" i="25"/>
  <c r="FA183" i="25"/>
  <c r="DX182" i="25"/>
  <c r="EC182" i="25" s="1"/>
  <c r="DY182" i="25"/>
  <c r="FA58" i="25"/>
  <c r="FA181" i="25"/>
  <c r="EY182" i="25"/>
  <c r="EY99" i="25"/>
  <c r="EY47" i="25"/>
  <c r="EJ58" i="25"/>
  <c r="FA103" i="25"/>
  <c r="EJ182" i="25"/>
  <c r="FA99" i="25"/>
  <c r="FA47" i="25"/>
  <c r="DT181" i="25"/>
  <c r="FA105" i="25"/>
  <c r="EJ103" i="25"/>
  <c r="FA182" i="25"/>
  <c r="EK181" i="25"/>
  <c r="EN181" i="25" s="1"/>
  <c r="EL182" i="25"/>
  <c r="EY127" i="25"/>
  <c r="EL181" i="25"/>
  <c r="EJ208" i="25"/>
  <c r="DV181" i="25"/>
  <c r="DY181" i="25" s="1"/>
  <c r="EY168" i="25"/>
  <c r="FA171" i="25"/>
  <c r="FA100" i="25"/>
  <c r="FA34" i="25"/>
  <c r="EY25" i="25"/>
  <c r="FA33" i="25"/>
  <c r="FA40" i="25"/>
  <c r="EJ190" i="25"/>
  <c r="FA48" i="25"/>
  <c r="EY12" i="25"/>
  <c r="EJ59" i="25"/>
  <c r="EY100" i="25"/>
  <c r="EY34" i="25"/>
  <c r="FA25" i="25"/>
  <c r="EY59" i="25"/>
  <c r="FA17" i="25"/>
  <c r="EY147" i="25"/>
  <c r="EY17" i="25"/>
  <c r="FA147" i="25"/>
  <c r="EJ27" i="25"/>
  <c r="EY27" i="25"/>
  <c r="EJ15" i="25"/>
  <c r="EY158" i="25"/>
  <c r="EY73" i="25"/>
  <c r="FA73" i="25"/>
  <c r="EY15" i="25"/>
  <c r="EJ127" i="25"/>
  <c r="FA158" i="25"/>
  <c r="DV180" i="25"/>
  <c r="DX180" i="25" s="1"/>
  <c r="EC180" i="25" s="1"/>
  <c r="EK180" i="25"/>
  <c r="EN180" i="25" s="1"/>
  <c r="EL180" i="25"/>
  <c r="DT180" i="25"/>
  <c r="EJ180" i="25"/>
  <c r="FA180" i="25"/>
  <c r="EY180" i="25"/>
  <c r="DV223" i="25"/>
  <c r="DT223" i="25"/>
  <c r="DV141" i="25"/>
  <c r="DX141" i="25" s="1"/>
  <c r="EC141" i="25" s="1"/>
  <c r="EK141" i="25"/>
  <c r="EN141" i="25" s="1"/>
  <c r="EL141" i="25"/>
  <c r="DT141" i="25"/>
  <c r="FA141" i="25"/>
  <c r="EY141" i="25"/>
  <c r="EJ141" i="25"/>
  <c r="DV258" i="25"/>
  <c r="DT258" i="25"/>
  <c r="DV129" i="25"/>
  <c r="DX129" i="25" s="1"/>
  <c r="EC129" i="25" s="1"/>
  <c r="EL129" i="25"/>
  <c r="EK129" i="25"/>
  <c r="EN129" i="25" s="1"/>
  <c r="DT129" i="25"/>
  <c r="FA129" i="25"/>
  <c r="EY129" i="25"/>
  <c r="EJ129" i="25"/>
  <c r="DV164" i="25"/>
  <c r="DX164" i="25" s="1"/>
  <c r="EC164" i="25" s="1"/>
  <c r="EL164" i="25"/>
  <c r="EK164" i="25"/>
  <c r="EN164" i="25" s="1"/>
  <c r="DT164" i="25"/>
  <c r="FA164" i="25"/>
  <c r="EY164" i="25"/>
  <c r="EJ164" i="25"/>
  <c r="DV101" i="25"/>
  <c r="EL101" i="25"/>
  <c r="EK101" i="25"/>
  <c r="EN101" i="25" s="1"/>
  <c r="EJ101" i="25"/>
  <c r="FA101" i="25"/>
  <c r="EY101" i="25"/>
  <c r="EB17" i="25"/>
  <c r="EA17" i="25"/>
  <c r="DV169" i="25"/>
  <c r="DX169" i="25" s="1"/>
  <c r="EC169" i="25" s="1"/>
  <c r="EK169" i="25"/>
  <c r="EN169" i="25" s="1"/>
  <c r="EL169" i="25"/>
  <c r="DT169" i="25"/>
  <c r="EJ169" i="25"/>
  <c r="DV301" i="25"/>
  <c r="DT301" i="25"/>
  <c r="EY169" i="25"/>
  <c r="DV63" i="25"/>
  <c r="EK63" i="25"/>
  <c r="EN63" i="25" s="1"/>
  <c r="EL63" i="25"/>
  <c r="DT63" i="25"/>
  <c r="EY63" i="25"/>
  <c r="EJ63" i="25"/>
  <c r="FA63" i="25"/>
  <c r="DV231" i="25"/>
  <c r="DT231" i="25"/>
  <c r="DV104" i="25"/>
  <c r="EK104" i="25"/>
  <c r="EN104" i="25" s="1"/>
  <c r="EL104" i="25"/>
  <c r="FA104" i="25"/>
  <c r="EJ104" i="25"/>
  <c r="EY104" i="25"/>
  <c r="EB193" i="25"/>
  <c r="EA193" i="25"/>
  <c r="DV136" i="25"/>
  <c r="DX136" i="25" s="1"/>
  <c r="EC136" i="25" s="1"/>
  <c r="EL136" i="25"/>
  <c r="EK136" i="25"/>
  <c r="EN136" i="25" s="1"/>
  <c r="DT136" i="25"/>
  <c r="EY136" i="25"/>
  <c r="EJ136" i="25"/>
  <c r="FA136" i="25"/>
  <c r="FA169" i="25"/>
  <c r="DV44" i="25"/>
  <c r="EL44" i="25"/>
  <c r="EK44" i="25"/>
  <c r="EN44" i="25" s="1"/>
  <c r="DT44" i="25"/>
  <c r="EY44" i="25"/>
  <c r="EJ44" i="25"/>
  <c r="FA44" i="25"/>
  <c r="DV23" i="25"/>
  <c r="DX23" i="25" s="1"/>
  <c r="EC23" i="25" s="1"/>
  <c r="EK23" i="25"/>
  <c r="EN23" i="25" s="1"/>
  <c r="EL23" i="25"/>
  <c r="DT23" i="25"/>
  <c r="EY23" i="25"/>
  <c r="EJ23" i="25"/>
  <c r="FA23" i="25"/>
  <c r="DV97" i="25"/>
  <c r="DX97" i="25" s="1"/>
  <c r="EC97" i="25" s="1"/>
  <c r="EL97" i="25"/>
  <c r="EK97" i="25"/>
  <c r="EN97" i="25" s="1"/>
  <c r="EJ97" i="25"/>
  <c r="FA97" i="25"/>
  <c r="EY97" i="25"/>
  <c r="DV203" i="25"/>
  <c r="DX203" i="25" s="1"/>
  <c r="EC203" i="25" s="1"/>
  <c r="EK203" i="25"/>
  <c r="EN203" i="25" s="1"/>
  <c r="EL203" i="25"/>
  <c r="EJ203" i="25"/>
  <c r="FA203" i="25"/>
  <c r="EY203" i="25"/>
  <c r="DV194" i="25"/>
  <c r="DX194" i="25" s="1"/>
  <c r="EC194" i="25" s="1"/>
  <c r="EK194" i="25"/>
  <c r="EN194" i="25" s="1"/>
  <c r="EL194" i="25"/>
  <c r="FA194" i="25"/>
  <c r="EY194" i="25"/>
  <c r="EJ194" i="25"/>
  <c r="DV93" i="25"/>
  <c r="DX93" i="25" s="1"/>
  <c r="EC93" i="25" s="1"/>
  <c r="EL93" i="25"/>
  <c r="EK93" i="25"/>
  <c r="EN93" i="25" s="1"/>
  <c r="FA93" i="25"/>
  <c r="DV219" i="25"/>
  <c r="DT219" i="25"/>
  <c r="DV77" i="25"/>
  <c r="DX77" i="25" s="1"/>
  <c r="EC77" i="25" s="1"/>
  <c r="EL77" i="25"/>
  <c r="EK77" i="25"/>
  <c r="EN77" i="25" s="1"/>
  <c r="DT77" i="25"/>
  <c r="EB93" i="25"/>
  <c r="EA93" i="25"/>
  <c r="DV307" i="25"/>
  <c r="DT307" i="25"/>
  <c r="EB210" i="25"/>
  <c r="EA210" i="25"/>
  <c r="EB100" i="25"/>
  <c r="EA100" i="25"/>
  <c r="DV297" i="25"/>
  <c r="DT297" i="25"/>
  <c r="DV90" i="25"/>
  <c r="DX90" i="25" s="1"/>
  <c r="EC90" i="25" s="1"/>
  <c r="EK90" i="25"/>
  <c r="EN90" i="25" s="1"/>
  <c r="EL90" i="25"/>
  <c r="DT90" i="25"/>
  <c r="DV269" i="25"/>
  <c r="DT269" i="25"/>
  <c r="EB72" i="25"/>
  <c r="EA72" i="25"/>
  <c r="DV56" i="25"/>
  <c r="DX56" i="25" s="1"/>
  <c r="EC56" i="25" s="1"/>
  <c r="EK56" i="25"/>
  <c r="EN56" i="25" s="1"/>
  <c r="EL56" i="25"/>
  <c r="DT56" i="25"/>
  <c r="DV253" i="25"/>
  <c r="DT253" i="25"/>
  <c r="EB70" i="25"/>
  <c r="EA70" i="25"/>
  <c r="DV146" i="25"/>
  <c r="EK146" i="25"/>
  <c r="EN146" i="25" s="1"/>
  <c r="EL146" i="25"/>
  <c r="DT146" i="25"/>
  <c r="EY146" i="25"/>
  <c r="EJ146" i="25"/>
  <c r="FA146" i="25"/>
  <c r="EB208" i="25"/>
  <c r="EA208" i="25"/>
  <c r="FA87" i="25"/>
  <c r="EB169" i="25"/>
  <c r="EA169" i="25"/>
  <c r="DV160" i="25"/>
  <c r="EK160" i="25"/>
  <c r="EN160" i="25" s="1"/>
  <c r="EL160" i="25"/>
  <c r="DT160" i="25"/>
  <c r="EJ160" i="25"/>
  <c r="FA160" i="25"/>
  <c r="EY160" i="25"/>
  <c r="DV102" i="25"/>
  <c r="EK102" i="25"/>
  <c r="EN102" i="25" s="1"/>
  <c r="EL102" i="25"/>
  <c r="EJ102" i="25"/>
  <c r="FA102" i="25"/>
  <c r="EY102" i="25"/>
  <c r="DV52" i="25"/>
  <c r="EK52" i="25"/>
  <c r="EN52" i="25" s="1"/>
  <c r="EL52" i="25"/>
  <c r="DT52" i="25"/>
  <c r="EY52" i="25"/>
  <c r="EJ52" i="25"/>
  <c r="FA52" i="25"/>
  <c r="DV40" i="25"/>
  <c r="DX40" i="25" s="1"/>
  <c r="EC40" i="25" s="1"/>
  <c r="EK40" i="25"/>
  <c r="EN40" i="25" s="1"/>
  <c r="EL40" i="25"/>
  <c r="DT40" i="25"/>
  <c r="EB79" i="25"/>
  <c r="EA79" i="25"/>
  <c r="DV207" i="25"/>
  <c r="EL207" i="25"/>
  <c r="EK207" i="25"/>
  <c r="EN207" i="25" s="1"/>
  <c r="EY207" i="25"/>
  <c r="EJ207" i="25"/>
  <c r="FA207" i="25"/>
  <c r="FA92" i="25"/>
  <c r="EB119" i="25"/>
  <c r="EA119" i="25"/>
  <c r="EB141" i="25"/>
  <c r="EA141" i="25"/>
  <c r="DV64" i="25"/>
  <c r="DX64" i="25" s="1"/>
  <c r="EC64" i="25" s="1"/>
  <c r="EK64" i="25"/>
  <c r="EN64" i="25" s="1"/>
  <c r="EL64" i="25"/>
  <c r="DT64" i="25"/>
  <c r="DV255" i="25"/>
  <c r="DT255" i="25"/>
  <c r="DV70" i="25"/>
  <c r="DX70" i="25" s="1"/>
  <c r="EC70" i="25" s="1"/>
  <c r="EL70" i="25"/>
  <c r="EK70" i="25"/>
  <c r="EN70" i="25" s="1"/>
  <c r="DT70" i="25"/>
  <c r="DV236" i="25"/>
  <c r="DT236" i="25"/>
  <c r="DV58" i="25"/>
  <c r="DX58" i="25" s="1"/>
  <c r="EC58" i="25" s="1"/>
  <c r="EK58" i="25"/>
  <c r="EN58" i="25" s="1"/>
  <c r="EL58" i="25"/>
  <c r="DT58" i="25"/>
  <c r="EJ178" i="25"/>
  <c r="DV178" i="25"/>
  <c r="DX178" i="25" s="1"/>
  <c r="EC178" i="25" s="1"/>
  <c r="EK178" i="25"/>
  <c r="EN178" i="25" s="1"/>
  <c r="EL178" i="25"/>
  <c r="DT178" i="25"/>
  <c r="FA53" i="25"/>
  <c r="DV53" i="25"/>
  <c r="EK53" i="25"/>
  <c r="EN53" i="25" s="1"/>
  <c r="EL53" i="25"/>
  <c r="DT53" i="25"/>
  <c r="EY53" i="25"/>
  <c r="EJ53" i="25"/>
  <c r="EB66" i="25"/>
  <c r="EA66" i="25"/>
  <c r="DV173" i="25"/>
  <c r="DX173" i="25" s="1"/>
  <c r="EC173" i="25" s="1"/>
  <c r="EK173" i="25"/>
  <c r="EN173" i="25" s="1"/>
  <c r="EL173" i="25"/>
  <c r="DT173" i="25"/>
  <c r="DV298" i="25"/>
  <c r="DT298" i="25"/>
  <c r="DV303" i="25"/>
  <c r="DT303" i="25"/>
  <c r="EB190" i="25"/>
  <c r="EA190" i="25"/>
  <c r="DV96" i="25"/>
  <c r="DX96" i="25" s="1"/>
  <c r="EC96" i="25" s="1"/>
  <c r="EL96" i="25"/>
  <c r="EK96" i="25"/>
  <c r="EN96" i="25" s="1"/>
  <c r="DV295" i="25"/>
  <c r="DT295" i="25"/>
  <c r="DV117" i="25"/>
  <c r="EK117" i="25"/>
  <c r="EN117" i="25" s="1"/>
  <c r="EL117" i="25"/>
  <c r="DT117" i="25"/>
  <c r="EY117" i="25"/>
  <c r="FA117" i="25"/>
  <c r="EJ117" i="25"/>
  <c r="EB139" i="25"/>
  <c r="EA139" i="25"/>
  <c r="DV170" i="25"/>
  <c r="DX170" i="25" s="1"/>
  <c r="EC170" i="25" s="1"/>
  <c r="EL170" i="25"/>
  <c r="EK170" i="25"/>
  <c r="EN170" i="25" s="1"/>
  <c r="DT170" i="25"/>
  <c r="EB38" i="25"/>
  <c r="EA38" i="25"/>
  <c r="DV162" i="25"/>
  <c r="EL162" i="25"/>
  <c r="EK162" i="25"/>
  <c r="EN162" i="25" s="1"/>
  <c r="DT162" i="25"/>
  <c r="EY162" i="25"/>
  <c r="EJ162" i="25"/>
  <c r="FA162" i="25"/>
  <c r="DV61" i="25"/>
  <c r="EL61" i="25"/>
  <c r="EK61" i="25"/>
  <c r="EN61" i="25" s="1"/>
  <c r="DT61" i="25"/>
  <c r="EJ61" i="25"/>
  <c r="FA61" i="25"/>
  <c r="EY61" i="25"/>
  <c r="EB12" i="25"/>
  <c r="EA12" i="25"/>
  <c r="DV199" i="25"/>
  <c r="DX199" i="25" s="1"/>
  <c r="EC199" i="25" s="1"/>
  <c r="EL199" i="25"/>
  <c r="EK199" i="25"/>
  <c r="EN199" i="25" s="1"/>
  <c r="EY170" i="25"/>
  <c r="EY80" i="25"/>
  <c r="FA88" i="25"/>
  <c r="DV95" i="25"/>
  <c r="DX95" i="25" s="1"/>
  <c r="EC95" i="25" s="1"/>
  <c r="EK95" i="25"/>
  <c r="EN95" i="25" s="1"/>
  <c r="EL95" i="25"/>
  <c r="DV202" i="25"/>
  <c r="EL202" i="25"/>
  <c r="EK202" i="25"/>
  <c r="EN202" i="25" s="1"/>
  <c r="EY202" i="25"/>
  <c r="EJ202" i="25"/>
  <c r="FA202" i="25"/>
  <c r="EB45" i="25"/>
  <c r="EA45" i="25"/>
  <c r="DV171" i="25"/>
  <c r="DX171" i="25" s="1"/>
  <c r="EC171" i="25" s="1"/>
  <c r="EL171" i="25"/>
  <c r="EK171" i="25"/>
  <c r="EN171" i="25" s="1"/>
  <c r="DT171" i="25"/>
  <c r="DV316" i="25"/>
  <c r="DT316" i="25"/>
  <c r="EB143" i="25"/>
  <c r="EA143" i="25"/>
  <c r="DV159" i="25"/>
  <c r="EK159" i="25"/>
  <c r="EN159" i="25" s="1"/>
  <c r="EL159" i="25"/>
  <c r="DT159" i="25"/>
  <c r="EJ159" i="25"/>
  <c r="FA159" i="25"/>
  <c r="EY159" i="25"/>
  <c r="DV144" i="25"/>
  <c r="EL144" i="25"/>
  <c r="EK144" i="25"/>
  <c r="EN144" i="25" s="1"/>
  <c r="DT144" i="25"/>
  <c r="EY144" i="25"/>
  <c r="EJ144" i="25"/>
  <c r="FA144" i="25"/>
  <c r="DV242" i="25"/>
  <c r="DT242" i="25"/>
  <c r="EY91" i="25"/>
  <c r="DV81" i="25"/>
  <c r="DX81" i="25" s="1"/>
  <c r="EC81" i="25" s="1"/>
  <c r="EL81" i="25"/>
  <c r="EK81" i="25"/>
  <c r="EN81" i="25" s="1"/>
  <c r="DT81" i="25"/>
  <c r="DV34" i="25"/>
  <c r="DX34" i="25" s="1"/>
  <c r="EC34" i="25" s="1"/>
  <c r="EK34" i="25"/>
  <c r="EN34" i="25" s="1"/>
  <c r="EL34" i="25"/>
  <c r="DT34" i="25"/>
  <c r="EJ200" i="25"/>
  <c r="EY137" i="25"/>
  <c r="DV137" i="25"/>
  <c r="DX137" i="25" s="1"/>
  <c r="EC137" i="25" s="1"/>
  <c r="EK137" i="25"/>
  <c r="EN137" i="25" s="1"/>
  <c r="EL137" i="25"/>
  <c r="DT137" i="25"/>
  <c r="DV8" i="25"/>
  <c r="EK8" i="25"/>
  <c r="EN8" i="25" s="1"/>
  <c r="EL8" i="25"/>
  <c r="DT8" i="25"/>
  <c r="FA8" i="25"/>
  <c r="EY8" i="25"/>
  <c r="EJ8" i="25"/>
  <c r="DV226" i="25"/>
  <c r="DT226" i="25"/>
  <c r="DV74" i="25"/>
  <c r="DX74" i="25" s="1"/>
  <c r="EC74" i="25" s="1"/>
  <c r="EL74" i="25"/>
  <c r="EK74" i="25"/>
  <c r="EN74" i="25" s="1"/>
  <c r="DT74" i="25"/>
  <c r="DV217" i="25"/>
  <c r="DT217" i="25"/>
  <c r="EB83" i="25"/>
  <c r="EA83" i="25"/>
  <c r="DV291" i="25"/>
  <c r="DT291" i="25"/>
  <c r="DV153" i="25"/>
  <c r="EL153" i="25"/>
  <c r="EK153" i="25"/>
  <c r="EN153" i="25" s="1"/>
  <c r="DT153" i="25"/>
  <c r="EJ153" i="25"/>
  <c r="FA153" i="25"/>
  <c r="EY153" i="25"/>
  <c r="DV166" i="25"/>
  <c r="EL166" i="25"/>
  <c r="EK166" i="25"/>
  <c r="EN166" i="25" s="1"/>
  <c r="DT166" i="25"/>
  <c r="EJ166" i="25"/>
  <c r="EY166" i="25"/>
  <c r="FA166" i="25"/>
  <c r="DV22" i="25"/>
  <c r="EL22" i="25"/>
  <c r="EK22" i="25"/>
  <c r="EN22" i="25" s="1"/>
  <c r="DT22" i="25"/>
  <c r="EJ22" i="25"/>
  <c r="FA22" i="25"/>
  <c r="EY22" i="25"/>
  <c r="DV156" i="25"/>
  <c r="DX156" i="25" s="1"/>
  <c r="EC156" i="25" s="1"/>
  <c r="EK156" i="25"/>
  <c r="EN156" i="25" s="1"/>
  <c r="EL156" i="25"/>
  <c r="DT156" i="25"/>
  <c r="DV147" i="25"/>
  <c r="DX147" i="25" s="1"/>
  <c r="EC147" i="25" s="1"/>
  <c r="EL147" i="25"/>
  <c r="EK147" i="25"/>
  <c r="EN147" i="25" s="1"/>
  <c r="DT147" i="25"/>
  <c r="DV290" i="25"/>
  <c r="DT290" i="25"/>
  <c r="DV27" i="25"/>
  <c r="DX27" i="25" s="1"/>
  <c r="EC27" i="25" s="1"/>
  <c r="EL27" i="25"/>
  <c r="EK27" i="25"/>
  <c r="EN27" i="25" s="1"/>
  <c r="DT27" i="25"/>
  <c r="DV279" i="25"/>
  <c r="DT279" i="25"/>
  <c r="EY87" i="25"/>
  <c r="EB25" i="25"/>
  <c r="EA25" i="25"/>
  <c r="EB147" i="25"/>
  <c r="EA147" i="25"/>
  <c r="DV158" i="25"/>
  <c r="DX158" i="25" s="1"/>
  <c r="EC158" i="25" s="1"/>
  <c r="EL158" i="25"/>
  <c r="EK158" i="25"/>
  <c r="EN158" i="25" s="1"/>
  <c r="DT158" i="25"/>
  <c r="DV94" i="25"/>
  <c r="EK94" i="25"/>
  <c r="EN94" i="25" s="1"/>
  <c r="EL94" i="25"/>
  <c r="EJ94" i="25"/>
  <c r="EY94" i="25"/>
  <c r="FA94" i="25"/>
  <c r="EB27" i="25"/>
  <c r="EA27" i="25"/>
  <c r="EB137" i="25"/>
  <c r="EA137" i="25"/>
  <c r="DV37" i="25"/>
  <c r="DX37" i="25" s="1"/>
  <c r="EC37" i="25" s="1"/>
  <c r="EL37" i="25"/>
  <c r="EK37" i="25"/>
  <c r="EN37" i="25" s="1"/>
  <c r="DT37" i="25"/>
  <c r="DV218" i="25"/>
  <c r="DT218" i="25"/>
  <c r="DV115" i="25"/>
  <c r="EL115" i="25"/>
  <c r="EK115" i="25"/>
  <c r="EN115" i="25" s="1"/>
  <c r="DT115" i="25"/>
  <c r="EY115" i="25"/>
  <c r="FA115" i="25"/>
  <c r="EJ115" i="25"/>
  <c r="DV83" i="25"/>
  <c r="DX83" i="25" s="1"/>
  <c r="EC83" i="25" s="1"/>
  <c r="EK83" i="25"/>
  <c r="EN83" i="25" s="1"/>
  <c r="EL83" i="25"/>
  <c r="DT83" i="25"/>
  <c r="EB127" i="25"/>
  <c r="EA127" i="25"/>
  <c r="DV17" i="25"/>
  <c r="DX17" i="25" s="1"/>
  <c r="EC17" i="25" s="1"/>
  <c r="EL17" i="25"/>
  <c r="EK17" i="25"/>
  <c r="EN17" i="25" s="1"/>
  <c r="DT17" i="25"/>
  <c r="DV235" i="25"/>
  <c r="DT235" i="25"/>
  <c r="DV26" i="25"/>
  <c r="EL26" i="25"/>
  <c r="EK26" i="25"/>
  <c r="EN26" i="25" s="1"/>
  <c r="DT26" i="25"/>
  <c r="EJ26" i="25"/>
  <c r="EY26" i="25"/>
  <c r="FA26" i="25"/>
  <c r="DV18" i="25"/>
  <c r="EK18" i="25"/>
  <c r="EN18" i="25" s="1"/>
  <c r="EL18" i="25"/>
  <c r="DT18" i="25"/>
  <c r="EY18" i="25"/>
  <c r="EJ18" i="25"/>
  <c r="FA18" i="25"/>
  <c r="EJ60" i="25"/>
  <c r="FA157" i="25"/>
  <c r="DV111" i="25"/>
  <c r="DX111" i="25" s="1"/>
  <c r="EC111" i="25" s="1"/>
  <c r="EK111" i="25"/>
  <c r="EN111" i="25" s="1"/>
  <c r="EL111" i="25"/>
  <c r="DT111" i="25"/>
  <c r="EB187" i="25"/>
  <c r="EA187" i="25"/>
  <c r="DV287" i="25"/>
  <c r="DT287" i="25"/>
  <c r="DV191" i="25"/>
  <c r="DX191" i="25" s="1"/>
  <c r="EC191" i="25" s="1"/>
  <c r="EL191" i="25"/>
  <c r="EK191" i="25"/>
  <c r="EN191" i="25" s="1"/>
  <c r="DT191" i="25"/>
  <c r="DV245" i="25"/>
  <c r="DT245" i="25"/>
  <c r="EB158" i="25"/>
  <c r="EA158" i="25"/>
  <c r="DV233" i="25"/>
  <c r="DT233" i="25"/>
  <c r="DV57" i="25"/>
  <c r="EL57" i="25"/>
  <c r="EK57" i="25"/>
  <c r="EN57" i="25" s="1"/>
  <c r="DT57" i="25"/>
  <c r="EJ57" i="25"/>
  <c r="EY57" i="25"/>
  <c r="FA57" i="25"/>
  <c r="FA177" i="25"/>
  <c r="FA122" i="25"/>
  <c r="EJ29" i="25"/>
  <c r="DT131" i="25"/>
  <c r="DV131" i="25"/>
  <c r="DX131" i="25" s="1"/>
  <c r="EC131" i="25" s="1"/>
  <c r="EL131" i="25"/>
  <c r="EK131" i="25"/>
  <c r="EN131" i="25" s="1"/>
  <c r="EJ170" i="25"/>
  <c r="EB168" i="25"/>
  <c r="EA168" i="25"/>
  <c r="EY96" i="25"/>
  <c r="EB35" i="25"/>
  <c r="EA35" i="25"/>
  <c r="EY88" i="25"/>
  <c r="DV49" i="25"/>
  <c r="DX49" i="25" s="1"/>
  <c r="EC49" i="25" s="1"/>
  <c r="EK49" i="25"/>
  <c r="EN49" i="25" s="1"/>
  <c r="EL49" i="25"/>
  <c r="DT49" i="25"/>
  <c r="DV220" i="25"/>
  <c r="DT220" i="25"/>
  <c r="DV24" i="25"/>
  <c r="DX24" i="25" s="1"/>
  <c r="EC24" i="25" s="1"/>
  <c r="EK24" i="25"/>
  <c r="EN24" i="25" s="1"/>
  <c r="EL24" i="25"/>
  <c r="DT24" i="25"/>
  <c r="DV168" i="25"/>
  <c r="DX168" i="25" s="1"/>
  <c r="EC168" i="25" s="1"/>
  <c r="EK168" i="25"/>
  <c r="EN168" i="25" s="1"/>
  <c r="EL168" i="25"/>
  <c r="DT168" i="25"/>
  <c r="DV21" i="25"/>
  <c r="EK21" i="25"/>
  <c r="EN21" i="25" s="1"/>
  <c r="EL21" i="25"/>
  <c r="DT21" i="25"/>
  <c r="FA21" i="25"/>
  <c r="EY21" i="25"/>
  <c r="EJ21" i="25"/>
  <c r="FA206" i="25"/>
  <c r="DV206" i="25"/>
  <c r="EK206" i="25"/>
  <c r="EN206" i="25" s="1"/>
  <c r="EL206" i="25"/>
  <c r="EY206" i="25"/>
  <c r="EJ206" i="25"/>
  <c r="DV312" i="25"/>
  <c r="DT312" i="25"/>
  <c r="EJ174" i="25"/>
  <c r="EB200" i="25"/>
  <c r="EA200" i="25"/>
  <c r="DV254" i="25"/>
  <c r="DT254" i="25"/>
  <c r="DV80" i="25"/>
  <c r="DX80" i="25" s="1"/>
  <c r="EC80" i="25" s="1"/>
  <c r="EK80" i="25"/>
  <c r="EN80" i="25" s="1"/>
  <c r="EL80" i="25"/>
  <c r="DT80" i="25"/>
  <c r="EY74" i="25"/>
  <c r="DV135" i="25"/>
  <c r="EL135" i="25"/>
  <c r="EK135" i="25"/>
  <c r="EN135" i="25" s="1"/>
  <c r="DT135" i="25"/>
  <c r="FA135" i="25"/>
  <c r="EJ135" i="25"/>
  <c r="EY135" i="25"/>
  <c r="DV229" i="25"/>
  <c r="DT229" i="25"/>
  <c r="EB34" i="25"/>
  <c r="EA34" i="25"/>
  <c r="DV262" i="25"/>
  <c r="DT262" i="25"/>
  <c r="DV228" i="25"/>
  <c r="DT228" i="25"/>
  <c r="DV165" i="25"/>
  <c r="EK165" i="25"/>
  <c r="EN165" i="25" s="1"/>
  <c r="EL165" i="25"/>
  <c r="DT165" i="25"/>
  <c r="EJ165" i="25"/>
  <c r="EY165" i="25"/>
  <c r="FA165" i="25"/>
  <c r="DV188" i="25"/>
  <c r="EK188" i="25"/>
  <c r="EN188" i="25" s="1"/>
  <c r="EL188" i="25"/>
  <c r="DT188" i="25"/>
  <c r="EY188" i="25"/>
  <c r="EJ188" i="25"/>
  <c r="FA188" i="25"/>
  <c r="DV248" i="25"/>
  <c r="DT248" i="25"/>
  <c r="DV192" i="25"/>
  <c r="EL192" i="25"/>
  <c r="EK192" i="25"/>
  <c r="EN192" i="25" s="1"/>
  <c r="DT192" i="25"/>
  <c r="EJ192" i="25"/>
  <c r="FA192" i="25"/>
  <c r="EY192" i="25"/>
  <c r="EB199" i="25"/>
  <c r="EA199" i="25"/>
  <c r="EB33" i="25"/>
  <c r="EA33" i="25"/>
  <c r="DV118" i="25"/>
  <c r="EL118" i="25"/>
  <c r="EK118" i="25"/>
  <c r="EN118" i="25" s="1"/>
  <c r="DT118" i="25"/>
  <c r="EJ118" i="25"/>
  <c r="EY118" i="25"/>
  <c r="FA118" i="25"/>
  <c r="EB40" i="25"/>
  <c r="EA40" i="25"/>
  <c r="DV47" i="25"/>
  <c r="DX47" i="25" s="1"/>
  <c r="EC47" i="25" s="1"/>
  <c r="EK47" i="25"/>
  <c r="EN47" i="25" s="1"/>
  <c r="EL47" i="25"/>
  <c r="DT47" i="25"/>
  <c r="FA156" i="25"/>
  <c r="FA90" i="25"/>
  <c r="EB92" i="25"/>
  <c r="EA92" i="25"/>
  <c r="EJ42" i="25"/>
  <c r="EB58" i="25"/>
  <c r="EA58" i="25"/>
  <c r="DV185" i="25"/>
  <c r="DX185" i="25" s="1"/>
  <c r="EC185" i="25" s="1"/>
  <c r="EL185" i="25"/>
  <c r="EK185" i="25"/>
  <c r="EN185" i="25" s="1"/>
  <c r="DT185" i="25"/>
  <c r="EB15" i="25"/>
  <c r="EA15" i="25"/>
  <c r="DV124" i="25"/>
  <c r="EL124" i="25"/>
  <c r="EK124" i="25"/>
  <c r="EN124" i="25" s="1"/>
  <c r="DT124" i="25"/>
  <c r="FA124" i="25"/>
  <c r="EY124" i="25"/>
  <c r="EJ124" i="25"/>
  <c r="DV251" i="25"/>
  <c r="DT251" i="25"/>
  <c r="DV30" i="25"/>
  <c r="EK30" i="25"/>
  <c r="EN30" i="25" s="1"/>
  <c r="EL30" i="25"/>
  <c r="DT30" i="25"/>
  <c r="FA30" i="25"/>
  <c r="EY30" i="25"/>
  <c r="EJ30" i="25"/>
  <c r="EB173" i="25"/>
  <c r="EA173" i="25"/>
  <c r="DV204" i="25"/>
  <c r="EL204" i="25"/>
  <c r="EK204" i="25"/>
  <c r="EN204" i="25" s="1"/>
  <c r="EY204" i="25"/>
  <c r="FA204" i="25"/>
  <c r="EJ204" i="25"/>
  <c r="DV31" i="25"/>
  <c r="EL31" i="25"/>
  <c r="EK31" i="25"/>
  <c r="EN31" i="25" s="1"/>
  <c r="DT31" i="25"/>
  <c r="EY31" i="25"/>
  <c r="FA31" i="25"/>
  <c r="EJ31" i="25"/>
  <c r="DV249" i="25"/>
  <c r="DT249" i="25"/>
  <c r="DV313" i="25"/>
  <c r="DT313" i="25"/>
  <c r="EY126" i="25"/>
  <c r="DV33" i="25"/>
  <c r="DX33" i="25" s="1"/>
  <c r="EC33" i="25" s="1"/>
  <c r="EL33" i="25"/>
  <c r="EK33" i="25"/>
  <c r="EN33" i="25" s="1"/>
  <c r="DT33" i="25"/>
  <c r="EB78" i="25"/>
  <c r="EA78" i="25"/>
  <c r="DV304" i="25"/>
  <c r="DT304" i="25"/>
  <c r="EJ64" i="25"/>
  <c r="EY157" i="25"/>
  <c r="DV98" i="25"/>
  <c r="DX98" i="25" s="1"/>
  <c r="EC98" i="25" s="1"/>
  <c r="EK98" i="25"/>
  <c r="EN98" i="25" s="1"/>
  <c r="EL98" i="25"/>
  <c r="EB203" i="25"/>
  <c r="EA203" i="25"/>
  <c r="DV184" i="25"/>
  <c r="EL184" i="25"/>
  <c r="EK184" i="25"/>
  <c r="EN184" i="25" s="1"/>
  <c r="DT184" i="25"/>
  <c r="FA184" i="25"/>
  <c r="EJ184" i="25"/>
  <c r="EY184" i="25"/>
  <c r="EJ111" i="25"/>
  <c r="DV283" i="25"/>
  <c r="DT283" i="25"/>
  <c r="DV234" i="25"/>
  <c r="DT234" i="25"/>
  <c r="DV71" i="25"/>
  <c r="EL71" i="25"/>
  <c r="EK71" i="25"/>
  <c r="EN71" i="25" s="1"/>
  <c r="DT71" i="25"/>
  <c r="EJ71" i="25"/>
  <c r="EY71" i="25"/>
  <c r="FA71" i="25"/>
  <c r="DV278" i="25"/>
  <c r="DT278" i="25"/>
  <c r="EY145" i="25"/>
  <c r="DV311" i="25"/>
  <c r="DT311" i="25"/>
  <c r="DV38" i="25"/>
  <c r="DX38" i="25" s="1"/>
  <c r="EC38" i="25" s="1"/>
  <c r="EL38" i="25"/>
  <c r="EK38" i="25"/>
  <c r="EN38" i="25" s="1"/>
  <c r="DT38" i="25"/>
  <c r="EB175" i="25"/>
  <c r="EA175" i="25"/>
  <c r="EY13" i="25"/>
  <c r="EJ49" i="25"/>
  <c r="EJ65" i="25"/>
  <c r="EJ122" i="25"/>
  <c r="EB164" i="25"/>
  <c r="EA164" i="25"/>
  <c r="EB170" i="25"/>
  <c r="EA170" i="25"/>
  <c r="EB80" i="25"/>
  <c r="EA80" i="25"/>
  <c r="EJ96" i="25"/>
  <c r="DV46" i="25"/>
  <c r="EL46" i="25"/>
  <c r="EK46" i="25"/>
  <c r="EN46" i="25" s="1"/>
  <c r="DT46" i="25"/>
  <c r="FA46" i="25"/>
  <c r="EY46" i="25"/>
  <c r="EJ46" i="25"/>
  <c r="DV123" i="25"/>
  <c r="EK123" i="25"/>
  <c r="EN123" i="25" s="1"/>
  <c r="EL123" i="25"/>
  <c r="DT123" i="25"/>
  <c r="EY123" i="25"/>
  <c r="EJ123" i="25"/>
  <c r="FA123" i="25"/>
  <c r="DV230" i="25"/>
  <c r="DT230" i="25"/>
  <c r="DV86" i="25"/>
  <c r="DX86" i="25" s="1"/>
  <c r="EC86" i="25" s="1"/>
  <c r="EK86" i="25"/>
  <c r="EN86" i="25" s="1"/>
  <c r="EL86" i="25"/>
  <c r="DT86" i="25"/>
  <c r="EB59" i="25"/>
  <c r="EA59" i="25"/>
  <c r="DV59" i="25"/>
  <c r="DX59" i="25" s="1"/>
  <c r="EC59" i="25" s="1"/>
  <c r="EL59" i="25"/>
  <c r="EK59" i="25"/>
  <c r="EN59" i="25" s="1"/>
  <c r="DT59" i="25"/>
  <c r="DV186" i="25"/>
  <c r="EK186" i="25"/>
  <c r="EN186" i="25" s="1"/>
  <c r="EL186" i="25"/>
  <c r="DT186" i="25"/>
  <c r="EY186" i="25"/>
  <c r="EJ186" i="25"/>
  <c r="FA186" i="25"/>
  <c r="DV198" i="25"/>
  <c r="EK198" i="25"/>
  <c r="EN198" i="25" s="1"/>
  <c r="EL198" i="25"/>
  <c r="FA198" i="25"/>
  <c r="EJ198" i="25"/>
  <c r="EY198" i="25"/>
  <c r="DV280" i="25"/>
  <c r="DT280" i="25"/>
  <c r="FA185" i="25"/>
  <c r="EJ69" i="25"/>
  <c r="DV69" i="25"/>
  <c r="EL69" i="25"/>
  <c r="EK69" i="25"/>
  <c r="EN69" i="25" s="1"/>
  <c r="DT69" i="25"/>
  <c r="FA69" i="25"/>
  <c r="EY69" i="25"/>
  <c r="DV72" i="25"/>
  <c r="DX72" i="25" s="1"/>
  <c r="EC72" i="25" s="1"/>
  <c r="EK72" i="25"/>
  <c r="EN72" i="25" s="1"/>
  <c r="EL72" i="25"/>
  <c r="DT72" i="25"/>
  <c r="DV282" i="25"/>
  <c r="DT282" i="25"/>
  <c r="EJ35" i="25"/>
  <c r="DV35" i="25"/>
  <c r="DX35" i="25" s="1"/>
  <c r="EC35" i="25" s="1"/>
  <c r="EK35" i="25"/>
  <c r="EN35" i="25" s="1"/>
  <c r="EL35" i="25"/>
  <c r="DT35" i="25"/>
  <c r="FA89" i="25"/>
  <c r="DV187" i="25"/>
  <c r="DX187" i="25" s="1"/>
  <c r="EC187" i="25" s="1"/>
  <c r="EK187" i="25"/>
  <c r="EN187" i="25" s="1"/>
  <c r="EL187" i="25"/>
  <c r="DT187" i="25"/>
  <c r="DV237" i="25"/>
  <c r="DT237" i="25"/>
  <c r="EB91" i="25"/>
  <c r="EA91" i="25"/>
  <c r="EY178" i="25"/>
  <c r="DV193" i="25"/>
  <c r="DX193" i="25" s="1"/>
  <c r="EC193" i="25" s="1"/>
  <c r="EL193" i="25"/>
  <c r="EK193" i="25"/>
  <c r="EN193" i="25" s="1"/>
  <c r="DT193" i="25"/>
  <c r="EY95" i="25"/>
  <c r="DV257" i="25"/>
  <c r="DT257" i="25"/>
  <c r="EJ131" i="25"/>
  <c r="EY174" i="25"/>
  <c r="DV103" i="25"/>
  <c r="DX103" i="25" s="1"/>
  <c r="EC103" i="25" s="1"/>
  <c r="EL103" i="25"/>
  <c r="EK103" i="25"/>
  <c r="EN103" i="25" s="1"/>
  <c r="DV78" i="25"/>
  <c r="DX78" i="25" s="1"/>
  <c r="EC78" i="25" s="1"/>
  <c r="EL78" i="25"/>
  <c r="EK78" i="25"/>
  <c r="EN78" i="25" s="1"/>
  <c r="DT78" i="25"/>
  <c r="FA74" i="25"/>
  <c r="DV127" i="25"/>
  <c r="DX127" i="25" s="1"/>
  <c r="EC127" i="25" s="1"/>
  <c r="EL127" i="25"/>
  <c r="EK127" i="25"/>
  <c r="EN127" i="25" s="1"/>
  <c r="DT127" i="25"/>
  <c r="FA130" i="25"/>
  <c r="DV130" i="25"/>
  <c r="EL130" i="25"/>
  <c r="EK130" i="25"/>
  <c r="EN130" i="25" s="1"/>
  <c r="DT130" i="25"/>
  <c r="EY130" i="25"/>
  <c r="EJ130" i="25"/>
  <c r="DV267" i="25"/>
  <c r="DT267" i="25"/>
  <c r="EB191" i="25"/>
  <c r="EA191" i="25"/>
  <c r="DV308" i="25"/>
  <c r="DT308" i="25"/>
  <c r="DV292" i="25"/>
  <c r="DT292" i="25"/>
  <c r="DV177" i="25"/>
  <c r="DX177" i="25" s="1"/>
  <c r="EC177" i="25" s="1"/>
  <c r="EK177" i="25"/>
  <c r="EN177" i="25" s="1"/>
  <c r="EL177" i="25"/>
  <c r="DT177" i="25"/>
  <c r="DV100" i="25"/>
  <c r="DX100" i="25" s="1"/>
  <c r="EC100" i="25" s="1"/>
  <c r="EK100" i="25"/>
  <c r="EN100" i="25" s="1"/>
  <c r="EL100" i="25"/>
  <c r="EB87" i="25"/>
  <c r="EA87" i="25"/>
  <c r="DV154" i="25"/>
  <c r="EL154" i="25"/>
  <c r="EK154" i="25"/>
  <c r="EN154" i="25" s="1"/>
  <c r="DT154" i="25"/>
  <c r="EY154" i="25"/>
  <c r="EJ154" i="25"/>
  <c r="FA154" i="25"/>
  <c r="DV82" i="25"/>
  <c r="EL82" i="25"/>
  <c r="EK82" i="25"/>
  <c r="EN82" i="25" s="1"/>
  <c r="DT82" i="25"/>
  <c r="FA82" i="25"/>
  <c r="EY82" i="25"/>
  <c r="EJ82" i="25"/>
  <c r="DV281" i="25"/>
  <c r="DT281" i="25"/>
  <c r="DV288" i="25"/>
  <c r="DT288" i="25"/>
  <c r="EB129" i="25"/>
  <c r="EA129" i="25"/>
  <c r="DV15" i="25"/>
  <c r="DX15" i="25" s="1"/>
  <c r="EC15" i="25" s="1"/>
  <c r="EK15" i="25"/>
  <c r="EN15" i="25" s="1"/>
  <c r="EL15" i="25"/>
  <c r="DT15" i="25"/>
  <c r="EB47" i="25"/>
  <c r="EA47" i="25"/>
  <c r="DV133" i="25"/>
  <c r="EK133" i="25"/>
  <c r="EN133" i="25" s="1"/>
  <c r="EL133" i="25"/>
  <c r="DT133" i="25"/>
  <c r="EJ133" i="25"/>
  <c r="EY133" i="25"/>
  <c r="FA133" i="25"/>
  <c r="DV239" i="25"/>
  <c r="DT239" i="25"/>
  <c r="EJ156" i="25"/>
  <c r="EJ90" i="25"/>
  <c r="DV76" i="25"/>
  <c r="EK76" i="25"/>
  <c r="EN76" i="25" s="1"/>
  <c r="EL76" i="25"/>
  <c r="DT76" i="25"/>
  <c r="FA76" i="25"/>
  <c r="EJ76" i="25"/>
  <c r="EY76" i="25"/>
  <c r="DV284" i="25"/>
  <c r="DT284" i="25"/>
  <c r="DV7" i="25"/>
  <c r="EK7" i="25"/>
  <c r="EN7" i="25" s="1"/>
  <c r="EL7" i="25"/>
  <c r="DT7" i="25"/>
  <c r="EJ7" i="25"/>
  <c r="EY7" i="25"/>
  <c r="FA7" i="25"/>
  <c r="DV197" i="25"/>
  <c r="EL197" i="25"/>
  <c r="EK197" i="25"/>
  <c r="EN197" i="25" s="1"/>
  <c r="FA197" i="25"/>
  <c r="EY197" i="25"/>
  <c r="EJ197" i="25"/>
  <c r="DV196" i="25"/>
  <c r="EL196" i="25"/>
  <c r="EK196" i="25"/>
  <c r="EN196" i="25" s="1"/>
  <c r="EY196" i="25"/>
  <c r="FA196" i="25"/>
  <c r="EJ196" i="25"/>
  <c r="DV88" i="25"/>
  <c r="DX88" i="25" s="1"/>
  <c r="EC88" i="25" s="1"/>
  <c r="EK88" i="25"/>
  <c r="EN88" i="25" s="1"/>
  <c r="EL88" i="25"/>
  <c r="DT88" i="25"/>
  <c r="DV240" i="25"/>
  <c r="DT240" i="25"/>
  <c r="EY43" i="25"/>
  <c r="FA126" i="25"/>
  <c r="DX138" i="25"/>
  <c r="EC138" i="25" s="1"/>
  <c r="FA64" i="25"/>
  <c r="EB60" i="25"/>
  <c r="EA60" i="25"/>
  <c r="DV55" i="25"/>
  <c r="EL55" i="25"/>
  <c r="EK55" i="25"/>
  <c r="EN55" i="25" s="1"/>
  <c r="DT55" i="25"/>
  <c r="EY55" i="25"/>
  <c r="EJ55" i="25"/>
  <c r="FA55" i="25"/>
  <c r="DV275" i="25"/>
  <c r="DT275" i="25"/>
  <c r="DV128" i="25"/>
  <c r="DX128" i="25" s="1"/>
  <c r="EC128" i="25" s="1"/>
  <c r="EL128" i="25"/>
  <c r="EK128" i="25"/>
  <c r="EN128" i="25" s="1"/>
  <c r="DT128" i="25"/>
  <c r="DV309" i="25"/>
  <c r="DT309" i="25"/>
  <c r="FA111" i="25"/>
  <c r="DV14" i="25"/>
  <c r="DX14" i="25" s="1"/>
  <c r="EC14" i="25" s="1"/>
  <c r="EK14" i="25"/>
  <c r="EN14" i="25" s="1"/>
  <c r="EL14" i="25"/>
  <c r="DT14" i="25"/>
  <c r="DV79" i="25"/>
  <c r="DX79" i="25" s="1"/>
  <c r="EC79" i="25" s="1"/>
  <c r="EK79" i="25"/>
  <c r="EN79" i="25" s="1"/>
  <c r="EL79" i="25"/>
  <c r="DT79" i="25"/>
  <c r="EB105" i="25"/>
  <c r="EA105" i="25"/>
  <c r="DV274" i="25"/>
  <c r="DT274" i="25"/>
  <c r="EB48" i="25"/>
  <c r="EA48" i="25"/>
  <c r="DV261" i="25"/>
  <c r="DT261" i="25"/>
  <c r="FA13" i="25"/>
  <c r="EY177" i="25"/>
  <c r="EB49" i="25"/>
  <c r="EA49" i="25"/>
  <c r="FA65" i="25"/>
  <c r="EB29" i="25"/>
  <c r="EA29" i="25"/>
  <c r="FA77" i="25"/>
  <c r="DV314" i="25"/>
  <c r="DT314" i="25"/>
  <c r="DV62" i="25"/>
  <c r="EK62" i="25"/>
  <c r="EN62" i="25" s="1"/>
  <c r="EL62" i="25"/>
  <c r="DT62" i="25"/>
  <c r="FA62" i="25"/>
  <c r="EY62" i="25"/>
  <c r="EJ62" i="25"/>
  <c r="FA96" i="25"/>
  <c r="EB88" i="25"/>
  <c r="EA88" i="25"/>
  <c r="DV48" i="25"/>
  <c r="DX48" i="25" s="1"/>
  <c r="EC48" i="25" s="1"/>
  <c r="EK48" i="25"/>
  <c r="EN48" i="25" s="1"/>
  <c r="EL48" i="25"/>
  <c r="DT48" i="25"/>
  <c r="DV302" i="25"/>
  <c r="DT302" i="25"/>
  <c r="DV16" i="25"/>
  <c r="EL16" i="25"/>
  <c r="EK16" i="25"/>
  <c r="EN16" i="25" s="1"/>
  <c r="DT16" i="25"/>
  <c r="FA16" i="25"/>
  <c r="EY16" i="25"/>
  <c r="EJ16" i="25"/>
  <c r="DV110" i="25"/>
  <c r="EL110" i="25"/>
  <c r="EK110" i="25"/>
  <c r="EN110" i="25" s="1"/>
  <c r="DT110" i="25"/>
  <c r="FA110" i="25"/>
  <c r="EY110" i="25"/>
  <c r="EJ110" i="25"/>
  <c r="EJ171" i="25"/>
  <c r="EJ185" i="25"/>
  <c r="EJ89" i="25"/>
  <c r="EJ51" i="25"/>
  <c r="FA178" i="25"/>
  <c r="EB103" i="25"/>
  <c r="EA103" i="25"/>
  <c r="FA95" i="25"/>
  <c r="EY131" i="25"/>
  <c r="DV241" i="25"/>
  <c r="DT241" i="25"/>
  <c r="DV263" i="25"/>
  <c r="DT263" i="25"/>
  <c r="DV227" i="25"/>
  <c r="DT227" i="25"/>
  <c r="EB74" i="25"/>
  <c r="EA74" i="25"/>
  <c r="DV32" i="25"/>
  <c r="EL32" i="25"/>
  <c r="EK32" i="25"/>
  <c r="EN32" i="25" s="1"/>
  <c r="DT32" i="25"/>
  <c r="EY32" i="25"/>
  <c r="FA32" i="25"/>
  <c r="EJ32" i="25"/>
  <c r="DV289" i="25"/>
  <c r="DT289" i="25"/>
  <c r="EB98" i="25"/>
  <c r="EA98" i="25"/>
  <c r="EB81" i="25"/>
  <c r="EA81" i="25"/>
  <c r="DV306" i="25"/>
  <c r="DT306" i="25"/>
  <c r="DV54" i="25"/>
  <c r="EK54" i="25"/>
  <c r="EN54" i="25" s="1"/>
  <c r="EL54" i="25"/>
  <c r="DT54" i="25"/>
  <c r="EY54" i="25"/>
  <c r="EJ54" i="25"/>
  <c r="FA54" i="25"/>
  <c r="DV145" i="25"/>
  <c r="DX145" i="25" s="1"/>
  <c r="EC145" i="25" s="1"/>
  <c r="EL145" i="25"/>
  <c r="EK145" i="25"/>
  <c r="EN145" i="25" s="1"/>
  <c r="DT145" i="25"/>
  <c r="DV232" i="25"/>
  <c r="DT232" i="25"/>
  <c r="DV270" i="25"/>
  <c r="DT270" i="25"/>
  <c r="DV45" i="25"/>
  <c r="DX45" i="25" s="1"/>
  <c r="EC45" i="25" s="1"/>
  <c r="EL45" i="25"/>
  <c r="EK45" i="25"/>
  <c r="EN45" i="25" s="1"/>
  <c r="DT45" i="25"/>
  <c r="EB86" i="25"/>
  <c r="EA86" i="25"/>
  <c r="EY156" i="25"/>
  <c r="EY90" i="25"/>
  <c r="EB42" i="25"/>
  <c r="EA42" i="25"/>
  <c r="DV42" i="25"/>
  <c r="DX42" i="25" s="1"/>
  <c r="EC42" i="25" s="1"/>
  <c r="EL42" i="25"/>
  <c r="EK42" i="25"/>
  <c r="EN42" i="25" s="1"/>
  <c r="DT42" i="25"/>
  <c r="DV60" i="25"/>
  <c r="DX60" i="25" s="1"/>
  <c r="EC60" i="25" s="1"/>
  <c r="EK60" i="25"/>
  <c r="EN60" i="25" s="1"/>
  <c r="EL60" i="25"/>
  <c r="DT60" i="25"/>
  <c r="DV9" i="25"/>
  <c r="DX9" i="25" s="1"/>
  <c r="EC9" i="25" s="1"/>
  <c r="EK9" i="25"/>
  <c r="EN9" i="25" s="1"/>
  <c r="EL9" i="25"/>
  <c r="DT9" i="25"/>
  <c r="DV149" i="25"/>
  <c r="EL149" i="25"/>
  <c r="EK149" i="25"/>
  <c r="EN149" i="25" s="1"/>
  <c r="DT149" i="25"/>
  <c r="FA149" i="25"/>
  <c r="EY149" i="25"/>
  <c r="EJ149" i="25"/>
  <c r="DV41" i="25"/>
  <c r="EL41" i="25"/>
  <c r="EK41" i="25"/>
  <c r="EN41" i="25" s="1"/>
  <c r="DT41" i="25"/>
  <c r="FA41" i="25"/>
  <c r="EJ41" i="25"/>
  <c r="EY41" i="25"/>
  <c r="EJ37" i="25"/>
  <c r="DV11" i="25"/>
  <c r="EK11" i="25"/>
  <c r="EN11" i="25" s="1"/>
  <c r="EL11" i="25"/>
  <c r="DT11" i="25"/>
  <c r="EY11" i="25"/>
  <c r="FA11" i="25"/>
  <c r="EJ11" i="25"/>
  <c r="EJ179" i="25"/>
  <c r="EY64" i="25"/>
  <c r="FA60" i="25"/>
  <c r="DV276" i="25"/>
  <c r="DT276" i="25"/>
  <c r="DV225" i="25"/>
  <c r="DT225" i="25"/>
  <c r="EB157" i="25"/>
  <c r="EA157" i="25"/>
  <c r="DV68" i="25"/>
  <c r="EK68" i="25"/>
  <c r="EN68" i="25" s="1"/>
  <c r="EL68" i="25"/>
  <c r="DT68" i="25"/>
  <c r="EJ68" i="25"/>
  <c r="FA68" i="25"/>
  <c r="EY68" i="25"/>
  <c r="EY111" i="25"/>
  <c r="DV209" i="25"/>
  <c r="EK209" i="25"/>
  <c r="EN209" i="25" s="1"/>
  <c r="EL209" i="25"/>
  <c r="EJ209" i="25"/>
  <c r="EY209" i="25"/>
  <c r="FA209" i="25"/>
  <c r="DV210" i="25"/>
  <c r="DX210" i="25" s="1"/>
  <c r="EC210" i="25" s="1"/>
  <c r="EK210" i="25"/>
  <c r="EN210" i="25" s="1"/>
  <c r="EL210" i="25"/>
  <c r="FA145" i="25"/>
  <c r="DV99" i="25"/>
  <c r="DX99" i="25" s="1"/>
  <c r="EC99" i="25" s="1"/>
  <c r="EL99" i="25"/>
  <c r="EK99" i="25"/>
  <c r="EN99" i="25" s="1"/>
  <c r="EB13" i="25"/>
  <c r="EA13" i="25"/>
  <c r="EB177" i="25"/>
  <c r="EA177" i="25"/>
  <c r="EB122" i="25"/>
  <c r="EA122" i="25"/>
  <c r="DV10" i="25"/>
  <c r="EK10" i="25"/>
  <c r="EN10" i="25" s="1"/>
  <c r="EL10" i="25"/>
  <c r="DT10" i="25"/>
  <c r="FA10" i="25"/>
  <c r="EY10" i="25"/>
  <c r="EJ10" i="25"/>
  <c r="EJ77" i="25"/>
  <c r="DV246" i="25"/>
  <c r="DT246" i="25"/>
  <c r="EB96" i="25"/>
  <c r="EA96" i="25"/>
  <c r="DV175" i="25"/>
  <c r="DX175" i="25" s="1"/>
  <c r="EC175" i="25" s="1"/>
  <c r="EK175" i="25"/>
  <c r="EN175" i="25" s="1"/>
  <c r="EL175" i="25"/>
  <c r="DT175" i="25"/>
  <c r="DV189" i="25"/>
  <c r="DX189" i="25" s="1"/>
  <c r="EC189" i="25" s="1"/>
  <c r="EK189" i="25"/>
  <c r="EN189" i="25" s="1"/>
  <c r="EL189" i="25"/>
  <c r="DT189" i="25"/>
  <c r="DV265" i="25"/>
  <c r="DT265" i="25"/>
  <c r="EY189" i="25"/>
  <c r="EY185" i="25"/>
  <c r="FA56" i="25"/>
  <c r="FA9" i="25"/>
  <c r="DV148" i="25"/>
  <c r="EL148" i="25"/>
  <c r="EK148" i="25"/>
  <c r="EN148" i="25" s="1"/>
  <c r="DT148" i="25"/>
  <c r="FA148" i="25"/>
  <c r="EY148" i="25"/>
  <c r="EJ148" i="25"/>
  <c r="DV315" i="25"/>
  <c r="DT315" i="25"/>
  <c r="EB178" i="25"/>
  <c r="EA178" i="25"/>
  <c r="DV119" i="25"/>
  <c r="DX119" i="25" s="1"/>
  <c r="EC119" i="25" s="1"/>
  <c r="EL119" i="25"/>
  <c r="EK119" i="25"/>
  <c r="EN119" i="25" s="1"/>
  <c r="DT119" i="25"/>
  <c r="EJ95" i="25"/>
  <c r="DV121" i="25"/>
  <c r="DX121" i="25" s="1"/>
  <c r="EC121" i="25" s="1"/>
  <c r="EL121" i="25"/>
  <c r="EK121" i="25"/>
  <c r="EN121" i="25" s="1"/>
  <c r="DT121" i="25"/>
  <c r="FA131" i="25"/>
  <c r="EB174" i="25"/>
  <c r="EA174" i="25"/>
  <c r="DV296" i="25"/>
  <c r="DT296" i="25"/>
  <c r="DV114" i="25"/>
  <c r="EK114" i="25"/>
  <c r="EN114" i="25" s="1"/>
  <c r="EL114" i="25"/>
  <c r="DT114" i="25"/>
  <c r="FA114" i="25"/>
  <c r="EY114" i="25"/>
  <c r="EJ114" i="25"/>
  <c r="EY132" i="25"/>
  <c r="DV132" i="25"/>
  <c r="EL132" i="25"/>
  <c r="EK132" i="25"/>
  <c r="EN132" i="25" s="1"/>
  <c r="DT132" i="25"/>
  <c r="EJ132" i="25"/>
  <c r="FA132" i="25"/>
  <c r="DV264" i="25"/>
  <c r="DT264" i="25"/>
  <c r="DV89" i="25"/>
  <c r="DX89" i="25" s="1"/>
  <c r="EC89" i="25" s="1"/>
  <c r="EL89" i="25"/>
  <c r="EK89" i="25"/>
  <c r="EN89" i="25" s="1"/>
  <c r="DT89" i="25"/>
  <c r="DV25" i="25"/>
  <c r="DX25" i="25" s="1"/>
  <c r="EC25" i="25" s="1"/>
  <c r="EK25" i="25"/>
  <c r="EN25" i="25" s="1"/>
  <c r="EL25" i="25"/>
  <c r="DT25" i="25"/>
  <c r="EB136" i="25"/>
  <c r="EA136" i="25"/>
  <c r="DV161" i="25"/>
  <c r="EK161" i="25"/>
  <c r="EN161" i="25" s="1"/>
  <c r="EL161" i="25"/>
  <c r="DT161" i="25"/>
  <c r="EJ161" i="25"/>
  <c r="FA161" i="25"/>
  <c r="EY161" i="25"/>
  <c r="EB99" i="25"/>
  <c r="EA99" i="25"/>
  <c r="DV277" i="25"/>
  <c r="DT277" i="25"/>
  <c r="DV65" i="25"/>
  <c r="DX65" i="25" s="1"/>
  <c r="EC65" i="25" s="1"/>
  <c r="EK65" i="25"/>
  <c r="EN65" i="25" s="1"/>
  <c r="EL65" i="25"/>
  <c r="DT65" i="25"/>
  <c r="DV91" i="25"/>
  <c r="DX91" i="25" s="1"/>
  <c r="EC91" i="25" s="1"/>
  <c r="EK91" i="25"/>
  <c r="EN91" i="25" s="1"/>
  <c r="EL91" i="25"/>
  <c r="DV172" i="25"/>
  <c r="EL172" i="25"/>
  <c r="EK172" i="25"/>
  <c r="EN172" i="25" s="1"/>
  <c r="DT172" i="25"/>
  <c r="EJ172" i="25"/>
  <c r="FA172" i="25"/>
  <c r="EY172" i="25"/>
  <c r="DV260" i="25"/>
  <c r="DT260" i="25"/>
  <c r="DV125" i="25"/>
  <c r="EL125" i="25"/>
  <c r="EK125" i="25"/>
  <c r="EN125" i="25" s="1"/>
  <c r="DT125" i="25"/>
  <c r="FA125" i="25"/>
  <c r="EY125" i="25"/>
  <c r="EJ125" i="25"/>
  <c r="EB156" i="25"/>
  <c r="EA156" i="25"/>
  <c r="EB90" i="25"/>
  <c r="EA90" i="25"/>
  <c r="DV190" i="25"/>
  <c r="DX190" i="25" s="1"/>
  <c r="EC190" i="25" s="1"/>
  <c r="EL190" i="25"/>
  <c r="EK190" i="25"/>
  <c r="EN190" i="25" s="1"/>
  <c r="DT190" i="25"/>
  <c r="DV238" i="25"/>
  <c r="DT238" i="25"/>
  <c r="DV176" i="25"/>
  <c r="EK176" i="25"/>
  <c r="EN176" i="25" s="1"/>
  <c r="EL176" i="25"/>
  <c r="DT176" i="25"/>
  <c r="EY176" i="25"/>
  <c r="EJ176" i="25"/>
  <c r="FA176" i="25"/>
  <c r="DV155" i="25"/>
  <c r="EK155" i="25"/>
  <c r="EN155" i="25" s="1"/>
  <c r="EL155" i="25"/>
  <c r="DT155" i="25"/>
  <c r="FA155" i="25"/>
  <c r="EY155" i="25"/>
  <c r="EJ155" i="25"/>
  <c r="DV12" i="25"/>
  <c r="DX12" i="25" s="1"/>
  <c r="EC12" i="25" s="1"/>
  <c r="EL12" i="25"/>
  <c r="EK12" i="25"/>
  <c r="EN12" i="25" s="1"/>
  <c r="DT12" i="25"/>
  <c r="EY37" i="25"/>
  <c r="EB194" i="25"/>
  <c r="EA194" i="25"/>
  <c r="EB181" i="25"/>
  <c r="EA181" i="25"/>
  <c r="EB126" i="25"/>
  <c r="EA126" i="25"/>
  <c r="DV252" i="25"/>
  <c r="DT252" i="25"/>
  <c r="EB64" i="25"/>
  <c r="EA64" i="25"/>
  <c r="FA142" i="25"/>
  <c r="DV142" i="25"/>
  <c r="EK142" i="25"/>
  <c r="EN142" i="25" s="1"/>
  <c r="EL142" i="25"/>
  <c r="DT142" i="25"/>
  <c r="EJ142" i="25"/>
  <c r="EY142" i="25"/>
  <c r="DV36" i="25"/>
  <c r="EK36" i="25"/>
  <c r="EN36" i="25" s="1"/>
  <c r="EL36" i="25"/>
  <c r="DT36" i="25"/>
  <c r="EY36" i="25"/>
  <c r="EJ36" i="25"/>
  <c r="FA36" i="25"/>
  <c r="DV51" i="25"/>
  <c r="DX51" i="25" s="1"/>
  <c r="EC51" i="25" s="1"/>
  <c r="EL51" i="25"/>
  <c r="EK51" i="25"/>
  <c r="EN51" i="25" s="1"/>
  <c r="DT51" i="25"/>
  <c r="EB111" i="25"/>
  <c r="EA111" i="25"/>
  <c r="DV39" i="25"/>
  <c r="EK39" i="25"/>
  <c r="EN39" i="25" s="1"/>
  <c r="EL39" i="25"/>
  <c r="DT39" i="25"/>
  <c r="FA39" i="25"/>
  <c r="EY39" i="25"/>
  <c r="EJ39" i="25"/>
  <c r="EY190" i="25"/>
  <c r="DV273" i="25"/>
  <c r="DT273" i="25"/>
  <c r="EB145" i="25"/>
  <c r="EA145" i="25"/>
  <c r="FA12" i="25"/>
  <c r="EB65" i="25"/>
  <c r="EA65" i="25"/>
  <c r="EY77" i="25"/>
  <c r="DV221" i="25"/>
  <c r="DT221" i="25"/>
  <c r="DV105" i="25"/>
  <c r="DX105" i="25" s="1"/>
  <c r="EC105" i="25" s="1"/>
  <c r="EK105" i="25"/>
  <c r="EN105" i="25" s="1"/>
  <c r="EL105" i="25"/>
  <c r="DV163" i="25"/>
  <c r="EL163" i="25"/>
  <c r="EK163" i="25"/>
  <c r="EN163" i="25" s="1"/>
  <c r="DT163" i="25"/>
  <c r="FA163" i="25"/>
  <c r="EY163" i="25"/>
  <c r="EJ163" i="25"/>
  <c r="DV20" i="25"/>
  <c r="EL20" i="25"/>
  <c r="EK20" i="25"/>
  <c r="EN20" i="25" s="1"/>
  <c r="DT20" i="25"/>
  <c r="EY20" i="25"/>
  <c r="EJ20" i="25"/>
  <c r="FA20" i="25"/>
  <c r="EJ189" i="25"/>
  <c r="DV174" i="25"/>
  <c r="DX174" i="25" s="1"/>
  <c r="EC174" i="25" s="1"/>
  <c r="EL174" i="25"/>
  <c r="EK174" i="25"/>
  <c r="EN174" i="25" s="1"/>
  <c r="DT174" i="25"/>
  <c r="EB185" i="25"/>
  <c r="EA185" i="25"/>
  <c r="EJ45" i="25"/>
  <c r="EJ56" i="25"/>
  <c r="EJ9" i="25"/>
  <c r="DV286" i="25"/>
  <c r="DT286" i="25"/>
  <c r="DV85" i="25"/>
  <c r="EK85" i="25"/>
  <c r="EN85" i="25" s="1"/>
  <c r="EL85" i="25"/>
  <c r="DT85" i="25"/>
  <c r="EJ85" i="25"/>
  <c r="FA85" i="25"/>
  <c r="EY85" i="25"/>
  <c r="EB89" i="25"/>
  <c r="EA89" i="25"/>
  <c r="FA51" i="25"/>
  <c r="DV244" i="25"/>
  <c r="DT244" i="25"/>
  <c r="EB95" i="25"/>
  <c r="EA95" i="25"/>
  <c r="EB180" i="25"/>
  <c r="EA180" i="25"/>
  <c r="EB131" i="25"/>
  <c r="EA131" i="25"/>
  <c r="DV310" i="25"/>
  <c r="DT310" i="25"/>
  <c r="DV305" i="25"/>
  <c r="DT305" i="25"/>
  <c r="DV92" i="25"/>
  <c r="DX92" i="25" s="1"/>
  <c r="EC92" i="25" s="1"/>
  <c r="EK92" i="25"/>
  <c r="EN92" i="25" s="1"/>
  <c r="EL92" i="25"/>
  <c r="EB24" i="25"/>
  <c r="EA24" i="25"/>
  <c r="DV222" i="25"/>
  <c r="DT222" i="25"/>
  <c r="DV6" i="25"/>
  <c r="EK6" i="25"/>
  <c r="EN6" i="25" s="1"/>
  <c r="EL6" i="25"/>
  <c r="DT6" i="25"/>
  <c r="EY6" i="25"/>
  <c r="EJ6" i="25"/>
  <c r="FA6" i="25"/>
  <c r="DV179" i="25"/>
  <c r="DX179" i="25" s="1"/>
  <c r="EC179" i="25" s="1"/>
  <c r="EK179" i="25"/>
  <c r="EN179" i="25" s="1"/>
  <c r="EL179" i="25"/>
  <c r="DT179" i="25"/>
  <c r="EB14" i="25"/>
  <c r="EA14" i="25"/>
  <c r="EB43" i="25"/>
  <c r="EA43" i="25"/>
  <c r="DV293" i="25"/>
  <c r="DT293" i="25"/>
  <c r="FA179" i="25"/>
  <c r="DV66" i="25"/>
  <c r="DX66" i="25" s="1"/>
  <c r="EC66" i="25" s="1"/>
  <c r="EL66" i="25"/>
  <c r="EK66" i="25"/>
  <c r="EN66" i="25" s="1"/>
  <c r="DT66" i="25"/>
  <c r="DV19" i="25"/>
  <c r="EK19" i="25"/>
  <c r="EN19" i="25" s="1"/>
  <c r="EL19" i="25"/>
  <c r="DT19" i="25"/>
  <c r="EJ19" i="25"/>
  <c r="FA19" i="25"/>
  <c r="EY19" i="25"/>
  <c r="FA66" i="25"/>
  <c r="EB128" i="25"/>
  <c r="EA128" i="25"/>
  <c r="DV87" i="25"/>
  <c r="DX87" i="25" s="1"/>
  <c r="EC87" i="25" s="1"/>
  <c r="EL87" i="25"/>
  <c r="EK87" i="25"/>
  <c r="EN87" i="25" s="1"/>
  <c r="DT87" i="25"/>
  <c r="DV84" i="25"/>
  <c r="EK84" i="25"/>
  <c r="EN84" i="25" s="1"/>
  <c r="EL84" i="25"/>
  <c r="DT84" i="25"/>
  <c r="FA84" i="25"/>
  <c r="EJ84" i="25"/>
  <c r="EY84" i="25"/>
  <c r="DV256" i="25"/>
  <c r="DT256" i="25"/>
  <c r="DV271" i="25"/>
  <c r="DT271" i="25"/>
  <c r="EB121" i="25"/>
  <c r="EA121" i="25"/>
  <c r="DV120" i="25"/>
  <c r="EL120" i="25"/>
  <c r="EK120" i="25"/>
  <c r="EN120" i="25" s="1"/>
  <c r="DT120" i="25"/>
  <c r="EY120" i="25"/>
  <c r="FA120" i="25"/>
  <c r="EJ120" i="25"/>
  <c r="DV201" i="25"/>
  <c r="EL201" i="25"/>
  <c r="EK201" i="25"/>
  <c r="EN201" i="25" s="1"/>
  <c r="EY201" i="25"/>
  <c r="EJ201" i="25"/>
  <c r="FA201" i="25"/>
  <c r="DV243" i="25"/>
  <c r="DT243" i="25"/>
  <c r="EB77" i="25"/>
  <c r="EA77" i="25"/>
  <c r="DV150" i="25"/>
  <c r="EK150" i="25"/>
  <c r="EN150" i="25" s="1"/>
  <c r="EL150" i="25"/>
  <c r="DT150" i="25"/>
  <c r="FA150" i="25"/>
  <c r="EY150" i="25"/>
  <c r="EJ150" i="25"/>
  <c r="DV259" i="25"/>
  <c r="DT259" i="25"/>
  <c r="DV157" i="25"/>
  <c r="DX157" i="25" s="1"/>
  <c r="EC157" i="25" s="1"/>
  <c r="EK157" i="25"/>
  <c r="EN157" i="25" s="1"/>
  <c r="EL157" i="25"/>
  <c r="DT157" i="25"/>
  <c r="DV126" i="25"/>
  <c r="DX126" i="25" s="1"/>
  <c r="EC126" i="25" s="1"/>
  <c r="EK126" i="25"/>
  <c r="EN126" i="25" s="1"/>
  <c r="EL126" i="25"/>
  <c r="DT126" i="25"/>
  <c r="EJ113" i="25"/>
  <c r="DV113" i="25"/>
  <c r="EK113" i="25"/>
  <c r="EN113" i="25" s="1"/>
  <c r="EL113" i="25"/>
  <c r="DT113" i="25"/>
  <c r="FA113" i="25"/>
  <c r="EY113" i="25"/>
  <c r="EB171" i="25"/>
  <c r="EA171" i="25"/>
  <c r="DV139" i="25"/>
  <c r="DX139" i="25" s="1"/>
  <c r="EC139" i="25" s="1"/>
  <c r="EL139" i="25"/>
  <c r="EK139" i="25"/>
  <c r="EN139" i="25" s="1"/>
  <c r="DT139" i="25"/>
  <c r="FA45" i="25"/>
  <c r="EY56" i="25"/>
  <c r="EY9" i="25"/>
  <c r="DV13" i="25"/>
  <c r="DX13" i="25" s="1"/>
  <c r="EC13" i="25" s="1"/>
  <c r="EK13" i="25"/>
  <c r="EN13" i="25" s="1"/>
  <c r="EL13" i="25"/>
  <c r="DT13" i="25"/>
  <c r="EB51" i="25"/>
  <c r="EA51" i="25"/>
  <c r="DV299" i="25"/>
  <c r="DT299" i="25"/>
  <c r="DV224" i="25"/>
  <c r="DT224" i="25"/>
  <c r="DV43" i="25"/>
  <c r="DX43" i="25" s="1"/>
  <c r="EC43" i="25" s="1"/>
  <c r="EK43" i="25"/>
  <c r="EN43" i="25" s="1"/>
  <c r="EL43" i="25"/>
  <c r="DT43" i="25"/>
  <c r="DV266" i="25"/>
  <c r="DT266" i="25"/>
  <c r="EB97" i="25"/>
  <c r="EA97" i="25"/>
  <c r="DV28" i="25"/>
  <c r="EL28" i="25"/>
  <c r="EK28" i="25"/>
  <c r="EN28" i="25" s="1"/>
  <c r="DT28" i="25"/>
  <c r="EY28" i="25"/>
  <c r="EJ28" i="25"/>
  <c r="FA28" i="25"/>
  <c r="DV208" i="25"/>
  <c r="DX208" i="25" s="1"/>
  <c r="EC208" i="25" s="1"/>
  <c r="EL208" i="25"/>
  <c r="EK208" i="25"/>
  <c r="EN208" i="25" s="1"/>
  <c r="DV167" i="25"/>
  <c r="EK167" i="25"/>
  <c r="EN167" i="25" s="1"/>
  <c r="EL167" i="25"/>
  <c r="DT167" i="25"/>
  <c r="FA167" i="25"/>
  <c r="EY167" i="25"/>
  <c r="EJ167" i="25"/>
  <c r="DV205" i="25"/>
  <c r="EL205" i="25"/>
  <c r="EK205" i="25"/>
  <c r="EN205" i="25" s="1"/>
  <c r="EJ205" i="25"/>
  <c r="FA205" i="25"/>
  <c r="EY205" i="25"/>
  <c r="DV294" i="25"/>
  <c r="DT294" i="25"/>
  <c r="DY138" i="25"/>
  <c r="EB138" i="25"/>
  <c r="EA138" i="25"/>
  <c r="DV50" i="25"/>
  <c r="EL50" i="25"/>
  <c r="EK50" i="25"/>
  <c r="EN50" i="25" s="1"/>
  <c r="DT50" i="25"/>
  <c r="EJ50" i="25"/>
  <c r="FA50" i="25"/>
  <c r="EY50" i="25"/>
  <c r="DV122" i="25"/>
  <c r="DX122" i="25" s="1"/>
  <c r="EC122" i="25" s="1"/>
  <c r="EL122" i="25"/>
  <c r="EK122" i="25"/>
  <c r="EN122" i="25" s="1"/>
  <c r="DT122" i="25"/>
  <c r="DV134" i="25"/>
  <c r="EL134" i="25"/>
  <c r="EK134" i="25"/>
  <c r="EN134" i="25" s="1"/>
  <c r="DT134" i="25"/>
  <c r="FA134" i="25"/>
  <c r="EY134" i="25"/>
  <c r="EJ134" i="25"/>
  <c r="EB37" i="25"/>
  <c r="EA37" i="25"/>
  <c r="DV250" i="25"/>
  <c r="DT250" i="25"/>
  <c r="EY29" i="25"/>
  <c r="DV29" i="25"/>
  <c r="DX29" i="25" s="1"/>
  <c r="EC29" i="25" s="1"/>
  <c r="EK29" i="25"/>
  <c r="EN29" i="25" s="1"/>
  <c r="EL29" i="25"/>
  <c r="DT29" i="25"/>
  <c r="EB179" i="25"/>
  <c r="EA179" i="25"/>
  <c r="EJ66" i="25"/>
  <c r="DV300" i="25"/>
  <c r="DT300" i="25"/>
  <c r="DV67" i="25"/>
  <c r="EK67" i="25"/>
  <c r="EN67" i="25" s="1"/>
  <c r="EL67" i="25"/>
  <c r="DT67" i="25"/>
  <c r="FA67" i="25"/>
  <c r="EY67" i="25"/>
  <c r="EJ67" i="25"/>
  <c r="DV195" i="25"/>
  <c r="EK195" i="25"/>
  <c r="EN195" i="25" s="1"/>
  <c r="EL195" i="25"/>
  <c r="EY195" i="25"/>
  <c r="FA195" i="25"/>
  <c r="EJ195" i="25"/>
  <c r="DV200" i="25"/>
  <c r="DX200" i="25" s="1"/>
  <c r="EC200" i="25" s="1"/>
  <c r="EK200" i="25"/>
  <c r="EN200" i="25" s="1"/>
  <c r="EL200" i="25"/>
  <c r="EB23" i="25"/>
  <c r="EA23" i="25"/>
  <c r="DV285" i="25"/>
  <c r="DT285" i="25"/>
  <c r="DV152" i="25"/>
  <c r="EL152" i="25"/>
  <c r="EK152" i="25"/>
  <c r="EN152" i="25" s="1"/>
  <c r="DT152" i="25"/>
  <c r="EJ152" i="25"/>
  <c r="FA152" i="25"/>
  <c r="EY152" i="25"/>
  <c r="FA80" i="25"/>
  <c r="DV247" i="25"/>
  <c r="DT247" i="25"/>
  <c r="DV140" i="25"/>
  <c r="EK140" i="25"/>
  <c r="EN140" i="25" s="1"/>
  <c r="EL140" i="25"/>
  <c r="DT140" i="25"/>
  <c r="EJ140" i="25"/>
  <c r="EY140" i="25"/>
  <c r="FA140" i="25"/>
  <c r="EB189" i="25"/>
  <c r="EA189" i="25"/>
  <c r="DV268" i="25"/>
  <c r="DT268" i="25"/>
  <c r="EY45" i="25"/>
  <c r="EB56" i="25"/>
  <c r="EA56" i="25"/>
  <c r="DV116" i="25"/>
  <c r="EL116" i="25"/>
  <c r="EK116" i="25"/>
  <c r="EN116" i="25" s="1"/>
  <c r="DT116" i="25"/>
  <c r="EY116" i="25"/>
  <c r="EJ116" i="25"/>
  <c r="FA116" i="25"/>
  <c r="EB9" i="25"/>
  <c r="EA9" i="25"/>
  <c r="DV151" i="25"/>
  <c r="EL151" i="25"/>
  <c r="EK151" i="25"/>
  <c r="EN151" i="25" s="1"/>
  <c r="DT151" i="25"/>
  <c r="EJ151" i="25"/>
  <c r="FA151" i="25"/>
  <c r="EY151" i="25"/>
  <c r="EJ91" i="25"/>
  <c r="DV75" i="25"/>
  <c r="EK75" i="25"/>
  <c r="EN75" i="25" s="1"/>
  <c r="EL75" i="25"/>
  <c r="DT75" i="25"/>
  <c r="EJ75" i="25"/>
  <c r="EY75" i="25"/>
  <c r="FA75" i="25"/>
  <c r="DV272" i="25"/>
  <c r="DT272" i="25"/>
  <c r="EY200" i="25"/>
  <c r="DZ15" i="24"/>
  <c r="DZ58" i="24"/>
  <c r="DX31" i="24"/>
  <c r="EE31" i="24" s="1"/>
  <c r="DR285" i="24"/>
  <c r="EB285" i="24" s="1"/>
  <c r="DO169" i="24"/>
  <c r="DO88" i="24"/>
  <c r="DO295" i="24"/>
  <c r="DR295" i="24"/>
  <c r="DO204" i="24"/>
  <c r="DR204" i="24"/>
  <c r="DU204" i="24" s="1"/>
  <c r="DO115" i="24"/>
  <c r="DR115" i="24"/>
  <c r="DU115" i="24" s="1"/>
  <c r="DO141" i="24"/>
  <c r="DR141" i="24"/>
  <c r="DU141" i="24" s="1"/>
  <c r="DR100" i="24"/>
  <c r="DO100" i="24"/>
  <c r="DO145" i="24"/>
  <c r="DR145" i="24"/>
  <c r="DU145" i="24" s="1"/>
  <c r="EE188" i="24"/>
  <c r="DO257" i="24"/>
  <c r="DR257" i="24"/>
  <c r="DO39" i="24"/>
  <c r="DR288" i="24"/>
  <c r="FA288" i="24" s="1"/>
  <c r="DO288" i="24"/>
  <c r="DR44" i="24"/>
  <c r="DO44" i="24"/>
  <c r="DO275" i="24"/>
  <c r="DR275" i="24"/>
  <c r="DR56" i="24"/>
  <c r="DO56" i="24"/>
  <c r="EE205" i="24"/>
  <c r="DO126" i="24"/>
  <c r="DR126" i="24"/>
  <c r="DU126" i="24" s="1"/>
  <c r="DO28" i="24"/>
  <c r="DR28" i="24"/>
  <c r="EE163" i="24"/>
  <c r="DZ39" i="24"/>
  <c r="DX39" i="24"/>
  <c r="EE130" i="24"/>
  <c r="EE131" i="24"/>
  <c r="DR70" i="24"/>
  <c r="DO70" i="24"/>
  <c r="EE119" i="24"/>
  <c r="EE189" i="24"/>
  <c r="DO244" i="24"/>
  <c r="DR244" i="24"/>
  <c r="DO35" i="24"/>
  <c r="DR35" i="24"/>
  <c r="DR112" i="24"/>
  <c r="DU112" i="24" s="1"/>
  <c r="DO112" i="24"/>
  <c r="DO313" i="24"/>
  <c r="DR313" i="24"/>
  <c r="EE69" i="24"/>
  <c r="DR6" i="24"/>
  <c r="DO6" i="24"/>
  <c r="DO173" i="24"/>
  <c r="DR173" i="24"/>
  <c r="DU173" i="24" s="1"/>
  <c r="DX126" i="24"/>
  <c r="DO231" i="24"/>
  <c r="DR231" i="24"/>
  <c r="EE210" i="24"/>
  <c r="DO66" i="24"/>
  <c r="DR66" i="24"/>
  <c r="DR304" i="24"/>
  <c r="EB304" i="24" s="1"/>
  <c r="DO304" i="24"/>
  <c r="DR276" i="24"/>
  <c r="DO276" i="24"/>
  <c r="EE141" i="24"/>
  <c r="DR208" i="24"/>
  <c r="DU208" i="24" s="1"/>
  <c r="DO208" i="24"/>
  <c r="DR168" i="24"/>
  <c r="DU168" i="24" s="1"/>
  <c r="DO168" i="24"/>
  <c r="EE148" i="24"/>
  <c r="DO20" i="24"/>
  <c r="DR20" i="24"/>
  <c r="EE146" i="24"/>
  <c r="EE74" i="24"/>
  <c r="DR220" i="24"/>
  <c r="DO220" i="24"/>
  <c r="EE59" i="24"/>
  <c r="DR259" i="24"/>
  <c r="FA259" i="24" s="1"/>
  <c r="DO259" i="24"/>
  <c r="DX133" i="24"/>
  <c r="EE115" i="24"/>
  <c r="DR227" i="24"/>
  <c r="DO227" i="24"/>
  <c r="DO24" i="24"/>
  <c r="DR24" i="24"/>
  <c r="DO267" i="24"/>
  <c r="DR267" i="24"/>
  <c r="FA267" i="24" s="1"/>
  <c r="EE82" i="24"/>
  <c r="DX129" i="24"/>
  <c r="DX53" i="24"/>
  <c r="DZ53" i="24"/>
  <c r="DR283" i="24"/>
  <c r="EY283" i="24" s="1"/>
  <c r="DO283" i="24"/>
  <c r="DO91" i="24"/>
  <c r="DR91" i="24"/>
  <c r="DR146" i="24"/>
  <c r="DU146" i="24" s="1"/>
  <c r="DO146" i="24"/>
  <c r="EE166" i="24"/>
  <c r="DO119" i="24"/>
  <c r="DR119" i="24"/>
  <c r="DU119" i="24" s="1"/>
  <c r="DR299" i="24"/>
  <c r="EY299" i="24" s="1"/>
  <c r="DO299" i="24"/>
  <c r="DR21" i="24"/>
  <c r="DO21" i="24"/>
  <c r="EE196" i="24"/>
  <c r="DO210" i="24"/>
  <c r="DR210" i="24"/>
  <c r="DU210" i="24" s="1"/>
  <c r="EE66" i="24"/>
  <c r="DO238" i="24"/>
  <c r="DR238" i="24"/>
  <c r="FA238" i="24" s="1"/>
  <c r="EE204" i="24"/>
  <c r="DX199" i="24"/>
  <c r="DO11" i="24"/>
  <c r="DR11" i="24"/>
  <c r="DO197" i="24"/>
  <c r="DR197" i="24"/>
  <c r="DU197" i="24" s="1"/>
  <c r="DO290" i="24"/>
  <c r="DR290" i="24"/>
  <c r="DR151" i="24"/>
  <c r="DU151" i="24" s="1"/>
  <c r="DO151" i="24"/>
  <c r="EE194" i="24"/>
  <c r="DZ80" i="24"/>
  <c r="DX80" i="24"/>
  <c r="EE6" i="24"/>
  <c r="DO103" i="24"/>
  <c r="DR103" i="24"/>
  <c r="DX155" i="24"/>
  <c r="DO271" i="24"/>
  <c r="DR271" i="24"/>
  <c r="EE84" i="24"/>
  <c r="DO188" i="24"/>
  <c r="DR188" i="24"/>
  <c r="DU188" i="24" s="1"/>
  <c r="DR189" i="24"/>
  <c r="DU189" i="24" s="1"/>
  <c r="DO189" i="24"/>
  <c r="DO282" i="24"/>
  <c r="DR282" i="24"/>
  <c r="EE34" i="24"/>
  <c r="DR309" i="24"/>
  <c r="FA309" i="24" s="1"/>
  <c r="DO309" i="24"/>
  <c r="DR84" i="24"/>
  <c r="DO84" i="24"/>
  <c r="DO284" i="24"/>
  <c r="DR284" i="24"/>
  <c r="DR134" i="24"/>
  <c r="DU134" i="24" s="1"/>
  <c r="DO134" i="24"/>
  <c r="DO68" i="24"/>
  <c r="DR68" i="24"/>
  <c r="EE20" i="24"/>
  <c r="EE135" i="24"/>
  <c r="EE15" i="24"/>
  <c r="EE90" i="24"/>
  <c r="EE149" i="24"/>
  <c r="EE120" i="24"/>
  <c r="DO222" i="24"/>
  <c r="DR222" i="24"/>
  <c r="DR279" i="24"/>
  <c r="DO279" i="24"/>
  <c r="DO123" i="24"/>
  <c r="DR123" i="24"/>
  <c r="DU123" i="24" s="1"/>
  <c r="DO158" i="24"/>
  <c r="DR158" i="24"/>
  <c r="DU158" i="24" s="1"/>
  <c r="DR93" i="24"/>
  <c r="DO93" i="24"/>
  <c r="DO307" i="24"/>
  <c r="DR307" i="24"/>
  <c r="DR122" i="24"/>
  <c r="DU122" i="24" s="1"/>
  <c r="DO122" i="24"/>
  <c r="EE22" i="24"/>
  <c r="EE180" i="24"/>
  <c r="DR26" i="24"/>
  <c r="DO26" i="24"/>
  <c r="DZ14" i="24"/>
  <c r="DX14" i="24"/>
  <c r="EE151" i="24"/>
  <c r="DO17" i="24"/>
  <c r="DR17" i="24"/>
  <c r="EE58" i="24"/>
  <c r="DR256" i="24"/>
  <c r="DO256" i="24"/>
  <c r="DO113" i="24"/>
  <c r="DR113" i="24"/>
  <c r="DU113" i="24" s="1"/>
  <c r="DX173" i="24"/>
  <c r="DX201" i="24"/>
  <c r="DO133" i="24"/>
  <c r="DR133" i="24"/>
  <c r="DU133" i="24" s="1"/>
  <c r="DR174" i="24"/>
  <c r="DU174" i="24" s="1"/>
  <c r="DO174" i="24"/>
  <c r="DX157" i="24"/>
  <c r="DR164" i="24"/>
  <c r="DU164" i="24" s="1"/>
  <c r="DO164" i="24"/>
  <c r="DO111" i="24"/>
  <c r="DR111" i="24"/>
  <c r="DU111" i="24" s="1"/>
  <c r="DO296" i="24"/>
  <c r="DR296" i="24"/>
  <c r="DO14" i="24"/>
  <c r="DR14" i="24"/>
  <c r="DZ23" i="24"/>
  <c r="DX23" i="24"/>
  <c r="DR48" i="24"/>
  <c r="DO48" i="24"/>
  <c r="DX209" i="24"/>
  <c r="DO302" i="24"/>
  <c r="DR302" i="24"/>
  <c r="EL302" i="24" s="1"/>
  <c r="EE137" i="24"/>
  <c r="DR73" i="24"/>
  <c r="DO73" i="24"/>
  <c r="DR129" i="24"/>
  <c r="DU129" i="24" s="1"/>
  <c r="DO129" i="24"/>
  <c r="DZ44" i="24"/>
  <c r="DX44" i="24"/>
  <c r="DX174" i="24"/>
  <c r="DR301" i="24"/>
  <c r="FA301" i="24" s="1"/>
  <c r="DO301" i="24"/>
  <c r="DX114" i="24"/>
  <c r="DO285" i="24"/>
  <c r="DR167" i="24"/>
  <c r="DU167" i="24" s="1"/>
  <c r="DO167" i="24"/>
  <c r="DR235" i="24"/>
  <c r="DO235" i="24"/>
  <c r="DR43" i="24"/>
  <c r="DO43" i="24"/>
  <c r="EE153" i="24"/>
  <c r="EE32" i="24"/>
  <c r="DO127" i="24"/>
  <c r="DR142" i="24"/>
  <c r="DU142" i="24" s="1"/>
  <c r="DO142" i="24"/>
  <c r="DO90" i="24"/>
  <c r="DO59" i="24"/>
  <c r="DR59" i="24"/>
  <c r="DO224" i="24"/>
  <c r="DR224" i="24"/>
  <c r="EE184" i="24"/>
  <c r="DO263" i="24"/>
  <c r="DR263" i="24"/>
  <c r="EE179" i="24"/>
  <c r="DO147" i="24"/>
  <c r="DR147" i="24"/>
  <c r="DU147" i="24" s="1"/>
  <c r="DR159" i="24"/>
  <c r="DU159" i="24" s="1"/>
  <c r="DO159" i="24"/>
  <c r="DR178" i="24"/>
  <c r="DU178" i="24" s="1"/>
  <c r="DO178" i="24"/>
  <c r="EE38" i="24"/>
  <c r="DR71" i="24"/>
  <c r="DO71" i="24"/>
  <c r="DO150" i="24"/>
  <c r="DR150" i="24"/>
  <c r="DU150" i="24" s="1"/>
  <c r="DR183" i="24"/>
  <c r="DU183" i="24" s="1"/>
  <c r="DO183" i="24"/>
  <c r="DR85" i="24"/>
  <c r="DO85" i="24"/>
  <c r="DR234" i="24"/>
  <c r="EL234" i="24" s="1"/>
  <c r="DO234" i="24"/>
  <c r="DO61" i="24"/>
  <c r="DR61" i="24"/>
  <c r="DZ30" i="24"/>
  <c r="DX30" i="24"/>
  <c r="DZ63" i="24"/>
  <c r="DX63" i="24"/>
  <c r="DR217" i="24"/>
  <c r="FA217" i="24" s="1"/>
  <c r="DO217" i="24"/>
  <c r="DO138" i="24"/>
  <c r="DR138" i="24"/>
  <c r="DU138" i="24" s="1"/>
  <c r="DR200" i="24"/>
  <c r="DU200" i="24" s="1"/>
  <c r="DO200" i="24"/>
  <c r="DR117" i="24"/>
  <c r="DU117" i="24" s="1"/>
  <c r="DO117" i="24"/>
  <c r="DO221" i="24"/>
  <c r="DR221" i="24"/>
  <c r="EL221" i="24" s="1"/>
  <c r="DR293" i="24"/>
  <c r="EL293" i="24" s="1"/>
  <c r="DO293" i="24"/>
  <c r="DZ81" i="24"/>
  <c r="DX81" i="24"/>
  <c r="DO33" i="24"/>
  <c r="DR33" i="24"/>
  <c r="DZ26" i="24"/>
  <c r="DX26" i="24"/>
  <c r="DO223" i="24"/>
  <c r="DR223" i="24"/>
  <c r="DX124" i="24"/>
  <c r="DO75" i="24"/>
  <c r="DR75" i="24"/>
  <c r="EE181" i="24"/>
  <c r="DZ10" i="24"/>
  <c r="DX10" i="24"/>
  <c r="DO136" i="24"/>
  <c r="DR136" i="24"/>
  <c r="DU136" i="24" s="1"/>
  <c r="DX65" i="24"/>
  <c r="DZ65" i="24"/>
  <c r="DO32" i="24"/>
  <c r="DR32" i="24"/>
  <c r="DR237" i="24"/>
  <c r="DO237" i="24"/>
  <c r="DO156" i="24"/>
  <c r="DR156" i="24"/>
  <c r="DU156" i="24" s="1"/>
  <c r="DX50" i="24"/>
  <c r="DZ50" i="24"/>
  <c r="DO280" i="24"/>
  <c r="DR280" i="24"/>
  <c r="DR9" i="24"/>
  <c r="DO9" i="24"/>
  <c r="DO139" i="24"/>
  <c r="DR139" i="24"/>
  <c r="DU139" i="24" s="1"/>
  <c r="EE169" i="24"/>
  <c r="DR27" i="24"/>
  <c r="DO27" i="24"/>
  <c r="DO72" i="24"/>
  <c r="DR72" i="24"/>
  <c r="DR179" i="24"/>
  <c r="DU179" i="24" s="1"/>
  <c r="DO179" i="24"/>
  <c r="EE116" i="24"/>
  <c r="DO206" i="24"/>
  <c r="DR206" i="24"/>
  <c r="DU206" i="24" s="1"/>
  <c r="DO40" i="24"/>
  <c r="DR40" i="24"/>
  <c r="DX172" i="24"/>
  <c r="DO63" i="24"/>
  <c r="DR63" i="24"/>
  <c r="DX138" i="24"/>
  <c r="DR12" i="24"/>
  <c r="DO12" i="24"/>
  <c r="DR104" i="24"/>
  <c r="DO104" i="24"/>
  <c r="DX55" i="24"/>
  <c r="DZ55" i="24"/>
  <c r="DR79" i="24"/>
  <c r="DO79" i="24"/>
  <c r="DZ99" i="24"/>
  <c r="DX99" i="24"/>
  <c r="DX83" i="24"/>
  <c r="DZ83" i="24"/>
  <c r="DX159" i="24"/>
  <c r="DR305" i="24"/>
  <c r="DO305" i="24"/>
  <c r="EE168" i="24"/>
  <c r="EE102" i="24"/>
  <c r="DX47" i="24"/>
  <c r="DZ47" i="24"/>
  <c r="DO65" i="24"/>
  <c r="DR65" i="24"/>
  <c r="DR13" i="24"/>
  <c r="DO13" i="24"/>
  <c r="DR22" i="24"/>
  <c r="DO22" i="24"/>
  <c r="DO77" i="24"/>
  <c r="DR77" i="24"/>
  <c r="DR268" i="24"/>
  <c r="DO268" i="24"/>
  <c r="DR132" i="24"/>
  <c r="DU132" i="24" s="1"/>
  <c r="DO132" i="24"/>
  <c r="DX42" i="24"/>
  <c r="DZ42" i="24"/>
  <c r="DR69" i="24"/>
  <c r="DO69" i="24"/>
  <c r="DX197" i="24"/>
  <c r="DZ43" i="24"/>
  <c r="DX43" i="24"/>
  <c r="DX171" i="24"/>
  <c r="DO18" i="24"/>
  <c r="DR18" i="24"/>
  <c r="DR95" i="24"/>
  <c r="DO95" i="24"/>
  <c r="DR184" i="24"/>
  <c r="DU184" i="24" s="1"/>
  <c r="DO184" i="24"/>
  <c r="DR245" i="24"/>
  <c r="DO245" i="24"/>
  <c r="DR19" i="24"/>
  <c r="DO19" i="24"/>
  <c r="DO92" i="24"/>
  <c r="DO236" i="24"/>
  <c r="DR236" i="24"/>
  <c r="EE176" i="24"/>
  <c r="DR55" i="24"/>
  <c r="DO55" i="24"/>
  <c r="DR286" i="24"/>
  <c r="DO286" i="24"/>
  <c r="DX160" i="24"/>
  <c r="DX175" i="24"/>
  <c r="DR116" i="24"/>
  <c r="DU116" i="24" s="1"/>
  <c r="DO116" i="24"/>
  <c r="DX62" i="24"/>
  <c r="DZ62" i="24"/>
  <c r="DR128" i="24"/>
  <c r="DU128" i="24" s="1"/>
  <c r="DR248" i="24"/>
  <c r="FA248" i="24" s="1"/>
  <c r="DO248" i="24"/>
  <c r="DX186" i="24"/>
  <c r="DO31" i="24"/>
  <c r="DR31" i="24"/>
  <c r="DR175" i="24"/>
  <c r="DU175" i="24" s="1"/>
  <c r="DO175" i="24"/>
  <c r="DX183" i="24"/>
  <c r="DO74" i="24"/>
  <c r="DZ54" i="24"/>
  <c r="DX54" i="24"/>
  <c r="DR76" i="24"/>
  <c r="DO76" i="24"/>
  <c r="DZ52" i="24"/>
  <c r="DX52" i="24"/>
  <c r="DX37" i="24"/>
  <c r="DZ37" i="24"/>
  <c r="DX35" i="24"/>
  <c r="DZ35" i="24"/>
  <c r="DO135" i="24"/>
  <c r="DR135" i="24"/>
  <c r="DU135" i="24" s="1"/>
  <c r="DR165" i="24"/>
  <c r="DU165" i="24" s="1"/>
  <c r="DO165" i="24"/>
  <c r="DO157" i="24"/>
  <c r="DR157" i="24"/>
  <c r="DU157" i="24" s="1"/>
  <c r="DR42" i="24"/>
  <c r="DO42" i="24"/>
  <c r="DR209" i="24"/>
  <c r="DU209" i="24" s="1"/>
  <c r="DO209" i="24"/>
  <c r="DR36" i="24"/>
  <c r="DO36" i="24"/>
  <c r="DX123" i="24"/>
  <c r="DO98" i="24"/>
  <c r="DR98" i="24"/>
  <c r="DR8" i="24"/>
  <c r="DO8" i="24"/>
  <c r="DX192" i="24"/>
  <c r="DR260" i="24"/>
  <c r="EL260" i="24" s="1"/>
  <c r="DO260" i="24"/>
  <c r="DO51" i="24"/>
  <c r="DR51" i="24"/>
  <c r="DO25" i="24"/>
  <c r="DR25" i="24"/>
  <c r="DX167" i="24"/>
  <c r="EE96" i="24"/>
  <c r="DX112" i="24"/>
  <c r="DR162" i="24"/>
  <c r="DU162" i="24" s="1"/>
  <c r="DO162" i="24"/>
  <c r="DR101" i="24"/>
  <c r="DO101" i="24"/>
  <c r="DX202" i="24"/>
  <c r="DO314" i="24"/>
  <c r="DR314" i="24"/>
  <c r="FA314" i="24" s="1"/>
  <c r="DR187" i="24"/>
  <c r="DU187" i="24" s="1"/>
  <c r="DO187" i="24"/>
  <c r="DR124" i="24"/>
  <c r="DU124" i="24" s="1"/>
  <c r="DO124" i="24"/>
  <c r="DO287" i="24"/>
  <c r="DR287" i="24"/>
  <c r="FA287" i="24" s="1"/>
  <c r="DO161" i="24"/>
  <c r="DR161" i="24"/>
  <c r="DU161" i="24" s="1"/>
  <c r="DR315" i="24"/>
  <c r="FA315" i="24" s="1"/>
  <c r="DO315" i="24"/>
  <c r="DR149" i="24"/>
  <c r="DU149" i="24" s="1"/>
  <c r="DO149" i="24"/>
  <c r="DO193" i="24"/>
  <c r="DR193" i="24"/>
  <c r="DU193" i="24" s="1"/>
  <c r="DO254" i="24"/>
  <c r="DR254" i="24"/>
  <c r="DR289" i="24"/>
  <c r="EY289" i="24" s="1"/>
  <c r="DO289" i="24"/>
  <c r="DR198" i="24"/>
  <c r="DU198" i="24" s="1"/>
  <c r="DO198" i="24"/>
  <c r="DO243" i="24"/>
  <c r="EE207" i="24"/>
  <c r="DZ61" i="24"/>
  <c r="DX61" i="24"/>
  <c r="DO41" i="24"/>
  <c r="DR41" i="24"/>
  <c r="DO242" i="24"/>
  <c r="DO78" i="24"/>
  <c r="DO310" i="24"/>
  <c r="DR310" i="24"/>
  <c r="FA310" i="24" s="1"/>
  <c r="DR86" i="24"/>
  <c r="DO86" i="24"/>
  <c r="DO229" i="24"/>
  <c r="DR229" i="24"/>
  <c r="FA229" i="24" s="1"/>
  <c r="DO137" i="24"/>
  <c r="DR137" i="24"/>
  <c r="DU137" i="24" s="1"/>
  <c r="DX40" i="24"/>
  <c r="DZ40" i="24"/>
  <c r="DO172" i="24"/>
  <c r="DR172" i="24"/>
  <c r="DU172" i="24" s="1"/>
  <c r="DX104" i="24"/>
  <c r="DZ104" i="24"/>
  <c r="DR125" i="24"/>
  <c r="DU125" i="24" s="1"/>
  <c r="DO125" i="24"/>
  <c r="EE46" i="24"/>
  <c r="DR261" i="24"/>
  <c r="FA261" i="24" s="1"/>
  <c r="DO261" i="24"/>
  <c r="DO195" i="24"/>
  <c r="DR195" i="24"/>
  <c r="DU195" i="24" s="1"/>
  <c r="EE85" i="24"/>
  <c r="DR58" i="24"/>
  <c r="DO58" i="24"/>
  <c r="EE139" i="24"/>
  <c r="DO246" i="24"/>
  <c r="DR246" i="24"/>
  <c r="FA246" i="24" s="1"/>
  <c r="EE165" i="24"/>
  <c r="EE113" i="24"/>
  <c r="EE118" i="24"/>
  <c r="DR15" i="24"/>
  <c r="DO15" i="24"/>
  <c r="DR196" i="24"/>
  <c r="DU196" i="24" s="1"/>
  <c r="DO196" i="24"/>
  <c r="EE125" i="24"/>
  <c r="DR205" i="24"/>
  <c r="DU205" i="24" s="1"/>
  <c r="DO205" i="24"/>
  <c r="DO46" i="24"/>
  <c r="DR46" i="24"/>
  <c r="DO53" i="24"/>
  <c r="DR53" i="24"/>
  <c r="DO47" i="24"/>
  <c r="DR47" i="24"/>
  <c r="EE28" i="24"/>
  <c r="DO163" i="24"/>
  <c r="DR163" i="24"/>
  <c r="DU163" i="24" s="1"/>
  <c r="EE51" i="24"/>
  <c r="DR23" i="24"/>
  <c r="DO23" i="24"/>
  <c r="DO240" i="24"/>
  <c r="DR240" i="24"/>
  <c r="FA240" i="24" s="1"/>
  <c r="DO311" i="24"/>
  <c r="DR311" i="24"/>
  <c r="EB311" i="24" s="1"/>
  <c r="DO80" i="24"/>
  <c r="DR80" i="24"/>
  <c r="DX136" i="24"/>
  <c r="DX145" i="24"/>
  <c r="DO180" i="24"/>
  <c r="DR180" i="24"/>
  <c r="DU180" i="24" s="1"/>
  <c r="DO50" i="24"/>
  <c r="DR50" i="24"/>
  <c r="DO230" i="24"/>
  <c r="DR230" i="24"/>
  <c r="FA230" i="24" s="1"/>
  <c r="DZ67" i="24"/>
  <c r="DX67" i="24"/>
  <c r="EE200" i="24"/>
  <c r="EE117" i="24"/>
  <c r="DR241" i="24"/>
  <c r="DO241" i="24"/>
  <c r="DO97" i="24"/>
  <c r="DR97" i="24"/>
  <c r="DO153" i="24"/>
  <c r="DR153" i="24"/>
  <c r="DU153" i="24" s="1"/>
  <c r="DX164" i="24"/>
  <c r="EE206" i="24"/>
  <c r="DX132" i="24"/>
  <c r="DZ25" i="24"/>
  <c r="DX25" i="24"/>
  <c r="DR176" i="24"/>
  <c r="DU176" i="24" s="1"/>
  <c r="DO176" i="24"/>
  <c r="EE73" i="24"/>
  <c r="DO273" i="24"/>
  <c r="DR273" i="24"/>
  <c r="EL273" i="24" s="1"/>
  <c r="DO225" i="24"/>
  <c r="DR225" i="24"/>
  <c r="EE187" i="24"/>
  <c r="DR7" i="24"/>
  <c r="DO7" i="24"/>
  <c r="DO262" i="24"/>
  <c r="DR262" i="24"/>
  <c r="EL262" i="24" s="1"/>
  <c r="EE208" i="24"/>
  <c r="DR281" i="24"/>
  <c r="DO281" i="24"/>
  <c r="DR152" i="24"/>
  <c r="DU152" i="24" s="1"/>
  <c r="DO152" i="24"/>
  <c r="DO228" i="24"/>
  <c r="DR228" i="24"/>
  <c r="EL228" i="24" s="1"/>
  <c r="EE182" i="24"/>
  <c r="DX177" i="24"/>
  <c r="DR239" i="24"/>
  <c r="DO239" i="24"/>
  <c r="DR219" i="24"/>
  <c r="DO219" i="24"/>
  <c r="DZ60" i="24"/>
  <c r="DX60" i="24"/>
  <c r="DR82" i="24"/>
  <c r="DO82" i="24"/>
  <c r="DR16" i="24"/>
  <c r="DO16" i="24"/>
  <c r="DR170" i="24"/>
  <c r="DU170" i="24" s="1"/>
  <c r="DO170" i="24"/>
  <c r="DR194" i="24"/>
  <c r="DU194" i="24" s="1"/>
  <c r="DO194" i="24"/>
  <c r="DO266" i="24"/>
  <c r="DR266" i="24"/>
  <c r="DO130" i="24"/>
  <c r="DR130" i="24"/>
  <c r="DU130" i="24" s="1"/>
  <c r="DR62" i="24"/>
  <c r="DO62" i="24"/>
  <c r="DO57" i="24"/>
  <c r="DR57" i="24"/>
  <c r="DR186" i="24"/>
  <c r="DU186" i="24" s="1"/>
  <c r="DO186" i="24"/>
  <c r="DR303" i="24"/>
  <c r="FA303" i="24" s="1"/>
  <c r="DO303" i="24"/>
  <c r="DR277" i="24"/>
  <c r="FA277" i="24" s="1"/>
  <c r="DO277" i="24"/>
  <c r="DO199" i="24"/>
  <c r="DR199" i="24"/>
  <c r="DU199" i="24" s="1"/>
  <c r="DO270" i="24"/>
  <c r="DR270" i="24"/>
  <c r="EL270" i="24" s="1"/>
  <c r="DO154" i="24"/>
  <c r="DR154" i="24"/>
  <c r="DU154" i="24" s="1"/>
  <c r="DO253" i="24"/>
  <c r="DR253" i="24"/>
  <c r="EB253" i="24" s="1"/>
  <c r="DZ98" i="24"/>
  <c r="DX98" i="24"/>
  <c r="DZ8" i="24"/>
  <c r="DX8" i="24"/>
  <c r="DR316" i="24"/>
  <c r="EY316" i="24" s="1"/>
  <c r="DO316" i="24"/>
  <c r="DX185" i="24"/>
  <c r="DR218" i="24"/>
  <c r="EL218" i="24" s="1"/>
  <c r="DO218" i="24"/>
  <c r="DR294" i="24"/>
  <c r="DO294" i="24"/>
  <c r="DR292" i="24"/>
  <c r="DO292" i="24"/>
  <c r="DR54" i="24"/>
  <c r="DO54" i="24"/>
  <c r="EE191" i="24"/>
  <c r="DO118" i="24"/>
  <c r="DR118" i="24"/>
  <c r="DU118" i="24" s="1"/>
  <c r="DR312" i="24"/>
  <c r="FA312" i="24" s="1"/>
  <c r="DO312" i="24"/>
  <c r="DR121" i="24"/>
  <c r="DU121" i="24" s="1"/>
  <c r="DO121" i="24"/>
  <c r="DO258" i="24"/>
  <c r="DR258" i="24"/>
  <c r="DO182" i="24"/>
  <c r="DR182" i="24"/>
  <c r="DU182" i="24" s="1"/>
  <c r="EE49" i="24"/>
  <c r="EE144" i="24"/>
  <c r="EE178" i="24"/>
  <c r="DO232" i="24"/>
  <c r="DR232" i="24"/>
  <c r="DR60" i="24"/>
  <c r="DO60" i="24"/>
  <c r="DR255" i="24"/>
  <c r="DO255" i="24"/>
  <c r="EE121" i="24"/>
  <c r="DX170" i="24"/>
  <c r="EE19" i="24"/>
  <c r="EE140" i="24"/>
  <c r="DX142" i="24"/>
  <c r="DO291" i="24"/>
  <c r="DR291" i="24"/>
  <c r="EB291" i="24" s="1"/>
  <c r="DO272" i="24"/>
  <c r="DR272" i="24"/>
  <c r="DX152" i="24"/>
  <c r="DX127" i="24"/>
  <c r="DR45" i="24"/>
  <c r="DO45" i="24"/>
  <c r="DX33" i="24"/>
  <c r="DZ33" i="24"/>
  <c r="DO247" i="24"/>
  <c r="DR247" i="24"/>
  <c r="DO29" i="24"/>
  <c r="DR29" i="24"/>
  <c r="DR171" i="24"/>
  <c r="DU171" i="24" s="1"/>
  <c r="DO171" i="24"/>
  <c r="DX70" i="24"/>
  <c r="DZ70" i="24"/>
  <c r="DR249" i="24"/>
  <c r="DO249" i="24"/>
  <c r="DX122" i="24"/>
  <c r="DR202" i="24"/>
  <c r="DU202" i="24" s="1"/>
  <c r="DO202" i="24"/>
  <c r="DR185" i="24"/>
  <c r="DU185" i="24" s="1"/>
  <c r="DO185" i="24"/>
  <c r="DX134" i="24"/>
  <c r="DO250" i="24"/>
  <c r="DR250" i="24"/>
  <c r="EL250" i="24" s="1"/>
  <c r="DR114" i="24"/>
  <c r="DU114" i="24" s="1"/>
  <c r="DO114" i="24"/>
  <c r="DZ24" i="24"/>
  <c r="DX24" i="24"/>
  <c r="DX161" i="24"/>
  <c r="DR52" i="24"/>
  <c r="DO52" i="24"/>
  <c r="EE195" i="24"/>
  <c r="DZ29" i="24"/>
  <c r="DX29" i="24"/>
  <c r="DO201" i="24"/>
  <c r="DR201" i="24"/>
  <c r="DU201" i="24" s="1"/>
  <c r="DO192" i="24"/>
  <c r="DR192" i="24"/>
  <c r="DU192" i="24" s="1"/>
  <c r="DZ13" i="24"/>
  <c r="DX13" i="24"/>
  <c r="DX111" i="24"/>
  <c r="DR274" i="24"/>
  <c r="DO274" i="24"/>
  <c r="DO49" i="24"/>
  <c r="DR49" i="24"/>
  <c r="DR67" i="24"/>
  <c r="DO67" i="24"/>
  <c r="DO252" i="24"/>
  <c r="DR252" i="24"/>
  <c r="DO190" i="24"/>
  <c r="DX190" i="24"/>
  <c r="DR94" i="24"/>
  <c r="DO94" i="24"/>
  <c r="DR10" i="24"/>
  <c r="DO10" i="24"/>
  <c r="EE162" i="24"/>
  <c r="DO297" i="24"/>
  <c r="DR297" i="24"/>
  <c r="EE86" i="24"/>
  <c r="DO140" i="24"/>
  <c r="DR140" i="24"/>
  <c r="DU140" i="24" s="1"/>
  <c r="DO203" i="24"/>
  <c r="DR203" i="24"/>
  <c r="DU203" i="24" s="1"/>
  <c r="EE72" i="24"/>
  <c r="DR83" i="24"/>
  <c r="DO83" i="24"/>
  <c r="DO269" i="24"/>
  <c r="DR269" i="24"/>
  <c r="DO306" i="24"/>
  <c r="DR306" i="24"/>
  <c r="EY306" i="24" s="1"/>
  <c r="EE198" i="24"/>
  <c r="DR144" i="24"/>
  <c r="DU144" i="24" s="1"/>
  <c r="DO144" i="24"/>
  <c r="DR37" i="24"/>
  <c r="DO37" i="24"/>
  <c r="DR233" i="24"/>
  <c r="FA233" i="24" s="1"/>
  <c r="DO233" i="24"/>
  <c r="EE203" i="24"/>
  <c r="DR166" i="24"/>
  <c r="DU166" i="24" s="1"/>
  <c r="DO166" i="24"/>
  <c r="DO148" i="24"/>
  <c r="DR148" i="24"/>
  <c r="DU148" i="24" s="1"/>
  <c r="DR81" i="24"/>
  <c r="DO81" i="24"/>
  <c r="DR89" i="24"/>
  <c r="DO89" i="24"/>
  <c r="DR251" i="24"/>
  <c r="DO251" i="24"/>
  <c r="DO96" i="24"/>
  <c r="DX147" i="24"/>
  <c r="DO177" i="24"/>
  <c r="DR177" i="24"/>
  <c r="DU177" i="24" s="1"/>
  <c r="DO191" i="24"/>
  <c r="DR191" i="24"/>
  <c r="DU191" i="24" s="1"/>
  <c r="DO102" i="24"/>
  <c r="DR102" i="24"/>
  <c r="DO131" i="24"/>
  <c r="DR131" i="24"/>
  <c r="DU131" i="24" s="1"/>
  <c r="DZ71" i="24"/>
  <c r="DX71" i="24"/>
  <c r="DX193" i="24"/>
  <c r="DR226" i="24"/>
  <c r="DO226" i="24"/>
  <c r="DO34" i="24"/>
  <c r="DR34" i="24"/>
  <c r="DZ48" i="24"/>
  <c r="DX48" i="24"/>
  <c r="DR278" i="24"/>
  <c r="EL278" i="24" s="1"/>
  <c r="DO278" i="24"/>
  <c r="DZ100" i="24"/>
  <c r="DX100" i="24"/>
  <c r="DX158" i="24"/>
  <c r="DX103" i="24"/>
  <c r="DZ103" i="24"/>
  <c r="DO155" i="24"/>
  <c r="DR155" i="24"/>
  <c r="DU155" i="24" s="1"/>
  <c r="DZ68" i="24"/>
  <c r="DX68" i="24"/>
  <c r="DR264" i="24"/>
  <c r="DO264" i="24"/>
  <c r="DR265" i="24"/>
  <c r="DO265" i="24"/>
  <c r="DO87" i="24"/>
  <c r="DR87" i="24"/>
  <c r="DX77" i="24"/>
  <c r="DZ77" i="24"/>
  <c r="EE230" i="24"/>
  <c r="DX154" i="24"/>
  <c r="DR64" i="24"/>
  <c r="DO64" i="24"/>
  <c r="DR120" i="24"/>
  <c r="DU120" i="24" s="1"/>
  <c r="DO120" i="24"/>
  <c r="DO181" i="24"/>
  <c r="DR181" i="24"/>
  <c r="DU181" i="24" s="1"/>
  <c r="DR207" i="24"/>
  <c r="DU207" i="24" s="1"/>
  <c r="DO207" i="24"/>
  <c r="DR308" i="24"/>
  <c r="FA308" i="24" s="1"/>
  <c r="DO308" i="24"/>
  <c r="DR105" i="24"/>
  <c r="DO105" i="24"/>
  <c r="DO300" i="24"/>
  <c r="DR300" i="24"/>
  <c r="FA300" i="24" s="1"/>
  <c r="DR143" i="24"/>
  <c r="DU143" i="24" s="1"/>
  <c r="DO143" i="24"/>
  <c r="EE156" i="24"/>
  <c r="EE12" i="24"/>
  <c r="DO38" i="24"/>
  <c r="DR38" i="24"/>
  <c r="DZ89" i="24"/>
  <c r="DX89" i="24"/>
  <c r="DO99" i="24"/>
  <c r="DR99" i="24"/>
  <c r="DR30" i="24"/>
  <c r="DO30" i="24"/>
  <c r="EE143" i="24"/>
  <c r="DZ41" i="24"/>
  <c r="DX41" i="24"/>
  <c r="DR160" i="24"/>
  <c r="DU160" i="24" s="1"/>
  <c r="DO160" i="24"/>
  <c r="DX128" i="24"/>
  <c r="DR298" i="24"/>
  <c r="DO298" i="24"/>
  <c r="DR127" i="24"/>
  <c r="DU127" i="24" s="1"/>
  <c r="DX150" i="24"/>
  <c r="DR88" i="24"/>
  <c r="DQ216" i="25" l="1"/>
  <c r="DV216" i="25" s="1"/>
  <c r="DX216" i="25" s="1"/>
  <c r="EC216" i="25" s="1"/>
  <c r="DX143" i="25"/>
  <c r="EC143" i="25" s="1"/>
  <c r="DX212" i="25"/>
  <c r="EC212" i="25" s="1"/>
  <c r="DY212" i="25"/>
  <c r="EM190" i="24"/>
  <c r="EP190" i="24" s="1"/>
  <c r="DU190" i="24"/>
  <c r="EM255" i="24"/>
  <c r="EP255" i="24" s="1"/>
  <c r="EN255" i="24"/>
  <c r="EY255" i="24"/>
  <c r="FA255" i="24"/>
  <c r="EL255" i="24"/>
  <c r="EB255" i="24"/>
  <c r="EM297" i="24"/>
  <c r="EP297" i="24" s="1"/>
  <c r="EN297" i="24"/>
  <c r="EY297" i="24"/>
  <c r="EL297" i="24"/>
  <c r="EB297" i="24"/>
  <c r="EM239" i="24"/>
  <c r="EP239" i="24" s="1"/>
  <c r="EN239" i="24"/>
  <c r="EL239" i="24"/>
  <c r="EY239" i="24"/>
  <c r="EB239" i="24"/>
  <c r="FA239" i="24"/>
  <c r="EM281" i="24"/>
  <c r="EP281" i="24" s="1"/>
  <c r="EN281" i="24"/>
  <c r="FA281" i="24"/>
  <c r="EY281" i="24"/>
  <c r="EB281" i="24"/>
  <c r="EM286" i="24"/>
  <c r="EP286" i="24" s="1"/>
  <c r="EN286" i="24"/>
  <c r="EL286" i="24"/>
  <c r="EY286" i="24"/>
  <c r="EB286" i="24"/>
  <c r="EM296" i="24"/>
  <c r="EP296" i="24" s="1"/>
  <c r="EN296" i="24"/>
  <c r="EL296" i="24"/>
  <c r="EY296" i="24"/>
  <c r="FA296" i="24"/>
  <c r="EB296" i="24"/>
  <c r="EM256" i="24"/>
  <c r="EP256" i="24" s="1"/>
  <c r="EN256" i="24"/>
  <c r="FA256" i="24"/>
  <c r="EL256" i="24"/>
  <c r="EB256" i="24"/>
  <c r="EM222" i="24"/>
  <c r="EP222" i="24" s="1"/>
  <c r="EN222" i="24"/>
  <c r="EL222" i="24"/>
  <c r="EY222" i="24"/>
  <c r="FA222" i="24"/>
  <c r="EM276" i="24"/>
  <c r="EP276" i="24" s="1"/>
  <c r="EN276" i="24"/>
  <c r="EL276" i="24"/>
  <c r="EB276" i="24"/>
  <c r="EY276" i="24"/>
  <c r="EB299" i="24"/>
  <c r="FA306" i="24"/>
  <c r="EY304" i="24"/>
  <c r="EB267" i="24"/>
  <c r="EB250" i="24"/>
  <c r="EB316" i="24"/>
  <c r="FA262" i="24"/>
  <c r="EB248" i="24"/>
  <c r="EB315" i="24"/>
  <c r="FA297" i="24"/>
  <c r="EY256" i="24"/>
  <c r="EB222" i="24"/>
  <c r="EM291" i="24"/>
  <c r="EP291" i="24" s="1"/>
  <c r="EN291" i="24"/>
  <c r="EM294" i="24"/>
  <c r="EP294" i="24" s="1"/>
  <c r="EN294" i="24"/>
  <c r="EL294" i="24"/>
  <c r="EM274" i="24"/>
  <c r="EP274" i="24" s="1"/>
  <c r="EN274" i="24"/>
  <c r="EY274" i="24"/>
  <c r="EL274" i="24"/>
  <c r="EB274" i="24"/>
  <c r="EM258" i="24"/>
  <c r="EP258" i="24" s="1"/>
  <c r="EN258" i="24"/>
  <c r="EY258" i="24"/>
  <c r="EL258" i="24"/>
  <c r="EB258" i="24"/>
  <c r="EM218" i="24"/>
  <c r="EP218" i="24" s="1"/>
  <c r="EN218" i="24"/>
  <c r="EY218" i="24"/>
  <c r="EM253" i="24"/>
  <c r="EP253" i="24" s="1"/>
  <c r="EN253" i="24"/>
  <c r="EM273" i="24"/>
  <c r="EP273" i="24" s="1"/>
  <c r="EN273" i="24"/>
  <c r="FA273" i="24"/>
  <c r="EM223" i="24"/>
  <c r="EP223" i="24" s="1"/>
  <c r="EN223" i="24"/>
  <c r="EY223" i="24"/>
  <c r="FA223" i="24"/>
  <c r="EL223" i="24"/>
  <c r="EB223" i="24"/>
  <c r="EM224" i="24"/>
  <c r="EP224" i="24" s="1"/>
  <c r="EN224" i="24"/>
  <c r="EY224" i="24"/>
  <c r="EM309" i="24"/>
  <c r="EP309" i="24" s="1"/>
  <c r="EN309" i="24"/>
  <c r="EY309" i="24"/>
  <c r="EL309" i="24"/>
  <c r="EB309" i="24"/>
  <c r="EM227" i="24"/>
  <c r="EP227" i="24" s="1"/>
  <c r="EN227" i="24"/>
  <c r="EY227" i="24"/>
  <c r="FA227" i="24"/>
  <c r="EL227" i="24"/>
  <c r="EB227" i="24"/>
  <c r="EM220" i="24"/>
  <c r="EP220" i="24" s="1"/>
  <c r="EN220" i="24"/>
  <c r="EY220" i="24"/>
  <c r="EL220" i="24"/>
  <c r="EL299" i="24"/>
  <c r="EB306" i="24"/>
  <c r="FA285" i="24"/>
  <c r="EL267" i="24"/>
  <c r="EY253" i="24"/>
  <c r="EB288" i="24"/>
  <c r="EY250" i="24"/>
  <c r="EB277" i="24"/>
  <c r="EL291" i="24"/>
  <c r="EL316" i="24"/>
  <c r="EB294" i="24"/>
  <c r="EB270" i="24"/>
  <c r="FA218" i="24"/>
  <c r="EB220" i="24"/>
  <c r="EM225" i="24"/>
  <c r="EP225" i="24" s="1"/>
  <c r="EN225" i="24"/>
  <c r="EL225" i="24"/>
  <c r="EY225" i="24"/>
  <c r="EB225" i="24"/>
  <c r="FA225" i="24"/>
  <c r="EM298" i="24"/>
  <c r="EP298" i="24" s="1"/>
  <c r="EN298" i="24"/>
  <c r="EY298" i="24"/>
  <c r="EL298" i="24"/>
  <c r="EB298" i="24"/>
  <c r="EM308" i="24"/>
  <c r="EP308" i="24" s="1"/>
  <c r="EN308" i="24"/>
  <c r="EY308" i="24"/>
  <c r="EL308" i="24"/>
  <c r="EB308" i="24"/>
  <c r="EM226" i="24"/>
  <c r="EP226" i="24" s="1"/>
  <c r="EN226" i="24"/>
  <c r="EY226" i="24"/>
  <c r="EL226" i="24"/>
  <c r="EB226" i="24"/>
  <c r="EM252" i="24"/>
  <c r="EP252" i="24" s="1"/>
  <c r="EN252" i="24"/>
  <c r="EL252" i="24"/>
  <c r="EY252" i="24"/>
  <c r="EB252" i="24"/>
  <c r="EM232" i="24"/>
  <c r="EP232" i="24" s="1"/>
  <c r="EN232" i="24"/>
  <c r="EY232" i="24"/>
  <c r="EL232" i="24"/>
  <c r="EM262" i="24"/>
  <c r="EP262" i="24" s="1"/>
  <c r="EN262" i="24"/>
  <c r="EY262" i="24"/>
  <c r="EM241" i="24"/>
  <c r="EP241" i="24" s="1"/>
  <c r="EN241" i="24"/>
  <c r="EY241" i="24"/>
  <c r="EL241" i="24"/>
  <c r="EB241" i="24"/>
  <c r="EM311" i="24"/>
  <c r="EP311" i="24" s="1"/>
  <c r="EN311" i="24"/>
  <c r="EM229" i="24"/>
  <c r="EP229" i="24" s="1"/>
  <c r="EN229" i="24"/>
  <c r="EY229" i="24"/>
  <c r="EL229" i="24"/>
  <c r="EB229" i="24"/>
  <c r="EM245" i="24"/>
  <c r="EP245" i="24" s="1"/>
  <c r="EN245" i="24"/>
  <c r="EY245" i="24"/>
  <c r="FA245" i="24"/>
  <c r="EM293" i="24"/>
  <c r="EP293" i="24" s="1"/>
  <c r="EN293" i="24"/>
  <c r="EM271" i="24"/>
  <c r="EP271" i="24" s="1"/>
  <c r="EN271" i="24"/>
  <c r="EY271" i="24"/>
  <c r="FA271" i="24"/>
  <c r="EL271" i="24"/>
  <c r="EB271" i="24"/>
  <c r="EM304" i="24"/>
  <c r="EP304" i="24" s="1"/>
  <c r="EN304" i="24"/>
  <c r="EM295" i="24"/>
  <c r="EP295" i="24" s="1"/>
  <c r="EN295" i="24"/>
  <c r="EY295" i="24"/>
  <c r="EL295" i="24"/>
  <c r="EB295" i="24"/>
  <c r="FA299" i="24"/>
  <c r="FA293" i="24"/>
  <c r="EL253" i="24"/>
  <c r="FA316" i="24"/>
  <c r="FA270" i="24"/>
  <c r="EL248" i="24"/>
  <c r="EB217" i="24"/>
  <c r="FA220" i="24"/>
  <c r="FA276" i="24"/>
  <c r="FA226" i="24"/>
  <c r="FA274" i="24"/>
  <c r="EM277" i="24"/>
  <c r="EP277" i="24" s="1"/>
  <c r="EN277" i="24"/>
  <c r="EM289" i="24"/>
  <c r="EP289" i="24" s="1"/>
  <c r="EN289" i="24"/>
  <c r="EL289" i="24"/>
  <c r="FA289" i="24"/>
  <c r="EB289" i="24"/>
  <c r="EM315" i="24"/>
  <c r="EP315" i="24" s="1"/>
  <c r="EN315" i="24"/>
  <c r="EY315" i="24"/>
  <c r="EL315" i="24"/>
  <c r="EM305" i="24"/>
  <c r="EP305" i="24" s="1"/>
  <c r="EN305" i="24"/>
  <c r="EY305" i="24"/>
  <c r="EL305" i="24"/>
  <c r="EB305" i="24"/>
  <c r="EM237" i="24"/>
  <c r="EP237" i="24" s="1"/>
  <c r="EN237" i="24"/>
  <c r="EY237" i="24"/>
  <c r="EL237" i="24"/>
  <c r="EB237" i="24"/>
  <c r="EM221" i="24"/>
  <c r="EP221" i="24" s="1"/>
  <c r="EN221" i="24"/>
  <c r="EM282" i="24"/>
  <c r="EP282" i="24" s="1"/>
  <c r="EN282" i="24"/>
  <c r="EB282" i="24"/>
  <c r="EY282" i="24"/>
  <c r="FA282" i="24"/>
  <c r="EM288" i="24"/>
  <c r="EP288" i="24" s="1"/>
  <c r="EN288" i="24"/>
  <c r="EY285" i="24"/>
  <c r="EY293" i="24"/>
  <c r="EY288" i="24"/>
  <c r="FA291" i="24"/>
  <c r="FA221" i="24"/>
  <c r="EL311" i="24"/>
  <c r="EB224" i="24"/>
  <c r="EB234" i="24"/>
  <c r="EL282" i="24"/>
  <c r="EM278" i="24"/>
  <c r="EP278" i="24" s="1"/>
  <c r="EN278" i="24"/>
  <c r="EY278" i="24"/>
  <c r="FA278" i="24"/>
  <c r="EB278" i="24"/>
  <c r="EM228" i="24"/>
  <c r="EP228" i="24" s="1"/>
  <c r="EN228" i="24"/>
  <c r="EY228" i="24"/>
  <c r="EM265" i="24"/>
  <c r="EP265" i="24" s="1"/>
  <c r="EN265" i="24"/>
  <c r="EY265" i="24"/>
  <c r="FA265" i="24"/>
  <c r="EL265" i="24"/>
  <c r="EB265" i="24"/>
  <c r="EM306" i="24"/>
  <c r="EP306" i="24" s="1"/>
  <c r="EN306" i="24"/>
  <c r="EM250" i="24"/>
  <c r="EP250" i="24" s="1"/>
  <c r="EN250" i="24"/>
  <c r="EM316" i="24"/>
  <c r="EP316" i="24" s="1"/>
  <c r="EN316" i="24"/>
  <c r="EM219" i="24"/>
  <c r="EP219" i="24" s="1"/>
  <c r="EN219" i="24"/>
  <c r="EL219" i="24"/>
  <c r="EY219" i="24"/>
  <c r="EB219" i="24"/>
  <c r="FA219" i="24"/>
  <c r="EM240" i="24"/>
  <c r="EP240" i="24" s="1"/>
  <c r="EN240" i="24"/>
  <c r="EY240" i="24"/>
  <c r="EL240" i="24"/>
  <c r="EB240" i="24"/>
  <c r="EM246" i="24"/>
  <c r="EP246" i="24" s="1"/>
  <c r="EN246" i="24"/>
  <c r="EY246" i="24"/>
  <c r="EL246" i="24"/>
  <c r="EB246" i="24"/>
  <c r="EM254" i="24"/>
  <c r="EP254" i="24" s="1"/>
  <c r="EN254" i="24"/>
  <c r="EY254" i="24"/>
  <c r="EL254" i="24"/>
  <c r="EB254" i="24"/>
  <c r="EM236" i="24"/>
  <c r="EP236" i="24" s="1"/>
  <c r="EN236" i="24"/>
  <c r="EL236" i="24"/>
  <c r="EY236" i="24"/>
  <c r="EB236" i="24"/>
  <c r="FA236" i="24"/>
  <c r="EM280" i="24"/>
  <c r="EP280" i="24" s="1"/>
  <c r="EN280" i="24"/>
  <c r="EY280" i="24"/>
  <c r="EL280" i="24"/>
  <c r="EB280" i="24"/>
  <c r="EM217" i="24"/>
  <c r="EP217" i="24" s="1"/>
  <c r="EN217" i="24"/>
  <c r="EY217" i="24"/>
  <c r="EL217" i="24"/>
  <c r="EM284" i="24"/>
  <c r="EP284" i="24" s="1"/>
  <c r="EN284" i="24"/>
  <c r="EY284" i="24"/>
  <c r="EL284" i="24"/>
  <c r="EB284" i="24"/>
  <c r="EM267" i="24"/>
  <c r="EP267" i="24" s="1"/>
  <c r="EN267" i="24"/>
  <c r="EM244" i="24"/>
  <c r="EP244" i="24" s="1"/>
  <c r="EN244" i="24"/>
  <c r="EY244" i="24"/>
  <c r="EL244" i="24"/>
  <c r="EB244" i="24"/>
  <c r="EM243" i="24"/>
  <c r="EP243" i="24" s="1"/>
  <c r="EN243" i="24"/>
  <c r="EY243" i="24"/>
  <c r="FA243" i="24"/>
  <c r="EL243" i="24"/>
  <c r="EB243" i="24"/>
  <c r="EL304" i="24"/>
  <c r="FA253" i="24"/>
  <c r="FA250" i="24"/>
  <c r="EY277" i="24"/>
  <c r="FA311" i="24"/>
  <c r="FA294" i="24"/>
  <c r="EL224" i="24"/>
  <c r="EL281" i="24"/>
  <c r="FA280" i="24"/>
  <c r="FA254" i="24"/>
  <c r="FA286" i="24"/>
  <c r="FA241" i="24"/>
  <c r="FA237" i="24"/>
  <c r="FA305" i="24"/>
  <c r="FA258" i="24"/>
  <c r="EM251" i="24"/>
  <c r="EP251" i="24" s="1"/>
  <c r="EN251" i="24"/>
  <c r="EY251" i="24"/>
  <c r="EL251" i="24"/>
  <c r="EB251" i="24"/>
  <c r="EM300" i="24"/>
  <c r="EP300" i="24" s="1"/>
  <c r="EN300" i="24"/>
  <c r="EY300" i="24"/>
  <c r="EL300" i="24"/>
  <c r="EB300" i="24"/>
  <c r="EM247" i="24"/>
  <c r="EP247" i="24" s="1"/>
  <c r="EN247" i="24"/>
  <c r="EY247" i="24"/>
  <c r="EL247" i="24"/>
  <c r="EB247" i="24"/>
  <c r="EM272" i="24"/>
  <c r="EP272" i="24" s="1"/>
  <c r="EN272" i="24"/>
  <c r="EY272" i="24"/>
  <c r="EL272" i="24"/>
  <c r="EB272" i="24"/>
  <c r="EM292" i="24"/>
  <c r="EP292" i="24" s="1"/>
  <c r="EN292" i="24"/>
  <c r="FA292" i="24"/>
  <c r="EL292" i="24"/>
  <c r="EY292" i="24"/>
  <c r="EM303" i="24"/>
  <c r="EP303" i="24" s="1"/>
  <c r="EN303" i="24"/>
  <c r="EY303" i="24"/>
  <c r="EL303" i="24"/>
  <c r="EB303" i="24"/>
  <c r="EM261" i="24"/>
  <c r="EP261" i="24" s="1"/>
  <c r="EN261" i="24"/>
  <c r="EL261" i="24"/>
  <c r="EY261" i="24"/>
  <c r="EB261" i="24"/>
  <c r="EM314" i="24"/>
  <c r="EP314" i="24" s="1"/>
  <c r="EN314" i="24"/>
  <c r="EY314" i="24"/>
  <c r="EL314" i="24"/>
  <c r="EB314" i="24"/>
  <c r="EM260" i="24"/>
  <c r="EP260" i="24" s="1"/>
  <c r="EN260" i="24"/>
  <c r="EY260" i="24"/>
  <c r="FA260" i="24"/>
  <c r="EB260" i="24"/>
  <c r="EM268" i="24"/>
  <c r="EP268" i="24" s="1"/>
  <c r="EN268" i="24"/>
  <c r="EL268" i="24"/>
  <c r="FA268" i="24"/>
  <c r="EY268" i="24"/>
  <c r="EB268" i="24"/>
  <c r="EM234" i="24"/>
  <c r="EP234" i="24" s="1"/>
  <c r="EN234" i="24"/>
  <c r="EY234" i="24"/>
  <c r="EM301" i="24"/>
  <c r="EP301" i="24" s="1"/>
  <c r="EN301" i="24"/>
  <c r="EY301" i="24"/>
  <c r="EL301" i="24"/>
  <c r="EB301" i="24"/>
  <c r="EM307" i="24"/>
  <c r="EP307" i="24" s="1"/>
  <c r="EN307" i="24"/>
  <c r="EY307" i="24"/>
  <c r="EM290" i="24"/>
  <c r="EP290" i="24" s="1"/>
  <c r="EN290" i="24"/>
  <c r="EY290" i="24"/>
  <c r="EL290" i="24"/>
  <c r="EB290" i="24"/>
  <c r="EM238" i="24"/>
  <c r="EP238" i="24" s="1"/>
  <c r="EN238" i="24"/>
  <c r="EY238" i="24"/>
  <c r="EL238" i="24"/>
  <c r="EB238" i="24"/>
  <c r="EM257" i="24"/>
  <c r="EP257" i="24" s="1"/>
  <c r="EN257" i="24"/>
  <c r="EY257" i="24"/>
  <c r="FA257" i="24"/>
  <c r="EL257" i="24"/>
  <c r="EB257" i="24"/>
  <c r="EM242" i="24"/>
  <c r="EP242" i="24" s="1"/>
  <c r="EN242" i="24"/>
  <c r="FA242" i="24"/>
  <c r="EL242" i="24"/>
  <c r="EB242" i="24"/>
  <c r="EY242" i="24"/>
  <c r="EL306" i="24"/>
  <c r="FA304" i="24"/>
  <c r="EY267" i="24"/>
  <c r="EL277" i="24"/>
  <c r="EY291" i="24"/>
  <c r="EY221" i="24"/>
  <c r="FA224" i="24"/>
  <c r="EB307" i="24"/>
  <c r="FA234" i="24"/>
  <c r="EB245" i="24"/>
  <c r="EM264" i="24"/>
  <c r="EP264" i="24" s="1"/>
  <c r="EN264" i="24"/>
  <c r="EY264" i="24"/>
  <c r="EL264" i="24"/>
  <c r="EB264" i="24"/>
  <c r="EM233" i="24"/>
  <c r="EP233" i="24" s="1"/>
  <c r="EN233" i="24"/>
  <c r="EY233" i="24"/>
  <c r="EL233" i="24"/>
  <c r="EB233" i="24"/>
  <c r="EM269" i="24"/>
  <c r="EP269" i="24" s="1"/>
  <c r="EN269" i="24"/>
  <c r="EY269" i="24"/>
  <c r="FA269" i="24"/>
  <c r="EL269" i="24"/>
  <c r="EB269" i="24"/>
  <c r="EM249" i="24"/>
  <c r="EP249" i="24" s="1"/>
  <c r="EN249" i="24"/>
  <c r="EL249" i="24"/>
  <c r="EY249" i="24"/>
  <c r="EB249" i="24"/>
  <c r="EM312" i="24"/>
  <c r="EP312" i="24" s="1"/>
  <c r="EN312" i="24"/>
  <c r="EY312" i="24"/>
  <c r="EL312" i="24"/>
  <c r="EB312" i="24"/>
  <c r="EM270" i="24"/>
  <c r="EP270" i="24" s="1"/>
  <c r="EN270" i="24"/>
  <c r="EY270" i="24"/>
  <c r="EM266" i="24"/>
  <c r="EP266" i="24" s="1"/>
  <c r="EN266" i="24"/>
  <c r="EY266" i="24"/>
  <c r="EL266" i="24"/>
  <c r="FA266" i="24"/>
  <c r="EB266" i="24"/>
  <c r="EM310" i="24"/>
  <c r="EP310" i="24" s="1"/>
  <c r="EN310" i="24"/>
  <c r="EY310" i="24"/>
  <c r="EL310" i="24"/>
  <c r="EB310" i="24"/>
  <c r="EM287" i="24"/>
  <c r="EP287" i="24" s="1"/>
  <c r="EN287" i="24"/>
  <c r="EY287" i="24"/>
  <c r="EL287" i="24"/>
  <c r="EB287" i="24"/>
  <c r="EM263" i="24"/>
  <c r="EP263" i="24" s="1"/>
  <c r="EN263" i="24"/>
  <c r="EY263" i="24"/>
  <c r="FA263" i="24"/>
  <c r="EL263" i="24"/>
  <c r="EB263" i="24"/>
  <c r="EM235" i="24"/>
  <c r="EP235" i="24" s="1"/>
  <c r="EN235" i="24"/>
  <c r="EY235" i="24"/>
  <c r="EL235" i="24"/>
  <c r="EB235" i="24"/>
  <c r="EM302" i="24"/>
  <c r="EP302" i="24" s="1"/>
  <c r="EN302" i="24"/>
  <c r="EY302" i="24"/>
  <c r="FA302" i="24"/>
  <c r="EB302" i="24"/>
  <c r="EM299" i="24"/>
  <c r="EP299" i="24" s="1"/>
  <c r="EN299" i="24"/>
  <c r="EM259" i="24"/>
  <c r="EP259" i="24" s="1"/>
  <c r="EN259" i="24"/>
  <c r="EL259" i="24"/>
  <c r="EY259" i="24"/>
  <c r="EB259" i="24"/>
  <c r="EM231" i="24"/>
  <c r="EP231" i="24" s="1"/>
  <c r="EN231" i="24"/>
  <c r="FA231" i="24"/>
  <c r="EL231" i="24"/>
  <c r="EB231" i="24"/>
  <c r="EM313" i="24"/>
  <c r="EP313" i="24" s="1"/>
  <c r="EN313" i="24"/>
  <c r="EL313" i="24"/>
  <c r="EY313" i="24"/>
  <c r="FA313" i="24"/>
  <c r="EB313" i="24"/>
  <c r="EM275" i="24"/>
  <c r="EP275" i="24" s="1"/>
  <c r="EN275" i="24"/>
  <c r="EL275" i="24"/>
  <c r="EY275" i="24"/>
  <c r="EB275" i="24"/>
  <c r="FA275" i="24"/>
  <c r="EM285" i="24"/>
  <c r="EP285" i="24" s="1"/>
  <c r="EN285" i="24"/>
  <c r="EB262" i="24"/>
  <c r="FA228" i="24"/>
  <c r="EL307" i="24"/>
  <c r="EY273" i="24"/>
  <c r="EL245" i="24"/>
  <c r="EB232" i="24"/>
  <c r="EB292" i="24"/>
  <c r="FA249" i="24"/>
  <c r="FA272" i="24"/>
  <c r="FA264" i="24"/>
  <c r="FA247" i="24"/>
  <c r="FA235" i="24"/>
  <c r="FA244" i="24"/>
  <c r="FA295" i="24"/>
  <c r="FA252" i="24"/>
  <c r="EY231" i="24"/>
  <c r="FA251" i="24"/>
  <c r="FA284" i="24"/>
  <c r="FA298" i="24"/>
  <c r="FA290" i="24"/>
  <c r="EM230" i="24"/>
  <c r="EP230" i="24" s="1"/>
  <c r="EN230" i="24"/>
  <c r="EY230" i="24"/>
  <c r="EL230" i="24"/>
  <c r="EB230" i="24"/>
  <c r="EM248" i="24"/>
  <c r="EP248" i="24" s="1"/>
  <c r="EN248" i="24"/>
  <c r="EY248" i="24"/>
  <c r="EM279" i="24"/>
  <c r="EP279" i="24" s="1"/>
  <c r="EN279" i="24"/>
  <c r="EY279" i="24"/>
  <c r="FA279" i="24"/>
  <c r="EB279" i="24"/>
  <c r="EL279" i="24"/>
  <c r="EM283" i="24"/>
  <c r="EP283" i="24" s="1"/>
  <c r="EN283" i="24"/>
  <c r="EL283" i="24"/>
  <c r="EB283" i="24"/>
  <c r="FA283" i="24"/>
  <c r="EL285" i="24"/>
  <c r="EB293" i="24"/>
  <c r="EL288" i="24"/>
  <c r="EB221" i="24"/>
  <c r="EY311" i="24"/>
  <c r="EY294" i="24"/>
  <c r="EB228" i="24"/>
  <c r="EB218" i="24"/>
  <c r="FA307" i="24"/>
  <c r="EB273" i="24"/>
  <c r="FA232" i="24"/>
  <c r="DX112" i="25"/>
  <c r="EC112" i="25" s="1"/>
  <c r="DY112" i="25"/>
  <c r="CG182" i="25"/>
  <c r="CH182" i="25"/>
  <c r="CG138" i="25"/>
  <c r="CH138" i="25"/>
  <c r="CG143" i="25"/>
  <c r="CH181" i="25"/>
  <c r="CG181" i="25"/>
  <c r="EY89" i="24"/>
  <c r="FA67" i="24"/>
  <c r="EB52" i="24"/>
  <c r="FA47" i="24"/>
  <c r="EL161" i="24"/>
  <c r="EL42" i="24"/>
  <c r="EB65" i="24"/>
  <c r="FA43" i="24"/>
  <c r="EL122" i="24"/>
  <c r="EB100" i="24"/>
  <c r="DW243" i="24"/>
  <c r="DY243" i="24" s="1"/>
  <c r="EF243" i="24" s="1"/>
  <c r="EB152" i="24"/>
  <c r="EB33" i="24"/>
  <c r="FA71" i="24"/>
  <c r="FA14" i="24"/>
  <c r="EY164" i="24"/>
  <c r="EB103" i="24"/>
  <c r="EL90" i="24"/>
  <c r="DW242" i="24"/>
  <c r="DY242" i="24" s="1"/>
  <c r="EF242" i="24" s="1"/>
  <c r="FA160" i="24"/>
  <c r="EB127" i="24"/>
  <c r="FA201" i="24"/>
  <c r="EB186" i="24"/>
  <c r="EB53" i="24"/>
  <c r="EY193" i="24"/>
  <c r="EY157" i="24"/>
  <c r="EB77" i="24"/>
  <c r="EL63" i="24"/>
  <c r="EB78" i="24"/>
  <c r="FA39" i="24"/>
  <c r="EL37" i="24"/>
  <c r="FA199" i="24"/>
  <c r="EB23" i="24"/>
  <c r="EB142" i="24"/>
  <c r="EY24" i="24"/>
  <c r="DW285" i="24"/>
  <c r="DY285" i="24" s="1"/>
  <c r="EF285" i="24" s="1"/>
  <c r="EL190" i="24"/>
  <c r="EY30" i="24"/>
  <c r="FA155" i="24"/>
  <c r="EL83" i="24"/>
  <c r="FA185" i="24"/>
  <c r="EY60" i="24"/>
  <c r="EL25" i="24"/>
  <c r="EL128" i="24"/>
  <c r="FA136" i="24"/>
  <c r="FA167" i="24"/>
  <c r="EB174" i="24"/>
  <c r="EY26" i="24"/>
  <c r="EB68" i="24"/>
  <c r="EY197" i="24"/>
  <c r="CG110" i="24"/>
  <c r="FL110" i="24"/>
  <c r="EM169" i="24"/>
  <c r="EP169" i="24" s="1"/>
  <c r="FA171" i="24"/>
  <c r="EL50" i="24"/>
  <c r="FA124" i="24"/>
  <c r="EY175" i="24"/>
  <c r="FA138" i="24"/>
  <c r="EY183" i="24"/>
  <c r="EL133" i="24"/>
  <c r="EY158" i="24"/>
  <c r="EL145" i="24"/>
  <c r="DU92" i="24"/>
  <c r="FA74" i="24"/>
  <c r="FA202" i="24"/>
  <c r="EY29" i="24"/>
  <c r="EB54" i="24"/>
  <c r="EL154" i="24"/>
  <c r="FA62" i="24"/>
  <c r="EL170" i="24"/>
  <c r="EY41" i="24"/>
  <c r="EB8" i="24"/>
  <c r="EL55" i="24"/>
  <c r="EB104" i="24"/>
  <c r="EY40" i="24"/>
  <c r="FA61" i="24"/>
  <c r="EL150" i="24"/>
  <c r="FA159" i="24"/>
  <c r="EL129" i="24"/>
  <c r="EY48" i="24"/>
  <c r="EY111" i="24"/>
  <c r="EL173" i="24"/>
  <c r="EL112" i="24"/>
  <c r="FA70" i="24"/>
  <c r="EY126" i="24"/>
  <c r="FA44" i="24"/>
  <c r="DU96" i="24"/>
  <c r="EY177" i="24"/>
  <c r="FA10" i="24"/>
  <c r="EL172" i="24"/>
  <c r="EL98" i="24"/>
  <c r="FA132" i="24"/>
  <c r="EB13" i="24"/>
  <c r="EY147" i="24"/>
  <c r="EL123" i="24"/>
  <c r="EL134" i="24"/>
  <c r="EL35" i="24"/>
  <c r="CG5" i="24"/>
  <c r="K5" i="24" s="1"/>
  <c r="FL5" i="24"/>
  <c r="EL209" i="24"/>
  <c r="EM92" i="24"/>
  <c r="EP92" i="24" s="1"/>
  <c r="EB74" i="24"/>
  <c r="EN92" i="24"/>
  <c r="DW92" i="24"/>
  <c r="DY92" i="24" s="1"/>
  <c r="EF92" i="24" s="1"/>
  <c r="EL92" i="24"/>
  <c r="DU74" i="24"/>
  <c r="EB92" i="24"/>
  <c r="EM74" i="24"/>
  <c r="EP74" i="24" s="1"/>
  <c r="FA92" i="24"/>
  <c r="EL74" i="24"/>
  <c r="DW74" i="24"/>
  <c r="DY74" i="24" s="1"/>
  <c r="EF74" i="24" s="1"/>
  <c r="EY92" i="24"/>
  <c r="EY74" i="24"/>
  <c r="EN74" i="24"/>
  <c r="FA169" i="24"/>
  <c r="DW169" i="24"/>
  <c r="DY169" i="24" s="1"/>
  <c r="EF169" i="24" s="1"/>
  <c r="EN169" i="24"/>
  <c r="EB169" i="24"/>
  <c r="EL169" i="24"/>
  <c r="EY169" i="24"/>
  <c r="EB190" i="24"/>
  <c r="EN190" i="24"/>
  <c r="FA190" i="24"/>
  <c r="DW190" i="24"/>
  <c r="EA190" i="24" s="1"/>
  <c r="FL190" i="24" s="1"/>
  <c r="DX181" i="25"/>
  <c r="EC181" i="25" s="1"/>
  <c r="DU243" i="24"/>
  <c r="EL24" i="24"/>
  <c r="FA150" i="24"/>
  <c r="DY64" i="25"/>
  <c r="FL64" i="25" s="1"/>
  <c r="DY96" i="25"/>
  <c r="FL96" i="25" s="1"/>
  <c r="FA100" i="24"/>
  <c r="FA90" i="24"/>
  <c r="EL39" i="24"/>
  <c r="EL78" i="24"/>
  <c r="DY183" i="25"/>
  <c r="DY97" i="25"/>
  <c r="FL97" i="25" s="1"/>
  <c r="EM96" i="24"/>
  <c r="EP96" i="24" s="1"/>
  <c r="EB193" i="24"/>
  <c r="DW96" i="24"/>
  <c r="DY96" i="24" s="1"/>
  <c r="EF96" i="24" s="1"/>
  <c r="EB96" i="24"/>
  <c r="FA68" i="24"/>
  <c r="DU90" i="24"/>
  <c r="EL40" i="24"/>
  <c r="EM90" i="24"/>
  <c r="EP90" i="24" s="1"/>
  <c r="DU242" i="24"/>
  <c r="EN90" i="24"/>
  <c r="FA104" i="24"/>
  <c r="DW90" i="24"/>
  <c r="DY90" i="24" s="1"/>
  <c r="EF90" i="24" s="1"/>
  <c r="EB90" i="24"/>
  <c r="DY185" i="25"/>
  <c r="CG185" i="25" s="1"/>
  <c r="DY131" i="25"/>
  <c r="CG131" i="25" s="1"/>
  <c r="EY90" i="24"/>
  <c r="EB123" i="24"/>
  <c r="EY123" i="24"/>
  <c r="FA78" i="24"/>
  <c r="DU39" i="24"/>
  <c r="EY39" i="24"/>
  <c r="DU78" i="24"/>
  <c r="EB70" i="24"/>
  <c r="EY145" i="24"/>
  <c r="EM39" i="24"/>
  <c r="EP39" i="24" s="1"/>
  <c r="EB39" i="24"/>
  <c r="EN39" i="24"/>
  <c r="EN78" i="24"/>
  <c r="EL70" i="24"/>
  <c r="EB145" i="24"/>
  <c r="EY112" i="24"/>
  <c r="DW39" i="24"/>
  <c r="DY39" i="24" s="1"/>
  <c r="EF39" i="24" s="1"/>
  <c r="EM78" i="24"/>
  <c r="EP78" i="24" s="1"/>
  <c r="FA145" i="24"/>
  <c r="DW78" i="24"/>
  <c r="DY78" i="24" s="1"/>
  <c r="EF78" i="24" s="1"/>
  <c r="EY78" i="24"/>
  <c r="EY70" i="24"/>
  <c r="FA112" i="24"/>
  <c r="EL142" i="24"/>
  <c r="EL43" i="24"/>
  <c r="FA134" i="24"/>
  <c r="FA122" i="24"/>
  <c r="EB134" i="24"/>
  <c r="EB122" i="24"/>
  <c r="DY103" i="25"/>
  <c r="CH103" i="25" s="1"/>
  <c r="EY122" i="24"/>
  <c r="EY142" i="24"/>
  <c r="DY74" i="25"/>
  <c r="FL74" i="25" s="1"/>
  <c r="EL13" i="24"/>
  <c r="EB24" i="24"/>
  <c r="EB128" i="24"/>
  <c r="EL48" i="24"/>
  <c r="EB147" i="24"/>
  <c r="FA111" i="24"/>
  <c r="EN96" i="24"/>
  <c r="EL147" i="24"/>
  <c r="FA128" i="24"/>
  <c r="EY68" i="24"/>
  <c r="EB48" i="24"/>
  <c r="EL111" i="24"/>
  <c r="EY161" i="24"/>
  <c r="DY58" i="25"/>
  <c r="CH58" i="25" s="1"/>
  <c r="EL68" i="24"/>
  <c r="EB111" i="24"/>
  <c r="EY96" i="24"/>
  <c r="DY37" i="25"/>
  <c r="CH37" i="25" s="1"/>
  <c r="EY128" i="24"/>
  <c r="FA147" i="24"/>
  <c r="EY167" i="24"/>
  <c r="FA96" i="24"/>
  <c r="EL96" i="24"/>
  <c r="DY95" i="25"/>
  <c r="FL95" i="25" s="1"/>
  <c r="EL100" i="24"/>
  <c r="EY100" i="24"/>
  <c r="FA40" i="24"/>
  <c r="FA123" i="24"/>
  <c r="EC110" i="24"/>
  <c r="ED110" i="24" s="1"/>
  <c r="EH110" i="24"/>
  <c r="EI110" i="24"/>
  <c r="EX110" i="24" s="1"/>
  <c r="EL104" i="24"/>
  <c r="FA158" i="24"/>
  <c r="EH5" i="24"/>
  <c r="EC5" i="24"/>
  <c r="ED5" i="24" s="1"/>
  <c r="EI5" i="24"/>
  <c r="EX5" i="24" s="1"/>
  <c r="EB158" i="24"/>
  <c r="EG182" i="25"/>
  <c r="EX182" i="25" s="1"/>
  <c r="DY216" i="24"/>
  <c r="EF216" i="24" s="1"/>
  <c r="EA216" i="24"/>
  <c r="DY145" i="25"/>
  <c r="CH145" i="25" s="1"/>
  <c r="FA193" i="24"/>
  <c r="EY159" i="24"/>
  <c r="FA173" i="24"/>
  <c r="DY89" i="25"/>
  <c r="CH89" i="25" s="1"/>
  <c r="DY199" i="25"/>
  <c r="EF199" i="25" s="1"/>
  <c r="EW199" i="25" s="1"/>
  <c r="DY56" i="25"/>
  <c r="CH56" i="25" s="1"/>
  <c r="DY90" i="25"/>
  <c r="FL90" i="25" s="1"/>
  <c r="DY136" i="25"/>
  <c r="CH136" i="25" s="1"/>
  <c r="EL103" i="24"/>
  <c r="EB164" i="24"/>
  <c r="EL26" i="24"/>
  <c r="DY77" i="25"/>
  <c r="CH77" i="25" s="1"/>
  <c r="EY103" i="24"/>
  <c r="FA164" i="24"/>
  <c r="FA77" i="24"/>
  <c r="DY158" i="25"/>
  <c r="CG158" i="25" s="1"/>
  <c r="EY77" i="24"/>
  <c r="FA26" i="24"/>
  <c r="EL77" i="24"/>
  <c r="FA103" i="24"/>
  <c r="EY98" i="24"/>
  <c r="EB26" i="24"/>
  <c r="EY150" i="24"/>
  <c r="EY104" i="24"/>
  <c r="EB40" i="24"/>
  <c r="EB61" i="24"/>
  <c r="EL159" i="24"/>
  <c r="EB150" i="24"/>
  <c r="EY61" i="24"/>
  <c r="FA152" i="24"/>
  <c r="EY152" i="24"/>
  <c r="DU285" i="24"/>
  <c r="EL41" i="24"/>
  <c r="EY8" i="24"/>
  <c r="FA41" i="24"/>
  <c r="EB197" i="24"/>
  <c r="DY156" i="25"/>
  <c r="CG156" i="25" s="1"/>
  <c r="DY194" i="25"/>
  <c r="CG194" i="25" s="1"/>
  <c r="DY73" i="25"/>
  <c r="CH73" i="25" s="1"/>
  <c r="DY99" i="25"/>
  <c r="FL99" i="25" s="1"/>
  <c r="EY25" i="24"/>
  <c r="FA170" i="24"/>
  <c r="DY137" i="25"/>
  <c r="EF137" i="25" s="1"/>
  <c r="EW137" i="25" s="1"/>
  <c r="EB161" i="24"/>
  <c r="FA161" i="24"/>
  <c r="EY170" i="24"/>
  <c r="FA154" i="24"/>
  <c r="EL136" i="24"/>
  <c r="EL152" i="24"/>
  <c r="EB170" i="24"/>
  <c r="EY136" i="24"/>
  <c r="EB136" i="24"/>
  <c r="EY132" i="24"/>
  <c r="EB132" i="24"/>
  <c r="EL167" i="24"/>
  <c r="EB25" i="24"/>
  <c r="DY164" i="25"/>
  <c r="EG164" i="25" s="1"/>
  <c r="EX164" i="25" s="1"/>
  <c r="DY173" i="25"/>
  <c r="EG173" i="25" s="1"/>
  <c r="EX173" i="25" s="1"/>
  <c r="EE182" i="25"/>
  <c r="EI182" i="25" s="1"/>
  <c r="DY128" i="25"/>
  <c r="EG128" i="25" s="1"/>
  <c r="EX128" i="25" s="1"/>
  <c r="EF182" i="25"/>
  <c r="EW182" i="25" s="1"/>
  <c r="DY81" i="25"/>
  <c r="CH81" i="25" s="1"/>
  <c r="DY93" i="25"/>
  <c r="FL93" i="25" s="1"/>
  <c r="DY83" i="25"/>
  <c r="FL83" i="25" s="1"/>
  <c r="DY47" i="25"/>
  <c r="CH47" i="25" s="1"/>
  <c r="DY141" i="25"/>
  <c r="CH141" i="25" s="1"/>
  <c r="DY169" i="25"/>
  <c r="CH169" i="25" s="1"/>
  <c r="DY180" i="25"/>
  <c r="CH180" i="25" s="1"/>
  <c r="DY9" i="25"/>
  <c r="FL9" i="25" s="1"/>
  <c r="DY178" i="25"/>
  <c r="CH178" i="25" s="1"/>
  <c r="DY42" i="25"/>
  <c r="FL42" i="25" s="1"/>
  <c r="DY129" i="25"/>
  <c r="CH129" i="25" s="1"/>
  <c r="DY34" i="25"/>
  <c r="FL34" i="25" s="1"/>
  <c r="DY23" i="25"/>
  <c r="FL23" i="25" s="1"/>
  <c r="DY171" i="25"/>
  <c r="EG171" i="25" s="1"/>
  <c r="EX171" i="25" s="1"/>
  <c r="DY111" i="25"/>
  <c r="CH111" i="25" s="1"/>
  <c r="DY49" i="25"/>
  <c r="FL49" i="25" s="1"/>
  <c r="DY17" i="25"/>
  <c r="FL17" i="25" s="1"/>
  <c r="DY33" i="25"/>
  <c r="CG33" i="25" s="1"/>
  <c r="DY25" i="25"/>
  <c r="CH25" i="25" s="1"/>
  <c r="DY87" i="25"/>
  <c r="FL87" i="25" s="1"/>
  <c r="EY134" i="24"/>
  <c r="EL132" i="24"/>
  <c r="EB167" i="24"/>
  <c r="EY43" i="24"/>
  <c r="EB159" i="24"/>
  <c r="EB126" i="24"/>
  <c r="DX300" i="25"/>
  <c r="EC300" i="25" s="1"/>
  <c r="DY300" i="25"/>
  <c r="DX50" i="25"/>
  <c r="EC50" i="25" s="1"/>
  <c r="DY50" i="25"/>
  <c r="FL50" i="25" s="1"/>
  <c r="DX271" i="25"/>
  <c r="EC271" i="25" s="1"/>
  <c r="DY271" i="25"/>
  <c r="DX19" i="25"/>
  <c r="EC19" i="25" s="1"/>
  <c r="DY19" i="25"/>
  <c r="FL19" i="25" s="1"/>
  <c r="DX6" i="25"/>
  <c r="EC6" i="25" s="1"/>
  <c r="DY6" i="25"/>
  <c r="FL6" i="25" s="1"/>
  <c r="DX20" i="25"/>
  <c r="EC20" i="25" s="1"/>
  <c r="DY20" i="25"/>
  <c r="FL20" i="25" s="1"/>
  <c r="DY65" i="25"/>
  <c r="FL65" i="25" s="1"/>
  <c r="DX125" i="25"/>
  <c r="EC125" i="25" s="1"/>
  <c r="DY125" i="25"/>
  <c r="CH125" i="25" s="1"/>
  <c r="DX132" i="25"/>
  <c r="EC132" i="25" s="1"/>
  <c r="DY132" i="25"/>
  <c r="CH132" i="25" s="1"/>
  <c r="DX114" i="25"/>
  <c r="EC114" i="25" s="1"/>
  <c r="DY114" i="25"/>
  <c r="CG114" i="25" s="1"/>
  <c r="DY13" i="25"/>
  <c r="FL13" i="25" s="1"/>
  <c r="DX209" i="25"/>
  <c r="EC209" i="25" s="1"/>
  <c r="DY209" i="25"/>
  <c r="CH209" i="25" s="1"/>
  <c r="DX68" i="25"/>
  <c r="EC68" i="25" s="1"/>
  <c r="DY68" i="25"/>
  <c r="FL68" i="25" s="1"/>
  <c r="DY98" i="25"/>
  <c r="FL98" i="25" s="1"/>
  <c r="DX133" i="25"/>
  <c r="EC133" i="25" s="1"/>
  <c r="DY133" i="25"/>
  <c r="CH133" i="25" s="1"/>
  <c r="DX267" i="25"/>
  <c r="EC267" i="25" s="1"/>
  <c r="DY267" i="25"/>
  <c r="DX257" i="25"/>
  <c r="EC257" i="25" s="1"/>
  <c r="DY257" i="25"/>
  <c r="DY91" i="25"/>
  <c r="FL91" i="25" s="1"/>
  <c r="DX230" i="25"/>
  <c r="EC230" i="25" s="1"/>
  <c r="DY230" i="25"/>
  <c r="DX278" i="25"/>
  <c r="EC278" i="25" s="1"/>
  <c r="DY278" i="25"/>
  <c r="DY78" i="25"/>
  <c r="FL78" i="25" s="1"/>
  <c r="DX313" i="25"/>
  <c r="EC313" i="25" s="1"/>
  <c r="DY313" i="25"/>
  <c r="DX204" i="25"/>
  <c r="EC204" i="25" s="1"/>
  <c r="DY204" i="25"/>
  <c r="CH204" i="25" s="1"/>
  <c r="DY92" i="25"/>
  <c r="FL92" i="25" s="1"/>
  <c r="DX220" i="25"/>
  <c r="EC220" i="25" s="1"/>
  <c r="DY220" i="25"/>
  <c r="DY35" i="25"/>
  <c r="FL35" i="25" s="1"/>
  <c r="DX287" i="25"/>
  <c r="EC287" i="25" s="1"/>
  <c r="DY287" i="25"/>
  <c r="DX18" i="25"/>
  <c r="EC18" i="25" s="1"/>
  <c r="DY18" i="25"/>
  <c r="FL18" i="25" s="1"/>
  <c r="DY127" i="25"/>
  <c r="CG127" i="25" s="1"/>
  <c r="DX22" i="25"/>
  <c r="EC22" i="25" s="1"/>
  <c r="DY22" i="25"/>
  <c r="FL22" i="25" s="1"/>
  <c r="DX291" i="25"/>
  <c r="EC291" i="25" s="1"/>
  <c r="DY291" i="25"/>
  <c r="DX162" i="25"/>
  <c r="EC162" i="25" s="1"/>
  <c r="DY162" i="25"/>
  <c r="CH162" i="25" s="1"/>
  <c r="DX44" i="25"/>
  <c r="EC44" i="25" s="1"/>
  <c r="DY44" i="25"/>
  <c r="FL44" i="25" s="1"/>
  <c r="DX223" i="25"/>
  <c r="EC223" i="25" s="1"/>
  <c r="DY223" i="25"/>
  <c r="FA142" i="24"/>
  <c r="FA8" i="24"/>
  <c r="EB112" i="24"/>
  <c r="EB43" i="24"/>
  <c r="EY174" i="24"/>
  <c r="FA126" i="24"/>
  <c r="DX224" i="25"/>
  <c r="EC224" i="25" s="1"/>
  <c r="DY224" i="25"/>
  <c r="DX243" i="25"/>
  <c r="EC243" i="25" s="1"/>
  <c r="DY243" i="25"/>
  <c r="DX84" i="25"/>
  <c r="EC84" i="25" s="1"/>
  <c r="DY84" i="25"/>
  <c r="FL84" i="25" s="1"/>
  <c r="DY43" i="25"/>
  <c r="FL43" i="25" s="1"/>
  <c r="DX244" i="25"/>
  <c r="EC244" i="25" s="1"/>
  <c r="DY244" i="25"/>
  <c r="DX252" i="25"/>
  <c r="EC252" i="25" s="1"/>
  <c r="DY252" i="25"/>
  <c r="DX172" i="25"/>
  <c r="EC172" i="25" s="1"/>
  <c r="DY172" i="25"/>
  <c r="CH172" i="25" s="1"/>
  <c r="DY122" i="25"/>
  <c r="CG122" i="25" s="1"/>
  <c r="DX11" i="25"/>
  <c r="EC11" i="25" s="1"/>
  <c r="DY11" i="25"/>
  <c r="FL11" i="25" s="1"/>
  <c r="DX149" i="25"/>
  <c r="EC149" i="25" s="1"/>
  <c r="DY149" i="25"/>
  <c r="CH149" i="25" s="1"/>
  <c r="DX54" i="25"/>
  <c r="EC54" i="25" s="1"/>
  <c r="DY54" i="25"/>
  <c r="FL54" i="25" s="1"/>
  <c r="DX263" i="25"/>
  <c r="EC263" i="25" s="1"/>
  <c r="DY263" i="25"/>
  <c r="DY29" i="25"/>
  <c r="FL29" i="25" s="1"/>
  <c r="DY105" i="25"/>
  <c r="FL105" i="25" s="1"/>
  <c r="DX239" i="25"/>
  <c r="EC239" i="25" s="1"/>
  <c r="DY239" i="25"/>
  <c r="DX292" i="25"/>
  <c r="EC292" i="25" s="1"/>
  <c r="DY292" i="25"/>
  <c r="DX69" i="25"/>
  <c r="EC69" i="25" s="1"/>
  <c r="DY69" i="25"/>
  <c r="FL69" i="25" s="1"/>
  <c r="DY59" i="25"/>
  <c r="FL59" i="25" s="1"/>
  <c r="DY80" i="25"/>
  <c r="FL80" i="25" s="1"/>
  <c r="DX234" i="25"/>
  <c r="EC234" i="25" s="1"/>
  <c r="DY234" i="25"/>
  <c r="DX31" i="25"/>
  <c r="EC31" i="25" s="1"/>
  <c r="DY31" i="25"/>
  <c r="FL31" i="25" s="1"/>
  <c r="DX254" i="25"/>
  <c r="EC254" i="25" s="1"/>
  <c r="DY254" i="25"/>
  <c r="DX235" i="25"/>
  <c r="EC235" i="25" s="1"/>
  <c r="DY235" i="25"/>
  <c r="DX290" i="25"/>
  <c r="EC290" i="25" s="1"/>
  <c r="DY290" i="25"/>
  <c r="DX159" i="25"/>
  <c r="EC159" i="25" s="1"/>
  <c r="DY159" i="25"/>
  <c r="CH159" i="25" s="1"/>
  <c r="DY12" i="25"/>
  <c r="FL12" i="25" s="1"/>
  <c r="DX61" i="25"/>
  <c r="EC61" i="25" s="1"/>
  <c r="DY61" i="25"/>
  <c r="FL61" i="25" s="1"/>
  <c r="DX117" i="25"/>
  <c r="EC117" i="25" s="1"/>
  <c r="DY117" i="25"/>
  <c r="CH117" i="25" s="1"/>
  <c r="DY190" i="25"/>
  <c r="CH190" i="25" s="1"/>
  <c r="DY79" i="25"/>
  <c r="FL79" i="25" s="1"/>
  <c r="DY208" i="25"/>
  <c r="CH208" i="25" s="1"/>
  <c r="DX146" i="25"/>
  <c r="EC146" i="25" s="1"/>
  <c r="DY146" i="25"/>
  <c r="CH146" i="25" s="1"/>
  <c r="EL174" i="24"/>
  <c r="EL126" i="24"/>
  <c r="DX75" i="25"/>
  <c r="EC75" i="25" s="1"/>
  <c r="DY75" i="25"/>
  <c r="FL75" i="25" s="1"/>
  <c r="DX151" i="25"/>
  <c r="EC151" i="25" s="1"/>
  <c r="DY151" i="25"/>
  <c r="CH151" i="25" s="1"/>
  <c r="DX268" i="25"/>
  <c r="EC268" i="25" s="1"/>
  <c r="DY268" i="25"/>
  <c r="DX113" i="25"/>
  <c r="EC113" i="25" s="1"/>
  <c r="DY113" i="25"/>
  <c r="CH113" i="25" s="1"/>
  <c r="DX256" i="25"/>
  <c r="EC256" i="25" s="1"/>
  <c r="DY256" i="25"/>
  <c r="DX222" i="25"/>
  <c r="EC222" i="25" s="1"/>
  <c r="DY222" i="25"/>
  <c r="DX260" i="25"/>
  <c r="EC260" i="25" s="1"/>
  <c r="DY260" i="25"/>
  <c r="DX264" i="25"/>
  <c r="EC264" i="25" s="1"/>
  <c r="DY264" i="25"/>
  <c r="DX296" i="25"/>
  <c r="EC296" i="25" s="1"/>
  <c r="DY296" i="25"/>
  <c r="DX265" i="25"/>
  <c r="EC265" i="25" s="1"/>
  <c r="DY265" i="25"/>
  <c r="DY157" i="25"/>
  <c r="CH157" i="25" s="1"/>
  <c r="DX41" i="25"/>
  <c r="EC41" i="25" s="1"/>
  <c r="DY41" i="25"/>
  <c r="FL41" i="25" s="1"/>
  <c r="DX32" i="25"/>
  <c r="EC32" i="25" s="1"/>
  <c r="DY32" i="25"/>
  <c r="FL32" i="25" s="1"/>
  <c r="DX261" i="25"/>
  <c r="EC261" i="25" s="1"/>
  <c r="DY261" i="25"/>
  <c r="DX55" i="25"/>
  <c r="EC55" i="25" s="1"/>
  <c r="DY55" i="25"/>
  <c r="FL55" i="25" s="1"/>
  <c r="DX249" i="25"/>
  <c r="EC249" i="25" s="1"/>
  <c r="DY249" i="25"/>
  <c r="DX30" i="25"/>
  <c r="EC30" i="25" s="1"/>
  <c r="DY30" i="25"/>
  <c r="FL30" i="25" s="1"/>
  <c r="DX192" i="25"/>
  <c r="EC192" i="25" s="1"/>
  <c r="DY192" i="25"/>
  <c r="CG192" i="25" s="1"/>
  <c r="DX165" i="25"/>
  <c r="EC165" i="25" s="1"/>
  <c r="DY165" i="25"/>
  <c r="CH165" i="25" s="1"/>
  <c r="DX135" i="25"/>
  <c r="EC135" i="25" s="1"/>
  <c r="DY135" i="25"/>
  <c r="CH135" i="25" s="1"/>
  <c r="DX245" i="25"/>
  <c r="EC245" i="25" s="1"/>
  <c r="DY245" i="25"/>
  <c r="DY187" i="25"/>
  <c r="CG187" i="25" s="1"/>
  <c r="DX8" i="25"/>
  <c r="EC8" i="25" s="1"/>
  <c r="DY8" i="25"/>
  <c r="FL8" i="25" s="1"/>
  <c r="DX144" i="25"/>
  <c r="EC144" i="25" s="1"/>
  <c r="DY144" i="25"/>
  <c r="CH144" i="25" s="1"/>
  <c r="DY38" i="25"/>
  <c r="FL38" i="25" s="1"/>
  <c r="DY139" i="25"/>
  <c r="CH139" i="25" s="1"/>
  <c r="DY210" i="25"/>
  <c r="CH210" i="25" s="1"/>
  <c r="DY193" i="25"/>
  <c r="CH193" i="25" s="1"/>
  <c r="DX104" i="25"/>
  <c r="EC104" i="25" s="1"/>
  <c r="DY104" i="25"/>
  <c r="FL104" i="25" s="1"/>
  <c r="FA174" i="24"/>
  <c r="DX272" i="25"/>
  <c r="EC272" i="25" s="1"/>
  <c r="DY272" i="25"/>
  <c r="DX250" i="25"/>
  <c r="EC250" i="25" s="1"/>
  <c r="DY250" i="25"/>
  <c r="EE138" i="25"/>
  <c r="EG138" i="25"/>
  <c r="EX138" i="25" s="1"/>
  <c r="EF138" i="25"/>
  <c r="EW138" i="25" s="1"/>
  <c r="DX167" i="25"/>
  <c r="EC167" i="25" s="1"/>
  <c r="DY167" i="25"/>
  <c r="CH167" i="25" s="1"/>
  <c r="DX266" i="25"/>
  <c r="EC266" i="25" s="1"/>
  <c r="DY266" i="25"/>
  <c r="DX299" i="25"/>
  <c r="EC299" i="25" s="1"/>
  <c r="DY299" i="25"/>
  <c r="DX120" i="25"/>
  <c r="EC120" i="25" s="1"/>
  <c r="DY120" i="25"/>
  <c r="CH120" i="25" s="1"/>
  <c r="DX305" i="25"/>
  <c r="EC305" i="25" s="1"/>
  <c r="DY305" i="25"/>
  <c r="DX142" i="25"/>
  <c r="EC142" i="25" s="1"/>
  <c r="DY142" i="25"/>
  <c r="CH142" i="25" s="1"/>
  <c r="DY126" i="25"/>
  <c r="CH126" i="25" s="1"/>
  <c r="DX277" i="25"/>
  <c r="EC277" i="25" s="1"/>
  <c r="DY277" i="25"/>
  <c r="DX148" i="25"/>
  <c r="EC148" i="25" s="1"/>
  <c r="DY148" i="25"/>
  <c r="CG148" i="25" s="1"/>
  <c r="DX270" i="25"/>
  <c r="EC270" i="25" s="1"/>
  <c r="DY270" i="25"/>
  <c r="DX306" i="25"/>
  <c r="EC306" i="25" s="1"/>
  <c r="DY306" i="25"/>
  <c r="DX289" i="25"/>
  <c r="EC289" i="25" s="1"/>
  <c r="DY289" i="25"/>
  <c r="DX241" i="25"/>
  <c r="EC241" i="25" s="1"/>
  <c r="DY241" i="25"/>
  <c r="DX16" i="25"/>
  <c r="EC16" i="25" s="1"/>
  <c r="DY16" i="25"/>
  <c r="FL16" i="25" s="1"/>
  <c r="DY88" i="25"/>
  <c r="FL88" i="25" s="1"/>
  <c r="DX275" i="25"/>
  <c r="EC275" i="25" s="1"/>
  <c r="DY275" i="25"/>
  <c r="DX240" i="25"/>
  <c r="EC240" i="25" s="1"/>
  <c r="DY240" i="25"/>
  <c r="DX308" i="25"/>
  <c r="EC308" i="25" s="1"/>
  <c r="DY308" i="25"/>
  <c r="DX237" i="25"/>
  <c r="EC237" i="25" s="1"/>
  <c r="DY237" i="25"/>
  <c r="DX186" i="25"/>
  <c r="EC186" i="25" s="1"/>
  <c r="DY186" i="25"/>
  <c r="CH186" i="25" s="1"/>
  <c r="DX283" i="25"/>
  <c r="EC283" i="25" s="1"/>
  <c r="DY283" i="25"/>
  <c r="DX184" i="25"/>
  <c r="EC184" i="25" s="1"/>
  <c r="DY184" i="25"/>
  <c r="CG184" i="25" s="1"/>
  <c r="DX124" i="25"/>
  <c r="EC124" i="25" s="1"/>
  <c r="DY124" i="25"/>
  <c r="CH124" i="25" s="1"/>
  <c r="DX188" i="25"/>
  <c r="EC188" i="25" s="1"/>
  <c r="DY188" i="25"/>
  <c r="CH188" i="25" s="1"/>
  <c r="DX229" i="25"/>
  <c r="EC229" i="25" s="1"/>
  <c r="DY229" i="25"/>
  <c r="DY200" i="25"/>
  <c r="CG200" i="25" s="1"/>
  <c r="DY168" i="25"/>
  <c r="CH168" i="25" s="1"/>
  <c r="DX57" i="25"/>
  <c r="EC57" i="25" s="1"/>
  <c r="DY57" i="25"/>
  <c r="FL57" i="25" s="1"/>
  <c r="DX115" i="25"/>
  <c r="EC115" i="25" s="1"/>
  <c r="DY115" i="25"/>
  <c r="CG115" i="25" s="1"/>
  <c r="DX279" i="25"/>
  <c r="EC279" i="25" s="1"/>
  <c r="DY279" i="25"/>
  <c r="DX226" i="25"/>
  <c r="EC226" i="25" s="1"/>
  <c r="DY226" i="25"/>
  <c r="DX242" i="25"/>
  <c r="EC242" i="25" s="1"/>
  <c r="DY242" i="25"/>
  <c r="EG143" i="25"/>
  <c r="EX143" i="25" s="1"/>
  <c r="EE143" i="25"/>
  <c r="EF143" i="25"/>
  <c r="EW143" i="25" s="1"/>
  <c r="DX295" i="25"/>
  <c r="EC295" i="25" s="1"/>
  <c r="DY295" i="25"/>
  <c r="DX53" i="25"/>
  <c r="EC53" i="25" s="1"/>
  <c r="DY53" i="25"/>
  <c r="FL53" i="25" s="1"/>
  <c r="DX160" i="25"/>
  <c r="EC160" i="25" s="1"/>
  <c r="DY160" i="25"/>
  <c r="CH160" i="25" s="1"/>
  <c r="DY70" i="25"/>
  <c r="FL70" i="25" s="1"/>
  <c r="EB41" i="24"/>
  <c r="EL193" i="24"/>
  <c r="EL183" i="24"/>
  <c r="EY173" i="24"/>
  <c r="DX116" i="25"/>
  <c r="EC116" i="25" s="1"/>
  <c r="DY116" i="25"/>
  <c r="CH116" i="25" s="1"/>
  <c r="DY189" i="25"/>
  <c r="CH189" i="25" s="1"/>
  <c r="DX140" i="25"/>
  <c r="EC140" i="25" s="1"/>
  <c r="DY140" i="25"/>
  <c r="CH140" i="25" s="1"/>
  <c r="DX67" i="25"/>
  <c r="EC67" i="25" s="1"/>
  <c r="DY67" i="25"/>
  <c r="FL67" i="25" s="1"/>
  <c r="DY179" i="25"/>
  <c r="CH179" i="25" s="1"/>
  <c r="DX205" i="25"/>
  <c r="EC205" i="25" s="1"/>
  <c r="DY205" i="25"/>
  <c r="CG205" i="25" s="1"/>
  <c r="DX150" i="25"/>
  <c r="EC150" i="25" s="1"/>
  <c r="DY150" i="25"/>
  <c r="CH150" i="25" s="1"/>
  <c r="DX201" i="25"/>
  <c r="EC201" i="25" s="1"/>
  <c r="DY201" i="25"/>
  <c r="CH201" i="25" s="1"/>
  <c r="DY14" i="25"/>
  <c r="FL14" i="25" s="1"/>
  <c r="DY24" i="25"/>
  <c r="FL24" i="25" s="1"/>
  <c r="DX85" i="25"/>
  <c r="EC85" i="25" s="1"/>
  <c r="DY85" i="25"/>
  <c r="FL85" i="25" s="1"/>
  <c r="DY174" i="25"/>
  <c r="CG174" i="25" s="1"/>
  <c r="DX315" i="25"/>
  <c r="EC315" i="25" s="1"/>
  <c r="DY315" i="25"/>
  <c r="DY177" i="25"/>
  <c r="CH177" i="25" s="1"/>
  <c r="DY86" i="25"/>
  <c r="FL86" i="25" s="1"/>
  <c r="DX110" i="25"/>
  <c r="EC110" i="25" s="1"/>
  <c r="DY110" i="25"/>
  <c r="CH110" i="25" s="1"/>
  <c r="DX62" i="25"/>
  <c r="EC62" i="25" s="1"/>
  <c r="DY62" i="25"/>
  <c r="FL62" i="25" s="1"/>
  <c r="DY48" i="25"/>
  <c r="FL48" i="25" s="1"/>
  <c r="DY60" i="25"/>
  <c r="FL60" i="25" s="1"/>
  <c r="DX7" i="25"/>
  <c r="EC7" i="25" s="1"/>
  <c r="DY7" i="25"/>
  <c r="FL7" i="25" s="1"/>
  <c r="DX288" i="25"/>
  <c r="EC288" i="25" s="1"/>
  <c r="DY288" i="25"/>
  <c r="DX154" i="25"/>
  <c r="EC154" i="25" s="1"/>
  <c r="DY154" i="25"/>
  <c r="CH154" i="25" s="1"/>
  <c r="DX198" i="25"/>
  <c r="EC198" i="25" s="1"/>
  <c r="DY198" i="25"/>
  <c r="CG198" i="25" s="1"/>
  <c r="DY170" i="25"/>
  <c r="CG170" i="25" s="1"/>
  <c r="DX251" i="25"/>
  <c r="EC251" i="25" s="1"/>
  <c r="DY251" i="25"/>
  <c r="DX248" i="25"/>
  <c r="EC248" i="25" s="1"/>
  <c r="DY248" i="25"/>
  <c r="DX228" i="25"/>
  <c r="EC228" i="25" s="1"/>
  <c r="DY228" i="25"/>
  <c r="DY147" i="25"/>
  <c r="CG147" i="25" s="1"/>
  <c r="DY45" i="25"/>
  <c r="FL45" i="25" s="1"/>
  <c r="DX202" i="25"/>
  <c r="EC202" i="25" s="1"/>
  <c r="DY202" i="25"/>
  <c r="CH202" i="25" s="1"/>
  <c r="DX303" i="25"/>
  <c r="EC303" i="25" s="1"/>
  <c r="DY303" i="25"/>
  <c r="DY66" i="25"/>
  <c r="FL66" i="25" s="1"/>
  <c r="DX102" i="25"/>
  <c r="EC102" i="25" s="1"/>
  <c r="DY102" i="25"/>
  <c r="FL102" i="25" s="1"/>
  <c r="DY72" i="25"/>
  <c r="FL72" i="25" s="1"/>
  <c r="DX231" i="25"/>
  <c r="EC231" i="25" s="1"/>
  <c r="DY231" i="25"/>
  <c r="DX63" i="25"/>
  <c r="EC63" i="25" s="1"/>
  <c r="DY63" i="25"/>
  <c r="FL63" i="25" s="1"/>
  <c r="FA98" i="24"/>
  <c r="DX247" i="25"/>
  <c r="EC247" i="25" s="1"/>
  <c r="DY247" i="25"/>
  <c r="DX152" i="25"/>
  <c r="EC152" i="25" s="1"/>
  <c r="DY152" i="25"/>
  <c r="CH152" i="25" s="1"/>
  <c r="DX195" i="25"/>
  <c r="EC195" i="25" s="1"/>
  <c r="DY195" i="25"/>
  <c r="CH195" i="25" s="1"/>
  <c r="DX134" i="25"/>
  <c r="EC134" i="25" s="1"/>
  <c r="DY134" i="25"/>
  <c r="CH134" i="25" s="1"/>
  <c r="DX294" i="25"/>
  <c r="EC294" i="25" s="1"/>
  <c r="DY294" i="25"/>
  <c r="DY51" i="25"/>
  <c r="FL51" i="25" s="1"/>
  <c r="DX259" i="25"/>
  <c r="EC259" i="25" s="1"/>
  <c r="DY259" i="25"/>
  <c r="DY121" i="25"/>
  <c r="CH121" i="25" s="1"/>
  <c r="DX310" i="25"/>
  <c r="EC310" i="25" s="1"/>
  <c r="DY310" i="25"/>
  <c r="DX221" i="25"/>
  <c r="EC221" i="25" s="1"/>
  <c r="DY221" i="25"/>
  <c r="DX36" i="25"/>
  <c r="EC36" i="25" s="1"/>
  <c r="DY36" i="25"/>
  <c r="FL36" i="25" s="1"/>
  <c r="DX176" i="25"/>
  <c r="EC176" i="25" s="1"/>
  <c r="DY176" i="25"/>
  <c r="CH176" i="25" s="1"/>
  <c r="DX161" i="25"/>
  <c r="EC161" i="25" s="1"/>
  <c r="DY161" i="25"/>
  <c r="CH161" i="25" s="1"/>
  <c r="DX225" i="25"/>
  <c r="EC225" i="25" s="1"/>
  <c r="DY225" i="25"/>
  <c r="DX232" i="25"/>
  <c r="EC232" i="25" s="1"/>
  <c r="DY232" i="25"/>
  <c r="DX302" i="25"/>
  <c r="EC302" i="25" s="1"/>
  <c r="DY302" i="25"/>
  <c r="DX309" i="25"/>
  <c r="EC309" i="25" s="1"/>
  <c r="DY309" i="25"/>
  <c r="DX197" i="25"/>
  <c r="EC197" i="25" s="1"/>
  <c r="DY197" i="25"/>
  <c r="CH197" i="25" s="1"/>
  <c r="DX76" i="25"/>
  <c r="EC76" i="25" s="1"/>
  <c r="DY76" i="25"/>
  <c r="FL76" i="25" s="1"/>
  <c r="DX82" i="25"/>
  <c r="EC82" i="25" s="1"/>
  <c r="DY82" i="25"/>
  <c r="FL82" i="25" s="1"/>
  <c r="DY191" i="25"/>
  <c r="CH191" i="25" s="1"/>
  <c r="DX280" i="25"/>
  <c r="EC280" i="25" s="1"/>
  <c r="DY280" i="25"/>
  <c r="DX311" i="25"/>
  <c r="EC311" i="25" s="1"/>
  <c r="DY311" i="25"/>
  <c r="DY203" i="25"/>
  <c r="CH203" i="25" s="1"/>
  <c r="DY15" i="25"/>
  <c r="FL15" i="25" s="1"/>
  <c r="DY40" i="25"/>
  <c r="FL40" i="25" s="1"/>
  <c r="DX118" i="25"/>
  <c r="EC118" i="25" s="1"/>
  <c r="DY118" i="25"/>
  <c r="CG118" i="25" s="1"/>
  <c r="DX233" i="25"/>
  <c r="EC233" i="25" s="1"/>
  <c r="DY233" i="25"/>
  <c r="DX218" i="25"/>
  <c r="EC218" i="25" s="1"/>
  <c r="DY218" i="25"/>
  <c r="DX217" i="25"/>
  <c r="EC217" i="25" s="1"/>
  <c r="DY217" i="25"/>
  <c r="DX255" i="25"/>
  <c r="EC255" i="25" s="1"/>
  <c r="DY255" i="25"/>
  <c r="DX52" i="25"/>
  <c r="EC52" i="25" s="1"/>
  <c r="DY52" i="25"/>
  <c r="FL52" i="25" s="1"/>
  <c r="DX297" i="25"/>
  <c r="EC297" i="25" s="1"/>
  <c r="DY297" i="25"/>
  <c r="DX307" i="25"/>
  <c r="EC307" i="25" s="1"/>
  <c r="DY307" i="25"/>
  <c r="DX28" i="25"/>
  <c r="EC28" i="25" s="1"/>
  <c r="DY28" i="25"/>
  <c r="FL28" i="25" s="1"/>
  <c r="DX286" i="25"/>
  <c r="EC286" i="25" s="1"/>
  <c r="DY286" i="25"/>
  <c r="DX155" i="25"/>
  <c r="EC155" i="25" s="1"/>
  <c r="DY155" i="25"/>
  <c r="CG155" i="25" s="1"/>
  <c r="DX314" i="25"/>
  <c r="EC314" i="25" s="1"/>
  <c r="DY314" i="25"/>
  <c r="DX196" i="25"/>
  <c r="EC196" i="25" s="1"/>
  <c r="DY196" i="25"/>
  <c r="CH196" i="25" s="1"/>
  <c r="DX284" i="25"/>
  <c r="EC284" i="25" s="1"/>
  <c r="DY284" i="25"/>
  <c r="DX281" i="25"/>
  <c r="EC281" i="25" s="1"/>
  <c r="DY281" i="25"/>
  <c r="DX130" i="25"/>
  <c r="EC130" i="25" s="1"/>
  <c r="DY130" i="25"/>
  <c r="CG130" i="25" s="1"/>
  <c r="DX46" i="25"/>
  <c r="EC46" i="25" s="1"/>
  <c r="DY46" i="25"/>
  <c r="FL46" i="25" s="1"/>
  <c r="DY175" i="25"/>
  <c r="CH175" i="25" s="1"/>
  <c r="DX304" i="25"/>
  <c r="EC304" i="25" s="1"/>
  <c r="DY304" i="25"/>
  <c r="DX262" i="25"/>
  <c r="EC262" i="25" s="1"/>
  <c r="DY262" i="25"/>
  <c r="DX206" i="25"/>
  <c r="EC206" i="25" s="1"/>
  <c r="DY206" i="25"/>
  <c r="CH206" i="25" s="1"/>
  <c r="DX21" i="25"/>
  <c r="EC21" i="25" s="1"/>
  <c r="DY21" i="25"/>
  <c r="FL21" i="25" s="1"/>
  <c r="DY27" i="25"/>
  <c r="FL27" i="25" s="1"/>
  <c r="DX94" i="25"/>
  <c r="EC94" i="25" s="1"/>
  <c r="DY94" i="25"/>
  <c r="FL94" i="25" s="1"/>
  <c r="DX153" i="25"/>
  <c r="EC153" i="25" s="1"/>
  <c r="DY153" i="25"/>
  <c r="CH153" i="25" s="1"/>
  <c r="DX316" i="25"/>
  <c r="EC316" i="25" s="1"/>
  <c r="DY316" i="25"/>
  <c r="DX298" i="25"/>
  <c r="EC298" i="25" s="1"/>
  <c r="DY298" i="25"/>
  <c r="DY119" i="25"/>
  <c r="CG119" i="25" s="1"/>
  <c r="DX253" i="25"/>
  <c r="EC253" i="25" s="1"/>
  <c r="DY253" i="25"/>
  <c r="DX219" i="25"/>
  <c r="EC219" i="25" s="1"/>
  <c r="DY219" i="25"/>
  <c r="DX101" i="25"/>
  <c r="EC101" i="25" s="1"/>
  <c r="DY101" i="25"/>
  <c r="FL101" i="25" s="1"/>
  <c r="DX258" i="25"/>
  <c r="EC258" i="25" s="1"/>
  <c r="DY258" i="25"/>
  <c r="DX285" i="25"/>
  <c r="EC285" i="25" s="1"/>
  <c r="DY285" i="25"/>
  <c r="DX293" i="25"/>
  <c r="EC293" i="25" s="1"/>
  <c r="DY293" i="25"/>
  <c r="DX163" i="25"/>
  <c r="EC163" i="25" s="1"/>
  <c r="DY163" i="25"/>
  <c r="CH163" i="25" s="1"/>
  <c r="DX273" i="25"/>
  <c r="EC273" i="25" s="1"/>
  <c r="DY273" i="25"/>
  <c r="DX39" i="25"/>
  <c r="EC39" i="25" s="1"/>
  <c r="DY39" i="25"/>
  <c r="FL39" i="25" s="1"/>
  <c r="EF181" i="25"/>
  <c r="EW181" i="25" s="1"/>
  <c r="EG181" i="25"/>
  <c r="EX181" i="25" s="1"/>
  <c r="EE181" i="25"/>
  <c r="DX238" i="25"/>
  <c r="EC238" i="25" s="1"/>
  <c r="DY238" i="25"/>
  <c r="DX246" i="25"/>
  <c r="EC246" i="25" s="1"/>
  <c r="DY246" i="25"/>
  <c r="DX10" i="25"/>
  <c r="EC10" i="25" s="1"/>
  <c r="DY10" i="25"/>
  <c r="FL10" i="25" s="1"/>
  <c r="DX276" i="25"/>
  <c r="EC276" i="25" s="1"/>
  <c r="DY276" i="25"/>
  <c r="DX227" i="25"/>
  <c r="EC227" i="25" s="1"/>
  <c r="DY227" i="25"/>
  <c r="DX274" i="25"/>
  <c r="EC274" i="25" s="1"/>
  <c r="DY274" i="25"/>
  <c r="DX282" i="25"/>
  <c r="EC282" i="25" s="1"/>
  <c r="DY282" i="25"/>
  <c r="DX123" i="25"/>
  <c r="EC123" i="25" s="1"/>
  <c r="DY123" i="25"/>
  <c r="CH123" i="25" s="1"/>
  <c r="DX71" i="25"/>
  <c r="EC71" i="25" s="1"/>
  <c r="DY71" i="25"/>
  <c r="FL71" i="25" s="1"/>
  <c r="DX312" i="25"/>
  <c r="EC312" i="25" s="1"/>
  <c r="DY312" i="25"/>
  <c r="DX26" i="25"/>
  <c r="EC26" i="25" s="1"/>
  <c r="DY26" i="25"/>
  <c r="FL26" i="25" s="1"/>
  <c r="DX166" i="25"/>
  <c r="EC166" i="25" s="1"/>
  <c r="DY166" i="25"/>
  <c r="CH166" i="25" s="1"/>
  <c r="DX236" i="25"/>
  <c r="EC236" i="25" s="1"/>
  <c r="DY236" i="25"/>
  <c r="DX207" i="25"/>
  <c r="EC207" i="25" s="1"/>
  <c r="DY207" i="25"/>
  <c r="CH207" i="25" s="1"/>
  <c r="DX269" i="25"/>
  <c r="EC269" i="25" s="1"/>
  <c r="DY269" i="25"/>
  <c r="DY100" i="25"/>
  <c r="FL100" i="25" s="1"/>
  <c r="DX301" i="25"/>
  <c r="EC301" i="25" s="1"/>
  <c r="DY301" i="25"/>
  <c r="EY33" i="24"/>
  <c r="EB71" i="24"/>
  <c r="FA33" i="24"/>
  <c r="EY71" i="24"/>
  <c r="EL71" i="24"/>
  <c r="FA13" i="24"/>
  <c r="EL33" i="24"/>
  <c r="EB35" i="24"/>
  <c r="FA35" i="24"/>
  <c r="EL44" i="24"/>
  <c r="EY35" i="24"/>
  <c r="EY44" i="24"/>
  <c r="EB44" i="24"/>
  <c r="EL62" i="24"/>
  <c r="EL171" i="24"/>
  <c r="EB55" i="24"/>
  <c r="EB62" i="24"/>
  <c r="EY55" i="24"/>
  <c r="EY14" i="24"/>
  <c r="EB133" i="24"/>
  <c r="EY124" i="24"/>
  <c r="FA133" i="24"/>
  <c r="EB60" i="24"/>
  <c r="EB172" i="24"/>
  <c r="EY65" i="24"/>
  <c r="EL60" i="24"/>
  <c r="FA54" i="24"/>
  <c r="EB42" i="24"/>
  <c r="EL65" i="24"/>
  <c r="FA129" i="24"/>
  <c r="EY127" i="24"/>
  <c r="FA60" i="24"/>
  <c r="EY67" i="24"/>
  <c r="EL54" i="24"/>
  <c r="FA65" i="24"/>
  <c r="EB129" i="24"/>
  <c r="EL67" i="24"/>
  <c r="EB88" i="24"/>
  <c r="EN88" i="24"/>
  <c r="DW88" i="24"/>
  <c r="EM88" i="24"/>
  <c r="EP88" i="24" s="1"/>
  <c r="DU88" i="24"/>
  <c r="EL88" i="24"/>
  <c r="FA88" i="24"/>
  <c r="EY88" i="24"/>
  <c r="EL89" i="24"/>
  <c r="DW38" i="24"/>
  <c r="EN38" i="24"/>
  <c r="EM38" i="24"/>
  <c r="EP38" i="24" s="1"/>
  <c r="DU38" i="24"/>
  <c r="EY38" i="24"/>
  <c r="EL38" i="24"/>
  <c r="EB38" i="24"/>
  <c r="FA38" i="24"/>
  <c r="DW308" i="24"/>
  <c r="DU308" i="24"/>
  <c r="DW278" i="24"/>
  <c r="DU278" i="24"/>
  <c r="EN81" i="24"/>
  <c r="DW81" i="24"/>
  <c r="DY81" i="24" s="1"/>
  <c r="EF81" i="24" s="1"/>
  <c r="EM81" i="24"/>
  <c r="EP81" i="24" s="1"/>
  <c r="DU81" i="24"/>
  <c r="DW233" i="24"/>
  <c r="DU233" i="24"/>
  <c r="DW192" i="24"/>
  <c r="DY192" i="24" s="1"/>
  <c r="EF192" i="24" s="1"/>
  <c r="EN192" i="24"/>
  <c r="EM192" i="24"/>
  <c r="EP192" i="24" s="1"/>
  <c r="FA29" i="24"/>
  <c r="FA52" i="24"/>
  <c r="EN52" i="24"/>
  <c r="DW52" i="24"/>
  <c r="DY52" i="24" s="1"/>
  <c r="EF52" i="24" s="1"/>
  <c r="EM52" i="24"/>
  <c r="EP52" i="24" s="1"/>
  <c r="DU52" i="24"/>
  <c r="EE161" i="24"/>
  <c r="EE70" i="24"/>
  <c r="EE33" i="24"/>
  <c r="DW255" i="24"/>
  <c r="DU255" i="24"/>
  <c r="EL121" i="24"/>
  <c r="DW121" i="24"/>
  <c r="EN121" i="24"/>
  <c r="EM121" i="24"/>
  <c r="EP121" i="24" s="1"/>
  <c r="EY121" i="24"/>
  <c r="EB121" i="24"/>
  <c r="FA121" i="24"/>
  <c r="EL185" i="24"/>
  <c r="DW277" i="24"/>
  <c r="DU277" i="24"/>
  <c r="DW194" i="24"/>
  <c r="EN194" i="24"/>
  <c r="EM194" i="24"/>
  <c r="EP194" i="24" s="1"/>
  <c r="EB194" i="24"/>
  <c r="FA194" i="24"/>
  <c r="EL194" i="24"/>
  <c r="EY194" i="24"/>
  <c r="DW82" i="24"/>
  <c r="EN82" i="24"/>
  <c r="EM82" i="24"/>
  <c r="EP82" i="24" s="1"/>
  <c r="DU82" i="24"/>
  <c r="EB82" i="24"/>
  <c r="FA82" i="24"/>
  <c r="EL82" i="24"/>
  <c r="EY82" i="24"/>
  <c r="DW241" i="24"/>
  <c r="DU241" i="24"/>
  <c r="EE202" i="24"/>
  <c r="EL162" i="24"/>
  <c r="DW162" i="24"/>
  <c r="EN162" i="24"/>
  <c r="EM162" i="24"/>
  <c r="EP162" i="24" s="1"/>
  <c r="EY162" i="24"/>
  <c r="FA162" i="24"/>
  <c r="EB162" i="24"/>
  <c r="EE112" i="24"/>
  <c r="EL192" i="24"/>
  <c r="DW76" i="24"/>
  <c r="EN76" i="24"/>
  <c r="EM76" i="24"/>
  <c r="EP76" i="24" s="1"/>
  <c r="DU76" i="24"/>
  <c r="FA76" i="24"/>
  <c r="EY76" i="24"/>
  <c r="EL76" i="24"/>
  <c r="EB76" i="24"/>
  <c r="EE54" i="24"/>
  <c r="EB183" i="24"/>
  <c r="EL175" i="24"/>
  <c r="DW286" i="24"/>
  <c r="DU286" i="24"/>
  <c r="DW18" i="24"/>
  <c r="EN18" i="24"/>
  <c r="EM18" i="24"/>
  <c r="EP18" i="24" s="1"/>
  <c r="DU18" i="24"/>
  <c r="EL18" i="24"/>
  <c r="EB18" i="24"/>
  <c r="EY18" i="24"/>
  <c r="FA18" i="24"/>
  <c r="EL197" i="24"/>
  <c r="EY42" i="24"/>
  <c r="DW132" i="24"/>
  <c r="DY132" i="24" s="1"/>
  <c r="EF132" i="24" s="1"/>
  <c r="EN132" i="24"/>
  <c r="EM132" i="24"/>
  <c r="EP132" i="24" s="1"/>
  <c r="EB47" i="24"/>
  <c r="EE159" i="24"/>
  <c r="FA83" i="24"/>
  <c r="EN104" i="24"/>
  <c r="DW104" i="24"/>
  <c r="DY104" i="24" s="1"/>
  <c r="EF104" i="24" s="1"/>
  <c r="EM104" i="24"/>
  <c r="EP104" i="24" s="1"/>
  <c r="DU104" i="24"/>
  <c r="EB138" i="24"/>
  <c r="EN40" i="24"/>
  <c r="DW40" i="24"/>
  <c r="DY40" i="24" s="1"/>
  <c r="EF40" i="24" s="1"/>
  <c r="EM40" i="24"/>
  <c r="EP40" i="24" s="1"/>
  <c r="DU40" i="24"/>
  <c r="DW9" i="24"/>
  <c r="EN9" i="24"/>
  <c r="EM9" i="24"/>
  <c r="EP9" i="24" s="1"/>
  <c r="DU9" i="24"/>
  <c r="FA9" i="24"/>
  <c r="EB9" i="24"/>
  <c r="EY9" i="24"/>
  <c r="EL9" i="24"/>
  <c r="EE50" i="24"/>
  <c r="EE65" i="24"/>
  <c r="EL10" i="24"/>
  <c r="EL124" i="24"/>
  <c r="EY81" i="24"/>
  <c r="DW217" i="24"/>
  <c r="DU217" i="24"/>
  <c r="DW71" i="24"/>
  <c r="DY71" i="24" s="1"/>
  <c r="EF71" i="24" s="1"/>
  <c r="EN71" i="24"/>
  <c r="EM71" i="24"/>
  <c r="EP71" i="24" s="1"/>
  <c r="DU71" i="24"/>
  <c r="DW159" i="24"/>
  <c r="DY159" i="24" s="1"/>
  <c r="EF159" i="24" s="1"/>
  <c r="EN159" i="24"/>
  <c r="EM159" i="24"/>
  <c r="EP159" i="24" s="1"/>
  <c r="EE114" i="24"/>
  <c r="DW302" i="24"/>
  <c r="DU302" i="24"/>
  <c r="EL23" i="24"/>
  <c r="DW296" i="24"/>
  <c r="DU296" i="24"/>
  <c r="EN133" i="24"/>
  <c r="DW133" i="24"/>
  <c r="DY133" i="24" s="1"/>
  <c r="EF133" i="24" s="1"/>
  <c r="EM133" i="24"/>
  <c r="EP133" i="24" s="1"/>
  <c r="EL14" i="24"/>
  <c r="EB155" i="24"/>
  <c r="EE80" i="24"/>
  <c r="EB199" i="24"/>
  <c r="EE53" i="24"/>
  <c r="EE129" i="24"/>
  <c r="DW313" i="24"/>
  <c r="DU313" i="24"/>
  <c r="DW126" i="24"/>
  <c r="DY126" i="24" s="1"/>
  <c r="EF126" i="24" s="1"/>
  <c r="EN126" i="24"/>
  <c r="EM126" i="24"/>
  <c r="EP126" i="24" s="1"/>
  <c r="DW115" i="24"/>
  <c r="EN115" i="24"/>
  <c r="EM115" i="24"/>
  <c r="EP115" i="24" s="1"/>
  <c r="EY115" i="24"/>
  <c r="EL115" i="24"/>
  <c r="FA115" i="24"/>
  <c r="EB115" i="24"/>
  <c r="EE150" i="24"/>
  <c r="DW160" i="24"/>
  <c r="DY160" i="24" s="1"/>
  <c r="EF160" i="24" s="1"/>
  <c r="EN160" i="24"/>
  <c r="EM160" i="24"/>
  <c r="EP160" i="24" s="1"/>
  <c r="EE41" i="24"/>
  <c r="EN30" i="24"/>
  <c r="DW30" i="24"/>
  <c r="DY30" i="24" s="1"/>
  <c r="EF30" i="24" s="1"/>
  <c r="EM30" i="24"/>
  <c r="EP30" i="24" s="1"/>
  <c r="DU30" i="24"/>
  <c r="EB89" i="24"/>
  <c r="DW300" i="24"/>
  <c r="DU300" i="24"/>
  <c r="DW64" i="24"/>
  <c r="EN64" i="24"/>
  <c r="EM64" i="24"/>
  <c r="EP64" i="24" s="1"/>
  <c r="DU64" i="24"/>
  <c r="EB64" i="24"/>
  <c r="EL64" i="24"/>
  <c r="FA64" i="24"/>
  <c r="EY64" i="24"/>
  <c r="EE154" i="24"/>
  <c r="EE68" i="24"/>
  <c r="EE158" i="24"/>
  <c r="EN191" i="24"/>
  <c r="DW191" i="24"/>
  <c r="EM191" i="24"/>
  <c r="EP191" i="24" s="1"/>
  <c r="FA191" i="24"/>
  <c r="EL191" i="24"/>
  <c r="EB191" i="24"/>
  <c r="EY191" i="24"/>
  <c r="DW148" i="24"/>
  <c r="EN148" i="24"/>
  <c r="EM148" i="24"/>
  <c r="EP148" i="24" s="1"/>
  <c r="EL148" i="24"/>
  <c r="EY148" i="24"/>
  <c r="FA148" i="24"/>
  <c r="EB148" i="24"/>
  <c r="DW269" i="24"/>
  <c r="DU269" i="24"/>
  <c r="EN203" i="24"/>
  <c r="DW203" i="24"/>
  <c r="EM203" i="24"/>
  <c r="EP203" i="24" s="1"/>
  <c r="EY203" i="24"/>
  <c r="FA203" i="24"/>
  <c r="EB203" i="24"/>
  <c r="EL203" i="24"/>
  <c r="DW94" i="24"/>
  <c r="EN94" i="24"/>
  <c r="EM94" i="24"/>
  <c r="EP94" i="24" s="1"/>
  <c r="DU94" i="24"/>
  <c r="EY94" i="24"/>
  <c r="EB94" i="24"/>
  <c r="EL94" i="24"/>
  <c r="FA94" i="24"/>
  <c r="EB29" i="24"/>
  <c r="DW291" i="24"/>
  <c r="DU291" i="24"/>
  <c r="EL8" i="24"/>
  <c r="DW239" i="24"/>
  <c r="DU239" i="24"/>
  <c r="EE177" i="24"/>
  <c r="DW7" i="24"/>
  <c r="EN7" i="24"/>
  <c r="EM7" i="24"/>
  <c r="EP7" i="24" s="1"/>
  <c r="DU7" i="24"/>
  <c r="EL7" i="24"/>
  <c r="FA7" i="24"/>
  <c r="EY7" i="24"/>
  <c r="EB7" i="24"/>
  <c r="EE164" i="24"/>
  <c r="EY50" i="24"/>
  <c r="DW50" i="24"/>
  <c r="DY50" i="24" s="1"/>
  <c r="EF50" i="24" s="1"/>
  <c r="EN50" i="24"/>
  <c r="EM50" i="24"/>
  <c r="EP50" i="24" s="1"/>
  <c r="DU50" i="24"/>
  <c r="DW240" i="24"/>
  <c r="DU240" i="24"/>
  <c r="DW46" i="24"/>
  <c r="EN46" i="24"/>
  <c r="EM46" i="24"/>
  <c r="EP46" i="24" s="1"/>
  <c r="DU46" i="24"/>
  <c r="EY46" i="24"/>
  <c r="EB46" i="24"/>
  <c r="FA46" i="24"/>
  <c r="EL46" i="24"/>
  <c r="DW196" i="24"/>
  <c r="EN196" i="24"/>
  <c r="EM196" i="24"/>
  <c r="EP196" i="24" s="1"/>
  <c r="FA196" i="24"/>
  <c r="EL196" i="24"/>
  <c r="EY196" i="24"/>
  <c r="EB196" i="24"/>
  <c r="EN125" i="24"/>
  <c r="DW125" i="24"/>
  <c r="EM125" i="24"/>
  <c r="EP125" i="24" s="1"/>
  <c r="EB125" i="24"/>
  <c r="EL125" i="24"/>
  <c r="EY125" i="24"/>
  <c r="FA125" i="24"/>
  <c r="EN172" i="24"/>
  <c r="DW172" i="24"/>
  <c r="DY172" i="24" s="1"/>
  <c r="EF172" i="24" s="1"/>
  <c r="EM172" i="24"/>
  <c r="EP172" i="24" s="1"/>
  <c r="DW229" i="24"/>
  <c r="DU229" i="24"/>
  <c r="DW198" i="24"/>
  <c r="EN198" i="24"/>
  <c r="EM198" i="24"/>
  <c r="EP198" i="24" s="1"/>
  <c r="FA198" i="24"/>
  <c r="EL198" i="24"/>
  <c r="EY198" i="24"/>
  <c r="EB198" i="24"/>
  <c r="EL149" i="24"/>
  <c r="EN149" i="24"/>
  <c r="DW149" i="24"/>
  <c r="EM149" i="24"/>
  <c r="EP149" i="24" s="1"/>
  <c r="EB149" i="24"/>
  <c r="FA149" i="24"/>
  <c r="EY149" i="24"/>
  <c r="EB192" i="24"/>
  <c r="EN165" i="24"/>
  <c r="DW165" i="24"/>
  <c r="EM165" i="24"/>
  <c r="EP165" i="24" s="1"/>
  <c r="FA165" i="24"/>
  <c r="EB165" i="24"/>
  <c r="EY165" i="24"/>
  <c r="EL165" i="24"/>
  <c r="DW116" i="24"/>
  <c r="EN116" i="24"/>
  <c r="EM116" i="24"/>
  <c r="EP116" i="24" s="1"/>
  <c r="EL116" i="24"/>
  <c r="FA116" i="24"/>
  <c r="EB116" i="24"/>
  <c r="EY116" i="24"/>
  <c r="FA175" i="24"/>
  <c r="EL160" i="24"/>
  <c r="DW184" i="24"/>
  <c r="EN184" i="24"/>
  <c r="EM184" i="24"/>
  <c r="EP184" i="24" s="1"/>
  <c r="FA184" i="24"/>
  <c r="EY184" i="24"/>
  <c r="EL184" i="24"/>
  <c r="EB184" i="24"/>
  <c r="EE171" i="24"/>
  <c r="FA42" i="24"/>
  <c r="EY13" i="24"/>
  <c r="DW13" i="24"/>
  <c r="DY13" i="24" s="1"/>
  <c r="EF13" i="24" s="1"/>
  <c r="EN13" i="24"/>
  <c r="EM13" i="24"/>
  <c r="EP13" i="24" s="1"/>
  <c r="DU13" i="24"/>
  <c r="EY47" i="24"/>
  <c r="EB83" i="24"/>
  <c r="EY172" i="24"/>
  <c r="DW156" i="24"/>
  <c r="EN156" i="24"/>
  <c r="EM156" i="24"/>
  <c r="EP156" i="24" s="1"/>
  <c r="EB156" i="24"/>
  <c r="FA156" i="24"/>
  <c r="EY156" i="24"/>
  <c r="EL156" i="24"/>
  <c r="EY10" i="24"/>
  <c r="DW33" i="24"/>
  <c r="DY33" i="24" s="1"/>
  <c r="EF33" i="24" s="1"/>
  <c r="EN33" i="24"/>
  <c r="EM33" i="24"/>
  <c r="EP33" i="24" s="1"/>
  <c r="DU33" i="24"/>
  <c r="FA81" i="24"/>
  <c r="EL30" i="24"/>
  <c r="DW147" i="24"/>
  <c r="DY147" i="24" s="1"/>
  <c r="EF147" i="24" s="1"/>
  <c r="EN147" i="24"/>
  <c r="EM147" i="24"/>
  <c r="EP147" i="24" s="1"/>
  <c r="DW142" i="24"/>
  <c r="DY142" i="24" s="1"/>
  <c r="EF142" i="24" s="1"/>
  <c r="EN142" i="24"/>
  <c r="EM142" i="24"/>
  <c r="EP142" i="24" s="1"/>
  <c r="DW235" i="24"/>
  <c r="DU235" i="24"/>
  <c r="EE209" i="24"/>
  <c r="FA157" i="24"/>
  <c r="EE201" i="24"/>
  <c r="EE173" i="24"/>
  <c r="EY17" i="24"/>
  <c r="EN17" i="24"/>
  <c r="DW17" i="24"/>
  <c r="EM17" i="24"/>
  <c r="EP17" i="24" s="1"/>
  <c r="DU17" i="24"/>
  <c r="FA17" i="24"/>
  <c r="EB17" i="24"/>
  <c r="EL17" i="24"/>
  <c r="EB14" i="24"/>
  <c r="DW93" i="24"/>
  <c r="EN93" i="24"/>
  <c r="EM93" i="24"/>
  <c r="EP93" i="24" s="1"/>
  <c r="DU93" i="24"/>
  <c r="EL93" i="24"/>
  <c r="FA93" i="24"/>
  <c r="EB93" i="24"/>
  <c r="EY93" i="24"/>
  <c r="DW279" i="24"/>
  <c r="DU279" i="24"/>
  <c r="DW309" i="24"/>
  <c r="DU309" i="24"/>
  <c r="DW271" i="24"/>
  <c r="DU271" i="24"/>
  <c r="DW11" i="24"/>
  <c r="EN11" i="24"/>
  <c r="EM11" i="24"/>
  <c r="EP11" i="24" s="1"/>
  <c r="DU11" i="24"/>
  <c r="EL11" i="24"/>
  <c r="EB11" i="24"/>
  <c r="FA11" i="24"/>
  <c r="EY11" i="24"/>
  <c r="EL199" i="24"/>
  <c r="EN20" i="24"/>
  <c r="DW20" i="24"/>
  <c r="EM20" i="24"/>
  <c r="EP20" i="24" s="1"/>
  <c r="DU20" i="24"/>
  <c r="EB20" i="24"/>
  <c r="FA20" i="24"/>
  <c r="EL20" i="24"/>
  <c r="EY20" i="24"/>
  <c r="DW276" i="24"/>
  <c r="DU276" i="24"/>
  <c r="DW288" i="24"/>
  <c r="DU288" i="24"/>
  <c r="FA127" i="24"/>
  <c r="DW127" i="24"/>
  <c r="DY127" i="24" s="1"/>
  <c r="EF127" i="24" s="1"/>
  <c r="EN127" i="24"/>
  <c r="EM127" i="24"/>
  <c r="EP127" i="24" s="1"/>
  <c r="DW99" i="24"/>
  <c r="DY99" i="24" s="1"/>
  <c r="EF99" i="24" s="1"/>
  <c r="EN99" i="24"/>
  <c r="EM99" i="24"/>
  <c r="EP99" i="24" s="1"/>
  <c r="DU99" i="24"/>
  <c r="EE100" i="24"/>
  <c r="EN37" i="24"/>
  <c r="DW37" i="24"/>
  <c r="DY37" i="24" s="1"/>
  <c r="EF37" i="24" s="1"/>
  <c r="EM37" i="24"/>
  <c r="EP37" i="24" s="1"/>
  <c r="DU37" i="24"/>
  <c r="DW297" i="24"/>
  <c r="DU297" i="24"/>
  <c r="EE190" i="24"/>
  <c r="DW67" i="24"/>
  <c r="DY67" i="24" s="1"/>
  <c r="EF67" i="24" s="1"/>
  <c r="EN67" i="24"/>
  <c r="EM67" i="24"/>
  <c r="EP67" i="24" s="1"/>
  <c r="DU67" i="24"/>
  <c r="DW201" i="24"/>
  <c r="DY201" i="24" s="1"/>
  <c r="EF201" i="24" s="1"/>
  <c r="EN201" i="24"/>
  <c r="EM201" i="24"/>
  <c r="EP201" i="24" s="1"/>
  <c r="DW171" i="24"/>
  <c r="DY171" i="24" s="1"/>
  <c r="EF171" i="24" s="1"/>
  <c r="EN171" i="24"/>
  <c r="EM171" i="24"/>
  <c r="EP171" i="24" s="1"/>
  <c r="DW45" i="24"/>
  <c r="EN45" i="24"/>
  <c r="EM45" i="24"/>
  <c r="EP45" i="24" s="1"/>
  <c r="DU45" i="24"/>
  <c r="EL45" i="24"/>
  <c r="EB45" i="24"/>
  <c r="FA45" i="24"/>
  <c r="EY45" i="24"/>
  <c r="EL127" i="24"/>
  <c r="DW60" i="24"/>
  <c r="DY60" i="24" s="1"/>
  <c r="EF60" i="24" s="1"/>
  <c r="EN60" i="24"/>
  <c r="EM60" i="24"/>
  <c r="EP60" i="24" s="1"/>
  <c r="DU60" i="24"/>
  <c r="DW54" i="24"/>
  <c r="DY54" i="24" s="1"/>
  <c r="EF54" i="24" s="1"/>
  <c r="EN54" i="24"/>
  <c r="EM54" i="24"/>
  <c r="EP54" i="24" s="1"/>
  <c r="DU54" i="24"/>
  <c r="DW218" i="24"/>
  <c r="DU218" i="24"/>
  <c r="EE185" i="24"/>
  <c r="EB98" i="24"/>
  <c r="EY62" i="24"/>
  <c r="EN62" i="24"/>
  <c r="DW62" i="24"/>
  <c r="DY62" i="24" s="1"/>
  <c r="EF62" i="24" s="1"/>
  <c r="EM62" i="24"/>
  <c r="EP62" i="24" s="1"/>
  <c r="DU62" i="24"/>
  <c r="DW170" i="24"/>
  <c r="DY170" i="24" s="1"/>
  <c r="EF170" i="24" s="1"/>
  <c r="EN170" i="24"/>
  <c r="EM170" i="24"/>
  <c r="EP170" i="24" s="1"/>
  <c r="DW281" i="24"/>
  <c r="DU281" i="24"/>
  <c r="DW273" i="24"/>
  <c r="DU273" i="24"/>
  <c r="EE132" i="24"/>
  <c r="DW153" i="24"/>
  <c r="EN153" i="24"/>
  <c r="EM153" i="24"/>
  <c r="EP153" i="24" s="1"/>
  <c r="FA153" i="24"/>
  <c r="EY153" i="24"/>
  <c r="EB153" i="24"/>
  <c r="EL153" i="24"/>
  <c r="EB67" i="24"/>
  <c r="EN80" i="24"/>
  <c r="DW80" i="24"/>
  <c r="DY80" i="24" s="1"/>
  <c r="EF80" i="24" s="1"/>
  <c r="EM80" i="24"/>
  <c r="EP80" i="24" s="1"/>
  <c r="DU80" i="24"/>
  <c r="DW246" i="24"/>
  <c r="DU246" i="24"/>
  <c r="DW195" i="24"/>
  <c r="EN195" i="24"/>
  <c r="EM195" i="24"/>
  <c r="EP195" i="24" s="1"/>
  <c r="EB195" i="24"/>
  <c r="EL195" i="24"/>
  <c r="EY195" i="24"/>
  <c r="FA195" i="24"/>
  <c r="DW261" i="24"/>
  <c r="DU261" i="24"/>
  <c r="DW41" i="24"/>
  <c r="DY41" i="24" s="1"/>
  <c r="EF41" i="24" s="1"/>
  <c r="EN41" i="24"/>
  <c r="EM41" i="24"/>
  <c r="EP41" i="24" s="1"/>
  <c r="DU41" i="24"/>
  <c r="EE61" i="24"/>
  <c r="EB124" i="24"/>
  <c r="DW124" i="24"/>
  <c r="DY124" i="24" s="1"/>
  <c r="EF124" i="24" s="1"/>
  <c r="EN124" i="24"/>
  <c r="EM124" i="24"/>
  <c r="EP124" i="24" s="1"/>
  <c r="EE167" i="24"/>
  <c r="DW51" i="24"/>
  <c r="EN51" i="24"/>
  <c r="EM51" i="24"/>
  <c r="EP51" i="24" s="1"/>
  <c r="DU51" i="24"/>
  <c r="EL51" i="24"/>
  <c r="EY51" i="24"/>
  <c r="FA51" i="24"/>
  <c r="EB51" i="24"/>
  <c r="EE192" i="24"/>
  <c r="DW135" i="24"/>
  <c r="EN135" i="24"/>
  <c r="EM135" i="24"/>
  <c r="EP135" i="24" s="1"/>
  <c r="EL135" i="24"/>
  <c r="EB135" i="24"/>
  <c r="FA135" i="24"/>
  <c r="EY135" i="24"/>
  <c r="EB37" i="24"/>
  <c r="EL52" i="24"/>
  <c r="EE183" i="24"/>
  <c r="EB160" i="24"/>
  <c r="DW55" i="24"/>
  <c r="DY55" i="24" s="1"/>
  <c r="EF55" i="24" s="1"/>
  <c r="EN55" i="24"/>
  <c r="EM55" i="24"/>
  <c r="EP55" i="24" s="1"/>
  <c r="DU55" i="24"/>
  <c r="EE197" i="24"/>
  <c r="DW268" i="24"/>
  <c r="DU268" i="24"/>
  <c r="DW65" i="24"/>
  <c r="DY65" i="24" s="1"/>
  <c r="EF65" i="24" s="1"/>
  <c r="EN65" i="24"/>
  <c r="EM65" i="24"/>
  <c r="EP65" i="24" s="1"/>
  <c r="DU65" i="24"/>
  <c r="EY83" i="24"/>
  <c r="EL99" i="24"/>
  <c r="FA55" i="24"/>
  <c r="DW12" i="24"/>
  <c r="EN12" i="24"/>
  <c r="EM12" i="24"/>
  <c r="EP12" i="24" s="1"/>
  <c r="DU12" i="24"/>
  <c r="EL12" i="24"/>
  <c r="EB12" i="24"/>
  <c r="EY12" i="24"/>
  <c r="FA12" i="24"/>
  <c r="EE138" i="24"/>
  <c r="FA172" i="24"/>
  <c r="DW27" i="24"/>
  <c r="EN27" i="24"/>
  <c r="EM27" i="24"/>
  <c r="EP27" i="24" s="1"/>
  <c r="DU27" i="24"/>
  <c r="FA27" i="24"/>
  <c r="EL27" i="24"/>
  <c r="EB27" i="24"/>
  <c r="EY27" i="24"/>
  <c r="EN136" i="24"/>
  <c r="DW136" i="24"/>
  <c r="DY136" i="24" s="1"/>
  <c r="EF136" i="24" s="1"/>
  <c r="EM136" i="24"/>
  <c r="EP136" i="24" s="1"/>
  <c r="EE124" i="24"/>
  <c r="EE81" i="24"/>
  <c r="DW117" i="24"/>
  <c r="EN117" i="24"/>
  <c r="EM117" i="24"/>
  <c r="EP117" i="24" s="1"/>
  <c r="EL117" i="24"/>
  <c r="FA117" i="24"/>
  <c r="EY117" i="24"/>
  <c r="EB117" i="24"/>
  <c r="EE30" i="24"/>
  <c r="EN85" i="24"/>
  <c r="DW85" i="24"/>
  <c r="EM85" i="24"/>
  <c r="EP85" i="24" s="1"/>
  <c r="DU85" i="24"/>
  <c r="EL85" i="24"/>
  <c r="EB85" i="24"/>
  <c r="EY85" i="24"/>
  <c r="FA85" i="24"/>
  <c r="DW129" i="24"/>
  <c r="DY129" i="24" s="1"/>
  <c r="EF129" i="24" s="1"/>
  <c r="EN129" i="24"/>
  <c r="EM129" i="24"/>
  <c r="EP129" i="24" s="1"/>
  <c r="EE23" i="24"/>
  <c r="DW111" i="24"/>
  <c r="DY111" i="24" s="1"/>
  <c r="EF111" i="24" s="1"/>
  <c r="EN111" i="24"/>
  <c r="EM111" i="24"/>
  <c r="EP111" i="24" s="1"/>
  <c r="EB157" i="24"/>
  <c r="EN113" i="24"/>
  <c r="DW113" i="24"/>
  <c r="EM113" i="24"/>
  <c r="EP113" i="24" s="1"/>
  <c r="EY113" i="24"/>
  <c r="EB113" i="24"/>
  <c r="EL113" i="24"/>
  <c r="FA113" i="24"/>
  <c r="EL158" i="24"/>
  <c r="DW158" i="24"/>
  <c r="DY158" i="24" s="1"/>
  <c r="EF158" i="24" s="1"/>
  <c r="EN158" i="24"/>
  <c r="EM158" i="24"/>
  <c r="EP158" i="24" s="1"/>
  <c r="DW222" i="24"/>
  <c r="DU222" i="24"/>
  <c r="DW134" i="24"/>
  <c r="DY134" i="24" s="1"/>
  <c r="EF134" i="24" s="1"/>
  <c r="EN134" i="24"/>
  <c r="EM134" i="24"/>
  <c r="EP134" i="24" s="1"/>
  <c r="DW189" i="24"/>
  <c r="EN189" i="24"/>
  <c r="EM189" i="24"/>
  <c r="EP189" i="24" s="1"/>
  <c r="EB189" i="24"/>
  <c r="EL189" i="24"/>
  <c r="FA189" i="24"/>
  <c r="EY189" i="24"/>
  <c r="EE155" i="24"/>
  <c r="DW227" i="24"/>
  <c r="DU227" i="24"/>
  <c r="EY133" i="24"/>
  <c r="DW220" i="24"/>
  <c r="DU220" i="24"/>
  <c r="DW44" i="24"/>
  <c r="DY44" i="24" s="1"/>
  <c r="EF44" i="24" s="1"/>
  <c r="EN44" i="24"/>
  <c r="EM44" i="24"/>
  <c r="EP44" i="24" s="1"/>
  <c r="DU44" i="24"/>
  <c r="DW204" i="24"/>
  <c r="EN204" i="24"/>
  <c r="EM204" i="24"/>
  <c r="EP204" i="24" s="1"/>
  <c r="FA204" i="24"/>
  <c r="EL204" i="24"/>
  <c r="EB204" i="24"/>
  <c r="EY204" i="24"/>
  <c r="EE89" i="24"/>
  <c r="DW207" i="24"/>
  <c r="EN207" i="24"/>
  <c r="EM207" i="24"/>
  <c r="EP207" i="24" s="1"/>
  <c r="FA207" i="24"/>
  <c r="EB207" i="24"/>
  <c r="EL207" i="24"/>
  <c r="EY207" i="24"/>
  <c r="EN155" i="24"/>
  <c r="DW155" i="24"/>
  <c r="DY155" i="24" s="1"/>
  <c r="EF155" i="24" s="1"/>
  <c r="EM155" i="24"/>
  <c r="EP155" i="24" s="1"/>
  <c r="DW226" i="24"/>
  <c r="DU226" i="24"/>
  <c r="EE193" i="24"/>
  <c r="EE71" i="24"/>
  <c r="EN177" i="24"/>
  <c r="DW177" i="24"/>
  <c r="DY177" i="24" s="1"/>
  <c r="EF177" i="24" s="1"/>
  <c r="EM177" i="24"/>
  <c r="EP177" i="24" s="1"/>
  <c r="EL140" i="24"/>
  <c r="DW140" i="24"/>
  <c r="EN140" i="24"/>
  <c r="EM140" i="24"/>
  <c r="EP140" i="24" s="1"/>
  <c r="EB140" i="24"/>
  <c r="FA140" i="24"/>
  <c r="EY140" i="24"/>
  <c r="EB49" i="24"/>
  <c r="DW49" i="24"/>
  <c r="EN49" i="24"/>
  <c r="EM49" i="24"/>
  <c r="EP49" i="24" s="1"/>
  <c r="DU49" i="24"/>
  <c r="EY49" i="24"/>
  <c r="FA49" i="24"/>
  <c r="EL49" i="24"/>
  <c r="EE29" i="24"/>
  <c r="DW185" i="24"/>
  <c r="DY185" i="24" s="1"/>
  <c r="EF185" i="24" s="1"/>
  <c r="EN185" i="24"/>
  <c r="EM185" i="24"/>
  <c r="EP185" i="24" s="1"/>
  <c r="EN29" i="24"/>
  <c r="DW29" i="24"/>
  <c r="DY29" i="24" s="1"/>
  <c r="EF29" i="24" s="1"/>
  <c r="EM29" i="24"/>
  <c r="EP29" i="24" s="1"/>
  <c r="DU29" i="24"/>
  <c r="EE170" i="24"/>
  <c r="EN182" i="24"/>
  <c r="DW182" i="24"/>
  <c r="EM182" i="24"/>
  <c r="EP182" i="24" s="1"/>
  <c r="EL182" i="24"/>
  <c r="EB182" i="24"/>
  <c r="EY182" i="24"/>
  <c r="FA182" i="24"/>
  <c r="DW270" i="24"/>
  <c r="DU270" i="24"/>
  <c r="DW303" i="24"/>
  <c r="DU303" i="24"/>
  <c r="DW130" i="24"/>
  <c r="EN130" i="24"/>
  <c r="EM130" i="24"/>
  <c r="EP130" i="24" s="1"/>
  <c r="EB130" i="24"/>
  <c r="EY130" i="24"/>
  <c r="FA130" i="24"/>
  <c r="EL130" i="24"/>
  <c r="DW219" i="24"/>
  <c r="DU219" i="24"/>
  <c r="FA15" i="24"/>
  <c r="DW15" i="24"/>
  <c r="EN15" i="24"/>
  <c r="EM15" i="24"/>
  <c r="EP15" i="24" s="1"/>
  <c r="DU15" i="24"/>
  <c r="EL15" i="24"/>
  <c r="EB15" i="24"/>
  <c r="EY15" i="24"/>
  <c r="EE104" i="24"/>
  <c r="DW289" i="24"/>
  <c r="DU289" i="24"/>
  <c r="DW315" i="24"/>
  <c r="DU315" i="24"/>
  <c r="EY36" i="24"/>
  <c r="DW36" i="24"/>
  <c r="EN36" i="24"/>
  <c r="EM36" i="24"/>
  <c r="EP36" i="24" s="1"/>
  <c r="DU36" i="24"/>
  <c r="EB36" i="24"/>
  <c r="FA36" i="24"/>
  <c r="EL36" i="24"/>
  <c r="EY186" i="24"/>
  <c r="EE175" i="24"/>
  <c r="EE160" i="24"/>
  <c r="DW19" i="24"/>
  <c r="EN19" i="24"/>
  <c r="EM19" i="24"/>
  <c r="EP19" i="24" s="1"/>
  <c r="DU19" i="24"/>
  <c r="EL19" i="24"/>
  <c r="EB19" i="24"/>
  <c r="FA19" i="24"/>
  <c r="EY19" i="24"/>
  <c r="EY99" i="24"/>
  <c r="DW79" i="24"/>
  <c r="EN79" i="24"/>
  <c r="EM79" i="24"/>
  <c r="EP79" i="24" s="1"/>
  <c r="DU79" i="24"/>
  <c r="EY79" i="24"/>
  <c r="EB79" i="24"/>
  <c r="EL79" i="24"/>
  <c r="FA79" i="24"/>
  <c r="DW280" i="24"/>
  <c r="DU280" i="24"/>
  <c r="EE10" i="24"/>
  <c r="DW224" i="24"/>
  <c r="DU224" i="24"/>
  <c r="FA48" i="24"/>
  <c r="DW48" i="24"/>
  <c r="DY48" i="24" s="1"/>
  <c r="EF48" i="24" s="1"/>
  <c r="EN48" i="24"/>
  <c r="EM48" i="24"/>
  <c r="EP48" i="24" s="1"/>
  <c r="DU48" i="24"/>
  <c r="EL157" i="24"/>
  <c r="DW188" i="24"/>
  <c r="EN188" i="24"/>
  <c r="EM188" i="24"/>
  <c r="EP188" i="24" s="1"/>
  <c r="EY188" i="24"/>
  <c r="FA188" i="24"/>
  <c r="EL188" i="24"/>
  <c r="EB188" i="24"/>
  <c r="EL155" i="24"/>
  <c r="DW21" i="24"/>
  <c r="EN21" i="24"/>
  <c r="EM21" i="24"/>
  <c r="EP21" i="24" s="1"/>
  <c r="DU21" i="24"/>
  <c r="EY21" i="24"/>
  <c r="EB21" i="24"/>
  <c r="EL21" i="24"/>
  <c r="FA21" i="24"/>
  <c r="EN146" i="24"/>
  <c r="DW146" i="24"/>
  <c r="EM146" i="24"/>
  <c r="EP146" i="24" s="1"/>
  <c r="EB146" i="24"/>
  <c r="EL146" i="24"/>
  <c r="FA146" i="24"/>
  <c r="EY146" i="24"/>
  <c r="EL53" i="24"/>
  <c r="DW168" i="24"/>
  <c r="EN168" i="24"/>
  <c r="EM168" i="24"/>
  <c r="EP168" i="24" s="1"/>
  <c r="EY168" i="24"/>
  <c r="EL168" i="24"/>
  <c r="FA168" i="24"/>
  <c r="EB168" i="24"/>
  <c r="DW304" i="24"/>
  <c r="DU304" i="24"/>
  <c r="DW231" i="24"/>
  <c r="DU231" i="24"/>
  <c r="DW112" i="24"/>
  <c r="DY112" i="24" s="1"/>
  <c r="EF112" i="24" s="1"/>
  <c r="EN112" i="24"/>
  <c r="EM112" i="24"/>
  <c r="EP112" i="24" s="1"/>
  <c r="DW257" i="24"/>
  <c r="DU257" i="24"/>
  <c r="DW298" i="24"/>
  <c r="DU298" i="24"/>
  <c r="DW181" i="24"/>
  <c r="EN181" i="24"/>
  <c r="EM181" i="24"/>
  <c r="EP181" i="24" s="1"/>
  <c r="EB181" i="24"/>
  <c r="FA181" i="24"/>
  <c r="EY181" i="24"/>
  <c r="EL181" i="24"/>
  <c r="DW265" i="24"/>
  <c r="DU265" i="24"/>
  <c r="EE147" i="24"/>
  <c r="DW251" i="24"/>
  <c r="DU251" i="24"/>
  <c r="DW166" i="24"/>
  <c r="EN166" i="24"/>
  <c r="EM166" i="24"/>
  <c r="EP166" i="24" s="1"/>
  <c r="EB166" i="24"/>
  <c r="EL166" i="24"/>
  <c r="EY166" i="24"/>
  <c r="FA166" i="24"/>
  <c r="DW144" i="24"/>
  <c r="EN144" i="24"/>
  <c r="EM144" i="24"/>
  <c r="EP144" i="24" s="1"/>
  <c r="FA144" i="24"/>
  <c r="EB144" i="24"/>
  <c r="EL144" i="24"/>
  <c r="EY144" i="24"/>
  <c r="DW83" i="24"/>
  <c r="DY83" i="24" s="1"/>
  <c r="EF83" i="24" s="1"/>
  <c r="EN83" i="24"/>
  <c r="EM83" i="24"/>
  <c r="EP83" i="24" s="1"/>
  <c r="DU83" i="24"/>
  <c r="EE13" i="24"/>
  <c r="EN114" i="24"/>
  <c r="DW114" i="24"/>
  <c r="DY114" i="24" s="1"/>
  <c r="EF114" i="24" s="1"/>
  <c r="EM114" i="24"/>
  <c r="EP114" i="24" s="1"/>
  <c r="DW312" i="24"/>
  <c r="DU312" i="24"/>
  <c r="DW292" i="24"/>
  <c r="DU292" i="24"/>
  <c r="DW316" i="24"/>
  <c r="DU316" i="24"/>
  <c r="EE8" i="24"/>
  <c r="DW253" i="24"/>
  <c r="DU253" i="24"/>
  <c r="EN16" i="24"/>
  <c r="DW16" i="24"/>
  <c r="EM16" i="24"/>
  <c r="EP16" i="24" s="1"/>
  <c r="DU16" i="24"/>
  <c r="EL16" i="24"/>
  <c r="EY16" i="24"/>
  <c r="EB16" i="24"/>
  <c r="FA16" i="24"/>
  <c r="DW228" i="24"/>
  <c r="DU228" i="24"/>
  <c r="DW225" i="24"/>
  <c r="DU225" i="24"/>
  <c r="EE25" i="24"/>
  <c r="EN97" i="24"/>
  <c r="DW97" i="24"/>
  <c r="EM97" i="24"/>
  <c r="EP97" i="24" s="1"/>
  <c r="DU97" i="24"/>
  <c r="FA97" i="24"/>
  <c r="EY97" i="24"/>
  <c r="EB97" i="24"/>
  <c r="EL97" i="24"/>
  <c r="DW180" i="24"/>
  <c r="EN180" i="24"/>
  <c r="EM180" i="24"/>
  <c r="EP180" i="24" s="1"/>
  <c r="FA180" i="24"/>
  <c r="EY180" i="24"/>
  <c r="EB180" i="24"/>
  <c r="EL180" i="24"/>
  <c r="DW311" i="24"/>
  <c r="DU311" i="24"/>
  <c r="FA23" i="24"/>
  <c r="DW23" i="24"/>
  <c r="DY23" i="24" s="1"/>
  <c r="EF23" i="24" s="1"/>
  <c r="EN23" i="24"/>
  <c r="EM23" i="24"/>
  <c r="EP23" i="24" s="1"/>
  <c r="DU23" i="24"/>
  <c r="DW205" i="24"/>
  <c r="EN205" i="24"/>
  <c r="EM205" i="24"/>
  <c r="EP205" i="24" s="1"/>
  <c r="EL205" i="24"/>
  <c r="EB205" i="24"/>
  <c r="FA205" i="24"/>
  <c r="EY205" i="24"/>
  <c r="DW86" i="24"/>
  <c r="EN86" i="24"/>
  <c r="EM86" i="24"/>
  <c r="EP86" i="24" s="1"/>
  <c r="DU86" i="24"/>
  <c r="FA86" i="24"/>
  <c r="EL86" i="24"/>
  <c r="EB86" i="24"/>
  <c r="EY86" i="24"/>
  <c r="DW254" i="24"/>
  <c r="DU254" i="24"/>
  <c r="DW161" i="24"/>
  <c r="DY161" i="24" s="1"/>
  <c r="EF161" i="24" s="1"/>
  <c r="EN161" i="24"/>
  <c r="EM161" i="24"/>
  <c r="EP161" i="24" s="1"/>
  <c r="DW187" i="24"/>
  <c r="EN187" i="24"/>
  <c r="EM187" i="24"/>
  <c r="EP187" i="24" s="1"/>
  <c r="EY187" i="24"/>
  <c r="EL187" i="24"/>
  <c r="FA187" i="24"/>
  <c r="EB187" i="24"/>
  <c r="DW101" i="24"/>
  <c r="EN101" i="24"/>
  <c r="EM101" i="24"/>
  <c r="EP101" i="24" s="1"/>
  <c r="DU101" i="24"/>
  <c r="EB101" i="24"/>
  <c r="EL101" i="24"/>
  <c r="FA101" i="24"/>
  <c r="EY101" i="24"/>
  <c r="DW8" i="24"/>
  <c r="DY8" i="24" s="1"/>
  <c r="EF8" i="24" s="1"/>
  <c r="EN8" i="24"/>
  <c r="EM8" i="24"/>
  <c r="EP8" i="24" s="1"/>
  <c r="DU8" i="24"/>
  <c r="EY37" i="24"/>
  <c r="EE52" i="24"/>
  <c r="EN175" i="24"/>
  <c r="DW175" i="24"/>
  <c r="DY175" i="24" s="1"/>
  <c r="EF175" i="24" s="1"/>
  <c r="EM175" i="24"/>
  <c r="EP175" i="24" s="1"/>
  <c r="DW248" i="24"/>
  <c r="DU248" i="24"/>
  <c r="EE62" i="24"/>
  <c r="DW95" i="24"/>
  <c r="EN95" i="24"/>
  <c r="EM95" i="24"/>
  <c r="EP95" i="24" s="1"/>
  <c r="DU95" i="24"/>
  <c r="EY95" i="24"/>
  <c r="EB95" i="24"/>
  <c r="EL95" i="24"/>
  <c r="FA95" i="24"/>
  <c r="DW69" i="24"/>
  <c r="EN69" i="24"/>
  <c r="EM69" i="24"/>
  <c r="EP69" i="24" s="1"/>
  <c r="DU69" i="24"/>
  <c r="EL69" i="24"/>
  <c r="FA69" i="24"/>
  <c r="EB69" i="24"/>
  <c r="EY69" i="24"/>
  <c r="EN77" i="24"/>
  <c r="DW77" i="24"/>
  <c r="DY77" i="24" s="1"/>
  <c r="EF77" i="24" s="1"/>
  <c r="EM77" i="24"/>
  <c r="EP77" i="24" s="1"/>
  <c r="DU77" i="24"/>
  <c r="EE47" i="24"/>
  <c r="FA99" i="24"/>
  <c r="FA63" i="24"/>
  <c r="DW63" i="24"/>
  <c r="DY63" i="24" s="1"/>
  <c r="EF63" i="24" s="1"/>
  <c r="EN63" i="24"/>
  <c r="EM63" i="24"/>
  <c r="EP63" i="24" s="1"/>
  <c r="DU63" i="24"/>
  <c r="EB50" i="24"/>
  <c r="DW237" i="24"/>
  <c r="DU237" i="24"/>
  <c r="DW200" i="24"/>
  <c r="EN200" i="24"/>
  <c r="EM200" i="24"/>
  <c r="EP200" i="24" s="1"/>
  <c r="EY200" i="24"/>
  <c r="EB200" i="24"/>
  <c r="FA200" i="24"/>
  <c r="EL200" i="24"/>
  <c r="EB63" i="24"/>
  <c r="EL61" i="24"/>
  <c r="DW61" i="24"/>
  <c r="DY61" i="24" s="1"/>
  <c r="EF61" i="24" s="1"/>
  <c r="EN61" i="24"/>
  <c r="EM61" i="24"/>
  <c r="EP61" i="24" s="1"/>
  <c r="DU61" i="24"/>
  <c r="EN183" i="24"/>
  <c r="DW183" i="24"/>
  <c r="DY183" i="24" s="1"/>
  <c r="EF183" i="24" s="1"/>
  <c r="EM183" i="24"/>
  <c r="EP183" i="24" s="1"/>
  <c r="EB114" i="24"/>
  <c r="DW73" i="24"/>
  <c r="EN73" i="24"/>
  <c r="EM73" i="24"/>
  <c r="EP73" i="24" s="1"/>
  <c r="DU73" i="24"/>
  <c r="EY73" i="24"/>
  <c r="EL73" i="24"/>
  <c r="FA73" i="24"/>
  <c r="EB73" i="24"/>
  <c r="DW14" i="24"/>
  <c r="DY14" i="24" s="1"/>
  <c r="EF14" i="24" s="1"/>
  <c r="EN14" i="24"/>
  <c r="EM14" i="24"/>
  <c r="EP14" i="24" s="1"/>
  <c r="DU14" i="24"/>
  <c r="EE14" i="24"/>
  <c r="DW123" i="24"/>
  <c r="DY123" i="24" s="1"/>
  <c r="EF123" i="24" s="1"/>
  <c r="EN123" i="24"/>
  <c r="EM123" i="24"/>
  <c r="EP123" i="24" s="1"/>
  <c r="DW284" i="24"/>
  <c r="DU284" i="24"/>
  <c r="DW103" i="24"/>
  <c r="DY103" i="24" s="1"/>
  <c r="EF103" i="24" s="1"/>
  <c r="EN103" i="24"/>
  <c r="EM103" i="24"/>
  <c r="EP103" i="24" s="1"/>
  <c r="DU103" i="24"/>
  <c r="FA80" i="24"/>
  <c r="DW290" i="24"/>
  <c r="DU290" i="24"/>
  <c r="EN210" i="24"/>
  <c r="DW210" i="24"/>
  <c r="EM210" i="24"/>
  <c r="EP210" i="24" s="1"/>
  <c r="EY210" i="24"/>
  <c r="EB210" i="24"/>
  <c r="EL210" i="24"/>
  <c r="FA210" i="24"/>
  <c r="DW91" i="24"/>
  <c r="EN91" i="24"/>
  <c r="EM91" i="24"/>
  <c r="EP91" i="24" s="1"/>
  <c r="DU91" i="24"/>
  <c r="FA91" i="24"/>
  <c r="EB91" i="24"/>
  <c r="EL91" i="24"/>
  <c r="EY91" i="24"/>
  <c r="EY53" i="24"/>
  <c r="DW267" i="24"/>
  <c r="DU267" i="24"/>
  <c r="DW259" i="24"/>
  <c r="DU259" i="24"/>
  <c r="DW66" i="24"/>
  <c r="EN66" i="24"/>
  <c r="EM66" i="24"/>
  <c r="EP66" i="24" s="1"/>
  <c r="DU66" i="24"/>
  <c r="EY66" i="24"/>
  <c r="EL66" i="24"/>
  <c r="EB66" i="24"/>
  <c r="FA66" i="24"/>
  <c r="EE126" i="24"/>
  <c r="DW6" i="24"/>
  <c r="EN6" i="24"/>
  <c r="EM6" i="24"/>
  <c r="EP6" i="24" s="1"/>
  <c r="DU6" i="24"/>
  <c r="EY6" i="24"/>
  <c r="EB6" i="24"/>
  <c r="EL6" i="24"/>
  <c r="FA6" i="24"/>
  <c r="DW35" i="24"/>
  <c r="DY35" i="24" s="1"/>
  <c r="EF35" i="24" s="1"/>
  <c r="EN35" i="24"/>
  <c r="EM35" i="24"/>
  <c r="EP35" i="24" s="1"/>
  <c r="DU35" i="24"/>
  <c r="DW131" i="24"/>
  <c r="EN131" i="24"/>
  <c r="EM131" i="24"/>
  <c r="EP131" i="24" s="1"/>
  <c r="EL131" i="24"/>
  <c r="EY131" i="24"/>
  <c r="EB131" i="24"/>
  <c r="FA131" i="24"/>
  <c r="DW250" i="24"/>
  <c r="DU250" i="24"/>
  <c r="DW202" i="24"/>
  <c r="DY202" i="24" s="1"/>
  <c r="EF202" i="24" s="1"/>
  <c r="EN202" i="24"/>
  <c r="EM202" i="24"/>
  <c r="EP202" i="24" s="1"/>
  <c r="EE122" i="24"/>
  <c r="EE127" i="24"/>
  <c r="EE152" i="24"/>
  <c r="DW232" i="24"/>
  <c r="DU232" i="24"/>
  <c r="DW258" i="24"/>
  <c r="DU258" i="24"/>
  <c r="DW118" i="24"/>
  <c r="EN118" i="24"/>
  <c r="EM118" i="24"/>
  <c r="EP118" i="24" s="1"/>
  <c r="FA118" i="24"/>
  <c r="EL118" i="24"/>
  <c r="EY118" i="24"/>
  <c r="EB118" i="24"/>
  <c r="EN199" i="24"/>
  <c r="DW199" i="24"/>
  <c r="DY199" i="24" s="1"/>
  <c r="EF199" i="24" s="1"/>
  <c r="EM199" i="24"/>
  <c r="EP199" i="24" s="1"/>
  <c r="EN186" i="24"/>
  <c r="DW186" i="24"/>
  <c r="DY186" i="24" s="1"/>
  <c r="EF186" i="24" s="1"/>
  <c r="EM186" i="24"/>
  <c r="EP186" i="24" s="1"/>
  <c r="DW266" i="24"/>
  <c r="DU266" i="24"/>
  <c r="FA177" i="24"/>
  <c r="DW176" i="24"/>
  <c r="EN176" i="24"/>
  <c r="EM176" i="24"/>
  <c r="EP176" i="24" s="1"/>
  <c r="EL176" i="24"/>
  <c r="EB176" i="24"/>
  <c r="FA176" i="24"/>
  <c r="EY176" i="24"/>
  <c r="EE67" i="24"/>
  <c r="DW47" i="24"/>
  <c r="DY47" i="24" s="1"/>
  <c r="EF47" i="24" s="1"/>
  <c r="EN47" i="24"/>
  <c r="EM47" i="24"/>
  <c r="EP47" i="24" s="1"/>
  <c r="DU47" i="24"/>
  <c r="EE40" i="24"/>
  <c r="DW310" i="24"/>
  <c r="DU310" i="24"/>
  <c r="EY202" i="24"/>
  <c r="DW260" i="24"/>
  <c r="DU260" i="24"/>
  <c r="DW98" i="24"/>
  <c r="DY98" i="24" s="1"/>
  <c r="EF98" i="24" s="1"/>
  <c r="EN98" i="24"/>
  <c r="EM98" i="24"/>
  <c r="EP98" i="24" s="1"/>
  <c r="DU98" i="24"/>
  <c r="DW209" i="24"/>
  <c r="DY209" i="24" s="1"/>
  <c r="EF209" i="24" s="1"/>
  <c r="EN209" i="24"/>
  <c r="EM209" i="24"/>
  <c r="EP209" i="24" s="1"/>
  <c r="EE35" i="24"/>
  <c r="EE37" i="24"/>
  <c r="FA186" i="24"/>
  <c r="EN128" i="24"/>
  <c r="DW128" i="24"/>
  <c r="DY128" i="24" s="1"/>
  <c r="EF128" i="24" s="1"/>
  <c r="EM128" i="24"/>
  <c r="EP128" i="24" s="1"/>
  <c r="DW236" i="24"/>
  <c r="DU236" i="24"/>
  <c r="EE42" i="24"/>
  <c r="DW305" i="24"/>
  <c r="DU305" i="24"/>
  <c r="EE83" i="24"/>
  <c r="EB99" i="24"/>
  <c r="EE172" i="24"/>
  <c r="DW179" i="24"/>
  <c r="EN179" i="24"/>
  <c r="EM179" i="24"/>
  <c r="EP179" i="24" s="1"/>
  <c r="EY179" i="24"/>
  <c r="EB179" i="24"/>
  <c r="FA179" i="24"/>
  <c r="EL179" i="24"/>
  <c r="DW139" i="24"/>
  <c r="EN139" i="24"/>
  <c r="EM139" i="24"/>
  <c r="EP139" i="24" s="1"/>
  <c r="EY139" i="24"/>
  <c r="EL139" i="24"/>
  <c r="EB139" i="24"/>
  <c r="FA139" i="24"/>
  <c r="DW223" i="24"/>
  <c r="DU223" i="24"/>
  <c r="DW138" i="24"/>
  <c r="DY138" i="24" s="1"/>
  <c r="EF138" i="24" s="1"/>
  <c r="EN138" i="24"/>
  <c r="EM138" i="24"/>
  <c r="EP138" i="24" s="1"/>
  <c r="EN150" i="24"/>
  <c r="DW150" i="24"/>
  <c r="DY150" i="24" s="1"/>
  <c r="EF150" i="24" s="1"/>
  <c r="EM150" i="24"/>
  <c r="EP150" i="24" s="1"/>
  <c r="DW178" i="24"/>
  <c r="EN178" i="24"/>
  <c r="EM178" i="24"/>
  <c r="EP178" i="24" s="1"/>
  <c r="EL178" i="24"/>
  <c r="EB178" i="24"/>
  <c r="FA178" i="24"/>
  <c r="EY178" i="24"/>
  <c r="DW263" i="24"/>
  <c r="DU263" i="24"/>
  <c r="EN59" i="24"/>
  <c r="DW59" i="24"/>
  <c r="EM59" i="24"/>
  <c r="EP59" i="24" s="1"/>
  <c r="DU59" i="24"/>
  <c r="EL59" i="24"/>
  <c r="EB59" i="24"/>
  <c r="FA59" i="24"/>
  <c r="EY59" i="24"/>
  <c r="FA114" i="24"/>
  <c r="DW301" i="24"/>
  <c r="DU301" i="24"/>
  <c r="EY209" i="24"/>
  <c r="DW164" i="24"/>
  <c r="DY164" i="24" s="1"/>
  <c r="EF164" i="24" s="1"/>
  <c r="EN164" i="24"/>
  <c r="EM164" i="24"/>
  <c r="EP164" i="24" s="1"/>
  <c r="EE157" i="24"/>
  <c r="EB201" i="24"/>
  <c r="DW256" i="24"/>
  <c r="DU256" i="24"/>
  <c r="DW122" i="24"/>
  <c r="DY122" i="24" s="1"/>
  <c r="EF122" i="24" s="1"/>
  <c r="EN122" i="24"/>
  <c r="EM122" i="24"/>
  <c r="EP122" i="24" s="1"/>
  <c r="EL80" i="24"/>
  <c r="DW151" i="24"/>
  <c r="EN151" i="24"/>
  <c r="EM151" i="24"/>
  <c r="EP151" i="24" s="1"/>
  <c r="FA151" i="24"/>
  <c r="EY151" i="24"/>
  <c r="EL151" i="24"/>
  <c r="EB151" i="24"/>
  <c r="DW238" i="24"/>
  <c r="DU238" i="24"/>
  <c r="DW299" i="24"/>
  <c r="DU299" i="24"/>
  <c r="FA53" i="24"/>
  <c r="DW208" i="24"/>
  <c r="EN208" i="24"/>
  <c r="EM208" i="24"/>
  <c r="EP208" i="24" s="1"/>
  <c r="EL208" i="24"/>
  <c r="EY208" i="24"/>
  <c r="FA208" i="24"/>
  <c r="EB208" i="24"/>
  <c r="DW56" i="24"/>
  <c r="EN56" i="24"/>
  <c r="EM56" i="24"/>
  <c r="EP56" i="24" s="1"/>
  <c r="DU56" i="24"/>
  <c r="FA56" i="24"/>
  <c r="EB56" i="24"/>
  <c r="EL56" i="24"/>
  <c r="EY56" i="24"/>
  <c r="EN100" i="24"/>
  <c r="DW100" i="24"/>
  <c r="DY100" i="24" s="1"/>
  <c r="EF100" i="24" s="1"/>
  <c r="EM100" i="24"/>
  <c r="EP100" i="24" s="1"/>
  <c r="DU100" i="24"/>
  <c r="DW295" i="24"/>
  <c r="DU295" i="24"/>
  <c r="EY105" i="24"/>
  <c r="DW105" i="24"/>
  <c r="EN105" i="24"/>
  <c r="EM105" i="24"/>
  <c r="EP105" i="24" s="1"/>
  <c r="DU105" i="24"/>
  <c r="EL105" i="24"/>
  <c r="EB105" i="24"/>
  <c r="FA105" i="24"/>
  <c r="EE77" i="24"/>
  <c r="DW264" i="24"/>
  <c r="DU264" i="24"/>
  <c r="EE48" i="24"/>
  <c r="DW34" i="24"/>
  <c r="EN34" i="24"/>
  <c r="EM34" i="24"/>
  <c r="EP34" i="24" s="1"/>
  <c r="DU34" i="24"/>
  <c r="FA34" i="24"/>
  <c r="EL34" i="24"/>
  <c r="EY34" i="24"/>
  <c r="EB34" i="24"/>
  <c r="EN89" i="24"/>
  <c r="DW89" i="24"/>
  <c r="DY89" i="24" s="1"/>
  <c r="EF89" i="24" s="1"/>
  <c r="EM89" i="24"/>
  <c r="EP89" i="24" s="1"/>
  <c r="DU89" i="24"/>
  <c r="DW274" i="24"/>
  <c r="DU274" i="24"/>
  <c r="EE111" i="24"/>
  <c r="EE24" i="24"/>
  <c r="EE134" i="24"/>
  <c r="DW247" i="24"/>
  <c r="DU247" i="24"/>
  <c r="EE142" i="24"/>
  <c r="DW294" i="24"/>
  <c r="DU294" i="24"/>
  <c r="EY185" i="24"/>
  <c r="EE98" i="24"/>
  <c r="EY154" i="24"/>
  <c r="DW154" i="24"/>
  <c r="DY154" i="24" s="1"/>
  <c r="EF154" i="24" s="1"/>
  <c r="EN154" i="24"/>
  <c r="EM154" i="24"/>
  <c r="EP154" i="24" s="1"/>
  <c r="EN57" i="24"/>
  <c r="DW57" i="24"/>
  <c r="EM57" i="24"/>
  <c r="EP57" i="24" s="1"/>
  <c r="DU57" i="24"/>
  <c r="EL57" i="24"/>
  <c r="EY57" i="24"/>
  <c r="EB57" i="24"/>
  <c r="FA57" i="24"/>
  <c r="EL177" i="24"/>
  <c r="DW262" i="24"/>
  <c r="DU262" i="24"/>
  <c r="EE145" i="24"/>
  <c r="DW193" i="24"/>
  <c r="DY193" i="24" s="1"/>
  <c r="EF193" i="24" s="1"/>
  <c r="EN193" i="24"/>
  <c r="EM193" i="24"/>
  <c r="EP193" i="24" s="1"/>
  <c r="DW287" i="24"/>
  <c r="DU287" i="24"/>
  <c r="EL202" i="24"/>
  <c r="FA192" i="24"/>
  <c r="EE123" i="24"/>
  <c r="DW157" i="24"/>
  <c r="DY157" i="24" s="1"/>
  <c r="EF157" i="24" s="1"/>
  <c r="EN157" i="24"/>
  <c r="EM157" i="24"/>
  <c r="EP157" i="24" s="1"/>
  <c r="FA37" i="24"/>
  <c r="EY52" i="24"/>
  <c r="DW31" i="24"/>
  <c r="EN31" i="24"/>
  <c r="EM31" i="24"/>
  <c r="EP31" i="24" s="1"/>
  <c r="DU31" i="24"/>
  <c r="FA31" i="24"/>
  <c r="EY31" i="24"/>
  <c r="EB31" i="24"/>
  <c r="EL31" i="24"/>
  <c r="EL186" i="24"/>
  <c r="EB171" i="24"/>
  <c r="EE99" i="24"/>
  <c r="EE55" i="24"/>
  <c r="EY138" i="24"/>
  <c r="DW206" i="24"/>
  <c r="EN206" i="24"/>
  <c r="EM206" i="24"/>
  <c r="EP206" i="24" s="1"/>
  <c r="EB206" i="24"/>
  <c r="FA206" i="24"/>
  <c r="EY206" i="24"/>
  <c r="EL206" i="24"/>
  <c r="FA50" i="24"/>
  <c r="DW32" i="24"/>
  <c r="EN32" i="24"/>
  <c r="EM32" i="24"/>
  <c r="EP32" i="24" s="1"/>
  <c r="DU32" i="24"/>
  <c r="EY32" i="24"/>
  <c r="EL32" i="24"/>
  <c r="FA32" i="24"/>
  <c r="EB32" i="24"/>
  <c r="EE26" i="24"/>
  <c r="EB81" i="24"/>
  <c r="DW293" i="24"/>
  <c r="DU293" i="24"/>
  <c r="EY63" i="24"/>
  <c r="EB30" i="24"/>
  <c r="EL114" i="24"/>
  <c r="EE174" i="24"/>
  <c r="EE44" i="24"/>
  <c r="FA209" i="24"/>
  <c r="EL201" i="24"/>
  <c r="DW307" i="24"/>
  <c r="DU307" i="24"/>
  <c r="DW68" i="24"/>
  <c r="DY68" i="24" s="1"/>
  <c r="EF68" i="24" s="1"/>
  <c r="EN68" i="24"/>
  <c r="EM68" i="24"/>
  <c r="EP68" i="24" s="1"/>
  <c r="DU68" i="24"/>
  <c r="DW282" i="24"/>
  <c r="DU282" i="24"/>
  <c r="EY80" i="24"/>
  <c r="DW197" i="24"/>
  <c r="DY197" i="24" s="1"/>
  <c r="EF197" i="24" s="1"/>
  <c r="EN197" i="24"/>
  <c r="EM197" i="24"/>
  <c r="EP197" i="24" s="1"/>
  <c r="EY199" i="24"/>
  <c r="EL119" i="24"/>
  <c r="EN119" i="24"/>
  <c r="DW119" i="24"/>
  <c r="EM119" i="24"/>
  <c r="EP119" i="24" s="1"/>
  <c r="FA119" i="24"/>
  <c r="EY119" i="24"/>
  <c r="EB119" i="24"/>
  <c r="FA24" i="24"/>
  <c r="DW24" i="24"/>
  <c r="DY24" i="24" s="1"/>
  <c r="EF24" i="24" s="1"/>
  <c r="EN24" i="24"/>
  <c r="EM24" i="24"/>
  <c r="EP24" i="24" s="1"/>
  <c r="DU24" i="24"/>
  <c r="EE133" i="24"/>
  <c r="DW173" i="24"/>
  <c r="DY173" i="24" s="1"/>
  <c r="EF173" i="24" s="1"/>
  <c r="EN173" i="24"/>
  <c r="EM173" i="24"/>
  <c r="EP173" i="24" s="1"/>
  <c r="DW70" i="24"/>
  <c r="DY70" i="24" s="1"/>
  <c r="EF70" i="24" s="1"/>
  <c r="EN70" i="24"/>
  <c r="EM70" i="24"/>
  <c r="EP70" i="24" s="1"/>
  <c r="DU70" i="24"/>
  <c r="DW28" i="24"/>
  <c r="EN28" i="24"/>
  <c r="EM28" i="24"/>
  <c r="EP28" i="24" s="1"/>
  <c r="DU28" i="24"/>
  <c r="EY28" i="24"/>
  <c r="FA28" i="24"/>
  <c r="EB28" i="24"/>
  <c r="EL28" i="24"/>
  <c r="DW141" i="24"/>
  <c r="EN141" i="24"/>
  <c r="EM141" i="24"/>
  <c r="EP141" i="24" s="1"/>
  <c r="EL141" i="24"/>
  <c r="EY141" i="24"/>
  <c r="FA141" i="24"/>
  <c r="EB141" i="24"/>
  <c r="EE128" i="24"/>
  <c r="FA89" i="24"/>
  <c r="EB143" i="24"/>
  <c r="DW143" i="24"/>
  <c r="EN143" i="24"/>
  <c r="EM143" i="24"/>
  <c r="EP143" i="24" s="1"/>
  <c r="EL143" i="24"/>
  <c r="EY143" i="24"/>
  <c r="FA143" i="24"/>
  <c r="EY120" i="24"/>
  <c r="DW120" i="24"/>
  <c r="EN120" i="24"/>
  <c r="EM120" i="24"/>
  <c r="EP120" i="24" s="1"/>
  <c r="FA120" i="24"/>
  <c r="EL120" i="24"/>
  <c r="EB120" i="24"/>
  <c r="EB154" i="24"/>
  <c r="DW87" i="24"/>
  <c r="EN87" i="24"/>
  <c r="EM87" i="24"/>
  <c r="EP87" i="24" s="1"/>
  <c r="DU87" i="24"/>
  <c r="FA87" i="24"/>
  <c r="EY87" i="24"/>
  <c r="EL87" i="24"/>
  <c r="EB87" i="24"/>
  <c r="EE103" i="24"/>
  <c r="DW102" i="24"/>
  <c r="EN102" i="24"/>
  <c r="EM102" i="24"/>
  <c r="EP102" i="24" s="1"/>
  <c r="DU102" i="24"/>
  <c r="FA102" i="24"/>
  <c r="EY102" i="24"/>
  <c r="EL102" i="24"/>
  <c r="EB102" i="24"/>
  <c r="DW306" i="24"/>
  <c r="DU306" i="24"/>
  <c r="DW10" i="24"/>
  <c r="DY10" i="24" s="1"/>
  <c r="EF10" i="24" s="1"/>
  <c r="EN10" i="24"/>
  <c r="EM10" i="24"/>
  <c r="EP10" i="24" s="1"/>
  <c r="DU10" i="24"/>
  <c r="DW252" i="24"/>
  <c r="DU252" i="24"/>
  <c r="EL29" i="24"/>
  <c r="DW249" i="24"/>
  <c r="DU249" i="24"/>
  <c r="DW272" i="24"/>
  <c r="DU272" i="24"/>
  <c r="EB185" i="24"/>
  <c r="EE60" i="24"/>
  <c r="EB177" i="24"/>
  <c r="DW152" i="24"/>
  <c r="DY152" i="24" s="1"/>
  <c r="EF152" i="24" s="1"/>
  <c r="EN152" i="24"/>
  <c r="EM152" i="24"/>
  <c r="EP152" i="24" s="1"/>
  <c r="EL164" i="24"/>
  <c r="DW230" i="24"/>
  <c r="DU230" i="24"/>
  <c r="EE136" i="24"/>
  <c r="DW163" i="24"/>
  <c r="EN163" i="24"/>
  <c r="EM163" i="24"/>
  <c r="EP163" i="24" s="1"/>
  <c r="FA163" i="24"/>
  <c r="EB163" i="24"/>
  <c r="EL163" i="24"/>
  <c r="EY163" i="24"/>
  <c r="DW53" i="24"/>
  <c r="DY53" i="24" s="1"/>
  <c r="EF53" i="24" s="1"/>
  <c r="EN53" i="24"/>
  <c r="EM53" i="24"/>
  <c r="EP53" i="24" s="1"/>
  <c r="DU53" i="24"/>
  <c r="EB58" i="24"/>
  <c r="DW58" i="24"/>
  <c r="EN58" i="24"/>
  <c r="EM58" i="24"/>
  <c r="EP58" i="24" s="1"/>
  <c r="DU58" i="24"/>
  <c r="FA58" i="24"/>
  <c r="EL58" i="24"/>
  <c r="EY58" i="24"/>
  <c r="DW137" i="24"/>
  <c r="EN137" i="24"/>
  <c r="EM137" i="24"/>
  <c r="EP137" i="24" s="1"/>
  <c r="EY137" i="24"/>
  <c r="EB137" i="24"/>
  <c r="EL137" i="24"/>
  <c r="FA137" i="24"/>
  <c r="DW314" i="24"/>
  <c r="DU314" i="24"/>
  <c r="EB202" i="24"/>
  <c r="FA25" i="24"/>
  <c r="EN25" i="24"/>
  <c r="DW25" i="24"/>
  <c r="DY25" i="24" s="1"/>
  <c r="EF25" i="24" s="1"/>
  <c r="EM25" i="24"/>
  <c r="EP25" i="24" s="1"/>
  <c r="DU25" i="24"/>
  <c r="EY192" i="24"/>
  <c r="EN42" i="24"/>
  <c r="DW42" i="24"/>
  <c r="DY42" i="24" s="1"/>
  <c r="EF42" i="24" s="1"/>
  <c r="EM42" i="24"/>
  <c r="EP42" i="24" s="1"/>
  <c r="DU42" i="24"/>
  <c r="EY54" i="24"/>
  <c r="FA183" i="24"/>
  <c r="EE186" i="24"/>
  <c r="EB175" i="24"/>
  <c r="EY160" i="24"/>
  <c r="DW245" i="24"/>
  <c r="DU245" i="24"/>
  <c r="EY171" i="24"/>
  <c r="EE43" i="24"/>
  <c r="FA197" i="24"/>
  <c r="DW22" i="24"/>
  <c r="EN22" i="24"/>
  <c r="EM22" i="24"/>
  <c r="EP22" i="24" s="1"/>
  <c r="DU22" i="24"/>
  <c r="FA22" i="24"/>
  <c r="EB22" i="24"/>
  <c r="EL22" i="24"/>
  <c r="EY22" i="24"/>
  <c r="EL47" i="24"/>
  <c r="EL138" i="24"/>
  <c r="EN72" i="24"/>
  <c r="DW72" i="24"/>
  <c r="EM72" i="24"/>
  <c r="EP72" i="24" s="1"/>
  <c r="DU72" i="24"/>
  <c r="EY72" i="24"/>
  <c r="EL72" i="24"/>
  <c r="FA72" i="24"/>
  <c r="EB72" i="24"/>
  <c r="EB10" i="24"/>
  <c r="EL75" i="24"/>
  <c r="DW75" i="24"/>
  <c r="EN75" i="24"/>
  <c r="EM75" i="24"/>
  <c r="EP75" i="24" s="1"/>
  <c r="DU75" i="24"/>
  <c r="FA75" i="24"/>
  <c r="EB75" i="24"/>
  <c r="EY75" i="24"/>
  <c r="EL81" i="24"/>
  <c r="DW221" i="24"/>
  <c r="DU221" i="24"/>
  <c r="EE63" i="24"/>
  <c r="FA30" i="24"/>
  <c r="DW234" i="24"/>
  <c r="DU234" i="24"/>
  <c r="DW43" i="24"/>
  <c r="DY43" i="24" s="1"/>
  <c r="EF43" i="24" s="1"/>
  <c r="EN43" i="24"/>
  <c r="EM43" i="24"/>
  <c r="EP43" i="24" s="1"/>
  <c r="DU43" i="24"/>
  <c r="DW167" i="24"/>
  <c r="DY167" i="24" s="1"/>
  <c r="EF167" i="24" s="1"/>
  <c r="EN167" i="24"/>
  <c r="EM167" i="24"/>
  <c r="EP167" i="24" s="1"/>
  <c r="EY114" i="24"/>
  <c r="EB209" i="24"/>
  <c r="EY23" i="24"/>
  <c r="DW174" i="24"/>
  <c r="DY174" i="24" s="1"/>
  <c r="EF174" i="24" s="1"/>
  <c r="EN174" i="24"/>
  <c r="EM174" i="24"/>
  <c r="EP174" i="24" s="1"/>
  <c r="EY201" i="24"/>
  <c r="EB173" i="24"/>
  <c r="DW26" i="24"/>
  <c r="DY26" i="24" s="1"/>
  <c r="EF26" i="24" s="1"/>
  <c r="EN26" i="24"/>
  <c r="EM26" i="24"/>
  <c r="EP26" i="24" s="1"/>
  <c r="DU26" i="24"/>
  <c r="DW84" i="24"/>
  <c r="EN84" i="24"/>
  <c r="EM84" i="24"/>
  <c r="EP84" i="24" s="1"/>
  <c r="DU84" i="24"/>
  <c r="EB84" i="24"/>
  <c r="EY84" i="24"/>
  <c r="FA84" i="24"/>
  <c r="EL84" i="24"/>
  <c r="EY155" i="24"/>
  <c r="EB80" i="24"/>
  <c r="EE199" i="24"/>
  <c r="DW283" i="24"/>
  <c r="DU283" i="24"/>
  <c r="EY129" i="24"/>
  <c r="DW244" i="24"/>
  <c r="DU244" i="24"/>
  <c r="EE39" i="24"/>
  <c r="DW275" i="24"/>
  <c r="DU275" i="24"/>
  <c r="DW145" i="24"/>
  <c r="DY145" i="24" s="1"/>
  <c r="EF145" i="24" s="1"/>
  <c r="EN145" i="24"/>
  <c r="EM145" i="24"/>
  <c r="EP145" i="24" s="1"/>
  <c r="BV106" i="19"/>
  <c r="CB106" i="19" s="1"/>
  <c r="BW106" i="19"/>
  <c r="CC106" i="19" s="1"/>
  <c r="EY216" i="25" l="1"/>
  <c r="EL216" i="25"/>
  <c r="EK216" i="25"/>
  <c r="EN216" i="25" s="1"/>
  <c r="FA216" i="25"/>
  <c r="DY216" i="25"/>
  <c r="EG216" i="25" s="1"/>
  <c r="EX216" i="25" s="1"/>
  <c r="DT216" i="25"/>
  <c r="EJ216" i="25"/>
  <c r="CG212" i="25"/>
  <c r="EE212" i="25"/>
  <c r="EG212" i="25"/>
  <c r="EX212" i="25" s="1"/>
  <c r="EF212" i="25"/>
  <c r="EW212" i="25" s="1"/>
  <c r="CH212" i="25"/>
  <c r="DY190" i="24"/>
  <c r="EF190" i="24" s="1"/>
  <c r="EA243" i="24"/>
  <c r="FL243" i="24" s="1"/>
  <c r="EA96" i="24"/>
  <c r="CG96" i="24" s="1"/>
  <c r="EA242" i="24"/>
  <c r="EH242" i="24" s="1"/>
  <c r="EA285" i="24"/>
  <c r="EC285" i="24" s="1"/>
  <c r="ED285" i="24" s="1"/>
  <c r="FL216" i="24"/>
  <c r="EI216" i="24"/>
  <c r="EX216" i="24" s="1"/>
  <c r="EC216" i="24"/>
  <c r="ED216" i="24" s="1"/>
  <c r="EH216" i="24"/>
  <c r="I5" i="24"/>
  <c r="M5" i="24" s="1"/>
  <c r="U5" i="24" s="1"/>
  <c r="CH285" i="25"/>
  <c r="EF285" i="25"/>
  <c r="EW285" i="25" s="1"/>
  <c r="EG285" i="25"/>
  <c r="EX285" i="25" s="1"/>
  <c r="EE285" i="25"/>
  <c r="CH253" i="25"/>
  <c r="EE253" i="25"/>
  <c r="EF253" i="25"/>
  <c r="EW253" i="25" s="1"/>
  <c r="EG253" i="25"/>
  <c r="EX253" i="25" s="1"/>
  <c r="CG262" i="25"/>
  <c r="EF262" i="25"/>
  <c r="EW262" i="25" s="1"/>
  <c r="EG262" i="25"/>
  <c r="EX262" i="25" s="1"/>
  <c r="EE262" i="25"/>
  <c r="CH303" i="25"/>
  <c r="EF303" i="25"/>
  <c r="EW303" i="25" s="1"/>
  <c r="EG303" i="25"/>
  <c r="EX303" i="25" s="1"/>
  <c r="EE303" i="25"/>
  <c r="CH248" i="25"/>
  <c r="EE248" i="25"/>
  <c r="EF248" i="25"/>
  <c r="EW248" i="25" s="1"/>
  <c r="EG248" i="25"/>
  <c r="EX248" i="25" s="1"/>
  <c r="CG242" i="25"/>
  <c r="EE242" i="25"/>
  <c r="EF242" i="25"/>
  <c r="EW242" i="25" s="1"/>
  <c r="EG242" i="25"/>
  <c r="EX242" i="25" s="1"/>
  <c r="CH237" i="25"/>
  <c r="EF237" i="25"/>
  <c r="EW237" i="25" s="1"/>
  <c r="EG237" i="25"/>
  <c r="EX237" i="25" s="1"/>
  <c r="EE237" i="25"/>
  <c r="CG266" i="25"/>
  <c r="EE266" i="25"/>
  <c r="EF266" i="25"/>
  <c r="EW266" i="25" s="1"/>
  <c r="EG266" i="25"/>
  <c r="EX266" i="25" s="1"/>
  <c r="CH264" i="25"/>
  <c r="EE264" i="25"/>
  <c r="EF264" i="25"/>
  <c r="EW264" i="25" s="1"/>
  <c r="EG264" i="25"/>
  <c r="EX264" i="25" s="1"/>
  <c r="CH235" i="25"/>
  <c r="EF235" i="25"/>
  <c r="EW235" i="25" s="1"/>
  <c r="EG235" i="25"/>
  <c r="EX235" i="25" s="1"/>
  <c r="EE235" i="25"/>
  <c r="CG230" i="25"/>
  <c r="EE230" i="25"/>
  <c r="EF230" i="25"/>
  <c r="EW230" i="25" s="1"/>
  <c r="EG230" i="25"/>
  <c r="EX230" i="25" s="1"/>
  <c r="CH300" i="25"/>
  <c r="EE300" i="25"/>
  <c r="EF300" i="25"/>
  <c r="EW300" i="25" s="1"/>
  <c r="EG300" i="25"/>
  <c r="EX300" i="25" s="1"/>
  <c r="CH312" i="25"/>
  <c r="EG312" i="25"/>
  <c r="EX312" i="25" s="1"/>
  <c r="EE312" i="25"/>
  <c r="EF312" i="25"/>
  <c r="EW312" i="25" s="1"/>
  <c r="CG274" i="25"/>
  <c r="EE274" i="25"/>
  <c r="EG274" i="25"/>
  <c r="EX274" i="25" s="1"/>
  <c r="EF274" i="25"/>
  <c r="EW274" i="25" s="1"/>
  <c r="CG246" i="25"/>
  <c r="EE246" i="25"/>
  <c r="EF246" i="25"/>
  <c r="EW246" i="25" s="1"/>
  <c r="EG246" i="25"/>
  <c r="EX246" i="25" s="1"/>
  <c r="CH281" i="25"/>
  <c r="EE281" i="25"/>
  <c r="EG281" i="25"/>
  <c r="EX281" i="25" s="1"/>
  <c r="EF281" i="25"/>
  <c r="EW281" i="25" s="1"/>
  <c r="CH307" i="25"/>
  <c r="EE307" i="25"/>
  <c r="EF307" i="25"/>
  <c r="EW307" i="25" s="1"/>
  <c r="EG307" i="25"/>
  <c r="EX307" i="25" s="1"/>
  <c r="CH217" i="25"/>
  <c r="EE217" i="25"/>
  <c r="EF217" i="25"/>
  <c r="EW217" i="25" s="1"/>
  <c r="EG217" i="25"/>
  <c r="EX217" i="25" s="1"/>
  <c r="CG302" i="25"/>
  <c r="EE302" i="25"/>
  <c r="EF302" i="25"/>
  <c r="EW302" i="25" s="1"/>
  <c r="EG302" i="25"/>
  <c r="EX302" i="25" s="1"/>
  <c r="CH288" i="25"/>
  <c r="EF288" i="25"/>
  <c r="EW288" i="25" s="1"/>
  <c r="EG288" i="25"/>
  <c r="EX288" i="25" s="1"/>
  <c r="EE288" i="25"/>
  <c r="CG270" i="25"/>
  <c r="EE270" i="25"/>
  <c r="EF270" i="25"/>
  <c r="EW270" i="25" s="1"/>
  <c r="EG270" i="25"/>
  <c r="EX270" i="25" s="1"/>
  <c r="CH272" i="25"/>
  <c r="EF272" i="25"/>
  <c r="EW272" i="25" s="1"/>
  <c r="EG272" i="25"/>
  <c r="EX272" i="25" s="1"/>
  <c r="EE272" i="25"/>
  <c r="CH249" i="25"/>
  <c r="EE249" i="25"/>
  <c r="EF249" i="25"/>
  <c r="EW249" i="25" s="1"/>
  <c r="EG249" i="25"/>
  <c r="EX249" i="25" s="1"/>
  <c r="CG273" i="25"/>
  <c r="EE273" i="25"/>
  <c r="EF273" i="25"/>
  <c r="EW273" i="25" s="1"/>
  <c r="EG273" i="25"/>
  <c r="EX273" i="25" s="1"/>
  <c r="CG258" i="25"/>
  <c r="EE258" i="25"/>
  <c r="EF258" i="25"/>
  <c r="EW258" i="25" s="1"/>
  <c r="EG258" i="25"/>
  <c r="EX258" i="25" s="1"/>
  <c r="CH304" i="25"/>
  <c r="EE304" i="25"/>
  <c r="EF304" i="25"/>
  <c r="EW304" i="25" s="1"/>
  <c r="EG304" i="25"/>
  <c r="EX304" i="25" s="1"/>
  <c r="CH259" i="25"/>
  <c r="EE259" i="25"/>
  <c r="EF259" i="25"/>
  <c r="EW259" i="25" s="1"/>
  <c r="EG259" i="25"/>
  <c r="EX259" i="25" s="1"/>
  <c r="CH231" i="25"/>
  <c r="EG231" i="25"/>
  <c r="EX231" i="25" s="1"/>
  <c r="EE231" i="25"/>
  <c r="EF231" i="25"/>
  <c r="EW231" i="25" s="1"/>
  <c r="CH251" i="25"/>
  <c r="EE251" i="25"/>
  <c r="EF251" i="25"/>
  <c r="EW251" i="25" s="1"/>
  <c r="EG251" i="25"/>
  <c r="EX251" i="25" s="1"/>
  <c r="CG226" i="25"/>
  <c r="EE226" i="25"/>
  <c r="EF226" i="25"/>
  <c r="EW226" i="25" s="1"/>
  <c r="EG226" i="25"/>
  <c r="EX226" i="25" s="1"/>
  <c r="CH308" i="25"/>
  <c r="EE308" i="25"/>
  <c r="EF308" i="25"/>
  <c r="EW308" i="25" s="1"/>
  <c r="EG308" i="25"/>
  <c r="EX308" i="25" s="1"/>
  <c r="CH305" i="25"/>
  <c r="EE305" i="25"/>
  <c r="EF305" i="25"/>
  <c r="EW305" i="25" s="1"/>
  <c r="EG305" i="25"/>
  <c r="EX305" i="25" s="1"/>
  <c r="CH260" i="25"/>
  <c r="EF260" i="25"/>
  <c r="EW260" i="25" s="1"/>
  <c r="EG260" i="25"/>
  <c r="EX260" i="25" s="1"/>
  <c r="EE260" i="25"/>
  <c r="CG268" i="25"/>
  <c r="EG268" i="25"/>
  <c r="EX268" i="25" s="1"/>
  <c r="EE268" i="25"/>
  <c r="EF268" i="25"/>
  <c r="EW268" i="25" s="1"/>
  <c r="CG254" i="25"/>
  <c r="EG254" i="25"/>
  <c r="EX254" i="25" s="1"/>
  <c r="EE254" i="25"/>
  <c r="EF254" i="25"/>
  <c r="EW254" i="25" s="1"/>
  <c r="CH263" i="25"/>
  <c r="EE263" i="25"/>
  <c r="EF263" i="25"/>
  <c r="EW263" i="25" s="1"/>
  <c r="EG263" i="25"/>
  <c r="EX263" i="25" s="1"/>
  <c r="CH236" i="25"/>
  <c r="EE236" i="25"/>
  <c r="EF236" i="25"/>
  <c r="EW236" i="25" s="1"/>
  <c r="EG236" i="25"/>
  <c r="EX236" i="25" s="1"/>
  <c r="CH227" i="25"/>
  <c r="EE227" i="25"/>
  <c r="EF227" i="25"/>
  <c r="EW227" i="25" s="1"/>
  <c r="EG227" i="25"/>
  <c r="EX227" i="25" s="1"/>
  <c r="CG238" i="25"/>
  <c r="EE238" i="25"/>
  <c r="EF238" i="25"/>
  <c r="EW238" i="25" s="1"/>
  <c r="EG238" i="25"/>
  <c r="EX238" i="25" s="1"/>
  <c r="CG298" i="25"/>
  <c r="EG298" i="25"/>
  <c r="EX298" i="25" s="1"/>
  <c r="EE298" i="25"/>
  <c r="EF298" i="25"/>
  <c r="EW298" i="25" s="1"/>
  <c r="CH284" i="25"/>
  <c r="EE284" i="25"/>
  <c r="EG284" i="25"/>
  <c r="EX284" i="25" s="1"/>
  <c r="EF284" i="25"/>
  <c r="EW284" i="25" s="1"/>
  <c r="CH286" i="25"/>
  <c r="EE286" i="25"/>
  <c r="EF286" i="25"/>
  <c r="EW286" i="25" s="1"/>
  <c r="EG286" i="25"/>
  <c r="EX286" i="25" s="1"/>
  <c r="CH297" i="25"/>
  <c r="EE297" i="25"/>
  <c r="EF297" i="25"/>
  <c r="EW297" i="25" s="1"/>
  <c r="EG297" i="25"/>
  <c r="EX297" i="25" s="1"/>
  <c r="CG218" i="25"/>
  <c r="EE218" i="25"/>
  <c r="EF218" i="25"/>
  <c r="EW218" i="25" s="1"/>
  <c r="EG218" i="25"/>
  <c r="EX218" i="25" s="1"/>
  <c r="CH232" i="25"/>
  <c r="EF232" i="25"/>
  <c r="EW232" i="25" s="1"/>
  <c r="EG232" i="25"/>
  <c r="EX232" i="25" s="1"/>
  <c r="EE232" i="25"/>
  <c r="CH295" i="25"/>
  <c r="EE295" i="25"/>
  <c r="EG295" i="25"/>
  <c r="EX295" i="25" s="1"/>
  <c r="EF295" i="25"/>
  <c r="EW295" i="25" s="1"/>
  <c r="CH241" i="25"/>
  <c r="EE241" i="25"/>
  <c r="EF241" i="25"/>
  <c r="EW241" i="25" s="1"/>
  <c r="EG241" i="25"/>
  <c r="EX241" i="25" s="1"/>
  <c r="CH287" i="25"/>
  <c r="EF287" i="25"/>
  <c r="EW287" i="25" s="1"/>
  <c r="EG287" i="25"/>
  <c r="EX287" i="25" s="1"/>
  <c r="EE287" i="25"/>
  <c r="CG313" i="25"/>
  <c r="EE313" i="25"/>
  <c r="EF313" i="25"/>
  <c r="EW313" i="25" s="1"/>
  <c r="EG313" i="25"/>
  <c r="EX313" i="25" s="1"/>
  <c r="CH257" i="25"/>
  <c r="EF257" i="25"/>
  <c r="EW257" i="25" s="1"/>
  <c r="EG257" i="25"/>
  <c r="EX257" i="25" s="1"/>
  <c r="EE257" i="25"/>
  <c r="CH301" i="25"/>
  <c r="EE301" i="25"/>
  <c r="EF301" i="25"/>
  <c r="EW301" i="25" s="1"/>
  <c r="EG301" i="25"/>
  <c r="EX301" i="25" s="1"/>
  <c r="CH311" i="25"/>
  <c r="EE311" i="25"/>
  <c r="EF311" i="25"/>
  <c r="EW311" i="25" s="1"/>
  <c r="EG311" i="25"/>
  <c r="EX311" i="25" s="1"/>
  <c r="CH279" i="25"/>
  <c r="EE279" i="25"/>
  <c r="EG279" i="25"/>
  <c r="EX279" i="25" s="1"/>
  <c r="EF279" i="25"/>
  <c r="EW279" i="25" s="1"/>
  <c r="CG229" i="25"/>
  <c r="EE229" i="25"/>
  <c r="EF229" i="25"/>
  <c r="EW229" i="25" s="1"/>
  <c r="EG229" i="25"/>
  <c r="EX229" i="25" s="1"/>
  <c r="CH283" i="25"/>
  <c r="EE283" i="25"/>
  <c r="EF283" i="25"/>
  <c r="EW283" i="25" s="1"/>
  <c r="EG283" i="25"/>
  <c r="EX283" i="25" s="1"/>
  <c r="CG240" i="25"/>
  <c r="EE240" i="25"/>
  <c r="EF240" i="25"/>
  <c r="EW240" i="25" s="1"/>
  <c r="EG240" i="25"/>
  <c r="EX240" i="25" s="1"/>
  <c r="CH265" i="25"/>
  <c r="EF265" i="25"/>
  <c r="EW265" i="25" s="1"/>
  <c r="EG265" i="25"/>
  <c r="EX265" i="25" s="1"/>
  <c r="EE265" i="25"/>
  <c r="CG222" i="25"/>
  <c r="EE222" i="25"/>
  <c r="EF222" i="25"/>
  <c r="EW222" i="25" s="1"/>
  <c r="EG222" i="25"/>
  <c r="EX222" i="25" s="1"/>
  <c r="CH292" i="25"/>
  <c r="EE292" i="25"/>
  <c r="EF292" i="25"/>
  <c r="EW292" i="25" s="1"/>
  <c r="EG292" i="25"/>
  <c r="EX292" i="25" s="1"/>
  <c r="CH243" i="25"/>
  <c r="EF243" i="25"/>
  <c r="EW243" i="25" s="1"/>
  <c r="EG243" i="25"/>
  <c r="EX243" i="25" s="1"/>
  <c r="EE243" i="25"/>
  <c r="CH291" i="25"/>
  <c r="EE291" i="25"/>
  <c r="EF291" i="25"/>
  <c r="EW291" i="25" s="1"/>
  <c r="EG291" i="25"/>
  <c r="EX291" i="25" s="1"/>
  <c r="CH271" i="25"/>
  <c r="EE271" i="25"/>
  <c r="EG271" i="25"/>
  <c r="EX271" i="25" s="1"/>
  <c r="EF271" i="25"/>
  <c r="EW271" i="25" s="1"/>
  <c r="CH276" i="25"/>
  <c r="EE276" i="25"/>
  <c r="EF276" i="25"/>
  <c r="EW276" i="25" s="1"/>
  <c r="EG276" i="25"/>
  <c r="EX276" i="25" s="1"/>
  <c r="CH316" i="25"/>
  <c r="EE316" i="25"/>
  <c r="EF316" i="25"/>
  <c r="EW316" i="25" s="1"/>
  <c r="EG316" i="25"/>
  <c r="EX316" i="25" s="1"/>
  <c r="CH233" i="25"/>
  <c r="EE233" i="25"/>
  <c r="EF233" i="25"/>
  <c r="EW233" i="25" s="1"/>
  <c r="EG233" i="25"/>
  <c r="EX233" i="25" s="1"/>
  <c r="CG225" i="25"/>
  <c r="EE225" i="25"/>
  <c r="EF225" i="25"/>
  <c r="EW225" i="25" s="1"/>
  <c r="EG225" i="25"/>
  <c r="EX225" i="25" s="1"/>
  <c r="CH221" i="25"/>
  <c r="EG221" i="25"/>
  <c r="EX221" i="25" s="1"/>
  <c r="EE221" i="25"/>
  <c r="EF221" i="25"/>
  <c r="EW221" i="25" s="1"/>
  <c r="CG294" i="25"/>
  <c r="EE294" i="25"/>
  <c r="EF294" i="25"/>
  <c r="EW294" i="25" s="1"/>
  <c r="EG294" i="25"/>
  <c r="EX294" i="25" s="1"/>
  <c r="CH247" i="25"/>
  <c r="EE247" i="25"/>
  <c r="EF247" i="25"/>
  <c r="EW247" i="25" s="1"/>
  <c r="EG247" i="25"/>
  <c r="EX247" i="25" s="1"/>
  <c r="CH315" i="25"/>
  <c r="EE315" i="25"/>
  <c r="EF315" i="25"/>
  <c r="EW315" i="25" s="1"/>
  <c r="EG315" i="25"/>
  <c r="EX315" i="25" s="1"/>
  <c r="CH289" i="25"/>
  <c r="EE289" i="25"/>
  <c r="EF289" i="25"/>
  <c r="EW289" i="25" s="1"/>
  <c r="EG289" i="25"/>
  <c r="EX289" i="25" s="1"/>
  <c r="CH277" i="25"/>
  <c r="EF277" i="25"/>
  <c r="EW277" i="25" s="1"/>
  <c r="EG277" i="25"/>
  <c r="EX277" i="25" s="1"/>
  <c r="EE277" i="25"/>
  <c r="CH261" i="25"/>
  <c r="EE261" i="25"/>
  <c r="EF261" i="25"/>
  <c r="EW261" i="25" s="1"/>
  <c r="EG261" i="25"/>
  <c r="EX261" i="25" s="1"/>
  <c r="CG252" i="25"/>
  <c r="EE252" i="25"/>
  <c r="EF252" i="25"/>
  <c r="EW252" i="25" s="1"/>
  <c r="EG252" i="25"/>
  <c r="EX252" i="25" s="1"/>
  <c r="CG267" i="25"/>
  <c r="EE267" i="25"/>
  <c r="EF267" i="25"/>
  <c r="EW267" i="25" s="1"/>
  <c r="EG267" i="25"/>
  <c r="EX267" i="25" s="1"/>
  <c r="CH293" i="25"/>
  <c r="EG293" i="25"/>
  <c r="EX293" i="25" s="1"/>
  <c r="EE293" i="25"/>
  <c r="EF293" i="25"/>
  <c r="EW293" i="25" s="1"/>
  <c r="CH219" i="25"/>
  <c r="EE219" i="25"/>
  <c r="EF219" i="25"/>
  <c r="EW219" i="25" s="1"/>
  <c r="EG219" i="25"/>
  <c r="EX219" i="25" s="1"/>
  <c r="CH280" i="25"/>
  <c r="EE280" i="25"/>
  <c r="EF280" i="25"/>
  <c r="EW280" i="25" s="1"/>
  <c r="EG280" i="25"/>
  <c r="EX280" i="25" s="1"/>
  <c r="CH228" i="25"/>
  <c r="EE228" i="25"/>
  <c r="EF228" i="25"/>
  <c r="EW228" i="25" s="1"/>
  <c r="EG228" i="25"/>
  <c r="EX228" i="25" s="1"/>
  <c r="CG275" i="25"/>
  <c r="EG275" i="25"/>
  <c r="EX275" i="25" s="1"/>
  <c r="EE275" i="25"/>
  <c r="EF275" i="25"/>
  <c r="EW275" i="25" s="1"/>
  <c r="CH299" i="25"/>
  <c r="EE299" i="25"/>
  <c r="EF299" i="25"/>
  <c r="EW299" i="25" s="1"/>
  <c r="EG299" i="25"/>
  <c r="EX299" i="25" s="1"/>
  <c r="CH296" i="25"/>
  <c r="EF296" i="25"/>
  <c r="EW296" i="25" s="1"/>
  <c r="EG296" i="25"/>
  <c r="EX296" i="25" s="1"/>
  <c r="EE296" i="25"/>
  <c r="CH256" i="25"/>
  <c r="EE256" i="25"/>
  <c r="EF256" i="25"/>
  <c r="EW256" i="25" s="1"/>
  <c r="EG256" i="25"/>
  <c r="EX256" i="25" s="1"/>
  <c r="CG290" i="25"/>
  <c r="EG290" i="25"/>
  <c r="EX290" i="25" s="1"/>
  <c r="EE290" i="25"/>
  <c r="EF290" i="25"/>
  <c r="EW290" i="25" s="1"/>
  <c r="CG234" i="25"/>
  <c r="EE234" i="25"/>
  <c r="EF234" i="25"/>
  <c r="EW234" i="25" s="1"/>
  <c r="EG234" i="25"/>
  <c r="EX234" i="25" s="1"/>
  <c r="CH239" i="25"/>
  <c r="EE239" i="25"/>
  <c r="EF239" i="25"/>
  <c r="EW239" i="25" s="1"/>
  <c r="EG239" i="25"/>
  <c r="EX239" i="25" s="1"/>
  <c r="CH224" i="25"/>
  <c r="EG224" i="25"/>
  <c r="EX224" i="25" s="1"/>
  <c r="EE224" i="25"/>
  <c r="EF224" i="25"/>
  <c r="EW224" i="25" s="1"/>
  <c r="CH223" i="25"/>
  <c r="EE223" i="25"/>
  <c r="EF223" i="25"/>
  <c r="EW223" i="25" s="1"/>
  <c r="EG223" i="25"/>
  <c r="EX223" i="25" s="1"/>
  <c r="CH220" i="25"/>
  <c r="EE220" i="25"/>
  <c r="EF220" i="25"/>
  <c r="EW220" i="25" s="1"/>
  <c r="EG220" i="25"/>
  <c r="EX220" i="25" s="1"/>
  <c r="CG278" i="25"/>
  <c r="EE278" i="25"/>
  <c r="EF278" i="25"/>
  <c r="EW278" i="25" s="1"/>
  <c r="EG278" i="25"/>
  <c r="EX278" i="25" s="1"/>
  <c r="CH269" i="25"/>
  <c r="EE269" i="25"/>
  <c r="EF269" i="25"/>
  <c r="EW269" i="25" s="1"/>
  <c r="EG269" i="25"/>
  <c r="EX269" i="25" s="1"/>
  <c r="CH282" i="25"/>
  <c r="EE282" i="25"/>
  <c r="EF282" i="25"/>
  <c r="EW282" i="25" s="1"/>
  <c r="EG282" i="25"/>
  <c r="EX282" i="25" s="1"/>
  <c r="CG314" i="25"/>
  <c r="EE314" i="25"/>
  <c r="EF314" i="25"/>
  <c r="EW314" i="25" s="1"/>
  <c r="EG314" i="25"/>
  <c r="EX314" i="25" s="1"/>
  <c r="CH255" i="25"/>
  <c r="EE255" i="25"/>
  <c r="EF255" i="25"/>
  <c r="EW255" i="25" s="1"/>
  <c r="EG255" i="25"/>
  <c r="EX255" i="25" s="1"/>
  <c r="CH309" i="25"/>
  <c r="EF309" i="25"/>
  <c r="EW309" i="25" s="1"/>
  <c r="EG309" i="25"/>
  <c r="EX309" i="25" s="1"/>
  <c r="EE309" i="25"/>
  <c r="CG310" i="25"/>
  <c r="EE310" i="25"/>
  <c r="EF310" i="25"/>
  <c r="EW310" i="25" s="1"/>
  <c r="EG310" i="25"/>
  <c r="EX310" i="25" s="1"/>
  <c r="CG306" i="25"/>
  <c r="EF306" i="25"/>
  <c r="EW306" i="25" s="1"/>
  <c r="EG306" i="25"/>
  <c r="EX306" i="25" s="1"/>
  <c r="EE306" i="25"/>
  <c r="CG250" i="25"/>
  <c r="EE250" i="25"/>
  <c r="EF250" i="25"/>
  <c r="EW250" i="25" s="1"/>
  <c r="EG250" i="25"/>
  <c r="EX250" i="25" s="1"/>
  <c r="CH245" i="25"/>
  <c r="EG245" i="25"/>
  <c r="EX245" i="25" s="1"/>
  <c r="EE245" i="25"/>
  <c r="EF245" i="25"/>
  <c r="EW245" i="25" s="1"/>
  <c r="CH244" i="25"/>
  <c r="EE244" i="25"/>
  <c r="EF244" i="25"/>
  <c r="EW244" i="25" s="1"/>
  <c r="EG244" i="25"/>
  <c r="EX244" i="25" s="1"/>
  <c r="EG112" i="25"/>
  <c r="EX112" i="25" s="1"/>
  <c r="EE112" i="25"/>
  <c r="CG112" i="25"/>
  <c r="CH112" i="25"/>
  <c r="EF112" i="25"/>
  <c r="EW112" i="25" s="1"/>
  <c r="CH65" i="25"/>
  <c r="CG136" i="25"/>
  <c r="CH115" i="25"/>
  <c r="CG190" i="25"/>
  <c r="CH82" i="25"/>
  <c r="CH51" i="25"/>
  <c r="CH170" i="25"/>
  <c r="CH194" i="25"/>
  <c r="CH192" i="25"/>
  <c r="CH55" i="25"/>
  <c r="CH198" i="25"/>
  <c r="CH185" i="25"/>
  <c r="CH205" i="25"/>
  <c r="CH70" i="25"/>
  <c r="CH200" i="25"/>
  <c r="CG110" i="25"/>
  <c r="CG207" i="25"/>
  <c r="CG169" i="25"/>
  <c r="CH131" i="25"/>
  <c r="CH174" i="25"/>
  <c r="CH147" i="25"/>
  <c r="CH158" i="25"/>
  <c r="CH114" i="25"/>
  <c r="CH171" i="25"/>
  <c r="CH187" i="25"/>
  <c r="CH79" i="25"/>
  <c r="CH122" i="25"/>
  <c r="CH64" i="25"/>
  <c r="CH155" i="25"/>
  <c r="CH148" i="25"/>
  <c r="CG159" i="25"/>
  <c r="CH156" i="25"/>
  <c r="CH119" i="25"/>
  <c r="CG160" i="25"/>
  <c r="CH24" i="25"/>
  <c r="CG204" i="25"/>
  <c r="CG179" i="25"/>
  <c r="CH83" i="25"/>
  <c r="CG203" i="25"/>
  <c r="CH130" i="25"/>
  <c r="CG172" i="25"/>
  <c r="CH6" i="25"/>
  <c r="CG145" i="25"/>
  <c r="CG133" i="25"/>
  <c r="CG120" i="25"/>
  <c r="CH19" i="25"/>
  <c r="CH184" i="25"/>
  <c r="CH48" i="25"/>
  <c r="CG121" i="25"/>
  <c r="CG208" i="25"/>
  <c r="CH99" i="25"/>
  <c r="CH53" i="25"/>
  <c r="CG168" i="25"/>
  <c r="CH15" i="25"/>
  <c r="CG132" i="25"/>
  <c r="CH29" i="25"/>
  <c r="CH35" i="25"/>
  <c r="CG152" i="25"/>
  <c r="CG161" i="25"/>
  <c r="CH96" i="25"/>
  <c r="CG124" i="25"/>
  <c r="CH21" i="25"/>
  <c r="CH32" i="25"/>
  <c r="CH54" i="25"/>
  <c r="CH87" i="25"/>
  <c r="CH18" i="25"/>
  <c r="CH28" i="25"/>
  <c r="CH63" i="25"/>
  <c r="CH26" i="25"/>
  <c r="CH38" i="25"/>
  <c r="CH41" i="25"/>
  <c r="CH36" i="25"/>
  <c r="CH44" i="25"/>
  <c r="CG173" i="25"/>
  <c r="CG196" i="25"/>
  <c r="CG116" i="25"/>
  <c r="CH14" i="25"/>
  <c r="CH17" i="25"/>
  <c r="CH76" i="25"/>
  <c r="CH84" i="25"/>
  <c r="CG202" i="25"/>
  <c r="CH127" i="25"/>
  <c r="CG206" i="25"/>
  <c r="CH69" i="25"/>
  <c r="CH42" i="25"/>
  <c r="CG134" i="25"/>
  <c r="CH43" i="25"/>
  <c r="CG153" i="25"/>
  <c r="CH62" i="25"/>
  <c r="CH12" i="25"/>
  <c r="CG201" i="25"/>
  <c r="CG139" i="25"/>
  <c r="CH61" i="25"/>
  <c r="CH49" i="25"/>
  <c r="CG210" i="25"/>
  <c r="CG167" i="25"/>
  <c r="CH23" i="25"/>
  <c r="CG111" i="25"/>
  <c r="CG123" i="25"/>
  <c r="CH11" i="25"/>
  <c r="CG176" i="25"/>
  <c r="CG195" i="25"/>
  <c r="CH104" i="25"/>
  <c r="CH90" i="25"/>
  <c r="CH173" i="25"/>
  <c r="CH118" i="25"/>
  <c r="CH67" i="25"/>
  <c r="CH57" i="25"/>
  <c r="CG197" i="25"/>
  <c r="CG157" i="25"/>
  <c r="CG151" i="25"/>
  <c r="CH30" i="25"/>
  <c r="CG186" i="25"/>
  <c r="CG166" i="25"/>
  <c r="CG154" i="25"/>
  <c r="CH9" i="25"/>
  <c r="CH16" i="25"/>
  <c r="CG142" i="25"/>
  <c r="CH95" i="25"/>
  <c r="CG135" i="25"/>
  <c r="CG162" i="25"/>
  <c r="CH68" i="25"/>
  <c r="CG141" i="25"/>
  <c r="CG117" i="25"/>
  <c r="CH60" i="25"/>
  <c r="CH39" i="25"/>
  <c r="CG140" i="25"/>
  <c r="CH100" i="25"/>
  <c r="CH80" i="25"/>
  <c r="CG144" i="25"/>
  <c r="CH92" i="25"/>
  <c r="CG188" i="25"/>
  <c r="CG113" i="25"/>
  <c r="CH101" i="25"/>
  <c r="CG165" i="25"/>
  <c r="CH10" i="25"/>
  <c r="CG126" i="25"/>
  <c r="CH93" i="25"/>
  <c r="CG137" i="25"/>
  <c r="CG125" i="25"/>
  <c r="CG191" i="25"/>
  <c r="CG193" i="25"/>
  <c r="CG209" i="25"/>
  <c r="CH85" i="25"/>
  <c r="CH94" i="25"/>
  <c r="CG146" i="25"/>
  <c r="CH46" i="25"/>
  <c r="CG149" i="25"/>
  <c r="CG150" i="25"/>
  <c r="CG129" i="25"/>
  <c r="CG175" i="25"/>
  <c r="CH13" i="25"/>
  <c r="CH75" i="25"/>
  <c r="CH72" i="25"/>
  <c r="EA78" i="24"/>
  <c r="FL78" i="24" s="1"/>
  <c r="CH183" i="25"/>
  <c r="CG183" i="25"/>
  <c r="CH102" i="25"/>
  <c r="CH27" i="25"/>
  <c r="CG128" i="25"/>
  <c r="CH20" i="25"/>
  <c r="CH105" i="25"/>
  <c r="CG189" i="25"/>
  <c r="CG163" i="25"/>
  <c r="CH78" i="25"/>
  <c r="CH137" i="25"/>
  <c r="CH59" i="25"/>
  <c r="CH22" i="25"/>
  <c r="CG180" i="25"/>
  <c r="CG199" i="25"/>
  <c r="CH66" i="25"/>
  <c r="CG177" i="25"/>
  <c r="CG164" i="25"/>
  <c r="CH34" i="25"/>
  <c r="CH86" i="25"/>
  <c r="CG178" i="25"/>
  <c r="CH98" i="25"/>
  <c r="CH50" i="25"/>
  <c r="CH7" i="25"/>
  <c r="CH8" i="25"/>
  <c r="CH74" i="25"/>
  <c r="CH128" i="25"/>
  <c r="CG171" i="25"/>
  <c r="CH97" i="25"/>
  <c r="CH71" i="25"/>
  <c r="CH199" i="25"/>
  <c r="CH33" i="25"/>
  <c r="CH88" i="25"/>
  <c r="CH45" i="25"/>
  <c r="CH164" i="25"/>
  <c r="CH40" i="25"/>
  <c r="CH52" i="25"/>
  <c r="CH91" i="25"/>
  <c r="CH31" i="25"/>
  <c r="CG103" i="25"/>
  <c r="CG86" i="25"/>
  <c r="I110" i="24"/>
  <c r="M110" i="24" s="1"/>
  <c r="CG6" i="25"/>
  <c r="CG39" i="25"/>
  <c r="CG49" i="25"/>
  <c r="CG78" i="25"/>
  <c r="CG24" i="25"/>
  <c r="CG63" i="25"/>
  <c r="CG42" i="25"/>
  <c r="CG38" i="25"/>
  <c r="CG14" i="25"/>
  <c r="CG41" i="25"/>
  <c r="CG10" i="25"/>
  <c r="CG96" i="25"/>
  <c r="EF58" i="25"/>
  <c r="EW58" i="25" s="1"/>
  <c r="FL58" i="25"/>
  <c r="CG101" i="25"/>
  <c r="CG61" i="25"/>
  <c r="CG66" i="25"/>
  <c r="CG44" i="25"/>
  <c r="CG98" i="25"/>
  <c r="CG84" i="25"/>
  <c r="CG45" i="25"/>
  <c r="EF81" i="25"/>
  <c r="EW81" i="25" s="1"/>
  <c r="FL81" i="25"/>
  <c r="EG56" i="25"/>
  <c r="EX56" i="25" s="1"/>
  <c r="FL56" i="25"/>
  <c r="CG17" i="25"/>
  <c r="EF77" i="25"/>
  <c r="EW77" i="25" s="1"/>
  <c r="FL77" i="25"/>
  <c r="EE89" i="25"/>
  <c r="EV89" i="25" s="1"/>
  <c r="FL89" i="25"/>
  <c r="EE103" i="25"/>
  <c r="EV103" i="25" s="1"/>
  <c r="FL103" i="25"/>
  <c r="CG102" i="25"/>
  <c r="CG9" i="25"/>
  <c r="CG105" i="25"/>
  <c r="CG65" i="25"/>
  <c r="CG87" i="25"/>
  <c r="CG95" i="25"/>
  <c r="CG23" i="25"/>
  <c r="CG88" i="25"/>
  <c r="CG55" i="25"/>
  <c r="CG90" i="25"/>
  <c r="CG15" i="25"/>
  <c r="CG82" i="25"/>
  <c r="CG57" i="25"/>
  <c r="CG73" i="25"/>
  <c r="CG8" i="25"/>
  <c r="CG104" i="25"/>
  <c r="CG31" i="25"/>
  <c r="CG21" i="25"/>
  <c r="CG99" i="25"/>
  <c r="CG36" i="25"/>
  <c r="CG59" i="25"/>
  <c r="CG11" i="25"/>
  <c r="CG53" i="25"/>
  <c r="CG29" i="25"/>
  <c r="CG35" i="25"/>
  <c r="CG13" i="25"/>
  <c r="CG51" i="25"/>
  <c r="CG70" i="25"/>
  <c r="CG81" i="25"/>
  <c r="CG25" i="25"/>
  <c r="CG62" i="25"/>
  <c r="CG22" i="25"/>
  <c r="CG97" i="25"/>
  <c r="CG30" i="25"/>
  <c r="CG26" i="25"/>
  <c r="CG79" i="25"/>
  <c r="CG56" i="25"/>
  <c r="CG80" i="25"/>
  <c r="CG50" i="25"/>
  <c r="CG72" i="25"/>
  <c r="CG74" i="25"/>
  <c r="EG47" i="25"/>
  <c r="EX47" i="25" s="1"/>
  <c r="FL47" i="25"/>
  <c r="EG37" i="25"/>
  <c r="EX37" i="25" s="1"/>
  <c r="FL37" i="25"/>
  <c r="CG69" i="25"/>
  <c r="CG19" i="25"/>
  <c r="CG12" i="25"/>
  <c r="CG37" i="25"/>
  <c r="CG68" i="25"/>
  <c r="CG28" i="25"/>
  <c r="CG34" i="25"/>
  <c r="CG60" i="25"/>
  <c r="CG93" i="25"/>
  <c r="CG100" i="25"/>
  <c r="CG76" i="25"/>
  <c r="CG77" i="25"/>
  <c r="EF25" i="25"/>
  <c r="EW25" i="25" s="1"/>
  <c r="FL25" i="25"/>
  <c r="CG32" i="25"/>
  <c r="CG16" i="25"/>
  <c r="CG94" i="25"/>
  <c r="CG58" i="25"/>
  <c r="CG18" i="25"/>
  <c r="CG71" i="25"/>
  <c r="CG48" i="25"/>
  <c r="CG40" i="25"/>
  <c r="CG46" i="25"/>
  <c r="CG89" i="25"/>
  <c r="CG47" i="25"/>
  <c r="CG64" i="25"/>
  <c r="CG7" i="25"/>
  <c r="CG54" i="25"/>
  <c r="EF33" i="25"/>
  <c r="EW33" i="25" s="1"/>
  <c r="FL33" i="25"/>
  <c r="EF73" i="25"/>
  <c r="EW73" i="25" s="1"/>
  <c r="FL73" i="25"/>
  <c r="CG27" i="25"/>
  <c r="CG20" i="25"/>
  <c r="CG43" i="25"/>
  <c r="CG92" i="25"/>
  <c r="CG85" i="25"/>
  <c r="CG67" i="25"/>
  <c r="CG83" i="25"/>
  <c r="CG52" i="25"/>
  <c r="CG91" i="25"/>
  <c r="CG75" i="25"/>
  <c r="EF47" i="25"/>
  <c r="EW47" i="25" s="1"/>
  <c r="EA92" i="24"/>
  <c r="FL92" i="24" s="1"/>
  <c r="EA74" i="24"/>
  <c r="FL74" i="24" s="1"/>
  <c r="EA60" i="24"/>
  <c r="EC60" i="24" s="1"/>
  <c r="ED60" i="24" s="1"/>
  <c r="EE64" i="25"/>
  <c r="EV64" i="25" s="1"/>
  <c r="EA39" i="24"/>
  <c r="CG190" i="24"/>
  <c r="EA169" i="24"/>
  <c r="EA44" i="24"/>
  <c r="EE164" i="25"/>
  <c r="EI164" i="25" s="1"/>
  <c r="EG103" i="25"/>
  <c r="EX103" i="25" s="1"/>
  <c r="EF103" i="25"/>
  <c r="EW103" i="25" s="1"/>
  <c r="EF64" i="25"/>
  <c r="EW64" i="25" s="1"/>
  <c r="EG64" i="25"/>
  <c r="EX64" i="25" s="1"/>
  <c r="EF96" i="25"/>
  <c r="EW96" i="25" s="1"/>
  <c r="EG96" i="25"/>
  <c r="EX96" i="25" s="1"/>
  <c r="EG89" i="25"/>
  <c r="EX89" i="25" s="1"/>
  <c r="EE96" i="25"/>
  <c r="EV96" i="25" s="1"/>
  <c r="EF89" i="25"/>
  <c r="EW89" i="25" s="1"/>
  <c r="EF128" i="25"/>
  <c r="EW128" i="25" s="1"/>
  <c r="EE128" i="25"/>
  <c r="EV128" i="25" s="1"/>
  <c r="EE77" i="25"/>
  <c r="EV77" i="25" s="1"/>
  <c r="EA127" i="24"/>
  <c r="FL127" i="24" s="1"/>
  <c r="EG183" i="25"/>
  <c r="EX183" i="25" s="1"/>
  <c r="EE183" i="25"/>
  <c r="EV183" i="25" s="1"/>
  <c r="EF183" i="25"/>
  <c r="EW183" i="25" s="1"/>
  <c r="EF95" i="25"/>
  <c r="EW95" i="25" s="1"/>
  <c r="EE185" i="25"/>
  <c r="EI185" i="25" s="1"/>
  <c r="EF185" i="25"/>
  <c r="EW185" i="25" s="1"/>
  <c r="EG97" i="25"/>
  <c r="EX97" i="25" s="1"/>
  <c r="EG158" i="25"/>
  <c r="EX158" i="25" s="1"/>
  <c r="EG145" i="25"/>
  <c r="EX145" i="25" s="1"/>
  <c r="EF158" i="25"/>
  <c r="EW158" i="25" s="1"/>
  <c r="EE145" i="25"/>
  <c r="EI145" i="25" s="1"/>
  <c r="EE158" i="25"/>
  <c r="EV158" i="25" s="1"/>
  <c r="EF145" i="25"/>
  <c r="EW145" i="25" s="1"/>
  <c r="EE136" i="25"/>
  <c r="EI136" i="25" s="1"/>
  <c r="EF99" i="25"/>
  <c r="EW99" i="25" s="1"/>
  <c r="EG136" i="25"/>
  <c r="EX136" i="25" s="1"/>
  <c r="EG99" i="25"/>
  <c r="EX99" i="25" s="1"/>
  <c r="EF136" i="25"/>
  <c r="EW136" i="25" s="1"/>
  <c r="EE99" i="25"/>
  <c r="EV99" i="25" s="1"/>
  <c r="EE97" i="25"/>
  <c r="EV97" i="25" s="1"/>
  <c r="EF97" i="25"/>
  <c r="EW97" i="25" s="1"/>
  <c r="EG95" i="25"/>
  <c r="EX95" i="25" s="1"/>
  <c r="EE131" i="25"/>
  <c r="EV131" i="25" s="1"/>
  <c r="EF74" i="25"/>
  <c r="EW74" i="25" s="1"/>
  <c r="EF83" i="25"/>
  <c r="EW83" i="25" s="1"/>
  <c r="EF93" i="25"/>
  <c r="EW93" i="25" s="1"/>
  <c r="EA126" i="24"/>
  <c r="EE95" i="25"/>
  <c r="EV95" i="25" s="1"/>
  <c r="EG185" i="25"/>
  <c r="EX185" i="25" s="1"/>
  <c r="EE17" i="25"/>
  <c r="EI17" i="25" s="1"/>
  <c r="EO17" i="25" s="1"/>
  <c r="EF17" i="25"/>
  <c r="EW17" i="25" s="1"/>
  <c r="EG17" i="25"/>
  <c r="EX17" i="25" s="1"/>
  <c r="EG74" i="25"/>
  <c r="EX74" i="25" s="1"/>
  <c r="EF131" i="25"/>
  <c r="EW131" i="25" s="1"/>
  <c r="EE74" i="25"/>
  <c r="EV74" i="25" s="1"/>
  <c r="EG131" i="25"/>
  <c r="EX131" i="25" s="1"/>
  <c r="EA37" i="24"/>
  <c r="EA52" i="24"/>
  <c r="EA172" i="24"/>
  <c r="FL172" i="24" s="1"/>
  <c r="EG33" i="25"/>
  <c r="EX33" i="25" s="1"/>
  <c r="EF90" i="25"/>
  <c r="EW90" i="25" s="1"/>
  <c r="EE33" i="25"/>
  <c r="EV33" i="25" s="1"/>
  <c r="EG90" i="25"/>
  <c r="EX90" i="25" s="1"/>
  <c r="EE90" i="25"/>
  <c r="EI90" i="25" s="1"/>
  <c r="EO90" i="25" s="1"/>
  <c r="CG216" i="24"/>
  <c r="EG93" i="25"/>
  <c r="EX93" i="25" s="1"/>
  <c r="EE93" i="25"/>
  <c r="EV93" i="25" s="1"/>
  <c r="EA90" i="24"/>
  <c r="EG73" i="25"/>
  <c r="EX73" i="25" s="1"/>
  <c r="EE73" i="25"/>
  <c r="EV73" i="25" s="1"/>
  <c r="EG58" i="25"/>
  <c r="EX58" i="25" s="1"/>
  <c r="EE58" i="25"/>
  <c r="EV58" i="25" s="1"/>
  <c r="CH275" i="25"/>
  <c r="CG287" i="25"/>
  <c r="CH313" i="25"/>
  <c r="CH267" i="25"/>
  <c r="CG231" i="25"/>
  <c r="CG236" i="25"/>
  <c r="CH229" i="25"/>
  <c r="CH240" i="25"/>
  <c r="CH225" i="25"/>
  <c r="CH252" i="25"/>
  <c r="CG286" i="25"/>
  <c r="CH268" i="25"/>
  <c r="CG282" i="25"/>
  <c r="CH273" i="25"/>
  <c r="CG316" i="25"/>
  <c r="CH254" i="25"/>
  <c r="CH274" i="25"/>
  <c r="CG277" i="25"/>
  <c r="CH266" i="25"/>
  <c r="CG279" i="25"/>
  <c r="CG260" i="25"/>
  <c r="CG299" i="25"/>
  <c r="CG251" i="25"/>
  <c r="CG244" i="25"/>
  <c r="CG300" i="25"/>
  <c r="CG220" i="25"/>
  <c r="CG249" i="25"/>
  <c r="CG237" i="25"/>
  <c r="CH270" i="25"/>
  <c r="CG296" i="25"/>
  <c r="CG276" i="25"/>
  <c r="CG297" i="25"/>
  <c r="CG311" i="25"/>
  <c r="CH314" i="25"/>
  <c r="CG293" i="25"/>
  <c r="CG255" i="25"/>
  <c r="CG241" i="25"/>
  <c r="CG221" i="25"/>
  <c r="CH298" i="25"/>
  <c r="CG281" i="25"/>
  <c r="CG217" i="25"/>
  <c r="CG239" i="25"/>
  <c r="CH250" i="25"/>
  <c r="CG308" i="25"/>
  <c r="CG263" i="25"/>
  <c r="CH242" i="25"/>
  <c r="CG256" i="25"/>
  <c r="CG285" i="25"/>
  <c r="CH290" i="25"/>
  <c r="CH278" i="25"/>
  <c r="CG284" i="25"/>
  <c r="CG264" i="25"/>
  <c r="CH310" i="25"/>
  <c r="CG272" i="25"/>
  <c r="CG269" i="25"/>
  <c r="CG291" i="25"/>
  <c r="CH306" i="25"/>
  <c r="CG235" i="25"/>
  <c r="CH302" i="25"/>
  <c r="CG243" i="25"/>
  <c r="CG303" i="25"/>
  <c r="CH230" i="25"/>
  <c r="CH294" i="25"/>
  <c r="CG305" i="25"/>
  <c r="CG219" i="25"/>
  <c r="CG280" i="25"/>
  <c r="CG259" i="25"/>
  <c r="CH226" i="25"/>
  <c r="CH238" i="25"/>
  <c r="CG301" i="25"/>
  <c r="CH218" i="25"/>
  <c r="CG312" i="25"/>
  <c r="CG292" i="25"/>
  <c r="CG309" i="25"/>
  <c r="CG253" i="25"/>
  <c r="CG228" i="25"/>
  <c r="CG247" i="25"/>
  <c r="CG304" i="25"/>
  <c r="CG289" i="25"/>
  <c r="CG295" i="25"/>
  <c r="CG288" i="25"/>
  <c r="CH258" i="25"/>
  <c r="CG257" i="25"/>
  <c r="CG265" i="25"/>
  <c r="CH222" i="25"/>
  <c r="CG307" i="25"/>
  <c r="CG233" i="25"/>
  <c r="CG283" i="25"/>
  <c r="CH246" i="25"/>
  <c r="CG232" i="25"/>
  <c r="CH262" i="25"/>
  <c r="CH234" i="25"/>
  <c r="CG227" i="25"/>
  <c r="CG315" i="25"/>
  <c r="CG224" i="25"/>
  <c r="CG223" i="25"/>
  <c r="CG245" i="25"/>
  <c r="CG248" i="25"/>
  <c r="CG261" i="25"/>
  <c r="CG271" i="25"/>
  <c r="EA63" i="24"/>
  <c r="EA133" i="24"/>
  <c r="EF56" i="25"/>
  <c r="EW56" i="25" s="1"/>
  <c r="EE56" i="25"/>
  <c r="EI56" i="25" s="1"/>
  <c r="EO56" i="25" s="1"/>
  <c r="EE37" i="25"/>
  <c r="EV37" i="25" s="1"/>
  <c r="EF37" i="25"/>
  <c r="EW37" i="25" s="1"/>
  <c r="EF171" i="25"/>
  <c r="EW171" i="25" s="1"/>
  <c r="EV182" i="25"/>
  <c r="FB182" i="25" s="1"/>
  <c r="EG77" i="25"/>
  <c r="EX77" i="25" s="1"/>
  <c r="EF164" i="25"/>
  <c r="EW164" i="25" s="1"/>
  <c r="EG199" i="25"/>
  <c r="EX199" i="25" s="1"/>
  <c r="EE199" i="25"/>
  <c r="EV199" i="25" s="1"/>
  <c r="EE25" i="25"/>
  <c r="EV25" i="25" s="1"/>
  <c r="EK110" i="24"/>
  <c r="EW110" i="24"/>
  <c r="FB110" i="24" s="1"/>
  <c r="EK5" i="24"/>
  <c r="EQ5" i="24" s="1"/>
  <c r="EW5" i="24"/>
  <c r="EZ5" i="24" s="1"/>
  <c r="FB5" i="24" s="1"/>
  <c r="EF194" i="25"/>
  <c r="EW194" i="25" s="1"/>
  <c r="EG23" i="25"/>
  <c r="EX23" i="25" s="1"/>
  <c r="EG87" i="25"/>
  <c r="EX87" i="25" s="1"/>
  <c r="EE34" i="25"/>
  <c r="EV34" i="25" s="1"/>
  <c r="EE47" i="25"/>
  <c r="EV47" i="25" s="1"/>
  <c r="EE42" i="25"/>
  <c r="EI42" i="25" s="1"/>
  <c r="EO42" i="25" s="1"/>
  <c r="EE83" i="25"/>
  <c r="EV83" i="25" s="1"/>
  <c r="EE129" i="25"/>
  <c r="EV129" i="25" s="1"/>
  <c r="EA71" i="24"/>
  <c r="EE156" i="25"/>
  <c r="EI156" i="25" s="1"/>
  <c r="EG156" i="25"/>
  <c r="EX156" i="25" s="1"/>
  <c r="EA55" i="24"/>
  <c r="EG178" i="25"/>
  <c r="EX178" i="25" s="1"/>
  <c r="EA186" i="24"/>
  <c r="EG83" i="25"/>
  <c r="EX83" i="25" s="1"/>
  <c r="EG137" i="25"/>
  <c r="EX137" i="25" s="1"/>
  <c r="EE137" i="25"/>
  <c r="EV137" i="25" s="1"/>
  <c r="EA142" i="24"/>
  <c r="EE141" i="25"/>
  <c r="EV141" i="25" s="1"/>
  <c r="EE81" i="25"/>
  <c r="EV81" i="25" s="1"/>
  <c r="EF156" i="25"/>
  <c r="EW156" i="25" s="1"/>
  <c r="EG81" i="25"/>
  <c r="EX81" i="25" s="1"/>
  <c r="EG194" i="25"/>
  <c r="EX194" i="25" s="1"/>
  <c r="EG141" i="25"/>
  <c r="EX141" i="25" s="1"/>
  <c r="EA199" i="24"/>
  <c r="EA136" i="24"/>
  <c r="EF141" i="25"/>
  <c r="EW141" i="25" s="1"/>
  <c r="EE194" i="25"/>
  <c r="EI194" i="25" s="1"/>
  <c r="EG42" i="25"/>
  <c r="EX42" i="25" s="1"/>
  <c r="EE173" i="25"/>
  <c r="EV173" i="25" s="1"/>
  <c r="EF173" i="25"/>
  <c r="EW173" i="25" s="1"/>
  <c r="EF42" i="25"/>
  <c r="EW42" i="25" s="1"/>
  <c r="EE171" i="25"/>
  <c r="EI171" i="25" s="1"/>
  <c r="EF178" i="25"/>
  <c r="EW178" i="25" s="1"/>
  <c r="EA111" i="24"/>
  <c r="EA48" i="24"/>
  <c r="EA67" i="24"/>
  <c r="EA160" i="24"/>
  <c r="EA30" i="24"/>
  <c r="EA104" i="24"/>
  <c r="EA170" i="24"/>
  <c r="EF111" i="25"/>
  <c r="EW111" i="25" s="1"/>
  <c r="EA83" i="24"/>
  <c r="FL83" i="24" s="1"/>
  <c r="EA14" i="24"/>
  <c r="FL14" i="24" s="1"/>
  <c r="EA147" i="24"/>
  <c r="EA132" i="24"/>
  <c r="EA192" i="24"/>
  <c r="EE178" i="25"/>
  <c r="EV178" i="25" s="1"/>
  <c r="EA124" i="24"/>
  <c r="EF169" i="25"/>
  <c r="EW169" i="25" s="1"/>
  <c r="EG180" i="25"/>
  <c r="EX180" i="25" s="1"/>
  <c r="EG169" i="25"/>
  <c r="EX169" i="25" s="1"/>
  <c r="EE180" i="25"/>
  <c r="EV180" i="25" s="1"/>
  <c r="EE169" i="25"/>
  <c r="EI169" i="25" s="1"/>
  <c r="EF180" i="25"/>
  <c r="EW180" i="25" s="1"/>
  <c r="EG129" i="25"/>
  <c r="EX129" i="25" s="1"/>
  <c r="EF9" i="25"/>
  <c r="EW9" i="25" s="1"/>
  <c r="EG9" i="25"/>
  <c r="EX9" i="25" s="1"/>
  <c r="EF34" i="25"/>
  <c r="EW34" i="25" s="1"/>
  <c r="EG111" i="25"/>
  <c r="EX111" i="25" s="1"/>
  <c r="EG25" i="25"/>
  <c r="EX25" i="25" s="1"/>
  <c r="EF129" i="25"/>
  <c r="EW129" i="25" s="1"/>
  <c r="EE111" i="25"/>
  <c r="EV111" i="25" s="1"/>
  <c r="EF87" i="25"/>
  <c r="EW87" i="25" s="1"/>
  <c r="EE23" i="25"/>
  <c r="EV23" i="25" s="1"/>
  <c r="EF23" i="25"/>
  <c r="EW23" i="25" s="1"/>
  <c r="EF49" i="25"/>
  <c r="EW49" i="25" s="1"/>
  <c r="EE9" i="25"/>
  <c r="EV9" i="25" s="1"/>
  <c r="EG49" i="25"/>
  <c r="EX49" i="25" s="1"/>
  <c r="EE49" i="25"/>
  <c r="EV49" i="25" s="1"/>
  <c r="EG34" i="25"/>
  <c r="EX34" i="25" s="1"/>
  <c r="EE87" i="25"/>
  <c r="EV87" i="25" s="1"/>
  <c r="EG94" i="25"/>
  <c r="EX94" i="25" s="1"/>
  <c r="EF94" i="25"/>
  <c r="EW94" i="25" s="1"/>
  <c r="EE94" i="25"/>
  <c r="EG196" i="25"/>
  <c r="EX196" i="25" s="1"/>
  <c r="EF196" i="25"/>
  <c r="EW196" i="25" s="1"/>
  <c r="EE196" i="25"/>
  <c r="EG118" i="25"/>
  <c r="EX118" i="25" s="1"/>
  <c r="EF118" i="25"/>
  <c r="EW118" i="25" s="1"/>
  <c r="EE118" i="25"/>
  <c r="EE147" i="25"/>
  <c r="EF147" i="25"/>
  <c r="EW147" i="25" s="1"/>
  <c r="EG147" i="25"/>
  <c r="EX147" i="25" s="1"/>
  <c r="EE154" i="25"/>
  <c r="EG154" i="25"/>
  <c r="EX154" i="25" s="1"/>
  <c r="EF154" i="25"/>
  <c r="EW154" i="25" s="1"/>
  <c r="EE62" i="25"/>
  <c r="EG62" i="25"/>
  <c r="EX62" i="25" s="1"/>
  <c r="EF62" i="25"/>
  <c r="EW62" i="25" s="1"/>
  <c r="EF86" i="25"/>
  <c r="EW86" i="25" s="1"/>
  <c r="EE86" i="25"/>
  <c r="EG86" i="25"/>
  <c r="EX86" i="25" s="1"/>
  <c r="EG174" i="25"/>
  <c r="EX174" i="25" s="1"/>
  <c r="EF174" i="25"/>
  <c r="EW174" i="25" s="1"/>
  <c r="EE174" i="25"/>
  <c r="EG160" i="25"/>
  <c r="EX160" i="25" s="1"/>
  <c r="EF160" i="25"/>
  <c r="EW160" i="25" s="1"/>
  <c r="EE160" i="25"/>
  <c r="EE115" i="25"/>
  <c r="EG115" i="25"/>
  <c r="EX115" i="25" s="1"/>
  <c r="EF115" i="25"/>
  <c r="EW115" i="25" s="1"/>
  <c r="EG144" i="25"/>
  <c r="EX144" i="25" s="1"/>
  <c r="EF144" i="25"/>
  <c r="EW144" i="25" s="1"/>
  <c r="EE144" i="25"/>
  <c r="EG187" i="25"/>
  <c r="EX187" i="25" s="1"/>
  <c r="EF187" i="25"/>
  <c r="EW187" i="25" s="1"/>
  <c r="EE187" i="25"/>
  <c r="EE146" i="25"/>
  <c r="EF146" i="25"/>
  <c r="EW146" i="25" s="1"/>
  <c r="EG146" i="25"/>
  <c r="EX146" i="25" s="1"/>
  <c r="EF59" i="25"/>
  <c r="EW59" i="25" s="1"/>
  <c r="EE59" i="25"/>
  <c r="EG59" i="25"/>
  <c r="EX59" i="25" s="1"/>
  <c r="EG18" i="25"/>
  <c r="EX18" i="25" s="1"/>
  <c r="EE18" i="25"/>
  <c r="EF18" i="25"/>
  <c r="EW18" i="25" s="1"/>
  <c r="EE209" i="25"/>
  <c r="EG209" i="25"/>
  <c r="EX209" i="25" s="1"/>
  <c r="EF209" i="25"/>
  <c r="EW209" i="25" s="1"/>
  <c r="EF125" i="25"/>
  <c r="EW125" i="25" s="1"/>
  <c r="EE125" i="25"/>
  <c r="EG125" i="25"/>
  <c r="EX125" i="25" s="1"/>
  <c r="EF207" i="25"/>
  <c r="EW207" i="25" s="1"/>
  <c r="EE207" i="25"/>
  <c r="EG207" i="25"/>
  <c r="EX207" i="25" s="1"/>
  <c r="EG119" i="25"/>
  <c r="EX119" i="25" s="1"/>
  <c r="EF119" i="25"/>
  <c r="EW119" i="25" s="1"/>
  <c r="EE119" i="25"/>
  <c r="EF161" i="25"/>
  <c r="EW161" i="25" s="1"/>
  <c r="EE161" i="25"/>
  <c r="EG161" i="25"/>
  <c r="EX161" i="25" s="1"/>
  <c r="EE66" i="25"/>
  <c r="EG66" i="25"/>
  <c r="EX66" i="25" s="1"/>
  <c r="EF66" i="25"/>
  <c r="EW66" i="25" s="1"/>
  <c r="EE177" i="25"/>
  <c r="EG177" i="25"/>
  <c r="EX177" i="25" s="1"/>
  <c r="EF177" i="25"/>
  <c r="EW177" i="25" s="1"/>
  <c r="EF140" i="25"/>
  <c r="EW140" i="25" s="1"/>
  <c r="EE140" i="25"/>
  <c r="EG140" i="25"/>
  <c r="EX140" i="25" s="1"/>
  <c r="EG188" i="25"/>
  <c r="EX188" i="25" s="1"/>
  <c r="EF188" i="25"/>
  <c r="EW188" i="25" s="1"/>
  <c r="EE188" i="25"/>
  <c r="EV138" i="25"/>
  <c r="FB138" i="25" s="1"/>
  <c r="EI138" i="25"/>
  <c r="EE12" i="25"/>
  <c r="EF12" i="25"/>
  <c r="EW12" i="25" s="1"/>
  <c r="EG12" i="25"/>
  <c r="EX12" i="25" s="1"/>
  <c r="EG69" i="25"/>
  <c r="EX69" i="25" s="1"/>
  <c r="EE69" i="25"/>
  <c r="EF69" i="25"/>
  <c r="EW69" i="25" s="1"/>
  <c r="EE149" i="25"/>
  <c r="EF149" i="25"/>
  <c r="EW149" i="25" s="1"/>
  <c r="EG149" i="25"/>
  <c r="EX149" i="25" s="1"/>
  <c r="EE162" i="25"/>
  <c r="EG162" i="25"/>
  <c r="EX162" i="25" s="1"/>
  <c r="EF162" i="25"/>
  <c r="EW162" i="25" s="1"/>
  <c r="EE78" i="25"/>
  <c r="EG78" i="25"/>
  <c r="EX78" i="25" s="1"/>
  <c r="EF78" i="25"/>
  <c r="EW78" i="25" s="1"/>
  <c r="EG6" i="25"/>
  <c r="EX6" i="25" s="1"/>
  <c r="EF6" i="25"/>
  <c r="EW6" i="25" s="1"/>
  <c r="EE6" i="25"/>
  <c r="EG123" i="25"/>
  <c r="EX123" i="25" s="1"/>
  <c r="EF123" i="25"/>
  <c r="EW123" i="25" s="1"/>
  <c r="EE123" i="25"/>
  <c r="EV181" i="25"/>
  <c r="FB181" i="25" s="1"/>
  <c r="EI181" i="25"/>
  <c r="EG163" i="25"/>
  <c r="EX163" i="25" s="1"/>
  <c r="EF163" i="25"/>
  <c r="EW163" i="25" s="1"/>
  <c r="EE163" i="25"/>
  <c r="EG27" i="25"/>
  <c r="EX27" i="25" s="1"/>
  <c r="EF27" i="25"/>
  <c r="EW27" i="25" s="1"/>
  <c r="EE27" i="25"/>
  <c r="EF40" i="25"/>
  <c r="EW40" i="25" s="1"/>
  <c r="EE40" i="25"/>
  <c r="EG40" i="25"/>
  <c r="EX40" i="25" s="1"/>
  <c r="EF191" i="25"/>
  <c r="EW191" i="25" s="1"/>
  <c r="EG191" i="25"/>
  <c r="EX191" i="25" s="1"/>
  <c r="EE191" i="25"/>
  <c r="EG51" i="25"/>
  <c r="EX51" i="25" s="1"/>
  <c r="EE51" i="25"/>
  <c r="EF51" i="25"/>
  <c r="EW51" i="25" s="1"/>
  <c r="EF63" i="25"/>
  <c r="EW63" i="25" s="1"/>
  <c r="EE63" i="25"/>
  <c r="EG63" i="25"/>
  <c r="EX63" i="25" s="1"/>
  <c r="EE110" i="25"/>
  <c r="EG110" i="25"/>
  <c r="EX110" i="25" s="1"/>
  <c r="EF110" i="25"/>
  <c r="EW110" i="25" s="1"/>
  <c r="EE150" i="25"/>
  <c r="EG150" i="25"/>
  <c r="EX150" i="25" s="1"/>
  <c r="EF150" i="25"/>
  <c r="EW150" i="25" s="1"/>
  <c r="EE186" i="25"/>
  <c r="EG186" i="25"/>
  <c r="EX186" i="25" s="1"/>
  <c r="EF186" i="25"/>
  <c r="EW186" i="25" s="1"/>
  <c r="EF120" i="25"/>
  <c r="EW120" i="25" s="1"/>
  <c r="EE120" i="25"/>
  <c r="EG120" i="25"/>
  <c r="EX120" i="25" s="1"/>
  <c r="EE104" i="25"/>
  <c r="EG104" i="25"/>
  <c r="EX104" i="25" s="1"/>
  <c r="EF104" i="25"/>
  <c r="EW104" i="25" s="1"/>
  <c r="EF8" i="25"/>
  <c r="EW8" i="25" s="1"/>
  <c r="EG8" i="25"/>
  <c r="EX8" i="25" s="1"/>
  <c r="EE8" i="25"/>
  <c r="EE55" i="25"/>
  <c r="EG55" i="25"/>
  <c r="EX55" i="25" s="1"/>
  <c r="EF55" i="25"/>
  <c r="EW55" i="25" s="1"/>
  <c r="EE41" i="25"/>
  <c r="EG41" i="25"/>
  <c r="EX41" i="25" s="1"/>
  <c r="EF41" i="25"/>
  <c r="EW41" i="25" s="1"/>
  <c r="EG151" i="25"/>
  <c r="EX151" i="25" s="1"/>
  <c r="EF151" i="25"/>
  <c r="EW151" i="25" s="1"/>
  <c r="EE151" i="25"/>
  <c r="EG208" i="25"/>
  <c r="EX208" i="25" s="1"/>
  <c r="EF208" i="25"/>
  <c r="EW208" i="25" s="1"/>
  <c r="EE208" i="25"/>
  <c r="EE159" i="25"/>
  <c r="EG159" i="25"/>
  <c r="EX159" i="25" s="1"/>
  <c r="EF159" i="25"/>
  <c r="EW159" i="25" s="1"/>
  <c r="EF43" i="25"/>
  <c r="EW43" i="25" s="1"/>
  <c r="EE43" i="25"/>
  <c r="EG43" i="25"/>
  <c r="EX43" i="25" s="1"/>
  <c r="EE13" i="25"/>
  <c r="EG13" i="25"/>
  <c r="EX13" i="25" s="1"/>
  <c r="EF13" i="25"/>
  <c r="EW13" i="25" s="1"/>
  <c r="EF26" i="25"/>
  <c r="EW26" i="25" s="1"/>
  <c r="EE26" i="25"/>
  <c r="EG26" i="25"/>
  <c r="EX26" i="25" s="1"/>
  <c r="EE21" i="25"/>
  <c r="EG21" i="25"/>
  <c r="EX21" i="25" s="1"/>
  <c r="EF21" i="25"/>
  <c r="EW21" i="25" s="1"/>
  <c r="EE175" i="25"/>
  <c r="EG175" i="25"/>
  <c r="EX175" i="25" s="1"/>
  <c r="EF175" i="25"/>
  <c r="EW175" i="25" s="1"/>
  <c r="EE82" i="25"/>
  <c r="EG82" i="25"/>
  <c r="EX82" i="25" s="1"/>
  <c r="EF82" i="25"/>
  <c r="EW82" i="25" s="1"/>
  <c r="EF176" i="25"/>
  <c r="EW176" i="25" s="1"/>
  <c r="EE176" i="25"/>
  <c r="EG176" i="25"/>
  <c r="EX176" i="25" s="1"/>
  <c r="EF121" i="25"/>
  <c r="EW121" i="25" s="1"/>
  <c r="EE121" i="25"/>
  <c r="EG121" i="25"/>
  <c r="EX121" i="25" s="1"/>
  <c r="EE195" i="25"/>
  <c r="EG195" i="25"/>
  <c r="EX195" i="25" s="1"/>
  <c r="EF195" i="25"/>
  <c r="EW195" i="25" s="1"/>
  <c r="EF24" i="25"/>
  <c r="EW24" i="25" s="1"/>
  <c r="EE24" i="25"/>
  <c r="EG24" i="25"/>
  <c r="EX24" i="25" s="1"/>
  <c r="EG189" i="25"/>
  <c r="EX189" i="25" s="1"/>
  <c r="EF189" i="25"/>
  <c r="EW189" i="25" s="1"/>
  <c r="EE189" i="25"/>
  <c r="EV143" i="25"/>
  <c r="FB143" i="25" s="1"/>
  <c r="EI143" i="25"/>
  <c r="EF57" i="25"/>
  <c r="EW57" i="25" s="1"/>
  <c r="EG57" i="25"/>
  <c r="EX57" i="25" s="1"/>
  <c r="EE57" i="25"/>
  <c r="EE124" i="25"/>
  <c r="EG124" i="25"/>
  <c r="EX124" i="25" s="1"/>
  <c r="EF124" i="25"/>
  <c r="EW124" i="25" s="1"/>
  <c r="EF126" i="25"/>
  <c r="EW126" i="25" s="1"/>
  <c r="EG126" i="25"/>
  <c r="EX126" i="25" s="1"/>
  <c r="EE126" i="25"/>
  <c r="EG135" i="25"/>
  <c r="EX135" i="25" s="1"/>
  <c r="EF135" i="25"/>
  <c r="EW135" i="25" s="1"/>
  <c r="EE135" i="25"/>
  <c r="EF79" i="25"/>
  <c r="EW79" i="25" s="1"/>
  <c r="EG79" i="25"/>
  <c r="EX79" i="25" s="1"/>
  <c r="EE79" i="25"/>
  <c r="EE31" i="25"/>
  <c r="EG31" i="25"/>
  <c r="EX31" i="25" s="1"/>
  <c r="EF31" i="25"/>
  <c r="EW31" i="25" s="1"/>
  <c r="EE105" i="25"/>
  <c r="EG105" i="25"/>
  <c r="EX105" i="25" s="1"/>
  <c r="EF105" i="25"/>
  <c r="EW105" i="25" s="1"/>
  <c r="EF11" i="25"/>
  <c r="EW11" i="25" s="1"/>
  <c r="EE11" i="25"/>
  <c r="EG11" i="25"/>
  <c r="EX11" i="25" s="1"/>
  <c r="EG84" i="25"/>
  <c r="EX84" i="25" s="1"/>
  <c r="EF84" i="25"/>
  <c r="EW84" i="25" s="1"/>
  <c r="EE84" i="25"/>
  <c r="EG133" i="25"/>
  <c r="EX133" i="25" s="1"/>
  <c r="EF133" i="25"/>
  <c r="EW133" i="25" s="1"/>
  <c r="EE133" i="25"/>
  <c r="EG19" i="25"/>
  <c r="EX19" i="25" s="1"/>
  <c r="EF19" i="25"/>
  <c r="EW19" i="25" s="1"/>
  <c r="EE19" i="25"/>
  <c r="EE50" i="25"/>
  <c r="EG50" i="25"/>
  <c r="EX50" i="25" s="1"/>
  <c r="EF50" i="25"/>
  <c r="EW50" i="25" s="1"/>
  <c r="EF71" i="25"/>
  <c r="EW71" i="25" s="1"/>
  <c r="EE71" i="25"/>
  <c r="EG71" i="25"/>
  <c r="EX71" i="25" s="1"/>
  <c r="EF10" i="25"/>
  <c r="EW10" i="25" s="1"/>
  <c r="EE10" i="25"/>
  <c r="EG10" i="25"/>
  <c r="EX10" i="25" s="1"/>
  <c r="EF46" i="25"/>
  <c r="EW46" i="25" s="1"/>
  <c r="EE46" i="25"/>
  <c r="EG46" i="25"/>
  <c r="EX46" i="25" s="1"/>
  <c r="EF155" i="25"/>
  <c r="EW155" i="25" s="1"/>
  <c r="EE155" i="25"/>
  <c r="EG155" i="25"/>
  <c r="EX155" i="25" s="1"/>
  <c r="EG28" i="25"/>
  <c r="EX28" i="25" s="1"/>
  <c r="EF28" i="25"/>
  <c r="EW28" i="25" s="1"/>
  <c r="EE28" i="25"/>
  <c r="EG15" i="25"/>
  <c r="EX15" i="25" s="1"/>
  <c r="EF15" i="25"/>
  <c r="EW15" i="25" s="1"/>
  <c r="EE15" i="25"/>
  <c r="EE202" i="25"/>
  <c r="EG202" i="25"/>
  <c r="EX202" i="25" s="1"/>
  <c r="EF202" i="25"/>
  <c r="EW202" i="25" s="1"/>
  <c r="EF7" i="25"/>
  <c r="EW7" i="25" s="1"/>
  <c r="EE7" i="25"/>
  <c r="EG7" i="25"/>
  <c r="EX7" i="25" s="1"/>
  <c r="EE14" i="25"/>
  <c r="EG14" i="25"/>
  <c r="EX14" i="25" s="1"/>
  <c r="EF14" i="25"/>
  <c r="EW14" i="25" s="1"/>
  <c r="EE205" i="25"/>
  <c r="EG205" i="25"/>
  <c r="EX205" i="25" s="1"/>
  <c r="EF205" i="25"/>
  <c r="EW205" i="25" s="1"/>
  <c r="EE116" i="25"/>
  <c r="EG116" i="25"/>
  <c r="EX116" i="25" s="1"/>
  <c r="EF116" i="25"/>
  <c r="EW116" i="25" s="1"/>
  <c r="EE88" i="25"/>
  <c r="EG88" i="25"/>
  <c r="EX88" i="25" s="1"/>
  <c r="EF88" i="25"/>
  <c r="EW88" i="25" s="1"/>
  <c r="EG142" i="25"/>
  <c r="EX142" i="25" s="1"/>
  <c r="EF142" i="25"/>
  <c r="EW142" i="25" s="1"/>
  <c r="EE142" i="25"/>
  <c r="EE193" i="25"/>
  <c r="EG193" i="25"/>
  <c r="EX193" i="25" s="1"/>
  <c r="EF193" i="25"/>
  <c r="EW193" i="25" s="1"/>
  <c r="EG75" i="25"/>
  <c r="EX75" i="25" s="1"/>
  <c r="EE75" i="25"/>
  <c r="EF75" i="25"/>
  <c r="EW75" i="25" s="1"/>
  <c r="EF190" i="25"/>
  <c r="EW190" i="25" s="1"/>
  <c r="EG190" i="25"/>
  <c r="EX190" i="25" s="1"/>
  <c r="EE190" i="25"/>
  <c r="EF29" i="25"/>
  <c r="EW29" i="25" s="1"/>
  <c r="EE29" i="25"/>
  <c r="EG29" i="25"/>
  <c r="EX29" i="25" s="1"/>
  <c r="EF35" i="25"/>
  <c r="EW35" i="25" s="1"/>
  <c r="EE35" i="25"/>
  <c r="EG35" i="25"/>
  <c r="EX35" i="25" s="1"/>
  <c r="EF92" i="25"/>
  <c r="EW92" i="25" s="1"/>
  <c r="EE92" i="25"/>
  <c r="EG92" i="25"/>
  <c r="EX92" i="25" s="1"/>
  <c r="EF114" i="25"/>
  <c r="EW114" i="25" s="1"/>
  <c r="EE114" i="25"/>
  <c r="EG114" i="25"/>
  <c r="EX114" i="25" s="1"/>
  <c r="EG166" i="25"/>
  <c r="EX166" i="25" s="1"/>
  <c r="EF166" i="25"/>
  <c r="EW166" i="25" s="1"/>
  <c r="EE166" i="25"/>
  <c r="EF206" i="25"/>
  <c r="EW206" i="25" s="1"/>
  <c r="EG206" i="25"/>
  <c r="EX206" i="25" s="1"/>
  <c r="EE206" i="25"/>
  <c r="EF203" i="25"/>
  <c r="EW203" i="25" s="1"/>
  <c r="EE203" i="25"/>
  <c r="EG203" i="25"/>
  <c r="EX203" i="25" s="1"/>
  <c r="EF76" i="25"/>
  <c r="EW76" i="25" s="1"/>
  <c r="EE76" i="25"/>
  <c r="EG76" i="25"/>
  <c r="EX76" i="25" s="1"/>
  <c r="EF36" i="25"/>
  <c r="EW36" i="25" s="1"/>
  <c r="EE36" i="25"/>
  <c r="EG36" i="25"/>
  <c r="EX36" i="25" s="1"/>
  <c r="EG134" i="25"/>
  <c r="EX134" i="25" s="1"/>
  <c r="EE134" i="25"/>
  <c r="EF134" i="25"/>
  <c r="EW134" i="25" s="1"/>
  <c r="EG152" i="25"/>
  <c r="EX152" i="25" s="1"/>
  <c r="EF152" i="25"/>
  <c r="EW152" i="25" s="1"/>
  <c r="EE152" i="25"/>
  <c r="EP182" i="25"/>
  <c r="EE170" i="25"/>
  <c r="EG170" i="25"/>
  <c r="EX170" i="25" s="1"/>
  <c r="EF170" i="25"/>
  <c r="EW170" i="25" s="1"/>
  <c r="EG85" i="25"/>
  <c r="EX85" i="25" s="1"/>
  <c r="EE85" i="25"/>
  <c r="EF85" i="25"/>
  <c r="EW85" i="25" s="1"/>
  <c r="EE168" i="25"/>
  <c r="EG168" i="25"/>
  <c r="EX168" i="25" s="1"/>
  <c r="EF168" i="25"/>
  <c r="EW168" i="25" s="1"/>
  <c r="EE184" i="25"/>
  <c r="EF184" i="25"/>
  <c r="EW184" i="25" s="1"/>
  <c r="EG184" i="25"/>
  <c r="EX184" i="25" s="1"/>
  <c r="EE16" i="25"/>
  <c r="EF16" i="25"/>
  <c r="EW16" i="25" s="1"/>
  <c r="EG16" i="25"/>
  <c r="EX16" i="25" s="1"/>
  <c r="EE167" i="25"/>
  <c r="EG167" i="25"/>
  <c r="EX167" i="25" s="1"/>
  <c r="EF167" i="25"/>
  <c r="EW167" i="25" s="1"/>
  <c r="EG210" i="25"/>
  <c r="EX210" i="25" s="1"/>
  <c r="EF210" i="25"/>
  <c r="EW210" i="25" s="1"/>
  <c r="EE210" i="25"/>
  <c r="EG165" i="25"/>
  <c r="EX165" i="25" s="1"/>
  <c r="EF165" i="25"/>
  <c r="EW165" i="25" s="1"/>
  <c r="EE165" i="25"/>
  <c r="EF30" i="25"/>
  <c r="EW30" i="25" s="1"/>
  <c r="EE30" i="25"/>
  <c r="EG30" i="25"/>
  <c r="EX30" i="25" s="1"/>
  <c r="EG157" i="25"/>
  <c r="EX157" i="25" s="1"/>
  <c r="EF157" i="25"/>
  <c r="EW157" i="25" s="1"/>
  <c r="EE157" i="25"/>
  <c r="EG117" i="25"/>
  <c r="EX117" i="25" s="1"/>
  <c r="EF117" i="25"/>
  <c r="EW117" i="25" s="1"/>
  <c r="EE117" i="25"/>
  <c r="EG122" i="25"/>
  <c r="EX122" i="25" s="1"/>
  <c r="EE122" i="25"/>
  <c r="EF122" i="25"/>
  <c r="EW122" i="25" s="1"/>
  <c r="EF22" i="25"/>
  <c r="EW22" i="25" s="1"/>
  <c r="EE22" i="25"/>
  <c r="EG22" i="25"/>
  <c r="EX22" i="25" s="1"/>
  <c r="EF204" i="25"/>
  <c r="EW204" i="25" s="1"/>
  <c r="EE204" i="25"/>
  <c r="EG204" i="25"/>
  <c r="EX204" i="25" s="1"/>
  <c r="EF98" i="25"/>
  <c r="EW98" i="25" s="1"/>
  <c r="EG98" i="25"/>
  <c r="EX98" i="25" s="1"/>
  <c r="EE98" i="25"/>
  <c r="EF100" i="25"/>
  <c r="EW100" i="25" s="1"/>
  <c r="EE100" i="25"/>
  <c r="EG100" i="25"/>
  <c r="EX100" i="25" s="1"/>
  <c r="EG39" i="25"/>
  <c r="EX39" i="25" s="1"/>
  <c r="EE39" i="25"/>
  <c r="EF39" i="25"/>
  <c r="EW39" i="25" s="1"/>
  <c r="EF153" i="25"/>
  <c r="EW153" i="25" s="1"/>
  <c r="EE153" i="25"/>
  <c r="EG153" i="25"/>
  <c r="EX153" i="25" s="1"/>
  <c r="EE130" i="25"/>
  <c r="EG130" i="25"/>
  <c r="EX130" i="25" s="1"/>
  <c r="EF130" i="25"/>
  <c r="EW130" i="25" s="1"/>
  <c r="EF52" i="25"/>
  <c r="EW52" i="25" s="1"/>
  <c r="EE52" i="25"/>
  <c r="EG52" i="25"/>
  <c r="EX52" i="25" s="1"/>
  <c r="EE72" i="25"/>
  <c r="EF72" i="25"/>
  <c r="EW72" i="25" s="1"/>
  <c r="EG72" i="25"/>
  <c r="EX72" i="25" s="1"/>
  <c r="EF45" i="25"/>
  <c r="EW45" i="25" s="1"/>
  <c r="EE45" i="25"/>
  <c r="EG45" i="25"/>
  <c r="EX45" i="25" s="1"/>
  <c r="EE198" i="25"/>
  <c r="EF198" i="25"/>
  <c r="EW198" i="25" s="1"/>
  <c r="EG198" i="25"/>
  <c r="EX198" i="25" s="1"/>
  <c r="EE60" i="25"/>
  <c r="EG60" i="25"/>
  <c r="EX60" i="25" s="1"/>
  <c r="EF60" i="25"/>
  <c r="EW60" i="25" s="1"/>
  <c r="EF201" i="25"/>
  <c r="EW201" i="25" s="1"/>
  <c r="EE201" i="25"/>
  <c r="EG201" i="25"/>
  <c r="EX201" i="25" s="1"/>
  <c r="EG179" i="25"/>
  <c r="EX179" i="25" s="1"/>
  <c r="EE179" i="25"/>
  <c r="EF179" i="25"/>
  <c r="EW179" i="25" s="1"/>
  <c r="EG53" i="25"/>
  <c r="EX53" i="25" s="1"/>
  <c r="EF53" i="25"/>
  <c r="EW53" i="25" s="1"/>
  <c r="EE53" i="25"/>
  <c r="EF200" i="25"/>
  <c r="EW200" i="25" s="1"/>
  <c r="EE200" i="25"/>
  <c r="EG200" i="25"/>
  <c r="EX200" i="25" s="1"/>
  <c r="EF139" i="25"/>
  <c r="EW139" i="25" s="1"/>
  <c r="EE139" i="25"/>
  <c r="EG139" i="25"/>
  <c r="EX139" i="25" s="1"/>
  <c r="EG113" i="25"/>
  <c r="EX113" i="25" s="1"/>
  <c r="EF113" i="25"/>
  <c r="EW113" i="25" s="1"/>
  <c r="EE113" i="25"/>
  <c r="EE172" i="25"/>
  <c r="EG172" i="25"/>
  <c r="EX172" i="25" s="1"/>
  <c r="EF172" i="25"/>
  <c r="EW172" i="25" s="1"/>
  <c r="EF91" i="25"/>
  <c r="EW91" i="25" s="1"/>
  <c r="EE91" i="25"/>
  <c r="EG91" i="25"/>
  <c r="EX91" i="25" s="1"/>
  <c r="EE68" i="25"/>
  <c r="EF68" i="25"/>
  <c r="EW68" i="25" s="1"/>
  <c r="EG68" i="25"/>
  <c r="EX68" i="25" s="1"/>
  <c r="EG132" i="25"/>
  <c r="EX132" i="25" s="1"/>
  <c r="EE132" i="25"/>
  <c r="EF132" i="25"/>
  <c r="EW132" i="25" s="1"/>
  <c r="EF65" i="25"/>
  <c r="EW65" i="25" s="1"/>
  <c r="EE65" i="25"/>
  <c r="EG65" i="25"/>
  <c r="EX65" i="25" s="1"/>
  <c r="EE101" i="25"/>
  <c r="EG101" i="25"/>
  <c r="EX101" i="25" s="1"/>
  <c r="EF101" i="25"/>
  <c r="EW101" i="25" s="1"/>
  <c r="EG197" i="25"/>
  <c r="EX197" i="25" s="1"/>
  <c r="EE197" i="25"/>
  <c r="EF197" i="25"/>
  <c r="EW197" i="25" s="1"/>
  <c r="EG102" i="25"/>
  <c r="EX102" i="25" s="1"/>
  <c r="EE102" i="25"/>
  <c r="EF102" i="25"/>
  <c r="EW102" i="25" s="1"/>
  <c r="EE48" i="25"/>
  <c r="EG48" i="25"/>
  <c r="EX48" i="25" s="1"/>
  <c r="EF48" i="25"/>
  <c r="EW48" i="25" s="1"/>
  <c r="EF67" i="25"/>
  <c r="EW67" i="25" s="1"/>
  <c r="EE67" i="25"/>
  <c r="EG67" i="25"/>
  <c r="EX67" i="25" s="1"/>
  <c r="EG70" i="25"/>
  <c r="EX70" i="25" s="1"/>
  <c r="EE70" i="25"/>
  <c r="EF70" i="25"/>
  <c r="EW70" i="25" s="1"/>
  <c r="EF148" i="25"/>
  <c r="EW148" i="25" s="1"/>
  <c r="EG148" i="25"/>
  <c r="EX148" i="25" s="1"/>
  <c r="EE148" i="25"/>
  <c r="EF38" i="25"/>
  <c r="EW38" i="25" s="1"/>
  <c r="EE38" i="25"/>
  <c r="EG38" i="25"/>
  <c r="EX38" i="25" s="1"/>
  <c r="EF192" i="25"/>
  <c r="EW192" i="25" s="1"/>
  <c r="EE192" i="25"/>
  <c r="EG192" i="25"/>
  <c r="EX192" i="25" s="1"/>
  <c r="EF32" i="25"/>
  <c r="EW32" i="25" s="1"/>
  <c r="EE32" i="25"/>
  <c r="EG32" i="25"/>
  <c r="EX32" i="25" s="1"/>
  <c r="EF61" i="25"/>
  <c r="EW61" i="25" s="1"/>
  <c r="EG61" i="25"/>
  <c r="EX61" i="25" s="1"/>
  <c r="EE61" i="25"/>
  <c r="EF80" i="25"/>
  <c r="EW80" i="25" s="1"/>
  <c r="EE80" i="25"/>
  <c r="EG80" i="25"/>
  <c r="EX80" i="25" s="1"/>
  <c r="EE54" i="25"/>
  <c r="EG54" i="25"/>
  <c r="EX54" i="25" s="1"/>
  <c r="EF54" i="25"/>
  <c r="EW54" i="25" s="1"/>
  <c r="EF44" i="25"/>
  <c r="EW44" i="25" s="1"/>
  <c r="EE44" i="25"/>
  <c r="EG44" i="25"/>
  <c r="EX44" i="25" s="1"/>
  <c r="EG127" i="25"/>
  <c r="EX127" i="25" s="1"/>
  <c r="EF127" i="25"/>
  <c r="EW127" i="25" s="1"/>
  <c r="EE127" i="25"/>
  <c r="EG20" i="25"/>
  <c r="EX20" i="25" s="1"/>
  <c r="EF20" i="25"/>
  <c r="EW20" i="25" s="1"/>
  <c r="EE20" i="25"/>
  <c r="EA40" i="24"/>
  <c r="EA152" i="24"/>
  <c r="EA13" i="24"/>
  <c r="EA99" i="24"/>
  <c r="EA29" i="24"/>
  <c r="EA62" i="24"/>
  <c r="EA10" i="24"/>
  <c r="EA77" i="24"/>
  <c r="EA43" i="24"/>
  <c r="EA134" i="24"/>
  <c r="FL134" i="24" s="1"/>
  <c r="EA23" i="24"/>
  <c r="EA81" i="24"/>
  <c r="FL81" i="24" s="1"/>
  <c r="EA201" i="24"/>
  <c r="EA159" i="24"/>
  <c r="DY6" i="24"/>
  <c r="EF6" i="24" s="1"/>
  <c r="EA6" i="24"/>
  <c r="DY245" i="24"/>
  <c r="EF245" i="24" s="1"/>
  <c r="EA245" i="24"/>
  <c r="EA128" i="24"/>
  <c r="DY141" i="24"/>
  <c r="EF141" i="24" s="1"/>
  <c r="EA141" i="24"/>
  <c r="DY28" i="24"/>
  <c r="EF28" i="24" s="1"/>
  <c r="EA28" i="24"/>
  <c r="DY282" i="24"/>
  <c r="EF282" i="24" s="1"/>
  <c r="EA282" i="24"/>
  <c r="EA174" i="24"/>
  <c r="EA26" i="24"/>
  <c r="DY32" i="24"/>
  <c r="EF32" i="24" s="1"/>
  <c r="EA32" i="24"/>
  <c r="DY31" i="24"/>
  <c r="EF31" i="24" s="1"/>
  <c r="EA31" i="24"/>
  <c r="EA123" i="24"/>
  <c r="DY299" i="24"/>
  <c r="EF299" i="24" s="1"/>
  <c r="EA299" i="24"/>
  <c r="DY290" i="24"/>
  <c r="EF290" i="24" s="1"/>
  <c r="EA290" i="24"/>
  <c r="DY69" i="24"/>
  <c r="EF69" i="24" s="1"/>
  <c r="EA69" i="24"/>
  <c r="DY95" i="24"/>
  <c r="EF95" i="24" s="1"/>
  <c r="EA95" i="24"/>
  <c r="DY225" i="24"/>
  <c r="EF225" i="24" s="1"/>
  <c r="EA225" i="24"/>
  <c r="DY316" i="24"/>
  <c r="EF316" i="24" s="1"/>
  <c r="EA316" i="24"/>
  <c r="DY251" i="24"/>
  <c r="EF251" i="24" s="1"/>
  <c r="EA251" i="24"/>
  <c r="DY257" i="24"/>
  <c r="EF257" i="24" s="1"/>
  <c r="EA257" i="24"/>
  <c r="DY304" i="24"/>
  <c r="EF304" i="24" s="1"/>
  <c r="EA304" i="24"/>
  <c r="DY168" i="24"/>
  <c r="EF168" i="24" s="1"/>
  <c r="EA168" i="24"/>
  <c r="DY146" i="24"/>
  <c r="EF146" i="24" s="1"/>
  <c r="EA146" i="24"/>
  <c r="DY19" i="24"/>
  <c r="EF19" i="24" s="1"/>
  <c r="EA19" i="24"/>
  <c r="DY182" i="24"/>
  <c r="EF182" i="24" s="1"/>
  <c r="EA182" i="24"/>
  <c r="DY226" i="24"/>
  <c r="EF226" i="24" s="1"/>
  <c r="EA226" i="24"/>
  <c r="DY227" i="24"/>
  <c r="EF227" i="24" s="1"/>
  <c r="EA227" i="24"/>
  <c r="DY85" i="24"/>
  <c r="EF85" i="24" s="1"/>
  <c r="EA85" i="24"/>
  <c r="DY51" i="24"/>
  <c r="EF51" i="24" s="1"/>
  <c r="EA51" i="24"/>
  <c r="DY261" i="24"/>
  <c r="EF261" i="24" s="1"/>
  <c r="EA261" i="24"/>
  <c r="DY195" i="24"/>
  <c r="EF195" i="24" s="1"/>
  <c r="EA195" i="24"/>
  <c r="DY20" i="24"/>
  <c r="EF20" i="24" s="1"/>
  <c r="EA20" i="24"/>
  <c r="DY279" i="24"/>
  <c r="EF279" i="24" s="1"/>
  <c r="EA279" i="24"/>
  <c r="DY93" i="24"/>
  <c r="EF93" i="24" s="1"/>
  <c r="EA93" i="24"/>
  <c r="EA209" i="24"/>
  <c r="EA177" i="24"/>
  <c r="DY269" i="24"/>
  <c r="EF269" i="24" s="1"/>
  <c r="EA269" i="24"/>
  <c r="DY148" i="24"/>
  <c r="EF148" i="24" s="1"/>
  <c r="EA148" i="24"/>
  <c r="EA41" i="24"/>
  <c r="EA53" i="24"/>
  <c r="EA114" i="24"/>
  <c r="EA202" i="24"/>
  <c r="EA161" i="24"/>
  <c r="DY137" i="24"/>
  <c r="EF137" i="24" s="1"/>
  <c r="EA137" i="24"/>
  <c r="DY234" i="24"/>
  <c r="EF234" i="24" s="1"/>
  <c r="EA234" i="24"/>
  <c r="DY249" i="24"/>
  <c r="EF249" i="24" s="1"/>
  <c r="EA249" i="24"/>
  <c r="DY206" i="24"/>
  <c r="EF206" i="24" s="1"/>
  <c r="EA206" i="24"/>
  <c r="DY295" i="24"/>
  <c r="EF295" i="24" s="1"/>
  <c r="EA295" i="24"/>
  <c r="DY256" i="24"/>
  <c r="EF256" i="24" s="1"/>
  <c r="EA256" i="24"/>
  <c r="DY223" i="24"/>
  <c r="EF223" i="24" s="1"/>
  <c r="EA223" i="24"/>
  <c r="DY139" i="24"/>
  <c r="EF139" i="24" s="1"/>
  <c r="EA139" i="24"/>
  <c r="DY179" i="24"/>
  <c r="EF179" i="24" s="1"/>
  <c r="EA179" i="24"/>
  <c r="DY260" i="24"/>
  <c r="EF260" i="24" s="1"/>
  <c r="EA260" i="24"/>
  <c r="DY258" i="24"/>
  <c r="EF258" i="24" s="1"/>
  <c r="EA258" i="24"/>
  <c r="EA122" i="24"/>
  <c r="DY73" i="24"/>
  <c r="EF73" i="24" s="1"/>
  <c r="EA73" i="24"/>
  <c r="DY16" i="24"/>
  <c r="EF16" i="24" s="1"/>
  <c r="EA16" i="24"/>
  <c r="DY21" i="24"/>
  <c r="EF21" i="24" s="1"/>
  <c r="EA21" i="24"/>
  <c r="DY289" i="24"/>
  <c r="EF289" i="24" s="1"/>
  <c r="EA289" i="24"/>
  <c r="DY270" i="24"/>
  <c r="EF270" i="24" s="1"/>
  <c r="EA270" i="24"/>
  <c r="DY222" i="24"/>
  <c r="EF222" i="24" s="1"/>
  <c r="EA222" i="24"/>
  <c r="EA197" i="24"/>
  <c r="EA185" i="24"/>
  <c r="DY276" i="24"/>
  <c r="EF276" i="24" s="1"/>
  <c r="EA276" i="24"/>
  <c r="DY156" i="24"/>
  <c r="EF156" i="24" s="1"/>
  <c r="EA156" i="24"/>
  <c r="DY229" i="24"/>
  <c r="EF229" i="24" s="1"/>
  <c r="EA229" i="24"/>
  <c r="DY300" i="24"/>
  <c r="EF300" i="24" s="1"/>
  <c r="EA300" i="24"/>
  <c r="EA50" i="24"/>
  <c r="DY9" i="24"/>
  <c r="EF9" i="24" s="1"/>
  <c r="EA9" i="24"/>
  <c r="DY84" i="24"/>
  <c r="EF84" i="24" s="1"/>
  <c r="EA84" i="24"/>
  <c r="DY22" i="24"/>
  <c r="EF22" i="24" s="1"/>
  <c r="EA22" i="24"/>
  <c r="DY58" i="24"/>
  <c r="EF58" i="24" s="1"/>
  <c r="EA58" i="24"/>
  <c r="DY306" i="24"/>
  <c r="EF306" i="24" s="1"/>
  <c r="EA306" i="24"/>
  <c r="DY102" i="24"/>
  <c r="EF102" i="24" s="1"/>
  <c r="EA102" i="24"/>
  <c r="DY307" i="24"/>
  <c r="EF307" i="24" s="1"/>
  <c r="EA307" i="24"/>
  <c r="EA145" i="24"/>
  <c r="DY238" i="24"/>
  <c r="EF238" i="24" s="1"/>
  <c r="EA238" i="24"/>
  <c r="DY151" i="24"/>
  <c r="EF151" i="24" s="1"/>
  <c r="EA151" i="24"/>
  <c r="DY305" i="24"/>
  <c r="EF305" i="24" s="1"/>
  <c r="EA305" i="24"/>
  <c r="DY228" i="24"/>
  <c r="EF228" i="24" s="1"/>
  <c r="EA228" i="24"/>
  <c r="DY292" i="24"/>
  <c r="EF292" i="24" s="1"/>
  <c r="EA292" i="24"/>
  <c r="DY188" i="24"/>
  <c r="EF188" i="24" s="1"/>
  <c r="EA188" i="24"/>
  <c r="DY15" i="24"/>
  <c r="EF15" i="24" s="1"/>
  <c r="EA15" i="24"/>
  <c r="EA167" i="24"/>
  <c r="EA61" i="24"/>
  <c r="DY246" i="24"/>
  <c r="EF246" i="24" s="1"/>
  <c r="EA246" i="24"/>
  <c r="EH190" i="24"/>
  <c r="EC190" i="24"/>
  <c r="ED190" i="24" s="1"/>
  <c r="EI190" i="24"/>
  <c r="EX190" i="24" s="1"/>
  <c r="EA100" i="24"/>
  <c r="DY11" i="24"/>
  <c r="EF11" i="24" s="1"/>
  <c r="EA11" i="24"/>
  <c r="DY235" i="24"/>
  <c r="EF235" i="24" s="1"/>
  <c r="EA235" i="24"/>
  <c r="DY239" i="24"/>
  <c r="EF239" i="24" s="1"/>
  <c r="EA239" i="24"/>
  <c r="EA158" i="24"/>
  <c r="DY217" i="24"/>
  <c r="EF217" i="24" s="1"/>
  <c r="EA217" i="24"/>
  <c r="EA54" i="24"/>
  <c r="DY76" i="24"/>
  <c r="EF76" i="24" s="1"/>
  <c r="EA76" i="24"/>
  <c r="DY255" i="24"/>
  <c r="EF255" i="24" s="1"/>
  <c r="EA255" i="24"/>
  <c r="DY278" i="24"/>
  <c r="EF278" i="24" s="1"/>
  <c r="EA278" i="24"/>
  <c r="DY247" i="24"/>
  <c r="EF247" i="24" s="1"/>
  <c r="EA247" i="24"/>
  <c r="DY232" i="24"/>
  <c r="EF232" i="24" s="1"/>
  <c r="EA232" i="24"/>
  <c r="DY259" i="24"/>
  <c r="EF259" i="24" s="1"/>
  <c r="EA259" i="24"/>
  <c r="DY97" i="24"/>
  <c r="EF97" i="24" s="1"/>
  <c r="EA97" i="24"/>
  <c r="DY224" i="24"/>
  <c r="EF224" i="24" s="1"/>
  <c r="EA224" i="24"/>
  <c r="EA155" i="24"/>
  <c r="DY189" i="24"/>
  <c r="EF189" i="24" s="1"/>
  <c r="EA189" i="24"/>
  <c r="DY117" i="24"/>
  <c r="EF117" i="24" s="1"/>
  <c r="EA117" i="24"/>
  <c r="DY27" i="24"/>
  <c r="EF27" i="24" s="1"/>
  <c r="EA27" i="24"/>
  <c r="DY273" i="24"/>
  <c r="EF273" i="24" s="1"/>
  <c r="EA273" i="24"/>
  <c r="DY218" i="24"/>
  <c r="EF218" i="24" s="1"/>
  <c r="EA218" i="24"/>
  <c r="EA173" i="24"/>
  <c r="EA80" i="24"/>
  <c r="DY296" i="24"/>
  <c r="EF296" i="24" s="1"/>
  <c r="EA296" i="24"/>
  <c r="DY241" i="24"/>
  <c r="EF241" i="24" s="1"/>
  <c r="EA241" i="24"/>
  <c r="DY82" i="24"/>
  <c r="EF82" i="24" s="1"/>
  <c r="EA82" i="24"/>
  <c r="DY194" i="24"/>
  <c r="EF194" i="24" s="1"/>
  <c r="EA194" i="24"/>
  <c r="DY88" i="24"/>
  <c r="EF88" i="24" s="1"/>
  <c r="EA88" i="24"/>
  <c r="DY264" i="24"/>
  <c r="EF264" i="24" s="1"/>
  <c r="EA264" i="24"/>
  <c r="DY301" i="24"/>
  <c r="EF301" i="24" s="1"/>
  <c r="EA301" i="24"/>
  <c r="DY252" i="24"/>
  <c r="EF252" i="24" s="1"/>
  <c r="EA252" i="24"/>
  <c r="EA103" i="24"/>
  <c r="DY87" i="24"/>
  <c r="EF87" i="24" s="1"/>
  <c r="EA87" i="24"/>
  <c r="DY120" i="24"/>
  <c r="EF120" i="24" s="1"/>
  <c r="EA120" i="24"/>
  <c r="DY143" i="24"/>
  <c r="EF143" i="24" s="1"/>
  <c r="EA143" i="24"/>
  <c r="DY287" i="24"/>
  <c r="EF287" i="24" s="1"/>
  <c r="EA287" i="24"/>
  <c r="DY262" i="24"/>
  <c r="EF262" i="24" s="1"/>
  <c r="EA262" i="24"/>
  <c r="DY57" i="24"/>
  <c r="EF57" i="24" s="1"/>
  <c r="EA57" i="24"/>
  <c r="EA98" i="24"/>
  <c r="DY105" i="24"/>
  <c r="EF105" i="24" s="1"/>
  <c r="EA105" i="24"/>
  <c r="EA157" i="24"/>
  <c r="EA42" i="24"/>
  <c r="DY310" i="24"/>
  <c r="EF310" i="24" s="1"/>
  <c r="EA310" i="24"/>
  <c r="DY176" i="24"/>
  <c r="EF176" i="24" s="1"/>
  <c r="EA176" i="24"/>
  <c r="DY200" i="24"/>
  <c r="EF200" i="24" s="1"/>
  <c r="EA200" i="24"/>
  <c r="EA47" i="24"/>
  <c r="DY248" i="24"/>
  <c r="EF248" i="24" s="1"/>
  <c r="EA248" i="24"/>
  <c r="DY311" i="24"/>
  <c r="EF311" i="24" s="1"/>
  <c r="EA311" i="24"/>
  <c r="DY180" i="24"/>
  <c r="EF180" i="24" s="1"/>
  <c r="EA180" i="24"/>
  <c r="DY253" i="24"/>
  <c r="EF253" i="24" s="1"/>
  <c r="EA253" i="24"/>
  <c r="DY312" i="24"/>
  <c r="EF312" i="24" s="1"/>
  <c r="EA312" i="24"/>
  <c r="DY265" i="24"/>
  <c r="EF265" i="24" s="1"/>
  <c r="EA265" i="24"/>
  <c r="DY181" i="24"/>
  <c r="EF181" i="24" s="1"/>
  <c r="EA181" i="24"/>
  <c r="EA175" i="24"/>
  <c r="DY36" i="24"/>
  <c r="EF36" i="24" s="1"/>
  <c r="EA36" i="24"/>
  <c r="DY207" i="24"/>
  <c r="EF207" i="24" s="1"/>
  <c r="EA207" i="24"/>
  <c r="EA183" i="24"/>
  <c r="DY45" i="24"/>
  <c r="EF45" i="24" s="1"/>
  <c r="EA45" i="24"/>
  <c r="DY297" i="24"/>
  <c r="EF297" i="24" s="1"/>
  <c r="EA297" i="24"/>
  <c r="DY271" i="24"/>
  <c r="EF271" i="24" s="1"/>
  <c r="EA271" i="24"/>
  <c r="EA171" i="24"/>
  <c r="DY184" i="24"/>
  <c r="EF184" i="24" s="1"/>
  <c r="EA184" i="24"/>
  <c r="DY125" i="24"/>
  <c r="EF125" i="24" s="1"/>
  <c r="EA125" i="24"/>
  <c r="EA68" i="24"/>
  <c r="DY313" i="24"/>
  <c r="EF313" i="24" s="1"/>
  <c r="EA313" i="24"/>
  <c r="DY18" i="24"/>
  <c r="EF18" i="24" s="1"/>
  <c r="EA18" i="24"/>
  <c r="EA33" i="24"/>
  <c r="DY233" i="24"/>
  <c r="EF233" i="24" s="1"/>
  <c r="EA233" i="24"/>
  <c r="DY308" i="24"/>
  <c r="EF308" i="24" s="1"/>
  <c r="EA308" i="24"/>
  <c r="DY38" i="24"/>
  <c r="EF38" i="24" s="1"/>
  <c r="EA38" i="24"/>
  <c r="DY293" i="24"/>
  <c r="EF293" i="24" s="1"/>
  <c r="EA293" i="24"/>
  <c r="DY56" i="24"/>
  <c r="EF56" i="24" s="1"/>
  <c r="EA56" i="24"/>
  <c r="DY208" i="24"/>
  <c r="EF208" i="24" s="1"/>
  <c r="EA208" i="24"/>
  <c r="DY66" i="24"/>
  <c r="EF66" i="24" s="1"/>
  <c r="EA66" i="24"/>
  <c r="DY267" i="24"/>
  <c r="EF267" i="24" s="1"/>
  <c r="EA267" i="24"/>
  <c r="DY210" i="24"/>
  <c r="EF210" i="24" s="1"/>
  <c r="EA210" i="24"/>
  <c r="DY254" i="24"/>
  <c r="EF254" i="24" s="1"/>
  <c r="EA254" i="24"/>
  <c r="DY86" i="24"/>
  <c r="EF86" i="24" s="1"/>
  <c r="EA86" i="24"/>
  <c r="DY205" i="24"/>
  <c r="EF205" i="24" s="1"/>
  <c r="EA205" i="24"/>
  <c r="DY219" i="24"/>
  <c r="EF219" i="24" s="1"/>
  <c r="EA219" i="24"/>
  <c r="DY130" i="24"/>
  <c r="EF130" i="24" s="1"/>
  <c r="EA130" i="24"/>
  <c r="DY49" i="24"/>
  <c r="EF49" i="24" s="1"/>
  <c r="EA49" i="24"/>
  <c r="DY140" i="24"/>
  <c r="EF140" i="24" s="1"/>
  <c r="EA140" i="24"/>
  <c r="DY220" i="24"/>
  <c r="EF220" i="24" s="1"/>
  <c r="EA220" i="24"/>
  <c r="DY113" i="24"/>
  <c r="EF113" i="24" s="1"/>
  <c r="EA113" i="24"/>
  <c r="DY281" i="24"/>
  <c r="EF281" i="24" s="1"/>
  <c r="EA281" i="24"/>
  <c r="DY288" i="24"/>
  <c r="EF288" i="24" s="1"/>
  <c r="EA288" i="24"/>
  <c r="DY165" i="24"/>
  <c r="EF165" i="24" s="1"/>
  <c r="EA165" i="24"/>
  <c r="DY149" i="24"/>
  <c r="EF149" i="24" s="1"/>
  <c r="EA149" i="24"/>
  <c r="DY196" i="24"/>
  <c r="EF196" i="24" s="1"/>
  <c r="EA196" i="24"/>
  <c r="DY46" i="24"/>
  <c r="EF46" i="24" s="1"/>
  <c r="EA46" i="24"/>
  <c r="DY291" i="24"/>
  <c r="EF291" i="24" s="1"/>
  <c r="EA291" i="24"/>
  <c r="DY203" i="24"/>
  <c r="EF203" i="24" s="1"/>
  <c r="EA203" i="24"/>
  <c r="DY162" i="24"/>
  <c r="EF162" i="24" s="1"/>
  <c r="EA162" i="24"/>
  <c r="DY277" i="24"/>
  <c r="EF277" i="24" s="1"/>
  <c r="EA277" i="24"/>
  <c r="DY121" i="24"/>
  <c r="EF121" i="24" s="1"/>
  <c r="EA121" i="24"/>
  <c r="DY244" i="24"/>
  <c r="EF244" i="24" s="1"/>
  <c r="EA244" i="24"/>
  <c r="DY230" i="24"/>
  <c r="EF230" i="24" s="1"/>
  <c r="EA230" i="24"/>
  <c r="DY59" i="24"/>
  <c r="EF59" i="24" s="1"/>
  <c r="EA59" i="24"/>
  <c r="DY283" i="24"/>
  <c r="EF283" i="24" s="1"/>
  <c r="EA283" i="24"/>
  <c r="DY221" i="24"/>
  <c r="EF221" i="24" s="1"/>
  <c r="EA221" i="24"/>
  <c r="DY75" i="24"/>
  <c r="EF75" i="24" s="1"/>
  <c r="EA75" i="24"/>
  <c r="DY119" i="24"/>
  <c r="EF119" i="24" s="1"/>
  <c r="EA119" i="24"/>
  <c r="DY263" i="24"/>
  <c r="EF263" i="24" s="1"/>
  <c r="EA263" i="24"/>
  <c r="DY178" i="24"/>
  <c r="EF178" i="24" s="1"/>
  <c r="EA178" i="24"/>
  <c r="DY236" i="24"/>
  <c r="EF236" i="24" s="1"/>
  <c r="EA236" i="24"/>
  <c r="DY91" i="24"/>
  <c r="EF91" i="24" s="1"/>
  <c r="EA91" i="24"/>
  <c r="EA25" i="24"/>
  <c r="EA8" i="24"/>
  <c r="DY144" i="24"/>
  <c r="EF144" i="24" s="1"/>
  <c r="EA144" i="24"/>
  <c r="DY166" i="24"/>
  <c r="EF166" i="24" s="1"/>
  <c r="EA166" i="24"/>
  <c r="DY298" i="24"/>
  <c r="EF298" i="24" s="1"/>
  <c r="EA298" i="24"/>
  <c r="DY231" i="24"/>
  <c r="EF231" i="24" s="1"/>
  <c r="EA231" i="24"/>
  <c r="EA193" i="24"/>
  <c r="EA89" i="24"/>
  <c r="DY204" i="24"/>
  <c r="EF204" i="24" s="1"/>
  <c r="EA204" i="24"/>
  <c r="EA138" i="24"/>
  <c r="DY12" i="24"/>
  <c r="EF12" i="24" s="1"/>
  <c r="EA12" i="24"/>
  <c r="DY135" i="24"/>
  <c r="EF135" i="24" s="1"/>
  <c r="EA135" i="24"/>
  <c r="DY309" i="24"/>
  <c r="EF309" i="24" s="1"/>
  <c r="EA309" i="24"/>
  <c r="DY116" i="24"/>
  <c r="EF116" i="24" s="1"/>
  <c r="EA116" i="24"/>
  <c r="EA164" i="24"/>
  <c r="DY7" i="24"/>
  <c r="EF7" i="24" s="1"/>
  <c r="EA7" i="24"/>
  <c r="DY94" i="24"/>
  <c r="EF94" i="24" s="1"/>
  <c r="EA94" i="24"/>
  <c r="EA150" i="24"/>
  <c r="DY115" i="24"/>
  <c r="EF115" i="24" s="1"/>
  <c r="EA115" i="24"/>
  <c r="EA129" i="24"/>
  <c r="DY302" i="24"/>
  <c r="EF302" i="24" s="1"/>
  <c r="EA302" i="24"/>
  <c r="DY286" i="24"/>
  <c r="EF286" i="24" s="1"/>
  <c r="EA286" i="24"/>
  <c r="EA112" i="24"/>
  <c r="EA70" i="24"/>
  <c r="DY314" i="24"/>
  <c r="EF314" i="24" s="1"/>
  <c r="EA314" i="24"/>
  <c r="DY274" i="24"/>
  <c r="EF274" i="24" s="1"/>
  <c r="EA274" i="24"/>
  <c r="DY275" i="24"/>
  <c r="EF275" i="24" s="1"/>
  <c r="EA275" i="24"/>
  <c r="DY72" i="24"/>
  <c r="EF72" i="24" s="1"/>
  <c r="EA72" i="24"/>
  <c r="DY163" i="24"/>
  <c r="EF163" i="24" s="1"/>
  <c r="EA163" i="24"/>
  <c r="DY272" i="24"/>
  <c r="EF272" i="24" s="1"/>
  <c r="EA272" i="24"/>
  <c r="DY294" i="24"/>
  <c r="EF294" i="24" s="1"/>
  <c r="EA294" i="24"/>
  <c r="EA24" i="24"/>
  <c r="DY34" i="24"/>
  <c r="EF34" i="24" s="1"/>
  <c r="EA34" i="24"/>
  <c r="EA35" i="24"/>
  <c r="DY266" i="24"/>
  <c r="EF266" i="24" s="1"/>
  <c r="EA266" i="24"/>
  <c r="DY118" i="24"/>
  <c r="EF118" i="24" s="1"/>
  <c r="EA118" i="24"/>
  <c r="DY250" i="24"/>
  <c r="EF250" i="24" s="1"/>
  <c r="EA250" i="24"/>
  <c r="DY131" i="24"/>
  <c r="EF131" i="24" s="1"/>
  <c r="EA131" i="24"/>
  <c r="DY284" i="24"/>
  <c r="EF284" i="24" s="1"/>
  <c r="EA284" i="24"/>
  <c r="DY237" i="24"/>
  <c r="EF237" i="24" s="1"/>
  <c r="EA237" i="24"/>
  <c r="DY101" i="24"/>
  <c r="EF101" i="24" s="1"/>
  <c r="EA101" i="24"/>
  <c r="DY187" i="24"/>
  <c r="EF187" i="24" s="1"/>
  <c r="EA187" i="24"/>
  <c r="DY280" i="24"/>
  <c r="EF280" i="24" s="1"/>
  <c r="EA280" i="24"/>
  <c r="DY79" i="24"/>
  <c r="EF79" i="24" s="1"/>
  <c r="EA79" i="24"/>
  <c r="DY315" i="24"/>
  <c r="EF315" i="24" s="1"/>
  <c r="EA315" i="24"/>
  <c r="DY303" i="24"/>
  <c r="EF303" i="24" s="1"/>
  <c r="EA303" i="24"/>
  <c r="DY268" i="24"/>
  <c r="EF268" i="24" s="1"/>
  <c r="EA268" i="24"/>
  <c r="DY153" i="24"/>
  <c r="EF153" i="24" s="1"/>
  <c r="EA153" i="24"/>
  <c r="DY17" i="24"/>
  <c r="EF17" i="24" s="1"/>
  <c r="EA17" i="24"/>
  <c r="DY198" i="24"/>
  <c r="EF198" i="24" s="1"/>
  <c r="EA198" i="24"/>
  <c r="DY240" i="24"/>
  <c r="EF240" i="24" s="1"/>
  <c r="EA240" i="24"/>
  <c r="DY191" i="24"/>
  <c r="EF191" i="24" s="1"/>
  <c r="EA191" i="24"/>
  <c r="EA154" i="24"/>
  <c r="DY64" i="24"/>
  <c r="EF64" i="24" s="1"/>
  <c r="EA64" i="24"/>
  <c r="EA65" i="24"/>
  <c r="F64" i="19"/>
  <c r="F65" i="19"/>
  <c r="EE216" i="25" l="1"/>
  <c r="EV216" i="25" s="1"/>
  <c r="EF216" i="25"/>
  <c r="EW216" i="25" s="1"/>
  <c r="CG216" i="25"/>
  <c r="CH216" i="25"/>
  <c r="CG242" i="24"/>
  <c r="CG243" i="24"/>
  <c r="EV212" i="25"/>
  <c r="FB212" i="25" s="1"/>
  <c r="EI212" i="25"/>
  <c r="EC96" i="24"/>
  <c r="ED96" i="24" s="1"/>
  <c r="EH96" i="24"/>
  <c r="EW96" i="24" s="1"/>
  <c r="EI96" i="24"/>
  <c r="EX96" i="24" s="1"/>
  <c r="FL96" i="24"/>
  <c r="CG285" i="24"/>
  <c r="EI243" i="24"/>
  <c r="EX243" i="24" s="1"/>
  <c r="EC243" i="24"/>
  <c r="ED243" i="24" s="1"/>
  <c r="EH243" i="24"/>
  <c r="EK243" i="24" s="1"/>
  <c r="EC78" i="24"/>
  <c r="ED78" i="24" s="1"/>
  <c r="EH78" i="24"/>
  <c r="EW78" i="24" s="1"/>
  <c r="EI78" i="24"/>
  <c r="EX78" i="24" s="1"/>
  <c r="EH60" i="24"/>
  <c r="EW60" i="24" s="1"/>
  <c r="EV136" i="25"/>
  <c r="FC136" i="25" s="1"/>
  <c r="FE136" i="25" s="1"/>
  <c r="FF136" i="25" s="1"/>
  <c r="EH285" i="24"/>
  <c r="EK285" i="24" s="1"/>
  <c r="EI60" i="24"/>
  <c r="EX60" i="24" s="1"/>
  <c r="EC242" i="24"/>
  <c r="ED242" i="24" s="1"/>
  <c r="EI242" i="24"/>
  <c r="EX242" i="24" s="1"/>
  <c r="FL242" i="24"/>
  <c r="FL285" i="24"/>
  <c r="EI285" i="24"/>
  <c r="EX285" i="24" s="1"/>
  <c r="EW216" i="24"/>
  <c r="FB216" i="24" s="1"/>
  <c r="EK216" i="24"/>
  <c r="EI89" i="25"/>
  <c r="EO89" i="25" s="1"/>
  <c r="EP89" i="25" s="1"/>
  <c r="S110" i="24"/>
  <c r="T110" i="24" s="1"/>
  <c r="J110" i="24" s="1"/>
  <c r="K110" i="24"/>
  <c r="EC92" i="24"/>
  <c r="ED92" i="24" s="1"/>
  <c r="CG92" i="24"/>
  <c r="EH92" i="24"/>
  <c r="EW92" i="24" s="1"/>
  <c r="FL237" i="24"/>
  <c r="EH237" i="24"/>
  <c r="EI237" i="24"/>
  <c r="EX237" i="24" s="1"/>
  <c r="EC237" i="24"/>
  <c r="ED237" i="24" s="1"/>
  <c r="FL275" i="24"/>
  <c r="EI275" i="24"/>
  <c r="EX275" i="24" s="1"/>
  <c r="EC275" i="24"/>
  <c r="ED275" i="24" s="1"/>
  <c r="EH275" i="24"/>
  <c r="FL221" i="24"/>
  <c r="EH221" i="24"/>
  <c r="EI221" i="24"/>
  <c r="EX221" i="24" s="1"/>
  <c r="EC221" i="24"/>
  <c r="ED221" i="24" s="1"/>
  <c r="FL244" i="24"/>
  <c r="EH244" i="24"/>
  <c r="EI244" i="24"/>
  <c r="EX244" i="24" s="1"/>
  <c r="EC244" i="24"/>
  <c r="ED244" i="24" s="1"/>
  <c r="FL254" i="24"/>
  <c r="EH254" i="24"/>
  <c r="EI254" i="24"/>
  <c r="EX254" i="24" s="1"/>
  <c r="EC254" i="24"/>
  <c r="ED254" i="24" s="1"/>
  <c r="FL265" i="24"/>
  <c r="EH265" i="24"/>
  <c r="EC265" i="24"/>
  <c r="ED265" i="24" s="1"/>
  <c r="EI265" i="24"/>
  <c r="EX265" i="24" s="1"/>
  <c r="FL311" i="24"/>
  <c r="EI311" i="24"/>
  <c r="EX311" i="24" s="1"/>
  <c r="EH311" i="24"/>
  <c r="EC311" i="24"/>
  <c r="ED311" i="24" s="1"/>
  <c r="FL224" i="24"/>
  <c r="EI224" i="24"/>
  <c r="EX224" i="24" s="1"/>
  <c r="EH224" i="24"/>
  <c r="EC224" i="24"/>
  <c r="ED224" i="24" s="1"/>
  <c r="FL247" i="24"/>
  <c r="EH247" i="24"/>
  <c r="EI247" i="24"/>
  <c r="EX247" i="24" s="1"/>
  <c r="EC247" i="24"/>
  <c r="ED247" i="24" s="1"/>
  <c r="FL228" i="24"/>
  <c r="EH228" i="24"/>
  <c r="EC228" i="24"/>
  <c r="ED228" i="24" s="1"/>
  <c r="EI228" i="24"/>
  <c r="EX228" i="24" s="1"/>
  <c r="FL300" i="24"/>
  <c r="EI300" i="24"/>
  <c r="EX300" i="24" s="1"/>
  <c r="EC300" i="24"/>
  <c r="ED300" i="24" s="1"/>
  <c r="EH300" i="24"/>
  <c r="FL261" i="24"/>
  <c r="EH261" i="24"/>
  <c r="EI261" i="24"/>
  <c r="EX261" i="24" s="1"/>
  <c r="EC261" i="24"/>
  <c r="ED261" i="24" s="1"/>
  <c r="FL226" i="24"/>
  <c r="EH226" i="24"/>
  <c r="EI226" i="24"/>
  <c r="EX226" i="24" s="1"/>
  <c r="EC226" i="24"/>
  <c r="ED226" i="24" s="1"/>
  <c r="FL316" i="24"/>
  <c r="EC316" i="24"/>
  <c r="ED316" i="24" s="1"/>
  <c r="EH316" i="24"/>
  <c r="EI316" i="24"/>
  <c r="EX316" i="24" s="1"/>
  <c r="FL290" i="24"/>
  <c r="EH290" i="24"/>
  <c r="EI290" i="24"/>
  <c r="EX290" i="24" s="1"/>
  <c r="EC290" i="24"/>
  <c r="ED290" i="24" s="1"/>
  <c r="FL294" i="24"/>
  <c r="EH294" i="24"/>
  <c r="EI294" i="24"/>
  <c r="EX294" i="24" s="1"/>
  <c r="EC294" i="24"/>
  <c r="ED294" i="24" s="1"/>
  <c r="FL217" i="24"/>
  <c r="EH217" i="24"/>
  <c r="EI217" i="24"/>
  <c r="EX217" i="24" s="1"/>
  <c r="EC217" i="24"/>
  <c r="ED217" i="24" s="1"/>
  <c r="FL307" i="24"/>
  <c r="EI307" i="24"/>
  <c r="EX307" i="24" s="1"/>
  <c r="EC307" i="24"/>
  <c r="ED307" i="24" s="1"/>
  <c r="EH307" i="24"/>
  <c r="FL260" i="24"/>
  <c r="EH260" i="24"/>
  <c r="EI260" i="24"/>
  <c r="EX260" i="24" s="1"/>
  <c r="EC260" i="24"/>
  <c r="ED260" i="24" s="1"/>
  <c r="FL256" i="24"/>
  <c r="EI256" i="24"/>
  <c r="EX256" i="24" s="1"/>
  <c r="EC256" i="24"/>
  <c r="ED256" i="24" s="1"/>
  <c r="EH256" i="24"/>
  <c r="FL234" i="24"/>
  <c r="EI234" i="24"/>
  <c r="EX234" i="24" s="1"/>
  <c r="EH234" i="24"/>
  <c r="EC234" i="24"/>
  <c r="ED234" i="24" s="1"/>
  <c r="FL250" i="24"/>
  <c r="EC250" i="24"/>
  <c r="ED250" i="24" s="1"/>
  <c r="EH250" i="24"/>
  <c r="EI250" i="24"/>
  <c r="EX250" i="24" s="1"/>
  <c r="FL286" i="24"/>
  <c r="EH286" i="24"/>
  <c r="EC286" i="24"/>
  <c r="ED286" i="24" s="1"/>
  <c r="EI286" i="24"/>
  <c r="EX286" i="24" s="1"/>
  <c r="FL310" i="24"/>
  <c r="EH310" i="24"/>
  <c r="EI310" i="24"/>
  <c r="EX310" i="24" s="1"/>
  <c r="EC310" i="24"/>
  <c r="ED310" i="24" s="1"/>
  <c r="FL240" i="24"/>
  <c r="EH240" i="24"/>
  <c r="EI240" i="24"/>
  <c r="EX240" i="24" s="1"/>
  <c r="EC240" i="24"/>
  <c r="ED240" i="24" s="1"/>
  <c r="FL268" i="24"/>
  <c r="EH268" i="24"/>
  <c r="EC268" i="24"/>
  <c r="ED268" i="24" s="1"/>
  <c r="EI268" i="24"/>
  <c r="EX268" i="24" s="1"/>
  <c r="FL280" i="24"/>
  <c r="EI280" i="24"/>
  <c r="EX280" i="24" s="1"/>
  <c r="EH280" i="24"/>
  <c r="EC280" i="24"/>
  <c r="ED280" i="24" s="1"/>
  <c r="FL284" i="24"/>
  <c r="EH284" i="24"/>
  <c r="EI284" i="24"/>
  <c r="EX284" i="24" s="1"/>
  <c r="EC284" i="24"/>
  <c r="ED284" i="24" s="1"/>
  <c r="FL266" i="24"/>
  <c r="EC266" i="24"/>
  <c r="ED266" i="24" s="1"/>
  <c r="EI266" i="24"/>
  <c r="EX266" i="24" s="1"/>
  <c r="EH266" i="24"/>
  <c r="FL272" i="24"/>
  <c r="EI272" i="24"/>
  <c r="EX272" i="24" s="1"/>
  <c r="EC272" i="24"/>
  <c r="ED272" i="24" s="1"/>
  <c r="EH272" i="24"/>
  <c r="FL274" i="24"/>
  <c r="EH274" i="24"/>
  <c r="EI274" i="24"/>
  <c r="EX274" i="24" s="1"/>
  <c r="EC274" i="24"/>
  <c r="ED274" i="24" s="1"/>
  <c r="FL302" i="24"/>
  <c r="EI302" i="24"/>
  <c r="EX302" i="24" s="1"/>
  <c r="EH302" i="24"/>
  <c r="EC302" i="24"/>
  <c r="ED302" i="24" s="1"/>
  <c r="FL231" i="24"/>
  <c r="EI231" i="24"/>
  <c r="EX231" i="24" s="1"/>
  <c r="EH231" i="24"/>
  <c r="EC231" i="24"/>
  <c r="ED231" i="24" s="1"/>
  <c r="FL263" i="24"/>
  <c r="EH263" i="24"/>
  <c r="EC263" i="24"/>
  <c r="ED263" i="24" s="1"/>
  <c r="EI263" i="24"/>
  <c r="EX263" i="24" s="1"/>
  <c r="FL283" i="24"/>
  <c r="EC283" i="24"/>
  <c r="ED283" i="24" s="1"/>
  <c r="EH283" i="24"/>
  <c r="EI283" i="24"/>
  <c r="EX283" i="24" s="1"/>
  <c r="FL291" i="24"/>
  <c r="EC291" i="24"/>
  <c r="ED291" i="24" s="1"/>
  <c r="EH291" i="24"/>
  <c r="EI291" i="24"/>
  <c r="EX291" i="24" s="1"/>
  <c r="FL220" i="24"/>
  <c r="EH220" i="24"/>
  <c r="EI220" i="24"/>
  <c r="EX220" i="24" s="1"/>
  <c r="EC220" i="24"/>
  <c r="ED220" i="24" s="1"/>
  <c r="FL219" i="24"/>
  <c r="EH219" i="24"/>
  <c r="EC219" i="24"/>
  <c r="ED219" i="24" s="1"/>
  <c r="EI219" i="24"/>
  <c r="EX219" i="24" s="1"/>
  <c r="FL313" i="24"/>
  <c r="EH313" i="24"/>
  <c r="EI313" i="24"/>
  <c r="EX313" i="24" s="1"/>
  <c r="EC313" i="24"/>
  <c r="ED313" i="24" s="1"/>
  <c r="FL271" i="24"/>
  <c r="EH271" i="24"/>
  <c r="EC271" i="24"/>
  <c r="ED271" i="24" s="1"/>
  <c r="EI271" i="24"/>
  <c r="EX271" i="24" s="1"/>
  <c r="FL312" i="24"/>
  <c r="EH312" i="24"/>
  <c r="EI312" i="24"/>
  <c r="EX312" i="24" s="1"/>
  <c r="EC312" i="24"/>
  <c r="ED312" i="24" s="1"/>
  <c r="FL248" i="24"/>
  <c r="EH248" i="24"/>
  <c r="EI248" i="24"/>
  <c r="EX248" i="24" s="1"/>
  <c r="EC248" i="24"/>
  <c r="ED248" i="24" s="1"/>
  <c r="FL262" i="24"/>
  <c r="EI262" i="24"/>
  <c r="EX262" i="24" s="1"/>
  <c r="EC262" i="24"/>
  <c r="ED262" i="24" s="1"/>
  <c r="EH262" i="24"/>
  <c r="FL301" i="24"/>
  <c r="EH301" i="24"/>
  <c r="EI301" i="24"/>
  <c r="EX301" i="24" s="1"/>
  <c r="EC301" i="24"/>
  <c r="ED301" i="24" s="1"/>
  <c r="FL218" i="24"/>
  <c r="EI218" i="24"/>
  <c r="EX218" i="24" s="1"/>
  <c r="EC218" i="24"/>
  <c r="ED218" i="24" s="1"/>
  <c r="EH218" i="24"/>
  <c r="FL278" i="24"/>
  <c r="EH278" i="24"/>
  <c r="EI278" i="24"/>
  <c r="EX278" i="24" s="1"/>
  <c r="EC278" i="24"/>
  <c r="ED278" i="24" s="1"/>
  <c r="FL305" i="24"/>
  <c r="EH305" i="24"/>
  <c r="EI305" i="24"/>
  <c r="EX305" i="24" s="1"/>
  <c r="EC305" i="24"/>
  <c r="ED305" i="24" s="1"/>
  <c r="FL229" i="24"/>
  <c r="EH229" i="24"/>
  <c r="EI229" i="24"/>
  <c r="EX229" i="24" s="1"/>
  <c r="EC229" i="24"/>
  <c r="ED229" i="24" s="1"/>
  <c r="FL222" i="24"/>
  <c r="EH222" i="24"/>
  <c r="EI222" i="24"/>
  <c r="EX222" i="24" s="1"/>
  <c r="EC222" i="24"/>
  <c r="ED222" i="24" s="1"/>
  <c r="FL279" i="24"/>
  <c r="EH279" i="24"/>
  <c r="EC279" i="24"/>
  <c r="ED279" i="24" s="1"/>
  <c r="EI279" i="24"/>
  <c r="EX279" i="24" s="1"/>
  <c r="FL304" i="24"/>
  <c r="EC304" i="24"/>
  <c r="ED304" i="24" s="1"/>
  <c r="EH304" i="24"/>
  <c r="EI304" i="24"/>
  <c r="EX304" i="24" s="1"/>
  <c r="FL225" i="24"/>
  <c r="EH225" i="24"/>
  <c r="EC225" i="24"/>
  <c r="ED225" i="24" s="1"/>
  <c r="EI225" i="24"/>
  <c r="EX225" i="24" s="1"/>
  <c r="FL299" i="24"/>
  <c r="EC299" i="24"/>
  <c r="ED299" i="24" s="1"/>
  <c r="EH299" i="24"/>
  <c r="EI299" i="24"/>
  <c r="EX299" i="24" s="1"/>
  <c r="FL245" i="24"/>
  <c r="EH245" i="24"/>
  <c r="EI245" i="24"/>
  <c r="EX245" i="24" s="1"/>
  <c r="EC245" i="24"/>
  <c r="ED245" i="24" s="1"/>
  <c r="FL308" i="24"/>
  <c r="EH308" i="24"/>
  <c r="EI308" i="24"/>
  <c r="EX308" i="24" s="1"/>
  <c r="EC308" i="24"/>
  <c r="ED308" i="24" s="1"/>
  <c r="FL303" i="24"/>
  <c r="EH303" i="24"/>
  <c r="EI303" i="24"/>
  <c r="EX303" i="24" s="1"/>
  <c r="EC303" i="24"/>
  <c r="ED303" i="24" s="1"/>
  <c r="FL267" i="24"/>
  <c r="EC267" i="24"/>
  <c r="ED267" i="24" s="1"/>
  <c r="EH267" i="24"/>
  <c r="EI267" i="24"/>
  <c r="EX267" i="24" s="1"/>
  <c r="FL297" i="24"/>
  <c r="EH297" i="24"/>
  <c r="EI297" i="24"/>
  <c r="EX297" i="24" s="1"/>
  <c r="EC297" i="24"/>
  <c r="ED297" i="24" s="1"/>
  <c r="FL253" i="24"/>
  <c r="EC253" i="24"/>
  <c r="ED253" i="24" s="1"/>
  <c r="EH253" i="24"/>
  <c r="EI253" i="24"/>
  <c r="EX253" i="24" s="1"/>
  <c r="FL287" i="24"/>
  <c r="EH287" i="24"/>
  <c r="EI287" i="24"/>
  <c r="EX287" i="24" s="1"/>
  <c r="EC287" i="24"/>
  <c r="ED287" i="24" s="1"/>
  <c r="FL264" i="24"/>
  <c r="EI264" i="24"/>
  <c r="EX264" i="24" s="1"/>
  <c r="EH264" i="24"/>
  <c r="EC264" i="24"/>
  <c r="ED264" i="24" s="1"/>
  <c r="FL241" i="24"/>
  <c r="EH241" i="24"/>
  <c r="EI241" i="24"/>
  <c r="EX241" i="24" s="1"/>
  <c r="EC241" i="24"/>
  <c r="ED241" i="24" s="1"/>
  <c r="FL273" i="24"/>
  <c r="EH273" i="24"/>
  <c r="EI273" i="24"/>
  <c r="EX273" i="24" s="1"/>
  <c r="EC273" i="24"/>
  <c r="ED273" i="24" s="1"/>
  <c r="FL259" i="24"/>
  <c r="EI259" i="24"/>
  <c r="EX259" i="24" s="1"/>
  <c r="EC259" i="24"/>
  <c r="ED259" i="24" s="1"/>
  <c r="EH259" i="24"/>
  <c r="FL255" i="24"/>
  <c r="EH255" i="24"/>
  <c r="EC255" i="24"/>
  <c r="ED255" i="24" s="1"/>
  <c r="EI255" i="24"/>
  <c r="EX255" i="24" s="1"/>
  <c r="FL239" i="24"/>
  <c r="EI239" i="24"/>
  <c r="EX239" i="24" s="1"/>
  <c r="EC239" i="24"/>
  <c r="ED239" i="24" s="1"/>
  <c r="EH239" i="24"/>
  <c r="FL270" i="24"/>
  <c r="EI270" i="24"/>
  <c r="EX270" i="24" s="1"/>
  <c r="EH270" i="24"/>
  <c r="EC270" i="24"/>
  <c r="ED270" i="24" s="1"/>
  <c r="FL269" i="24"/>
  <c r="EH269" i="24"/>
  <c r="EC269" i="24"/>
  <c r="ED269" i="24" s="1"/>
  <c r="EI269" i="24"/>
  <c r="EX269" i="24" s="1"/>
  <c r="FL257" i="24"/>
  <c r="EH257" i="24"/>
  <c r="EC257" i="24"/>
  <c r="ED257" i="24" s="1"/>
  <c r="EI257" i="24"/>
  <c r="EX257" i="24" s="1"/>
  <c r="FL295" i="24"/>
  <c r="EH295" i="24"/>
  <c r="EI295" i="24"/>
  <c r="EX295" i="24" s="1"/>
  <c r="EC295" i="24"/>
  <c r="ED295" i="24" s="1"/>
  <c r="FL282" i="24"/>
  <c r="EC282" i="24"/>
  <c r="ED282" i="24" s="1"/>
  <c r="EH282" i="24"/>
  <c r="EI282" i="24"/>
  <c r="EX282" i="24" s="1"/>
  <c r="FL314" i="24"/>
  <c r="EH314" i="24"/>
  <c r="EI314" i="24"/>
  <c r="EX314" i="24" s="1"/>
  <c r="EC314" i="24"/>
  <c r="ED314" i="24" s="1"/>
  <c r="FL298" i="24"/>
  <c r="EI298" i="24"/>
  <c r="EX298" i="24" s="1"/>
  <c r="EH298" i="24"/>
  <c r="EC298" i="24"/>
  <c r="ED298" i="24" s="1"/>
  <c r="FL277" i="24"/>
  <c r="EI277" i="24"/>
  <c r="EX277" i="24" s="1"/>
  <c r="EH277" i="24"/>
  <c r="EC277" i="24"/>
  <c r="ED277" i="24" s="1"/>
  <c r="FL288" i="24"/>
  <c r="EH288" i="24"/>
  <c r="EI288" i="24"/>
  <c r="EX288" i="24" s="1"/>
  <c r="EC288" i="24"/>
  <c r="ED288" i="24" s="1"/>
  <c r="FL293" i="24"/>
  <c r="EH293" i="24"/>
  <c r="EI293" i="24"/>
  <c r="EX293" i="24" s="1"/>
  <c r="EC293" i="24"/>
  <c r="ED293" i="24" s="1"/>
  <c r="FL233" i="24"/>
  <c r="EH233" i="24"/>
  <c r="EI233" i="24"/>
  <c r="EX233" i="24" s="1"/>
  <c r="EC233" i="24"/>
  <c r="ED233" i="24" s="1"/>
  <c r="FL252" i="24"/>
  <c r="EH252" i="24"/>
  <c r="EC252" i="24"/>
  <c r="ED252" i="24" s="1"/>
  <c r="EI252" i="24"/>
  <c r="EX252" i="24" s="1"/>
  <c r="FL306" i="24"/>
  <c r="EC306" i="24"/>
  <c r="ED306" i="24" s="1"/>
  <c r="EH306" i="24"/>
  <c r="EI306" i="24"/>
  <c r="EX306" i="24" s="1"/>
  <c r="FL315" i="24"/>
  <c r="EH315" i="24"/>
  <c r="EI315" i="24"/>
  <c r="EX315" i="24" s="1"/>
  <c r="EC315" i="24"/>
  <c r="ED315" i="24" s="1"/>
  <c r="FL281" i="24"/>
  <c r="EH281" i="24"/>
  <c r="EI281" i="24"/>
  <c r="EX281" i="24" s="1"/>
  <c r="EC281" i="24"/>
  <c r="ED281" i="24" s="1"/>
  <c r="FL296" i="24"/>
  <c r="EI296" i="24"/>
  <c r="EX296" i="24" s="1"/>
  <c r="EC296" i="24"/>
  <c r="ED296" i="24" s="1"/>
  <c r="EH296" i="24"/>
  <c r="FL232" i="24"/>
  <c r="EH232" i="24"/>
  <c r="EI232" i="24"/>
  <c r="EX232" i="24" s="1"/>
  <c r="EC232" i="24"/>
  <c r="ED232" i="24" s="1"/>
  <c r="FL235" i="24"/>
  <c r="EH235" i="24"/>
  <c r="EI235" i="24"/>
  <c r="EX235" i="24" s="1"/>
  <c r="EC235" i="24"/>
  <c r="ED235" i="24" s="1"/>
  <c r="FL246" i="24"/>
  <c r="EH246" i="24"/>
  <c r="EI246" i="24"/>
  <c r="EX246" i="24" s="1"/>
  <c r="EC246" i="24"/>
  <c r="ED246" i="24" s="1"/>
  <c r="FL292" i="24"/>
  <c r="EH292" i="24"/>
  <c r="EI292" i="24"/>
  <c r="EX292" i="24" s="1"/>
  <c r="EC292" i="24"/>
  <c r="ED292" i="24" s="1"/>
  <c r="FL238" i="24"/>
  <c r="EH238" i="24"/>
  <c r="EI238" i="24"/>
  <c r="EX238" i="24" s="1"/>
  <c r="EC238" i="24"/>
  <c r="ED238" i="24" s="1"/>
  <c r="FL276" i="24"/>
  <c r="EH276" i="24"/>
  <c r="EI276" i="24"/>
  <c r="EX276" i="24" s="1"/>
  <c r="EC276" i="24"/>
  <c r="ED276" i="24" s="1"/>
  <c r="FL289" i="24"/>
  <c r="EH289" i="24"/>
  <c r="EI289" i="24"/>
  <c r="EX289" i="24" s="1"/>
  <c r="EC289" i="24"/>
  <c r="ED289" i="24" s="1"/>
  <c r="FL227" i="24"/>
  <c r="EH227" i="24"/>
  <c r="EC227" i="24"/>
  <c r="ED227" i="24" s="1"/>
  <c r="EI227" i="24"/>
  <c r="EX227" i="24" s="1"/>
  <c r="FL251" i="24"/>
  <c r="EH251" i="24"/>
  <c r="EI251" i="24"/>
  <c r="EX251" i="24" s="1"/>
  <c r="EC251" i="24"/>
  <c r="ED251" i="24" s="1"/>
  <c r="FL236" i="24"/>
  <c r="EI236" i="24"/>
  <c r="EX236" i="24" s="1"/>
  <c r="EC236" i="24"/>
  <c r="ED236" i="24" s="1"/>
  <c r="EH236" i="24"/>
  <c r="FL230" i="24"/>
  <c r="EH230" i="24"/>
  <c r="EI230" i="24"/>
  <c r="EX230" i="24" s="1"/>
  <c r="EC230" i="24"/>
  <c r="ED230" i="24" s="1"/>
  <c r="FL309" i="24"/>
  <c r="EH309" i="24"/>
  <c r="EI309" i="24"/>
  <c r="EX309" i="24" s="1"/>
  <c r="EC309" i="24"/>
  <c r="ED309" i="24" s="1"/>
  <c r="FL258" i="24"/>
  <c r="EH258" i="24"/>
  <c r="EI258" i="24"/>
  <c r="EX258" i="24" s="1"/>
  <c r="EC258" i="24"/>
  <c r="ED258" i="24" s="1"/>
  <c r="FL223" i="24"/>
  <c r="EH223" i="24"/>
  <c r="EC223" i="24"/>
  <c r="ED223" i="24" s="1"/>
  <c r="EI223" i="24"/>
  <c r="EX223" i="24" s="1"/>
  <c r="FL249" i="24"/>
  <c r="EH249" i="24"/>
  <c r="EI249" i="24"/>
  <c r="EX249" i="24" s="1"/>
  <c r="EC249" i="24"/>
  <c r="ED249" i="24" s="1"/>
  <c r="EK242" i="24"/>
  <c r="EW242" i="24"/>
  <c r="EV299" i="25"/>
  <c r="FB299" i="25" s="1"/>
  <c r="EI299" i="25"/>
  <c r="EV252" i="25"/>
  <c r="FB252" i="25" s="1"/>
  <c r="EI252" i="25"/>
  <c r="EI308" i="25"/>
  <c r="EV308" i="25"/>
  <c r="FB308" i="25" s="1"/>
  <c r="EI281" i="25"/>
  <c r="EV281" i="25"/>
  <c r="FB281" i="25" s="1"/>
  <c r="EI274" i="25"/>
  <c r="EV274" i="25"/>
  <c r="FB274" i="25" s="1"/>
  <c r="EI300" i="25"/>
  <c r="EV300" i="25"/>
  <c r="FB300" i="25" s="1"/>
  <c r="EV303" i="25"/>
  <c r="FB303" i="25" s="1"/>
  <c r="EI303" i="25"/>
  <c r="EI296" i="25"/>
  <c r="EV296" i="25"/>
  <c r="FB296" i="25" s="1"/>
  <c r="EV228" i="25"/>
  <c r="FB228" i="25" s="1"/>
  <c r="EI228" i="25"/>
  <c r="EI219" i="25"/>
  <c r="EV219" i="25"/>
  <c r="FB219" i="25" s="1"/>
  <c r="EI315" i="25"/>
  <c r="EV315" i="25"/>
  <c r="FB315" i="25" s="1"/>
  <c r="EI291" i="25"/>
  <c r="EV291" i="25"/>
  <c r="FB291" i="25" s="1"/>
  <c r="EI292" i="25"/>
  <c r="EV292" i="25"/>
  <c r="FB292" i="25" s="1"/>
  <c r="EI283" i="25"/>
  <c r="EV283" i="25"/>
  <c r="FB283" i="25" s="1"/>
  <c r="EI279" i="25"/>
  <c r="EV279" i="25"/>
  <c r="FB279" i="25" s="1"/>
  <c r="EV298" i="25"/>
  <c r="FB298" i="25" s="1"/>
  <c r="EI298" i="25"/>
  <c r="EI251" i="25"/>
  <c r="EV251" i="25"/>
  <c r="FB251" i="25" s="1"/>
  <c r="EI259" i="25"/>
  <c r="EV259" i="25"/>
  <c r="FB259" i="25" s="1"/>
  <c r="EV266" i="25"/>
  <c r="FB266" i="25" s="1"/>
  <c r="EI266" i="25"/>
  <c r="EI242" i="25"/>
  <c r="EV242" i="25"/>
  <c r="FB242" i="25" s="1"/>
  <c r="EV290" i="25"/>
  <c r="FB290" i="25" s="1"/>
  <c r="EI290" i="25"/>
  <c r="EI301" i="25"/>
  <c r="EV301" i="25"/>
  <c r="FB301" i="25" s="1"/>
  <c r="EV295" i="25"/>
  <c r="FB295" i="25" s="1"/>
  <c r="EI295" i="25"/>
  <c r="EI218" i="25"/>
  <c r="EV218" i="25"/>
  <c r="FB218" i="25" s="1"/>
  <c r="EI286" i="25"/>
  <c r="EV286" i="25"/>
  <c r="FB286" i="25" s="1"/>
  <c r="EI227" i="25"/>
  <c r="EV227" i="25"/>
  <c r="FB227" i="25" s="1"/>
  <c r="EI258" i="25"/>
  <c r="EV258" i="25"/>
  <c r="FB258" i="25" s="1"/>
  <c r="EI253" i="25"/>
  <c r="EV253" i="25"/>
  <c r="FB253" i="25" s="1"/>
  <c r="EV282" i="25"/>
  <c r="FB282" i="25" s="1"/>
  <c r="EI282" i="25"/>
  <c r="EI278" i="25"/>
  <c r="EV278" i="25"/>
  <c r="FB278" i="25" s="1"/>
  <c r="EV223" i="25"/>
  <c r="FB223" i="25" s="1"/>
  <c r="EI223" i="25"/>
  <c r="EV239" i="25"/>
  <c r="FB239" i="25" s="1"/>
  <c r="EI239" i="25"/>
  <c r="EI275" i="25"/>
  <c r="EV275" i="25"/>
  <c r="FB275" i="25" s="1"/>
  <c r="EI294" i="25"/>
  <c r="EV294" i="25"/>
  <c r="FB294" i="25" s="1"/>
  <c r="EI225" i="25"/>
  <c r="EV225" i="25"/>
  <c r="FB225" i="25" s="1"/>
  <c r="EV316" i="25"/>
  <c r="FB316" i="25" s="1"/>
  <c r="EI316" i="25"/>
  <c r="EI243" i="25"/>
  <c r="EV243" i="25"/>
  <c r="FB243" i="25" s="1"/>
  <c r="EV268" i="25"/>
  <c r="FB268" i="25" s="1"/>
  <c r="EI268" i="25"/>
  <c r="EV249" i="25"/>
  <c r="FB249" i="25" s="1"/>
  <c r="EI249" i="25"/>
  <c r="EV270" i="25"/>
  <c r="FB270" i="25" s="1"/>
  <c r="EI270" i="25"/>
  <c r="EI302" i="25"/>
  <c r="EV302" i="25"/>
  <c r="FB302" i="25" s="1"/>
  <c r="EI307" i="25"/>
  <c r="EV307" i="25"/>
  <c r="FB307" i="25" s="1"/>
  <c r="EI312" i="25"/>
  <c r="EV312" i="25"/>
  <c r="FB312" i="25" s="1"/>
  <c r="EI237" i="25"/>
  <c r="EV237" i="25"/>
  <c r="FB237" i="25" s="1"/>
  <c r="EV244" i="25"/>
  <c r="FB244" i="25" s="1"/>
  <c r="EI244" i="25"/>
  <c r="EI250" i="25"/>
  <c r="EV250" i="25"/>
  <c r="FB250" i="25" s="1"/>
  <c r="EI293" i="25"/>
  <c r="EV293" i="25"/>
  <c r="FB293" i="25" s="1"/>
  <c r="EV267" i="25"/>
  <c r="FB267" i="25" s="1"/>
  <c r="EI267" i="25"/>
  <c r="EI261" i="25"/>
  <c r="EV261" i="25"/>
  <c r="FB261" i="25" s="1"/>
  <c r="EV313" i="25"/>
  <c r="FB313" i="25" s="1"/>
  <c r="EI313" i="25"/>
  <c r="EI232" i="25"/>
  <c r="EV232" i="25"/>
  <c r="FB232" i="25" s="1"/>
  <c r="EV263" i="25"/>
  <c r="FB263" i="25" s="1"/>
  <c r="EI263" i="25"/>
  <c r="EV305" i="25"/>
  <c r="FB305" i="25" s="1"/>
  <c r="EI305" i="25"/>
  <c r="EI231" i="25"/>
  <c r="EV231" i="25"/>
  <c r="FB231" i="25" s="1"/>
  <c r="EV246" i="25"/>
  <c r="FB246" i="25" s="1"/>
  <c r="EI246" i="25"/>
  <c r="EV230" i="25"/>
  <c r="FB230" i="25" s="1"/>
  <c r="EI230" i="25"/>
  <c r="EI262" i="25"/>
  <c r="EV262" i="25"/>
  <c r="FB262" i="25" s="1"/>
  <c r="EI285" i="25"/>
  <c r="EV285" i="25"/>
  <c r="FB285" i="25" s="1"/>
  <c r="EI310" i="25"/>
  <c r="EV310" i="25"/>
  <c r="FB310" i="25" s="1"/>
  <c r="EI280" i="25"/>
  <c r="EV280" i="25"/>
  <c r="FB280" i="25" s="1"/>
  <c r="EI289" i="25"/>
  <c r="EV289" i="25"/>
  <c r="FB289" i="25" s="1"/>
  <c r="EV271" i="25"/>
  <c r="FB271" i="25" s="1"/>
  <c r="EI271" i="25"/>
  <c r="EI222" i="25"/>
  <c r="EV222" i="25"/>
  <c r="FB222" i="25" s="1"/>
  <c r="EI240" i="25"/>
  <c r="EV240" i="25"/>
  <c r="FB240" i="25" s="1"/>
  <c r="EI229" i="25"/>
  <c r="EV229" i="25"/>
  <c r="FB229" i="25" s="1"/>
  <c r="EI241" i="25"/>
  <c r="EV241" i="25"/>
  <c r="FB241" i="25" s="1"/>
  <c r="EI226" i="25"/>
  <c r="EV226" i="25"/>
  <c r="FB226" i="25" s="1"/>
  <c r="EI304" i="25"/>
  <c r="EV304" i="25"/>
  <c r="FB304" i="25" s="1"/>
  <c r="EI272" i="25"/>
  <c r="EV272" i="25"/>
  <c r="FB272" i="25" s="1"/>
  <c r="EI288" i="25"/>
  <c r="EV288" i="25"/>
  <c r="FB288" i="25" s="1"/>
  <c r="EV264" i="25"/>
  <c r="FB264" i="25" s="1"/>
  <c r="EI264" i="25"/>
  <c r="EV306" i="25"/>
  <c r="FB306" i="25" s="1"/>
  <c r="EI306" i="25"/>
  <c r="EI255" i="25"/>
  <c r="EV255" i="25"/>
  <c r="FB255" i="25" s="1"/>
  <c r="EV314" i="25"/>
  <c r="FB314" i="25" s="1"/>
  <c r="EI314" i="25"/>
  <c r="EI224" i="25"/>
  <c r="EV224" i="25"/>
  <c r="FB224" i="25" s="1"/>
  <c r="EV221" i="25"/>
  <c r="FB221" i="25" s="1"/>
  <c r="EI221" i="25"/>
  <c r="EV311" i="25"/>
  <c r="FB311" i="25" s="1"/>
  <c r="EI311" i="25"/>
  <c r="EV257" i="25"/>
  <c r="FB257" i="25" s="1"/>
  <c r="EI257" i="25"/>
  <c r="EV287" i="25"/>
  <c r="FB287" i="25" s="1"/>
  <c r="EI287" i="25"/>
  <c r="EI297" i="25"/>
  <c r="EV297" i="25"/>
  <c r="FB297" i="25" s="1"/>
  <c r="EV284" i="25"/>
  <c r="FB284" i="25" s="1"/>
  <c r="EI284" i="25"/>
  <c r="EV238" i="25"/>
  <c r="FB238" i="25" s="1"/>
  <c r="EI238" i="25"/>
  <c r="EV236" i="25"/>
  <c r="FB236" i="25" s="1"/>
  <c r="EI236" i="25"/>
  <c r="EV260" i="25"/>
  <c r="FB260" i="25" s="1"/>
  <c r="EI260" i="25"/>
  <c r="EV273" i="25"/>
  <c r="FB273" i="25" s="1"/>
  <c r="EI273" i="25"/>
  <c r="EI248" i="25"/>
  <c r="EV248" i="25"/>
  <c r="FB248" i="25" s="1"/>
  <c r="EV245" i="25"/>
  <c r="FB245" i="25" s="1"/>
  <c r="EI245" i="25"/>
  <c r="EI309" i="25"/>
  <c r="EV309" i="25"/>
  <c r="FB309" i="25" s="1"/>
  <c r="EV269" i="25"/>
  <c r="FB269" i="25" s="1"/>
  <c r="EI269" i="25"/>
  <c r="EV220" i="25"/>
  <c r="FB220" i="25" s="1"/>
  <c r="EI220" i="25"/>
  <c r="EV234" i="25"/>
  <c r="FB234" i="25" s="1"/>
  <c r="EI234" i="25"/>
  <c r="EV256" i="25"/>
  <c r="FB256" i="25" s="1"/>
  <c r="EI256" i="25"/>
  <c r="EV277" i="25"/>
  <c r="FB277" i="25" s="1"/>
  <c r="EI277" i="25"/>
  <c r="EI247" i="25"/>
  <c r="EV247" i="25"/>
  <c r="FB247" i="25" s="1"/>
  <c r="EV233" i="25"/>
  <c r="FB233" i="25" s="1"/>
  <c r="EI233" i="25"/>
  <c r="EV276" i="25"/>
  <c r="FB276" i="25" s="1"/>
  <c r="EI276" i="25"/>
  <c r="EV265" i="25"/>
  <c r="FB265" i="25" s="1"/>
  <c r="EI265" i="25"/>
  <c r="EV254" i="25"/>
  <c r="FB254" i="25" s="1"/>
  <c r="EI254" i="25"/>
  <c r="EI217" i="25"/>
  <c r="EV217" i="25"/>
  <c r="FB217" i="25" s="1"/>
  <c r="EI235" i="25"/>
  <c r="EV235" i="25"/>
  <c r="FB235" i="25" s="1"/>
  <c r="CG78" i="24"/>
  <c r="EC74" i="24"/>
  <c r="ED74" i="24" s="1"/>
  <c r="EI112" i="25"/>
  <c r="EV112" i="25"/>
  <c r="FB112" i="25" s="1"/>
  <c r="EI103" i="25"/>
  <c r="EO103" i="25" s="1"/>
  <c r="EP103" i="25" s="1"/>
  <c r="EH74" i="24"/>
  <c r="EW74" i="24" s="1"/>
  <c r="BK110" i="24"/>
  <c r="EI74" i="24"/>
  <c r="EX74" i="24" s="1"/>
  <c r="EI64" i="25"/>
  <c r="EO64" i="25" s="1"/>
  <c r="EP64" i="25" s="1"/>
  <c r="CG89" i="24"/>
  <c r="FL89" i="24"/>
  <c r="CG149" i="24"/>
  <c r="FL149" i="24"/>
  <c r="CG120" i="24"/>
  <c r="FL120" i="24"/>
  <c r="CG93" i="24"/>
  <c r="FL93" i="24"/>
  <c r="CG135" i="24"/>
  <c r="FL135" i="24"/>
  <c r="CG193" i="24"/>
  <c r="FL193" i="24"/>
  <c r="CG38" i="24"/>
  <c r="FL38" i="24"/>
  <c r="CG171" i="24"/>
  <c r="FL171" i="24"/>
  <c r="CG207" i="24"/>
  <c r="FL207" i="24"/>
  <c r="CG173" i="24"/>
  <c r="FL173" i="24"/>
  <c r="CG27" i="24"/>
  <c r="FL27" i="24"/>
  <c r="CG167" i="24"/>
  <c r="FL167" i="24"/>
  <c r="CG22" i="24"/>
  <c r="FL22" i="24"/>
  <c r="CG197" i="24"/>
  <c r="FL197" i="24"/>
  <c r="CG41" i="24"/>
  <c r="FL41" i="24"/>
  <c r="CG26" i="24"/>
  <c r="FL26" i="24"/>
  <c r="CG128" i="24"/>
  <c r="FL128" i="24"/>
  <c r="EC23" i="24"/>
  <c r="ED23" i="24" s="1"/>
  <c r="FL23" i="24"/>
  <c r="CG13" i="24"/>
  <c r="FL13" i="24"/>
  <c r="CG132" i="24"/>
  <c r="FL132" i="24"/>
  <c r="CG160" i="24"/>
  <c r="FL160" i="24"/>
  <c r="CG186" i="24"/>
  <c r="FL186" i="24"/>
  <c r="CG52" i="24"/>
  <c r="FL52" i="24"/>
  <c r="CG144" i="24"/>
  <c r="FL144" i="24"/>
  <c r="CG208" i="24"/>
  <c r="FL208" i="24"/>
  <c r="CG145" i="24"/>
  <c r="FL145" i="24"/>
  <c r="CG53" i="24"/>
  <c r="FL53" i="24"/>
  <c r="CG168" i="24"/>
  <c r="FL168" i="24"/>
  <c r="CG87" i="24"/>
  <c r="FL87" i="24"/>
  <c r="CG100" i="24"/>
  <c r="FL100" i="24"/>
  <c r="CG15" i="24"/>
  <c r="FL15" i="24"/>
  <c r="CG16" i="24"/>
  <c r="FL16" i="24"/>
  <c r="CG148" i="24"/>
  <c r="FL148" i="24"/>
  <c r="CG51" i="24"/>
  <c r="FL51" i="24"/>
  <c r="CG182" i="24"/>
  <c r="FL182" i="24"/>
  <c r="CG174" i="24"/>
  <c r="FL174" i="24"/>
  <c r="CG152" i="24"/>
  <c r="FL152" i="24"/>
  <c r="CG147" i="24"/>
  <c r="FL147" i="24"/>
  <c r="EH67" i="24"/>
  <c r="EW67" i="24" s="1"/>
  <c r="FL67" i="24"/>
  <c r="EZ47" i="25"/>
  <c r="FB47" i="25" s="1"/>
  <c r="CG37" i="24"/>
  <c r="FL37" i="24"/>
  <c r="CG60" i="24"/>
  <c r="FL60" i="24"/>
  <c r="CG191" i="24"/>
  <c r="FL191" i="24"/>
  <c r="CG118" i="24"/>
  <c r="FL118" i="24"/>
  <c r="CG18" i="24"/>
  <c r="FL18" i="24"/>
  <c r="CG61" i="24"/>
  <c r="FL61" i="24"/>
  <c r="CG21" i="24"/>
  <c r="FL21" i="24"/>
  <c r="CG7" i="24"/>
  <c r="FL7" i="24"/>
  <c r="CG36" i="24"/>
  <c r="FL36" i="24"/>
  <c r="CG42" i="24"/>
  <c r="FL42" i="24"/>
  <c r="CG117" i="24"/>
  <c r="FL117" i="24"/>
  <c r="CG158" i="24"/>
  <c r="FL158" i="24"/>
  <c r="CG102" i="24"/>
  <c r="FL102" i="24"/>
  <c r="CG84" i="24"/>
  <c r="FL84" i="24"/>
  <c r="CG179" i="24"/>
  <c r="FL179" i="24"/>
  <c r="CG137" i="24"/>
  <c r="FL137" i="24"/>
  <c r="EI43" i="24"/>
  <c r="EX43" i="24" s="1"/>
  <c r="FL43" i="24"/>
  <c r="EC40" i="24"/>
  <c r="ED40" i="24" s="1"/>
  <c r="FL40" i="24"/>
  <c r="CG124" i="24"/>
  <c r="FL124" i="24"/>
  <c r="CG48" i="24"/>
  <c r="FL48" i="24"/>
  <c r="CG55" i="24"/>
  <c r="FL55" i="24"/>
  <c r="CG94" i="24"/>
  <c r="FL94" i="24"/>
  <c r="CG178" i="24"/>
  <c r="FL178" i="24"/>
  <c r="CG194" i="24"/>
  <c r="FL194" i="24"/>
  <c r="CG121" i="24"/>
  <c r="FL121" i="24"/>
  <c r="CG165" i="24"/>
  <c r="FL165" i="24"/>
  <c r="CG82" i="24"/>
  <c r="FL82" i="24"/>
  <c r="CG164" i="24"/>
  <c r="FL164" i="24"/>
  <c r="CG46" i="24"/>
  <c r="FL46" i="24"/>
  <c r="CG140" i="24"/>
  <c r="FL140" i="24"/>
  <c r="CG205" i="24"/>
  <c r="FL205" i="24"/>
  <c r="CG47" i="24"/>
  <c r="FL47" i="24"/>
  <c r="CG157" i="24"/>
  <c r="FL157" i="24"/>
  <c r="CG103" i="24"/>
  <c r="FL103" i="24"/>
  <c r="CG188" i="24"/>
  <c r="FL188" i="24"/>
  <c r="CG151" i="24"/>
  <c r="FL151" i="24"/>
  <c r="CG156" i="24"/>
  <c r="FL156" i="24"/>
  <c r="CG73" i="24"/>
  <c r="FL73" i="24"/>
  <c r="CG20" i="24"/>
  <c r="FL20" i="24"/>
  <c r="CG85" i="24"/>
  <c r="FL85" i="24"/>
  <c r="CG19" i="24"/>
  <c r="FL19" i="24"/>
  <c r="CG95" i="24"/>
  <c r="FL95" i="24"/>
  <c r="CG123" i="24"/>
  <c r="FL123" i="24"/>
  <c r="CG6" i="24"/>
  <c r="FL6" i="24"/>
  <c r="EH77" i="24"/>
  <c r="EW77" i="24" s="1"/>
  <c r="FL77" i="24"/>
  <c r="CG111" i="24"/>
  <c r="FL111" i="24"/>
  <c r="CG133" i="24"/>
  <c r="FL133" i="24"/>
  <c r="CG44" i="24"/>
  <c r="FL44" i="24"/>
  <c r="CG79" i="24"/>
  <c r="FL79" i="24"/>
  <c r="CG203" i="24"/>
  <c r="FL203" i="24"/>
  <c r="CG130" i="24"/>
  <c r="FL130" i="24"/>
  <c r="CG183" i="24"/>
  <c r="FL183" i="24"/>
  <c r="CG57" i="24"/>
  <c r="FL57" i="24"/>
  <c r="CG80" i="24"/>
  <c r="FL80" i="24"/>
  <c r="CG54" i="24"/>
  <c r="FL54" i="24"/>
  <c r="CG97" i="24"/>
  <c r="FL97" i="24"/>
  <c r="CG65" i="24"/>
  <c r="FL65" i="24"/>
  <c r="CG198" i="24"/>
  <c r="FL198" i="24"/>
  <c r="CG187" i="24"/>
  <c r="FL187" i="24"/>
  <c r="CG131" i="24"/>
  <c r="FL131" i="24"/>
  <c r="CG163" i="24"/>
  <c r="FL163" i="24"/>
  <c r="CG129" i="24"/>
  <c r="FL129" i="24"/>
  <c r="CG68" i="24"/>
  <c r="FL68" i="24"/>
  <c r="CG64" i="24"/>
  <c r="FL64" i="24"/>
  <c r="CG34" i="24"/>
  <c r="FL34" i="24"/>
  <c r="CG115" i="24"/>
  <c r="FL115" i="24"/>
  <c r="CG116" i="24"/>
  <c r="FL116" i="24"/>
  <c r="CG138" i="24"/>
  <c r="FL138" i="24"/>
  <c r="CG125" i="24"/>
  <c r="FL125" i="24"/>
  <c r="CG175" i="24"/>
  <c r="FL175" i="24"/>
  <c r="CG200" i="24"/>
  <c r="FL200" i="24"/>
  <c r="CG105" i="24"/>
  <c r="FL105" i="24"/>
  <c r="CG189" i="24"/>
  <c r="FL189" i="24"/>
  <c r="CG9" i="24"/>
  <c r="FL9" i="24"/>
  <c r="CG139" i="24"/>
  <c r="FL139" i="24"/>
  <c r="CG206" i="24"/>
  <c r="FL206" i="24"/>
  <c r="CG161" i="24"/>
  <c r="FL161" i="24"/>
  <c r="CG31" i="24"/>
  <c r="FL31" i="24"/>
  <c r="CG28" i="24"/>
  <c r="FL28" i="24"/>
  <c r="CG10" i="24"/>
  <c r="FL10" i="24"/>
  <c r="EI136" i="24"/>
  <c r="EX136" i="24" s="1"/>
  <c r="FL136" i="24"/>
  <c r="EH142" i="24"/>
  <c r="EW142" i="24" s="1"/>
  <c r="FL142" i="24"/>
  <c r="CG63" i="24"/>
  <c r="FL63" i="24"/>
  <c r="CG90" i="24"/>
  <c r="FL90" i="24"/>
  <c r="CG39" i="24"/>
  <c r="FL39" i="24"/>
  <c r="CG8" i="24"/>
  <c r="FL8" i="24"/>
  <c r="CG210" i="24"/>
  <c r="FL210" i="24"/>
  <c r="CG56" i="24"/>
  <c r="FL56" i="24"/>
  <c r="CG12" i="24"/>
  <c r="FL12" i="24"/>
  <c r="CG25" i="24"/>
  <c r="FL25" i="24"/>
  <c r="CG35" i="24"/>
  <c r="FL35" i="24"/>
  <c r="CG91" i="24"/>
  <c r="FL91" i="24"/>
  <c r="CG119" i="24"/>
  <c r="FL119" i="24"/>
  <c r="CG59" i="24"/>
  <c r="FL59" i="24"/>
  <c r="CG17" i="24"/>
  <c r="FL17" i="24"/>
  <c r="CG101" i="24"/>
  <c r="FL101" i="24"/>
  <c r="CG72" i="24"/>
  <c r="FL72" i="24"/>
  <c r="CG70" i="24"/>
  <c r="FL70" i="24"/>
  <c r="CG204" i="24"/>
  <c r="FL204" i="24"/>
  <c r="CG166" i="24"/>
  <c r="FL166" i="24"/>
  <c r="CG75" i="24"/>
  <c r="FL75" i="24"/>
  <c r="CG162" i="24"/>
  <c r="FL162" i="24"/>
  <c r="CG196" i="24"/>
  <c r="FL196" i="24"/>
  <c r="CG49" i="24"/>
  <c r="FL49" i="24"/>
  <c r="CG86" i="24"/>
  <c r="FL86" i="24"/>
  <c r="CG66" i="24"/>
  <c r="FL66" i="24"/>
  <c r="CG45" i="24"/>
  <c r="FL45" i="24"/>
  <c r="CG181" i="24"/>
  <c r="FL181" i="24"/>
  <c r="CG180" i="24"/>
  <c r="FL180" i="24"/>
  <c r="CG143" i="24"/>
  <c r="FL143" i="24"/>
  <c r="CG88" i="24"/>
  <c r="FL88" i="24"/>
  <c r="CG76" i="24"/>
  <c r="FL76" i="24"/>
  <c r="CG122" i="24"/>
  <c r="FL122" i="24"/>
  <c r="CG202" i="24"/>
  <c r="FL202" i="24"/>
  <c r="CG177" i="24"/>
  <c r="FL177" i="24"/>
  <c r="CG195" i="24"/>
  <c r="FL195" i="24"/>
  <c r="CG146" i="24"/>
  <c r="FL146" i="24"/>
  <c r="CG69" i="24"/>
  <c r="FL69" i="24"/>
  <c r="EH159" i="24"/>
  <c r="EW159" i="24" s="1"/>
  <c r="FL159" i="24"/>
  <c r="EC62" i="24"/>
  <c r="ED62" i="24" s="1"/>
  <c r="FL62" i="24"/>
  <c r="CG170" i="24"/>
  <c r="FL170" i="24"/>
  <c r="CG199" i="24"/>
  <c r="FL199" i="24"/>
  <c r="CG71" i="24"/>
  <c r="FL71" i="24"/>
  <c r="CG126" i="24"/>
  <c r="FL126" i="24"/>
  <c r="EC169" i="24"/>
  <c r="ED169" i="24" s="1"/>
  <c r="FL169" i="24"/>
  <c r="CG153" i="24"/>
  <c r="FL153" i="24"/>
  <c r="CG113" i="24"/>
  <c r="FL113" i="24"/>
  <c r="CG11" i="24"/>
  <c r="FL11" i="24"/>
  <c r="CG185" i="24"/>
  <c r="FL185" i="24"/>
  <c r="CG99" i="24"/>
  <c r="FL99" i="24"/>
  <c r="CG30" i="24"/>
  <c r="FL30" i="24"/>
  <c r="CG154" i="24"/>
  <c r="FL154" i="24"/>
  <c r="CG24" i="24"/>
  <c r="FL24" i="24"/>
  <c r="CG112" i="24"/>
  <c r="FL112" i="24"/>
  <c r="CG150" i="24"/>
  <c r="FL150" i="24"/>
  <c r="CG33" i="24"/>
  <c r="FL33" i="24"/>
  <c r="CG184" i="24"/>
  <c r="FL184" i="24"/>
  <c r="CG176" i="24"/>
  <c r="FL176" i="24"/>
  <c r="CG98" i="24"/>
  <c r="FL98" i="24"/>
  <c r="CG155" i="24"/>
  <c r="FL155" i="24"/>
  <c r="CG58" i="24"/>
  <c r="FL58" i="24"/>
  <c r="CG50" i="24"/>
  <c r="FL50" i="24"/>
  <c r="CG114" i="24"/>
  <c r="FL114" i="24"/>
  <c r="CG209" i="24"/>
  <c r="FL209" i="24"/>
  <c r="CG32" i="24"/>
  <c r="FL32" i="24"/>
  <c r="CG141" i="24"/>
  <c r="FL141" i="24"/>
  <c r="CG201" i="24"/>
  <c r="FL201" i="24"/>
  <c r="EI29" i="24"/>
  <c r="EX29" i="24" s="1"/>
  <c r="FL29" i="24"/>
  <c r="CG192" i="24"/>
  <c r="FL192" i="24"/>
  <c r="CG104" i="24"/>
  <c r="FL104" i="24"/>
  <c r="EI39" i="24"/>
  <c r="EX39" i="24" s="1"/>
  <c r="EH39" i="24"/>
  <c r="EW39" i="24" s="1"/>
  <c r="EC39" i="24"/>
  <c r="ED39" i="24" s="1"/>
  <c r="EI92" i="24"/>
  <c r="EX92" i="24" s="1"/>
  <c r="CG74" i="24"/>
  <c r="EH132" i="24"/>
  <c r="EK132" i="24" s="1"/>
  <c r="EH44" i="24"/>
  <c r="EW44" i="24" s="1"/>
  <c r="EC44" i="24"/>
  <c r="ED44" i="24" s="1"/>
  <c r="EI44" i="24"/>
  <c r="EX44" i="24" s="1"/>
  <c r="EV17" i="25"/>
  <c r="EZ17" i="25" s="1"/>
  <c r="FB17" i="25" s="1"/>
  <c r="EI33" i="25"/>
  <c r="EO33" i="25" s="1"/>
  <c r="EP33" i="25" s="1"/>
  <c r="EI169" i="24"/>
  <c r="EX169" i="24" s="1"/>
  <c r="EH169" i="24"/>
  <c r="CG169" i="24"/>
  <c r="EI132" i="24"/>
  <c r="EX132" i="24" s="1"/>
  <c r="EH160" i="24"/>
  <c r="EK160" i="24" s="1"/>
  <c r="EI160" i="24"/>
  <c r="EX160" i="24" s="1"/>
  <c r="EI127" i="24"/>
  <c r="EX127" i="24" s="1"/>
  <c r="EC160" i="24"/>
  <c r="ED160" i="24" s="1"/>
  <c r="EC132" i="24"/>
  <c r="ED132" i="24" s="1"/>
  <c r="EV164" i="25"/>
  <c r="FB164" i="25" s="1"/>
  <c r="EC52" i="24"/>
  <c r="ED52" i="24" s="1"/>
  <c r="EI52" i="24"/>
  <c r="EX52" i="24" s="1"/>
  <c r="EH52" i="24"/>
  <c r="EW52" i="24" s="1"/>
  <c r="EI133" i="24"/>
  <c r="EX133" i="24" s="1"/>
  <c r="EC133" i="24"/>
  <c r="ED133" i="24" s="1"/>
  <c r="EH133" i="24"/>
  <c r="EW133" i="24" s="1"/>
  <c r="EC104" i="24"/>
  <c r="ED104" i="24" s="1"/>
  <c r="EC37" i="24"/>
  <c r="ED37" i="24" s="1"/>
  <c r="EZ103" i="25"/>
  <c r="FB103" i="25" s="1"/>
  <c r="EC127" i="24"/>
  <c r="ED127" i="24" s="1"/>
  <c r="EI58" i="25"/>
  <c r="EO58" i="25" s="1"/>
  <c r="EP58" i="25" s="1"/>
  <c r="EH152" i="24"/>
  <c r="EK152" i="24" s="1"/>
  <c r="EZ64" i="25"/>
  <c r="FB64" i="25" s="1"/>
  <c r="EI77" i="25"/>
  <c r="EO77" i="25" s="1"/>
  <c r="EP77" i="25" s="1"/>
  <c r="EH127" i="24"/>
  <c r="EK127" i="24" s="1"/>
  <c r="CG127" i="24"/>
  <c r="EI55" i="24"/>
  <c r="EX55" i="24" s="1"/>
  <c r="EH83" i="24"/>
  <c r="EK83" i="24" s="1"/>
  <c r="EQ83" i="24" s="1"/>
  <c r="EZ89" i="25"/>
  <c r="FB89" i="25" s="1"/>
  <c r="EH48" i="24"/>
  <c r="EK48" i="24" s="1"/>
  <c r="EQ48" i="24" s="1"/>
  <c r="EZ96" i="25"/>
  <c r="FB96" i="25" s="1"/>
  <c r="EH37" i="24"/>
  <c r="EK37" i="24" s="1"/>
  <c r="EQ37" i="24" s="1"/>
  <c r="EI37" i="24"/>
  <c r="EX37" i="24" s="1"/>
  <c r="EV90" i="25"/>
  <c r="EZ90" i="25" s="1"/>
  <c r="FB90" i="25" s="1"/>
  <c r="EI172" i="24"/>
  <c r="EX172" i="24" s="1"/>
  <c r="EI96" i="25"/>
  <c r="EO96" i="25" s="1"/>
  <c r="EI183" i="25"/>
  <c r="EP183" i="25" s="1"/>
  <c r="EH29" i="24"/>
  <c r="EK29" i="24" s="1"/>
  <c r="EQ29" i="24" s="1"/>
  <c r="EI201" i="24"/>
  <c r="EX201" i="24" s="1"/>
  <c r="EI128" i="25"/>
  <c r="EP128" i="25" s="1"/>
  <c r="EV145" i="25"/>
  <c r="FB145" i="25" s="1"/>
  <c r="EH126" i="24"/>
  <c r="EK126" i="24" s="1"/>
  <c r="FB183" i="25"/>
  <c r="EI99" i="25"/>
  <c r="EO99" i="25" s="1"/>
  <c r="EP99" i="25" s="1"/>
  <c r="EI126" i="24"/>
  <c r="EX126" i="24" s="1"/>
  <c r="EC126" i="24"/>
  <c r="ED126" i="24" s="1"/>
  <c r="FB128" i="25"/>
  <c r="EH63" i="24"/>
  <c r="EW63" i="24" s="1"/>
  <c r="EV185" i="25"/>
  <c r="FB185" i="25" s="1"/>
  <c r="EC111" i="24"/>
  <c r="ED111" i="24" s="1"/>
  <c r="EC63" i="24"/>
  <c r="ED63" i="24" s="1"/>
  <c r="EH30" i="24"/>
  <c r="EK30" i="24" s="1"/>
  <c r="EQ30" i="24" s="1"/>
  <c r="EI63" i="24"/>
  <c r="EX63" i="24" s="1"/>
  <c r="EI30" i="24"/>
  <c r="EX30" i="24" s="1"/>
  <c r="EC30" i="24"/>
  <c r="ED30" i="24" s="1"/>
  <c r="EI83" i="24"/>
  <c r="EX83" i="24" s="1"/>
  <c r="EH111" i="24"/>
  <c r="EW111" i="24" s="1"/>
  <c r="EI111" i="24"/>
  <c r="EX111" i="24" s="1"/>
  <c r="EI47" i="25"/>
  <c r="EO47" i="25" s="1"/>
  <c r="EI37" i="25"/>
  <c r="EO37" i="25" s="1"/>
  <c r="EP37" i="25" s="1"/>
  <c r="EZ33" i="25"/>
  <c r="FB33" i="25" s="1"/>
  <c r="EZ95" i="25"/>
  <c r="FB95" i="25" s="1"/>
  <c r="EZ97" i="25"/>
  <c r="FB97" i="25" s="1"/>
  <c r="FB158" i="25"/>
  <c r="EI81" i="24"/>
  <c r="EX81" i="24" s="1"/>
  <c r="EH71" i="24"/>
  <c r="EK71" i="24" s="1"/>
  <c r="EQ71" i="24" s="1"/>
  <c r="EI95" i="25"/>
  <c r="EO95" i="25" s="1"/>
  <c r="EI74" i="25"/>
  <c r="EO74" i="25" s="1"/>
  <c r="EP74" i="25" s="1"/>
  <c r="EI97" i="25"/>
  <c r="EO97" i="25" s="1"/>
  <c r="EP97" i="25" s="1"/>
  <c r="EI158" i="25"/>
  <c r="FC158" i="25" s="1"/>
  <c r="FE158" i="25" s="1"/>
  <c r="FF158" i="25" s="1"/>
  <c r="EI93" i="25"/>
  <c r="EO93" i="25" s="1"/>
  <c r="EP93" i="25" s="1"/>
  <c r="FB131" i="25"/>
  <c r="EI131" i="25"/>
  <c r="EP131" i="25" s="1"/>
  <c r="EZ99" i="25"/>
  <c r="FB99" i="25" s="1"/>
  <c r="FC182" i="25"/>
  <c r="FE182" i="25" s="1"/>
  <c r="FF182" i="25" s="1"/>
  <c r="EC172" i="24"/>
  <c r="ED172" i="24" s="1"/>
  <c r="CG172" i="24"/>
  <c r="EZ58" i="25"/>
  <c r="FB58" i="25" s="1"/>
  <c r="EH172" i="24"/>
  <c r="EW172" i="24" s="1"/>
  <c r="EI71" i="24"/>
  <c r="EX71" i="24" s="1"/>
  <c r="EZ74" i="25"/>
  <c r="FB74" i="25" s="1"/>
  <c r="EC71" i="24"/>
  <c r="ED71" i="24" s="1"/>
  <c r="EZ93" i="25"/>
  <c r="FB93" i="25" s="1"/>
  <c r="EI173" i="25"/>
  <c r="EP173" i="25" s="1"/>
  <c r="EI137" i="25"/>
  <c r="FC137" i="25" s="1"/>
  <c r="FE137" i="25" s="1"/>
  <c r="FF137" i="25" s="1"/>
  <c r="EV42" i="25"/>
  <c r="EZ42" i="25" s="1"/>
  <c r="FB42" i="25" s="1"/>
  <c r="EI192" i="24"/>
  <c r="EX192" i="24" s="1"/>
  <c r="CG275" i="24"/>
  <c r="CG265" i="24"/>
  <c r="I216" i="24"/>
  <c r="EC192" i="24"/>
  <c r="ED192" i="24" s="1"/>
  <c r="CG240" i="24"/>
  <c r="CG14" i="24"/>
  <c r="CG29" i="24"/>
  <c r="CG252" i="24"/>
  <c r="EI104" i="24"/>
  <c r="EX104" i="24" s="1"/>
  <c r="EH192" i="24"/>
  <c r="EW192" i="24" s="1"/>
  <c r="EV56" i="25"/>
  <c r="EZ56" i="25" s="1"/>
  <c r="FB56" i="25" s="1"/>
  <c r="CG277" i="24"/>
  <c r="CG239" i="24"/>
  <c r="CG293" i="24"/>
  <c r="CG278" i="24"/>
  <c r="CG249" i="24"/>
  <c r="EH104" i="24"/>
  <c r="EK104" i="24" s="1"/>
  <c r="EQ104" i="24" s="1"/>
  <c r="CG297" i="24"/>
  <c r="EZ73" i="25"/>
  <c r="FB73" i="25" s="1"/>
  <c r="EH90" i="24"/>
  <c r="EC90" i="24"/>
  <c r="ED90" i="24" s="1"/>
  <c r="EI90" i="24"/>
  <c r="EX90" i="24" s="1"/>
  <c r="CG251" i="24"/>
  <c r="CG290" i="24"/>
  <c r="CG232" i="24"/>
  <c r="CG222" i="24"/>
  <c r="CG272" i="24"/>
  <c r="CG40" i="24"/>
  <c r="CG62" i="24"/>
  <c r="CG254" i="24"/>
  <c r="CG260" i="24"/>
  <c r="CG219" i="24"/>
  <c r="CG269" i="24"/>
  <c r="CG231" i="24"/>
  <c r="CG223" i="24"/>
  <c r="CG314" i="24"/>
  <c r="CG83" i="24"/>
  <c r="CG264" i="24"/>
  <c r="CG292" i="24"/>
  <c r="CG263" i="24"/>
  <c r="CG281" i="24"/>
  <c r="CG77" i="24"/>
  <c r="CG273" i="24"/>
  <c r="CG271" i="24"/>
  <c r="CG230" i="24"/>
  <c r="CG258" i="24"/>
  <c r="CG234" i="24"/>
  <c r="CG298" i="24"/>
  <c r="CG283" i="24"/>
  <c r="CG142" i="24"/>
  <c r="CG227" i="24"/>
  <c r="CG228" i="24"/>
  <c r="CG287" i="24"/>
  <c r="CG279" i="24"/>
  <c r="CG303" i="24"/>
  <c r="CG315" i="24"/>
  <c r="CG246" i="24"/>
  <c r="CG244" i="24"/>
  <c r="CG304" i="24"/>
  <c r="CG256" i="24"/>
  <c r="CG81" i="24"/>
  <c r="CG253" i="24"/>
  <c r="CG312" i="24"/>
  <c r="CG274" i="24"/>
  <c r="CG309" i="24"/>
  <c r="CG276" i="24"/>
  <c r="CG313" i="24"/>
  <c r="CG316" i="24"/>
  <c r="CG302" i="24"/>
  <c r="EI142" i="24"/>
  <c r="EX142" i="24" s="1"/>
  <c r="EC136" i="24"/>
  <c r="ED136" i="24" s="1"/>
  <c r="CG301" i="24"/>
  <c r="CG307" i="24"/>
  <c r="CG218" i="24"/>
  <c r="CG257" i="24"/>
  <c r="CG295" i="24"/>
  <c r="CG268" i="24"/>
  <c r="CG294" i="24"/>
  <c r="CG220" i="24"/>
  <c r="CG308" i="24"/>
  <c r="CG289" i="24"/>
  <c r="CG267" i="24"/>
  <c r="CG224" i="24"/>
  <c r="CG262" i="24"/>
  <c r="CG235" i="24"/>
  <c r="CG259" i="24"/>
  <c r="CG221" i="24"/>
  <c r="EH40" i="24"/>
  <c r="EW40" i="24" s="1"/>
  <c r="EC142" i="24"/>
  <c r="ED142" i="24" s="1"/>
  <c r="EV156" i="25"/>
  <c r="FB156" i="25" s="1"/>
  <c r="CG229" i="24"/>
  <c r="CG136" i="24"/>
  <c r="CG238" i="24"/>
  <c r="CG241" i="24"/>
  <c r="CG261" i="24"/>
  <c r="CG236" i="24"/>
  <c r="CG255" i="24"/>
  <c r="CG226" i="24"/>
  <c r="CG282" i="24"/>
  <c r="CG233" i="24"/>
  <c r="CG280" i="24"/>
  <c r="CG310" i="24"/>
  <c r="CG306" i="24"/>
  <c r="CG300" i="24"/>
  <c r="CG225" i="24"/>
  <c r="CG250" i="24"/>
  <c r="CG43" i="24"/>
  <c r="EH136" i="24"/>
  <c r="EK136" i="24" s="1"/>
  <c r="EI73" i="25"/>
  <c r="EO73" i="25" s="1"/>
  <c r="EP73" i="25" s="1"/>
  <c r="CG134" i="24"/>
  <c r="CG247" i="24"/>
  <c r="CG296" i="24"/>
  <c r="CG311" i="24"/>
  <c r="CG286" i="24"/>
  <c r="CG217" i="24"/>
  <c r="CG237" i="24"/>
  <c r="CG270" i="24"/>
  <c r="CG305" i="24"/>
  <c r="CG291" i="24"/>
  <c r="CG23" i="24"/>
  <c r="CG288" i="24"/>
  <c r="CG248" i="24"/>
  <c r="CG284" i="24"/>
  <c r="CG299" i="24"/>
  <c r="CG159" i="24"/>
  <c r="CG266" i="24"/>
  <c r="CG245" i="24"/>
  <c r="CG67" i="24"/>
  <c r="EZ77" i="25"/>
  <c r="FB77" i="25" s="1"/>
  <c r="EI25" i="25"/>
  <c r="EO25" i="25" s="1"/>
  <c r="EP25" i="25" s="1"/>
  <c r="EZ37" i="25"/>
  <c r="FB37" i="25" s="1"/>
  <c r="EI40" i="24"/>
  <c r="EX40" i="24" s="1"/>
  <c r="EI48" i="24"/>
  <c r="EX48" i="24" s="1"/>
  <c r="EC83" i="24"/>
  <c r="ED83" i="24" s="1"/>
  <c r="EI129" i="25"/>
  <c r="EP129" i="25" s="1"/>
  <c r="EI186" i="24"/>
  <c r="EX186" i="24" s="1"/>
  <c r="EC48" i="24"/>
  <c r="ED48" i="24" s="1"/>
  <c r="EI34" i="25"/>
  <c r="EO34" i="25" s="1"/>
  <c r="EP34" i="25" s="1"/>
  <c r="EC43" i="24"/>
  <c r="ED43" i="24" s="1"/>
  <c r="EH186" i="24"/>
  <c r="EK186" i="24" s="1"/>
  <c r="EH43" i="24"/>
  <c r="EW43" i="24" s="1"/>
  <c r="EC186" i="24"/>
  <c r="ED186" i="24" s="1"/>
  <c r="EI9" i="25"/>
  <c r="EO9" i="25" s="1"/>
  <c r="EP9" i="25" s="1"/>
  <c r="EH170" i="24"/>
  <c r="EW170" i="24" s="1"/>
  <c r="EH99" i="24"/>
  <c r="EW99" i="24" s="1"/>
  <c r="EH55" i="24"/>
  <c r="EW55" i="24" s="1"/>
  <c r="EI170" i="24"/>
  <c r="EX170" i="24" s="1"/>
  <c r="EC55" i="24"/>
  <c r="ED55" i="24" s="1"/>
  <c r="EC170" i="24"/>
  <c r="ED170" i="24" s="1"/>
  <c r="EZ83" i="25"/>
  <c r="FB83" i="25" s="1"/>
  <c r="EH23" i="24"/>
  <c r="EW23" i="24" s="1"/>
  <c r="EH124" i="24"/>
  <c r="EK124" i="24" s="1"/>
  <c r="EI14" i="24"/>
  <c r="EX14" i="24" s="1"/>
  <c r="EC67" i="24"/>
  <c r="ED67" i="24" s="1"/>
  <c r="EI83" i="25"/>
  <c r="EO83" i="25" s="1"/>
  <c r="EP83" i="25" s="1"/>
  <c r="EC99" i="24"/>
  <c r="ED99" i="24" s="1"/>
  <c r="EH14" i="24"/>
  <c r="EW14" i="24" s="1"/>
  <c r="EI67" i="24"/>
  <c r="EX67" i="24" s="1"/>
  <c r="EC124" i="24"/>
  <c r="ED124" i="24" s="1"/>
  <c r="EI99" i="24"/>
  <c r="EX99" i="24" s="1"/>
  <c r="EI23" i="24"/>
  <c r="EX23" i="24" s="1"/>
  <c r="EC14" i="24"/>
  <c r="ED14" i="24" s="1"/>
  <c r="EI124" i="24"/>
  <c r="EX124" i="24" s="1"/>
  <c r="EI81" i="25"/>
  <c r="EO81" i="25" s="1"/>
  <c r="EP81" i="25" s="1"/>
  <c r="EV169" i="25"/>
  <c r="FC169" i="25" s="1"/>
  <c r="FE169" i="25" s="1"/>
  <c r="FF169" i="25" s="1"/>
  <c r="EI199" i="25"/>
  <c r="FC199" i="25" s="1"/>
  <c r="FE199" i="25" s="1"/>
  <c r="FF199" i="25" s="1"/>
  <c r="EI178" i="25"/>
  <c r="EP178" i="25" s="1"/>
  <c r="FB199" i="25"/>
  <c r="EV194" i="25"/>
  <c r="FB194" i="25" s="1"/>
  <c r="EI141" i="25"/>
  <c r="FC141" i="25" s="1"/>
  <c r="FE141" i="25" s="1"/>
  <c r="FF141" i="25" s="1"/>
  <c r="EV171" i="25"/>
  <c r="FB171" i="25" s="1"/>
  <c r="ER5" i="24"/>
  <c r="FC5" i="24"/>
  <c r="FE5" i="24" s="1"/>
  <c r="FF5" i="24" s="1"/>
  <c r="U110" i="24"/>
  <c r="N110" i="24"/>
  <c r="ER110" i="24"/>
  <c r="FC110" i="24"/>
  <c r="FE110" i="24" s="1"/>
  <c r="FF110" i="24" s="1"/>
  <c r="FB178" i="25"/>
  <c r="FB141" i="25"/>
  <c r="FB137" i="25"/>
  <c r="EC159" i="24"/>
  <c r="ED159" i="24" s="1"/>
  <c r="EI159" i="24"/>
  <c r="EX159" i="24" s="1"/>
  <c r="EI152" i="24"/>
  <c r="EX152" i="24" s="1"/>
  <c r="EC81" i="24"/>
  <c r="ED81" i="24" s="1"/>
  <c r="EC29" i="24"/>
  <c r="ED29" i="24" s="1"/>
  <c r="EC152" i="24"/>
  <c r="ED152" i="24" s="1"/>
  <c r="EZ81" i="25"/>
  <c r="FB81" i="25" s="1"/>
  <c r="EC199" i="24"/>
  <c r="ED199" i="24" s="1"/>
  <c r="EH199" i="24"/>
  <c r="EK199" i="24" s="1"/>
  <c r="EH147" i="24"/>
  <c r="EK147" i="24" s="1"/>
  <c r="EH81" i="24"/>
  <c r="EW81" i="24" s="1"/>
  <c r="EI147" i="24"/>
  <c r="EX147" i="24" s="1"/>
  <c r="EI199" i="24"/>
  <c r="EX199" i="24" s="1"/>
  <c r="EC147" i="24"/>
  <c r="ED147" i="24" s="1"/>
  <c r="FB173" i="25"/>
  <c r="FB129" i="25"/>
  <c r="EC201" i="24"/>
  <c r="ED201" i="24" s="1"/>
  <c r="FB180" i="25"/>
  <c r="EH134" i="24"/>
  <c r="EK134" i="24" s="1"/>
  <c r="EI49" i="25"/>
  <c r="EO49" i="25" s="1"/>
  <c r="EP49" i="25" s="1"/>
  <c r="EI180" i="25"/>
  <c r="FC180" i="25" s="1"/>
  <c r="FE180" i="25" s="1"/>
  <c r="FF180" i="25" s="1"/>
  <c r="EI87" i="25"/>
  <c r="EO87" i="25" s="1"/>
  <c r="EP87" i="25" s="1"/>
  <c r="EI77" i="24"/>
  <c r="EX77" i="24" s="1"/>
  <c r="EZ9" i="25"/>
  <c r="FB9" i="25" s="1"/>
  <c r="EC77" i="24"/>
  <c r="ED77" i="24" s="1"/>
  <c r="EH13" i="24"/>
  <c r="EK13" i="24" s="1"/>
  <c r="EQ13" i="24" s="1"/>
  <c r="EC13" i="24"/>
  <c r="ED13" i="24" s="1"/>
  <c r="EI13" i="24"/>
  <c r="EX13" i="24" s="1"/>
  <c r="EZ49" i="25"/>
  <c r="FB49" i="25" s="1"/>
  <c r="EZ23" i="25"/>
  <c r="FB23" i="25" s="1"/>
  <c r="EZ25" i="25"/>
  <c r="FB25" i="25" s="1"/>
  <c r="FB111" i="25"/>
  <c r="EI23" i="25"/>
  <c r="EO23" i="25" s="1"/>
  <c r="EP23" i="25" s="1"/>
  <c r="EI111" i="25"/>
  <c r="EP111" i="25" s="1"/>
  <c r="EZ87" i="25"/>
  <c r="FB87" i="25" s="1"/>
  <c r="EZ34" i="25"/>
  <c r="FB34" i="25" s="1"/>
  <c r="EH201" i="24"/>
  <c r="EK201" i="24" s="1"/>
  <c r="EH62" i="24"/>
  <c r="EW62" i="24" s="1"/>
  <c r="EP185" i="25"/>
  <c r="EV70" i="25"/>
  <c r="EZ70" i="25" s="1"/>
  <c r="FB70" i="25" s="1"/>
  <c r="EI70" i="25"/>
  <c r="EO70" i="25" s="1"/>
  <c r="EV48" i="25"/>
  <c r="EZ48" i="25" s="1"/>
  <c r="FB48" i="25" s="1"/>
  <c r="EI48" i="25"/>
  <c r="EO48" i="25" s="1"/>
  <c r="EV200" i="25"/>
  <c r="FB200" i="25" s="1"/>
  <c r="EI200" i="25"/>
  <c r="EV53" i="25"/>
  <c r="EZ53" i="25" s="1"/>
  <c r="FB53" i="25" s="1"/>
  <c r="EI53" i="25"/>
  <c r="EO53" i="25" s="1"/>
  <c r="EV204" i="25"/>
  <c r="FB204" i="25" s="1"/>
  <c r="EI204" i="25"/>
  <c r="EV22" i="25"/>
  <c r="EZ22" i="25" s="1"/>
  <c r="FB22" i="25" s="1"/>
  <c r="EI22" i="25"/>
  <c r="EO22" i="25" s="1"/>
  <c r="EV157" i="25"/>
  <c r="FB157" i="25" s="1"/>
  <c r="EI157" i="25"/>
  <c r="EV165" i="25"/>
  <c r="FB165" i="25" s="1"/>
  <c r="EI165" i="25"/>
  <c r="EV190" i="25"/>
  <c r="FB190" i="25" s="1"/>
  <c r="EI190" i="25"/>
  <c r="EV142" i="25"/>
  <c r="FB142" i="25" s="1"/>
  <c r="EI142" i="25"/>
  <c r="EV116" i="25"/>
  <c r="FB116" i="25" s="1"/>
  <c r="EI116" i="25"/>
  <c r="EV14" i="25"/>
  <c r="EZ14" i="25" s="1"/>
  <c r="FB14" i="25" s="1"/>
  <c r="EI14" i="25"/>
  <c r="EO14" i="25" s="1"/>
  <c r="EV28" i="25"/>
  <c r="EZ28" i="25" s="1"/>
  <c r="FB28" i="25" s="1"/>
  <c r="EI28" i="25"/>
  <c r="EO28" i="25" s="1"/>
  <c r="EV79" i="25"/>
  <c r="EZ79" i="25" s="1"/>
  <c r="FB79" i="25" s="1"/>
  <c r="EI79" i="25"/>
  <c r="EO79" i="25" s="1"/>
  <c r="EP156" i="25"/>
  <c r="EV159" i="25"/>
  <c r="FB159" i="25" s="1"/>
  <c r="EI159" i="25"/>
  <c r="EV149" i="25"/>
  <c r="FB149" i="25" s="1"/>
  <c r="EI149" i="25"/>
  <c r="EV12" i="25"/>
  <c r="EZ12" i="25" s="1"/>
  <c r="FB12" i="25" s="1"/>
  <c r="EI12" i="25"/>
  <c r="EO12" i="25" s="1"/>
  <c r="EV146" i="25"/>
  <c r="FB146" i="25" s="1"/>
  <c r="EI146" i="25"/>
  <c r="EI62" i="24"/>
  <c r="EX62" i="24" s="1"/>
  <c r="EV65" i="25"/>
  <c r="EZ65" i="25" s="1"/>
  <c r="FB65" i="25" s="1"/>
  <c r="EI65" i="25"/>
  <c r="EO65" i="25" s="1"/>
  <c r="EV139" i="25"/>
  <c r="FB139" i="25" s="1"/>
  <c r="EI139" i="25"/>
  <c r="EV201" i="25"/>
  <c r="FB201" i="25" s="1"/>
  <c r="EI201" i="25"/>
  <c r="EV153" i="25"/>
  <c r="FB153" i="25" s="1"/>
  <c r="EI153" i="25"/>
  <c r="EV122" i="25"/>
  <c r="FB122" i="25" s="1"/>
  <c r="EI122" i="25"/>
  <c r="EV206" i="25"/>
  <c r="FB206" i="25" s="1"/>
  <c r="EI206" i="25"/>
  <c r="EV114" i="25"/>
  <c r="FB114" i="25" s="1"/>
  <c r="EI114" i="25"/>
  <c r="EV92" i="25"/>
  <c r="EZ92" i="25" s="1"/>
  <c r="FB92" i="25" s="1"/>
  <c r="EI92" i="25"/>
  <c r="EO92" i="25" s="1"/>
  <c r="EV29" i="25"/>
  <c r="EZ29" i="25" s="1"/>
  <c r="FB29" i="25" s="1"/>
  <c r="EI29" i="25"/>
  <c r="EO29" i="25" s="1"/>
  <c r="EV7" i="25"/>
  <c r="EZ7" i="25" s="1"/>
  <c r="FB7" i="25" s="1"/>
  <c r="EI7" i="25"/>
  <c r="EO7" i="25" s="1"/>
  <c r="EV15" i="25"/>
  <c r="EZ15" i="25" s="1"/>
  <c r="FB15" i="25" s="1"/>
  <c r="EI15" i="25"/>
  <c r="EO15" i="25" s="1"/>
  <c r="EP169" i="25"/>
  <c r="EV133" i="25"/>
  <c r="FB133" i="25" s="1"/>
  <c r="EI133" i="25"/>
  <c r="EV11" i="25"/>
  <c r="EZ11" i="25" s="1"/>
  <c r="FB11" i="25" s="1"/>
  <c r="EI11" i="25"/>
  <c r="EO11" i="25" s="1"/>
  <c r="EV186" i="25"/>
  <c r="FB186" i="25" s="1"/>
  <c r="EI186" i="25"/>
  <c r="EP145" i="25"/>
  <c r="FC181" i="25"/>
  <c r="FE181" i="25" s="1"/>
  <c r="FF181" i="25" s="1"/>
  <c r="EP181" i="25"/>
  <c r="EV123" i="25"/>
  <c r="FB123" i="25" s="1"/>
  <c r="EI123" i="25"/>
  <c r="EV162" i="25"/>
  <c r="FB162" i="25" s="1"/>
  <c r="EI162" i="25"/>
  <c r="EV209" i="25"/>
  <c r="FB209" i="25" s="1"/>
  <c r="EI209" i="25"/>
  <c r="EV144" i="25"/>
  <c r="FB144" i="25" s="1"/>
  <c r="EI144" i="25"/>
  <c r="EV115" i="25"/>
  <c r="FB115" i="25" s="1"/>
  <c r="EI115" i="25"/>
  <c r="EV86" i="25"/>
  <c r="EZ86" i="25" s="1"/>
  <c r="FB86" i="25" s="1"/>
  <c r="EI86" i="25"/>
  <c r="EO86" i="25" s="1"/>
  <c r="EV118" i="25"/>
  <c r="FB118" i="25" s="1"/>
  <c r="EI118" i="25"/>
  <c r="EV20" i="25"/>
  <c r="EZ20" i="25" s="1"/>
  <c r="FB20" i="25" s="1"/>
  <c r="EI20" i="25"/>
  <c r="EO20" i="25" s="1"/>
  <c r="EV80" i="25"/>
  <c r="EZ80" i="25" s="1"/>
  <c r="FB80" i="25" s="1"/>
  <c r="EI80" i="25"/>
  <c r="EO80" i="25" s="1"/>
  <c r="EV32" i="25"/>
  <c r="EZ32" i="25" s="1"/>
  <c r="FB32" i="25" s="1"/>
  <c r="EI32" i="25"/>
  <c r="EO32" i="25" s="1"/>
  <c r="EV192" i="25"/>
  <c r="FB192" i="25" s="1"/>
  <c r="EI192" i="25"/>
  <c r="EV148" i="25"/>
  <c r="FB148" i="25" s="1"/>
  <c r="EI148" i="25"/>
  <c r="EV68" i="25"/>
  <c r="EZ68" i="25" s="1"/>
  <c r="FB68" i="25" s="1"/>
  <c r="EI68" i="25"/>
  <c r="EO68" i="25" s="1"/>
  <c r="EV113" i="25"/>
  <c r="FB113" i="25" s="1"/>
  <c r="EI113" i="25"/>
  <c r="EV45" i="25"/>
  <c r="EZ45" i="25" s="1"/>
  <c r="FB45" i="25" s="1"/>
  <c r="EI45" i="25"/>
  <c r="EO45" i="25" s="1"/>
  <c r="EP164" i="25"/>
  <c r="EV170" i="25"/>
  <c r="FB170" i="25" s="1"/>
  <c r="EI170" i="25"/>
  <c r="EV71" i="25"/>
  <c r="EZ71" i="25" s="1"/>
  <c r="FB71" i="25" s="1"/>
  <c r="EI71" i="25"/>
  <c r="EO71" i="25" s="1"/>
  <c r="EV50" i="25"/>
  <c r="EZ50" i="25" s="1"/>
  <c r="FB50" i="25" s="1"/>
  <c r="EI50" i="25"/>
  <c r="EO50" i="25" s="1"/>
  <c r="EV121" i="25"/>
  <c r="FB121" i="25" s="1"/>
  <c r="EI121" i="25"/>
  <c r="EV26" i="25"/>
  <c r="EZ26" i="25" s="1"/>
  <c r="FB26" i="25" s="1"/>
  <c r="EI26" i="25"/>
  <c r="EO26" i="25" s="1"/>
  <c r="EV208" i="25"/>
  <c r="FB208" i="25" s="1"/>
  <c r="EI208" i="25"/>
  <c r="EV41" i="25"/>
  <c r="EZ41" i="25" s="1"/>
  <c r="FB41" i="25" s="1"/>
  <c r="EI41" i="25"/>
  <c r="EO41" i="25" s="1"/>
  <c r="EV150" i="25"/>
  <c r="FB150" i="25" s="1"/>
  <c r="EI150" i="25"/>
  <c r="EV6" i="25"/>
  <c r="EZ6" i="25" s="1"/>
  <c r="FB6" i="25" s="1"/>
  <c r="EI6" i="25"/>
  <c r="EO6" i="25" s="1"/>
  <c r="EV188" i="25"/>
  <c r="FB188" i="25" s="1"/>
  <c r="EI188" i="25"/>
  <c r="EV177" i="25"/>
  <c r="FB177" i="25" s="1"/>
  <c r="EI177" i="25"/>
  <c r="EP90" i="25"/>
  <c r="EV154" i="25"/>
  <c r="FB154" i="25" s="1"/>
  <c r="EI154" i="25"/>
  <c r="EV44" i="25"/>
  <c r="EZ44" i="25" s="1"/>
  <c r="FB44" i="25" s="1"/>
  <c r="EI44" i="25"/>
  <c r="EO44" i="25" s="1"/>
  <c r="EV38" i="25"/>
  <c r="EZ38" i="25" s="1"/>
  <c r="FB38" i="25" s="1"/>
  <c r="EI38" i="25"/>
  <c r="EO38" i="25" s="1"/>
  <c r="EV172" i="25"/>
  <c r="FB172" i="25" s="1"/>
  <c r="EI172" i="25"/>
  <c r="EV60" i="25"/>
  <c r="EZ60" i="25" s="1"/>
  <c r="FB60" i="25" s="1"/>
  <c r="EI60" i="25"/>
  <c r="EO60" i="25" s="1"/>
  <c r="EV100" i="25"/>
  <c r="EZ100" i="25" s="1"/>
  <c r="FB100" i="25" s="1"/>
  <c r="EI100" i="25"/>
  <c r="EO100" i="25" s="1"/>
  <c r="EV98" i="25"/>
  <c r="EZ98" i="25" s="1"/>
  <c r="FB98" i="25" s="1"/>
  <c r="EI98" i="25"/>
  <c r="EO98" i="25" s="1"/>
  <c r="EV184" i="25"/>
  <c r="FB184" i="25" s="1"/>
  <c r="EI184" i="25"/>
  <c r="EV134" i="25"/>
  <c r="FB134" i="25" s="1"/>
  <c r="EI134" i="25"/>
  <c r="EV76" i="25"/>
  <c r="EZ76" i="25" s="1"/>
  <c r="FB76" i="25" s="1"/>
  <c r="EI76" i="25"/>
  <c r="EO76" i="25" s="1"/>
  <c r="EP136" i="25"/>
  <c r="EV126" i="25"/>
  <c r="FB126" i="25" s="1"/>
  <c r="EI126" i="25"/>
  <c r="FC143" i="25"/>
  <c r="FE143" i="25" s="1"/>
  <c r="FF143" i="25" s="1"/>
  <c r="EP143" i="25"/>
  <c r="EV24" i="25"/>
  <c r="EZ24" i="25" s="1"/>
  <c r="FB24" i="25" s="1"/>
  <c r="EI24" i="25"/>
  <c r="EO24" i="25" s="1"/>
  <c r="EV195" i="25"/>
  <c r="FB195" i="25" s="1"/>
  <c r="EI195" i="25"/>
  <c r="EV175" i="25"/>
  <c r="FB175" i="25" s="1"/>
  <c r="EI175" i="25"/>
  <c r="EV43" i="25"/>
  <c r="EZ43" i="25" s="1"/>
  <c r="FB43" i="25" s="1"/>
  <c r="EI43" i="25"/>
  <c r="EO43" i="25" s="1"/>
  <c r="EV104" i="25"/>
  <c r="EZ104" i="25" s="1"/>
  <c r="FB104" i="25" s="1"/>
  <c r="EI104" i="25"/>
  <c r="EO104" i="25" s="1"/>
  <c r="EV120" i="25"/>
  <c r="FB120" i="25" s="1"/>
  <c r="EI120" i="25"/>
  <c r="EV119" i="25"/>
  <c r="FB119" i="25" s="1"/>
  <c r="EI119" i="25"/>
  <c r="EP194" i="25"/>
  <c r="EV59" i="25"/>
  <c r="EZ59" i="25" s="1"/>
  <c r="FB59" i="25" s="1"/>
  <c r="EI59" i="25"/>
  <c r="EO59" i="25" s="1"/>
  <c r="EV160" i="25"/>
  <c r="FB160" i="25" s="1"/>
  <c r="EI160" i="25"/>
  <c r="EV102" i="25"/>
  <c r="EZ102" i="25" s="1"/>
  <c r="FB102" i="25" s="1"/>
  <c r="EI102" i="25"/>
  <c r="EO102" i="25" s="1"/>
  <c r="EP171" i="25"/>
  <c r="EV52" i="25"/>
  <c r="EZ52" i="25" s="1"/>
  <c r="FB52" i="25" s="1"/>
  <c r="EI52" i="25"/>
  <c r="EO52" i="25" s="1"/>
  <c r="EV117" i="25"/>
  <c r="FB117" i="25" s="1"/>
  <c r="EI117" i="25"/>
  <c r="EV210" i="25"/>
  <c r="FB210" i="25" s="1"/>
  <c r="EI210" i="25"/>
  <c r="EV193" i="25"/>
  <c r="FB193" i="25" s="1"/>
  <c r="EI193" i="25"/>
  <c r="EV205" i="25"/>
  <c r="FB205" i="25" s="1"/>
  <c r="EI205" i="25"/>
  <c r="EV19" i="25"/>
  <c r="EZ19" i="25" s="1"/>
  <c r="FB19" i="25" s="1"/>
  <c r="EI19" i="25"/>
  <c r="EO19" i="25" s="1"/>
  <c r="EV13" i="25"/>
  <c r="EZ13" i="25" s="1"/>
  <c r="FB13" i="25" s="1"/>
  <c r="EI13" i="25"/>
  <c r="EO13" i="25" s="1"/>
  <c r="EV40" i="25"/>
  <c r="EZ40" i="25" s="1"/>
  <c r="FB40" i="25" s="1"/>
  <c r="EI40" i="25"/>
  <c r="EO40" i="25" s="1"/>
  <c r="EP56" i="25"/>
  <c r="EV78" i="25"/>
  <c r="EZ78" i="25" s="1"/>
  <c r="FB78" i="25" s="1"/>
  <c r="EI78" i="25"/>
  <c r="EO78" i="25" s="1"/>
  <c r="EP138" i="25"/>
  <c r="FC138" i="25"/>
  <c r="FE138" i="25" s="1"/>
  <c r="FF138" i="25" s="1"/>
  <c r="EV140" i="25"/>
  <c r="FB140" i="25" s="1"/>
  <c r="EI140" i="25"/>
  <c r="EV66" i="25"/>
  <c r="EZ66" i="25" s="1"/>
  <c r="FB66" i="25" s="1"/>
  <c r="EI66" i="25"/>
  <c r="EO66" i="25" s="1"/>
  <c r="EV125" i="25"/>
  <c r="FB125" i="25" s="1"/>
  <c r="EI125" i="25"/>
  <c r="EV18" i="25"/>
  <c r="EZ18" i="25" s="1"/>
  <c r="FB18" i="25" s="1"/>
  <c r="EI18" i="25"/>
  <c r="EO18" i="25" s="1"/>
  <c r="EV174" i="25"/>
  <c r="FB174" i="25" s="1"/>
  <c r="EI174" i="25"/>
  <c r="EV54" i="25"/>
  <c r="EZ54" i="25" s="1"/>
  <c r="FB54" i="25" s="1"/>
  <c r="EI54" i="25"/>
  <c r="EO54" i="25" s="1"/>
  <c r="EV61" i="25"/>
  <c r="EZ61" i="25" s="1"/>
  <c r="FB61" i="25" s="1"/>
  <c r="EI61" i="25"/>
  <c r="EO61" i="25" s="1"/>
  <c r="EV197" i="25"/>
  <c r="FB197" i="25" s="1"/>
  <c r="EI197" i="25"/>
  <c r="EV132" i="25"/>
  <c r="FB132" i="25" s="1"/>
  <c r="EI132" i="25"/>
  <c r="EV91" i="25"/>
  <c r="EZ91" i="25" s="1"/>
  <c r="FB91" i="25" s="1"/>
  <c r="EI91" i="25"/>
  <c r="EO91" i="25" s="1"/>
  <c r="EV179" i="25"/>
  <c r="FB179" i="25" s="1"/>
  <c r="EI179" i="25"/>
  <c r="EV39" i="25"/>
  <c r="EZ39" i="25" s="1"/>
  <c r="FB39" i="25" s="1"/>
  <c r="EI39" i="25"/>
  <c r="EO39" i="25" s="1"/>
  <c r="EV30" i="25"/>
  <c r="EZ30" i="25" s="1"/>
  <c r="FB30" i="25" s="1"/>
  <c r="EI30" i="25"/>
  <c r="EO30" i="25" s="1"/>
  <c r="EV35" i="25"/>
  <c r="EZ35" i="25" s="1"/>
  <c r="FB35" i="25" s="1"/>
  <c r="EI35" i="25"/>
  <c r="EO35" i="25" s="1"/>
  <c r="EV75" i="25"/>
  <c r="EZ75" i="25" s="1"/>
  <c r="FB75" i="25" s="1"/>
  <c r="EI75" i="25"/>
  <c r="EO75" i="25" s="1"/>
  <c r="EV124" i="25"/>
  <c r="FB124" i="25" s="1"/>
  <c r="EI124" i="25"/>
  <c r="EV82" i="25"/>
  <c r="EZ82" i="25" s="1"/>
  <c r="FB82" i="25" s="1"/>
  <c r="EI82" i="25"/>
  <c r="EO82" i="25" s="1"/>
  <c r="EV8" i="25"/>
  <c r="EZ8" i="25" s="1"/>
  <c r="FB8" i="25" s="1"/>
  <c r="EI8" i="25"/>
  <c r="EO8" i="25" s="1"/>
  <c r="EV110" i="25"/>
  <c r="FB110" i="25" s="1"/>
  <c r="EI110" i="25"/>
  <c r="EV63" i="25"/>
  <c r="EZ63" i="25" s="1"/>
  <c r="FB63" i="25" s="1"/>
  <c r="EI63" i="25"/>
  <c r="EO63" i="25" s="1"/>
  <c r="EV163" i="25"/>
  <c r="FB163" i="25" s="1"/>
  <c r="EI163" i="25"/>
  <c r="EV161" i="25"/>
  <c r="FB161" i="25" s="1"/>
  <c r="EI161" i="25"/>
  <c r="EV187" i="25"/>
  <c r="FB187" i="25" s="1"/>
  <c r="EI187" i="25"/>
  <c r="EV94" i="25"/>
  <c r="EZ94" i="25" s="1"/>
  <c r="FB94" i="25" s="1"/>
  <c r="EI94" i="25"/>
  <c r="EO94" i="25" s="1"/>
  <c r="EV127" i="25"/>
  <c r="FB127" i="25" s="1"/>
  <c r="EI127" i="25"/>
  <c r="EV67" i="25"/>
  <c r="EZ67" i="25" s="1"/>
  <c r="FB67" i="25" s="1"/>
  <c r="EI67" i="25"/>
  <c r="EO67" i="25" s="1"/>
  <c r="EV130" i="25"/>
  <c r="FB130" i="25" s="1"/>
  <c r="EI130" i="25"/>
  <c r="EV167" i="25"/>
  <c r="FB167" i="25" s="1"/>
  <c r="EI167" i="25"/>
  <c r="EV85" i="25"/>
  <c r="EZ85" i="25" s="1"/>
  <c r="FB85" i="25" s="1"/>
  <c r="EI85" i="25"/>
  <c r="EO85" i="25" s="1"/>
  <c r="EV152" i="25"/>
  <c r="FB152" i="25" s="1"/>
  <c r="EI152" i="25"/>
  <c r="EV88" i="25"/>
  <c r="EZ88" i="25" s="1"/>
  <c r="FB88" i="25" s="1"/>
  <c r="EI88" i="25"/>
  <c r="EO88" i="25" s="1"/>
  <c r="EV202" i="25"/>
  <c r="FB202" i="25" s="1"/>
  <c r="EI202" i="25"/>
  <c r="EV155" i="25"/>
  <c r="FB155" i="25" s="1"/>
  <c r="EI155" i="25"/>
  <c r="EV46" i="25"/>
  <c r="EZ46" i="25" s="1"/>
  <c r="FB46" i="25" s="1"/>
  <c r="EI46" i="25"/>
  <c r="EO46" i="25" s="1"/>
  <c r="EV10" i="25"/>
  <c r="EZ10" i="25" s="1"/>
  <c r="FB10" i="25" s="1"/>
  <c r="EI10" i="25"/>
  <c r="EO10" i="25" s="1"/>
  <c r="EV105" i="25"/>
  <c r="EZ105" i="25" s="1"/>
  <c r="FB105" i="25" s="1"/>
  <c r="EI105" i="25"/>
  <c r="EO105" i="25" s="1"/>
  <c r="EV31" i="25"/>
  <c r="EZ31" i="25" s="1"/>
  <c r="FB31" i="25" s="1"/>
  <c r="EI31" i="25"/>
  <c r="EO31" i="25" s="1"/>
  <c r="EV189" i="25"/>
  <c r="FB189" i="25" s="1"/>
  <c r="EI189" i="25"/>
  <c r="EV176" i="25"/>
  <c r="FB176" i="25" s="1"/>
  <c r="EI176" i="25"/>
  <c r="EV151" i="25"/>
  <c r="FB151" i="25" s="1"/>
  <c r="EI151" i="25"/>
  <c r="EV55" i="25"/>
  <c r="EZ55" i="25" s="1"/>
  <c r="FB55" i="25" s="1"/>
  <c r="EI55" i="25"/>
  <c r="EO55" i="25" s="1"/>
  <c r="EV51" i="25"/>
  <c r="EZ51" i="25" s="1"/>
  <c r="FB51" i="25" s="1"/>
  <c r="EI51" i="25"/>
  <c r="EO51" i="25" s="1"/>
  <c r="EV62" i="25"/>
  <c r="EZ62" i="25" s="1"/>
  <c r="FB62" i="25" s="1"/>
  <c r="EI62" i="25"/>
  <c r="EO62" i="25" s="1"/>
  <c r="EV147" i="25"/>
  <c r="FB147" i="25" s="1"/>
  <c r="EI147" i="25"/>
  <c r="EV101" i="25"/>
  <c r="EZ101" i="25" s="1"/>
  <c r="FB101" i="25" s="1"/>
  <c r="EI101" i="25"/>
  <c r="EO101" i="25" s="1"/>
  <c r="EP42" i="25"/>
  <c r="EV198" i="25"/>
  <c r="FB198" i="25" s="1"/>
  <c r="EI198" i="25"/>
  <c r="EV72" i="25"/>
  <c r="EZ72" i="25" s="1"/>
  <c r="FB72" i="25" s="1"/>
  <c r="EI72" i="25"/>
  <c r="EO72" i="25" s="1"/>
  <c r="EV16" i="25"/>
  <c r="EZ16" i="25" s="1"/>
  <c r="FB16" i="25" s="1"/>
  <c r="EI16" i="25"/>
  <c r="EO16" i="25" s="1"/>
  <c r="EV168" i="25"/>
  <c r="FB168" i="25" s="1"/>
  <c r="EI168" i="25"/>
  <c r="EV36" i="25"/>
  <c r="EZ36" i="25" s="1"/>
  <c r="FB36" i="25" s="1"/>
  <c r="EI36" i="25"/>
  <c r="EO36" i="25" s="1"/>
  <c r="EV203" i="25"/>
  <c r="FB203" i="25" s="1"/>
  <c r="EI203" i="25"/>
  <c r="EV166" i="25"/>
  <c r="FB166" i="25" s="1"/>
  <c r="EI166" i="25"/>
  <c r="EV84" i="25"/>
  <c r="EZ84" i="25" s="1"/>
  <c r="FB84" i="25" s="1"/>
  <c r="EI84" i="25"/>
  <c r="EO84" i="25" s="1"/>
  <c r="EV135" i="25"/>
  <c r="FB135" i="25" s="1"/>
  <c r="EI135" i="25"/>
  <c r="EV57" i="25"/>
  <c r="EZ57" i="25" s="1"/>
  <c r="FB57" i="25" s="1"/>
  <c r="EI57" i="25"/>
  <c r="EO57" i="25" s="1"/>
  <c r="EV21" i="25"/>
  <c r="EZ21" i="25" s="1"/>
  <c r="FB21" i="25" s="1"/>
  <c r="EI21" i="25"/>
  <c r="EO21" i="25" s="1"/>
  <c r="EV191" i="25"/>
  <c r="FB191" i="25" s="1"/>
  <c r="EI191" i="25"/>
  <c r="EV27" i="25"/>
  <c r="EZ27" i="25" s="1"/>
  <c r="FB27" i="25" s="1"/>
  <c r="EI27" i="25"/>
  <c r="EO27" i="25" s="1"/>
  <c r="EV69" i="25"/>
  <c r="EZ69" i="25" s="1"/>
  <c r="FB69" i="25" s="1"/>
  <c r="EI69" i="25"/>
  <c r="EO69" i="25" s="1"/>
  <c r="EP17" i="25"/>
  <c r="EV207" i="25"/>
  <c r="FB207" i="25" s="1"/>
  <c r="EI207" i="25"/>
  <c r="EV196" i="25"/>
  <c r="FB196" i="25" s="1"/>
  <c r="EI196" i="25"/>
  <c r="EH10" i="24"/>
  <c r="EK10" i="24" s="1"/>
  <c r="EQ10" i="24" s="1"/>
  <c r="EI10" i="24"/>
  <c r="EX10" i="24" s="1"/>
  <c r="EC10" i="24"/>
  <c r="ED10" i="24" s="1"/>
  <c r="EI134" i="24"/>
  <c r="EX134" i="24" s="1"/>
  <c r="EC134" i="24"/>
  <c r="ED134" i="24" s="1"/>
  <c r="EH79" i="24"/>
  <c r="EC79" i="24"/>
  <c r="ED79" i="24" s="1"/>
  <c r="EI79" i="24"/>
  <c r="EX79" i="24" s="1"/>
  <c r="EI72" i="24"/>
  <c r="EX72" i="24" s="1"/>
  <c r="EH72" i="24"/>
  <c r="EC72" i="24"/>
  <c r="ED72" i="24" s="1"/>
  <c r="EH115" i="24"/>
  <c r="EC115" i="24"/>
  <c r="ED115" i="24" s="1"/>
  <c r="EI115" i="24"/>
  <c r="EX115" i="24" s="1"/>
  <c r="EC116" i="24"/>
  <c r="ED116" i="24" s="1"/>
  <c r="EH116" i="24"/>
  <c r="EI116" i="24"/>
  <c r="EX116" i="24" s="1"/>
  <c r="EC91" i="24"/>
  <c r="ED91" i="24" s="1"/>
  <c r="EI91" i="24"/>
  <c r="EX91" i="24" s="1"/>
  <c r="EH91" i="24"/>
  <c r="EC121" i="24"/>
  <c r="ED121" i="24" s="1"/>
  <c r="EI121" i="24"/>
  <c r="EX121" i="24" s="1"/>
  <c r="EH121" i="24"/>
  <c r="EH46" i="24"/>
  <c r="EC46" i="24"/>
  <c r="ED46" i="24" s="1"/>
  <c r="EI46" i="24"/>
  <c r="EX46" i="24" s="1"/>
  <c r="EI113" i="24"/>
  <c r="EX113" i="24" s="1"/>
  <c r="EH113" i="24"/>
  <c r="EC113" i="24"/>
  <c r="ED113" i="24" s="1"/>
  <c r="EI86" i="24"/>
  <c r="EX86" i="24" s="1"/>
  <c r="EC86" i="24"/>
  <c r="ED86" i="24" s="1"/>
  <c r="EH86" i="24"/>
  <c r="EC33" i="24"/>
  <c r="ED33" i="24" s="1"/>
  <c r="EI33" i="24"/>
  <c r="EX33" i="24" s="1"/>
  <c r="EH33" i="24"/>
  <c r="EI45" i="24"/>
  <c r="EX45" i="24" s="1"/>
  <c r="EH45" i="24"/>
  <c r="EC45" i="24"/>
  <c r="ED45" i="24" s="1"/>
  <c r="EH105" i="24"/>
  <c r="EI105" i="24"/>
  <c r="EX105" i="24" s="1"/>
  <c r="EC105" i="24"/>
  <c r="ED105" i="24" s="1"/>
  <c r="EH120" i="24"/>
  <c r="EI120" i="24"/>
  <c r="EX120" i="24" s="1"/>
  <c r="EC120" i="24"/>
  <c r="ED120" i="24" s="1"/>
  <c r="EI27" i="24"/>
  <c r="EX27" i="24" s="1"/>
  <c r="EC27" i="24"/>
  <c r="ED27" i="24" s="1"/>
  <c r="EH27" i="24"/>
  <c r="EH97" i="24"/>
  <c r="EI97" i="24"/>
  <c r="EX97" i="24" s="1"/>
  <c r="EC97" i="24"/>
  <c r="ED97" i="24" s="1"/>
  <c r="EH100" i="24"/>
  <c r="EC100" i="24"/>
  <c r="ED100" i="24" s="1"/>
  <c r="EI100" i="24"/>
  <c r="EX100" i="24" s="1"/>
  <c r="EH61" i="24"/>
  <c r="EC61" i="24"/>
  <c r="ED61" i="24" s="1"/>
  <c r="EI61" i="24"/>
  <c r="EX61" i="24" s="1"/>
  <c r="EH84" i="24"/>
  <c r="EC84" i="24"/>
  <c r="ED84" i="24" s="1"/>
  <c r="EI84" i="24"/>
  <c r="EX84" i="24" s="1"/>
  <c r="EC197" i="24"/>
  <c r="ED197" i="24" s="1"/>
  <c r="EI197" i="24"/>
  <c r="EX197" i="24" s="1"/>
  <c r="EH197" i="24"/>
  <c r="EC21" i="24"/>
  <c r="ED21" i="24" s="1"/>
  <c r="EH21" i="24"/>
  <c r="EI21" i="24"/>
  <c r="EX21" i="24" s="1"/>
  <c r="EI139" i="24"/>
  <c r="EX139" i="24" s="1"/>
  <c r="EC139" i="24"/>
  <c r="ED139" i="24" s="1"/>
  <c r="EH139" i="24"/>
  <c r="EC20" i="24"/>
  <c r="ED20" i="24" s="1"/>
  <c r="EI20" i="24"/>
  <c r="EX20" i="24" s="1"/>
  <c r="EH20" i="24"/>
  <c r="EH26" i="24"/>
  <c r="EC26" i="24"/>
  <c r="ED26" i="24" s="1"/>
  <c r="EI26" i="24"/>
  <c r="EX26" i="24" s="1"/>
  <c r="EI154" i="24"/>
  <c r="EX154" i="24" s="1"/>
  <c r="EH154" i="24"/>
  <c r="EC154" i="24"/>
  <c r="ED154" i="24" s="1"/>
  <c r="EC17" i="24"/>
  <c r="ED17" i="24" s="1"/>
  <c r="EI17" i="24"/>
  <c r="EX17" i="24" s="1"/>
  <c r="EH17" i="24"/>
  <c r="EI35" i="24"/>
  <c r="EX35" i="24" s="1"/>
  <c r="EH35" i="24"/>
  <c r="EC35" i="24"/>
  <c r="ED35" i="24" s="1"/>
  <c r="EI70" i="24"/>
  <c r="EX70" i="24" s="1"/>
  <c r="EH70" i="24"/>
  <c r="EC70" i="24"/>
  <c r="ED70" i="24" s="1"/>
  <c r="EH138" i="24"/>
  <c r="EI138" i="24"/>
  <c r="EX138" i="24" s="1"/>
  <c r="EC138" i="24"/>
  <c r="ED138" i="24" s="1"/>
  <c r="EI119" i="24"/>
  <c r="EX119" i="24" s="1"/>
  <c r="EC119" i="24"/>
  <c r="ED119" i="24" s="1"/>
  <c r="EH119" i="24"/>
  <c r="EI18" i="24"/>
  <c r="EX18" i="24" s="1"/>
  <c r="EH18" i="24"/>
  <c r="EC18" i="24"/>
  <c r="ED18" i="24" s="1"/>
  <c r="EC184" i="24"/>
  <c r="ED184" i="24" s="1"/>
  <c r="EI184" i="24"/>
  <c r="EX184" i="24" s="1"/>
  <c r="EH184" i="24"/>
  <c r="EC189" i="24"/>
  <c r="ED189" i="24" s="1"/>
  <c r="EH189" i="24"/>
  <c r="EI189" i="24"/>
  <c r="EX189" i="24" s="1"/>
  <c r="EH158" i="24"/>
  <c r="EI158" i="24"/>
  <c r="EX158" i="24" s="1"/>
  <c r="EC158" i="24"/>
  <c r="ED158" i="24" s="1"/>
  <c r="EI167" i="24"/>
  <c r="EX167" i="24" s="1"/>
  <c r="EH167" i="24"/>
  <c r="EC167" i="24"/>
  <c r="ED167" i="24" s="1"/>
  <c r="EH188" i="24"/>
  <c r="EC188" i="24"/>
  <c r="ED188" i="24" s="1"/>
  <c r="EI188" i="24"/>
  <c r="EX188" i="24" s="1"/>
  <c r="EH50" i="24"/>
  <c r="EC50" i="24"/>
  <c r="ED50" i="24" s="1"/>
  <c r="EI50" i="24"/>
  <c r="EX50" i="24" s="1"/>
  <c r="EH122" i="24"/>
  <c r="EI122" i="24"/>
  <c r="EX122" i="24" s="1"/>
  <c r="EC122" i="24"/>
  <c r="ED122" i="24" s="1"/>
  <c r="EI161" i="24"/>
  <c r="EX161" i="24" s="1"/>
  <c r="EH161" i="24"/>
  <c r="EC161" i="24"/>
  <c r="ED161" i="24" s="1"/>
  <c r="EC168" i="24"/>
  <c r="ED168" i="24" s="1"/>
  <c r="EH168" i="24"/>
  <c r="EI168" i="24"/>
  <c r="EX168" i="24" s="1"/>
  <c r="EC174" i="24"/>
  <c r="ED174" i="24" s="1"/>
  <c r="EH174" i="24"/>
  <c r="EI174" i="24"/>
  <c r="EX174" i="24" s="1"/>
  <c r="EC141" i="24"/>
  <c r="ED141" i="24" s="1"/>
  <c r="EH141" i="24"/>
  <c r="EI141" i="24"/>
  <c r="EX141" i="24" s="1"/>
  <c r="EH191" i="24"/>
  <c r="EI191" i="24"/>
  <c r="EX191" i="24" s="1"/>
  <c r="EC191" i="24"/>
  <c r="ED191" i="24" s="1"/>
  <c r="EC112" i="24"/>
  <c r="ED112" i="24" s="1"/>
  <c r="EI112" i="24"/>
  <c r="EX112" i="24" s="1"/>
  <c r="EH112" i="24"/>
  <c r="EI150" i="24"/>
  <c r="EX150" i="24" s="1"/>
  <c r="EH150" i="24"/>
  <c r="EC150" i="24"/>
  <c r="ED150" i="24" s="1"/>
  <c r="EC204" i="24"/>
  <c r="ED204" i="24" s="1"/>
  <c r="EH204" i="24"/>
  <c r="EI204" i="24"/>
  <c r="EX204" i="24" s="1"/>
  <c r="EH166" i="24"/>
  <c r="EC166" i="24"/>
  <c r="ED166" i="24" s="1"/>
  <c r="EI166" i="24"/>
  <c r="EX166" i="24" s="1"/>
  <c r="EH59" i="24"/>
  <c r="EC59" i="24"/>
  <c r="ED59" i="24" s="1"/>
  <c r="EI59" i="24"/>
  <c r="EX59" i="24" s="1"/>
  <c r="EH196" i="24"/>
  <c r="EI196" i="24"/>
  <c r="EX196" i="24" s="1"/>
  <c r="EC196" i="24"/>
  <c r="ED196" i="24" s="1"/>
  <c r="EH38" i="24"/>
  <c r="EI38" i="24"/>
  <c r="EX38" i="24" s="1"/>
  <c r="EC38" i="24"/>
  <c r="ED38" i="24" s="1"/>
  <c r="EI183" i="24"/>
  <c r="EX183" i="24" s="1"/>
  <c r="EC183" i="24"/>
  <c r="ED183" i="24" s="1"/>
  <c r="EH183" i="24"/>
  <c r="EH200" i="24"/>
  <c r="EC200" i="24"/>
  <c r="ED200" i="24" s="1"/>
  <c r="EI200" i="24"/>
  <c r="EX200" i="24" s="1"/>
  <c r="EI98" i="24"/>
  <c r="EX98" i="24" s="1"/>
  <c r="EC98" i="24"/>
  <c r="ED98" i="24" s="1"/>
  <c r="EH98" i="24"/>
  <c r="EH87" i="24"/>
  <c r="EI87" i="24"/>
  <c r="EX87" i="24" s="1"/>
  <c r="EC87" i="24"/>
  <c r="ED87" i="24" s="1"/>
  <c r="EH117" i="24"/>
  <c r="EI117" i="24"/>
  <c r="EX117" i="24" s="1"/>
  <c r="EC117" i="24"/>
  <c r="ED117" i="24" s="1"/>
  <c r="EI15" i="24"/>
  <c r="EX15" i="24" s="1"/>
  <c r="EH15" i="24"/>
  <c r="EC15" i="24"/>
  <c r="ED15" i="24" s="1"/>
  <c r="EH185" i="24"/>
  <c r="EI185" i="24"/>
  <c r="EX185" i="24" s="1"/>
  <c r="EC185" i="24"/>
  <c r="ED185" i="24" s="1"/>
  <c r="EI16" i="24"/>
  <c r="EX16" i="24" s="1"/>
  <c r="EC16" i="24"/>
  <c r="ED16" i="24" s="1"/>
  <c r="EH16" i="24"/>
  <c r="EH202" i="24"/>
  <c r="EC202" i="24"/>
  <c r="ED202" i="24" s="1"/>
  <c r="EI202" i="24"/>
  <c r="EX202" i="24" s="1"/>
  <c r="EI177" i="24"/>
  <c r="EX177" i="24" s="1"/>
  <c r="EH177" i="24"/>
  <c r="EC177" i="24"/>
  <c r="ED177" i="24" s="1"/>
  <c r="EH195" i="24"/>
  <c r="EC195" i="24"/>
  <c r="ED195" i="24" s="1"/>
  <c r="EI195" i="24"/>
  <c r="EX195" i="24" s="1"/>
  <c r="EI153" i="24"/>
  <c r="EX153" i="24" s="1"/>
  <c r="EH153" i="24"/>
  <c r="EC153" i="24"/>
  <c r="ED153" i="24" s="1"/>
  <c r="EH94" i="24"/>
  <c r="EC94" i="24"/>
  <c r="ED94" i="24" s="1"/>
  <c r="EI94" i="24"/>
  <c r="EX94" i="24" s="1"/>
  <c r="EC178" i="24"/>
  <c r="ED178" i="24" s="1"/>
  <c r="EI178" i="24"/>
  <c r="EX178" i="24" s="1"/>
  <c r="EH178" i="24"/>
  <c r="EC210" i="24"/>
  <c r="ED210" i="24" s="1"/>
  <c r="EI210" i="24"/>
  <c r="EX210" i="24" s="1"/>
  <c r="EH210" i="24"/>
  <c r="EC171" i="24"/>
  <c r="ED171" i="24" s="1"/>
  <c r="EI171" i="24"/>
  <c r="EX171" i="24" s="1"/>
  <c r="EH171" i="24"/>
  <c r="EC57" i="24"/>
  <c r="ED57" i="24" s="1"/>
  <c r="EH57" i="24"/>
  <c r="EI57" i="24"/>
  <c r="EX57" i="24" s="1"/>
  <c r="EC88" i="24"/>
  <c r="ED88" i="24" s="1"/>
  <c r="EH88" i="24"/>
  <c r="EI88" i="24"/>
  <c r="EX88" i="24" s="1"/>
  <c r="EH155" i="24"/>
  <c r="EI155" i="24"/>
  <c r="EX155" i="24" s="1"/>
  <c r="EC155" i="24"/>
  <c r="ED155" i="24" s="1"/>
  <c r="EH145" i="24"/>
  <c r="EC145" i="24"/>
  <c r="ED145" i="24" s="1"/>
  <c r="EI145" i="24"/>
  <c r="EX145" i="24" s="1"/>
  <c r="EH58" i="24"/>
  <c r="EI58" i="24"/>
  <c r="EX58" i="24" s="1"/>
  <c r="EC58" i="24"/>
  <c r="ED58" i="24" s="1"/>
  <c r="EH114" i="24"/>
  <c r="EC114" i="24"/>
  <c r="ED114" i="24" s="1"/>
  <c r="EI114" i="24"/>
  <c r="EX114" i="24" s="1"/>
  <c r="EH209" i="24"/>
  <c r="EC209" i="24"/>
  <c r="ED209" i="24" s="1"/>
  <c r="EI209" i="24"/>
  <c r="EX209" i="24" s="1"/>
  <c r="EC182" i="24"/>
  <c r="ED182" i="24" s="1"/>
  <c r="EI182" i="24"/>
  <c r="EX182" i="24" s="1"/>
  <c r="EH182" i="24"/>
  <c r="EH123" i="24"/>
  <c r="EC123" i="24"/>
  <c r="ED123" i="24" s="1"/>
  <c r="EI123" i="24"/>
  <c r="EX123" i="24" s="1"/>
  <c r="EC128" i="24"/>
  <c r="ED128" i="24" s="1"/>
  <c r="EI128" i="24"/>
  <c r="EX128" i="24" s="1"/>
  <c r="EH128" i="24"/>
  <c r="EC187" i="24"/>
  <c r="ED187" i="24" s="1"/>
  <c r="EI187" i="24"/>
  <c r="EX187" i="24" s="1"/>
  <c r="EH187" i="24"/>
  <c r="EC131" i="24"/>
  <c r="ED131" i="24" s="1"/>
  <c r="EI131" i="24"/>
  <c r="EX131" i="24" s="1"/>
  <c r="EH131" i="24"/>
  <c r="EH89" i="24"/>
  <c r="EC89" i="24"/>
  <c r="ED89" i="24" s="1"/>
  <c r="EI89" i="24"/>
  <c r="EX89" i="24" s="1"/>
  <c r="EH144" i="24"/>
  <c r="EC144" i="24"/>
  <c r="ED144" i="24" s="1"/>
  <c r="EI144" i="24"/>
  <c r="EX144" i="24" s="1"/>
  <c r="EC75" i="24"/>
  <c r="ED75" i="24" s="1"/>
  <c r="EH75" i="24"/>
  <c r="EI75" i="24"/>
  <c r="EX75" i="24" s="1"/>
  <c r="EC162" i="24"/>
  <c r="ED162" i="24" s="1"/>
  <c r="EI162" i="24"/>
  <c r="EX162" i="24" s="1"/>
  <c r="EH162" i="24"/>
  <c r="EH203" i="24"/>
  <c r="EC203" i="24"/>
  <c r="ED203" i="24" s="1"/>
  <c r="EI203" i="24"/>
  <c r="EX203" i="24" s="1"/>
  <c r="EC149" i="24"/>
  <c r="ED149" i="24" s="1"/>
  <c r="EI149" i="24"/>
  <c r="EX149" i="24" s="1"/>
  <c r="EH149" i="24"/>
  <c r="EC140" i="24"/>
  <c r="ED140" i="24" s="1"/>
  <c r="EI140" i="24"/>
  <c r="EX140" i="24" s="1"/>
  <c r="EH140" i="24"/>
  <c r="EI36" i="24"/>
  <c r="EX36" i="24" s="1"/>
  <c r="EH36" i="24"/>
  <c r="EC36" i="24"/>
  <c r="ED36" i="24" s="1"/>
  <c r="EC103" i="24"/>
  <c r="ED103" i="24" s="1"/>
  <c r="EH103" i="24"/>
  <c r="EI103" i="24"/>
  <c r="EX103" i="24" s="1"/>
  <c r="EH76" i="24"/>
  <c r="EC76" i="24"/>
  <c r="ED76" i="24" s="1"/>
  <c r="EI76" i="24"/>
  <c r="EX76" i="24" s="1"/>
  <c r="EW190" i="24"/>
  <c r="FB190" i="24" s="1"/>
  <c r="EK190" i="24"/>
  <c r="EI73" i="24"/>
  <c r="EX73" i="24" s="1"/>
  <c r="EC73" i="24"/>
  <c r="ED73" i="24" s="1"/>
  <c r="EH73" i="24"/>
  <c r="EI53" i="24"/>
  <c r="EX53" i="24" s="1"/>
  <c r="EC53" i="24"/>
  <c r="ED53" i="24" s="1"/>
  <c r="EH53" i="24"/>
  <c r="EC93" i="24"/>
  <c r="ED93" i="24" s="1"/>
  <c r="EI93" i="24"/>
  <c r="EX93" i="24" s="1"/>
  <c r="EH93" i="24"/>
  <c r="EH31" i="24"/>
  <c r="EI31" i="24"/>
  <c r="EX31" i="24" s="1"/>
  <c r="EC31" i="24"/>
  <c r="ED31" i="24" s="1"/>
  <c r="EH6" i="24"/>
  <c r="EI6" i="24"/>
  <c r="EX6" i="24" s="1"/>
  <c r="EC6" i="24"/>
  <c r="ED6" i="24" s="1"/>
  <c r="EI118" i="24"/>
  <c r="EX118" i="24" s="1"/>
  <c r="EH118" i="24"/>
  <c r="EC118" i="24"/>
  <c r="ED118" i="24" s="1"/>
  <c r="EI34" i="24"/>
  <c r="EX34" i="24" s="1"/>
  <c r="EH34" i="24"/>
  <c r="EC34" i="24"/>
  <c r="ED34" i="24" s="1"/>
  <c r="EH7" i="24"/>
  <c r="EC7" i="24"/>
  <c r="ED7" i="24" s="1"/>
  <c r="EI7" i="24"/>
  <c r="EX7" i="24" s="1"/>
  <c r="EI135" i="24"/>
  <c r="EX135" i="24" s="1"/>
  <c r="EH135" i="24"/>
  <c r="EC135" i="24"/>
  <c r="ED135" i="24" s="1"/>
  <c r="EC193" i="24"/>
  <c r="ED193" i="24" s="1"/>
  <c r="EI193" i="24"/>
  <c r="EX193" i="24" s="1"/>
  <c r="EH193" i="24"/>
  <c r="EI130" i="24"/>
  <c r="EX130" i="24" s="1"/>
  <c r="EC130" i="24"/>
  <c r="ED130" i="24" s="1"/>
  <c r="EH130" i="24"/>
  <c r="EC208" i="24"/>
  <c r="ED208" i="24" s="1"/>
  <c r="EI208" i="24"/>
  <c r="EX208" i="24" s="1"/>
  <c r="EH208" i="24"/>
  <c r="EC207" i="24"/>
  <c r="ED207" i="24" s="1"/>
  <c r="EI207" i="24"/>
  <c r="EX207" i="24" s="1"/>
  <c r="EH207" i="24"/>
  <c r="EI47" i="24"/>
  <c r="EX47" i="24" s="1"/>
  <c r="EH47" i="24"/>
  <c r="EC47" i="24"/>
  <c r="ED47" i="24" s="1"/>
  <c r="EH176" i="24"/>
  <c r="EC176" i="24"/>
  <c r="ED176" i="24" s="1"/>
  <c r="EI176" i="24"/>
  <c r="EX176" i="24" s="1"/>
  <c r="EC194" i="24"/>
  <c r="ED194" i="24" s="1"/>
  <c r="EH194" i="24"/>
  <c r="EI194" i="24"/>
  <c r="EX194" i="24" s="1"/>
  <c r="EH80" i="24"/>
  <c r="EI80" i="24"/>
  <c r="EX80" i="24" s="1"/>
  <c r="EC80" i="24"/>
  <c r="ED80" i="24" s="1"/>
  <c r="EC22" i="24"/>
  <c r="ED22" i="24" s="1"/>
  <c r="EI22" i="24"/>
  <c r="EX22" i="24" s="1"/>
  <c r="EH22" i="24"/>
  <c r="EI41" i="24"/>
  <c r="EX41" i="24" s="1"/>
  <c r="EC41" i="24"/>
  <c r="ED41" i="24" s="1"/>
  <c r="EH41" i="24"/>
  <c r="EI85" i="24"/>
  <c r="EX85" i="24" s="1"/>
  <c r="EC85" i="24"/>
  <c r="ED85" i="24" s="1"/>
  <c r="EH85" i="24"/>
  <c r="EI19" i="24"/>
  <c r="EX19" i="24" s="1"/>
  <c r="EC19" i="24"/>
  <c r="ED19" i="24" s="1"/>
  <c r="EH19" i="24"/>
  <c r="EC95" i="24"/>
  <c r="ED95" i="24" s="1"/>
  <c r="EH95" i="24"/>
  <c r="EI95" i="24"/>
  <c r="EX95" i="24" s="1"/>
  <c r="EI65" i="24"/>
  <c r="EX65" i="24" s="1"/>
  <c r="EC65" i="24"/>
  <c r="ED65" i="24" s="1"/>
  <c r="EH65" i="24"/>
  <c r="EC101" i="24"/>
  <c r="ED101" i="24" s="1"/>
  <c r="EH101" i="24"/>
  <c r="EI101" i="24"/>
  <c r="EX101" i="24" s="1"/>
  <c r="EC163" i="24"/>
  <c r="ED163" i="24" s="1"/>
  <c r="EH163" i="24"/>
  <c r="EI163" i="24"/>
  <c r="EX163" i="24" s="1"/>
  <c r="EH8" i="24"/>
  <c r="EC8" i="24"/>
  <c r="ED8" i="24" s="1"/>
  <c r="EI8" i="24"/>
  <c r="EX8" i="24" s="1"/>
  <c r="EC165" i="24"/>
  <c r="ED165" i="24" s="1"/>
  <c r="EI165" i="24"/>
  <c r="EX165" i="24" s="1"/>
  <c r="EH165" i="24"/>
  <c r="EI49" i="24"/>
  <c r="EX49" i="24" s="1"/>
  <c r="EC49" i="24"/>
  <c r="ED49" i="24" s="1"/>
  <c r="EH49" i="24"/>
  <c r="EC205" i="24"/>
  <c r="ED205" i="24" s="1"/>
  <c r="EI205" i="24"/>
  <c r="EX205" i="24" s="1"/>
  <c r="EH205" i="24"/>
  <c r="EH68" i="24"/>
  <c r="EI68" i="24"/>
  <c r="EX68" i="24" s="1"/>
  <c r="EC68" i="24"/>
  <c r="ED68" i="24" s="1"/>
  <c r="EH175" i="24"/>
  <c r="EC175" i="24"/>
  <c r="ED175" i="24" s="1"/>
  <c r="EI175" i="24"/>
  <c r="EX175" i="24" s="1"/>
  <c r="EI42" i="24"/>
  <c r="EX42" i="24" s="1"/>
  <c r="EH42" i="24"/>
  <c r="EC42" i="24"/>
  <c r="ED42" i="24" s="1"/>
  <c r="EC143" i="24"/>
  <c r="ED143" i="24" s="1"/>
  <c r="EI143" i="24"/>
  <c r="EX143" i="24" s="1"/>
  <c r="EH143" i="24"/>
  <c r="EI173" i="24"/>
  <c r="EX173" i="24" s="1"/>
  <c r="EH173" i="24"/>
  <c r="EC173" i="24"/>
  <c r="ED173" i="24" s="1"/>
  <c r="EC54" i="24"/>
  <c r="ED54" i="24" s="1"/>
  <c r="EI54" i="24"/>
  <c r="EX54" i="24" s="1"/>
  <c r="EH54" i="24"/>
  <c r="EI11" i="24"/>
  <c r="EX11" i="24" s="1"/>
  <c r="EC11" i="24"/>
  <c r="ED11" i="24" s="1"/>
  <c r="EH11" i="24"/>
  <c r="EC102" i="24"/>
  <c r="ED102" i="24" s="1"/>
  <c r="EI102" i="24"/>
  <c r="EX102" i="24" s="1"/>
  <c r="EH102" i="24"/>
  <c r="EH156" i="24"/>
  <c r="EC156" i="24"/>
  <c r="ED156" i="24" s="1"/>
  <c r="EI156" i="24"/>
  <c r="EX156" i="24" s="1"/>
  <c r="EC179" i="24"/>
  <c r="ED179" i="24" s="1"/>
  <c r="EI179" i="24"/>
  <c r="EX179" i="24" s="1"/>
  <c r="EH179" i="24"/>
  <c r="EC148" i="24"/>
  <c r="ED148" i="24" s="1"/>
  <c r="EH148" i="24"/>
  <c r="EI148" i="24"/>
  <c r="EX148" i="24" s="1"/>
  <c r="EI51" i="24"/>
  <c r="EX51" i="24" s="1"/>
  <c r="EC51" i="24"/>
  <c r="ED51" i="24" s="1"/>
  <c r="EH51" i="24"/>
  <c r="EH32" i="24"/>
  <c r="EI32" i="24"/>
  <c r="EX32" i="24" s="1"/>
  <c r="EC32" i="24"/>
  <c r="ED32" i="24" s="1"/>
  <c r="EI64" i="24"/>
  <c r="EX64" i="24" s="1"/>
  <c r="EH64" i="24"/>
  <c r="EC64" i="24"/>
  <c r="ED64" i="24" s="1"/>
  <c r="EH198" i="24"/>
  <c r="EC198" i="24"/>
  <c r="ED198" i="24" s="1"/>
  <c r="EI198" i="24"/>
  <c r="EX198" i="24" s="1"/>
  <c r="EC24" i="24"/>
  <c r="ED24" i="24" s="1"/>
  <c r="EH24" i="24"/>
  <c r="EI24" i="24"/>
  <c r="EX24" i="24" s="1"/>
  <c r="EI129" i="24"/>
  <c r="EX129" i="24" s="1"/>
  <c r="EH129" i="24"/>
  <c r="EC129" i="24"/>
  <c r="ED129" i="24" s="1"/>
  <c r="EC164" i="24"/>
  <c r="ED164" i="24" s="1"/>
  <c r="EI164" i="24"/>
  <c r="EX164" i="24" s="1"/>
  <c r="EH164" i="24"/>
  <c r="EI12" i="24"/>
  <c r="EX12" i="24" s="1"/>
  <c r="EH12" i="24"/>
  <c r="EC12" i="24"/>
  <c r="ED12" i="24" s="1"/>
  <c r="EC25" i="24"/>
  <c r="ED25" i="24" s="1"/>
  <c r="EH25" i="24"/>
  <c r="EI25" i="24"/>
  <c r="EX25" i="24" s="1"/>
  <c r="EC66" i="24"/>
  <c r="ED66" i="24" s="1"/>
  <c r="EI66" i="24"/>
  <c r="EX66" i="24" s="1"/>
  <c r="EH66" i="24"/>
  <c r="EC56" i="24"/>
  <c r="ED56" i="24" s="1"/>
  <c r="EH56" i="24"/>
  <c r="EI56" i="24"/>
  <c r="EX56" i="24" s="1"/>
  <c r="EH125" i="24"/>
  <c r="EC125" i="24"/>
  <c r="ED125" i="24" s="1"/>
  <c r="EI125" i="24"/>
  <c r="EX125" i="24" s="1"/>
  <c r="EH181" i="24"/>
  <c r="EI181" i="24"/>
  <c r="EX181" i="24" s="1"/>
  <c r="EC181" i="24"/>
  <c r="ED181" i="24" s="1"/>
  <c r="EI180" i="24"/>
  <c r="EX180" i="24" s="1"/>
  <c r="EH180" i="24"/>
  <c r="EC180" i="24"/>
  <c r="ED180" i="24" s="1"/>
  <c r="EI157" i="24"/>
  <c r="EX157" i="24" s="1"/>
  <c r="EH157" i="24"/>
  <c r="EC157" i="24"/>
  <c r="ED157" i="24" s="1"/>
  <c r="EI82" i="24"/>
  <c r="EX82" i="24" s="1"/>
  <c r="EH82" i="24"/>
  <c r="EC82" i="24"/>
  <c r="ED82" i="24" s="1"/>
  <c r="EC151" i="24"/>
  <c r="ED151" i="24" s="1"/>
  <c r="EH151" i="24"/>
  <c r="EI151" i="24"/>
  <c r="EX151" i="24" s="1"/>
  <c r="EI9" i="24"/>
  <c r="EX9" i="24" s="1"/>
  <c r="EC9" i="24"/>
  <c r="ED9" i="24" s="1"/>
  <c r="EH9" i="24"/>
  <c r="EC206" i="24"/>
  <c r="ED206" i="24" s="1"/>
  <c r="EH206" i="24"/>
  <c r="EI206" i="24"/>
  <c r="EX206" i="24" s="1"/>
  <c r="EI137" i="24"/>
  <c r="EX137" i="24" s="1"/>
  <c r="EH137" i="24"/>
  <c r="EC137" i="24"/>
  <c r="ED137" i="24" s="1"/>
  <c r="EC146" i="24"/>
  <c r="ED146" i="24" s="1"/>
  <c r="EI146" i="24"/>
  <c r="EX146" i="24" s="1"/>
  <c r="EH146" i="24"/>
  <c r="EI69" i="24"/>
  <c r="EX69" i="24" s="1"/>
  <c r="EH69" i="24"/>
  <c r="EC69" i="24"/>
  <c r="ED69" i="24" s="1"/>
  <c r="EH28" i="24"/>
  <c r="EC28" i="24"/>
  <c r="ED28" i="24" s="1"/>
  <c r="EI28" i="24"/>
  <c r="EX28" i="24" s="1"/>
  <c r="AZ106" i="19"/>
  <c r="BL106" i="19" s="1"/>
  <c r="BM106" i="19" s="1"/>
  <c r="BZ106" i="19" s="1"/>
  <c r="BK106" i="19"/>
  <c r="B289" i="2"/>
  <c r="BI106" i="19"/>
  <c r="BJ106" i="19"/>
  <c r="BC106" i="19"/>
  <c r="BB106" i="19"/>
  <c r="BD106" i="19"/>
  <c r="BG106" i="19"/>
  <c r="BU106" i="19"/>
  <c r="CA106" i="19" s="1"/>
  <c r="BH106" i="19"/>
  <c r="BA106" i="19"/>
  <c r="BF106" i="19"/>
  <c r="BS106" i="19"/>
  <c r="BE106" i="19"/>
  <c r="EI216" i="25" l="1"/>
  <c r="EP216" i="25" s="1"/>
  <c r="FB216" i="25"/>
  <c r="EK96" i="24"/>
  <c r="EQ96" i="24" s="1"/>
  <c r="ER96" i="24" s="1"/>
  <c r="EK92" i="24"/>
  <c r="EQ92" i="24" s="1"/>
  <c r="ER92" i="24" s="1"/>
  <c r="EZ96" i="24"/>
  <c r="FB96" i="24" s="1"/>
  <c r="EP212" i="25"/>
  <c r="FC212" i="25"/>
  <c r="FE212" i="25" s="1"/>
  <c r="FF212" i="25" s="1"/>
  <c r="EW243" i="24"/>
  <c r="FB243" i="24" s="1"/>
  <c r="EK67" i="24"/>
  <c r="EQ67" i="24" s="1"/>
  <c r="ER67" i="24" s="1"/>
  <c r="EK159" i="24"/>
  <c r="ER159" i="24" s="1"/>
  <c r="EW132" i="24"/>
  <c r="FB132" i="24" s="1"/>
  <c r="O110" i="24"/>
  <c r="BZ110" i="24" s="1"/>
  <c r="EW285" i="24"/>
  <c r="FB285" i="24" s="1"/>
  <c r="EZ92" i="24"/>
  <c r="FB92" i="24" s="1"/>
  <c r="EZ78" i="24"/>
  <c r="FB78" i="24" s="1"/>
  <c r="EK78" i="24"/>
  <c r="EQ78" i="24" s="1"/>
  <c r="ER78" i="24" s="1"/>
  <c r="FB242" i="24"/>
  <c r="EK60" i="24"/>
  <c r="EQ60" i="24" s="1"/>
  <c r="EZ60" i="24"/>
  <c r="FB60" i="24" s="1"/>
  <c r="FB136" i="25"/>
  <c r="EK77" i="24"/>
  <c r="EQ77" i="24" s="1"/>
  <c r="ER77" i="24" s="1"/>
  <c r="EK74" i="24"/>
  <c r="EQ74" i="24" s="1"/>
  <c r="ER74" i="24" s="1"/>
  <c r="FC216" i="24"/>
  <c r="FE216" i="24" s="1"/>
  <c r="FF216" i="24" s="1"/>
  <c r="ER216" i="24"/>
  <c r="BK216" i="24"/>
  <c r="K216" i="24"/>
  <c r="ER285" i="24"/>
  <c r="EW245" i="24"/>
  <c r="FB245" i="24" s="1"/>
  <c r="EK245" i="24"/>
  <c r="EW225" i="24"/>
  <c r="FB225" i="24" s="1"/>
  <c r="EK225" i="24"/>
  <c r="EW279" i="24"/>
  <c r="FB279" i="24" s="1"/>
  <c r="EK279" i="24"/>
  <c r="EK229" i="24"/>
  <c r="EW229" i="24"/>
  <c r="FB229" i="24" s="1"/>
  <c r="EW278" i="24"/>
  <c r="FB278" i="24" s="1"/>
  <c r="EK278" i="24"/>
  <c r="EK301" i="24"/>
  <c r="EW301" i="24"/>
  <c r="FB301" i="24" s="1"/>
  <c r="EK248" i="24"/>
  <c r="EW248" i="24"/>
  <c r="FB248" i="24" s="1"/>
  <c r="EK271" i="24"/>
  <c r="EW271" i="24"/>
  <c r="FB271" i="24" s="1"/>
  <c r="EK219" i="24"/>
  <c r="EW219" i="24"/>
  <c r="FB219" i="24" s="1"/>
  <c r="EK263" i="24"/>
  <c r="EW263" i="24"/>
  <c r="FB263" i="24" s="1"/>
  <c r="EK284" i="24"/>
  <c r="EW284" i="24"/>
  <c r="FB284" i="24" s="1"/>
  <c r="EW268" i="24"/>
  <c r="FB268" i="24" s="1"/>
  <c r="EK268" i="24"/>
  <c r="EW310" i="24"/>
  <c r="FB310" i="24" s="1"/>
  <c r="EK310" i="24"/>
  <c r="EK294" i="24"/>
  <c r="EW294" i="24"/>
  <c r="FB294" i="24" s="1"/>
  <c r="EK275" i="24"/>
  <c r="EW275" i="24"/>
  <c r="FB275" i="24" s="1"/>
  <c r="EW249" i="24"/>
  <c r="FB249" i="24" s="1"/>
  <c r="EK249" i="24"/>
  <c r="EK258" i="24"/>
  <c r="EW258" i="24"/>
  <c r="FB258" i="24" s="1"/>
  <c r="EK230" i="24"/>
  <c r="EW230" i="24"/>
  <c r="FB230" i="24" s="1"/>
  <c r="EW306" i="24"/>
  <c r="FB306" i="24" s="1"/>
  <c r="EK306" i="24"/>
  <c r="EW298" i="24"/>
  <c r="FB298" i="24" s="1"/>
  <c r="EK298" i="24"/>
  <c r="EK282" i="24"/>
  <c r="EW282" i="24"/>
  <c r="FB282" i="24" s="1"/>
  <c r="EW270" i="24"/>
  <c r="FB270" i="24" s="1"/>
  <c r="EK270" i="24"/>
  <c r="EK264" i="24"/>
  <c r="EW264" i="24"/>
  <c r="FB264" i="24" s="1"/>
  <c r="EW253" i="24"/>
  <c r="FB253" i="24" s="1"/>
  <c r="EK253" i="24"/>
  <c r="EK267" i="24"/>
  <c r="EW267" i="24"/>
  <c r="FB267" i="24" s="1"/>
  <c r="EW316" i="24"/>
  <c r="FB316" i="24" s="1"/>
  <c r="EK316" i="24"/>
  <c r="EK224" i="24"/>
  <c r="EW224" i="24"/>
  <c r="FB224" i="24" s="1"/>
  <c r="EW251" i="24"/>
  <c r="FB251" i="24" s="1"/>
  <c r="EK251" i="24"/>
  <c r="EW289" i="24"/>
  <c r="FB289" i="24" s="1"/>
  <c r="EK289" i="24"/>
  <c r="EK238" i="24"/>
  <c r="EW238" i="24"/>
  <c r="FB238" i="24" s="1"/>
  <c r="EK246" i="24"/>
  <c r="EW246" i="24"/>
  <c r="FB246" i="24" s="1"/>
  <c r="EK232" i="24"/>
  <c r="EW232" i="24"/>
  <c r="FB232" i="24" s="1"/>
  <c r="EK281" i="24"/>
  <c r="EW281" i="24"/>
  <c r="FB281" i="24" s="1"/>
  <c r="EK233" i="24"/>
  <c r="EW233" i="24"/>
  <c r="FB233" i="24" s="1"/>
  <c r="EW288" i="24"/>
  <c r="FB288" i="24" s="1"/>
  <c r="EK288" i="24"/>
  <c r="EW257" i="24"/>
  <c r="FB257" i="24" s="1"/>
  <c r="EK257" i="24"/>
  <c r="EW255" i="24"/>
  <c r="FB255" i="24" s="1"/>
  <c r="EK255" i="24"/>
  <c r="EK273" i="24"/>
  <c r="EW273" i="24"/>
  <c r="FB273" i="24" s="1"/>
  <c r="EK218" i="24"/>
  <c r="EW218" i="24"/>
  <c r="FB218" i="24" s="1"/>
  <c r="EW262" i="24"/>
  <c r="FB262" i="24" s="1"/>
  <c r="EK262" i="24"/>
  <c r="EK266" i="24"/>
  <c r="EW266" i="24"/>
  <c r="FB266" i="24" s="1"/>
  <c r="ER243" i="24"/>
  <c r="EK261" i="24"/>
  <c r="EW261" i="24"/>
  <c r="FB261" i="24" s="1"/>
  <c r="EK228" i="24"/>
  <c r="EW228" i="24"/>
  <c r="FB228" i="24" s="1"/>
  <c r="EK265" i="24"/>
  <c r="EW265" i="24"/>
  <c r="FB265" i="24" s="1"/>
  <c r="EK244" i="24"/>
  <c r="EW244" i="24"/>
  <c r="FB244" i="24" s="1"/>
  <c r="EK236" i="24"/>
  <c r="EW236" i="24"/>
  <c r="FB236" i="24" s="1"/>
  <c r="EK299" i="24"/>
  <c r="EW299" i="24"/>
  <c r="FB299" i="24" s="1"/>
  <c r="EW304" i="24"/>
  <c r="FB304" i="24" s="1"/>
  <c r="EK304" i="24"/>
  <c r="EK283" i="24"/>
  <c r="EW283" i="24"/>
  <c r="FB283" i="24" s="1"/>
  <c r="EW231" i="24"/>
  <c r="FB231" i="24" s="1"/>
  <c r="EK231" i="24"/>
  <c r="EK280" i="24"/>
  <c r="EW280" i="24"/>
  <c r="FB280" i="24" s="1"/>
  <c r="EK234" i="24"/>
  <c r="EW234" i="24"/>
  <c r="FB234" i="24" s="1"/>
  <c r="EK296" i="24"/>
  <c r="EW296" i="24"/>
  <c r="FB296" i="24" s="1"/>
  <c r="EK239" i="24"/>
  <c r="EW239" i="24"/>
  <c r="FB239" i="24" s="1"/>
  <c r="EW259" i="24"/>
  <c r="FB259" i="24" s="1"/>
  <c r="EK259" i="24"/>
  <c r="EW308" i="24"/>
  <c r="FB308" i="24" s="1"/>
  <c r="EK308" i="24"/>
  <c r="EK222" i="24"/>
  <c r="EW222" i="24"/>
  <c r="FB222" i="24" s="1"/>
  <c r="EK305" i="24"/>
  <c r="EW305" i="24"/>
  <c r="FB305" i="24" s="1"/>
  <c r="EW312" i="24"/>
  <c r="FB312" i="24" s="1"/>
  <c r="EK312" i="24"/>
  <c r="EK313" i="24"/>
  <c r="EW313" i="24"/>
  <c r="FB313" i="24" s="1"/>
  <c r="EK220" i="24"/>
  <c r="EW220" i="24"/>
  <c r="FB220" i="24" s="1"/>
  <c r="EW274" i="24"/>
  <c r="FB274" i="24" s="1"/>
  <c r="EK274" i="24"/>
  <c r="EK240" i="24"/>
  <c r="EW240" i="24"/>
  <c r="FB240" i="24" s="1"/>
  <c r="EK286" i="24"/>
  <c r="EW286" i="24"/>
  <c r="FB286" i="24" s="1"/>
  <c r="EK260" i="24"/>
  <c r="EW260" i="24"/>
  <c r="FB260" i="24" s="1"/>
  <c r="EK217" i="24"/>
  <c r="EW217" i="24"/>
  <c r="FB217" i="24" s="1"/>
  <c r="EW300" i="24"/>
  <c r="FB300" i="24" s="1"/>
  <c r="EK300" i="24"/>
  <c r="EK223" i="24"/>
  <c r="EW223" i="24"/>
  <c r="FB223" i="24" s="1"/>
  <c r="EK309" i="24"/>
  <c r="EW309" i="24"/>
  <c r="FB309" i="24" s="1"/>
  <c r="EK277" i="24"/>
  <c r="EW277" i="24"/>
  <c r="FB277" i="24" s="1"/>
  <c r="EK311" i="24"/>
  <c r="EW311" i="24"/>
  <c r="FB311" i="24" s="1"/>
  <c r="ER242" i="24"/>
  <c r="FC242" i="24"/>
  <c r="FE242" i="24" s="1"/>
  <c r="FF242" i="24" s="1"/>
  <c r="EK227" i="24"/>
  <c r="EW227" i="24"/>
  <c r="FB227" i="24" s="1"/>
  <c r="EW276" i="24"/>
  <c r="FB276" i="24" s="1"/>
  <c r="EK276" i="24"/>
  <c r="EK292" i="24"/>
  <c r="EW292" i="24"/>
  <c r="FB292" i="24" s="1"/>
  <c r="EW235" i="24"/>
  <c r="FB235" i="24" s="1"/>
  <c r="EK235" i="24"/>
  <c r="EK315" i="24"/>
  <c r="EW315" i="24"/>
  <c r="FB315" i="24" s="1"/>
  <c r="EK252" i="24"/>
  <c r="EW252" i="24"/>
  <c r="FB252" i="24" s="1"/>
  <c r="EW293" i="24"/>
  <c r="FB293" i="24" s="1"/>
  <c r="EK293" i="24"/>
  <c r="EW314" i="24"/>
  <c r="FB314" i="24" s="1"/>
  <c r="EK314" i="24"/>
  <c r="EW295" i="24"/>
  <c r="FB295" i="24" s="1"/>
  <c r="EK295" i="24"/>
  <c r="EK269" i="24"/>
  <c r="EW269" i="24"/>
  <c r="FB269" i="24" s="1"/>
  <c r="EW241" i="24"/>
  <c r="FB241" i="24" s="1"/>
  <c r="EK241" i="24"/>
  <c r="EW287" i="24"/>
  <c r="FB287" i="24" s="1"/>
  <c r="EK287" i="24"/>
  <c r="EK297" i="24"/>
  <c r="EW297" i="24"/>
  <c r="FB297" i="24" s="1"/>
  <c r="EK303" i="24"/>
  <c r="EW303" i="24"/>
  <c r="FB303" i="24" s="1"/>
  <c r="EK272" i="24"/>
  <c r="EW272" i="24"/>
  <c r="FB272" i="24" s="1"/>
  <c r="EK256" i="24"/>
  <c r="EW256" i="24"/>
  <c r="FB256" i="24" s="1"/>
  <c r="EK307" i="24"/>
  <c r="EW307" i="24"/>
  <c r="FB307" i="24" s="1"/>
  <c r="EW290" i="24"/>
  <c r="FB290" i="24" s="1"/>
  <c r="EK290" i="24"/>
  <c r="EK226" i="24"/>
  <c r="EW226" i="24"/>
  <c r="FB226" i="24" s="1"/>
  <c r="EW247" i="24"/>
  <c r="FB247" i="24" s="1"/>
  <c r="EK247" i="24"/>
  <c r="EK254" i="24"/>
  <c r="EW254" i="24"/>
  <c r="FB254" i="24" s="1"/>
  <c r="EK221" i="24"/>
  <c r="EW221" i="24"/>
  <c r="FB221" i="24" s="1"/>
  <c r="EW237" i="24"/>
  <c r="FB237" i="24" s="1"/>
  <c r="EK237" i="24"/>
  <c r="EK291" i="24"/>
  <c r="EW291" i="24"/>
  <c r="FB291" i="24" s="1"/>
  <c r="EW302" i="24"/>
  <c r="FB302" i="24" s="1"/>
  <c r="EK302" i="24"/>
  <c r="EK250" i="24"/>
  <c r="EW250" i="24"/>
  <c r="FB250" i="24" s="1"/>
  <c r="EP217" i="25"/>
  <c r="FC217" i="25"/>
  <c r="FE217" i="25" s="1"/>
  <c r="FF217" i="25" s="1"/>
  <c r="EP256" i="25"/>
  <c r="FC256" i="25"/>
  <c r="FE256" i="25" s="1"/>
  <c r="FF256" i="25" s="1"/>
  <c r="EP273" i="25"/>
  <c r="FC273" i="25"/>
  <c r="FE273" i="25" s="1"/>
  <c r="FF273" i="25" s="1"/>
  <c r="FC221" i="25"/>
  <c r="FE221" i="25" s="1"/>
  <c r="FF221" i="25" s="1"/>
  <c r="EP221" i="25"/>
  <c r="FC226" i="25"/>
  <c r="FE226" i="25" s="1"/>
  <c r="FF226" i="25" s="1"/>
  <c r="EP226" i="25"/>
  <c r="EP240" i="25"/>
  <c r="FC240" i="25"/>
  <c r="FE240" i="25" s="1"/>
  <c r="FF240" i="25" s="1"/>
  <c r="EP249" i="25"/>
  <c r="FC249" i="25"/>
  <c r="FE249" i="25" s="1"/>
  <c r="FF249" i="25" s="1"/>
  <c r="FC282" i="25"/>
  <c r="FE282" i="25" s="1"/>
  <c r="FF282" i="25" s="1"/>
  <c r="EP282" i="25"/>
  <c r="EP227" i="25"/>
  <c r="FC227" i="25"/>
  <c r="FE227" i="25" s="1"/>
  <c r="FF227" i="25" s="1"/>
  <c r="EP301" i="25"/>
  <c r="FC301" i="25"/>
  <c r="FE301" i="25" s="1"/>
  <c r="FF301" i="25" s="1"/>
  <c r="FC279" i="25"/>
  <c r="FE279" i="25" s="1"/>
  <c r="FF279" i="25" s="1"/>
  <c r="EP279" i="25"/>
  <c r="FC233" i="25"/>
  <c r="FE233" i="25" s="1"/>
  <c r="FF233" i="25" s="1"/>
  <c r="EP233" i="25"/>
  <c r="EP284" i="25"/>
  <c r="FC284" i="25"/>
  <c r="FE284" i="25" s="1"/>
  <c r="FF284" i="25" s="1"/>
  <c r="FC311" i="25"/>
  <c r="FE311" i="25" s="1"/>
  <c r="FF311" i="25" s="1"/>
  <c r="EP311" i="25"/>
  <c r="EP306" i="25"/>
  <c r="FC306" i="25"/>
  <c r="FE306" i="25" s="1"/>
  <c r="FF306" i="25" s="1"/>
  <c r="EP280" i="25"/>
  <c r="FC280" i="25"/>
  <c r="FE280" i="25" s="1"/>
  <c r="FF280" i="25" s="1"/>
  <c r="FC246" i="25"/>
  <c r="FE246" i="25" s="1"/>
  <c r="FF246" i="25" s="1"/>
  <c r="EP246" i="25"/>
  <c r="EP263" i="25"/>
  <c r="FC263" i="25"/>
  <c r="FE263" i="25" s="1"/>
  <c r="FF263" i="25" s="1"/>
  <c r="EP312" i="25"/>
  <c r="FC312" i="25"/>
  <c r="FE312" i="25" s="1"/>
  <c r="FF312" i="25" s="1"/>
  <c r="FC243" i="25"/>
  <c r="FE243" i="25" s="1"/>
  <c r="FF243" i="25" s="1"/>
  <c r="EP243" i="25"/>
  <c r="EP275" i="25"/>
  <c r="FC275" i="25"/>
  <c r="FE275" i="25" s="1"/>
  <c r="FF275" i="25" s="1"/>
  <c r="EP259" i="25"/>
  <c r="FC259" i="25"/>
  <c r="FE259" i="25" s="1"/>
  <c r="FF259" i="25" s="1"/>
  <c r="EP315" i="25"/>
  <c r="FC315" i="25"/>
  <c r="FE315" i="25" s="1"/>
  <c r="FF315" i="25" s="1"/>
  <c r="EP296" i="25"/>
  <c r="FC296" i="25"/>
  <c r="FE296" i="25" s="1"/>
  <c r="FF296" i="25" s="1"/>
  <c r="EP281" i="25"/>
  <c r="FC281" i="25"/>
  <c r="FE281" i="25" s="1"/>
  <c r="FF281" i="25" s="1"/>
  <c r="EP254" i="25"/>
  <c r="FC254" i="25"/>
  <c r="FE254" i="25" s="1"/>
  <c r="FF254" i="25" s="1"/>
  <c r="EP234" i="25"/>
  <c r="FC234" i="25"/>
  <c r="FE234" i="25" s="1"/>
  <c r="FF234" i="25" s="1"/>
  <c r="EP309" i="25"/>
  <c r="FC309" i="25"/>
  <c r="FE309" i="25" s="1"/>
  <c r="FF309" i="25" s="1"/>
  <c r="EP288" i="25"/>
  <c r="FC288" i="25"/>
  <c r="FE288" i="25" s="1"/>
  <c r="FF288" i="25" s="1"/>
  <c r="FC222" i="25"/>
  <c r="FE222" i="25" s="1"/>
  <c r="FF222" i="25" s="1"/>
  <c r="EP222" i="25"/>
  <c r="EP261" i="25"/>
  <c r="FC261" i="25"/>
  <c r="FE261" i="25" s="1"/>
  <c r="FF261" i="25" s="1"/>
  <c r="EP316" i="25"/>
  <c r="FC316" i="25"/>
  <c r="FE316" i="25" s="1"/>
  <c r="FF316" i="25" s="1"/>
  <c r="EP239" i="25"/>
  <c r="FC239" i="25"/>
  <c r="FE239" i="25" s="1"/>
  <c r="FF239" i="25" s="1"/>
  <c r="EP253" i="25"/>
  <c r="FC253" i="25"/>
  <c r="FE253" i="25" s="1"/>
  <c r="FF253" i="25" s="1"/>
  <c r="FC286" i="25"/>
  <c r="FE286" i="25" s="1"/>
  <c r="FF286" i="25" s="1"/>
  <c r="EP286" i="25"/>
  <c r="EP290" i="25"/>
  <c r="FC290" i="25"/>
  <c r="FE290" i="25" s="1"/>
  <c r="FF290" i="25" s="1"/>
  <c r="EP283" i="25"/>
  <c r="FC283" i="25"/>
  <c r="FE283" i="25" s="1"/>
  <c r="FF283" i="25" s="1"/>
  <c r="EP303" i="25"/>
  <c r="FC303" i="25"/>
  <c r="FE303" i="25" s="1"/>
  <c r="FF303" i="25" s="1"/>
  <c r="EP245" i="25"/>
  <c r="FC245" i="25"/>
  <c r="FE245" i="25" s="1"/>
  <c r="FF245" i="25" s="1"/>
  <c r="FC260" i="25"/>
  <c r="FE260" i="25" s="1"/>
  <c r="FF260" i="25" s="1"/>
  <c r="EP260" i="25"/>
  <c r="FC224" i="25"/>
  <c r="FE224" i="25" s="1"/>
  <c r="FF224" i="25" s="1"/>
  <c r="EP224" i="25"/>
  <c r="EP241" i="25"/>
  <c r="FC241" i="25"/>
  <c r="FE241" i="25" s="1"/>
  <c r="FF241" i="25" s="1"/>
  <c r="FC271" i="25"/>
  <c r="FE271" i="25" s="1"/>
  <c r="FF271" i="25" s="1"/>
  <c r="EP271" i="25"/>
  <c r="EP267" i="25"/>
  <c r="FC267" i="25"/>
  <c r="FE267" i="25" s="1"/>
  <c r="FF267" i="25" s="1"/>
  <c r="EP250" i="25"/>
  <c r="FC250" i="25"/>
  <c r="FE250" i="25" s="1"/>
  <c r="FF250" i="25" s="1"/>
  <c r="EP307" i="25"/>
  <c r="FC307" i="25"/>
  <c r="FE307" i="25" s="1"/>
  <c r="FF307" i="25" s="1"/>
  <c r="EP268" i="25"/>
  <c r="FC268" i="25"/>
  <c r="FE268" i="25" s="1"/>
  <c r="FF268" i="25" s="1"/>
  <c r="FC251" i="25"/>
  <c r="FE251" i="25" s="1"/>
  <c r="FF251" i="25" s="1"/>
  <c r="EP251" i="25"/>
  <c r="EP299" i="25"/>
  <c r="FC299" i="25"/>
  <c r="FE299" i="25" s="1"/>
  <c r="FF299" i="25" s="1"/>
  <c r="FC247" i="25"/>
  <c r="FE247" i="25" s="1"/>
  <c r="FF247" i="25" s="1"/>
  <c r="EP247" i="25"/>
  <c r="EP220" i="25"/>
  <c r="FC220" i="25"/>
  <c r="FE220" i="25" s="1"/>
  <c r="FF220" i="25" s="1"/>
  <c r="EP297" i="25"/>
  <c r="FC297" i="25"/>
  <c r="FE297" i="25" s="1"/>
  <c r="FF297" i="25" s="1"/>
  <c r="EP314" i="25"/>
  <c r="FC314" i="25"/>
  <c r="FE314" i="25" s="1"/>
  <c r="FF314" i="25" s="1"/>
  <c r="FC272" i="25"/>
  <c r="FE272" i="25" s="1"/>
  <c r="FF272" i="25" s="1"/>
  <c r="EP272" i="25"/>
  <c r="FC310" i="25"/>
  <c r="FE310" i="25" s="1"/>
  <c r="FF310" i="25" s="1"/>
  <c r="EP310" i="25"/>
  <c r="EP285" i="25"/>
  <c r="FC285" i="25"/>
  <c r="FE285" i="25" s="1"/>
  <c r="FF285" i="25" s="1"/>
  <c r="FC232" i="25"/>
  <c r="FE232" i="25" s="1"/>
  <c r="FF232" i="25" s="1"/>
  <c r="EP232" i="25"/>
  <c r="EP244" i="25"/>
  <c r="FC244" i="25"/>
  <c r="FE244" i="25" s="1"/>
  <c r="FF244" i="25" s="1"/>
  <c r="FC223" i="25"/>
  <c r="FE223" i="25" s="1"/>
  <c r="FF223" i="25" s="1"/>
  <c r="EP223" i="25"/>
  <c r="FC218" i="25"/>
  <c r="FE218" i="25" s="1"/>
  <c r="FF218" i="25" s="1"/>
  <c r="EP218" i="25"/>
  <c r="EP242" i="25"/>
  <c r="FC242" i="25"/>
  <c r="FE242" i="25" s="1"/>
  <c r="FF242" i="25" s="1"/>
  <c r="EP292" i="25"/>
  <c r="FC292" i="25"/>
  <c r="FE292" i="25" s="1"/>
  <c r="FF292" i="25" s="1"/>
  <c r="EP308" i="25"/>
  <c r="FC308" i="25"/>
  <c r="FE308" i="25" s="1"/>
  <c r="FF308" i="25" s="1"/>
  <c r="EP265" i="25"/>
  <c r="FC265" i="25"/>
  <c r="FE265" i="25" s="1"/>
  <c r="FF265" i="25" s="1"/>
  <c r="FC277" i="25"/>
  <c r="FE277" i="25" s="1"/>
  <c r="FF277" i="25" s="1"/>
  <c r="EP277" i="25"/>
  <c r="EP236" i="25"/>
  <c r="FC236" i="25"/>
  <c r="FE236" i="25" s="1"/>
  <c r="FF236" i="25" s="1"/>
  <c r="EP287" i="25"/>
  <c r="FC287" i="25"/>
  <c r="FE287" i="25" s="1"/>
  <c r="FF287" i="25" s="1"/>
  <c r="EP264" i="25"/>
  <c r="FC264" i="25"/>
  <c r="FE264" i="25" s="1"/>
  <c r="FF264" i="25" s="1"/>
  <c r="EP313" i="25"/>
  <c r="FC313" i="25"/>
  <c r="FE313" i="25" s="1"/>
  <c r="FF313" i="25" s="1"/>
  <c r="FC302" i="25"/>
  <c r="FE302" i="25" s="1"/>
  <c r="FF302" i="25" s="1"/>
  <c r="EP302" i="25"/>
  <c r="EP225" i="25"/>
  <c r="FC225" i="25"/>
  <c r="FE225" i="25" s="1"/>
  <c r="FF225" i="25" s="1"/>
  <c r="FC295" i="25"/>
  <c r="FE295" i="25" s="1"/>
  <c r="FF295" i="25" s="1"/>
  <c r="EP295" i="25"/>
  <c r="FC266" i="25"/>
  <c r="FE266" i="25" s="1"/>
  <c r="FF266" i="25" s="1"/>
  <c r="EP266" i="25"/>
  <c r="EP298" i="25"/>
  <c r="FC298" i="25"/>
  <c r="FE298" i="25" s="1"/>
  <c r="FF298" i="25" s="1"/>
  <c r="FC219" i="25"/>
  <c r="FE219" i="25" s="1"/>
  <c r="FF219" i="25" s="1"/>
  <c r="EP219" i="25"/>
  <c r="FC300" i="25"/>
  <c r="FE300" i="25" s="1"/>
  <c r="FF300" i="25" s="1"/>
  <c r="EP300" i="25"/>
  <c r="FC235" i="25"/>
  <c r="FE235" i="25" s="1"/>
  <c r="FF235" i="25" s="1"/>
  <c r="EP235" i="25"/>
  <c r="EP269" i="25"/>
  <c r="FC269" i="25"/>
  <c r="FE269" i="25" s="1"/>
  <c r="FF269" i="25" s="1"/>
  <c r="EP304" i="25"/>
  <c r="FC304" i="25"/>
  <c r="FE304" i="25" s="1"/>
  <c r="FF304" i="25" s="1"/>
  <c r="EP229" i="25"/>
  <c r="FC229" i="25"/>
  <c r="FE229" i="25" s="1"/>
  <c r="FF229" i="25" s="1"/>
  <c r="EP289" i="25"/>
  <c r="FC289" i="25"/>
  <c r="FE289" i="25" s="1"/>
  <c r="FF289" i="25" s="1"/>
  <c r="FC262" i="25"/>
  <c r="FE262" i="25" s="1"/>
  <c r="FF262" i="25" s="1"/>
  <c r="EP262" i="25"/>
  <c r="FC231" i="25"/>
  <c r="FE231" i="25" s="1"/>
  <c r="FF231" i="25" s="1"/>
  <c r="EP231" i="25"/>
  <c r="EP293" i="25"/>
  <c r="FC293" i="25"/>
  <c r="FE293" i="25" s="1"/>
  <c r="FF293" i="25" s="1"/>
  <c r="EP270" i="25"/>
  <c r="FC270" i="25"/>
  <c r="FE270" i="25" s="1"/>
  <c r="FF270" i="25" s="1"/>
  <c r="FC258" i="25"/>
  <c r="FE258" i="25" s="1"/>
  <c r="FF258" i="25" s="1"/>
  <c r="EP258" i="25"/>
  <c r="EP291" i="25"/>
  <c r="FC291" i="25"/>
  <c r="FE291" i="25" s="1"/>
  <c r="FF291" i="25" s="1"/>
  <c r="EP228" i="25"/>
  <c r="FC228" i="25"/>
  <c r="FE228" i="25" s="1"/>
  <c r="FF228" i="25" s="1"/>
  <c r="EP276" i="25"/>
  <c r="FC276" i="25"/>
  <c r="FE276" i="25" s="1"/>
  <c r="FF276" i="25" s="1"/>
  <c r="EP248" i="25"/>
  <c r="FC248" i="25"/>
  <c r="FE248" i="25" s="1"/>
  <c r="FF248" i="25" s="1"/>
  <c r="EP238" i="25"/>
  <c r="FC238" i="25"/>
  <c r="FE238" i="25" s="1"/>
  <c r="FF238" i="25" s="1"/>
  <c r="FC257" i="25"/>
  <c r="FE257" i="25" s="1"/>
  <c r="FF257" i="25" s="1"/>
  <c r="EP257" i="25"/>
  <c r="EP255" i="25"/>
  <c r="FC255" i="25"/>
  <c r="FE255" i="25" s="1"/>
  <c r="FF255" i="25" s="1"/>
  <c r="FC230" i="25"/>
  <c r="FE230" i="25" s="1"/>
  <c r="FF230" i="25" s="1"/>
  <c r="EP230" i="25"/>
  <c r="EP305" i="25"/>
  <c r="FC305" i="25"/>
  <c r="FE305" i="25" s="1"/>
  <c r="FF305" i="25" s="1"/>
  <c r="EP237" i="25"/>
  <c r="FC237" i="25"/>
  <c r="FE237" i="25" s="1"/>
  <c r="FF237" i="25" s="1"/>
  <c r="FC294" i="25"/>
  <c r="FE294" i="25" s="1"/>
  <c r="FF294" i="25" s="1"/>
  <c r="EP294" i="25"/>
  <c r="FC278" i="25"/>
  <c r="FE278" i="25" s="1"/>
  <c r="FF278" i="25" s="1"/>
  <c r="EP278" i="25"/>
  <c r="FC274" i="25"/>
  <c r="FE274" i="25" s="1"/>
  <c r="FF274" i="25" s="1"/>
  <c r="EP274" i="25"/>
  <c r="EP252" i="25"/>
  <c r="FC252" i="25"/>
  <c r="FE252" i="25" s="1"/>
  <c r="FF252" i="25" s="1"/>
  <c r="EZ74" i="24"/>
  <c r="FB74" i="24" s="1"/>
  <c r="EK142" i="24"/>
  <c r="FC142" i="24" s="1"/>
  <c r="FE142" i="24" s="1"/>
  <c r="FF142" i="24" s="1"/>
  <c r="FC112" i="25"/>
  <c r="FE112" i="25" s="1"/>
  <c r="FF112" i="25" s="1"/>
  <c r="EP112" i="25"/>
  <c r="EZ43" i="24"/>
  <c r="FB43" i="24" s="1"/>
  <c r="EK39" i="24"/>
  <c r="EQ39" i="24" s="1"/>
  <c r="ER39" i="24" s="1"/>
  <c r="EZ39" i="24"/>
  <c r="FB39" i="24" s="1"/>
  <c r="EW152" i="24"/>
  <c r="FB152" i="24" s="1"/>
  <c r="EK52" i="24"/>
  <c r="EQ52" i="24" s="1"/>
  <c r="ER52" i="24" s="1"/>
  <c r="FC47" i="25"/>
  <c r="FE47" i="25" s="1"/>
  <c r="FF47" i="25" s="1"/>
  <c r="EK63" i="24"/>
  <c r="EQ63" i="24" s="1"/>
  <c r="ER63" i="24" s="1"/>
  <c r="EZ55" i="24"/>
  <c r="FB55" i="24" s="1"/>
  <c r="EW37" i="24"/>
  <c r="EZ37" i="24" s="1"/>
  <c r="FB37" i="24" s="1"/>
  <c r="EK44" i="24"/>
  <c r="EQ44" i="24" s="1"/>
  <c r="ER44" i="24" s="1"/>
  <c r="EZ44" i="24"/>
  <c r="FB44" i="24" s="1"/>
  <c r="FC96" i="25"/>
  <c r="FE96" i="25" s="1"/>
  <c r="FF96" i="25" s="1"/>
  <c r="EW83" i="24"/>
  <c r="EZ83" i="24" s="1"/>
  <c r="FB83" i="24" s="1"/>
  <c r="EW186" i="24"/>
  <c r="FB186" i="24" s="1"/>
  <c r="EW134" i="24"/>
  <c r="FC134" i="24" s="1"/>
  <c r="FE134" i="24" s="1"/>
  <c r="FF134" i="24" s="1"/>
  <c r="EW160" i="24"/>
  <c r="FB160" i="24" s="1"/>
  <c r="FB133" i="24"/>
  <c r="FC164" i="25"/>
  <c r="FE164" i="25" s="1"/>
  <c r="FF164" i="25" s="1"/>
  <c r="EK169" i="24"/>
  <c r="EW169" i="24"/>
  <c r="FB169" i="24" s="1"/>
  <c r="EK133" i="24"/>
  <c r="ER133" i="24" s="1"/>
  <c r="EK111" i="24"/>
  <c r="FC111" i="24" s="1"/>
  <c r="FE111" i="24" s="1"/>
  <c r="FF111" i="24" s="1"/>
  <c r="EZ52" i="24"/>
  <c r="FB52" i="24" s="1"/>
  <c r="EW126" i="24"/>
  <c r="FB126" i="24" s="1"/>
  <c r="EW127" i="24"/>
  <c r="FB127" i="24" s="1"/>
  <c r="FC128" i="25"/>
  <c r="FE128" i="25" s="1"/>
  <c r="FF128" i="25" s="1"/>
  <c r="FC64" i="25"/>
  <c r="FE64" i="25" s="1"/>
  <c r="FF64" i="25" s="1"/>
  <c r="FC103" i="25"/>
  <c r="FE103" i="25" s="1"/>
  <c r="FF103" i="25" s="1"/>
  <c r="EP96" i="25"/>
  <c r="EW104" i="24"/>
  <c r="EZ104" i="24" s="1"/>
  <c r="FB104" i="24" s="1"/>
  <c r="EW136" i="24"/>
  <c r="FB136" i="24" s="1"/>
  <c r="FC89" i="25"/>
  <c r="FE89" i="25" s="1"/>
  <c r="FF89" i="25" s="1"/>
  <c r="EW48" i="24"/>
  <c r="EZ48" i="24" s="1"/>
  <c r="EW30" i="24"/>
  <c r="EZ30" i="24" s="1"/>
  <c r="FB30" i="24" s="1"/>
  <c r="FC93" i="25"/>
  <c r="FE93" i="25" s="1"/>
  <c r="FF93" i="25" s="1"/>
  <c r="FC145" i="25"/>
  <c r="FE145" i="25" s="1"/>
  <c r="FF145" i="25" s="1"/>
  <c r="FB111" i="24"/>
  <c r="EP47" i="25"/>
  <c r="FC156" i="25"/>
  <c r="FE156" i="25" s="1"/>
  <c r="FF156" i="25" s="1"/>
  <c r="FC183" i="25"/>
  <c r="FE183" i="25" s="1"/>
  <c r="FF183" i="25" s="1"/>
  <c r="EK14" i="24"/>
  <c r="EQ14" i="24" s="1"/>
  <c r="FB192" i="24"/>
  <c r="EZ63" i="24"/>
  <c r="FB63" i="24" s="1"/>
  <c r="EK55" i="24"/>
  <c r="EQ55" i="24" s="1"/>
  <c r="ER55" i="24" s="1"/>
  <c r="EK40" i="24"/>
  <c r="EQ40" i="24" s="1"/>
  <c r="ER40" i="24" s="1"/>
  <c r="EW71" i="24"/>
  <c r="EZ71" i="24" s="1"/>
  <c r="FB172" i="24"/>
  <c r="EW29" i="24"/>
  <c r="EZ29" i="24" s="1"/>
  <c r="FB29" i="24" s="1"/>
  <c r="EW199" i="24"/>
  <c r="FB199" i="24" s="1"/>
  <c r="EZ14" i="24"/>
  <c r="FB14" i="24" s="1"/>
  <c r="FC131" i="25"/>
  <c r="FE131" i="25" s="1"/>
  <c r="FF131" i="25" s="1"/>
  <c r="FC74" i="25"/>
  <c r="FE74" i="25" s="1"/>
  <c r="FF74" i="25" s="1"/>
  <c r="EK62" i="24"/>
  <c r="EQ62" i="24" s="1"/>
  <c r="ER62" i="24" s="1"/>
  <c r="FC185" i="25"/>
  <c r="FE185" i="25" s="1"/>
  <c r="FF185" i="25" s="1"/>
  <c r="EZ81" i="24"/>
  <c r="FB81" i="24" s="1"/>
  <c r="EK192" i="24"/>
  <c r="ER192" i="24" s="1"/>
  <c r="EK172" i="24"/>
  <c r="ER172" i="24" s="1"/>
  <c r="FB159" i="24"/>
  <c r="EW147" i="24"/>
  <c r="FC147" i="24" s="1"/>
  <c r="FE147" i="24" s="1"/>
  <c r="FF147" i="24" s="1"/>
  <c r="FC173" i="25"/>
  <c r="FE173" i="25" s="1"/>
  <c r="FF173" i="25" s="1"/>
  <c r="FC17" i="25"/>
  <c r="FE17" i="25" s="1"/>
  <c r="FF17" i="25" s="1"/>
  <c r="FC33" i="25"/>
  <c r="FE33" i="25" s="1"/>
  <c r="FF33" i="25" s="1"/>
  <c r="EP158" i="25"/>
  <c r="FC97" i="25"/>
  <c r="FE97" i="25" s="1"/>
  <c r="FF97" i="25" s="1"/>
  <c r="FB170" i="24"/>
  <c r="FC95" i="25"/>
  <c r="FE95" i="25" s="1"/>
  <c r="FF95" i="25" s="1"/>
  <c r="EP95" i="25"/>
  <c r="EK170" i="24"/>
  <c r="FC170" i="24" s="1"/>
  <c r="FE170" i="24" s="1"/>
  <c r="FF170" i="24" s="1"/>
  <c r="EK81" i="24"/>
  <c r="EQ81" i="24" s="1"/>
  <c r="ER81" i="24" s="1"/>
  <c r="EK43" i="24"/>
  <c r="EQ43" i="24" s="1"/>
  <c r="ER43" i="24" s="1"/>
  <c r="EK23" i="24"/>
  <c r="EQ23" i="24" s="1"/>
  <c r="ER23" i="24" s="1"/>
  <c r="FC99" i="25"/>
  <c r="FE99" i="25" s="1"/>
  <c r="FF99" i="25" s="1"/>
  <c r="FC90" i="25"/>
  <c r="FE90" i="25" s="1"/>
  <c r="FF90" i="25" s="1"/>
  <c r="EP199" i="25"/>
  <c r="FC77" i="25"/>
  <c r="FE77" i="25" s="1"/>
  <c r="FF77" i="25" s="1"/>
  <c r="FC58" i="25"/>
  <c r="FE58" i="25" s="1"/>
  <c r="FF58" i="25" s="1"/>
  <c r="EP137" i="25"/>
  <c r="FC37" i="25"/>
  <c r="FE37" i="25" s="1"/>
  <c r="FF37" i="25" s="1"/>
  <c r="FC42" i="25"/>
  <c r="FE42" i="25" s="1"/>
  <c r="FF42" i="25" s="1"/>
  <c r="FC73" i="25"/>
  <c r="FE73" i="25" s="1"/>
  <c r="FF73" i="25" s="1"/>
  <c r="FC56" i="25"/>
  <c r="FE56" i="25" s="1"/>
  <c r="FF56" i="25" s="1"/>
  <c r="EW10" i="24"/>
  <c r="EZ10" i="24" s="1"/>
  <c r="FB10" i="24" s="1"/>
  <c r="FB169" i="25"/>
  <c r="FC178" i="25"/>
  <c r="FE178" i="25" s="1"/>
  <c r="FF178" i="25" s="1"/>
  <c r="EZ40" i="24"/>
  <c r="FB40" i="24" s="1"/>
  <c r="FC194" i="25"/>
  <c r="FE194" i="25" s="1"/>
  <c r="FF194" i="25" s="1"/>
  <c r="S216" i="24"/>
  <c r="T216" i="24" s="1"/>
  <c r="M216" i="24"/>
  <c r="N216" i="24" s="1"/>
  <c r="EK90" i="24"/>
  <c r="EQ90" i="24" s="1"/>
  <c r="EW90" i="24"/>
  <c r="EZ90" i="24" s="1"/>
  <c r="FB90" i="24" s="1"/>
  <c r="FB142" i="24"/>
  <c r="EK99" i="24"/>
  <c r="EQ99" i="24" s="1"/>
  <c r="ER99" i="24" s="1"/>
  <c r="EW124" i="24"/>
  <c r="FB124" i="24" s="1"/>
  <c r="FC171" i="25"/>
  <c r="FE171" i="25" s="1"/>
  <c r="FF171" i="25" s="1"/>
  <c r="EZ99" i="24"/>
  <c r="FB99" i="24" s="1"/>
  <c r="FC83" i="25"/>
  <c r="FE83" i="25" s="1"/>
  <c r="FF83" i="25" s="1"/>
  <c r="FC129" i="25"/>
  <c r="FE129" i="25" s="1"/>
  <c r="FF129" i="25" s="1"/>
  <c r="EP141" i="25"/>
  <c r="EZ23" i="24"/>
  <c r="FB23" i="24" s="1"/>
  <c r="EW201" i="24"/>
  <c r="FB201" i="24" s="1"/>
  <c r="EZ67" i="24"/>
  <c r="FB67" i="24" s="1"/>
  <c r="EZ77" i="24"/>
  <c r="FB77" i="24" s="1"/>
  <c r="FC25" i="25"/>
  <c r="FE25" i="25" s="1"/>
  <c r="FF25" i="25" s="1"/>
  <c r="Q110" i="24"/>
  <c r="AP110" i="24"/>
  <c r="P110" i="24"/>
  <c r="V110" i="24"/>
  <c r="W110" i="24"/>
  <c r="AE110" i="24"/>
  <c r="AI110" i="24"/>
  <c r="X110" i="24"/>
  <c r="AA110" i="24" s="1"/>
  <c r="AB110" i="24" s="1"/>
  <c r="AC110" i="24" s="1"/>
  <c r="FC49" i="25"/>
  <c r="FE49" i="25" s="1"/>
  <c r="FF49" i="25" s="1"/>
  <c r="FC34" i="25"/>
  <c r="FE34" i="25" s="1"/>
  <c r="FF34" i="25" s="1"/>
  <c r="FC81" i="25"/>
  <c r="FE81" i="25" s="1"/>
  <c r="FF81" i="25" s="1"/>
  <c r="EP180" i="25"/>
  <c r="FC87" i="25"/>
  <c r="FE87" i="25" s="1"/>
  <c r="FF87" i="25" s="1"/>
  <c r="FC9" i="25"/>
  <c r="FE9" i="25" s="1"/>
  <c r="FF9" i="25" s="1"/>
  <c r="FC111" i="25"/>
  <c r="FE111" i="25" s="1"/>
  <c r="FF111" i="25" s="1"/>
  <c r="FC23" i="25"/>
  <c r="FE23" i="25" s="1"/>
  <c r="FF23" i="25" s="1"/>
  <c r="EW13" i="24"/>
  <c r="EZ13" i="24" s="1"/>
  <c r="FB13" i="24" s="1"/>
  <c r="EZ62" i="24"/>
  <c r="FB62" i="24" s="1"/>
  <c r="FC72" i="25"/>
  <c r="FE72" i="25" s="1"/>
  <c r="FF72" i="25" s="1"/>
  <c r="EP72" i="25"/>
  <c r="EP10" i="25"/>
  <c r="FC10" i="25"/>
  <c r="FE10" i="25" s="1"/>
  <c r="FF10" i="25" s="1"/>
  <c r="EP210" i="25"/>
  <c r="FC210" i="25"/>
  <c r="FE210" i="25" s="1"/>
  <c r="FF210" i="25" s="1"/>
  <c r="FC195" i="25"/>
  <c r="FE195" i="25" s="1"/>
  <c r="FF195" i="25" s="1"/>
  <c r="EP195" i="25"/>
  <c r="EP134" i="25"/>
  <c r="FC134" i="25"/>
  <c r="FE134" i="25" s="1"/>
  <c r="FF134" i="25" s="1"/>
  <c r="FC60" i="25"/>
  <c r="FE60" i="25" s="1"/>
  <c r="FF60" i="25" s="1"/>
  <c r="EP60" i="25"/>
  <c r="EP154" i="25"/>
  <c r="FC154" i="25"/>
  <c r="FE154" i="25" s="1"/>
  <c r="FF154" i="25" s="1"/>
  <c r="EP150" i="25"/>
  <c r="FC150" i="25"/>
  <c r="FE150" i="25" s="1"/>
  <c r="FF150" i="25" s="1"/>
  <c r="FC113" i="25"/>
  <c r="FE113" i="25" s="1"/>
  <c r="FF113" i="25" s="1"/>
  <c r="EP113" i="25"/>
  <c r="FC148" i="25"/>
  <c r="FE148" i="25" s="1"/>
  <c r="FF148" i="25" s="1"/>
  <c r="EP148" i="25"/>
  <c r="EP20" i="25"/>
  <c r="FC20" i="25"/>
  <c r="FE20" i="25" s="1"/>
  <c r="FF20" i="25" s="1"/>
  <c r="EP142" i="25"/>
  <c r="FC142" i="25"/>
  <c r="FE142" i="25" s="1"/>
  <c r="FF142" i="25" s="1"/>
  <c r="EP53" i="25"/>
  <c r="FC53" i="25"/>
  <c r="FE53" i="25" s="1"/>
  <c r="FF53" i="25" s="1"/>
  <c r="EP196" i="25"/>
  <c r="FC196" i="25"/>
  <c r="FE196" i="25" s="1"/>
  <c r="FF196" i="25" s="1"/>
  <c r="FC16" i="25"/>
  <c r="FE16" i="25" s="1"/>
  <c r="FF16" i="25" s="1"/>
  <c r="EP16" i="25"/>
  <c r="FC202" i="25"/>
  <c r="FE202" i="25" s="1"/>
  <c r="FF202" i="25" s="1"/>
  <c r="EP202" i="25"/>
  <c r="FC152" i="25"/>
  <c r="FE152" i="25" s="1"/>
  <c r="FF152" i="25" s="1"/>
  <c r="EP152" i="25"/>
  <c r="EP167" i="25"/>
  <c r="FC167" i="25"/>
  <c r="FE167" i="25" s="1"/>
  <c r="FF167" i="25" s="1"/>
  <c r="FC127" i="25"/>
  <c r="FE127" i="25" s="1"/>
  <c r="FF127" i="25" s="1"/>
  <c r="EP127" i="25"/>
  <c r="FC163" i="25"/>
  <c r="FE163" i="25" s="1"/>
  <c r="FF163" i="25" s="1"/>
  <c r="EP163" i="25"/>
  <c r="FC110" i="25"/>
  <c r="FE110" i="25" s="1"/>
  <c r="FF110" i="25" s="1"/>
  <c r="EP110" i="25"/>
  <c r="FC124" i="25"/>
  <c r="FE124" i="25" s="1"/>
  <c r="FF124" i="25" s="1"/>
  <c r="EP124" i="25"/>
  <c r="EP125" i="25"/>
  <c r="FC125" i="25"/>
  <c r="FE125" i="25" s="1"/>
  <c r="FF125" i="25" s="1"/>
  <c r="FC52" i="25"/>
  <c r="FE52" i="25" s="1"/>
  <c r="FF52" i="25" s="1"/>
  <c r="EP52" i="25"/>
  <c r="FC126" i="25"/>
  <c r="FE126" i="25" s="1"/>
  <c r="FF126" i="25" s="1"/>
  <c r="EP126" i="25"/>
  <c r="FC184" i="25"/>
  <c r="FE184" i="25" s="1"/>
  <c r="FF184" i="25" s="1"/>
  <c r="EP184" i="25"/>
  <c r="EP188" i="25"/>
  <c r="FC188" i="25"/>
  <c r="FE188" i="25" s="1"/>
  <c r="FF188" i="25" s="1"/>
  <c r="EP86" i="25"/>
  <c r="FC86" i="25"/>
  <c r="FE86" i="25" s="1"/>
  <c r="FF86" i="25" s="1"/>
  <c r="EP114" i="25"/>
  <c r="FC114" i="25"/>
  <c r="FE114" i="25" s="1"/>
  <c r="FF114" i="25" s="1"/>
  <c r="EP65" i="25"/>
  <c r="FC65" i="25"/>
  <c r="FE65" i="25" s="1"/>
  <c r="FF65" i="25" s="1"/>
  <c r="FC79" i="25"/>
  <c r="FE79" i="25" s="1"/>
  <c r="FF79" i="25" s="1"/>
  <c r="EP79" i="25"/>
  <c r="FC166" i="25"/>
  <c r="FE166" i="25" s="1"/>
  <c r="FF166" i="25" s="1"/>
  <c r="EP166" i="25"/>
  <c r="FC203" i="25"/>
  <c r="FE203" i="25" s="1"/>
  <c r="FF203" i="25" s="1"/>
  <c r="EP203" i="25"/>
  <c r="FC198" i="25"/>
  <c r="FE198" i="25" s="1"/>
  <c r="FF198" i="25" s="1"/>
  <c r="EP198" i="25"/>
  <c r="EP51" i="25"/>
  <c r="FC51" i="25"/>
  <c r="FE51" i="25" s="1"/>
  <c r="FF51" i="25" s="1"/>
  <c r="FC55" i="25"/>
  <c r="FE55" i="25" s="1"/>
  <c r="FF55" i="25" s="1"/>
  <c r="EP55" i="25"/>
  <c r="FC31" i="25"/>
  <c r="FE31" i="25" s="1"/>
  <c r="FF31" i="25" s="1"/>
  <c r="EP31" i="25"/>
  <c r="EP82" i="25"/>
  <c r="FC82" i="25"/>
  <c r="FE82" i="25" s="1"/>
  <c r="FF82" i="25" s="1"/>
  <c r="EP61" i="25"/>
  <c r="FC61" i="25"/>
  <c r="FE61" i="25" s="1"/>
  <c r="FF61" i="25" s="1"/>
  <c r="FC140" i="25"/>
  <c r="FE140" i="25" s="1"/>
  <c r="FF140" i="25" s="1"/>
  <c r="EP140" i="25"/>
  <c r="EP193" i="25"/>
  <c r="FC193" i="25"/>
  <c r="FE193" i="25" s="1"/>
  <c r="FF193" i="25" s="1"/>
  <c r="FC117" i="25"/>
  <c r="FE117" i="25" s="1"/>
  <c r="FF117" i="25" s="1"/>
  <c r="EP117" i="25"/>
  <c r="FC175" i="25"/>
  <c r="FE175" i="25" s="1"/>
  <c r="FF175" i="25" s="1"/>
  <c r="EP175" i="25"/>
  <c r="FC172" i="25"/>
  <c r="FE172" i="25" s="1"/>
  <c r="FF172" i="25" s="1"/>
  <c r="EP172" i="25"/>
  <c r="EP26" i="25"/>
  <c r="FC26" i="25"/>
  <c r="FE26" i="25" s="1"/>
  <c r="FF26" i="25" s="1"/>
  <c r="EP68" i="25"/>
  <c r="FC68" i="25"/>
  <c r="FE68" i="25" s="1"/>
  <c r="FF68" i="25" s="1"/>
  <c r="EP192" i="25"/>
  <c r="FC192" i="25"/>
  <c r="FE192" i="25" s="1"/>
  <c r="FF192" i="25" s="1"/>
  <c r="EP209" i="25"/>
  <c r="FC209" i="25"/>
  <c r="FE209" i="25" s="1"/>
  <c r="FF209" i="25" s="1"/>
  <c r="FC186" i="25"/>
  <c r="FE186" i="25" s="1"/>
  <c r="FF186" i="25" s="1"/>
  <c r="EP186" i="25"/>
  <c r="FC7" i="25"/>
  <c r="FE7" i="25" s="1"/>
  <c r="FF7" i="25" s="1"/>
  <c r="EP7" i="25"/>
  <c r="EP122" i="25"/>
  <c r="FC122" i="25"/>
  <c r="FE122" i="25" s="1"/>
  <c r="FF122" i="25" s="1"/>
  <c r="EP146" i="25"/>
  <c r="FC146" i="25"/>
  <c r="FE146" i="25" s="1"/>
  <c r="FF146" i="25" s="1"/>
  <c r="EP12" i="25"/>
  <c r="FC12" i="25"/>
  <c r="FE12" i="25" s="1"/>
  <c r="FF12" i="25" s="1"/>
  <c r="FC190" i="25"/>
  <c r="FE190" i="25" s="1"/>
  <c r="FF190" i="25" s="1"/>
  <c r="EP190" i="25"/>
  <c r="FC22" i="25"/>
  <c r="FE22" i="25" s="1"/>
  <c r="FF22" i="25" s="1"/>
  <c r="EP22" i="25"/>
  <c r="EP200" i="25"/>
  <c r="FC200" i="25"/>
  <c r="FE200" i="25" s="1"/>
  <c r="FF200" i="25" s="1"/>
  <c r="EP21" i="25"/>
  <c r="FC21" i="25"/>
  <c r="FE21" i="25" s="1"/>
  <c r="FF21" i="25" s="1"/>
  <c r="EP57" i="25"/>
  <c r="FC57" i="25"/>
  <c r="FE57" i="25" s="1"/>
  <c r="FF57" i="25" s="1"/>
  <c r="FC46" i="25"/>
  <c r="FE46" i="25" s="1"/>
  <c r="FF46" i="25" s="1"/>
  <c r="EP46" i="25"/>
  <c r="EP8" i="25"/>
  <c r="FC8" i="25"/>
  <c r="FE8" i="25" s="1"/>
  <c r="FF8" i="25" s="1"/>
  <c r="FC35" i="25"/>
  <c r="FE35" i="25" s="1"/>
  <c r="FF35" i="25" s="1"/>
  <c r="EP35" i="25"/>
  <c r="EP91" i="25"/>
  <c r="FC91" i="25"/>
  <c r="FE91" i="25" s="1"/>
  <c r="FF91" i="25" s="1"/>
  <c r="EP40" i="25"/>
  <c r="FC40" i="25"/>
  <c r="FE40" i="25" s="1"/>
  <c r="FF40" i="25" s="1"/>
  <c r="EP19" i="25"/>
  <c r="FC19" i="25"/>
  <c r="FE19" i="25" s="1"/>
  <c r="FF19" i="25" s="1"/>
  <c r="FC6" i="25"/>
  <c r="FE6" i="25" s="1"/>
  <c r="FF6" i="25" s="1"/>
  <c r="EP6" i="25"/>
  <c r="EP41" i="25"/>
  <c r="FC41" i="25"/>
  <c r="FE41" i="25" s="1"/>
  <c r="FF41" i="25" s="1"/>
  <c r="EP123" i="25"/>
  <c r="FC123" i="25"/>
  <c r="FE123" i="25" s="1"/>
  <c r="FF123" i="25" s="1"/>
  <c r="EP11" i="25"/>
  <c r="FC11" i="25"/>
  <c r="FE11" i="25" s="1"/>
  <c r="FF11" i="25" s="1"/>
  <c r="EP29" i="25"/>
  <c r="FC29" i="25"/>
  <c r="FE29" i="25" s="1"/>
  <c r="FF29" i="25" s="1"/>
  <c r="FC206" i="25"/>
  <c r="FE206" i="25" s="1"/>
  <c r="FF206" i="25" s="1"/>
  <c r="EP206" i="25"/>
  <c r="EP139" i="25"/>
  <c r="FC139" i="25"/>
  <c r="FE139" i="25" s="1"/>
  <c r="FF139" i="25" s="1"/>
  <c r="EP36" i="25"/>
  <c r="FC36" i="25"/>
  <c r="FE36" i="25" s="1"/>
  <c r="FF36" i="25" s="1"/>
  <c r="FC189" i="25"/>
  <c r="FE189" i="25" s="1"/>
  <c r="FF189" i="25" s="1"/>
  <c r="EP189" i="25"/>
  <c r="EP105" i="25"/>
  <c r="FC105" i="25"/>
  <c r="FE105" i="25" s="1"/>
  <c r="FF105" i="25" s="1"/>
  <c r="FC94" i="25"/>
  <c r="FE94" i="25" s="1"/>
  <c r="FF94" i="25" s="1"/>
  <c r="EP94" i="25"/>
  <c r="FC30" i="25"/>
  <c r="FE30" i="25" s="1"/>
  <c r="FF30" i="25" s="1"/>
  <c r="EP30" i="25"/>
  <c r="FC197" i="25"/>
  <c r="FE197" i="25" s="1"/>
  <c r="FF197" i="25" s="1"/>
  <c r="EP197" i="25"/>
  <c r="EP54" i="25"/>
  <c r="FC54" i="25"/>
  <c r="FE54" i="25" s="1"/>
  <c r="FF54" i="25" s="1"/>
  <c r="FC174" i="25"/>
  <c r="FE174" i="25" s="1"/>
  <c r="FF174" i="25" s="1"/>
  <c r="EP174" i="25"/>
  <c r="FC24" i="25"/>
  <c r="FE24" i="25" s="1"/>
  <c r="FF24" i="25" s="1"/>
  <c r="EP24" i="25"/>
  <c r="FC98" i="25"/>
  <c r="FE98" i="25" s="1"/>
  <c r="FF98" i="25" s="1"/>
  <c r="EP98" i="25"/>
  <c r="FC121" i="25"/>
  <c r="FE121" i="25" s="1"/>
  <c r="FF121" i="25" s="1"/>
  <c r="EP121" i="25"/>
  <c r="EP50" i="25"/>
  <c r="FC50" i="25"/>
  <c r="FE50" i="25" s="1"/>
  <c r="FF50" i="25" s="1"/>
  <c r="FC32" i="25"/>
  <c r="FE32" i="25" s="1"/>
  <c r="FF32" i="25" s="1"/>
  <c r="EP32" i="25"/>
  <c r="EP149" i="25"/>
  <c r="FC149" i="25"/>
  <c r="FE149" i="25" s="1"/>
  <c r="FF149" i="25" s="1"/>
  <c r="FC14" i="25"/>
  <c r="FE14" i="25" s="1"/>
  <c r="FF14" i="25" s="1"/>
  <c r="EP14" i="25"/>
  <c r="FC165" i="25"/>
  <c r="FE165" i="25" s="1"/>
  <c r="FF165" i="25" s="1"/>
  <c r="EP165" i="25"/>
  <c r="FC204" i="25"/>
  <c r="FE204" i="25" s="1"/>
  <c r="FF204" i="25" s="1"/>
  <c r="EP204" i="25"/>
  <c r="EP207" i="25"/>
  <c r="FC207" i="25"/>
  <c r="FE207" i="25" s="1"/>
  <c r="FF207" i="25" s="1"/>
  <c r="FC27" i="25"/>
  <c r="FE27" i="25" s="1"/>
  <c r="FF27" i="25" s="1"/>
  <c r="EP27" i="25"/>
  <c r="FC135" i="25"/>
  <c r="FE135" i="25" s="1"/>
  <c r="FF135" i="25" s="1"/>
  <c r="EP135" i="25"/>
  <c r="FC84" i="25"/>
  <c r="FE84" i="25" s="1"/>
  <c r="FF84" i="25" s="1"/>
  <c r="EP84" i="25"/>
  <c r="EP147" i="25"/>
  <c r="FC147" i="25"/>
  <c r="FE147" i="25" s="1"/>
  <c r="FF147" i="25" s="1"/>
  <c r="EP155" i="25"/>
  <c r="FC155" i="25"/>
  <c r="FE155" i="25" s="1"/>
  <c r="FF155" i="25" s="1"/>
  <c r="FC88" i="25"/>
  <c r="FE88" i="25" s="1"/>
  <c r="FF88" i="25" s="1"/>
  <c r="EP88" i="25"/>
  <c r="FC85" i="25"/>
  <c r="FE85" i="25" s="1"/>
  <c r="FF85" i="25" s="1"/>
  <c r="EP85" i="25"/>
  <c r="FC67" i="25"/>
  <c r="FE67" i="25" s="1"/>
  <c r="FF67" i="25" s="1"/>
  <c r="EP67" i="25"/>
  <c r="EP39" i="25"/>
  <c r="FC39" i="25"/>
  <c r="FE39" i="25" s="1"/>
  <c r="FF39" i="25" s="1"/>
  <c r="FC132" i="25"/>
  <c r="FE132" i="25" s="1"/>
  <c r="FF132" i="25" s="1"/>
  <c r="EP132" i="25"/>
  <c r="FC205" i="25"/>
  <c r="FE205" i="25" s="1"/>
  <c r="FF205" i="25" s="1"/>
  <c r="EP205" i="25"/>
  <c r="FC102" i="25"/>
  <c r="FE102" i="25" s="1"/>
  <c r="FF102" i="25" s="1"/>
  <c r="EP102" i="25"/>
  <c r="EP160" i="25"/>
  <c r="FC160" i="25"/>
  <c r="FE160" i="25" s="1"/>
  <c r="FF160" i="25" s="1"/>
  <c r="FC120" i="25"/>
  <c r="FE120" i="25" s="1"/>
  <c r="FF120" i="25" s="1"/>
  <c r="EP120" i="25"/>
  <c r="EP44" i="25"/>
  <c r="FC44" i="25"/>
  <c r="FE44" i="25" s="1"/>
  <c r="FF44" i="25" s="1"/>
  <c r="FC177" i="25"/>
  <c r="FE177" i="25" s="1"/>
  <c r="FF177" i="25" s="1"/>
  <c r="EP177" i="25"/>
  <c r="EP208" i="25"/>
  <c r="FC208" i="25"/>
  <c r="FE208" i="25" s="1"/>
  <c r="FF208" i="25" s="1"/>
  <c r="EP170" i="25"/>
  <c r="FC170" i="25"/>
  <c r="FE170" i="25" s="1"/>
  <c r="FF170" i="25" s="1"/>
  <c r="EP45" i="25"/>
  <c r="FC45" i="25"/>
  <c r="FE45" i="25" s="1"/>
  <c r="FF45" i="25" s="1"/>
  <c r="FC115" i="25"/>
  <c r="FE115" i="25" s="1"/>
  <c r="FF115" i="25" s="1"/>
  <c r="EP115" i="25"/>
  <c r="EP162" i="25"/>
  <c r="FC162" i="25"/>
  <c r="FE162" i="25" s="1"/>
  <c r="FF162" i="25" s="1"/>
  <c r="EP201" i="25"/>
  <c r="FC201" i="25"/>
  <c r="FE201" i="25" s="1"/>
  <c r="FF201" i="25" s="1"/>
  <c r="EP69" i="25"/>
  <c r="FC69" i="25"/>
  <c r="FE69" i="25" s="1"/>
  <c r="FF69" i="25" s="1"/>
  <c r="FC151" i="25"/>
  <c r="FE151" i="25" s="1"/>
  <c r="FF151" i="25" s="1"/>
  <c r="EP151" i="25"/>
  <c r="EP176" i="25"/>
  <c r="FC176" i="25"/>
  <c r="FE176" i="25" s="1"/>
  <c r="FF176" i="25" s="1"/>
  <c r="EP130" i="25"/>
  <c r="FC130" i="25"/>
  <c r="FE130" i="25" s="1"/>
  <c r="FF130" i="25" s="1"/>
  <c r="FC187" i="25"/>
  <c r="FE187" i="25" s="1"/>
  <c r="FF187" i="25" s="1"/>
  <c r="EP187" i="25"/>
  <c r="EP161" i="25"/>
  <c r="FC161" i="25"/>
  <c r="FE161" i="25" s="1"/>
  <c r="FF161" i="25" s="1"/>
  <c r="EP179" i="25"/>
  <c r="FC179" i="25"/>
  <c r="FE179" i="25" s="1"/>
  <c r="FF179" i="25" s="1"/>
  <c r="FC66" i="25"/>
  <c r="FE66" i="25" s="1"/>
  <c r="FF66" i="25" s="1"/>
  <c r="EP66" i="25"/>
  <c r="EP78" i="25"/>
  <c r="FC78" i="25"/>
  <c r="FE78" i="25" s="1"/>
  <c r="FF78" i="25" s="1"/>
  <c r="FC119" i="25"/>
  <c r="FE119" i="25" s="1"/>
  <c r="FF119" i="25" s="1"/>
  <c r="EP119" i="25"/>
  <c r="EP76" i="25"/>
  <c r="FC76" i="25"/>
  <c r="FE76" i="25" s="1"/>
  <c r="FF76" i="25" s="1"/>
  <c r="EP100" i="25"/>
  <c r="FC100" i="25"/>
  <c r="FE100" i="25" s="1"/>
  <c r="FF100" i="25" s="1"/>
  <c r="EP71" i="25"/>
  <c r="FC71" i="25"/>
  <c r="FE71" i="25" s="1"/>
  <c r="FF71" i="25" s="1"/>
  <c r="EP80" i="25"/>
  <c r="FC80" i="25"/>
  <c r="FE80" i="25" s="1"/>
  <c r="FF80" i="25" s="1"/>
  <c r="EP15" i="25"/>
  <c r="FC15" i="25"/>
  <c r="FE15" i="25" s="1"/>
  <c r="FF15" i="25" s="1"/>
  <c r="FC153" i="25"/>
  <c r="FE153" i="25" s="1"/>
  <c r="FF153" i="25" s="1"/>
  <c r="EP153" i="25"/>
  <c r="EP159" i="25"/>
  <c r="FC159" i="25"/>
  <c r="FE159" i="25" s="1"/>
  <c r="FF159" i="25" s="1"/>
  <c r="FC28" i="25"/>
  <c r="FE28" i="25" s="1"/>
  <c r="FF28" i="25" s="1"/>
  <c r="EP28" i="25"/>
  <c r="EP116" i="25"/>
  <c r="FC116" i="25"/>
  <c r="FE116" i="25" s="1"/>
  <c r="FF116" i="25" s="1"/>
  <c r="EP157" i="25"/>
  <c r="FC157" i="25"/>
  <c r="FE157" i="25" s="1"/>
  <c r="FF157" i="25" s="1"/>
  <c r="EP70" i="25"/>
  <c r="FC70" i="25"/>
  <c r="FE70" i="25" s="1"/>
  <c r="FF70" i="25" s="1"/>
  <c r="FC191" i="25"/>
  <c r="FE191" i="25" s="1"/>
  <c r="FF191" i="25" s="1"/>
  <c r="EP191" i="25"/>
  <c r="EP168" i="25"/>
  <c r="FC168" i="25"/>
  <c r="FE168" i="25" s="1"/>
  <c r="FF168" i="25" s="1"/>
  <c r="EP101" i="25"/>
  <c r="FC101" i="25"/>
  <c r="FE101" i="25" s="1"/>
  <c r="FF101" i="25" s="1"/>
  <c r="FC62" i="25"/>
  <c r="FE62" i="25" s="1"/>
  <c r="FF62" i="25" s="1"/>
  <c r="EP62" i="25"/>
  <c r="FC63" i="25"/>
  <c r="FE63" i="25" s="1"/>
  <c r="FF63" i="25" s="1"/>
  <c r="EP63" i="25"/>
  <c r="FC75" i="25"/>
  <c r="FE75" i="25" s="1"/>
  <c r="FF75" i="25" s="1"/>
  <c r="EP75" i="25"/>
  <c r="EP18" i="25"/>
  <c r="FC18" i="25"/>
  <c r="FE18" i="25" s="1"/>
  <c r="FF18" i="25" s="1"/>
  <c r="FC13" i="25"/>
  <c r="FE13" i="25" s="1"/>
  <c r="FF13" i="25" s="1"/>
  <c r="EP13" i="25"/>
  <c r="FC59" i="25"/>
  <c r="FE59" i="25" s="1"/>
  <c r="FF59" i="25" s="1"/>
  <c r="EP59" i="25"/>
  <c r="FC104" i="25"/>
  <c r="FE104" i="25" s="1"/>
  <c r="FF104" i="25" s="1"/>
  <c r="EP104" i="25"/>
  <c r="FC43" i="25"/>
  <c r="FE43" i="25" s="1"/>
  <c r="FF43" i="25" s="1"/>
  <c r="EP43" i="25"/>
  <c r="EP38" i="25"/>
  <c r="FC38" i="25"/>
  <c r="FE38" i="25" s="1"/>
  <c r="FF38" i="25" s="1"/>
  <c r="EP118" i="25"/>
  <c r="FC118" i="25"/>
  <c r="FE118" i="25" s="1"/>
  <c r="FF118" i="25" s="1"/>
  <c r="EP144" i="25"/>
  <c r="FC144" i="25"/>
  <c r="FE144" i="25" s="1"/>
  <c r="FF144" i="25" s="1"/>
  <c r="EP133" i="25"/>
  <c r="FC133" i="25"/>
  <c r="FE133" i="25" s="1"/>
  <c r="FF133" i="25" s="1"/>
  <c r="EP92" i="25"/>
  <c r="FC92" i="25"/>
  <c r="FE92" i="25" s="1"/>
  <c r="FF92" i="25" s="1"/>
  <c r="FC48" i="25"/>
  <c r="FE48" i="25" s="1"/>
  <c r="FF48" i="25" s="1"/>
  <c r="EP48" i="25"/>
  <c r="EW125" i="24"/>
  <c r="FB125" i="24" s="1"/>
  <c r="EK125" i="24"/>
  <c r="EK151" i="24"/>
  <c r="EW151" i="24"/>
  <c r="FB151" i="24" s="1"/>
  <c r="EK137" i="24"/>
  <c r="EW137" i="24"/>
  <c r="FB137" i="24" s="1"/>
  <c r="EW180" i="24"/>
  <c r="FB180" i="24" s="1"/>
  <c r="EK180" i="24"/>
  <c r="EK129" i="24"/>
  <c r="EW129" i="24"/>
  <c r="FB129" i="24" s="1"/>
  <c r="EW64" i="24"/>
  <c r="EZ64" i="24" s="1"/>
  <c r="FB64" i="24" s="1"/>
  <c r="EK64" i="24"/>
  <c r="EQ64" i="24" s="1"/>
  <c r="EK205" i="24"/>
  <c r="EW205" i="24"/>
  <c r="FB205" i="24" s="1"/>
  <c r="EW7" i="24"/>
  <c r="EZ7" i="24" s="1"/>
  <c r="FB7" i="24" s="1"/>
  <c r="EK7" i="24"/>
  <c r="EQ7" i="24" s="1"/>
  <c r="ER30" i="24"/>
  <c r="EK187" i="24"/>
  <c r="EW187" i="24"/>
  <c r="FB187" i="24" s="1"/>
  <c r="EW128" i="24"/>
  <c r="FB128" i="24" s="1"/>
  <c r="EK128" i="24"/>
  <c r="EW88" i="24"/>
  <c r="EZ88" i="24" s="1"/>
  <c r="FB88" i="24" s="1"/>
  <c r="EK88" i="24"/>
  <c r="EQ88" i="24" s="1"/>
  <c r="EK188" i="24"/>
  <c r="EW188" i="24"/>
  <c r="FB188" i="24" s="1"/>
  <c r="EK189" i="24"/>
  <c r="EW189" i="24"/>
  <c r="FB189" i="24" s="1"/>
  <c r="EW20" i="24"/>
  <c r="EZ20" i="24" s="1"/>
  <c r="FB20" i="24" s="1"/>
  <c r="EK20" i="24"/>
  <c r="EQ20" i="24" s="1"/>
  <c r="EK120" i="24"/>
  <c r="EW120" i="24"/>
  <c r="FB120" i="24" s="1"/>
  <c r="EW86" i="24"/>
  <c r="EZ86" i="24" s="1"/>
  <c r="FB86" i="24" s="1"/>
  <c r="EK86" i="24"/>
  <c r="EQ86" i="24" s="1"/>
  <c r="EW113" i="24"/>
  <c r="FB113" i="24" s="1"/>
  <c r="EK113" i="24"/>
  <c r="EK46" i="24"/>
  <c r="EQ46" i="24" s="1"/>
  <c r="EW46" i="24"/>
  <c r="EZ46" i="24" s="1"/>
  <c r="FB46" i="24" s="1"/>
  <c r="EW116" i="24"/>
  <c r="FB116" i="24" s="1"/>
  <c r="EK116" i="24"/>
  <c r="EK206" i="24"/>
  <c r="EW206" i="24"/>
  <c r="FB206" i="24" s="1"/>
  <c r="EK157" i="24"/>
  <c r="EW157" i="24"/>
  <c r="FB157" i="24" s="1"/>
  <c r="EK25" i="24"/>
  <c r="EQ25" i="24" s="1"/>
  <c r="EW25" i="24"/>
  <c r="EZ25" i="24" s="1"/>
  <c r="FB25" i="24" s="1"/>
  <c r="EW54" i="24"/>
  <c r="EZ54" i="24" s="1"/>
  <c r="FB54" i="24" s="1"/>
  <c r="EK54" i="24"/>
  <c r="EQ54" i="24" s="1"/>
  <c r="EK173" i="24"/>
  <c r="EW173" i="24"/>
  <c r="FB173" i="24" s="1"/>
  <c r="EK163" i="24"/>
  <c r="EW163" i="24"/>
  <c r="FB163" i="24" s="1"/>
  <c r="EW65" i="24"/>
  <c r="EZ65" i="24" s="1"/>
  <c r="FB65" i="24" s="1"/>
  <c r="EK65" i="24"/>
  <c r="EQ65" i="24" s="1"/>
  <c r="EK118" i="24"/>
  <c r="EW118" i="24"/>
  <c r="FB118" i="24" s="1"/>
  <c r="EK53" i="24"/>
  <c r="EQ53" i="24" s="1"/>
  <c r="EW53" i="24"/>
  <c r="EZ53" i="24" s="1"/>
  <c r="FB53" i="24" s="1"/>
  <c r="EW155" i="24"/>
  <c r="FB155" i="24" s="1"/>
  <c r="EK155" i="24"/>
  <c r="EK210" i="24"/>
  <c r="EW210" i="24"/>
  <c r="FB210" i="24" s="1"/>
  <c r="EW98" i="24"/>
  <c r="EZ98" i="24" s="1"/>
  <c r="FB98" i="24" s="1"/>
  <c r="EK98" i="24"/>
  <c r="EQ98" i="24" s="1"/>
  <c r="EK200" i="24"/>
  <c r="EW200" i="24"/>
  <c r="FB200" i="24" s="1"/>
  <c r="ER199" i="24"/>
  <c r="EK70" i="24"/>
  <c r="EQ70" i="24" s="1"/>
  <c r="EW70" i="24"/>
  <c r="EZ70" i="24" s="1"/>
  <c r="FB70" i="24" s="1"/>
  <c r="EW26" i="24"/>
  <c r="EZ26" i="24" s="1"/>
  <c r="FB26" i="24" s="1"/>
  <c r="EK26" i="24"/>
  <c r="EQ26" i="24" s="1"/>
  <c r="EK97" i="24"/>
  <c r="EQ97" i="24" s="1"/>
  <c r="EW97" i="24"/>
  <c r="EZ97" i="24" s="1"/>
  <c r="FB97" i="24" s="1"/>
  <c r="EK28" i="24"/>
  <c r="EQ28" i="24" s="1"/>
  <c r="EW28" i="24"/>
  <c r="EZ28" i="24" s="1"/>
  <c r="FB28" i="24" s="1"/>
  <c r="EK146" i="24"/>
  <c r="EW146" i="24"/>
  <c r="FB146" i="24" s="1"/>
  <c r="EK82" i="24"/>
  <c r="EQ82" i="24" s="1"/>
  <c r="EW82" i="24"/>
  <c r="EZ82" i="24" s="1"/>
  <c r="FB82" i="24" s="1"/>
  <c r="ER134" i="24"/>
  <c r="EW164" i="24"/>
  <c r="FB164" i="24" s="1"/>
  <c r="EK164" i="24"/>
  <c r="EW32" i="24"/>
  <c r="EZ32" i="24" s="1"/>
  <c r="FB32" i="24" s="1"/>
  <c r="EK32" i="24"/>
  <c r="EQ32" i="24" s="1"/>
  <c r="EW143" i="24"/>
  <c r="FB143" i="24" s="1"/>
  <c r="EK143" i="24"/>
  <c r="EK68" i="24"/>
  <c r="EQ68" i="24" s="1"/>
  <c r="EW68" i="24"/>
  <c r="EZ68" i="24" s="1"/>
  <c r="FB68" i="24" s="1"/>
  <c r="EK95" i="24"/>
  <c r="EQ95" i="24" s="1"/>
  <c r="EW95" i="24"/>
  <c r="EZ95" i="24" s="1"/>
  <c r="FB95" i="24" s="1"/>
  <c r="EK194" i="24"/>
  <c r="EW194" i="24"/>
  <c r="FB194" i="24" s="1"/>
  <c r="EW208" i="24"/>
  <c r="FB208" i="24" s="1"/>
  <c r="EK208" i="24"/>
  <c r="EK135" i="24"/>
  <c r="EW135" i="24"/>
  <c r="FB135" i="24" s="1"/>
  <c r="EW89" i="24"/>
  <c r="EZ89" i="24" s="1"/>
  <c r="FB89" i="24" s="1"/>
  <c r="EK89" i="24"/>
  <c r="EQ89" i="24" s="1"/>
  <c r="EW123" i="24"/>
  <c r="FB123" i="24" s="1"/>
  <c r="EK123" i="24"/>
  <c r="EW58" i="24"/>
  <c r="EZ58" i="24" s="1"/>
  <c r="FB58" i="24" s="1"/>
  <c r="EK58" i="24"/>
  <c r="EQ58" i="24" s="1"/>
  <c r="EW57" i="24"/>
  <c r="EZ57" i="24" s="1"/>
  <c r="FB57" i="24" s="1"/>
  <c r="EK57" i="24"/>
  <c r="EQ57" i="24" s="1"/>
  <c r="ER10" i="24"/>
  <c r="EK174" i="24"/>
  <c r="EW174" i="24"/>
  <c r="FB174" i="24" s="1"/>
  <c r="EK158" i="24"/>
  <c r="EW158" i="24"/>
  <c r="FB158" i="24" s="1"/>
  <c r="ER71" i="24"/>
  <c r="EK18" i="24"/>
  <c r="EQ18" i="24" s="1"/>
  <c r="EW18" i="24"/>
  <c r="EZ18" i="24" s="1"/>
  <c r="FB18" i="24" s="1"/>
  <c r="EK154" i="24"/>
  <c r="EW154" i="24"/>
  <c r="FB154" i="24" s="1"/>
  <c r="EW84" i="24"/>
  <c r="EZ84" i="24" s="1"/>
  <c r="FB84" i="24" s="1"/>
  <c r="EK84" i="24"/>
  <c r="EQ84" i="24" s="1"/>
  <c r="EW91" i="24"/>
  <c r="EZ91" i="24" s="1"/>
  <c r="FB91" i="24" s="1"/>
  <c r="EK91" i="24"/>
  <c r="EQ91" i="24" s="1"/>
  <c r="EW148" i="24"/>
  <c r="FB148" i="24" s="1"/>
  <c r="EK148" i="24"/>
  <c r="ER132" i="24"/>
  <c r="EW85" i="24"/>
  <c r="EZ85" i="24" s="1"/>
  <c r="FB85" i="24" s="1"/>
  <c r="EK85" i="24"/>
  <c r="EQ85" i="24" s="1"/>
  <c r="EK47" i="24"/>
  <c r="EQ47" i="24" s="1"/>
  <c r="EW47" i="24"/>
  <c r="EZ47" i="24" s="1"/>
  <c r="FB47" i="24" s="1"/>
  <c r="EK130" i="24"/>
  <c r="EW130" i="24"/>
  <c r="FB130" i="24" s="1"/>
  <c r="EK36" i="24"/>
  <c r="EQ36" i="24" s="1"/>
  <c r="EW36" i="24"/>
  <c r="EZ36" i="24" s="1"/>
  <c r="FB36" i="24" s="1"/>
  <c r="EW131" i="24"/>
  <c r="FB131" i="24" s="1"/>
  <c r="EK131" i="24"/>
  <c r="EK114" i="24"/>
  <c r="EW114" i="24"/>
  <c r="FB114" i="24" s="1"/>
  <c r="EK196" i="24"/>
  <c r="EW196" i="24"/>
  <c r="FB196" i="24" s="1"/>
  <c r="EK166" i="24"/>
  <c r="EW166" i="24"/>
  <c r="FB166" i="24" s="1"/>
  <c r="EK150" i="24"/>
  <c r="EW150" i="24"/>
  <c r="FB150" i="24" s="1"/>
  <c r="EK161" i="24"/>
  <c r="EW161" i="24"/>
  <c r="FB161" i="24" s="1"/>
  <c r="EK50" i="24"/>
  <c r="EQ50" i="24" s="1"/>
  <c r="EW50" i="24"/>
  <c r="EZ50" i="24" s="1"/>
  <c r="FB50" i="24" s="1"/>
  <c r="EW197" i="24"/>
  <c r="FB197" i="24" s="1"/>
  <c r="EK197" i="24"/>
  <c r="EW27" i="24"/>
  <c r="EZ27" i="24" s="1"/>
  <c r="FB27" i="24" s="1"/>
  <c r="EK27" i="24"/>
  <c r="EQ27" i="24" s="1"/>
  <c r="EW45" i="24"/>
  <c r="EZ45" i="24" s="1"/>
  <c r="FB45" i="24" s="1"/>
  <c r="EK45" i="24"/>
  <c r="EQ45" i="24" s="1"/>
  <c r="EK198" i="24"/>
  <c r="EW198" i="24"/>
  <c r="FB198" i="24" s="1"/>
  <c r="EW165" i="24"/>
  <c r="FB165" i="24" s="1"/>
  <c r="EK165" i="24"/>
  <c r="EK193" i="24"/>
  <c r="EW193" i="24"/>
  <c r="FB193" i="24" s="1"/>
  <c r="EK34" i="24"/>
  <c r="EQ34" i="24" s="1"/>
  <c r="EW34" i="24"/>
  <c r="EZ34" i="24" s="1"/>
  <c r="FB34" i="24" s="1"/>
  <c r="EW31" i="24"/>
  <c r="EZ31" i="24" s="1"/>
  <c r="FB31" i="24" s="1"/>
  <c r="EK31" i="24"/>
  <c r="EQ31" i="24" s="1"/>
  <c r="EK76" i="24"/>
  <c r="EQ76" i="24" s="1"/>
  <c r="EW76" i="24"/>
  <c r="EZ76" i="24" s="1"/>
  <c r="FB76" i="24" s="1"/>
  <c r="EW140" i="24"/>
  <c r="FB140" i="24" s="1"/>
  <c r="EK140" i="24"/>
  <c r="EW203" i="24"/>
  <c r="FB203" i="24" s="1"/>
  <c r="EK203" i="24"/>
  <c r="ER147" i="24"/>
  <c r="EK178" i="24"/>
  <c r="EW178" i="24"/>
  <c r="FB178" i="24" s="1"/>
  <c r="EK153" i="24"/>
  <c r="EW153" i="24"/>
  <c r="FB153" i="24" s="1"/>
  <c r="EK195" i="24"/>
  <c r="EW195" i="24"/>
  <c r="FB195" i="24" s="1"/>
  <c r="EW185" i="24"/>
  <c r="FB185" i="24" s="1"/>
  <c r="EK185" i="24"/>
  <c r="EK59" i="24"/>
  <c r="EQ59" i="24" s="1"/>
  <c r="EW59" i="24"/>
  <c r="EZ59" i="24" s="1"/>
  <c r="FB59" i="24" s="1"/>
  <c r="EW167" i="24"/>
  <c r="FB167" i="24" s="1"/>
  <c r="EK167" i="24"/>
  <c r="EK184" i="24"/>
  <c r="EW184" i="24"/>
  <c r="FB184" i="24" s="1"/>
  <c r="ER152" i="24"/>
  <c r="EW100" i="24"/>
  <c r="EZ100" i="24" s="1"/>
  <c r="FB100" i="24" s="1"/>
  <c r="EK100" i="24"/>
  <c r="EQ100" i="24" s="1"/>
  <c r="EK72" i="24"/>
  <c r="EQ72" i="24" s="1"/>
  <c r="EW72" i="24"/>
  <c r="EZ72" i="24" s="1"/>
  <c r="FB72" i="24" s="1"/>
  <c r="EW79" i="24"/>
  <c r="EZ79" i="24" s="1"/>
  <c r="FB79" i="24" s="1"/>
  <c r="EK79" i="24"/>
  <c r="EQ79" i="24" s="1"/>
  <c r="EW9" i="24"/>
  <c r="EZ9" i="24" s="1"/>
  <c r="FB9" i="24" s="1"/>
  <c r="EK9" i="24"/>
  <c r="EQ9" i="24" s="1"/>
  <c r="EK56" i="24"/>
  <c r="EQ56" i="24" s="1"/>
  <c r="EW56" i="24"/>
  <c r="EZ56" i="24" s="1"/>
  <c r="FB56" i="24" s="1"/>
  <c r="EK51" i="24"/>
  <c r="EQ51" i="24" s="1"/>
  <c r="EW51" i="24"/>
  <c r="EZ51" i="24" s="1"/>
  <c r="FB51" i="24" s="1"/>
  <c r="EW11" i="24"/>
  <c r="EZ11" i="24" s="1"/>
  <c r="FB11" i="24" s="1"/>
  <c r="EK11" i="24"/>
  <c r="EQ11" i="24" s="1"/>
  <c r="EK49" i="24"/>
  <c r="EQ49" i="24" s="1"/>
  <c r="EW49" i="24"/>
  <c r="EZ49" i="24" s="1"/>
  <c r="FB49" i="24" s="1"/>
  <c r="EK8" i="24"/>
  <c r="EQ8" i="24" s="1"/>
  <c r="EW8" i="24"/>
  <c r="EZ8" i="24" s="1"/>
  <c r="FB8" i="24" s="1"/>
  <c r="ER136" i="24"/>
  <c r="EW22" i="24"/>
  <c r="EZ22" i="24" s="1"/>
  <c r="FB22" i="24" s="1"/>
  <c r="EK22" i="24"/>
  <c r="EQ22" i="24" s="1"/>
  <c r="EW80" i="24"/>
  <c r="EZ80" i="24" s="1"/>
  <c r="FB80" i="24" s="1"/>
  <c r="EK80" i="24"/>
  <c r="EQ80" i="24" s="1"/>
  <c r="EW93" i="24"/>
  <c r="EZ93" i="24" s="1"/>
  <c r="FB93" i="24" s="1"/>
  <c r="EK93" i="24"/>
  <c r="EQ93" i="24" s="1"/>
  <c r="EK103" i="24"/>
  <c r="EQ103" i="24" s="1"/>
  <c r="EW103" i="24"/>
  <c r="EZ103" i="24" s="1"/>
  <c r="FB103" i="24" s="1"/>
  <c r="EK149" i="24"/>
  <c r="EW149" i="24"/>
  <c r="FB149" i="24" s="1"/>
  <c r="EW75" i="24"/>
  <c r="EZ75" i="24" s="1"/>
  <c r="FB75" i="24" s="1"/>
  <c r="EK75" i="24"/>
  <c r="EQ75" i="24" s="1"/>
  <c r="EW144" i="24"/>
  <c r="FB144" i="24" s="1"/>
  <c r="EK144" i="24"/>
  <c r="EK182" i="24"/>
  <c r="EW182" i="24"/>
  <c r="FB182" i="24" s="1"/>
  <c r="EK209" i="24"/>
  <c r="EW209" i="24"/>
  <c r="FB209" i="24" s="1"/>
  <c r="ER104" i="24"/>
  <c r="EW94" i="24"/>
  <c r="EZ94" i="24" s="1"/>
  <c r="FB94" i="24" s="1"/>
  <c r="EK94" i="24"/>
  <c r="EQ94" i="24" s="1"/>
  <c r="ER127" i="24"/>
  <c r="EK202" i="24"/>
  <c r="EW202" i="24"/>
  <c r="FB202" i="24" s="1"/>
  <c r="EK16" i="24"/>
  <c r="EQ16" i="24" s="1"/>
  <c r="EW16" i="24"/>
  <c r="EZ16" i="24" s="1"/>
  <c r="FB16" i="24" s="1"/>
  <c r="EK87" i="24"/>
  <c r="EQ87" i="24" s="1"/>
  <c r="EW87" i="24"/>
  <c r="EZ87" i="24" s="1"/>
  <c r="FB87" i="24" s="1"/>
  <c r="EW183" i="24"/>
  <c r="FB183" i="24" s="1"/>
  <c r="EK183" i="24"/>
  <c r="EW38" i="24"/>
  <c r="EZ38" i="24" s="1"/>
  <c r="FB38" i="24" s="1"/>
  <c r="EK38" i="24"/>
  <c r="EQ38" i="24" s="1"/>
  <c r="EW141" i="24"/>
  <c r="FB141" i="24" s="1"/>
  <c r="EK141" i="24"/>
  <c r="EK138" i="24"/>
  <c r="EW138" i="24"/>
  <c r="FB138" i="24" s="1"/>
  <c r="EK17" i="24"/>
  <c r="EQ17" i="24" s="1"/>
  <c r="EW17" i="24"/>
  <c r="EZ17" i="24" s="1"/>
  <c r="FB17" i="24" s="1"/>
  <c r="ER48" i="24"/>
  <c r="EW105" i="24"/>
  <c r="EZ105" i="24" s="1"/>
  <c r="FB105" i="24" s="1"/>
  <c r="EK105" i="24"/>
  <c r="EQ105" i="24" s="1"/>
  <c r="ER29" i="24"/>
  <c r="EW121" i="24"/>
  <c r="FB121" i="24" s="1"/>
  <c r="EK121" i="24"/>
  <c r="EW69" i="24"/>
  <c r="EZ69" i="24" s="1"/>
  <c r="FB69" i="24" s="1"/>
  <c r="EK69" i="24"/>
  <c r="EQ69" i="24" s="1"/>
  <c r="EK181" i="24"/>
  <c r="EW181" i="24"/>
  <c r="FB181" i="24" s="1"/>
  <c r="EK24" i="24"/>
  <c r="EQ24" i="24" s="1"/>
  <c r="EW24" i="24"/>
  <c r="EZ24" i="24" s="1"/>
  <c r="FB24" i="24" s="1"/>
  <c r="EW179" i="24"/>
  <c r="FB179" i="24" s="1"/>
  <c r="EK179" i="24"/>
  <c r="EW102" i="24"/>
  <c r="EZ102" i="24" s="1"/>
  <c r="FB102" i="24" s="1"/>
  <c r="EK102" i="24"/>
  <c r="EQ102" i="24" s="1"/>
  <c r="EK175" i="24"/>
  <c r="EW175" i="24"/>
  <c r="FB175" i="24" s="1"/>
  <c r="EK101" i="24"/>
  <c r="EQ101" i="24" s="1"/>
  <c r="EW101" i="24"/>
  <c r="EZ101" i="24" s="1"/>
  <c r="FB101" i="24" s="1"/>
  <c r="ER83" i="24"/>
  <c r="EK19" i="24"/>
  <c r="EQ19" i="24" s="1"/>
  <c r="EW19" i="24"/>
  <c r="EZ19" i="24" s="1"/>
  <c r="FB19" i="24" s="1"/>
  <c r="EW73" i="24"/>
  <c r="EZ73" i="24" s="1"/>
  <c r="FB73" i="24" s="1"/>
  <c r="EK73" i="24"/>
  <c r="EQ73" i="24" s="1"/>
  <c r="ER126" i="24"/>
  <c r="EK15" i="24"/>
  <c r="EQ15" i="24" s="1"/>
  <c r="EW15" i="24"/>
  <c r="EZ15" i="24" s="1"/>
  <c r="FB15" i="24" s="1"/>
  <c r="EW117" i="24"/>
  <c r="FB117" i="24" s="1"/>
  <c r="EK117" i="24"/>
  <c r="EK122" i="24"/>
  <c r="EW122" i="24"/>
  <c r="FB122" i="24" s="1"/>
  <c r="EK119" i="24"/>
  <c r="EW119" i="24"/>
  <c r="FB119" i="24" s="1"/>
  <c r="EW35" i="24"/>
  <c r="EZ35" i="24" s="1"/>
  <c r="FB35" i="24" s="1"/>
  <c r="EK35" i="24"/>
  <c r="EQ35" i="24" s="1"/>
  <c r="EW33" i="24"/>
  <c r="EZ33" i="24" s="1"/>
  <c r="FB33" i="24" s="1"/>
  <c r="EK33" i="24"/>
  <c r="EQ33" i="24" s="1"/>
  <c r="EW115" i="24"/>
  <c r="FB115" i="24" s="1"/>
  <c r="EK115" i="24"/>
  <c r="EK66" i="24"/>
  <c r="EQ66" i="24" s="1"/>
  <c r="EW66" i="24"/>
  <c r="EZ66" i="24" s="1"/>
  <c r="FB66" i="24" s="1"/>
  <c r="EK12" i="24"/>
  <c r="EQ12" i="24" s="1"/>
  <c r="EW12" i="24"/>
  <c r="EZ12" i="24" s="1"/>
  <c r="FB12" i="24" s="1"/>
  <c r="EW156" i="24"/>
  <c r="FB156" i="24" s="1"/>
  <c r="EK156" i="24"/>
  <c r="EW42" i="24"/>
  <c r="EZ42" i="24" s="1"/>
  <c r="FB42" i="24" s="1"/>
  <c r="EK42" i="24"/>
  <c r="EQ42" i="24" s="1"/>
  <c r="EW41" i="24"/>
  <c r="EZ41" i="24" s="1"/>
  <c r="FB41" i="24" s="1"/>
  <c r="EK41" i="24"/>
  <c r="EQ41" i="24" s="1"/>
  <c r="ER160" i="24"/>
  <c r="ER186" i="24"/>
  <c r="EW176" i="24"/>
  <c r="FB176" i="24" s="1"/>
  <c r="EK176" i="24"/>
  <c r="EK207" i="24"/>
  <c r="EW207" i="24"/>
  <c r="FB207" i="24" s="1"/>
  <c r="ER37" i="24"/>
  <c r="EK6" i="24"/>
  <c r="EQ6" i="24" s="1"/>
  <c r="EW6" i="24"/>
  <c r="EZ6" i="24" s="1"/>
  <c r="FB6" i="24" s="1"/>
  <c r="ER190" i="24"/>
  <c r="FC190" i="24"/>
  <c r="FE190" i="24" s="1"/>
  <c r="FF190" i="24" s="1"/>
  <c r="EK162" i="24"/>
  <c r="EW162" i="24"/>
  <c r="FB162" i="24" s="1"/>
  <c r="EK145" i="24"/>
  <c r="EW145" i="24"/>
  <c r="FB145" i="24" s="1"/>
  <c r="EK171" i="24"/>
  <c r="EW171" i="24"/>
  <c r="FB171" i="24" s="1"/>
  <c r="EW177" i="24"/>
  <c r="FB177" i="24" s="1"/>
  <c r="EK177" i="24"/>
  <c r="ER201" i="24"/>
  <c r="EK204" i="24"/>
  <c r="EW204" i="24"/>
  <c r="FB204" i="24" s="1"/>
  <c r="EW112" i="24"/>
  <c r="FB112" i="24" s="1"/>
  <c r="EK112" i="24"/>
  <c r="EK191" i="24"/>
  <c r="EW191" i="24"/>
  <c r="FB191" i="24" s="1"/>
  <c r="EW168" i="24"/>
  <c r="FB168" i="24" s="1"/>
  <c r="EK168" i="24"/>
  <c r="EK139" i="24"/>
  <c r="EW139" i="24"/>
  <c r="FB139" i="24" s="1"/>
  <c r="EK21" i="24"/>
  <c r="EQ21" i="24" s="1"/>
  <c r="EW21" i="24"/>
  <c r="EZ21" i="24" s="1"/>
  <c r="FB21" i="24" s="1"/>
  <c r="ER13" i="24"/>
  <c r="EW61" i="24"/>
  <c r="EZ61" i="24" s="1"/>
  <c r="FB61" i="24" s="1"/>
  <c r="EK61" i="24"/>
  <c r="EQ61" i="24" s="1"/>
  <c r="ER124" i="24"/>
  <c r="F66" i="19"/>
  <c r="J9" i="8"/>
  <c r="U216" i="24" l="1"/>
  <c r="FC216" i="25"/>
  <c r="FE216" i="25" s="1"/>
  <c r="FF216" i="25" s="1"/>
  <c r="Y110" i="24"/>
  <c r="FC96" i="24"/>
  <c r="FE96" i="24" s="1"/>
  <c r="FF96" i="24" s="1"/>
  <c r="FC159" i="24"/>
  <c r="FE159" i="24" s="1"/>
  <c r="FF159" i="24" s="1"/>
  <c r="FC243" i="24"/>
  <c r="FE243" i="24" s="1"/>
  <c r="FF243" i="24" s="1"/>
  <c r="FC132" i="24"/>
  <c r="FE132" i="24" s="1"/>
  <c r="FF132" i="24" s="1"/>
  <c r="ER142" i="24"/>
  <c r="CL212" i="24"/>
  <c r="DQ212" i="24"/>
  <c r="ES212" i="24"/>
  <c r="EV212" i="24" s="1"/>
  <c r="CW212" i="24"/>
  <c r="CX212" i="24" s="1"/>
  <c r="CY212" i="24"/>
  <c r="CU212" i="24"/>
  <c r="FC285" i="24"/>
  <c r="FE285" i="24" s="1"/>
  <c r="FF285" i="24" s="1"/>
  <c r="F212" i="24"/>
  <c r="FC92" i="24"/>
  <c r="FE92" i="24" s="1"/>
  <c r="FF92" i="24" s="1"/>
  <c r="FC78" i="24"/>
  <c r="FE78" i="24" s="1"/>
  <c r="FF78" i="24" s="1"/>
  <c r="FC60" i="24"/>
  <c r="FE60" i="24" s="1"/>
  <c r="FF60" i="24" s="1"/>
  <c r="ER60" i="24"/>
  <c r="FC74" i="24"/>
  <c r="FE74" i="24" s="1"/>
  <c r="FF74" i="24" s="1"/>
  <c r="ER221" i="24"/>
  <c r="FC221" i="24"/>
  <c r="FE221" i="24" s="1"/>
  <c r="FF221" i="24" s="1"/>
  <c r="ER290" i="24"/>
  <c r="FC290" i="24"/>
  <c r="FE290" i="24" s="1"/>
  <c r="FF290" i="24" s="1"/>
  <c r="ER276" i="24"/>
  <c r="FC276" i="24"/>
  <c r="FE276" i="24" s="1"/>
  <c r="FF276" i="24" s="1"/>
  <c r="FC277" i="24"/>
  <c r="FE277" i="24" s="1"/>
  <c r="FF277" i="24" s="1"/>
  <c r="ER277" i="24"/>
  <c r="ER286" i="24"/>
  <c r="FC286" i="24"/>
  <c r="FE286" i="24" s="1"/>
  <c r="FF286" i="24" s="1"/>
  <c r="FC313" i="24"/>
  <c r="FE313" i="24" s="1"/>
  <c r="FF313" i="24" s="1"/>
  <c r="ER313" i="24"/>
  <c r="ER304" i="24"/>
  <c r="FC304" i="24"/>
  <c r="FE304" i="24" s="1"/>
  <c r="FF304" i="24" s="1"/>
  <c r="ER244" i="24"/>
  <c r="FC244" i="24"/>
  <c r="FE244" i="24" s="1"/>
  <c r="FF244" i="24" s="1"/>
  <c r="ER230" i="24"/>
  <c r="FC230" i="24"/>
  <c r="FE230" i="24" s="1"/>
  <c r="FF230" i="24" s="1"/>
  <c r="ER294" i="24"/>
  <c r="FC294" i="24"/>
  <c r="FE294" i="24" s="1"/>
  <c r="FF294" i="24" s="1"/>
  <c r="ER225" i="24"/>
  <c r="FC225" i="24"/>
  <c r="FE225" i="24" s="1"/>
  <c r="FF225" i="24" s="1"/>
  <c r="FC250" i="24"/>
  <c r="FE250" i="24" s="1"/>
  <c r="FF250" i="24" s="1"/>
  <c r="ER250" i="24"/>
  <c r="ER303" i="24"/>
  <c r="FC303" i="24"/>
  <c r="FE303" i="24" s="1"/>
  <c r="FF303" i="24" s="1"/>
  <c r="ER269" i="24"/>
  <c r="FC269" i="24"/>
  <c r="FE269" i="24" s="1"/>
  <c r="FF269" i="24" s="1"/>
  <c r="ER252" i="24"/>
  <c r="FC252" i="24"/>
  <c r="FE252" i="24" s="1"/>
  <c r="FF252" i="24" s="1"/>
  <c r="ER300" i="24"/>
  <c r="FC300" i="24"/>
  <c r="FE300" i="24" s="1"/>
  <c r="FF300" i="24" s="1"/>
  <c r="ER312" i="24"/>
  <c r="FC312" i="24"/>
  <c r="FE312" i="24" s="1"/>
  <c r="FF312" i="24" s="1"/>
  <c r="FC259" i="24"/>
  <c r="FE259" i="24" s="1"/>
  <c r="FF259" i="24" s="1"/>
  <c r="ER259" i="24"/>
  <c r="ER280" i="24"/>
  <c r="FC280" i="24"/>
  <c r="FE280" i="24" s="1"/>
  <c r="FF280" i="24" s="1"/>
  <c r="ER273" i="24"/>
  <c r="FC273" i="24"/>
  <c r="FE273" i="24" s="1"/>
  <c r="FF273" i="24" s="1"/>
  <c r="ER233" i="24"/>
  <c r="FC233" i="24"/>
  <c r="FE233" i="24" s="1"/>
  <c r="FF233" i="24" s="1"/>
  <c r="FC238" i="24"/>
  <c r="FE238" i="24" s="1"/>
  <c r="FF238" i="24" s="1"/>
  <c r="ER238" i="24"/>
  <c r="ER263" i="24"/>
  <c r="FC263" i="24"/>
  <c r="FE263" i="24" s="1"/>
  <c r="FF263" i="24" s="1"/>
  <c r="ER301" i="24"/>
  <c r="FC301" i="24"/>
  <c r="FE301" i="24" s="1"/>
  <c r="FF301" i="24" s="1"/>
  <c r="ER302" i="24"/>
  <c r="FC302" i="24"/>
  <c r="FE302" i="24" s="1"/>
  <c r="FF302" i="24" s="1"/>
  <c r="FC254" i="24"/>
  <c r="FE254" i="24" s="1"/>
  <c r="FF254" i="24" s="1"/>
  <c r="ER254" i="24"/>
  <c r="FC295" i="24"/>
  <c r="FE295" i="24" s="1"/>
  <c r="FF295" i="24" s="1"/>
  <c r="ER295" i="24"/>
  <c r="ER240" i="24"/>
  <c r="FC240" i="24"/>
  <c r="FE240" i="24" s="1"/>
  <c r="FF240" i="24" s="1"/>
  <c r="ER231" i="24"/>
  <c r="FC231" i="24"/>
  <c r="FE231" i="24" s="1"/>
  <c r="FF231" i="24" s="1"/>
  <c r="FC265" i="24"/>
  <c r="FE265" i="24" s="1"/>
  <c r="FF265" i="24" s="1"/>
  <c r="ER265" i="24"/>
  <c r="ER266" i="24"/>
  <c r="FC266" i="24"/>
  <c r="FE266" i="24" s="1"/>
  <c r="FF266" i="24" s="1"/>
  <c r="FC255" i="24"/>
  <c r="FE255" i="24" s="1"/>
  <c r="FF255" i="24" s="1"/>
  <c r="ER255" i="24"/>
  <c r="FC289" i="24"/>
  <c r="FE289" i="24" s="1"/>
  <c r="FF289" i="24" s="1"/>
  <c r="ER289" i="24"/>
  <c r="FC267" i="24"/>
  <c r="FE267" i="24" s="1"/>
  <c r="FF267" i="24" s="1"/>
  <c r="ER267" i="24"/>
  <c r="ER282" i="24"/>
  <c r="FC282" i="24"/>
  <c r="FE282" i="24" s="1"/>
  <c r="FF282" i="24" s="1"/>
  <c r="FC258" i="24"/>
  <c r="FE258" i="24" s="1"/>
  <c r="FF258" i="24" s="1"/>
  <c r="ER258" i="24"/>
  <c r="ER310" i="24"/>
  <c r="FC310" i="24"/>
  <c r="FE310" i="24" s="1"/>
  <c r="FF310" i="24" s="1"/>
  <c r="ER278" i="24"/>
  <c r="FC278" i="24"/>
  <c r="FE278" i="24" s="1"/>
  <c r="FF278" i="24" s="1"/>
  <c r="FC245" i="24"/>
  <c r="FE245" i="24" s="1"/>
  <c r="FF245" i="24" s="1"/>
  <c r="ER245" i="24"/>
  <c r="ER307" i="24"/>
  <c r="FC307" i="24"/>
  <c r="FE307" i="24" s="1"/>
  <c r="FF307" i="24" s="1"/>
  <c r="ER297" i="24"/>
  <c r="FC297" i="24"/>
  <c r="FE297" i="24" s="1"/>
  <c r="FF297" i="24" s="1"/>
  <c r="ER315" i="24"/>
  <c r="FC315" i="24"/>
  <c r="FE315" i="24" s="1"/>
  <c r="FF315" i="24" s="1"/>
  <c r="ER227" i="24"/>
  <c r="FC227" i="24"/>
  <c r="FE227" i="24" s="1"/>
  <c r="FF227" i="24" s="1"/>
  <c r="ER309" i="24"/>
  <c r="FC309" i="24"/>
  <c r="FE309" i="24" s="1"/>
  <c r="FF309" i="24" s="1"/>
  <c r="FC274" i="24"/>
  <c r="FE274" i="24" s="1"/>
  <c r="FF274" i="24" s="1"/>
  <c r="ER274" i="24"/>
  <c r="ER299" i="24"/>
  <c r="FC299" i="24"/>
  <c r="FE299" i="24" s="1"/>
  <c r="FF299" i="24" s="1"/>
  <c r="ER262" i="24"/>
  <c r="FC262" i="24"/>
  <c r="FE262" i="24" s="1"/>
  <c r="FF262" i="24" s="1"/>
  <c r="FC281" i="24"/>
  <c r="FE281" i="24" s="1"/>
  <c r="FF281" i="24" s="1"/>
  <c r="ER281" i="24"/>
  <c r="ER253" i="24"/>
  <c r="FC253" i="24"/>
  <c r="FE253" i="24" s="1"/>
  <c r="FF253" i="24" s="1"/>
  <c r="ER298" i="24"/>
  <c r="FC298" i="24"/>
  <c r="FE298" i="24" s="1"/>
  <c r="FF298" i="24" s="1"/>
  <c r="FC249" i="24"/>
  <c r="FE249" i="24" s="1"/>
  <c r="FF249" i="24" s="1"/>
  <c r="ER249" i="24"/>
  <c r="ER219" i="24"/>
  <c r="FC219" i="24"/>
  <c r="FE219" i="24" s="1"/>
  <c r="FF219" i="24" s="1"/>
  <c r="FC247" i="24"/>
  <c r="FE247" i="24" s="1"/>
  <c r="FF247" i="24" s="1"/>
  <c r="ER247" i="24"/>
  <c r="FC287" i="24"/>
  <c r="FE287" i="24" s="1"/>
  <c r="FF287" i="24" s="1"/>
  <c r="ER287" i="24"/>
  <c r="FC314" i="24"/>
  <c r="FE314" i="24" s="1"/>
  <c r="FF314" i="24" s="1"/>
  <c r="ER314" i="24"/>
  <c r="FC235" i="24"/>
  <c r="FE235" i="24" s="1"/>
  <c r="FF235" i="24" s="1"/>
  <c r="ER235" i="24"/>
  <c r="ER311" i="24"/>
  <c r="FC311" i="24"/>
  <c r="FE311" i="24" s="1"/>
  <c r="FF311" i="24" s="1"/>
  <c r="ER217" i="24"/>
  <c r="FC217" i="24"/>
  <c r="FE217" i="24" s="1"/>
  <c r="FF217" i="24" s="1"/>
  <c r="ER305" i="24"/>
  <c r="FC305" i="24"/>
  <c r="FE305" i="24" s="1"/>
  <c r="FF305" i="24" s="1"/>
  <c r="ER239" i="24"/>
  <c r="FC239" i="24"/>
  <c r="FE239" i="24" s="1"/>
  <c r="FF239" i="24" s="1"/>
  <c r="FC228" i="24"/>
  <c r="FE228" i="24" s="1"/>
  <c r="FF228" i="24" s="1"/>
  <c r="ER228" i="24"/>
  <c r="ER257" i="24"/>
  <c r="FC257" i="24"/>
  <c r="FE257" i="24" s="1"/>
  <c r="FF257" i="24" s="1"/>
  <c r="FC251" i="24"/>
  <c r="FE251" i="24" s="1"/>
  <c r="FF251" i="24" s="1"/>
  <c r="ER251" i="24"/>
  <c r="ER268" i="24"/>
  <c r="FC268" i="24"/>
  <c r="FE268" i="24" s="1"/>
  <c r="FF268" i="24" s="1"/>
  <c r="ER291" i="24"/>
  <c r="FC291" i="24"/>
  <c r="FE291" i="24" s="1"/>
  <c r="FF291" i="24" s="1"/>
  <c r="ER237" i="24"/>
  <c r="FC237" i="24"/>
  <c r="FE237" i="24" s="1"/>
  <c r="FF237" i="24" s="1"/>
  <c r="ER256" i="24"/>
  <c r="FC256" i="24"/>
  <c r="FE256" i="24" s="1"/>
  <c r="FF256" i="24" s="1"/>
  <c r="ER223" i="24"/>
  <c r="FC223" i="24"/>
  <c r="FE223" i="24" s="1"/>
  <c r="FF223" i="24" s="1"/>
  <c r="ER283" i="24"/>
  <c r="FC283" i="24"/>
  <c r="FE283" i="24" s="1"/>
  <c r="FF283" i="24" s="1"/>
  <c r="FC236" i="24"/>
  <c r="FE236" i="24" s="1"/>
  <c r="FF236" i="24" s="1"/>
  <c r="ER236" i="24"/>
  <c r="FC232" i="24"/>
  <c r="FE232" i="24" s="1"/>
  <c r="FF232" i="24" s="1"/>
  <c r="ER232" i="24"/>
  <c r="FC306" i="24"/>
  <c r="FE306" i="24" s="1"/>
  <c r="FF306" i="24" s="1"/>
  <c r="ER306" i="24"/>
  <c r="FC271" i="24"/>
  <c r="FE271" i="24" s="1"/>
  <c r="FF271" i="24" s="1"/>
  <c r="ER271" i="24"/>
  <c r="FC229" i="24"/>
  <c r="FE229" i="24" s="1"/>
  <c r="FF229" i="24" s="1"/>
  <c r="ER229" i="24"/>
  <c r="FC241" i="24"/>
  <c r="FE241" i="24" s="1"/>
  <c r="FF241" i="24" s="1"/>
  <c r="ER241" i="24"/>
  <c r="FC293" i="24"/>
  <c r="FE293" i="24" s="1"/>
  <c r="FF293" i="24" s="1"/>
  <c r="ER293" i="24"/>
  <c r="ER260" i="24"/>
  <c r="FC260" i="24"/>
  <c r="FE260" i="24" s="1"/>
  <c r="FF260" i="24" s="1"/>
  <c r="ER220" i="24"/>
  <c r="FC220" i="24"/>
  <c r="FE220" i="24" s="1"/>
  <c r="FF220" i="24" s="1"/>
  <c r="ER222" i="24"/>
  <c r="FC222" i="24"/>
  <c r="FE222" i="24" s="1"/>
  <c r="FF222" i="24" s="1"/>
  <c r="ER296" i="24"/>
  <c r="FC296" i="24"/>
  <c r="FE296" i="24" s="1"/>
  <c r="FF296" i="24" s="1"/>
  <c r="FC261" i="24"/>
  <c r="FE261" i="24" s="1"/>
  <c r="FF261" i="24" s="1"/>
  <c r="ER261" i="24"/>
  <c r="ER218" i="24"/>
  <c r="FC218" i="24"/>
  <c r="FE218" i="24" s="1"/>
  <c r="FF218" i="24" s="1"/>
  <c r="FC288" i="24"/>
  <c r="FE288" i="24" s="1"/>
  <c r="FF288" i="24" s="1"/>
  <c r="ER288" i="24"/>
  <c r="FC224" i="24"/>
  <c r="FE224" i="24" s="1"/>
  <c r="FF224" i="24" s="1"/>
  <c r="ER224" i="24"/>
  <c r="ER264" i="24"/>
  <c r="FC264" i="24"/>
  <c r="FE264" i="24" s="1"/>
  <c r="FF264" i="24" s="1"/>
  <c r="FC275" i="24"/>
  <c r="FE275" i="24" s="1"/>
  <c r="FF275" i="24" s="1"/>
  <c r="ER275" i="24"/>
  <c r="FC279" i="24"/>
  <c r="FE279" i="24" s="1"/>
  <c r="FF279" i="24" s="1"/>
  <c r="ER279" i="24"/>
  <c r="FC226" i="24"/>
  <c r="FE226" i="24" s="1"/>
  <c r="FF226" i="24" s="1"/>
  <c r="ER226" i="24"/>
  <c r="ER272" i="24"/>
  <c r="FC272" i="24"/>
  <c r="FE272" i="24" s="1"/>
  <c r="FF272" i="24" s="1"/>
  <c r="ER292" i="24"/>
  <c r="FC292" i="24"/>
  <c r="FE292" i="24" s="1"/>
  <c r="FF292" i="24" s="1"/>
  <c r="FC308" i="24"/>
  <c r="FE308" i="24" s="1"/>
  <c r="FF308" i="24" s="1"/>
  <c r="ER308" i="24"/>
  <c r="FC234" i="24"/>
  <c r="FE234" i="24" s="1"/>
  <c r="FF234" i="24" s="1"/>
  <c r="ER234" i="24"/>
  <c r="FC246" i="24"/>
  <c r="FE246" i="24" s="1"/>
  <c r="FF246" i="24" s="1"/>
  <c r="ER246" i="24"/>
  <c r="FC316" i="24"/>
  <c r="FE316" i="24" s="1"/>
  <c r="FF316" i="24" s="1"/>
  <c r="ER316" i="24"/>
  <c r="ER270" i="24"/>
  <c r="FC270" i="24"/>
  <c r="FE270" i="24" s="1"/>
  <c r="FF270" i="24" s="1"/>
  <c r="FC284" i="24"/>
  <c r="FE284" i="24" s="1"/>
  <c r="FF284" i="24" s="1"/>
  <c r="ER284" i="24"/>
  <c r="ER248" i="24"/>
  <c r="FC248" i="24"/>
  <c r="FE248" i="24" s="1"/>
  <c r="FF248" i="24" s="1"/>
  <c r="FC39" i="24"/>
  <c r="FE39" i="24" s="1"/>
  <c r="FF39" i="24" s="1"/>
  <c r="FC152" i="24"/>
  <c r="FE152" i="24" s="1"/>
  <c r="FF152" i="24" s="1"/>
  <c r="FC44" i="24"/>
  <c r="FE44" i="24" s="1"/>
  <c r="FF44" i="24" s="1"/>
  <c r="FC199" i="24"/>
  <c r="FE199" i="24" s="1"/>
  <c r="FF199" i="24" s="1"/>
  <c r="FC160" i="24"/>
  <c r="FE160" i="24" s="1"/>
  <c r="FF160" i="24" s="1"/>
  <c r="FB134" i="24"/>
  <c r="ER111" i="24"/>
  <c r="FC23" i="24"/>
  <c r="FE23" i="24" s="1"/>
  <c r="FF23" i="24" s="1"/>
  <c r="FC192" i="24"/>
  <c r="FE192" i="24" s="1"/>
  <c r="FF192" i="24" s="1"/>
  <c r="FC186" i="24"/>
  <c r="FE186" i="24" s="1"/>
  <c r="FF186" i="24" s="1"/>
  <c r="FC133" i="24"/>
  <c r="FE133" i="24" s="1"/>
  <c r="FF133" i="24" s="1"/>
  <c r="FC126" i="24"/>
  <c r="FE126" i="24" s="1"/>
  <c r="FF126" i="24" s="1"/>
  <c r="FC127" i="24"/>
  <c r="FE127" i="24" s="1"/>
  <c r="FF127" i="24" s="1"/>
  <c r="FC52" i="24"/>
  <c r="FE52" i="24" s="1"/>
  <c r="FF52" i="24" s="1"/>
  <c r="ER169" i="24"/>
  <c r="FC169" i="24"/>
  <c r="FE169" i="24" s="1"/>
  <c r="FF169" i="24" s="1"/>
  <c r="FC104" i="24"/>
  <c r="FE104" i="24" s="1"/>
  <c r="FF104" i="24" s="1"/>
  <c r="FC63" i="24"/>
  <c r="FE63" i="24" s="1"/>
  <c r="FF63" i="24" s="1"/>
  <c r="FC201" i="24"/>
  <c r="FE201" i="24" s="1"/>
  <c r="FF201" i="24" s="1"/>
  <c r="FC14" i="24"/>
  <c r="FE14" i="24" s="1"/>
  <c r="FF14" i="24" s="1"/>
  <c r="FC136" i="24"/>
  <c r="FE136" i="24" s="1"/>
  <c r="FF136" i="24" s="1"/>
  <c r="FC124" i="24"/>
  <c r="FE124" i="24" s="1"/>
  <c r="FF124" i="24" s="1"/>
  <c r="ER170" i="24"/>
  <c r="ER14" i="24"/>
  <c r="FB147" i="24"/>
  <c r="FC29" i="24"/>
  <c r="FE29" i="24" s="1"/>
  <c r="FF29" i="24" s="1"/>
  <c r="FC43" i="24"/>
  <c r="FE43" i="24" s="1"/>
  <c r="FF43" i="24" s="1"/>
  <c r="FC81" i="24"/>
  <c r="FE81" i="24" s="1"/>
  <c r="FF81" i="24" s="1"/>
  <c r="FC37" i="24"/>
  <c r="FE37" i="24" s="1"/>
  <c r="FF37" i="24" s="1"/>
  <c r="FC30" i="24"/>
  <c r="FE30" i="24" s="1"/>
  <c r="FF30" i="24" s="1"/>
  <c r="FC55" i="24"/>
  <c r="FE55" i="24" s="1"/>
  <c r="FF55" i="24" s="1"/>
  <c r="FB71" i="24"/>
  <c r="FC71" i="24"/>
  <c r="FE71" i="24" s="1"/>
  <c r="FF71" i="24" s="1"/>
  <c r="FB48" i="24"/>
  <c r="FC48" i="24"/>
  <c r="FE48" i="24" s="1"/>
  <c r="FF48" i="24" s="1"/>
  <c r="FC77" i="24"/>
  <c r="FE77" i="24" s="1"/>
  <c r="FF77" i="24" s="1"/>
  <c r="FC172" i="24"/>
  <c r="FE172" i="24" s="1"/>
  <c r="FF172" i="24" s="1"/>
  <c r="FC40" i="24"/>
  <c r="FE40" i="24" s="1"/>
  <c r="FF40" i="24" s="1"/>
  <c r="FC99" i="24"/>
  <c r="FE99" i="24" s="1"/>
  <c r="FF99" i="24" s="1"/>
  <c r="FC83" i="24"/>
  <c r="FE83" i="24" s="1"/>
  <c r="FF83" i="24" s="1"/>
  <c r="FC90" i="24"/>
  <c r="FE90" i="24" s="1"/>
  <c r="FF90" i="24" s="1"/>
  <c r="ER90" i="24"/>
  <c r="J216" i="24"/>
  <c r="O216" i="24"/>
  <c r="BZ216" i="24" s="1"/>
  <c r="FC67" i="24"/>
  <c r="FE67" i="24" s="1"/>
  <c r="FF67" i="24" s="1"/>
  <c r="FC13" i="24"/>
  <c r="FE13" i="24" s="1"/>
  <c r="FF13" i="24" s="1"/>
  <c r="AJ110" i="24"/>
  <c r="AG110" i="24"/>
  <c r="AF110" i="24"/>
  <c r="FJ263" i="24"/>
  <c r="FJ170" i="24"/>
  <c r="FI184" i="24"/>
  <c r="FJ232" i="24"/>
  <c r="FJ142" i="24"/>
  <c r="FI206" i="24"/>
  <c r="FJ117" i="24"/>
  <c r="FJ159" i="24"/>
  <c r="FJ192" i="24"/>
  <c r="FI209" i="24"/>
  <c r="FJ132" i="24"/>
  <c r="FJ301" i="24"/>
  <c r="FI141" i="24"/>
  <c r="FI144" i="24"/>
  <c r="FI152" i="24"/>
  <c r="FJ242" i="24"/>
  <c r="FJ306" i="24"/>
  <c r="FI167" i="24"/>
  <c r="FI208" i="24"/>
  <c r="FJ287" i="24"/>
  <c r="FJ225" i="24"/>
  <c r="FJ299" i="24"/>
  <c r="FJ294" i="24"/>
  <c r="FJ155" i="24"/>
  <c r="FJ238" i="24"/>
  <c r="FI189" i="24"/>
  <c r="FI130" i="24"/>
  <c r="FI150" i="24"/>
  <c r="FI197" i="24"/>
  <c r="FJ234" i="24"/>
  <c r="FJ255" i="24"/>
  <c r="FJ169" i="24"/>
  <c r="FI170" i="24"/>
  <c r="FI108" i="24"/>
  <c r="FJ228" i="24"/>
  <c r="FJ133" i="24"/>
  <c r="FJ199" i="24"/>
  <c r="FI116" i="24"/>
  <c r="FJ154" i="24"/>
  <c r="FI174" i="24"/>
  <c r="FJ131" i="24"/>
  <c r="FJ291" i="24"/>
  <c r="FI207" i="24"/>
  <c r="FI132" i="24"/>
  <c r="FI204" i="24"/>
  <c r="FJ261" i="24"/>
  <c r="FJ136" i="24"/>
  <c r="FJ270" i="24"/>
  <c r="FJ122" i="24"/>
  <c r="FI175" i="24"/>
  <c r="FJ265" i="24"/>
  <c r="FJ217" i="24"/>
  <c r="FJ115" i="24"/>
  <c r="FI143" i="24"/>
  <c r="FJ315" i="24"/>
  <c r="FJ245" i="24"/>
  <c r="FJ187" i="24"/>
  <c r="FJ237" i="24"/>
  <c r="FJ227" i="24"/>
  <c r="FI169" i="24"/>
  <c r="FJ249" i="24"/>
  <c r="FJ216" i="24"/>
  <c r="FJ290" i="24"/>
  <c r="FI110" i="24"/>
  <c r="FJ153" i="24"/>
  <c r="FJ283" i="24"/>
  <c r="FI182" i="24"/>
  <c r="FJ126" i="24"/>
  <c r="FJ280" i="24"/>
  <c r="FI115" i="24"/>
  <c r="FJ250" i="24"/>
  <c r="FI165" i="24"/>
  <c r="FI139" i="24"/>
  <c r="FJ296" i="24"/>
  <c r="FJ113" i="24"/>
  <c r="FI188" i="24"/>
  <c r="FJ239" i="24"/>
  <c r="FJ276" i="24"/>
  <c r="FJ186" i="24"/>
  <c r="FJ246" i="24"/>
  <c r="FI140" i="24"/>
  <c r="FJ171" i="24"/>
  <c r="FI210" i="24"/>
  <c r="FJ244" i="24"/>
  <c r="FI121" i="24"/>
  <c r="FI149" i="24"/>
  <c r="FJ304" i="24"/>
  <c r="FJ272" i="24"/>
  <c r="FI179" i="24"/>
  <c r="FJ222" i="24"/>
  <c r="FI138" i="24"/>
  <c r="FJ148" i="24"/>
  <c r="FJ190" i="24"/>
  <c r="FI114" i="24"/>
  <c r="FJ277" i="24"/>
  <c r="FJ266" i="24"/>
  <c r="FJ144" i="24"/>
  <c r="FI125" i="24"/>
  <c r="FJ278" i="24"/>
  <c r="FI193" i="24"/>
  <c r="FI123" i="24"/>
  <c r="FI191" i="24"/>
  <c r="FJ297" i="24"/>
  <c r="FJ163" i="24"/>
  <c r="FI160" i="24"/>
  <c r="FI194" i="24"/>
  <c r="FJ121" i="24"/>
  <c r="FJ240" i="24"/>
  <c r="FJ300" i="24"/>
  <c r="FI171" i="24"/>
  <c r="FJ120" i="24"/>
  <c r="FI177" i="24"/>
  <c r="FJ260" i="24"/>
  <c r="FI199" i="24"/>
  <c r="FI124" i="24"/>
  <c r="FJ194" i="24"/>
  <c r="FI126" i="24"/>
  <c r="FJ292" i="24"/>
  <c r="FI181" i="24"/>
  <c r="CE108" i="24"/>
  <c r="FI201" i="24"/>
  <c r="FI133" i="24"/>
  <c r="FI145" i="24"/>
  <c r="FI176" i="24"/>
  <c r="FI113" i="24"/>
  <c r="FI172" i="24"/>
  <c r="FJ251" i="24"/>
  <c r="FI159" i="24"/>
  <c r="FI111" i="24"/>
  <c r="FJ273" i="24"/>
  <c r="FI186" i="24"/>
  <c r="FI112" i="24"/>
  <c r="FJ189" i="24"/>
  <c r="FJ289" i="24"/>
  <c r="FI155" i="24"/>
  <c r="FI183" i="24"/>
  <c r="FJ147" i="24"/>
  <c r="FJ254" i="24"/>
  <c r="FJ201" i="24"/>
  <c r="FJ149" i="24"/>
  <c r="FJ314" i="24"/>
  <c r="FI135" i="24"/>
  <c r="FJ197" i="24"/>
  <c r="FI137" i="24"/>
  <c r="FJ129" i="24"/>
  <c r="FI173" i="24"/>
  <c r="FI122" i="24"/>
  <c r="FI153" i="24"/>
  <c r="FJ235" i="24"/>
  <c r="FI196" i="24"/>
  <c r="FJ128" i="24"/>
  <c r="FJ134" i="24"/>
  <c r="FI146" i="24"/>
  <c r="FJ172" i="24"/>
  <c r="FJ110" i="24"/>
  <c r="FJ243" i="24"/>
  <c r="FI198" i="24"/>
  <c r="FI117" i="24"/>
  <c r="FJ236" i="24"/>
  <c r="FI162" i="24"/>
  <c r="FJ259" i="24"/>
  <c r="FI178" i="24"/>
  <c r="FI129" i="24"/>
  <c r="FJ293" i="24"/>
  <c r="FJ264" i="24"/>
  <c r="FI163" i="24"/>
  <c r="FJ140" i="24"/>
  <c r="FI202" i="24"/>
  <c r="FJ310" i="24"/>
  <c r="FI147" i="24"/>
  <c r="FI157" i="24"/>
  <c r="FJ258" i="24"/>
  <c r="FI195" i="24"/>
  <c r="FI120" i="24"/>
  <c r="FI119" i="24"/>
  <c r="FJ143" i="24"/>
  <c r="FI185" i="24"/>
  <c r="FI192" i="24"/>
  <c r="FI128" i="24"/>
  <c r="FJ286" i="24"/>
  <c r="FJ164" i="24"/>
  <c r="FJ233" i="24"/>
  <c r="FI164" i="24"/>
  <c r="FJ111" i="24"/>
  <c r="FJ220" i="24"/>
  <c r="FI154" i="24"/>
  <c r="FJ313" i="24"/>
  <c r="FJ257" i="24"/>
  <c r="FI158" i="24"/>
  <c r="FJ152" i="24"/>
  <c r="FJ248" i="24"/>
  <c r="FJ230" i="24"/>
  <c r="FI134" i="24"/>
  <c r="FJ176" i="24"/>
  <c r="FI127" i="24"/>
  <c r="FJ295" i="24"/>
  <c r="FI205" i="24"/>
  <c r="FI161" i="24"/>
  <c r="FJ312" i="24"/>
  <c r="FI190" i="24"/>
  <c r="FJ218" i="24"/>
  <c r="FJ298" i="24"/>
  <c r="FJ282" i="24"/>
  <c r="FI200" i="24"/>
  <c r="FJ160" i="24"/>
  <c r="FI151" i="24"/>
  <c r="FJ226" i="24"/>
  <c r="FJ275" i="24"/>
  <c r="FJ184" i="24"/>
  <c r="FJ305" i="24"/>
  <c r="FJ127" i="24"/>
  <c r="FJ247" i="24"/>
  <c r="FI148" i="24"/>
  <c r="FJ221" i="24"/>
  <c r="FI136" i="24"/>
  <c r="FI166" i="24"/>
  <c r="FJ267" i="24"/>
  <c r="FJ141" i="24"/>
  <c r="FJ309" i="24"/>
  <c r="FJ252" i="24"/>
  <c r="FI156" i="24"/>
  <c r="FJ124" i="24"/>
  <c r="FJ130" i="24"/>
  <c r="FJ231" i="24"/>
  <c r="FJ303" i="24"/>
  <c r="FI142" i="24"/>
  <c r="FJ223" i="24"/>
  <c r="FJ308" i="24"/>
  <c r="FI131" i="24"/>
  <c r="FJ307" i="24"/>
  <c r="FJ253" i="24"/>
  <c r="FI187" i="24"/>
  <c r="FI118" i="24"/>
  <c r="FI168" i="24"/>
  <c r="FI203" i="24"/>
  <c r="FJ302" i="24"/>
  <c r="FJ316" i="24"/>
  <c r="FJ145" i="24"/>
  <c r="FJ219" i="24"/>
  <c r="FJ158" i="24"/>
  <c r="FJ138" i="24"/>
  <c r="FJ196" i="24"/>
  <c r="FI180" i="24"/>
  <c r="FC62" i="24"/>
  <c r="FE62" i="24" s="1"/>
  <c r="FF62" i="24" s="1"/>
  <c r="FC10" i="24"/>
  <c r="FE10" i="24" s="1"/>
  <c r="FF10" i="24" s="1"/>
  <c r="ER6" i="24"/>
  <c r="FC6" i="24"/>
  <c r="FE6" i="24" s="1"/>
  <c r="FF6" i="24" s="1"/>
  <c r="ER207" i="24"/>
  <c r="FC207" i="24"/>
  <c r="FE207" i="24" s="1"/>
  <c r="FF207" i="24" s="1"/>
  <c r="ER115" i="24"/>
  <c r="FC115" i="24"/>
  <c r="FE115" i="24" s="1"/>
  <c r="FF115" i="24" s="1"/>
  <c r="ER117" i="24"/>
  <c r="FC117" i="24"/>
  <c r="FE117" i="24" s="1"/>
  <c r="FF117" i="24" s="1"/>
  <c r="ER19" i="24"/>
  <c r="FC19" i="24"/>
  <c r="FE19" i="24" s="1"/>
  <c r="FF19" i="24" s="1"/>
  <c r="FC179" i="24"/>
  <c r="FE179" i="24" s="1"/>
  <c r="FF179" i="24" s="1"/>
  <c r="ER179" i="24"/>
  <c r="ER75" i="24"/>
  <c r="FC75" i="24"/>
  <c r="FE75" i="24" s="1"/>
  <c r="FF75" i="24" s="1"/>
  <c r="ER80" i="24"/>
  <c r="FC80" i="24"/>
  <c r="FE80" i="24" s="1"/>
  <c r="FF80" i="24" s="1"/>
  <c r="ER49" i="24"/>
  <c r="FC49" i="24"/>
  <c r="FE49" i="24" s="1"/>
  <c r="FF49" i="24" s="1"/>
  <c r="ER59" i="24"/>
  <c r="FC59" i="24"/>
  <c r="FE59" i="24" s="1"/>
  <c r="FF59" i="24" s="1"/>
  <c r="ER178" i="24"/>
  <c r="FC178" i="24"/>
  <c r="FE178" i="24" s="1"/>
  <c r="FF178" i="24" s="1"/>
  <c r="ER27" i="24"/>
  <c r="FC27" i="24"/>
  <c r="FE27" i="24" s="1"/>
  <c r="FF27" i="24" s="1"/>
  <c r="ER161" i="24"/>
  <c r="FC161" i="24"/>
  <c r="FE161" i="24" s="1"/>
  <c r="FF161" i="24" s="1"/>
  <c r="ER150" i="24"/>
  <c r="FC150" i="24"/>
  <c r="FE150" i="24" s="1"/>
  <c r="FF150" i="24" s="1"/>
  <c r="ER18" i="24"/>
  <c r="FC18" i="24"/>
  <c r="FE18" i="24" s="1"/>
  <c r="FF18" i="24" s="1"/>
  <c r="ER158" i="24"/>
  <c r="FC158" i="24"/>
  <c r="FE158" i="24" s="1"/>
  <c r="FF158" i="24" s="1"/>
  <c r="ER194" i="24"/>
  <c r="FC194" i="24"/>
  <c r="FE194" i="24" s="1"/>
  <c r="FF194" i="24" s="1"/>
  <c r="ER95" i="24"/>
  <c r="FC95" i="24"/>
  <c r="FE95" i="24" s="1"/>
  <c r="FF95" i="24" s="1"/>
  <c r="ER146" i="24"/>
  <c r="FC146" i="24"/>
  <c r="FE146" i="24" s="1"/>
  <c r="FF146" i="24" s="1"/>
  <c r="ER97" i="24"/>
  <c r="FC97" i="24"/>
  <c r="FE97" i="24" s="1"/>
  <c r="FF97" i="24" s="1"/>
  <c r="ER70" i="24"/>
  <c r="FC70" i="24"/>
  <c r="FE70" i="24" s="1"/>
  <c r="FF70" i="24" s="1"/>
  <c r="ER210" i="24"/>
  <c r="FC210" i="24"/>
  <c r="FE210" i="24" s="1"/>
  <c r="FF210" i="24" s="1"/>
  <c r="ER187" i="24"/>
  <c r="FC187" i="24"/>
  <c r="FE187" i="24" s="1"/>
  <c r="FF187" i="24" s="1"/>
  <c r="ER7" i="24"/>
  <c r="FC7" i="24"/>
  <c r="FE7" i="24" s="1"/>
  <c r="FF7" i="24" s="1"/>
  <c r="ER125" i="24"/>
  <c r="FC125" i="24"/>
  <c r="FE125" i="24" s="1"/>
  <c r="FF125" i="24" s="1"/>
  <c r="ER21" i="24"/>
  <c r="FC21" i="24"/>
  <c r="FE21" i="24" s="1"/>
  <c r="FF21" i="24" s="1"/>
  <c r="ER176" i="24"/>
  <c r="FC176" i="24"/>
  <c r="FE176" i="24" s="1"/>
  <c r="FF176" i="24" s="1"/>
  <c r="ER122" i="24"/>
  <c r="FC122" i="24"/>
  <c r="FE122" i="24" s="1"/>
  <c r="FF122" i="24" s="1"/>
  <c r="ER209" i="24"/>
  <c r="FC209" i="24"/>
  <c r="FE209" i="24" s="1"/>
  <c r="FF209" i="24" s="1"/>
  <c r="ER103" i="24"/>
  <c r="FC103" i="24"/>
  <c r="FE103" i="24" s="1"/>
  <c r="FF103" i="24" s="1"/>
  <c r="ER9" i="24"/>
  <c r="FC9" i="24"/>
  <c r="FE9" i="24" s="1"/>
  <c r="FF9" i="24" s="1"/>
  <c r="ER31" i="24"/>
  <c r="FC31" i="24"/>
  <c r="FE31" i="24" s="1"/>
  <c r="FF31" i="24" s="1"/>
  <c r="ER130" i="24"/>
  <c r="FC130" i="24"/>
  <c r="FE130" i="24" s="1"/>
  <c r="FF130" i="24" s="1"/>
  <c r="FC148" i="24"/>
  <c r="FE148" i="24" s="1"/>
  <c r="FF148" i="24" s="1"/>
  <c r="ER148" i="24"/>
  <c r="ER84" i="24"/>
  <c r="FC84" i="24"/>
  <c r="FE84" i="24" s="1"/>
  <c r="FF84" i="24" s="1"/>
  <c r="ER82" i="24"/>
  <c r="FC82" i="24"/>
  <c r="FE82" i="24" s="1"/>
  <c r="FF82" i="24" s="1"/>
  <c r="ER26" i="24"/>
  <c r="FC26" i="24"/>
  <c r="FE26" i="24" s="1"/>
  <c r="FF26" i="24" s="1"/>
  <c r="ER200" i="24"/>
  <c r="FC200" i="24"/>
  <c r="FE200" i="24" s="1"/>
  <c r="FF200" i="24" s="1"/>
  <c r="ER157" i="24"/>
  <c r="FC157" i="24"/>
  <c r="FE157" i="24" s="1"/>
  <c r="FF157" i="24" s="1"/>
  <c r="ER205" i="24"/>
  <c r="FC205" i="24"/>
  <c r="FE205" i="24" s="1"/>
  <c r="FF205" i="24" s="1"/>
  <c r="ER137" i="24"/>
  <c r="FC137" i="24"/>
  <c r="FE137" i="24" s="1"/>
  <c r="FF137" i="24" s="1"/>
  <c r="ER162" i="24"/>
  <c r="FC162" i="24"/>
  <c r="FE162" i="24" s="1"/>
  <c r="FF162" i="24" s="1"/>
  <c r="ER156" i="24"/>
  <c r="FC156" i="24"/>
  <c r="FE156" i="24" s="1"/>
  <c r="FF156" i="24" s="1"/>
  <c r="ER35" i="24"/>
  <c r="FC35" i="24"/>
  <c r="FE35" i="24" s="1"/>
  <c r="FF35" i="24" s="1"/>
  <c r="ER105" i="24"/>
  <c r="FC105" i="24"/>
  <c r="FE105" i="24" s="1"/>
  <c r="FF105" i="24" s="1"/>
  <c r="ER17" i="24"/>
  <c r="FC17" i="24"/>
  <c r="FE17" i="24" s="1"/>
  <c r="FF17" i="24" s="1"/>
  <c r="ER16" i="24"/>
  <c r="FC16" i="24"/>
  <c r="FE16" i="24" s="1"/>
  <c r="FF16" i="24" s="1"/>
  <c r="ER56" i="24"/>
  <c r="FC56" i="24"/>
  <c r="FE56" i="24" s="1"/>
  <c r="FF56" i="24" s="1"/>
  <c r="ER72" i="24"/>
  <c r="FC72" i="24"/>
  <c r="FE72" i="24" s="1"/>
  <c r="FF72" i="24" s="1"/>
  <c r="ER166" i="24"/>
  <c r="FC166" i="24"/>
  <c r="FE166" i="24" s="1"/>
  <c r="FF166" i="24" s="1"/>
  <c r="ER114" i="24"/>
  <c r="FC114" i="24"/>
  <c r="FE114" i="24" s="1"/>
  <c r="FF114" i="24" s="1"/>
  <c r="ER131" i="24"/>
  <c r="FC131" i="24"/>
  <c r="FE131" i="24" s="1"/>
  <c r="FF131" i="24" s="1"/>
  <c r="ER68" i="24"/>
  <c r="FC68" i="24"/>
  <c r="FE68" i="24" s="1"/>
  <c r="FF68" i="24" s="1"/>
  <c r="ER28" i="24"/>
  <c r="FC28" i="24"/>
  <c r="FE28" i="24" s="1"/>
  <c r="FF28" i="24" s="1"/>
  <c r="ER98" i="24"/>
  <c r="FC98" i="24"/>
  <c r="FE98" i="24" s="1"/>
  <c r="FF98" i="24" s="1"/>
  <c r="ER61" i="24"/>
  <c r="FC61" i="24"/>
  <c r="FE61" i="24" s="1"/>
  <c r="FF61" i="24" s="1"/>
  <c r="ER139" i="24"/>
  <c r="FC139" i="24"/>
  <c r="FE139" i="24" s="1"/>
  <c r="FF139" i="24" s="1"/>
  <c r="ER191" i="24"/>
  <c r="FC191" i="24"/>
  <c r="FE191" i="24" s="1"/>
  <c r="FF191" i="24" s="1"/>
  <c r="ER145" i="24"/>
  <c r="FC145" i="24"/>
  <c r="FE145" i="24" s="1"/>
  <c r="FF145" i="24" s="1"/>
  <c r="ER15" i="24"/>
  <c r="FC15" i="24"/>
  <c r="FE15" i="24" s="1"/>
  <c r="FF15" i="24" s="1"/>
  <c r="ER175" i="24"/>
  <c r="FC175" i="24"/>
  <c r="FE175" i="24" s="1"/>
  <c r="FF175" i="24" s="1"/>
  <c r="ER38" i="24"/>
  <c r="FC38" i="24"/>
  <c r="FE38" i="24" s="1"/>
  <c r="FF38" i="24" s="1"/>
  <c r="ER94" i="24"/>
  <c r="FC94" i="24"/>
  <c r="FE94" i="24" s="1"/>
  <c r="FF94" i="24" s="1"/>
  <c r="ER182" i="24"/>
  <c r="FC182" i="24"/>
  <c r="FE182" i="24" s="1"/>
  <c r="FF182" i="24" s="1"/>
  <c r="ER22" i="24"/>
  <c r="FC22" i="24"/>
  <c r="FE22" i="24" s="1"/>
  <c r="FF22" i="24" s="1"/>
  <c r="ER11" i="24"/>
  <c r="FC11" i="24"/>
  <c r="FE11" i="24" s="1"/>
  <c r="FF11" i="24" s="1"/>
  <c r="ER140" i="24"/>
  <c r="FC140" i="24"/>
  <c r="FE140" i="24" s="1"/>
  <c r="FF140" i="24" s="1"/>
  <c r="ER165" i="24"/>
  <c r="FC165" i="24"/>
  <c r="FE165" i="24" s="1"/>
  <c r="FF165" i="24" s="1"/>
  <c r="ER57" i="24"/>
  <c r="FC57" i="24"/>
  <c r="FE57" i="24" s="1"/>
  <c r="FF57" i="24" s="1"/>
  <c r="ER89" i="24"/>
  <c r="FC89" i="24"/>
  <c r="FE89" i="24" s="1"/>
  <c r="FF89" i="24" s="1"/>
  <c r="ER155" i="24"/>
  <c r="FC155" i="24"/>
  <c r="FE155" i="24" s="1"/>
  <c r="FF155" i="24" s="1"/>
  <c r="ER118" i="24"/>
  <c r="FC118" i="24"/>
  <c r="FE118" i="24" s="1"/>
  <c r="FF118" i="24" s="1"/>
  <c r="ER65" i="24"/>
  <c r="FC65" i="24"/>
  <c r="FE65" i="24" s="1"/>
  <c r="FF65" i="24" s="1"/>
  <c r="ER206" i="24"/>
  <c r="FC206" i="24"/>
  <c r="FE206" i="24" s="1"/>
  <c r="FF206" i="24" s="1"/>
  <c r="ER129" i="24"/>
  <c r="FC129" i="24"/>
  <c r="FE129" i="24" s="1"/>
  <c r="FF129" i="24" s="1"/>
  <c r="ER151" i="24"/>
  <c r="FC151" i="24"/>
  <c r="FE151" i="24" s="1"/>
  <c r="FF151" i="24" s="1"/>
  <c r="ER112" i="24"/>
  <c r="FC112" i="24"/>
  <c r="FE112" i="24" s="1"/>
  <c r="FF112" i="24" s="1"/>
  <c r="ER42" i="24"/>
  <c r="FC42" i="24"/>
  <c r="FE42" i="24" s="1"/>
  <c r="FF42" i="24" s="1"/>
  <c r="ER101" i="24"/>
  <c r="FC101" i="24"/>
  <c r="FE101" i="24" s="1"/>
  <c r="FF101" i="24" s="1"/>
  <c r="ER69" i="24"/>
  <c r="FC69" i="24"/>
  <c r="FE69" i="24" s="1"/>
  <c r="FF69" i="24" s="1"/>
  <c r="ER138" i="24"/>
  <c r="FC138" i="24"/>
  <c r="FE138" i="24" s="1"/>
  <c r="FF138" i="24" s="1"/>
  <c r="ER87" i="24"/>
  <c r="FC87" i="24"/>
  <c r="FE87" i="24" s="1"/>
  <c r="FF87" i="24" s="1"/>
  <c r="ER202" i="24"/>
  <c r="FC202" i="24"/>
  <c r="FE202" i="24" s="1"/>
  <c r="FF202" i="24" s="1"/>
  <c r="ER184" i="24"/>
  <c r="FC184" i="24"/>
  <c r="FE184" i="24" s="1"/>
  <c r="FF184" i="24" s="1"/>
  <c r="ER195" i="24"/>
  <c r="FC195" i="24"/>
  <c r="FE195" i="24" s="1"/>
  <c r="FF195" i="24" s="1"/>
  <c r="ER193" i="24"/>
  <c r="FC193" i="24"/>
  <c r="FE193" i="24" s="1"/>
  <c r="FF193" i="24" s="1"/>
  <c r="ER45" i="24"/>
  <c r="FC45" i="24"/>
  <c r="FE45" i="24" s="1"/>
  <c r="FF45" i="24" s="1"/>
  <c r="ER197" i="24"/>
  <c r="FC197" i="24"/>
  <c r="FE197" i="24" s="1"/>
  <c r="FF197" i="24" s="1"/>
  <c r="ER196" i="24"/>
  <c r="FC196" i="24"/>
  <c r="FE196" i="24" s="1"/>
  <c r="FF196" i="24" s="1"/>
  <c r="ER116" i="24"/>
  <c r="FC116" i="24"/>
  <c r="FE116" i="24" s="1"/>
  <c r="FF116" i="24" s="1"/>
  <c r="ER46" i="24"/>
  <c r="FC46" i="24"/>
  <c r="FE46" i="24" s="1"/>
  <c r="FF46" i="24" s="1"/>
  <c r="ER64" i="24"/>
  <c r="FC64" i="24"/>
  <c r="FE64" i="24" s="1"/>
  <c r="FF64" i="24" s="1"/>
  <c r="ER180" i="24"/>
  <c r="FC180" i="24"/>
  <c r="FE180" i="24" s="1"/>
  <c r="ER168" i="24"/>
  <c r="FC168" i="24"/>
  <c r="FE168" i="24" s="1"/>
  <c r="FF168" i="24" s="1"/>
  <c r="ER66" i="24"/>
  <c r="FC66" i="24"/>
  <c r="FE66" i="24" s="1"/>
  <c r="FF66" i="24" s="1"/>
  <c r="ER73" i="24"/>
  <c r="FC73" i="24"/>
  <c r="FE73" i="24" s="1"/>
  <c r="FF73" i="24" s="1"/>
  <c r="ER24" i="24"/>
  <c r="FC24" i="24"/>
  <c r="FE24" i="24" s="1"/>
  <c r="FF24" i="24" s="1"/>
  <c r="ER183" i="24"/>
  <c r="FC183" i="24"/>
  <c r="FE183" i="24" s="1"/>
  <c r="FF183" i="24" s="1"/>
  <c r="ER100" i="24"/>
  <c r="FC100" i="24"/>
  <c r="FE100" i="24" s="1"/>
  <c r="FF100" i="24" s="1"/>
  <c r="ER198" i="24"/>
  <c r="FC198" i="24"/>
  <c r="FE198" i="24" s="1"/>
  <c r="FF198" i="24" s="1"/>
  <c r="ER91" i="24"/>
  <c r="FC91" i="24"/>
  <c r="FE91" i="24" s="1"/>
  <c r="FF91" i="24" s="1"/>
  <c r="ER58" i="24"/>
  <c r="FC58" i="24"/>
  <c r="FE58" i="24" s="1"/>
  <c r="FF58" i="24" s="1"/>
  <c r="ER164" i="24"/>
  <c r="FC164" i="24"/>
  <c r="FE164" i="24" s="1"/>
  <c r="FF164" i="24" s="1"/>
  <c r="ER25" i="24"/>
  <c r="FC25" i="24"/>
  <c r="FE25" i="24" s="1"/>
  <c r="FF25" i="24" s="1"/>
  <c r="ER113" i="24"/>
  <c r="FC113" i="24"/>
  <c r="FE113" i="24" s="1"/>
  <c r="FF113" i="24" s="1"/>
  <c r="FC120" i="24"/>
  <c r="FE120" i="24" s="1"/>
  <c r="FF120" i="24" s="1"/>
  <c r="ER120" i="24"/>
  <c r="FC189" i="24"/>
  <c r="FE189" i="24" s="1"/>
  <c r="FF189" i="24" s="1"/>
  <c r="ER189" i="24"/>
  <c r="ER88" i="24"/>
  <c r="FC88" i="24"/>
  <c r="FE88" i="24" s="1"/>
  <c r="FF88" i="24" s="1"/>
  <c r="ER128" i="24"/>
  <c r="FC128" i="24"/>
  <c r="FE128" i="24" s="1"/>
  <c r="FF128" i="24" s="1"/>
  <c r="ER177" i="24"/>
  <c r="FC177" i="24"/>
  <c r="FE177" i="24" s="1"/>
  <c r="FF177" i="24" s="1"/>
  <c r="ER33" i="24"/>
  <c r="FC33" i="24"/>
  <c r="FE33" i="24" s="1"/>
  <c r="FF33" i="24" s="1"/>
  <c r="ER102" i="24"/>
  <c r="FC102" i="24"/>
  <c r="FE102" i="24" s="1"/>
  <c r="FF102" i="24" s="1"/>
  <c r="ER121" i="24"/>
  <c r="FC121" i="24"/>
  <c r="FE121" i="24" s="1"/>
  <c r="FF121" i="24" s="1"/>
  <c r="ER144" i="24"/>
  <c r="FC144" i="24"/>
  <c r="FE144" i="24" s="1"/>
  <c r="FF144" i="24" s="1"/>
  <c r="ER93" i="24"/>
  <c r="FC93" i="24"/>
  <c r="FE93" i="24" s="1"/>
  <c r="FF93" i="24" s="1"/>
  <c r="ER8" i="24"/>
  <c r="FC8" i="24"/>
  <c r="FE8" i="24" s="1"/>
  <c r="FF8" i="24" s="1"/>
  <c r="ER51" i="24"/>
  <c r="FC51" i="24"/>
  <c r="FE51" i="24" s="1"/>
  <c r="FF51" i="24" s="1"/>
  <c r="ER167" i="24"/>
  <c r="FC167" i="24"/>
  <c r="FE167" i="24" s="1"/>
  <c r="FF167" i="24" s="1"/>
  <c r="ER153" i="24"/>
  <c r="FC153" i="24"/>
  <c r="FE153" i="24" s="1"/>
  <c r="FF153" i="24" s="1"/>
  <c r="ER34" i="24"/>
  <c r="FC34" i="24"/>
  <c r="FE34" i="24" s="1"/>
  <c r="FF34" i="24" s="1"/>
  <c r="ER50" i="24"/>
  <c r="FC50" i="24"/>
  <c r="FE50" i="24" s="1"/>
  <c r="FF50" i="24" s="1"/>
  <c r="ER85" i="24"/>
  <c r="FC85" i="24"/>
  <c r="FE85" i="24" s="1"/>
  <c r="FF85" i="24" s="1"/>
  <c r="ER154" i="24"/>
  <c r="FC154" i="24"/>
  <c r="FE154" i="24" s="1"/>
  <c r="FF154" i="24" s="1"/>
  <c r="ER174" i="24"/>
  <c r="FC174" i="24"/>
  <c r="FE174" i="24" s="1"/>
  <c r="FF174" i="24" s="1"/>
  <c r="ER143" i="24"/>
  <c r="FC143" i="24"/>
  <c r="FE143" i="24" s="1"/>
  <c r="FF143" i="24" s="1"/>
  <c r="ER32" i="24"/>
  <c r="FC32" i="24"/>
  <c r="FE32" i="24" s="1"/>
  <c r="FF32" i="24" s="1"/>
  <c r="ER163" i="24"/>
  <c r="FC163" i="24"/>
  <c r="FE163" i="24" s="1"/>
  <c r="FF163" i="24" s="1"/>
  <c r="FC173" i="24"/>
  <c r="FE173" i="24" s="1"/>
  <c r="FF173" i="24" s="1"/>
  <c r="ER173" i="24"/>
  <c r="ER20" i="24"/>
  <c r="FC20" i="24"/>
  <c r="FE20" i="24" s="1"/>
  <c r="FF20" i="24" s="1"/>
  <c r="ER204" i="24"/>
  <c r="FC204" i="24"/>
  <c r="FE204" i="24" s="1"/>
  <c r="FF204" i="24" s="1"/>
  <c r="ER171" i="24"/>
  <c r="FC171" i="24"/>
  <c r="FE171" i="24" s="1"/>
  <c r="FF171" i="24" s="1"/>
  <c r="ER41" i="24"/>
  <c r="FC41" i="24"/>
  <c r="FE41" i="24" s="1"/>
  <c r="FF41" i="24" s="1"/>
  <c r="ER12" i="24"/>
  <c r="FC12" i="24"/>
  <c r="FE12" i="24" s="1"/>
  <c r="FF12" i="24" s="1"/>
  <c r="ER119" i="24"/>
  <c r="FC119" i="24"/>
  <c r="FE119" i="24" s="1"/>
  <c r="FF119" i="24" s="1"/>
  <c r="ER181" i="24"/>
  <c r="FC181" i="24"/>
  <c r="FE181" i="24" s="1"/>
  <c r="FF181" i="24" s="1"/>
  <c r="ER141" i="24"/>
  <c r="FC141" i="24"/>
  <c r="FE141" i="24" s="1"/>
  <c r="FF141" i="24" s="1"/>
  <c r="ER149" i="24"/>
  <c r="FC149" i="24"/>
  <c r="FE149" i="24" s="1"/>
  <c r="FF149" i="24" s="1"/>
  <c r="ER79" i="24"/>
  <c r="FC79" i="24"/>
  <c r="FE79" i="24" s="1"/>
  <c r="FF79" i="24" s="1"/>
  <c r="ER185" i="24"/>
  <c r="FC185" i="24"/>
  <c r="FE185" i="24" s="1"/>
  <c r="FF185" i="24" s="1"/>
  <c r="FC203" i="24"/>
  <c r="FE203" i="24" s="1"/>
  <c r="FF203" i="24" s="1"/>
  <c r="ER203" i="24"/>
  <c r="ER76" i="24"/>
  <c r="FC76" i="24"/>
  <c r="FE76" i="24" s="1"/>
  <c r="FF76" i="24" s="1"/>
  <c r="ER36" i="24"/>
  <c r="FC36" i="24"/>
  <c r="FE36" i="24" s="1"/>
  <c r="FF36" i="24" s="1"/>
  <c r="ER47" i="24"/>
  <c r="FC47" i="24"/>
  <c r="FE47" i="24" s="1"/>
  <c r="FF47" i="24" s="1"/>
  <c r="ER123" i="24"/>
  <c r="FC123" i="24"/>
  <c r="FE123" i="24" s="1"/>
  <c r="FF123" i="24" s="1"/>
  <c r="ER135" i="24"/>
  <c r="FC135" i="24"/>
  <c r="FE135" i="24" s="1"/>
  <c r="FF135" i="24" s="1"/>
  <c r="ER208" i="24"/>
  <c r="FC208" i="24"/>
  <c r="FE208" i="24" s="1"/>
  <c r="FF208" i="24" s="1"/>
  <c r="ER53" i="24"/>
  <c r="FC53" i="24"/>
  <c r="FE53" i="24" s="1"/>
  <c r="FF53" i="24" s="1"/>
  <c r="ER54" i="24"/>
  <c r="FC54" i="24"/>
  <c r="FE54" i="24" s="1"/>
  <c r="FF54" i="24" s="1"/>
  <c r="ER86" i="24"/>
  <c r="FC86" i="24"/>
  <c r="FE86" i="24" s="1"/>
  <c r="FF86" i="24" s="1"/>
  <c r="ER188" i="24"/>
  <c r="FC188" i="24"/>
  <c r="FE188" i="24" s="1"/>
  <c r="FF188" i="24" s="1"/>
  <c r="B199" i="2"/>
  <c r="C50" i="16" s="1"/>
  <c r="FJ229" i="24" l="1"/>
  <c r="FJ123" i="24"/>
  <c r="FJ114" i="24"/>
  <c r="FJ116" i="24"/>
  <c r="FJ146" i="24"/>
  <c r="FJ112" i="24"/>
  <c r="FJ311" i="24"/>
  <c r="FJ174" i="24"/>
  <c r="FJ188" i="24"/>
  <c r="FJ175" i="24"/>
  <c r="FJ281" i="24"/>
  <c r="FJ256" i="24"/>
  <c r="FJ150" i="24"/>
  <c r="FJ118" i="24"/>
  <c r="FJ224" i="24"/>
  <c r="FJ274" i="24"/>
  <c r="FJ137" i="24"/>
  <c r="FJ156" i="24"/>
  <c r="FJ262" i="24"/>
  <c r="FJ269" i="24"/>
  <c r="FJ165" i="24"/>
  <c r="FJ271" i="24"/>
  <c r="FJ161" i="24"/>
  <c r="FJ151" i="24"/>
  <c r="FJ182" i="24"/>
  <c r="FJ288" i="24"/>
  <c r="FJ193" i="24"/>
  <c r="FJ202" i="24"/>
  <c r="FJ191" i="24"/>
  <c r="FJ200" i="24"/>
  <c r="FJ241" i="24"/>
  <c r="FJ139" i="24"/>
  <c r="FJ209" i="24"/>
  <c r="FJ135" i="24"/>
  <c r="FJ284" i="24"/>
  <c r="FJ178" i="24"/>
  <c r="FJ185" i="24"/>
  <c r="FJ268" i="24"/>
  <c r="FJ166" i="24"/>
  <c r="FJ162" i="24"/>
  <c r="FJ157" i="24"/>
  <c r="FJ285" i="24"/>
  <c r="CZ212" i="24"/>
  <c r="CS212" i="24"/>
  <c r="FD212" i="24" s="1"/>
  <c r="CN212" i="24"/>
  <c r="DA212" i="24" s="1"/>
  <c r="DT212" i="24"/>
  <c r="BO212" i="24"/>
  <c r="BR212" i="24" s="1"/>
  <c r="H212" i="24"/>
  <c r="AM212" i="24"/>
  <c r="FJ119" i="24"/>
  <c r="FJ203" i="24"/>
  <c r="FJ279" i="24"/>
  <c r="FJ173" i="24"/>
  <c r="FJ125" i="24"/>
  <c r="AT110" i="24"/>
  <c r="BA110" i="24" s="1"/>
  <c r="FJ179" i="24"/>
  <c r="FJ168" i="24"/>
  <c r="FJ181" i="24"/>
  <c r="FJ177" i="24"/>
  <c r="FJ167" i="24"/>
  <c r="FJ198" i="24"/>
  <c r="FJ210" i="24"/>
  <c r="B114" i="2"/>
  <c r="B118" i="2" s="1"/>
  <c r="E16" i="1" s="1"/>
  <c r="FJ207" i="24"/>
  <c r="FJ183" i="24"/>
  <c r="FJ206" i="24"/>
  <c r="FJ195" i="24"/>
  <c r="FJ208" i="24"/>
  <c r="AE216" i="24"/>
  <c r="AI216" i="24"/>
  <c r="X216" i="24"/>
  <c r="AA216" i="24" s="1"/>
  <c r="AB216" i="24" s="1"/>
  <c r="AC216" i="24" s="1"/>
  <c r="V216" i="24"/>
  <c r="W216" i="24"/>
  <c r="Q216" i="24"/>
  <c r="P216" i="24"/>
  <c r="AP216" i="24"/>
  <c r="FJ205" i="24"/>
  <c r="FJ204" i="24"/>
  <c r="AN110" i="24"/>
  <c r="CE110" i="24" s="1"/>
  <c r="AK110" i="24"/>
  <c r="FF180" i="24"/>
  <c r="FJ180" i="24"/>
  <c r="B265" i="2"/>
  <c r="D50" i="16" s="1"/>
  <c r="E46" i="1"/>
  <c r="A265" i="2"/>
  <c r="BH110" i="24" l="1"/>
  <c r="BI110" i="24"/>
  <c r="BL110" i="24" s="1"/>
  <c r="Y216" i="24"/>
  <c r="DC212" i="24"/>
  <c r="E57" i="1" s="1"/>
  <c r="DI212" i="24"/>
  <c r="DB212" i="24"/>
  <c r="DE212" i="24" s="1"/>
  <c r="DF212" i="24" s="1"/>
  <c r="DG212" i="24" s="1"/>
  <c r="DM212" i="24"/>
  <c r="AJ216" i="24"/>
  <c r="AF216" i="24"/>
  <c r="AG216" i="24"/>
  <c r="FI312" i="24"/>
  <c r="FI302" i="24"/>
  <c r="FI285" i="24"/>
  <c r="FI301" i="24"/>
  <c r="FI234" i="24"/>
  <c r="FI267" i="24"/>
  <c r="FI230" i="24"/>
  <c r="FI293" i="24"/>
  <c r="FI281" i="24"/>
  <c r="FI276" i="24"/>
  <c r="FI294" i="24"/>
  <c r="FI266" i="24"/>
  <c r="FI227" i="24"/>
  <c r="FI287" i="24"/>
  <c r="FI237" i="24"/>
  <c r="FI289" i="24"/>
  <c r="FI246" i="24"/>
  <c r="FI251" i="24"/>
  <c r="FI217" i="24"/>
  <c r="FI243" i="24"/>
  <c r="FI232" i="24"/>
  <c r="FI256" i="24"/>
  <c r="FI316" i="24"/>
  <c r="FI261" i="24"/>
  <c r="FI296" i="24"/>
  <c r="FI240" i="24"/>
  <c r="FI288" i="24"/>
  <c r="FI307" i="24"/>
  <c r="FI314" i="24"/>
  <c r="FI263" i="24"/>
  <c r="FI298" i="24"/>
  <c r="FI218" i="24"/>
  <c r="FI220" i="24"/>
  <c r="FI216" i="24"/>
  <c r="FI221" i="24"/>
  <c r="FI235" i="24"/>
  <c r="FI225" i="24"/>
  <c r="FI297" i="24"/>
  <c r="FI229" i="24"/>
  <c r="FI231" i="24"/>
  <c r="FI249" i="24"/>
  <c r="FI269" i="24"/>
  <c r="FI291" i="24"/>
  <c r="FI248" i="24"/>
  <c r="FI250" i="24"/>
  <c r="FI241" i="24"/>
  <c r="FI223" i="24"/>
  <c r="FI260" i="24"/>
  <c r="FI268" i="24"/>
  <c r="FI278" i="24"/>
  <c r="FI265" i="24"/>
  <c r="FI228" i="24"/>
  <c r="FI279" i="24"/>
  <c r="FI247" i="24"/>
  <c r="FI310" i="24"/>
  <c r="FI238" i="24"/>
  <c r="FI264" i="24"/>
  <c r="FI239" i="24"/>
  <c r="FI308" i="24"/>
  <c r="FI299" i="24"/>
  <c r="FI219" i="24"/>
  <c r="FI259" i="24"/>
  <c r="FI286" i="24"/>
  <c r="FI262" i="24"/>
  <c r="FI222" i="24"/>
  <c r="FI304" i="24"/>
  <c r="FI236" i="24"/>
  <c r="FI258" i="24"/>
  <c r="FI252" i="24"/>
  <c r="FI242" i="24"/>
  <c r="FI255" i="24"/>
  <c r="FI309" i="24"/>
  <c r="FI272" i="24"/>
  <c r="FI277" i="24"/>
  <c r="FI282" i="24"/>
  <c r="FI283" i="24"/>
  <c r="FI271" i="24"/>
  <c r="FI226" i="24"/>
  <c r="FI245" i="24"/>
  <c r="FI311" i="24"/>
  <c r="FI224" i="24"/>
  <c r="FI244" i="24"/>
  <c r="FI295" i="24"/>
  <c r="FI292" i="24"/>
  <c r="FI313" i="24"/>
  <c r="FI274" i="24"/>
  <c r="FI233" i="24"/>
  <c r="FI253" i="24"/>
  <c r="FI280" i="24"/>
  <c r="FI303" i="24"/>
  <c r="FI270" i="24"/>
  <c r="FI300" i="24"/>
  <c r="FI284" i="24"/>
  <c r="FI254" i="24"/>
  <c r="FI290" i="24"/>
  <c r="FI315" i="24"/>
  <c r="FI257" i="24"/>
  <c r="FI275" i="24"/>
  <c r="FI306" i="24"/>
  <c r="FI305" i="24"/>
  <c r="FI273" i="24"/>
  <c r="AS110" i="24"/>
  <c r="BJ110" i="24"/>
  <c r="AQ110" i="24"/>
  <c r="BU110" i="24"/>
  <c r="AX110" i="24"/>
  <c r="BW110" i="24"/>
  <c r="DN212" i="24" l="1"/>
  <c r="DX212" i="24" s="1"/>
  <c r="DK212" i="24"/>
  <c r="DJ212" i="24"/>
  <c r="AT216" i="24"/>
  <c r="BA216" i="24" s="1"/>
  <c r="AN216" i="24"/>
  <c r="CE216" i="24" s="1"/>
  <c r="AK216" i="24"/>
  <c r="AU110" i="24"/>
  <c r="BB110" i="24" s="1"/>
  <c r="AW110" i="24"/>
  <c r="BW216" i="24" l="1"/>
  <c r="BI216" i="24"/>
  <c r="BL216" i="24" s="1"/>
  <c r="DO212" i="24"/>
  <c r="DR212" i="24"/>
  <c r="EE212" i="24"/>
  <c r="BH216" i="24"/>
  <c r="BU216" i="24"/>
  <c r="BJ216" i="24"/>
  <c r="AX216" i="24"/>
  <c r="AS216" i="24"/>
  <c r="AQ216" i="24"/>
  <c r="AY110" i="24"/>
  <c r="AZ110" i="24" s="1"/>
  <c r="BD110" i="24"/>
  <c r="BE110" i="24"/>
  <c r="BT110" i="24" s="1"/>
  <c r="DW212" i="24" l="1"/>
  <c r="EM212" i="24"/>
  <c r="EP212" i="24" s="1"/>
  <c r="EN212" i="24"/>
  <c r="FI212" i="24"/>
  <c r="DU212" i="24"/>
  <c r="EB212" i="24"/>
  <c r="EL212" i="24"/>
  <c r="EY212" i="24"/>
  <c r="FA212" i="24"/>
  <c r="AU216" i="24"/>
  <c r="BB216" i="24" s="1"/>
  <c r="AW216" i="24"/>
  <c r="BS110" i="24"/>
  <c r="BX110" i="24" s="1"/>
  <c r="BG110" i="24"/>
  <c r="DY212" i="24" l="1"/>
  <c r="EF212" i="24" s="1"/>
  <c r="EA212" i="24"/>
  <c r="L4" i="29"/>
  <c r="W3" i="29" s="1"/>
  <c r="BM110" i="24"/>
  <c r="BN110" i="24" s="1"/>
  <c r="BE216" i="24"/>
  <c r="BT216" i="24" s="1"/>
  <c r="BD216" i="24"/>
  <c r="AY216" i="24"/>
  <c r="AZ216" i="24" s="1"/>
  <c r="BY110" i="24"/>
  <c r="CA110" i="24" s="1"/>
  <c r="CB110" i="24" l="1"/>
  <c r="CF110" i="24"/>
  <c r="EH212" i="24"/>
  <c r="EC212" i="24"/>
  <c r="ED212" i="24" s="1"/>
  <c r="EI212" i="24"/>
  <c r="EX212" i="24" s="1"/>
  <c r="FL212" i="24"/>
  <c r="CG212" i="24"/>
  <c r="I212" i="24" s="1"/>
  <c r="B41" i="29"/>
  <c r="D41" i="29" s="1"/>
  <c r="BG216" i="24"/>
  <c r="BM216" i="24" s="1"/>
  <c r="BS216" i="24"/>
  <c r="BX216" i="24" s="1"/>
  <c r="I388" i="29"/>
  <c r="J507" i="29"/>
  <c r="I318" i="29"/>
  <c r="J157" i="29"/>
  <c r="J196" i="29"/>
  <c r="I481" i="29"/>
  <c r="I511" i="29"/>
  <c r="I152" i="29"/>
  <c r="I345" i="29"/>
  <c r="I495" i="29"/>
  <c r="I129" i="29"/>
  <c r="I435" i="29"/>
  <c r="I469" i="29"/>
  <c r="I133" i="29"/>
  <c r="J550" i="29"/>
  <c r="I611" i="29"/>
  <c r="J306" i="29"/>
  <c r="J464" i="29"/>
  <c r="J482" i="29"/>
  <c r="I560" i="29"/>
  <c r="J541" i="29"/>
  <c r="I217" i="29"/>
  <c r="J25" i="29"/>
  <c r="J564" i="29"/>
  <c r="J123" i="29"/>
  <c r="I238" i="29"/>
  <c r="I321" i="29"/>
  <c r="I550" i="29"/>
  <c r="I104" i="29"/>
  <c r="J524" i="29"/>
  <c r="I527" i="29"/>
  <c r="I513" i="29"/>
  <c r="I276" i="29"/>
  <c r="J86" i="29"/>
  <c r="I632" i="29"/>
  <c r="J609" i="29"/>
  <c r="I360" i="29"/>
  <c r="I69" i="29"/>
  <c r="J437" i="29"/>
  <c r="I361" i="29"/>
  <c r="I164" i="29"/>
  <c r="J254" i="29"/>
  <c r="I300" i="29"/>
  <c r="I194" i="29"/>
  <c r="I42" i="29"/>
  <c r="J601" i="29"/>
  <c r="I428" i="29"/>
  <c r="J506" i="29"/>
  <c r="J38" i="29"/>
  <c r="J375" i="29"/>
  <c r="J430" i="29"/>
  <c r="I517" i="29"/>
  <c r="J250" i="29"/>
  <c r="I38" i="29"/>
  <c r="J372" i="29"/>
  <c r="J516" i="29"/>
  <c r="J314" i="29"/>
  <c r="I431" i="29"/>
  <c r="J521" i="29"/>
  <c r="I608" i="29"/>
  <c r="I461" i="29"/>
  <c r="I105" i="29"/>
  <c r="I475" i="29"/>
  <c r="J101" i="29"/>
  <c r="J361" i="29"/>
  <c r="J73" i="29"/>
  <c r="I233" i="29"/>
  <c r="I602" i="29"/>
  <c r="I604" i="29"/>
  <c r="J279" i="29"/>
  <c r="I525" i="29"/>
  <c r="I569" i="29"/>
  <c r="I319" i="29"/>
  <c r="I75" i="29"/>
  <c r="J119" i="29"/>
  <c r="J152" i="29"/>
  <c r="J590" i="29"/>
  <c r="I64" i="29"/>
  <c r="J585" i="29"/>
  <c r="J455" i="29"/>
  <c r="I440" i="29"/>
  <c r="J83" i="29"/>
  <c r="I239" i="29"/>
  <c r="J339" i="29"/>
  <c r="J300" i="29"/>
  <c r="I599" i="29"/>
  <c r="I379" i="29"/>
  <c r="I579" i="29"/>
  <c r="I524" i="29"/>
  <c r="I561" i="29"/>
  <c r="I267" i="29"/>
  <c r="I582" i="29"/>
  <c r="I314" i="29"/>
  <c r="J287" i="29"/>
  <c r="J393" i="29"/>
  <c r="J131" i="29"/>
  <c r="I220" i="29"/>
  <c r="I107" i="29"/>
  <c r="I137" i="29"/>
  <c r="J124" i="29"/>
  <c r="J535" i="29"/>
  <c r="I474" i="29"/>
  <c r="J344" i="29"/>
  <c r="I106" i="29"/>
  <c r="I412" i="29"/>
  <c r="J510" i="29"/>
  <c r="J331" i="29"/>
  <c r="J45" i="29"/>
  <c r="I203" i="29"/>
  <c r="J198" i="29"/>
  <c r="J569" i="29"/>
  <c r="I92" i="29"/>
  <c r="J177" i="29"/>
  <c r="J527" i="29"/>
  <c r="I576" i="29"/>
  <c r="J309" i="29"/>
  <c r="I515" i="29"/>
  <c r="I349" i="29"/>
  <c r="J357" i="29"/>
  <c r="J68" i="29"/>
  <c r="J226" i="29"/>
  <c r="I274" i="29"/>
  <c r="I154" i="29"/>
  <c r="J409" i="29"/>
  <c r="I355" i="29"/>
  <c r="J589" i="29"/>
  <c r="I393" i="29"/>
  <c r="J42" i="29"/>
  <c r="J360" i="29"/>
  <c r="I391" i="29"/>
  <c r="J401" i="29"/>
  <c r="I554" i="29"/>
  <c r="I464" i="29"/>
  <c r="J350" i="29"/>
  <c r="J284" i="29"/>
  <c r="I55" i="29"/>
  <c r="J330" i="29"/>
  <c r="I390" i="29"/>
  <c r="J548" i="29"/>
  <c r="I398" i="29"/>
  <c r="I135" i="29"/>
  <c r="J70" i="29"/>
  <c r="I472" i="29"/>
  <c r="I505" i="29"/>
  <c r="J171" i="29"/>
  <c r="J325" i="29"/>
  <c r="I504" i="29"/>
  <c r="I357" i="29"/>
  <c r="I130" i="29"/>
  <c r="I273" i="29"/>
  <c r="J607" i="29"/>
  <c r="I593" i="29"/>
  <c r="I97" i="29"/>
  <c r="J194" i="29"/>
  <c r="J195" i="29"/>
  <c r="J90" i="29"/>
  <c r="I91" i="29"/>
  <c r="I483" i="29"/>
  <c r="J588" i="29"/>
  <c r="J435" i="29"/>
  <c r="J130" i="29"/>
  <c r="I271" i="29"/>
  <c r="J258" i="29"/>
  <c r="I375" i="29"/>
  <c r="I538" i="29"/>
  <c r="I364" i="29"/>
  <c r="J263" i="29"/>
  <c r="I383" i="29"/>
  <c r="I502" i="29"/>
  <c r="J320" i="29"/>
  <c r="J425" i="29"/>
  <c r="I493" i="29"/>
  <c r="I555" i="29"/>
  <c r="I497" i="29"/>
  <c r="J52" i="29"/>
  <c r="J277" i="29"/>
  <c r="J442" i="29"/>
  <c r="J504" i="29"/>
  <c r="I329" i="29"/>
  <c r="I77" i="29"/>
  <c r="J602" i="29"/>
  <c r="I313" i="29"/>
  <c r="I114" i="29"/>
  <c r="I304" i="29"/>
  <c r="J253" i="29"/>
  <c r="J576" i="29"/>
  <c r="J346" i="29"/>
  <c r="J519" i="29"/>
  <c r="J203" i="29"/>
  <c r="I119" i="29"/>
  <c r="J210" i="29"/>
  <c r="I242" i="29"/>
  <c r="I596" i="29"/>
  <c r="J359" i="29"/>
  <c r="I162" i="29"/>
  <c r="I261" i="29"/>
  <c r="I459" i="29"/>
  <c r="I585" i="29"/>
  <c r="I406" i="29"/>
  <c r="J493" i="29"/>
  <c r="I577" i="29"/>
  <c r="J65" i="29"/>
  <c r="J160" i="29"/>
  <c r="J72" i="29"/>
  <c r="I277" i="29"/>
  <c r="J252" i="29"/>
  <c r="I334" i="29"/>
  <c r="I373" i="29"/>
  <c r="I374" i="29"/>
  <c r="I592" i="29"/>
  <c r="J322" i="29"/>
  <c r="J575" i="29"/>
  <c r="J231" i="29"/>
  <c r="J221" i="29"/>
  <c r="I150" i="29"/>
  <c r="I327" i="29"/>
  <c r="I446" i="29"/>
  <c r="J61" i="29"/>
  <c r="I117" i="29"/>
  <c r="J102" i="29"/>
  <c r="I370" i="29"/>
  <c r="I422" i="29"/>
  <c r="I199" i="29"/>
  <c r="I284" i="29"/>
  <c r="J354" i="29"/>
  <c r="I49" i="29"/>
  <c r="I102" i="29"/>
  <c r="J161" i="29"/>
  <c r="J562" i="29"/>
  <c r="J563" i="29"/>
  <c r="J79" i="29"/>
  <c r="J381" i="29"/>
  <c r="J474" i="29"/>
  <c r="I248" i="29"/>
  <c r="I32" i="29"/>
  <c r="J338" i="29"/>
  <c r="J530" i="29"/>
  <c r="I74" i="29"/>
  <c r="J53" i="29"/>
  <c r="I542" i="29"/>
  <c r="J584" i="29"/>
  <c r="I303" i="29"/>
  <c r="I587" i="29"/>
  <c r="J297" i="29"/>
  <c r="I240" i="29"/>
  <c r="J176" i="29"/>
  <c r="J158" i="29"/>
  <c r="J247" i="29"/>
  <c r="J289" i="29"/>
  <c r="I414" i="29"/>
  <c r="J587" i="29"/>
  <c r="J491" i="29"/>
  <c r="J579" i="29"/>
  <c r="I403" i="29"/>
  <c r="J366" i="29"/>
  <c r="J486" i="29"/>
  <c r="I170" i="29"/>
  <c r="I432" i="29"/>
  <c r="I603" i="29"/>
  <c r="I58" i="29"/>
  <c r="J168" i="29"/>
  <c r="I479" i="29"/>
  <c r="I454" i="29"/>
  <c r="I567" i="29"/>
  <c r="J423" i="29"/>
  <c r="I378" i="29"/>
  <c r="J389" i="29"/>
  <c r="I24" i="29"/>
  <c r="J369" i="29"/>
  <c r="I168" i="29"/>
  <c r="I213" i="29"/>
  <c r="I558" i="29"/>
  <c r="I251" i="29"/>
  <c r="J432" i="29"/>
  <c r="J311" i="29"/>
  <c r="I487" i="29"/>
  <c r="I138" i="29"/>
  <c r="J345" i="29"/>
  <c r="J262" i="29"/>
  <c r="J106" i="29"/>
  <c r="I266" i="29"/>
  <c r="I306" i="29"/>
  <c r="I54" i="29"/>
  <c r="E54" i="1"/>
  <c r="I336" i="29"/>
  <c r="I18" i="29"/>
  <c r="I275" i="29"/>
  <c r="J379" i="29"/>
  <c r="J449" i="29"/>
  <c r="J32" i="29"/>
  <c r="J417" i="29"/>
  <c r="I37" i="29"/>
  <c r="I282" i="29"/>
  <c r="J334" i="29"/>
  <c r="J60" i="29"/>
  <c r="J374" i="29"/>
  <c r="J436" i="29"/>
  <c r="I320" i="29"/>
  <c r="I407" i="29"/>
  <c r="J385" i="29"/>
  <c r="I441" i="29"/>
  <c r="I589" i="29"/>
  <c r="I547" i="29"/>
  <c r="I389" i="29"/>
  <c r="I293" i="29"/>
  <c r="I404" i="29"/>
  <c r="I365" i="29"/>
  <c r="J467" i="29"/>
  <c r="I581" i="29"/>
  <c r="I292" i="29"/>
  <c r="J164" i="29"/>
  <c r="I160" i="29"/>
  <c r="I521" i="29"/>
  <c r="I79" i="29"/>
  <c r="I399" i="29"/>
  <c r="J336" i="29"/>
  <c r="I546" i="29"/>
  <c r="J243" i="29"/>
  <c r="I229" i="29"/>
  <c r="I280" i="29"/>
  <c r="J348" i="29"/>
  <c r="J597" i="29"/>
  <c r="J139" i="29"/>
  <c r="J492" i="29"/>
  <c r="I132" i="29"/>
  <c r="I559" i="29"/>
  <c r="I433" i="29"/>
  <c r="J233" i="29"/>
  <c r="J407" i="29"/>
  <c r="J571" i="29"/>
  <c r="J501" i="29"/>
  <c r="J44" i="29"/>
  <c r="I312" i="29"/>
  <c r="J460" i="29"/>
  <c r="I331" i="29"/>
  <c r="J111" i="29"/>
  <c r="J328" i="29"/>
  <c r="J377" i="29"/>
  <c r="J135" i="29"/>
  <c r="I333" i="29"/>
  <c r="I457" i="29"/>
  <c r="I514" i="29"/>
  <c r="I605" i="29"/>
  <c r="J595" i="29"/>
  <c r="J145" i="29"/>
  <c r="J421" i="29"/>
  <c r="J605" i="29"/>
  <c r="J303" i="29"/>
  <c r="I439" i="29"/>
  <c r="I573" i="29"/>
  <c r="I144" i="29"/>
  <c r="I197" i="29"/>
  <c r="I241" i="29"/>
  <c r="I510" i="29"/>
  <c r="J556" i="29"/>
  <c r="I536" i="29"/>
  <c r="I445" i="29"/>
  <c r="I609" i="29"/>
  <c r="I353" i="29"/>
  <c r="I245" i="29"/>
  <c r="I122" i="29"/>
  <c r="I359" i="29"/>
  <c r="I316" i="29"/>
  <c r="I13" i="29"/>
  <c r="J275" i="29"/>
  <c r="I78" i="29"/>
  <c r="I473" i="29"/>
  <c r="I20" i="29"/>
  <c r="J20" i="29"/>
  <c r="I448" i="29"/>
  <c r="J539" i="29"/>
  <c r="I366" i="29"/>
  <c r="J450" i="29"/>
  <c r="I444" i="29"/>
  <c r="I15" i="29"/>
  <c r="J384" i="29"/>
  <c r="I568" i="29"/>
  <c r="J537" i="29"/>
  <c r="I143" i="29"/>
  <c r="I410" i="29"/>
  <c r="I408" i="29"/>
  <c r="J30" i="29"/>
  <c r="J367" i="29"/>
  <c r="J351" i="29"/>
  <c r="J302" i="29"/>
  <c r="J472" i="29"/>
  <c r="I337" i="29"/>
  <c r="J480" i="29"/>
  <c r="I392" i="29"/>
  <c r="J91" i="29"/>
  <c r="J136" i="29"/>
  <c r="J445" i="29"/>
  <c r="J465" i="29"/>
  <c r="J536" i="29"/>
  <c r="I315" i="29"/>
  <c r="I405" i="29"/>
  <c r="I61" i="29"/>
  <c r="J117" i="29"/>
  <c r="I201" i="29"/>
  <c r="I612" i="29"/>
  <c r="G622" i="29"/>
  <c r="J318" i="29"/>
  <c r="I421" i="29"/>
  <c r="I484" i="29"/>
  <c r="J390" i="29"/>
  <c r="J433" i="29"/>
  <c r="I232" i="29"/>
  <c r="J559" i="29"/>
  <c r="I580" i="29"/>
  <c r="I299" i="29"/>
  <c r="J608" i="29"/>
  <c r="I317" i="29"/>
  <c r="J326" i="29"/>
  <c r="I413" i="29"/>
  <c r="I286" i="29"/>
  <c r="I174" i="29"/>
  <c r="J185" i="29"/>
  <c r="I171" i="29"/>
  <c r="J553" i="29"/>
  <c r="J380" i="29"/>
  <c r="J466" i="29"/>
  <c r="I185" i="29"/>
  <c r="I372" i="29"/>
  <c r="J84" i="29"/>
  <c r="I437" i="29"/>
  <c r="J606" i="29"/>
  <c r="I184" i="29"/>
  <c r="I350" i="29"/>
  <c r="J458" i="29"/>
  <c r="J19" i="29"/>
  <c r="J85" i="29"/>
  <c r="J228" i="29"/>
  <c r="J522" i="29"/>
  <c r="J503" i="29"/>
  <c r="J175" i="29"/>
  <c r="I397" i="29"/>
  <c r="J500" i="29"/>
  <c r="J146" i="29"/>
  <c r="J35" i="29"/>
  <c r="I134" i="29"/>
  <c r="I578" i="29"/>
  <c r="I551" i="29"/>
  <c r="I116" i="29"/>
  <c r="J517" i="29"/>
  <c r="J496" i="29"/>
  <c r="I65" i="29"/>
  <c r="I209" i="29"/>
  <c r="I145" i="29"/>
  <c r="J129" i="29"/>
  <c r="J16" i="29"/>
  <c r="I33" i="29"/>
  <c r="J128" i="29"/>
  <c r="J446" i="29"/>
  <c r="I436" i="29"/>
  <c r="J534" i="29"/>
  <c r="I305" i="29"/>
  <c r="I482" i="29"/>
  <c r="I76" i="29"/>
  <c r="J133" i="29"/>
  <c r="J321" i="29"/>
  <c r="I395" i="29"/>
  <c r="I236" i="29"/>
  <c r="J402" i="29"/>
  <c r="J77" i="29"/>
  <c r="J163" i="29"/>
  <c r="J426" i="29"/>
  <c r="I471" i="29"/>
  <c r="I67" i="29"/>
  <c r="I386" i="29"/>
  <c r="I425" i="29"/>
  <c r="I476" i="29"/>
  <c r="I25" i="29"/>
  <c r="J80" i="29"/>
  <c r="I491" i="29"/>
  <c r="J438" i="29"/>
  <c r="I56" i="29"/>
  <c r="J89" i="29"/>
  <c r="I499" i="29"/>
  <c r="I565" i="29"/>
  <c r="I109" i="29"/>
  <c r="I453" i="29"/>
  <c r="J444" i="29"/>
  <c r="I532" i="29"/>
  <c r="J54" i="29"/>
  <c r="J304" i="29"/>
  <c r="J580" i="29"/>
  <c r="I540" i="29"/>
  <c r="I206" i="29"/>
  <c r="J469" i="29"/>
  <c r="I583" i="29"/>
  <c r="J358" i="29"/>
  <c r="I158" i="29"/>
  <c r="J192" i="29"/>
  <c r="I252" i="29"/>
  <c r="I151" i="29"/>
  <c r="I595" i="29"/>
  <c r="I443" i="29"/>
  <c r="I562" i="29"/>
  <c r="J422" i="29"/>
  <c r="J179" i="29"/>
  <c r="J285" i="29"/>
  <c r="I344" i="29"/>
  <c r="I411" i="29"/>
  <c r="J40" i="29"/>
  <c r="I376" i="29"/>
  <c r="I255" i="29"/>
  <c r="J199" i="29"/>
  <c r="I215" i="29"/>
  <c r="I307" i="29"/>
  <c r="J411" i="29"/>
  <c r="I523" i="29"/>
  <c r="I72" i="29"/>
  <c r="I85" i="29"/>
  <c r="I387" i="29"/>
  <c r="J412" i="29"/>
  <c r="J137" i="29"/>
  <c r="J74" i="29"/>
  <c r="I533" i="29"/>
  <c r="J484" i="29"/>
  <c r="J546" i="29"/>
  <c r="J36" i="29"/>
  <c r="I465" i="29"/>
  <c r="J497" i="29"/>
  <c r="J544" i="29"/>
  <c r="J298" i="29"/>
  <c r="I156" i="29"/>
  <c r="I51" i="29"/>
  <c r="I552" i="29"/>
  <c r="J249" i="29"/>
  <c r="I458" i="29"/>
  <c r="I548" i="29"/>
  <c r="J386" i="29"/>
  <c r="I358" i="29"/>
  <c r="J272" i="29"/>
  <c r="I294" i="29"/>
  <c r="J28" i="29"/>
  <c r="I382" i="29"/>
  <c r="J591" i="29"/>
  <c r="I189" i="29"/>
  <c r="I48" i="29"/>
  <c r="J582" i="29"/>
  <c r="I343" i="29"/>
  <c r="J327" i="29"/>
  <c r="I534" i="29"/>
  <c r="J578" i="29"/>
  <c r="J343" i="29"/>
  <c r="J125" i="29"/>
  <c r="I169" i="29"/>
  <c r="J27" i="29"/>
  <c r="I342" i="29"/>
  <c r="I485" i="29"/>
  <c r="J463" i="29"/>
  <c r="J462" i="29"/>
  <c r="I478" i="29"/>
  <c r="I178" i="29"/>
  <c r="I400" i="29"/>
  <c r="J349" i="29"/>
  <c r="I427" i="29"/>
  <c r="J232" i="29"/>
  <c r="J542" i="29"/>
  <c r="J481" i="29"/>
  <c r="J489" i="29"/>
  <c r="I351" i="29"/>
  <c r="J64" i="29"/>
  <c r="J363" i="29"/>
  <c r="I52" i="29"/>
  <c r="I244" i="29"/>
  <c r="I442" i="29"/>
  <c r="J394" i="29"/>
  <c r="I460" i="29"/>
  <c r="J568" i="29"/>
  <c r="I600" i="29"/>
  <c r="J230" i="29"/>
  <c r="J305" i="29"/>
  <c r="J404" i="29"/>
  <c r="I352" i="29"/>
  <c r="J281" i="29"/>
  <c r="I62" i="29"/>
  <c r="J554" i="29"/>
  <c r="I623" i="29"/>
  <c r="J397" i="29"/>
  <c r="J520" i="29"/>
  <c r="J362" i="29"/>
  <c r="I19" i="29"/>
  <c r="J41" i="29"/>
  <c r="I191" i="29"/>
  <c r="I208" i="29"/>
  <c r="I449" i="29"/>
  <c r="I46" i="29"/>
  <c r="I234" i="29"/>
  <c r="I123" i="29"/>
  <c r="J167" i="29"/>
  <c r="J103" i="29"/>
  <c r="J212" i="29"/>
  <c r="I173" i="29"/>
  <c r="J26" i="29"/>
  <c r="J188" i="29"/>
  <c r="I332" i="29"/>
  <c r="J270" i="29"/>
  <c r="I57" i="29"/>
  <c r="J213" i="29"/>
  <c r="I17" i="29"/>
  <c r="J209" i="29"/>
  <c r="I41" i="29"/>
  <c r="J291" i="29"/>
  <c r="I371" i="29"/>
  <c r="I503" i="29"/>
  <c r="I509" i="29"/>
  <c r="J315" i="29"/>
  <c r="I363" i="29"/>
  <c r="J88" i="29"/>
  <c r="J126" i="29"/>
  <c r="I80" i="29"/>
  <c r="I356" i="29"/>
  <c r="J97" i="29"/>
  <c r="J109" i="29"/>
  <c r="I526" i="29"/>
  <c r="I501" i="29"/>
  <c r="J256" i="29"/>
  <c r="I205" i="29"/>
  <c r="I47" i="29"/>
  <c r="J528" i="29"/>
  <c r="J335" i="29"/>
  <c r="J47" i="29"/>
  <c r="J29" i="29"/>
  <c r="J242" i="29"/>
  <c r="I246" i="29"/>
  <c r="J549" i="29"/>
  <c r="I225" i="29"/>
  <c r="J278" i="29"/>
  <c r="I35" i="29"/>
  <c r="J169" i="29"/>
  <c r="J205" i="29"/>
  <c r="J222" i="29"/>
  <c r="I588" i="29"/>
  <c r="J365" i="29"/>
  <c r="J182" i="29"/>
  <c r="I396" i="29"/>
  <c r="J392" i="29"/>
  <c r="I530" i="29"/>
  <c r="I228" i="29"/>
  <c r="J416" i="29"/>
  <c r="J329" i="29"/>
  <c r="J547" i="29"/>
  <c r="I279" i="29"/>
  <c r="J116" i="29"/>
  <c r="I179" i="29"/>
  <c r="J95" i="29"/>
  <c r="J98" i="29"/>
  <c r="J93" i="29"/>
  <c r="I237" i="29"/>
  <c r="J67" i="29"/>
  <c r="J217" i="29"/>
  <c r="J76" i="29"/>
  <c r="I60" i="29"/>
  <c r="I16" i="29"/>
  <c r="J457" i="29"/>
  <c r="J418" i="29"/>
  <c r="I30" i="29"/>
  <c r="I153" i="29"/>
  <c r="I149" i="29"/>
  <c r="I101" i="29"/>
  <c r="I572" i="29"/>
  <c r="I470" i="29"/>
  <c r="I26" i="29"/>
  <c r="J154" i="29"/>
  <c r="J356" i="29"/>
  <c r="J81" i="29"/>
  <c r="I338" i="29"/>
  <c r="I256" i="29"/>
  <c r="J251" i="29"/>
  <c r="J475" i="29"/>
  <c r="I218" i="29"/>
  <c r="J479" i="29"/>
  <c r="J403" i="29"/>
  <c r="I126" i="29"/>
  <c r="J276" i="29"/>
  <c r="J264" i="29"/>
  <c r="I381" i="29"/>
  <c r="I268" i="29"/>
  <c r="I254" i="29"/>
  <c r="I348" i="29"/>
  <c r="I624" i="29"/>
  <c r="I166" i="29"/>
  <c r="J112" i="29"/>
  <c r="J245" i="29"/>
  <c r="J560" i="29"/>
  <c r="J323" i="29"/>
  <c r="I247" i="29"/>
  <c r="I98" i="29"/>
  <c r="I270" i="29"/>
  <c r="J593" i="29"/>
  <c r="I295" i="29"/>
  <c r="J147" i="29"/>
  <c r="I207" i="29"/>
  <c r="J428" i="29"/>
  <c r="J420" i="29"/>
  <c r="I597" i="29"/>
  <c r="I146" i="29"/>
  <c r="I447" i="29"/>
  <c r="I88" i="29"/>
  <c r="J200" i="29"/>
  <c r="J260" i="29"/>
  <c r="I31" i="29"/>
  <c r="J573" i="29"/>
  <c r="J50" i="29"/>
  <c r="J513" i="29"/>
  <c r="I161" i="29"/>
  <c r="J237" i="29"/>
  <c r="J355" i="29"/>
  <c r="J483" i="29"/>
  <c r="J148" i="29"/>
  <c r="I219" i="29"/>
  <c r="I257" i="29"/>
  <c r="J92" i="29"/>
  <c r="I553" i="29"/>
  <c r="J166" i="29"/>
  <c r="I297" i="29"/>
  <c r="I269" i="29"/>
  <c r="J219" i="29"/>
  <c r="I628" i="29"/>
  <c r="I328" i="29"/>
  <c r="I456" i="29"/>
  <c r="J257" i="29"/>
  <c r="J69" i="29"/>
  <c r="I455" i="29"/>
  <c r="I182" i="29"/>
  <c r="I71" i="29"/>
  <c r="J312" i="29"/>
  <c r="I486" i="29"/>
  <c r="I607" i="29"/>
  <c r="I380" i="29"/>
  <c r="J594" i="29"/>
  <c r="I462" i="29"/>
  <c r="J307" i="29"/>
  <c r="J488" i="29"/>
  <c r="J505" i="29"/>
  <c r="I498" i="29"/>
  <c r="I265" i="29"/>
  <c r="J448" i="29"/>
  <c r="J561" i="29"/>
  <c r="J427" i="29"/>
  <c r="I211" i="29"/>
  <c r="J603" i="29"/>
  <c r="I556" i="29"/>
  <c r="J261" i="29"/>
  <c r="I296" i="29"/>
  <c r="J509" i="29"/>
  <c r="J197" i="29"/>
  <c r="J159" i="29"/>
  <c r="J162" i="29"/>
  <c r="J255" i="29"/>
  <c r="I346" i="29"/>
  <c r="J273" i="29"/>
  <c r="I28" i="29"/>
  <c r="I262" i="29"/>
  <c r="J512" i="29"/>
  <c r="I167" i="29"/>
  <c r="I204" i="29"/>
  <c r="J225" i="29"/>
  <c r="I289" i="29"/>
  <c r="I163" i="29"/>
  <c r="J57" i="29"/>
  <c r="I235" i="29"/>
  <c r="J508" i="29"/>
  <c r="J39" i="29"/>
  <c r="J405" i="29"/>
  <c r="I128" i="29"/>
  <c r="J337" i="29"/>
  <c r="J51" i="29"/>
  <c r="J18" i="29"/>
  <c r="J268" i="29"/>
  <c r="I141" i="29"/>
  <c r="I93" i="29"/>
  <c r="J499" i="29"/>
  <c r="J211" i="29"/>
  <c r="J141" i="29"/>
  <c r="J583" i="29"/>
  <c r="J470" i="29"/>
  <c r="J529" i="29"/>
  <c r="J58" i="29"/>
  <c r="I230" i="29"/>
  <c r="J319" i="29"/>
  <c r="J113" i="29"/>
  <c r="I157" i="29"/>
  <c r="J347" i="29"/>
  <c r="I82" i="29"/>
  <c r="I212" i="29"/>
  <c r="I200" i="29"/>
  <c r="I311" i="29"/>
  <c r="J105" i="29"/>
  <c r="I221" i="29"/>
  <c r="J453" i="29"/>
  <c r="J478" i="29"/>
  <c r="J43" i="29"/>
  <c r="J94" i="29"/>
  <c r="J485" i="29"/>
  <c r="J596" i="29"/>
  <c r="J138" i="29"/>
  <c r="I142" i="29"/>
  <c r="I298" i="29"/>
  <c r="I216" i="29"/>
  <c r="J600" i="29"/>
  <c r="J628" i="29"/>
  <c r="J240" i="29"/>
  <c r="J316" i="29"/>
  <c r="J540" i="29"/>
  <c r="I606" i="29"/>
  <c r="J395" i="29"/>
  <c r="J216" i="29"/>
  <c r="J459" i="29"/>
  <c r="J391" i="29"/>
  <c r="I259" i="29"/>
  <c r="J543" i="29"/>
  <c r="I196" i="29"/>
  <c r="I430" i="29"/>
  <c r="J244" i="29"/>
  <c r="I531" i="29"/>
  <c r="J290" i="29"/>
  <c r="I544" i="29"/>
  <c r="J75" i="29"/>
  <c r="J295" i="29"/>
  <c r="J523" i="29"/>
  <c r="I584" i="29"/>
  <c r="J241" i="29"/>
  <c r="I263" i="29"/>
  <c r="I369" i="29"/>
  <c r="I258" i="29"/>
  <c r="J364" i="29"/>
  <c r="J186" i="29"/>
  <c r="J37" i="29"/>
  <c r="J238" i="29"/>
  <c r="J239" i="29"/>
  <c r="I103" i="29"/>
  <c r="I155" i="29"/>
  <c r="I420" i="29"/>
  <c r="I339" i="29"/>
  <c r="I626" i="29"/>
  <c r="J15" i="29"/>
  <c r="J34" i="29"/>
  <c r="I264" i="29"/>
  <c r="I535" i="29"/>
  <c r="I118" i="29"/>
  <c r="J441" i="29"/>
  <c r="I610" i="29"/>
  <c r="I415" i="29"/>
  <c r="J190" i="29"/>
  <c r="J398" i="29"/>
  <c r="J623" i="29"/>
  <c r="J502" i="29"/>
  <c r="I494" i="29"/>
  <c r="I467" i="29"/>
  <c r="I508" i="29"/>
  <c r="I385" i="29"/>
  <c r="J333" i="29"/>
  <c r="J202" i="29"/>
  <c r="J156" i="29"/>
  <c r="I516" i="29"/>
  <c r="I278" i="29"/>
  <c r="I202" i="29"/>
  <c r="J515" i="29"/>
  <c r="J173" i="29"/>
  <c r="I564" i="29"/>
  <c r="J494" i="29"/>
  <c r="J332" i="29"/>
  <c r="I394" i="29"/>
  <c r="J439" i="29"/>
  <c r="I549" i="29"/>
  <c r="J269" i="29"/>
  <c r="I243" i="29"/>
  <c r="I224" i="29"/>
  <c r="J267" i="29"/>
  <c r="I231" i="29"/>
  <c r="I73" i="29"/>
  <c r="J108" i="29"/>
  <c r="I100" i="29"/>
  <c r="I507" i="29"/>
  <c r="I496" i="29"/>
  <c r="J599" i="29"/>
  <c r="J142" i="29"/>
  <c r="J149" i="29"/>
  <c r="J31" i="29"/>
  <c r="J626" i="29"/>
  <c r="I84" i="29"/>
  <c r="J220" i="29"/>
  <c r="I172" i="29"/>
  <c r="J324" i="29"/>
  <c r="I89" i="29"/>
  <c r="I330" i="29"/>
  <c r="J17" i="29"/>
  <c r="J414" i="29"/>
  <c r="J518" i="29"/>
  <c r="I426" i="29"/>
  <c r="J132" i="29"/>
  <c r="I63" i="29"/>
  <c r="J286" i="29"/>
  <c r="J22" i="29"/>
  <c r="I325" i="29"/>
  <c r="J259" i="29"/>
  <c r="I111" i="29"/>
  <c r="J236" i="29"/>
  <c r="I468" i="29"/>
  <c r="J227" i="29"/>
  <c r="J400" i="29"/>
  <c r="I418" i="29"/>
  <c r="I302" i="29"/>
  <c r="J246" i="29"/>
  <c r="J352" i="29"/>
  <c r="I347" i="29"/>
  <c r="J14" i="29"/>
  <c r="I480" i="29"/>
  <c r="I522" i="29"/>
  <c r="I377" i="29"/>
  <c r="J308" i="29"/>
  <c r="I291" i="29"/>
  <c r="I539" i="29"/>
  <c r="J193" i="29"/>
  <c r="I335" i="29"/>
  <c r="I424" i="29"/>
  <c r="I108" i="29"/>
  <c r="J288" i="29"/>
  <c r="I340" i="29"/>
  <c r="I308" i="29"/>
  <c r="J424" i="29"/>
  <c r="J214" i="29"/>
  <c r="J342" i="29"/>
  <c r="J82" i="29"/>
  <c r="J447" i="29"/>
  <c r="I341" i="29"/>
  <c r="J180" i="29"/>
  <c r="J473" i="29"/>
  <c r="J46" i="29"/>
  <c r="I490" i="29"/>
  <c r="I324" i="29"/>
  <c r="J96" i="29"/>
  <c r="J408" i="29"/>
  <c r="J293" i="29"/>
  <c r="I148" i="29"/>
  <c r="J206" i="29"/>
  <c r="J187" i="29"/>
  <c r="I59" i="29"/>
  <c r="J371" i="29"/>
  <c r="I417" i="29"/>
  <c r="I195" i="29"/>
  <c r="I416" i="29"/>
  <c r="I574" i="29"/>
  <c r="J296" i="29"/>
  <c r="J570" i="29"/>
  <c r="I124" i="29"/>
  <c r="I99" i="29"/>
  <c r="J477" i="29"/>
  <c r="J495" i="29"/>
  <c r="J78" i="29"/>
  <c r="I354" i="29"/>
  <c r="J368" i="29"/>
  <c r="J413" i="29"/>
  <c r="J134" i="29"/>
  <c r="I489" i="29"/>
  <c r="I34" i="29"/>
  <c r="J292" i="29"/>
  <c r="I110" i="29"/>
  <c r="I83" i="29"/>
  <c r="J23" i="29"/>
  <c r="I520" i="29"/>
  <c r="J155" i="29"/>
  <c r="J545" i="29"/>
  <c r="J140" i="29"/>
  <c r="J533" i="29"/>
  <c r="J63" i="29"/>
  <c r="J178" i="29"/>
  <c r="I175" i="29"/>
  <c r="I463" i="29"/>
  <c r="I165" i="29"/>
  <c r="J604" i="29"/>
  <c r="I96" i="29"/>
  <c r="J598" i="29"/>
  <c r="I423" i="29"/>
  <c r="J565" i="29"/>
  <c r="I512" i="29"/>
  <c r="I557" i="29"/>
  <c r="I613" i="29"/>
  <c r="I541" i="29"/>
  <c r="I131" i="29"/>
  <c r="J410" i="29"/>
  <c r="J170" i="29"/>
  <c r="J611" i="29"/>
  <c r="I113" i="29"/>
  <c r="J234" i="29"/>
  <c r="I466" i="29"/>
  <c r="I452" i="29"/>
  <c r="J555" i="29"/>
  <c r="J388" i="29"/>
  <c r="I27" i="29"/>
  <c r="J613" i="29"/>
  <c r="I367" i="29"/>
  <c r="I81" i="29"/>
  <c r="I272" i="29"/>
  <c r="J431" i="29"/>
  <c r="I362" i="29"/>
  <c r="I86" i="29"/>
  <c r="I159" i="29"/>
  <c r="I594" i="29"/>
  <c r="I95" i="29"/>
  <c r="J151" i="29"/>
  <c r="I451" i="29"/>
  <c r="J376" i="29"/>
  <c r="I186" i="29"/>
  <c r="J55" i="29"/>
  <c r="J120" i="29"/>
  <c r="I188" i="29"/>
  <c r="J150" i="29"/>
  <c r="I309" i="29"/>
  <c r="I125" i="29"/>
  <c r="J382" i="29"/>
  <c r="I384" i="29"/>
  <c r="J208" i="29"/>
  <c r="I223" i="29"/>
  <c r="I120" i="29"/>
  <c r="I140" i="29"/>
  <c r="I591" i="29"/>
  <c r="J317" i="29"/>
  <c r="I283" i="29"/>
  <c r="J271" i="29"/>
  <c r="J71" i="29"/>
  <c r="J399" i="29"/>
  <c r="J440" i="29"/>
  <c r="J266" i="29"/>
  <c r="J370" i="29"/>
  <c r="I112" i="29"/>
  <c r="J434" i="29"/>
  <c r="J174" i="29"/>
  <c r="J592" i="29"/>
  <c r="J378" i="29"/>
  <c r="J340" i="29"/>
  <c r="J586" i="29"/>
  <c r="I14" i="29"/>
  <c r="J248" i="29"/>
  <c r="J490" i="29"/>
  <c r="I192" i="29"/>
  <c r="I70" i="29"/>
  <c r="I87" i="29"/>
  <c r="J87" i="29"/>
  <c r="J104" i="29"/>
  <c r="I68" i="29"/>
  <c r="J299" i="29"/>
  <c r="I601" i="29"/>
  <c r="J566" i="29"/>
  <c r="I537" i="29"/>
  <c r="I180" i="29"/>
  <c r="J341" i="29"/>
  <c r="I409" i="29"/>
  <c r="J21" i="29"/>
  <c r="I590" i="29"/>
  <c r="I402" i="29"/>
  <c r="J282" i="29"/>
  <c r="J454" i="29"/>
  <c r="I401" i="29"/>
  <c r="J476" i="29"/>
  <c r="I529" i="29"/>
  <c r="I222" i="29"/>
  <c r="I519" i="29"/>
  <c r="I285" i="29"/>
  <c r="I176" i="29"/>
  <c r="J33" i="29"/>
  <c r="I281" i="29"/>
  <c r="I310" i="29"/>
  <c r="J461" i="29"/>
  <c r="J66" i="29"/>
  <c r="J115" i="29"/>
  <c r="J373" i="29"/>
  <c r="I40" i="29"/>
  <c r="J419" i="29"/>
  <c r="J511" i="29"/>
  <c r="J415" i="29"/>
  <c r="I518" i="29"/>
  <c r="I39" i="29"/>
  <c r="J577" i="29"/>
  <c r="I288" i="29"/>
  <c r="I434" i="29"/>
  <c r="J49" i="29"/>
  <c r="I545" i="29"/>
  <c r="I147" i="29"/>
  <c r="I500" i="29"/>
  <c r="J110" i="29"/>
  <c r="I438" i="29"/>
  <c r="J625" i="29"/>
  <c r="I566" i="29"/>
  <c r="I419" i="29"/>
  <c r="J567" i="29"/>
  <c r="I45" i="29"/>
  <c r="I543" i="29"/>
  <c r="J204" i="29"/>
  <c r="I249" i="29"/>
  <c r="J201" i="29"/>
  <c r="I121" i="29"/>
  <c r="I136" i="29"/>
  <c r="J456" i="29"/>
  <c r="J468" i="29"/>
  <c r="I575" i="29"/>
  <c r="I250" i="29"/>
  <c r="I227" i="29"/>
  <c r="I226" i="29"/>
  <c r="J525" i="29"/>
  <c r="J383" i="29"/>
  <c r="J215" i="29"/>
  <c r="I287" i="29"/>
  <c r="I50" i="29"/>
  <c r="I506" i="29"/>
  <c r="I598" i="29"/>
  <c r="J387" i="29"/>
  <c r="J452" i="29"/>
  <c r="I528" i="29"/>
  <c r="J487" i="29"/>
  <c r="I563" i="29"/>
  <c r="J153" i="29"/>
  <c r="J396" i="29"/>
  <c r="J429" i="29"/>
  <c r="J62" i="29"/>
  <c r="J191" i="29"/>
  <c r="J557" i="29"/>
  <c r="I53" i="29"/>
  <c r="I94" i="29"/>
  <c r="J498" i="29"/>
  <c r="J118" i="29"/>
  <c r="I210" i="29"/>
  <c r="J183" i="29"/>
  <c r="J59" i="29"/>
  <c r="J552" i="29"/>
  <c r="J514" i="29"/>
  <c r="J56" i="29"/>
  <c r="J143" i="29"/>
  <c r="I187" i="29"/>
  <c r="I301" i="29"/>
  <c r="J406" i="29"/>
  <c r="J558" i="29"/>
  <c r="J144" i="29"/>
  <c r="J224" i="29"/>
  <c r="I260" i="29"/>
  <c r="J223" i="29"/>
  <c r="I198" i="29"/>
  <c r="I290" i="29"/>
  <c r="I627" i="29"/>
  <c r="I29" i="29"/>
  <c r="J526" i="29"/>
  <c r="I477" i="29"/>
  <c r="I21" i="29"/>
  <c r="I326" i="29"/>
  <c r="J581" i="29"/>
  <c r="I183" i="29"/>
  <c r="J24" i="29"/>
  <c r="I190" i="29"/>
  <c r="J48" i="29"/>
  <c r="J184" i="29"/>
  <c r="I625" i="29"/>
  <c r="I492" i="29"/>
  <c r="I586" i="29"/>
  <c r="J100" i="29"/>
  <c r="J13" i="29"/>
  <c r="J624" i="29"/>
  <c r="I90" i="29"/>
  <c r="J353" i="29"/>
  <c r="I571" i="29"/>
  <c r="J114" i="29"/>
  <c r="J471" i="29"/>
  <c r="J165" i="29"/>
  <c r="J551" i="29"/>
  <c r="J235" i="29"/>
  <c r="I139" i="29"/>
  <c r="I322" i="29"/>
  <c r="I429" i="29"/>
  <c r="J301" i="29"/>
  <c r="J451" i="29"/>
  <c r="J99" i="29"/>
  <c r="I570" i="29"/>
  <c r="J229" i="29"/>
  <c r="I181" i="29"/>
  <c r="I253" i="29"/>
  <c r="J218" i="29"/>
  <c r="I66" i="29"/>
  <c r="I193" i="29"/>
  <c r="J572" i="29"/>
  <c r="J627" i="29"/>
  <c r="J274" i="29"/>
  <c r="J189" i="29"/>
  <c r="J283" i="29"/>
  <c r="J532" i="29"/>
  <c r="J313" i="29"/>
  <c r="I450" i="29"/>
  <c r="J443" i="29"/>
  <c r="I36" i="29"/>
  <c r="J610" i="29"/>
  <c r="J280" i="29"/>
  <c r="J310" i="29"/>
  <c r="J574" i="29"/>
  <c r="I323" i="29"/>
  <c r="J538" i="29"/>
  <c r="J122" i="29"/>
  <c r="J181" i="29"/>
  <c r="J107" i="29"/>
  <c r="I23" i="29"/>
  <c r="J531" i="29"/>
  <c r="J612" i="29"/>
  <c r="J121" i="29"/>
  <c r="I488" i="29"/>
  <c r="I115" i="29"/>
  <c r="J265" i="29"/>
  <c r="I127" i="29"/>
  <c r="J172" i="29"/>
  <c r="I214" i="29"/>
  <c r="I44" i="29"/>
  <c r="I43" i="29"/>
  <c r="I368" i="29"/>
  <c r="J127" i="29"/>
  <c r="J207" i="29"/>
  <c r="J294" i="29"/>
  <c r="I177" i="29"/>
  <c r="I22" i="29"/>
  <c r="K212" i="24" l="1"/>
  <c r="BK212" i="24"/>
  <c r="S212" i="24"/>
  <c r="T212" i="24" s="1"/>
  <c r="M212" i="24"/>
  <c r="EK212" i="24"/>
  <c r="EW212" i="24"/>
  <c r="FB212" i="24" s="1"/>
  <c r="BN216" i="24"/>
  <c r="BY216" i="24"/>
  <c r="CA216" i="24" s="1"/>
  <c r="X623" i="29"/>
  <c r="Y623" i="29" s="1"/>
  <c r="AH623" i="29"/>
  <c r="W628" i="29"/>
  <c r="AG628" i="29"/>
  <c r="V622" i="29"/>
  <c r="K622" i="29"/>
  <c r="P622" i="29"/>
  <c r="R622" i="29"/>
  <c r="U622" i="29"/>
  <c r="T622" i="29"/>
  <c r="Q622" i="29"/>
  <c r="I622" i="29"/>
  <c r="O622" i="29"/>
  <c r="S622" i="29"/>
  <c r="J622" i="29"/>
  <c r="L622" i="29"/>
  <c r="AH625" i="29"/>
  <c r="X625" i="29"/>
  <c r="Y625" i="29" s="1"/>
  <c r="X624" i="29"/>
  <c r="Y624" i="29" s="1"/>
  <c r="AH624" i="29"/>
  <c r="AH627" i="29"/>
  <c r="X627" i="29"/>
  <c r="Y627" i="29" s="1"/>
  <c r="AH628" i="29"/>
  <c r="X628" i="29"/>
  <c r="Y628" i="29" s="1"/>
  <c r="W623" i="29"/>
  <c r="J633" i="29" s="1"/>
  <c r="AG623" i="29"/>
  <c r="K633" i="29" s="1"/>
  <c r="W627" i="29"/>
  <c r="AG627" i="29"/>
  <c r="X626" i="29"/>
  <c r="Y626" i="29" s="1"/>
  <c r="AH626" i="29"/>
  <c r="AG624" i="29"/>
  <c r="K634" i="29" s="1"/>
  <c r="W624" i="29"/>
  <c r="J634" i="29" s="1"/>
  <c r="W626" i="29"/>
  <c r="J636" i="29" s="1"/>
  <c r="AG626" i="29"/>
  <c r="K636" i="29" s="1"/>
  <c r="AG625" i="29"/>
  <c r="K635" i="29" s="1"/>
  <c r="W625" i="29"/>
  <c r="J635" i="29" s="1"/>
  <c r="BK5" i="24"/>
  <c r="S5" i="24"/>
  <c r="T5" i="24" s="1"/>
  <c r="J5" i="24" s="1"/>
  <c r="CB216" i="24" l="1"/>
  <c r="CF216" i="24"/>
  <c r="ER212" i="24"/>
  <c r="FC212" i="24"/>
  <c r="FE212" i="24" s="1"/>
  <c r="U212" i="24"/>
  <c r="N212" i="24"/>
  <c r="J212" i="24"/>
  <c r="O212" i="24"/>
  <c r="BZ212" i="24" s="1"/>
  <c r="AD622" i="29"/>
  <c r="X622" i="29"/>
  <c r="Y622" i="29" s="1"/>
  <c r="AH622" i="29"/>
  <c r="AE622" i="29"/>
  <c r="W622" i="29"/>
  <c r="J632" i="29" s="1"/>
  <c r="AG622" i="29"/>
  <c r="K632" i="29" s="1"/>
  <c r="N5" i="24"/>
  <c r="P5" i="24" s="1"/>
  <c r="FI24" i="24" s="1"/>
  <c r="O5" i="24"/>
  <c r="BZ5" i="24" s="1"/>
  <c r="V5" i="24"/>
  <c r="W5" i="24"/>
  <c r="Y5" i="24" l="1"/>
  <c r="AE212" i="24"/>
  <c r="AI212" i="24"/>
  <c r="X212" i="24"/>
  <c r="AA212" i="24" s="1"/>
  <c r="AB212" i="24" s="1"/>
  <c r="AC212" i="24" s="1"/>
  <c r="Q212" i="24"/>
  <c r="AP212" i="24"/>
  <c r="P212" i="24"/>
  <c r="V212" i="24"/>
  <c r="W212" i="24"/>
  <c r="FF212" i="24"/>
  <c r="FJ212" i="24"/>
  <c r="Q5" i="24"/>
  <c r="R5" i="24" s="1"/>
  <c r="FI58" i="24"/>
  <c r="FJ62" i="24"/>
  <c r="FJ77" i="24"/>
  <c r="FJ35" i="24"/>
  <c r="FI51" i="24"/>
  <c r="FJ69" i="24"/>
  <c r="FJ24" i="24"/>
  <c r="FJ72" i="24"/>
  <c r="FI91" i="24"/>
  <c r="FI54" i="24"/>
  <c r="FI18" i="24"/>
  <c r="FJ27" i="24"/>
  <c r="FJ41" i="24"/>
  <c r="FJ103" i="24"/>
  <c r="FI60" i="24"/>
  <c r="FJ51" i="24"/>
  <c r="FJ5" i="24"/>
  <c r="FI87" i="24"/>
  <c r="FJ21" i="24"/>
  <c r="FI63" i="24"/>
  <c r="FJ29" i="24"/>
  <c r="FJ38" i="24"/>
  <c r="FI85" i="24"/>
  <c r="FJ64" i="24"/>
  <c r="FI36" i="24"/>
  <c r="FJ63" i="24"/>
  <c r="FI15" i="24"/>
  <c r="FJ99" i="24"/>
  <c r="FJ42" i="24"/>
  <c r="FJ19" i="24"/>
  <c r="FI62" i="24"/>
  <c r="FJ48" i="24"/>
  <c r="FI19" i="24"/>
  <c r="FJ88" i="24"/>
  <c r="FI11" i="24"/>
  <c r="FJ57" i="24"/>
  <c r="FI55" i="24"/>
  <c r="FI14" i="24"/>
  <c r="FI61" i="24"/>
  <c r="FJ45" i="24"/>
  <c r="FI69" i="24"/>
  <c r="FI89" i="24"/>
  <c r="FI70" i="24"/>
  <c r="FJ92" i="24"/>
  <c r="FI9" i="24"/>
  <c r="FI50" i="24"/>
  <c r="FJ60" i="24"/>
  <c r="FI47" i="24"/>
  <c r="FJ49" i="24"/>
  <c r="FI72" i="24"/>
  <c r="FJ58" i="24"/>
  <c r="FI90" i="24"/>
  <c r="FJ32" i="24"/>
  <c r="FJ95" i="24"/>
  <c r="FJ23" i="24"/>
  <c r="FI81" i="24"/>
  <c r="FJ16" i="24"/>
  <c r="FJ85" i="24"/>
  <c r="FJ82" i="24"/>
  <c r="FJ61" i="24"/>
  <c r="FJ71" i="24"/>
  <c r="FJ90" i="24"/>
  <c r="FI43" i="24"/>
  <c r="FJ12" i="24"/>
  <c r="FI25" i="24"/>
  <c r="FJ83" i="24"/>
  <c r="FJ40" i="24"/>
  <c r="FI68" i="24"/>
  <c r="FI59" i="24"/>
  <c r="FJ87" i="24"/>
  <c r="FI42" i="24"/>
  <c r="FI57" i="24"/>
  <c r="FI95" i="24"/>
  <c r="FI33" i="24"/>
  <c r="FI77" i="24"/>
  <c r="FJ43" i="24"/>
  <c r="FJ74" i="24"/>
  <c r="FJ6" i="24"/>
  <c r="FI92" i="24"/>
  <c r="FI103" i="24"/>
  <c r="FJ76" i="24"/>
  <c r="FJ56" i="24"/>
  <c r="FJ84" i="24"/>
  <c r="FI49" i="24"/>
  <c r="FJ78" i="24"/>
  <c r="FJ54" i="24"/>
  <c r="FI41" i="24"/>
  <c r="FI40" i="24"/>
  <c r="FJ89" i="24"/>
  <c r="FJ18" i="24"/>
  <c r="FI79" i="24"/>
  <c r="FI26" i="24"/>
  <c r="FI80" i="24"/>
  <c r="FI35" i="24"/>
  <c r="FJ37" i="24"/>
  <c r="FI27" i="24"/>
  <c r="FJ36" i="24"/>
  <c r="FI32" i="24"/>
  <c r="FI39" i="24"/>
  <c r="FJ44" i="24"/>
  <c r="FI30" i="24"/>
  <c r="FI78" i="24"/>
  <c r="FJ101" i="24"/>
  <c r="FJ104" i="24"/>
  <c r="FI13" i="24"/>
  <c r="FI7" i="24"/>
  <c r="FI45" i="24"/>
  <c r="FI48" i="24"/>
  <c r="FJ13" i="24"/>
  <c r="FI34" i="24"/>
  <c r="FJ33" i="24"/>
  <c r="FI8" i="24"/>
  <c r="FJ52" i="24"/>
  <c r="FJ86" i="24"/>
  <c r="FJ73" i="24"/>
  <c r="FJ17" i="24"/>
  <c r="FJ80" i="24"/>
  <c r="FJ20" i="24"/>
  <c r="FJ46" i="24"/>
  <c r="FJ22" i="24"/>
  <c r="FI94" i="24"/>
  <c r="FI97" i="24"/>
  <c r="FI88" i="24"/>
  <c r="FI105" i="24"/>
  <c r="FI22" i="24"/>
  <c r="FI46" i="24"/>
  <c r="FI38" i="24"/>
  <c r="FJ15" i="24"/>
  <c r="FI96" i="24"/>
  <c r="FI5" i="24"/>
  <c r="FI37" i="24"/>
  <c r="FJ81" i="24"/>
  <c r="FJ97" i="24"/>
  <c r="FJ34" i="24"/>
  <c r="FJ100" i="24"/>
  <c r="FI23" i="24"/>
  <c r="FI93" i="24"/>
  <c r="FI53" i="24"/>
  <c r="FI44" i="24"/>
  <c r="FI71" i="24"/>
  <c r="FJ50" i="24"/>
  <c r="FI99" i="24"/>
  <c r="FI104" i="24"/>
  <c r="FJ102" i="24"/>
  <c r="FJ25" i="24"/>
  <c r="FI83" i="24"/>
  <c r="FJ14" i="24"/>
  <c r="FI102" i="24"/>
  <c r="FJ31" i="24"/>
  <c r="FJ96" i="24"/>
  <c r="FJ59" i="24"/>
  <c r="FI100" i="24"/>
  <c r="FJ67" i="24"/>
  <c r="FI16" i="24"/>
  <c r="FJ70" i="24"/>
  <c r="FI31" i="24"/>
  <c r="FJ39" i="24"/>
  <c r="FI73" i="24"/>
  <c r="FJ55" i="24"/>
  <c r="FJ79" i="24"/>
  <c r="FI101" i="24"/>
  <c r="FI98" i="24"/>
  <c r="FJ7" i="24"/>
  <c r="FI29" i="24"/>
  <c r="FI86" i="24"/>
  <c r="FI21" i="24"/>
  <c r="FI66" i="24"/>
  <c r="FI64" i="24"/>
  <c r="FI10" i="24"/>
  <c r="FI12" i="24"/>
  <c r="FJ26" i="24"/>
  <c r="FJ30" i="24"/>
  <c r="FJ94" i="24"/>
  <c r="FJ8" i="24"/>
  <c r="AP5" i="24"/>
  <c r="FJ91" i="24"/>
  <c r="FJ66" i="24"/>
  <c r="FI17" i="24"/>
  <c r="FJ53" i="24"/>
  <c r="FJ98" i="24"/>
  <c r="FJ11" i="24"/>
  <c r="FI74" i="24"/>
  <c r="FI20" i="24"/>
  <c r="FI52" i="24"/>
  <c r="FI67" i="24"/>
  <c r="FI84" i="24"/>
  <c r="FI65" i="24"/>
  <c r="FJ47" i="24"/>
  <c r="FJ9" i="24"/>
  <c r="FI75" i="24"/>
  <c r="FJ75" i="24"/>
  <c r="FJ65" i="24"/>
  <c r="FI28" i="24"/>
  <c r="FI76" i="24"/>
  <c r="FJ93" i="24"/>
  <c r="FI56" i="24"/>
  <c r="FI82" i="24"/>
  <c r="FJ105" i="24"/>
  <c r="FJ28" i="24"/>
  <c r="FJ10" i="24"/>
  <c r="FJ68" i="24"/>
  <c r="FI6" i="24"/>
  <c r="AE5" i="24"/>
  <c r="AI5" i="24"/>
  <c r="X5" i="24"/>
  <c r="AA5" i="24" s="1"/>
  <c r="AB5" i="24" s="1"/>
  <c r="AC5" i="24" s="1"/>
  <c r="Y212" i="24" l="1"/>
  <c r="AA3" i="29" s="1"/>
  <c r="AJ212" i="24"/>
  <c r="AT212" i="24" s="1"/>
  <c r="AG212" i="24"/>
  <c r="AF212" i="24"/>
  <c r="AJ5" i="24"/>
  <c r="AG5" i="24"/>
  <c r="AF5" i="24"/>
  <c r="AK212" i="24" l="1"/>
  <c r="AN212" i="24"/>
  <c r="BI212" i="24" s="1"/>
  <c r="BA212" i="24"/>
  <c r="AT5" i="24"/>
  <c r="BA5" i="24" s="1"/>
  <c r="AV5" i="24"/>
  <c r="AN5" i="24"/>
  <c r="CE5" i="24" s="1"/>
  <c r="AK5" i="24"/>
  <c r="BH5" i="24" l="1"/>
  <c r="BI5" i="24"/>
  <c r="BL5" i="24" s="1"/>
  <c r="BU5" i="24"/>
  <c r="AQ212" i="24"/>
  <c r="CE212" i="24"/>
  <c r="BL212" i="24"/>
  <c r="AS212" i="24"/>
  <c r="BJ212" i="24"/>
  <c r="BW212" i="24"/>
  <c r="BU212" i="24"/>
  <c r="BH212" i="24"/>
  <c r="AX212" i="24"/>
  <c r="AS5" i="24"/>
  <c r="BJ5" i="24"/>
  <c r="AQ5" i="24"/>
  <c r="AX5" i="24"/>
  <c r="BW5" i="24"/>
  <c r="AU212" i="24" l="1"/>
  <c r="BB212" i="24" s="1"/>
  <c r="AW212" i="24"/>
  <c r="AU5" i="24"/>
  <c r="BB5" i="24" s="1"/>
  <c r="AW5" i="24"/>
  <c r="BE212" i="24" l="1"/>
  <c r="BT212" i="24" s="1"/>
  <c r="AY212" i="24"/>
  <c r="AZ212" i="24" s="1"/>
  <c r="BD212" i="24"/>
  <c r="BE5" i="24"/>
  <c r="BT5" i="24" s="1"/>
  <c r="BD5" i="24"/>
  <c r="AY5" i="24"/>
  <c r="AZ5" i="24" s="1"/>
  <c r="BG212" i="24" l="1"/>
  <c r="BS212" i="24"/>
  <c r="BX212" i="24" s="1"/>
  <c r="BS5" i="24"/>
  <c r="BV5" i="24" s="1"/>
  <c r="BX5" i="24" s="1"/>
  <c r="BG5" i="24"/>
  <c r="BM5" i="24" s="1"/>
  <c r="BY212" i="24" l="1"/>
  <c r="CA212" i="24" s="1"/>
  <c r="BM212" i="24"/>
  <c r="BN212" i="24" s="1"/>
  <c r="BY5" i="24"/>
  <c r="CA5" i="24" s="1"/>
  <c r="BN5" i="24"/>
  <c r="CB5" i="24" l="1"/>
  <c r="CF5" i="24"/>
  <c r="CB212" i="24"/>
  <c r="CF212" i="24"/>
  <c r="EM5" i="25" l="1"/>
  <c r="CX5" i="25" l="1"/>
  <c r="CS5" i="25"/>
  <c r="CT5" i="25"/>
  <c r="CU5" i="25" l="1"/>
  <c r="CW5" i="25"/>
  <c r="CV5" i="25"/>
  <c r="DS5" i="25"/>
  <c r="FD5" i="25"/>
  <c r="CY5" i="25"/>
  <c r="CO5" i="25" l="1"/>
  <c r="CZ5" i="25" s="1"/>
  <c r="DB5" i="25" s="1"/>
  <c r="DA5" i="25" l="1"/>
  <c r="DD5" i="25" s="1"/>
  <c r="DE5" i="25" s="1"/>
  <c r="DF5" i="25" s="1"/>
  <c r="DM5" i="25" s="1"/>
  <c r="DW5" i="25" s="1"/>
  <c r="DH5" i="25"/>
  <c r="DJ5" i="25" l="1"/>
  <c r="DI5" i="25"/>
  <c r="EB5" i="25"/>
  <c r="EA5" i="25"/>
  <c r="DQ5" i="25" l="1"/>
  <c r="DV5" i="25" s="1"/>
  <c r="DN5" i="25"/>
  <c r="FA5" i="25" l="1"/>
  <c r="EJ5" i="25"/>
  <c r="EL5" i="25"/>
  <c r="EY5" i="25"/>
  <c r="EK5" i="25"/>
  <c r="EN5" i="25" s="1"/>
  <c r="DT5" i="25"/>
  <c r="DX5" i="25"/>
  <c r="EC5" i="25" s="1"/>
  <c r="DY5" i="25"/>
  <c r="FL5" i="25" s="1"/>
  <c r="CH5" i="25" l="1"/>
  <c r="CG5" i="25"/>
  <c r="EF5" i="25"/>
  <c r="EW5" i="25" s="1"/>
  <c r="EG5" i="25"/>
  <c r="EX5" i="25" s="1"/>
  <c r="EE5" i="25"/>
  <c r="J5" i="25" l="1"/>
  <c r="N5" i="25" s="1"/>
  <c r="EV5" i="25"/>
  <c r="EZ5" i="25" s="1"/>
  <c r="FB5" i="25" s="1"/>
  <c r="EI5" i="25"/>
  <c r="EO5" i="25" s="1"/>
  <c r="L5" i="25" l="1"/>
  <c r="BI5" i="25"/>
  <c r="EP5" i="25"/>
  <c r="FC5" i="25"/>
  <c r="FE5" i="25" s="1"/>
  <c r="FF5" i="25" s="1"/>
  <c r="P5" i="25"/>
  <c r="O5" i="25"/>
  <c r="T5" i="25"/>
  <c r="Q5" i="25" l="1"/>
  <c r="BZ5" i="25"/>
  <c r="R5" i="25"/>
  <c r="AO5" i="25"/>
  <c r="S5" i="25"/>
  <c r="K5" i="25" s="1"/>
  <c r="U5" i="25"/>
  <c r="V5" i="25" l="1"/>
  <c r="X5" i="25" s="1"/>
  <c r="FI63" i="25"/>
  <c r="FJ62" i="25"/>
  <c r="FI39" i="25"/>
  <c r="FI79" i="25"/>
  <c r="FJ71" i="25"/>
  <c r="FI14" i="25"/>
  <c r="FJ57" i="25"/>
  <c r="FI56" i="25"/>
  <c r="FI43" i="25"/>
  <c r="FI60" i="25"/>
  <c r="FI69" i="25"/>
  <c r="FJ33" i="25"/>
  <c r="FJ98" i="25"/>
  <c r="FJ94" i="25"/>
  <c r="FJ89" i="25"/>
  <c r="FI16" i="25"/>
  <c r="FJ40" i="25"/>
  <c r="FI24" i="25"/>
  <c r="FI38" i="25"/>
  <c r="FJ48" i="25"/>
  <c r="FJ42" i="25"/>
  <c r="FJ8" i="25"/>
  <c r="FJ12" i="25"/>
  <c r="FJ83" i="25"/>
  <c r="FJ26" i="25"/>
  <c r="FJ60" i="25"/>
  <c r="FJ101" i="25"/>
  <c r="FJ73" i="25"/>
  <c r="FJ19" i="25"/>
  <c r="FJ69" i="25"/>
  <c r="FJ53" i="25"/>
  <c r="FI94" i="25"/>
  <c r="FI15" i="25"/>
  <c r="FI95" i="25"/>
  <c r="FI17" i="25"/>
  <c r="FI47" i="25"/>
  <c r="FJ27" i="25"/>
  <c r="FI20" i="25"/>
  <c r="FI66" i="25"/>
  <c r="FJ97" i="25"/>
  <c r="FI75" i="25"/>
  <c r="FJ88" i="25"/>
  <c r="FJ15" i="25"/>
  <c r="FJ16" i="25"/>
  <c r="FJ86" i="25"/>
  <c r="FJ52" i="25"/>
  <c r="FI102" i="25"/>
  <c r="FI32" i="25"/>
  <c r="FI104" i="25"/>
  <c r="FJ22" i="25"/>
  <c r="FJ96" i="25"/>
  <c r="FI55" i="25"/>
  <c r="FI54" i="25"/>
  <c r="FI40" i="25"/>
  <c r="FJ63" i="25"/>
  <c r="FJ32" i="25"/>
  <c r="FJ92" i="25"/>
  <c r="FI35" i="25"/>
  <c r="FI71" i="25"/>
  <c r="FJ25" i="25"/>
  <c r="FI96" i="25"/>
  <c r="FI61" i="25"/>
  <c r="FI22" i="25"/>
  <c r="FI19" i="25"/>
  <c r="FJ38" i="25"/>
  <c r="FI82" i="25"/>
  <c r="FJ76" i="25"/>
  <c r="FJ20" i="25"/>
  <c r="FI8" i="25"/>
  <c r="FI84" i="25"/>
  <c r="FI41" i="25"/>
  <c r="FI59" i="25"/>
  <c r="FJ78" i="25"/>
  <c r="FJ11" i="25"/>
  <c r="FJ100" i="25"/>
  <c r="FJ66" i="25"/>
  <c r="FI76" i="25"/>
  <c r="FI45" i="25"/>
  <c r="FI92" i="25"/>
  <c r="FI70" i="25"/>
  <c r="FI74" i="25"/>
  <c r="FI27" i="25"/>
  <c r="FJ43" i="25"/>
  <c r="FJ34" i="25"/>
  <c r="FI7" i="25"/>
  <c r="FI87" i="25"/>
  <c r="FJ75" i="25"/>
  <c r="FJ64" i="25"/>
  <c r="FI52" i="25"/>
  <c r="FI18" i="25"/>
  <c r="FI53" i="25"/>
  <c r="FI28" i="25"/>
  <c r="FJ37" i="25"/>
  <c r="FJ90" i="25"/>
  <c r="FI10" i="25"/>
  <c r="FI97" i="25"/>
  <c r="FJ36" i="25"/>
  <c r="FI49" i="25"/>
  <c r="FI44" i="25"/>
  <c r="FJ24" i="25"/>
  <c r="FJ58" i="25"/>
  <c r="FJ45" i="25"/>
  <c r="FI25" i="25"/>
  <c r="FI67" i="25"/>
  <c r="FJ72" i="25"/>
  <c r="FI85" i="25"/>
  <c r="FJ55" i="25"/>
  <c r="FI103" i="25"/>
  <c r="FI83" i="25"/>
  <c r="FJ91" i="25"/>
  <c r="FI42" i="25"/>
  <c r="FI5" i="25"/>
  <c r="FI23" i="25"/>
  <c r="FJ93" i="25"/>
  <c r="FJ29" i="25"/>
  <c r="FI80" i="25"/>
  <c r="FJ61" i="25"/>
  <c r="FI58" i="25"/>
  <c r="FJ56" i="25"/>
  <c r="FJ28" i="25"/>
  <c r="FI34" i="25"/>
  <c r="FI91" i="25"/>
  <c r="FI62" i="25"/>
  <c r="FI36" i="25"/>
  <c r="FJ7" i="25"/>
  <c r="FJ47" i="25"/>
  <c r="FI46" i="25"/>
  <c r="FI101" i="25"/>
  <c r="FI30" i="25"/>
  <c r="FJ30" i="25"/>
  <c r="FJ14" i="25"/>
  <c r="FI48" i="25"/>
  <c r="FJ74" i="25"/>
  <c r="FI50" i="25"/>
  <c r="FJ84" i="25"/>
  <c r="FI6" i="25"/>
  <c r="FI90" i="25"/>
  <c r="FI21" i="25"/>
  <c r="FJ23" i="25"/>
  <c r="FJ18" i="25"/>
  <c r="FI105" i="25"/>
  <c r="FJ67" i="25"/>
  <c r="FI78" i="25"/>
  <c r="FI81" i="25"/>
  <c r="FJ65" i="25"/>
  <c r="FJ13" i="25"/>
  <c r="FJ31" i="25"/>
  <c r="FI89" i="25"/>
  <c r="FI13" i="25"/>
  <c r="FI29" i="25"/>
  <c r="FI64" i="25"/>
  <c r="FJ87" i="25"/>
  <c r="FI93" i="25"/>
  <c r="FJ105" i="25"/>
  <c r="FJ104" i="25"/>
  <c r="FJ9" i="25"/>
  <c r="FJ85" i="25"/>
  <c r="FJ21" i="25"/>
  <c r="FI72" i="25"/>
  <c r="FJ68" i="25"/>
  <c r="FJ5" i="25"/>
  <c r="FJ95" i="25"/>
  <c r="FJ10" i="25"/>
  <c r="FI11" i="25"/>
  <c r="FJ6" i="25"/>
  <c r="FJ51" i="25"/>
  <c r="FI31" i="25"/>
  <c r="FI37" i="25"/>
  <c r="FJ59" i="25"/>
  <c r="FJ77" i="25"/>
  <c r="FI73" i="25"/>
  <c r="FJ103" i="25"/>
  <c r="FI9" i="25"/>
  <c r="FJ70" i="25"/>
  <c r="FJ49" i="25"/>
  <c r="FJ50" i="25"/>
  <c r="FJ17" i="25"/>
  <c r="FJ35" i="25"/>
  <c r="FJ39" i="25"/>
  <c r="FJ99" i="25"/>
  <c r="FJ81" i="25"/>
  <c r="FI100" i="25"/>
  <c r="FI33" i="25"/>
  <c r="FI86" i="25"/>
  <c r="FI68" i="25"/>
  <c r="FI57" i="25"/>
  <c r="FJ80" i="25"/>
  <c r="FJ41" i="25"/>
  <c r="FI12" i="25"/>
  <c r="FJ54" i="25"/>
  <c r="FJ44" i="25"/>
  <c r="FI99" i="25"/>
  <c r="FJ102" i="25"/>
  <c r="FI26" i="25"/>
  <c r="FI88" i="25"/>
  <c r="FI98" i="25"/>
  <c r="FI77" i="25"/>
  <c r="FJ82" i="25"/>
  <c r="FI51" i="25"/>
  <c r="FJ79" i="25"/>
  <c r="FI65" i="25"/>
  <c r="FJ46" i="25"/>
  <c r="W5" i="25" l="1"/>
  <c r="Z5" i="25" s="1"/>
  <c r="AA5" i="25" s="1"/>
  <c r="AB5" i="25" s="1"/>
  <c r="AI5" i="25" s="1"/>
  <c r="AD5" i="25"/>
  <c r="AE5" i="25" s="1"/>
  <c r="AS5" i="25" l="1"/>
  <c r="AW5" i="25" s="1"/>
  <c r="AF5" i="25"/>
  <c r="AM5" i="25" s="1"/>
  <c r="CE5" i="25" s="1"/>
  <c r="BF5" i="25" l="1"/>
  <c r="BG5" i="25"/>
  <c r="BJ5" i="25" s="1"/>
  <c r="AX5" i="25"/>
  <c r="AJ5" i="25"/>
  <c r="AR5" i="25"/>
  <c r="BH5" i="25"/>
  <c r="AP5" i="25"/>
  <c r="BU5" i="25"/>
  <c r="BW5" i="25"/>
  <c r="AT5" i="25" l="1"/>
  <c r="AY5" i="25" s="1"/>
  <c r="AU5" i="25"/>
  <c r="BC5" i="25" l="1"/>
  <c r="BT5" i="25" s="1"/>
  <c r="BB5" i="25"/>
  <c r="BS5" i="25" s="1"/>
  <c r="BA5" i="25"/>
  <c r="BR5" i="25" l="1"/>
  <c r="BV5" i="25" s="1"/>
  <c r="BX5" i="25" s="1"/>
  <c r="BE5" i="25"/>
  <c r="BK5" i="25" s="1"/>
  <c r="BY5" i="25" l="1"/>
  <c r="CA5" i="25" s="1"/>
  <c r="BL5" i="25"/>
  <c r="G17" i="25"/>
  <c r="F192" i="25"/>
  <c r="G192" i="25"/>
  <c r="G63" i="25"/>
  <c r="F122" i="25"/>
  <c r="G122" i="25"/>
  <c r="F137" i="25"/>
  <c r="G137" i="25"/>
  <c r="G80" i="25"/>
  <c r="F93" i="25"/>
  <c r="BM93" i="25" s="1"/>
  <c r="G93" i="25"/>
  <c r="F138" i="24"/>
  <c r="F272" i="24"/>
  <c r="F157" i="24"/>
  <c r="F111" i="24"/>
  <c r="F145" i="24"/>
  <c r="BO145" i="24" s="1"/>
  <c r="BR145" i="24" s="1"/>
  <c r="F223" i="24"/>
  <c r="F253" i="24"/>
  <c r="F143" i="24"/>
  <c r="F160" i="24"/>
  <c r="BO160" i="24" s="1"/>
  <c r="BR160" i="24" s="1"/>
  <c r="F62" i="24"/>
  <c r="F158" i="24"/>
  <c r="BO158" i="24" s="1"/>
  <c r="BR158" i="24" s="1"/>
  <c r="F292" i="24"/>
  <c r="F67" i="24"/>
  <c r="F224" i="24"/>
  <c r="F104" i="24"/>
  <c r="F22" i="24"/>
  <c r="I22" i="24" s="1"/>
  <c r="F241" i="24"/>
  <c r="F252" i="24"/>
  <c r="F114" i="24"/>
  <c r="F101" i="24"/>
  <c r="I101" i="24" s="1"/>
  <c r="F250" i="24"/>
  <c r="F165" i="24"/>
  <c r="F169" i="24"/>
  <c r="F97" i="24"/>
  <c r="F96" i="24"/>
  <c r="F14" i="24"/>
  <c r="BO14" i="24" s="1"/>
  <c r="BR14" i="24" s="1"/>
  <c r="F233" i="24"/>
  <c r="F298" i="24"/>
  <c r="F263" i="24"/>
  <c r="F237" i="25"/>
  <c r="G237" i="25"/>
  <c r="BN237" i="25" s="1"/>
  <c r="F42" i="25"/>
  <c r="G42" i="25"/>
  <c r="F71" i="25"/>
  <c r="G71" i="25"/>
  <c r="F16" i="25"/>
  <c r="BM16" i="25" s="1"/>
  <c r="G16" i="25"/>
  <c r="G53" i="25"/>
  <c r="BN53" i="25" s="1"/>
  <c r="F94" i="25"/>
  <c r="G94" i="25"/>
  <c r="I94" i="25" s="1"/>
  <c r="F38" i="25"/>
  <c r="BM38" i="25" s="1"/>
  <c r="G38" i="25"/>
  <c r="I38" i="25" s="1"/>
  <c r="F145" i="25"/>
  <c r="G145" i="25"/>
  <c r="F190" i="25"/>
  <c r="G190" i="25"/>
  <c r="I190" i="25" s="1"/>
  <c r="F236" i="25"/>
  <c r="G236" i="25"/>
  <c r="BN236" i="25" s="1"/>
  <c r="F105" i="25"/>
  <c r="G105" i="25"/>
  <c r="G87" i="25"/>
  <c r="BN87" i="25" s="1"/>
  <c r="F83" i="25"/>
  <c r="BM83" i="25" s="1"/>
  <c r="G83" i="25"/>
  <c r="BN83" i="25" s="1"/>
  <c r="G29" i="25"/>
  <c r="BN29" i="25" s="1"/>
  <c r="G82" i="25"/>
  <c r="BN82" i="25" s="1"/>
  <c r="F125" i="25"/>
  <c r="G125" i="25"/>
  <c r="BN125" i="25" s="1"/>
  <c r="F9" i="25"/>
  <c r="G9" i="25"/>
  <c r="F162" i="25"/>
  <c r="G162" i="25"/>
  <c r="G111" i="25"/>
  <c r="F163" i="25"/>
  <c r="G163" i="25"/>
  <c r="I163" i="25" s="1"/>
  <c r="F157" i="25"/>
  <c r="G157" i="25"/>
  <c r="I157" i="25" s="1"/>
  <c r="F245" i="25"/>
  <c r="G245" i="25"/>
  <c r="I245" i="25" s="1"/>
  <c r="F129" i="25"/>
  <c r="G129" i="25"/>
  <c r="F241" i="25"/>
  <c r="G241" i="25"/>
  <c r="BN241" i="25" s="1"/>
  <c r="F58" i="25"/>
  <c r="BM58" i="25" s="1"/>
  <c r="G58" i="25"/>
  <c r="BN58" i="25" s="1"/>
  <c r="G69" i="25"/>
  <c r="BN69" i="25" s="1"/>
  <c r="F8" i="25"/>
  <c r="G8" i="25"/>
  <c r="BN8" i="25" s="1"/>
  <c r="F186" i="25"/>
  <c r="BM186" i="25" s="1"/>
  <c r="G186" i="25"/>
  <c r="I186" i="25" s="1"/>
  <c r="F164" i="25"/>
  <c r="G164" i="25"/>
  <c r="BN164" i="25" s="1"/>
  <c r="F202" i="25"/>
  <c r="BM202" i="25" s="1"/>
  <c r="G202" i="25"/>
  <c r="I202" i="25" s="1"/>
  <c r="F195" i="25"/>
  <c r="G195" i="25"/>
  <c r="G257" i="25"/>
  <c r="BN257" i="25" s="1"/>
  <c r="F279" i="25"/>
  <c r="BM279" i="25" s="1"/>
  <c r="G279" i="25"/>
  <c r="I279" i="25" s="1"/>
  <c r="F11" i="25"/>
  <c r="G11" i="25"/>
  <c r="G30" i="25"/>
  <c r="BN30" i="25" s="1"/>
  <c r="F23" i="25"/>
  <c r="G23" i="25"/>
  <c r="BN23" i="25" s="1"/>
  <c r="F52" i="25"/>
  <c r="G52" i="25"/>
  <c r="I52" i="25" s="1"/>
  <c r="G310" i="25"/>
  <c r="I310" i="25" s="1"/>
  <c r="G34" i="25"/>
  <c r="F270" i="25"/>
  <c r="G270" i="25"/>
  <c r="I270" i="25" s="1"/>
  <c r="F226" i="25"/>
  <c r="G226" i="25"/>
  <c r="F53" i="25"/>
  <c r="BM53" i="25" s="1"/>
  <c r="F257" i="25"/>
  <c r="F188" i="24"/>
  <c r="F29" i="25"/>
  <c r="F277" i="24"/>
  <c r="F41" i="24"/>
  <c r="F74" i="24"/>
  <c r="BO74" i="24" s="1"/>
  <c r="BR74" i="24" s="1"/>
  <c r="F147" i="24"/>
  <c r="BO147" i="24" s="1"/>
  <c r="BR147" i="24" s="1"/>
  <c r="F261" i="24"/>
  <c r="F190" i="24"/>
  <c r="I190" i="24" s="1"/>
  <c r="F159" i="24"/>
  <c r="F286" i="24"/>
  <c r="F259" i="24"/>
  <c r="F77" i="24"/>
  <c r="F21" i="24"/>
  <c r="I21" i="24" s="1"/>
  <c r="F88" i="24"/>
  <c r="F56" i="24"/>
  <c r="F24" i="24"/>
  <c r="BO24" i="24" s="1"/>
  <c r="BR24" i="24" s="1"/>
  <c r="F38" i="24"/>
  <c r="F6" i="24"/>
  <c r="BO6" i="24" s="1"/>
  <c r="BR6" i="24" s="1"/>
  <c r="F134" i="24"/>
  <c r="F225" i="24"/>
  <c r="F268" i="24"/>
  <c r="F274" i="24"/>
  <c r="F130" i="24"/>
  <c r="F132" i="24"/>
  <c r="I132" i="24" s="1"/>
  <c r="F75" i="24"/>
  <c r="BO75" i="24" s="1"/>
  <c r="BR75" i="24" s="1"/>
  <c r="F129" i="24"/>
  <c r="BO129" i="24" s="1"/>
  <c r="BR129" i="24" s="1"/>
  <c r="F162" i="24"/>
  <c r="I162" i="24" s="1"/>
  <c r="F266" i="24"/>
  <c r="F296" i="24"/>
  <c r="F206" i="24"/>
  <c r="BO206" i="24" s="1"/>
  <c r="BR206" i="24" s="1"/>
  <c r="F192" i="24"/>
  <c r="BO192" i="24" s="1"/>
  <c r="BR192" i="24" s="1"/>
  <c r="F251" i="24"/>
  <c r="F71" i="24"/>
  <c r="F39" i="24"/>
  <c r="F7" i="24"/>
  <c r="I7" i="24" s="1"/>
  <c r="F94" i="24"/>
  <c r="BO94" i="24" s="1"/>
  <c r="BR94" i="24" s="1"/>
  <c r="F125" i="24"/>
  <c r="BO125" i="24" s="1"/>
  <c r="BR125" i="24" s="1"/>
  <c r="F281" i="24"/>
  <c r="F254" i="24"/>
  <c r="F228" i="24"/>
  <c r="F194" i="24"/>
  <c r="BO194" i="24" s="1"/>
  <c r="BR194" i="24" s="1"/>
  <c r="F12" i="24"/>
  <c r="F99" i="24"/>
  <c r="F117" i="24"/>
  <c r="F186" i="24"/>
  <c r="F133" i="24"/>
  <c r="F246" i="24"/>
  <c r="F118" i="24"/>
  <c r="F243" i="24"/>
  <c r="F45" i="24"/>
  <c r="I45" i="24" s="1"/>
  <c r="F54" i="24"/>
  <c r="F191" i="24"/>
  <c r="I191" i="24" s="1"/>
  <c r="F314" i="24"/>
  <c r="F177" i="24"/>
  <c r="BO177" i="24" s="1"/>
  <c r="BR177" i="24" s="1"/>
  <c r="F33" i="24"/>
  <c r="F100" i="24"/>
  <c r="BO100" i="24" s="1"/>
  <c r="BR100" i="24" s="1"/>
  <c r="F68" i="24"/>
  <c r="F36" i="24"/>
  <c r="BO36" i="24" s="1"/>
  <c r="BR36" i="24" s="1"/>
  <c r="F50" i="24"/>
  <c r="BO50" i="24" s="1"/>
  <c r="BR50" i="24" s="1"/>
  <c r="F18" i="24"/>
  <c r="F146" i="24"/>
  <c r="F280" i="24"/>
  <c r="F302" i="24"/>
  <c r="F176" i="24"/>
  <c r="F267" i="24"/>
  <c r="F46" i="24"/>
  <c r="F163" i="24"/>
  <c r="BO163" i="24" s="1"/>
  <c r="BR163" i="24" s="1"/>
  <c r="F142" i="24"/>
  <c r="I142" i="24" s="1"/>
  <c r="F198" i="24"/>
  <c r="BO198" i="24" s="1"/>
  <c r="BR198" i="24" s="1"/>
  <c r="F276" i="24"/>
  <c r="F115" i="24"/>
  <c r="F255" i="25"/>
  <c r="G255" i="25"/>
  <c r="I255" i="25" s="1"/>
  <c r="F266" i="25"/>
  <c r="G266" i="25"/>
  <c r="BN266" i="25" s="1"/>
  <c r="F182" i="25"/>
  <c r="G182" i="25"/>
  <c r="F210" i="25"/>
  <c r="G210" i="25"/>
  <c r="F269" i="25"/>
  <c r="G269" i="25"/>
  <c r="BN269" i="25" s="1"/>
  <c r="F152" i="25"/>
  <c r="BM152" i="25" s="1"/>
  <c r="G152" i="25"/>
  <c r="F300" i="25"/>
  <c r="G300" i="25"/>
  <c r="BN300" i="25" s="1"/>
  <c r="F37" i="25"/>
  <c r="G37" i="25"/>
  <c r="F180" i="25"/>
  <c r="BM180" i="25" s="1"/>
  <c r="G180" i="25"/>
  <c r="F165" i="25"/>
  <c r="G165" i="25"/>
  <c r="F189" i="25"/>
  <c r="G189" i="25"/>
  <c r="I189" i="25" s="1"/>
  <c r="G277" i="25"/>
  <c r="BN277" i="25" s="1"/>
  <c r="F70" i="25"/>
  <c r="G70" i="25"/>
  <c r="BN70" i="25" s="1"/>
  <c r="F232" i="25"/>
  <c r="BM232" i="25" s="1"/>
  <c r="G232" i="25"/>
  <c r="F6" i="25"/>
  <c r="BM6" i="25" s="1"/>
  <c r="G6" i="25"/>
  <c r="F265" i="25"/>
  <c r="G265" i="25"/>
  <c r="I265" i="25" s="1"/>
  <c r="F31" i="25"/>
  <c r="G31" i="25"/>
  <c r="I31" i="25" s="1"/>
  <c r="F59" i="25"/>
  <c r="G59" i="25"/>
  <c r="I59" i="25" s="1"/>
  <c r="F188" i="25"/>
  <c r="G188" i="25"/>
  <c r="F167" i="24"/>
  <c r="BO167" i="24" s="1"/>
  <c r="BR167" i="24" s="1"/>
  <c r="F237" i="24"/>
  <c r="F30" i="25"/>
  <c r="BM30" i="25" s="1"/>
  <c r="F230" i="24"/>
  <c r="F307" i="24"/>
  <c r="F83" i="24"/>
  <c r="BO83" i="24" s="1"/>
  <c r="BR83" i="24" s="1"/>
  <c r="F19" i="24"/>
  <c r="F170" i="24"/>
  <c r="F304" i="24"/>
  <c r="F205" i="24"/>
  <c r="F70" i="24"/>
  <c r="BO70" i="24" s="1"/>
  <c r="BR70" i="24" s="1"/>
  <c r="F131" i="24"/>
  <c r="BO131" i="24" s="1"/>
  <c r="BR131" i="24" s="1"/>
  <c r="F123" i="24"/>
  <c r="F201" i="24"/>
  <c r="F255" i="24"/>
  <c r="F52" i="24"/>
  <c r="F37" i="24"/>
  <c r="F285" i="24"/>
  <c r="F232" i="24"/>
  <c r="F103" i="24"/>
  <c r="F202" i="24"/>
  <c r="F137" i="24"/>
  <c r="F122" i="24"/>
  <c r="F44" i="24"/>
  <c r="I44" i="24" s="1"/>
  <c r="F309" i="24"/>
  <c r="F256" i="24"/>
  <c r="F152" i="24"/>
  <c r="BO152" i="24" s="1"/>
  <c r="BR152" i="24" s="1"/>
  <c r="F63" i="24"/>
  <c r="F273" i="24"/>
  <c r="F82" i="24"/>
  <c r="F179" i="24"/>
  <c r="F116" i="24"/>
  <c r="F119" i="24"/>
  <c r="I119" i="24" s="1"/>
  <c r="F55" i="24"/>
  <c r="BO55" i="24" s="1"/>
  <c r="BR55" i="24" s="1"/>
  <c r="F265" i="24"/>
  <c r="F171" i="24"/>
  <c r="F295" i="24"/>
  <c r="F13" i="25"/>
  <c r="G13" i="25"/>
  <c r="I13" i="25" s="1"/>
  <c r="F26" i="25"/>
  <c r="G26" i="25"/>
  <c r="BN26" i="25" s="1"/>
  <c r="F77" i="25"/>
  <c r="G77" i="25"/>
  <c r="I77" i="25" s="1"/>
  <c r="F203" i="25"/>
  <c r="BM203" i="25" s="1"/>
  <c r="G203" i="25"/>
  <c r="BN203" i="25" s="1"/>
  <c r="F206" i="25"/>
  <c r="G206" i="25"/>
  <c r="BN206" i="25" s="1"/>
  <c r="F160" i="25"/>
  <c r="G160" i="25"/>
  <c r="BN160" i="25" s="1"/>
  <c r="F280" i="25"/>
  <c r="G280" i="25"/>
  <c r="BN280" i="25" s="1"/>
  <c r="F174" i="25"/>
  <c r="G174" i="25"/>
  <c r="F208" i="25"/>
  <c r="G208" i="25"/>
  <c r="I208" i="25" s="1"/>
  <c r="F132" i="25"/>
  <c r="G132" i="25"/>
  <c r="I132" i="25" s="1"/>
  <c r="F194" i="25"/>
  <c r="G194" i="25"/>
  <c r="I194" i="25" s="1"/>
  <c r="F120" i="25"/>
  <c r="G120" i="25"/>
  <c r="I120" i="25" s="1"/>
  <c r="G218" i="25"/>
  <c r="BN218" i="25" s="1"/>
  <c r="F315" i="25"/>
  <c r="BM315" i="25" s="1"/>
  <c r="G315" i="25"/>
  <c r="BN315" i="25" s="1"/>
  <c r="F271" i="25"/>
  <c r="G271" i="25"/>
  <c r="I271" i="25" s="1"/>
  <c r="F62" i="25"/>
  <c r="G62" i="25"/>
  <c r="I62" i="25" s="1"/>
  <c r="F204" i="25"/>
  <c r="G204" i="25"/>
  <c r="I204" i="25" s="1"/>
  <c r="F74" i="25"/>
  <c r="G74" i="25"/>
  <c r="F177" i="25"/>
  <c r="G177" i="25"/>
  <c r="I177" i="25" s="1"/>
  <c r="F246" i="25"/>
  <c r="BM246" i="25" s="1"/>
  <c r="G246" i="25"/>
  <c r="F126" i="25"/>
  <c r="G126" i="25"/>
  <c r="G15" i="25"/>
  <c r="I15" i="25" s="1"/>
  <c r="F176" i="25"/>
  <c r="G176" i="25"/>
  <c r="F73" i="25"/>
  <c r="G73" i="25"/>
  <c r="F159" i="25"/>
  <c r="BM159" i="25" s="1"/>
  <c r="G159" i="25"/>
  <c r="BN159" i="25" s="1"/>
  <c r="F185" i="25"/>
  <c r="G185" i="25"/>
  <c r="BN185" i="25" s="1"/>
  <c r="F141" i="25"/>
  <c r="BM141" i="25" s="1"/>
  <c r="G141" i="25"/>
  <c r="BN141" i="25" s="1"/>
  <c r="F151" i="25"/>
  <c r="BM151" i="25" s="1"/>
  <c r="G151" i="25"/>
  <c r="BN151" i="25" s="1"/>
  <c r="F168" i="25"/>
  <c r="BM168" i="25" s="1"/>
  <c r="G168" i="25"/>
  <c r="BN168" i="25" s="1"/>
  <c r="F193" i="25"/>
  <c r="BM193" i="25" s="1"/>
  <c r="G193" i="25"/>
  <c r="BN193" i="25" s="1"/>
  <c r="F143" i="25"/>
  <c r="G143" i="25"/>
  <c r="BN143" i="25" s="1"/>
  <c r="F169" i="25"/>
  <c r="G169" i="25"/>
  <c r="BN169" i="25" s="1"/>
  <c r="F273" i="25"/>
  <c r="G273" i="25"/>
  <c r="BN273" i="25" s="1"/>
  <c r="F239" i="25"/>
  <c r="BM239" i="25" s="1"/>
  <c r="G239" i="25"/>
  <c r="I239" i="25" s="1"/>
  <c r="F44" i="25"/>
  <c r="BM44" i="25" s="1"/>
  <c r="G44" i="25"/>
  <c r="I44" i="25" s="1"/>
  <c r="F81" i="25"/>
  <c r="BM81" i="25" s="1"/>
  <c r="G81" i="25"/>
  <c r="I81" i="25" s="1"/>
  <c r="F219" i="25"/>
  <c r="G219" i="25"/>
  <c r="I219" i="25" s="1"/>
  <c r="F230" i="25"/>
  <c r="G230" i="25"/>
  <c r="BN230" i="25" s="1"/>
  <c r="F104" i="25"/>
  <c r="G104" i="25"/>
  <c r="I104" i="25" s="1"/>
  <c r="F21" i="25"/>
  <c r="G21" i="25"/>
  <c r="BN21" i="25" s="1"/>
  <c r="F179" i="25"/>
  <c r="G179" i="25"/>
  <c r="BN179" i="25" s="1"/>
  <c r="F198" i="25"/>
  <c r="G198" i="25"/>
  <c r="I198" i="25" s="1"/>
  <c r="F96" i="25"/>
  <c r="G96" i="25"/>
  <c r="F197" i="25"/>
  <c r="G197" i="25"/>
  <c r="BN197" i="25" s="1"/>
  <c r="F118" i="25"/>
  <c r="G118" i="25"/>
  <c r="BN118" i="25" s="1"/>
  <c r="F115" i="25"/>
  <c r="G115" i="25"/>
  <c r="BN115" i="25" s="1"/>
  <c r="F205" i="25"/>
  <c r="G205" i="25"/>
  <c r="BN205" i="25" s="1"/>
  <c r="F183" i="25"/>
  <c r="G183" i="25"/>
  <c r="BN183" i="25" s="1"/>
  <c r="F200" i="25"/>
  <c r="G200" i="25"/>
  <c r="BN200" i="25" s="1"/>
  <c r="F114" i="25"/>
  <c r="G114" i="25"/>
  <c r="BN114" i="25" s="1"/>
  <c r="F207" i="25"/>
  <c r="G207" i="25"/>
  <c r="BN207" i="25" s="1"/>
  <c r="F130" i="25"/>
  <c r="G130" i="25"/>
  <c r="BN130" i="25" s="1"/>
  <c r="F116" i="25"/>
  <c r="G116" i="25"/>
  <c r="BN116" i="25" s="1"/>
  <c r="F218" i="25"/>
  <c r="BM218" i="25" s="1"/>
  <c r="F168" i="24"/>
  <c r="BO168" i="24" s="1"/>
  <c r="BR168" i="24" s="1"/>
  <c r="F43" i="24"/>
  <c r="F86" i="24"/>
  <c r="BO86" i="24" s="1"/>
  <c r="BR86" i="24" s="1"/>
  <c r="F239" i="24"/>
  <c r="F73" i="24"/>
  <c r="F51" i="24"/>
  <c r="F195" i="24"/>
  <c r="BO195" i="24" s="1"/>
  <c r="BR195" i="24" s="1"/>
  <c r="F290" i="24"/>
  <c r="F291" i="24"/>
  <c r="F102" i="24"/>
  <c r="F257" i="24"/>
  <c r="F151" i="24"/>
  <c r="F164" i="24"/>
  <c r="BO164" i="24" s="1"/>
  <c r="BR164" i="24" s="1"/>
  <c r="F84" i="24"/>
  <c r="F20" i="24"/>
  <c r="F120" i="24"/>
  <c r="F141" i="24"/>
  <c r="F126" i="24"/>
  <c r="BO126" i="24" s="1"/>
  <c r="BR126" i="24" s="1"/>
  <c r="F283" i="24"/>
  <c r="F16" i="24"/>
  <c r="F187" i="24"/>
  <c r="F258" i="24"/>
  <c r="F247" i="24"/>
  <c r="F76" i="24"/>
  <c r="F58" i="24"/>
  <c r="F282" i="24"/>
  <c r="F185" i="24"/>
  <c r="BO185" i="24" s="1"/>
  <c r="BR185" i="24" s="1"/>
  <c r="F181" i="24"/>
  <c r="BO181" i="24" s="1"/>
  <c r="BR181" i="24" s="1"/>
  <c r="F95" i="24"/>
  <c r="F31" i="24"/>
  <c r="F182" i="24"/>
  <c r="F271" i="24"/>
  <c r="F69" i="24"/>
  <c r="F269" i="24"/>
  <c r="F175" i="24"/>
  <c r="BO175" i="24" s="1"/>
  <c r="BR175" i="24" s="1"/>
  <c r="F299" i="24"/>
  <c r="F87" i="24"/>
  <c r="F23" i="24"/>
  <c r="F174" i="24"/>
  <c r="F308" i="24"/>
  <c r="F204" i="24"/>
  <c r="F290" i="25"/>
  <c r="G290" i="25"/>
  <c r="BN290" i="25" s="1"/>
  <c r="F117" i="25"/>
  <c r="G117" i="25"/>
  <c r="I117" i="25" s="1"/>
  <c r="F297" i="25"/>
  <c r="G297" i="25"/>
  <c r="I297" i="25" s="1"/>
  <c r="F312" i="25"/>
  <c r="G312" i="25"/>
  <c r="BN312" i="25" s="1"/>
  <c r="F221" i="25"/>
  <c r="G221" i="25"/>
  <c r="I221" i="25" s="1"/>
  <c r="F49" i="25"/>
  <c r="G49" i="25"/>
  <c r="F35" i="25"/>
  <c r="G35" i="25"/>
  <c r="BN35" i="25" s="1"/>
  <c r="F48" i="25"/>
  <c r="BM48" i="25" s="1"/>
  <c r="G48" i="25"/>
  <c r="BN48" i="25" s="1"/>
  <c r="F85" i="25"/>
  <c r="G85" i="25"/>
  <c r="BN85" i="25" s="1"/>
  <c r="F91" i="25"/>
  <c r="G91" i="25"/>
  <c r="BN91" i="25" s="1"/>
  <c r="F20" i="25"/>
  <c r="G20" i="25"/>
  <c r="BN20" i="25" s="1"/>
  <c r="F57" i="25"/>
  <c r="G57" i="25"/>
  <c r="BN57" i="25" s="1"/>
  <c r="F98" i="25"/>
  <c r="G98" i="25"/>
  <c r="BN98" i="25" s="1"/>
  <c r="F24" i="25"/>
  <c r="G24" i="25"/>
  <c r="BN24" i="25" s="1"/>
  <c r="F22" i="25"/>
  <c r="G22" i="25"/>
  <c r="BN22" i="25" s="1"/>
  <c r="F123" i="25"/>
  <c r="G123" i="25"/>
  <c r="BN123" i="25" s="1"/>
  <c r="F140" i="25"/>
  <c r="G140" i="25"/>
  <c r="BN140" i="25" s="1"/>
  <c r="F149" i="25"/>
  <c r="G149" i="25"/>
  <c r="BN149" i="25" s="1"/>
  <c r="F127" i="25"/>
  <c r="G127" i="25"/>
  <c r="BN127" i="25" s="1"/>
  <c r="F153" i="25"/>
  <c r="G153" i="25"/>
  <c r="BN153" i="25" s="1"/>
  <c r="F196" i="25"/>
  <c r="G196" i="25"/>
  <c r="BN196" i="25" s="1"/>
  <c r="F135" i="25"/>
  <c r="G135" i="25"/>
  <c r="BN135" i="25" s="1"/>
  <c r="F307" i="25"/>
  <c r="G307" i="25"/>
  <c r="I307" i="25" s="1"/>
  <c r="F99" i="25"/>
  <c r="G99" i="25"/>
  <c r="F43" i="25"/>
  <c r="G43" i="25"/>
  <c r="BN43" i="25" s="1"/>
  <c r="F40" i="25"/>
  <c r="G40" i="25"/>
  <c r="BN40" i="25" s="1"/>
  <c r="F54" i="25"/>
  <c r="G54" i="25"/>
  <c r="BN54" i="25" s="1"/>
  <c r="F139" i="25"/>
  <c r="G139" i="25"/>
  <c r="BN139" i="25" s="1"/>
  <c r="F156" i="25"/>
  <c r="G156" i="25"/>
  <c r="I156" i="25" s="1"/>
  <c r="F278" i="25"/>
  <c r="G278" i="25"/>
  <c r="I278" i="25" s="1"/>
  <c r="F32" i="25"/>
  <c r="G32" i="25"/>
  <c r="F311" i="25"/>
  <c r="G311" i="25"/>
  <c r="I311" i="25" s="1"/>
  <c r="F150" i="25"/>
  <c r="G150" i="25"/>
  <c r="F260" i="25"/>
  <c r="G260" i="25"/>
  <c r="I260" i="25" s="1"/>
  <c r="F227" i="25"/>
  <c r="G227" i="25"/>
  <c r="I227" i="25" s="1"/>
  <c r="G97" i="25"/>
  <c r="F46" i="25"/>
  <c r="G46" i="25"/>
  <c r="BN46" i="25" s="1"/>
  <c r="F79" i="25"/>
  <c r="G79" i="25"/>
  <c r="BN79" i="25" s="1"/>
  <c r="F68" i="25"/>
  <c r="G68" i="25"/>
  <c r="BN68" i="25" s="1"/>
  <c r="F18" i="25"/>
  <c r="G18" i="25"/>
  <c r="BN18" i="25" s="1"/>
  <c r="F51" i="25"/>
  <c r="G51" i="25"/>
  <c r="BN51" i="25" s="1"/>
  <c r="F72" i="25"/>
  <c r="G72" i="25"/>
  <c r="BN72" i="25" s="1"/>
  <c r="F67" i="25"/>
  <c r="G67" i="25"/>
  <c r="BN67" i="25" s="1"/>
  <c r="F171" i="25"/>
  <c r="G171" i="25"/>
  <c r="BN171" i="25" s="1"/>
  <c r="F295" i="25"/>
  <c r="G295" i="25"/>
  <c r="BN295" i="25" s="1"/>
  <c r="F82" i="25"/>
  <c r="BM82" i="25" s="1"/>
  <c r="F34" i="25"/>
  <c r="BM34" i="25" s="1"/>
  <c r="F80" i="25"/>
  <c r="BM80" i="25" s="1"/>
  <c r="F284" i="24"/>
  <c r="F311" i="24"/>
  <c r="F148" i="24"/>
  <c r="BO148" i="24" s="1"/>
  <c r="BR148" i="24" s="1"/>
  <c r="F127" i="24"/>
  <c r="BO127" i="24" s="1"/>
  <c r="BR127" i="24" s="1"/>
  <c r="F150" i="24"/>
  <c r="BO150" i="24" s="1"/>
  <c r="BR150" i="24" s="1"/>
  <c r="F87" i="25"/>
  <c r="BM87" i="25" s="1"/>
  <c r="F61" i="24"/>
  <c r="BO61" i="24" s="1"/>
  <c r="BR61" i="24" s="1"/>
  <c r="F42" i="24"/>
  <c r="BO42" i="24" s="1"/>
  <c r="BR42" i="24" s="1"/>
  <c r="F60" i="24"/>
  <c r="BO60" i="24" s="1"/>
  <c r="BR60" i="24" s="1"/>
  <c r="F53" i="24"/>
  <c r="BO53" i="24" s="1"/>
  <c r="BR53" i="24" s="1"/>
  <c r="F81" i="24"/>
  <c r="BO81" i="24" s="1"/>
  <c r="BR81" i="24" s="1"/>
  <c r="F92" i="24"/>
  <c r="F293" i="24"/>
  <c r="F240" i="24"/>
  <c r="F200" i="24"/>
  <c r="F15" i="24"/>
  <c r="F166" i="24"/>
  <c r="F300" i="24"/>
  <c r="F17" i="24"/>
  <c r="F34" i="24"/>
  <c r="F221" i="24"/>
  <c r="F270" i="24"/>
  <c r="F13" i="24"/>
  <c r="F313" i="24"/>
  <c r="F260" i="24"/>
  <c r="F156" i="24"/>
  <c r="F90" i="24"/>
  <c r="F245" i="24"/>
  <c r="F217" i="24"/>
  <c r="F275" i="24"/>
  <c r="F8" i="24"/>
  <c r="F199" i="24"/>
  <c r="F155" i="24"/>
  <c r="F220" i="24"/>
  <c r="F180" i="24"/>
  <c r="F27" i="24"/>
  <c r="F178" i="24"/>
  <c r="BO178" i="24" s="1"/>
  <c r="BR178" i="24" s="1"/>
  <c r="F312" i="24"/>
  <c r="F208" i="24"/>
  <c r="F89" i="24"/>
  <c r="F113" i="24"/>
  <c r="F306" i="24"/>
  <c r="F128" i="24"/>
  <c r="F231" i="24"/>
  <c r="F286" i="25"/>
  <c r="G286" i="25"/>
  <c r="F276" i="25"/>
  <c r="G276" i="25"/>
  <c r="I276" i="25" s="1"/>
  <c r="F288" i="25"/>
  <c r="G288" i="25"/>
  <c r="BN288" i="25" s="1"/>
  <c r="F259" i="25"/>
  <c r="BM259" i="25" s="1"/>
  <c r="G259" i="25"/>
  <c r="I259" i="25" s="1"/>
  <c r="F308" i="25"/>
  <c r="G308" i="25"/>
  <c r="F283" i="25"/>
  <c r="G283" i="25"/>
  <c r="I283" i="25" s="1"/>
  <c r="F301" i="25"/>
  <c r="G301" i="25"/>
  <c r="F287" i="25"/>
  <c r="G287" i="25"/>
  <c r="I287" i="25" s="1"/>
  <c r="F268" i="25"/>
  <c r="G268" i="25"/>
  <c r="F12" i="25"/>
  <c r="G12" i="25"/>
  <c r="F314" i="25"/>
  <c r="G314" i="25"/>
  <c r="F274" i="25"/>
  <c r="G274" i="25"/>
  <c r="BN274" i="25" s="1"/>
  <c r="F263" i="25"/>
  <c r="G263" i="25"/>
  <c r="F253" i="25"/>
  <c r="G253" i="25"/>
  <c r="BN253" i="25" s="1"/>
  <c r="F100" i="25"/>
  <c r="G100" i="25"/>
  <c r="I100" i="25" s="1"/>
  <c r="F76" i="25"/>
  <c r="G76" i="25"/>
  <c r="I76" i="25" s="1"/>
  <c r="F84" i="25"/>
  <c r="G84" i="25"/>
  <c r="BN84" i="25" s="1"/>
  <c r="F90" i="25"/>
  <c r="G90" i="25"/>
  <c r="F45" i="25"/>
  <c r="G45" i="25"/>
  <c r="F64" i="25"/>
  <c r="G64" i="25"/>
  <c r="F14" i="25"/>
  <c r="G14" i="25"/>
  <c r="F36" i="25"/>
  <c r="G36" i="25"/>
  <c r="I36" i="25" s="1"/>
  <c r="F306" i="25"/>
  <c r="G306" i="25"/>
  <c r="F231" i="25"/>
  <c r="G231" i="25"/>
  <c r="BN231" i="25" s="1"/>
  <c r="F285" i="25"/>
  <c r="G285" i="25"/>
  <c r="F101" i="25"/>
  <c r="G101" i="25"/>
  <c r="F19" i="25"/>
  <c r="G19" i="25"/>
  <c r="F187" i="25"/>
  <c r="G187" i="25"/>
  <c r="F55" i="25"/>
  <c r="G55" i="25"/>
  <c r="G50" i="25"/>
  <c r="F142" i="25"/>
  <c r="G142" i="25"/>
  <c r="F166" i="25"/>
  <c r="G166" i="25"/>
  <c r="F256" i="25"/>
  <c r="BM256" i="25" s="1"/>
  <c r="G256" i="25"/>
  <c r="I256" i="25" s="1"/>
  <c r="F41" i="25"/>
  <c r="G41" i="25"/>
  <c r="BN41" i="25" s="1"/>
  <c r="F133" i="25"/>
  <c r="G133" i="25"/>
  <c r="I133" i="25" s="1"/>
  <c r="F119" i="25"/>
  <c r="G119" i="25"/>
  <c r="BN119" i="25" s="1"/>
  <c r="F131" i="25"/>
  <c r="G131" i="25"/>
  <c r="I131" i="25" s="1"/>
  <c r="F167" i="25"/>
  <c r="G167" i="25"/>
  <c r="F184" i="25"/>
  <c r="G184" i="25"/>
  <c r="F209" i="25"/>
  <c r="G209" i="25"/>
  <c r="F175" i="25"/>
  <c r="G175" i="25"/>
  <c r="F201" i="25"/>
  <c r="G201" i="25"/>
  <c r="F289" i="25"/>
  <c r="G289" i="25"/>
  <c r="I289" i="25" s="1"/>
  <c r="F238" i="25"/>
  <c r="G238" i="25"/>
  <c r="I238" i="25" s="1"/>
  <c r="F234" i="25"/>
  <c r="G234" i="25"/>
  <c r="F313" i="25"/>
  <c r="G313" i="25"/>
  <c r="I313" i="25" s="1"/>
  <c r="F304" i="25"/>
  <c r="G304" i="25"/>
  <c r="F60" i="25"/>
  <c r="G60" i="25"/>
  <c r="F75" i="25"/>
  <c r="G75" i="25"/>
  <c r="I75" i="25" s="1"/>
  <c r="F95" i="25"/>
  <c r="G95" i="25"/>
  <c r="I95" i="25" s="1"/>
  <c r="F264" i="25"/>
  <c r="G264" i="25"/>
  <c r="BN264" i="25" s="1"/>
  <c r="F235" i="25"/>
  <c r="G235" i="25"/>
  <c r="I235" i="25" s="1"/>
  <c r="F183" i="24"/>
  <c r="BO183" i="24" s="1"/>
  <c r="BR183" i="24" s="1"/>
  <c r="F105" i="24"/>
  <c r="F63" i="25"/>
  <c r="BM63" i="25" s="1"/>
  <c r="F26" i="24"/>
  <c r="BO26" i="24" s="1"/>
  <c r="BR26" i="24" s="1"/>
  <c r="F9" i="24"/>
  <c r="F48" i="24"/>
  <c r="BO48" i="24" s="1"/>
  <c r="BR48" i="24" s="1"/>
  <c r="F11" i="24"/>
  <c r="BO11" i="24" s="1"/>
  <c r="BR11" i="24" s="1"/>
  <c r="F28" i="24"/>
  <c r="BO28" i="24" s="1"/>
  <c r="BR28" i="24" s="1"/>
  <c r="F78" i="24"/>
  <c r="BO78" i="24" s="1"/>
  <c r="BR78" i="24" s="1"/>
  <c r="F29" i="24"/>
  <c r="BO29" i="24" s="1"/>
  <c r="BR29" i="24" s="1"/>
  <c r="F277" i="25"/>
  <c r="BM277" i="25" s="1"/>
  <c r="F310" i="25"/>
  <c r="BM310" i="25" s="1"/>
  <c r="F111" i="25"/>
  <c r="BM111" i="25" s="1"/>
  <c r="F69" i="25"/>
  <c r="BM69" i="25" s="1"/>
  <c r="F25" i="24"/>
  <c r="F226" i="24"/>
  <c r="F149" i="24"/>
  <c r="F124" i="24"/>
  <c r="F227" i="24"/>
  <c r="F47" i="24"/>
  <c r="F121" i="24"/>
  <c r="F278" i="24"/>
  <c r="F210" i="24"/>
  <c r="F287" i="24"/>
  <c r="F65" i="24"/>
  <c r="BO65" i="24" s="1"/>
  <c r="BR65" i="24" s="1"/>
  <c r="F66" i="24"/>
  <c r="F218" i="24"/>
  <c r="F264" i="24"/>
  <c r="F219" i="24"/>
  <c r="F57" i="24"/>
  <c r="F80" i="24"/>
  <c r="F294" i="24"/>
  <c r="F197" i="24"/>
  <c r="F189" i="24"/>
  <c r="F49" i="24"/>
  <c r="F93" i="24"/>
  <c r="F154" i="24"/>
  <c r="F288" i="24"/>
  <c r="F184" i="24"/>
  <c r="F40" i="24"/>
  <c r="F305" i="24"/>
  <c r="F316" i="24"/>
  <c r="F203" i="24"/>
  <c r="F139" i="24"/>
  <c r="F222" i="24"/>
  <c r="F235" i="24"/>
  <c r="F32" i="24"/>
  <c r="F297" i="24"/>
  <c r="F244" i="24"/>
  <c r="F140" i="24"/>
  <c r="F240" i="25"/>
  <c r="G240" i="25"/>
  <c r="BN240" i="25" s="1"/>
  <c r="F284" i="25"/>
  <c r="G284" i="25"/>
  <c r="F267" i="25"/>
  <c r="G267" i="25"/>
  <c r="F251" i="25"/>
  <c r="G251" i="25"/>
  <c r="F33" i="25"/>
  <c r="G33" i="25"/>
  <c r="F27" i="25"/>
  <c r="G27" i="25"/>
  <c r="F154" i="25"/>
  <c r="G154" i="25"/>
  <c r="F261" i="25"/>
  <c r="G261" i="25"/>
  <c r="F249" i="25"/>
  <c r="G249" i="25"/>
  <c r="F217" i="25"/>
  <c r="G217" i="25"/>
  <c r="BN217" i="25" s="1"/>
  <c r="F28" i="25"/>
  <c r="G28" i="25"/>
  <c r="F65" i="25"/>
  <c r="G65" i="25"/>
  <c r="F228" i="25"/>
  <c r="G228" i="25"/>
  <c r="F299" i="25"/>
  <c r="BM299" i="25" s="1"/>
  <c r="G299" i="25"/>
  <c r="F155" i="25"/>
  <c r="G155" i="25"/>
  <c r="F172" i="25"/>
  <c r="G172" i="25"/>
  <c r="F181" i="25"/>
  <c r="G181" i="25"/>
  <c r="I181" i="25" s="1"/>
  <c r="F191" i="25"/>
  <c r="G191" i="25"/>
  <c r="F178" i="25"/>
  <c r="G178" i="25"/>
  <c r="F173" i="25"/>
  <c r="G173" i="25"/>
  <c r="F309" i="25"/>
  <c r="G309" i="25"/>
  <c r="F7" i="25"/>
  <c r="G7" i="25"/>
  <c r="F92" i="25"/>
  <c r="G92" i="25"/>
  <c r="F78" i="25"/>
  <c r="G78" i="25"/>
  <c r="F229" i="25"/>
  <c r="G229" i="25"/>
  <c r="BN229" i="25" s="1"/>
  <c r="F303" i="25"/>
  <c r="BM303" i="25" s="1"/>
  <c r="G303" i="25"/>
  <c r="F282" i="25"/>
  <c r="G282" i="25"/>
  <c r="BN282" i="25" s="1"/>
  <c r="F172" i="24"/>
  <c r="BO172" i="24" s="1"/>
  <c r="BR172" i="24" s="1"/>
  <c r="F50" i="25"/>
  <c r="BM50" i="25" s="1"/>
  <c r="F17" i="25"/>
  <c r="BM17" i="25" s="1"/>
  <c r="F97" i="25"/>
  <c r="BM97" i="25" s="1"/>
  <c r="F59" i="24"/>
  <c r="BO59" i="24" s="1"/>
  <c r="BR59" i="24" s="1"/>
  <c r="F15" i="25"/>
  <c r="BM15" i="25" s="1"/>
  <c r="F85" i="24"/>
  <c r="F10" i="24"/>
  <c r="F229" i="24"/>
  <c r="F136" i="24"/>
  <c r="F79" i="24"/>
  <c r="F289" i="24"/>
  <c r="F236" i="24"/>
  <c r="F196" i="24"/>
  <c r="F98" i="24"/>
  <c r="BO98" i="24" s="1"/>
  <c r="BR98" i="24" s="1"/>
  <c r="F310" i="24"/>
  <c r="F209" i="24"/>
  <c r="F193" i="24"/>
  <c r="F315" i="24"/>
  <c r="F30" i="24"/>
  <c r="F249" i="24"/>
  <c r="F135" i="24"/>
  <c r="F279" i="24"/>
  <c r="F35" i="24"/>
  <c r="F207" i="24"/>
  <c r="F238" i="24"/>
  <c r="F112" i="24"/>
  <c r="F72" i="24"/>
  <c r="F262" i="24"/>
  <c r="F173" i="24"/>
  <c r="F234" i="24"/>
  <c r="F303" i="24"/>
  <c r="F91" i="24"/>
  <c r="F301" i="24"/>
  <c r="F248" i="24"/>
  <c r="F144" i="24"/>
  <c r="F64" i="24"/>
  <c r="F242" i="24"/>
  <c r="F153" i="24"/>
  <c r="F161" i="24"/>
  <c r="F250" i="25"/>
  <c r="G250" i="25"/>
  <c r="F25" i="25"/>
  <c r="G25" i="25"/>
  <c r="F66" i="25"/>
  <c r="G66" i="25"/>
  <c r="F39" i="25"/>
  <c r="G39" i="25"/>
  <c r="F61" i="25"/>
  <c r="G61" i="25"/>
  <c r="F170" i="25"/>
  <c r="G170" i="25"/>
  <c r="F272" i="25"/>
  <c r="G272" i="25"/>
  <c r="F242" i="25"/>
  <c r="G242" i="25"/>
  <c r="I242" i="25" s="1"/>
  <c r="F252" i="25"/>
  <c r="G252" i="25"/>
  <c r="F225" i="25"/>
  <c r="G225" i="25"/>
  <c r="F247" i="25"/>
  <c r="G247" i="25"/>
  <c r="BN247" i="25" s="1"/>
  <c r="F316" i="25"/>
  <c r="G316" i="25"/>
  <c r="F293" i="25"/>
  <c r="G293" i="25"/>
  <c r="F281" i="25"/>
  <c r="G281" i="25"/>
  <c r="I281" i="25" s="1"/>
  <c r="F89" i="25"/>
  <c r="G89" i="25"/>
  <c r="F47" i="25"/>
  <c r="G47" i="25"/>
  <c r="F56" i="25"/>
  <c r="G56" i="25"/>
  <c r="I56" i="25" s="1"/>
  <c r="F86" i="25"/>
  <c r="G86" i="25"/>
  <c r="G110" i="25"/>
  <c r="BN110" i="25" s="1"/>
  <c r="BQ110" i="25" s="1"/>
  <c r="F305" i="25"/>
  <c r="G305" i="25"/>
  <c r="F124" i="25"/>
  <c r="G124" i="25"/>
  <c r="F121" i="25"/>
  <c r="G121" i="25"/>
  <c r="F136" i="25"/>
  <c r="G136" i="25"/>
  <c r="F161" i="25"/>
  <c r="G161" i="25"/>
  <c r="F292" i="25"/>
  <c r="G292" i="25"/>
  <c r="F243" i="25"/>
  <c r="G243" i="25"/>
  <c r="G216" i="25"/>
  <c r="BN216" i="25" s="1"/>
  <c r="BQ216" i="25" s="1"/>
  <c r="F298" i="25"/>
  <c r="G298" i="25"/>
  <c r="BN298" i="25" s="1"/>
  <c r="F113" i="25"/>
  <c r="G113" i="25"/>
  <c r="F148" i="25"/>
  <c r="G148" i="25"/>
  <c r="F233" i="25"/>
  <c r="G233" i="25"/>
  <c r="BN233" i="25" s="1"/>
  <c r="F291" i="25"/>
  <c r="G291" i="25"/>
  <c r="I291" i="25" s="1"/>
  <c r="F262" i="25"/>
  <c r="BM262" i="25" s="1"/>
  <c r="G262" i="25"/>
  <c r="F144" i="25"/>
  <c r="G144" i="25"/>
  <c r="F199" i="25"/>
  <c r="G199" i="25"/>
  <c r="I199" i="25" s="1"/>
  <c r="F146" i="25"/>
  <c r="G146" i="25"/>
  <c r="BN146" i="25" s="1"/>
  <c r="F220" i="25"/>
  <c r="G220" i="25"/>
  <c r="I220" i="25" s="1"/>
  <c r="F258" i="25"/>
  <c r="G258" i="25"/>
  <c r="BN258" i="25" s="1"/>
  <c r="F296" i="25"/>
  <c r="G296" i="25"/>
  <c r="I296" i="25" s="1"/>
  <c r="F248" i="25"/>
  <c r="G248" i="25"/>
  <c r="I248" i="25" s="1"/>
  <c r="F134" i="25"/>
  <c r="G134" i="25"/>
  <c r="I134" i="25" s="1"/>
  <c r="F128" i="25"/>
  <c r="G128" i="25"/>
  <c r="BN128" i="25" s="1"/>
  <c r="F302" i="25"/>
  <c r="G302" i="25"/>
  <c r="I302" i="25" s="1"/>
  <c r="F254" i="25"/>
  <c r="G254" i="25"/>
  <c r="I254" i="25" s="1"/>
  <c r="F112" i="25"/>
  <c r="G112" i="25"/>
  <c r="F103" i="25"/>
  <c r="G103" i="25"/>
  <c r="F88" i="25"/>
  <c r="G88" i="25"/>
  <c r="F147" i="25"/>
  <c r="G147" i="25"/>
  <c r="F138" i="25"/>
  <c r="G138" i="25"/>
  <c r="I138" i="25" s="1"/>
  <c r="F224" i="25"/>
  <c r="BM224" i="25" s="1"/>
  <c r="G224" i="25"/>
  <c r="BN224" i="25" s="1"/>
  <c r="F275" i="25"/>
  <c r="G275" i="25"/>
  <c r="I275" i="25" s="1"/>
  <c r="F223" i="25"/>
  <c r="G223" i="25"/>
  <c r="I223" i="25" s="1"/>
  <c r="F158" i="25"/>
  <c r="G158" i="25"/>
  <c r="F222" i="25"/>
  <c r="G222" i="25"/>
  <c r="I222" i="25" s="1"/>
  <c r="F102" i="25"/>
  <c r="G102" i="25"/>
  <c r="F10" i="25"/>
  <c r="BM10" i="25" s="1"/>
  <c r="G10" i="25"/>
  <c r="F244" i="25"/>
  <c r="G244" i="25"/>
  <c r="I244" i="25" s="1"/>
  <c r="F294" i="25"/>
  <c r="G294" i="25"/>
  <c r="I294" i="25" s="1"/>
  <c r="CB5" i="25" l="1"/>
  <c r="CF5" i="25"/>
  <c r="BO228" i="24"/>
  <c r="BR228" i="24" s="1"/>
  <c r="BO302" i="24"/>
  <c r="BR302" i="24" s="1"/>
  <c r="BO277" i="24"/>
  <c r="BR277" i="24" s="1"/>
  <c r="BO250" i="24"/>
  <c r="BR250" i="24" s="1"/>
  <c r="BO235" i="24"/>
  <c r="BR235" i="24" s="1"/>
  <c r="BO284" i="24"/>
  <c r="BR284" i="24" s="1"/>
  <c r="BO259" i="24"/>
  <c r="BR259" i="24" s="1"/>
  <c r="BO223" i="24"/>
  <c r="BR223" i="24" s="1"/>
  <c r="I294" i="24"/>
  <c r="S294" i="24" s="1"/>
  <c r="T294" i="24" s="1"/>
  <c r="BO274" i="24"/>
  <c r="BR274" i="24" s="1"/>
  <c r="BO241" i="24"/>
  <c r="BR241" i="24" s="1"/>
  <c r="I257" i="24"/>
  <c r="M257" i="24" s="1"/>
  <c r="N257" i="24" s="1"/>
  <c r="P257" i="24" s="1"/>
  <c r="BO298" i="24"/>
  <c r="BR298" i="24" s="1"/>
  <c r="BO281" i="24"/>
  <c r="BR281" i="24" s="1"/>
  <c r="BO311" i="24"/>
  <c r="BR311" i="24" s="1"/>
  <c r="BO243" i="24"/>
  <c r="BR243" i="24" s="1"/>
  <c r="I236" i="24"/>
  <c r="BK236" i="24" s="1"/>
  <c r="BO251" i="24"/>
  <c r="BR251" i="24" s="1"/>
  <c r="I233" i="24"/>
  <c r="S233" i="24" s="1"/>
  <c r="T233" i="24" s="1"/>
  <c r="BO291" i="24"/>
  <c r="BR291" i="24" s="1"/>
  <c r="I264" i="24"/>
  <c r="K264" i="24" s="1"/>
  <c r="BO285" i="24"/>
  <c r="BR285" i="24" s="1"/>
  <c r="BO275" i="24"/>
  <c r="BR275" i="24" s="1"/>
  <c r="BO283" i="24"/>
  <c r="BR283" i="24" s="1"/>
  <c r="BO307" i="24"/>
  <c r="BR307" i="24" s="1"/>
  <c r="I292" i="24"/>
  <c r="BQ218" i="25"/>
  <c r="BO105" i="24"/>
  <c r="BR105" i="24" s="1"/>
  <c r="BQ82" i="25"/>
  <c r="BQ69" i="25"/>
  <c r="BQ87" i="25"/>
  <c r="J29" i="25"/>
  <c r="BI29" i="25" s="1"/>
  <c r="J257" i="25"/>
  <c r="N257" i="25" s="1"/>
  <c r="T257" i="25" s="1"/>
  <c r="J179" i="25"/>
  <c r="BI179" i="25" s="1"/>
  <c r="J143" i="25"/>
  <c r="N143" i="25" s="1"/>
  <c r="P143" i="25" s="1"/>
  <c r="I69" i="25"/>
  <c r="J293" i="25"/>
  <c r="N293" i="25" s="1"/>
  <c r="T293" i="25" s="1"/>
  <c r="BQ30" i="25"/>
  <c r="I274" i="25"/>
  <c r="I43" i="25"/>
  <c r="J110" i="25"/>
  <c r="N110" i="25" s="1"/>
  <c r="O110" i="25" s="1"/>
  <c r="J265" i="25"/>
  <c r="BI265" i="25" s="1"/>
  <c r="BQ193" i="25"/>
  <c r="J11" i="25"/>
  <c r="L11" i="25" s="1"/>
  <c r="BN202" i="25"/>
  <c r="BQ202" i="25" s="1"/>
  <c r="BQ141" i="25"/>
  <c r="I253" i="25"/>
  <c r="BN186" i="25"/>
  <c r="BQ186" i="25" s="1"/>
  <c r="J129" i="25"/>
  <c r="N129" i="25" s="1"/>
  <c r="O129" i="25" s="1"/>
  <c r="I41" i="24"/>
  <c r="M41" i="24" s="1"/>
  <c r="BN81" i="25"/>
  <c r="BQ81" i="25" s="1"/>
  <c r="I40" i="25"/>
  <c r="I35" i="25"/>
  <c r="I230" i="25"/>
  <c r="I141" i="25"/>
  <c r="J77" i="25"/>
  <c r="BI77" i="25" s="1"/>
  <c r="BN52" i="25"/>
  <c r="I257" i="25"/>
  <c r="BQ224" i="25"/>
  <c r="J258" i="25"/>
  <c r="BI258" i="25" s="1"/>
  <c r="J131" i="25"/>
  <c r="N131" i="25" s="1"/>
  <c r="I290" i="25"/>
  <c r="BQ159" i="25"/>
  <c r="J237" i="25"/>
  <c r="L237" i="25" s="1"/>
  <c r="BO45" i="24"/>
  <c r="BR45" i="24" s="1"/>
  <c r="BN235" i="25"/>
  <c r="I119" i="25"/>
  <c r="BN156" i="25"/>
  <c r="I149" i="25"/>
  <c r="I280" i="25"/>
  <c r="I203" i="25"/>
  <c r="J189" i="25"/>
  <c r="BI189" i="25" s="1"/>
  <c r="BQ53" i="25"/>
  <c r="I164" i="25"/>
  <c r="I8" i="25"/>
  <c r="I241" i="25"/>
  <c r="I125" i="25"/>
  <c r="I87" i="25"/>
  <c r="I55" i="24"/>
  <c r="BK55" i="24" s="1"/>
  <c r="J28" i="25"/>
  <c r="BI28" i="25" s="1"/>
  <c r="I24" i="25"/>
  <c r="I193" i="25"/>
  <c r="J177" i="25"/>
  <c r="N177" i="25" s="1"/>
  <c r="T177" i="25" s="1"/>
  <c r="J280" i="25"/>
  <c r="L280" i="25" s="1"/>
  <c r="I72" i="25"/>
  <c r="I54" i="25"/>
  <c r="I207" i="25"/>
  <c r="BN239" i="25"/>
  <c r="BQ239" i="25" s="1"/>
  <c r="BN95" i="25"/>
  <c r="J104" i="25"/>
  <c r="L104" i="25" s="1"/>
  <c r="I206" i="25"/>
  <c r="I277" i="25"/>
  <c r="I83" i="25"/>
  <c r="J94" i="25"/>
  <c r="BI94" i="25" s="1"/>
  <c r="BO233" i="24"/>
  <c r="BR233" i="24" s="1"/>
  <c r="I160" i="24"/>
  <c r="S160" i="24" s="1"/>
  <c r="T160" i="24" s="1"/>
  <c r="I233" i="25"/>
  <c r="BN276" i="25"/>
  <c r="I171" i="25"/>
  <c r="I18" i="25"/>
  <c r="I79" i="25"/>
  <c r="I135" i="25"/>
  <c r="I153" i="25"/>
  <c r="I123" i="25"/>
  <c r="I57" i="25"/>
  <c r="I91" i="25"/>
  <c r="I48" i="25"/>
  <c r="I205" i="25"/>
  <c r="BN44" i="25"/>
  <c r="BQ44" i="25" s="1"/>
  <c r="I185" i="25"/>
  <c r="I218" i="25"/>
  <c r="BN77" i="25"/>
  <c r="BN13" i="25"/>
  <c r="I269" i="25"/>
  <c r="BM257" i="25"/>
  <c r="BQ257" i="25" s="1"/>
  <c r="I236" i="25"/>
  <c r="BM143" i="25"/>
  <c r="BQ143" i="25" s="1"/>
  <c r="BN131" i="25"/>
  <c r="BN133" i="25"/>
  <c r="BN256" i="25"/>
  <c r="BQ256" i="25" s="1"/>
  <c r="I231" i="25"/>
  <c r="BN287" i="25"/>
  <c r="I130" i="25"/>
  <c r="I197" i="25"/>
  <c r="BN198" i="25"/>
  <c r="BN104" i="25"/>
  <c r="I160" i="25"/>
  <c r="I26" i="25"/>
  <c r="BN245" i="25"/>
  <c r="BN38" i="25"/>
  <c r="BQ38" i="25" s="1"/>
  <c r="BN220" i="25"/>
  <c r="I146" i="25"/>
  <c r="I41" i="25"/>
  <c r="BN36" i="25"/>
  <c r="BN76" i="25"/>
  <c r="BN311" i="25"/>
  <c r="BQ48" i="25"/>
  <c r="I200" i="25"/>
  <c r="I179" i="25"/>
  <c r="I143" i="25"/>
  <c r="I151" i="25"/>
  <c r="BN177" i="25"/>
  <c r="BN270" i="25"/>
  <c r="I23" i="25"/>
  <c r="BN294" i="25"/>
  <c r="I128" i="25"/>
  <c r="I84" i="25"/>
  <c r="BN100" i="25"/>
  <c r="BN259" i="25"/>
  <c r="BQ259" i="25" s="1"/>
  <c r="BN227" i="25"/>
  <c r="I139" i="25"/>
  <c r="I115" i="25"/>
  <c r="I159" i="25"/>
  <c r="BN271" i="25"/>
  <c r="I300" i="25"/>
  <c r="I58" i="25"/>
  <c r="BN302" i="25"/>
  <c r="I67" i="25"/>
  <c r="I51" i="25"/>
  <c r="I68" i="25"/>
  <c r="I46" i="25"/>
  <c r="I196" i="25"/>
  <c r="I127" i="25"/>
  <c r="I140" i="25"/>
  <c r="I22" i="25"/>
  <c r="I98" i="25"/>
  <c r="I20" i="25"/>
  <c r="I85" i="25"/>
  <c r="I312" i="25"/>
  <c r="I315" i="25"/>
  <c r="I70" i="25"/>
  <c r="BN189" i="25"/>
  <c r="BN255" i="25"/>
  <c r="J190" i="25"/>
  <c r="L190" i="25" s="1"/>
  <c r="BN94" i="25"/>
  <c r="BQ277" i="25"/>
  <c r="I183" i="25"/>
  <c r="I273" i="25"/>
  <c r="BM29" i="25"/>
  <c r="BQ29" i="25" s="1"/>
  <c r="BN310" i="25"/>
  <c r="BQ310" i="25" s="1"/>
  <c r="BQ58" i="25"/>
  <c r="I237" i="25"/>
  <c r="BN134" i="25"/>
  <c r="BN283" i="25"/>
  <c r="I116" i="25"/>
  <c r="I118" i="25"/>
  <c r="I21" i="25"/>
  <c r="BQ315" i="25"/>
  <c r="I30" i="25"/>
  <c r="I82" i="25"/>
  <c r="I258" i="25"/>
  <c r="BN248" i="25"/>
  <c r="I282" i="25"/>
  <c r="BN75" i="25"/>
  <c r="BN307" i="25"/>
  <c r="I114" i="25"/>
  <c r="BN265" i="25"/>
  <c r="I266" i="25"/>
  <c r="BK44" i="24"/>
  <c r="S44" i="24"/>
  <c r="T44" i="24" s="1"/>
  <c r="AL291" i="25"/>
  <c r="CC291" i="25"/>
  <c r="H291" i="25"/>
  <c r="J291" i="25"/>
  <c r="L291" i="25" s="1"/>
  <c r="BM291" i="25"/>
  <c r="BN305" i="25"/>
  <c r="I305" i="25"/>
  <c r="BN275" i="25"/>
  <c r="BN161" i="25"/>
  <c r="K72" i="24"/>
  <c r="AM72" i="24"/>
  <c r="H72" i="24"/>
  <c r="CE72" i="24"/>
  <c r="CF72" i="24"/>
  <c r="I72" i="24"/>
  <c r="M72" i="24" s="1"/>
  <c r="N72" i="24" s="1"/>
  <c r="BO72" i="24"/>
  <c r="BR72" i="24" s="1"/>
  <c r="K30" i="24"/>
  <c r="AM30" i="24"/>
  <c r="H30" i="24"/>
  <c r="I30" i="24"/>
  <c r="M30" i="24" s="1"/>
  <c r="N30" i="24" s="1"/>
  <c r="BO30" i="24"/>
  <c r="BR30" i="24" s="1"/>
  <c r="CE289" i="24"/>
  <c r="CF289" i="24"/>
  <c r="H289" i="24"/>
  <c r="AM289" i="24"/>
  <c r="I289" i="24"/>
  <c r="K289" i="24" s="1"/>
  <c r="BO289" i="24"/>
  <c r="BR289" i="24" s="1"/>
  <c r="I28" i="25"/>
  <c r="BN28" i="25"/>
  <c r="CC154" i="25"/>
  <c r="AL154" i="25"/>
  <c r="H154" i="25"/>
  <c r="J154" i="25"/>
  <c r="L154" i="25" s="1"/>
  <c r="BM154" i="25"/>
  <c r="I267" i="25"/>
  <c r="BN267" i="25"/>
  <c r="AM219" i="24"/>
  <c r="H219" i="24"/>
  <c r="CE219" i="24"/>
  <c r="CF219" i="24"/>
  <c r="I219" i="24"/>
  <c r="M219" i="24" s="1"/>
  <c r="N219" i="24" s="1"/>
  <c r="BO219" i="24"/>
  <c r="BR219" i="24" s="1"/>
  <c r="CF121" i="24"/>
  <c r="AM121" i="24"/>
  <c r="H121" i="24"/>
  <c r="CE121" i="24"/>
  <c r="I121" i="24"/>
  <c r="M121" i="24" s="1"/>
  <c r="N121" i="24" s="1"/>
  <c r="BO121" i="24"/>
  <c r="BR121" i="24" s="1"/>
  <c r="AM9" i="24"/>
  <c r="K9" i="24"/>
  <c r="H9" i="24"/>
  <c r="I9" i="24"/>
  <c r="I187" i="25"/>
  <c r="BN187" i="25"/>
  <c r="AL222" i="25"/>
  <c r="H222" i="25"/>
  <c r="CC222" i="25"/>
  <c r="BM222" i="25"/>
  <c r="J222" i="25"/>
  <c r="CE103" i="25"/>
  <c r="H103" i="25"/>
  <c r="CF103" i="25"/>
  <c r="AL103" i="25"/>
  <c r="CC103" i="25"/>
  <c r="J103" i="25"/>
  <c r="CC128" i="25"/>
  <c r="H128" i="25"/>
  <c r="AL128" i="25"/>
  <c r="J128" i="25"/>
  <c r="I148" i="25"/>
  <c r="BN199" i="25"/>
  <c r="CC136" i="25"/>
  <c r="AL136" i="25"/>
  <c r="H136" i="25"/>
  <c r="J136" i="25"/>
  <c r="BM136" i="25"/>
  <c r="H56" i="25"/>
  <c r="AL56" i="25"/>
  <c r="CC56" i="25"/>
  <c r="BM56" i="25"/>
  <c r="J56" i="25"/>
  <c r="L56" i="25" s="1"/>
  <c r="BN293" i="25"/>
  <c r="I293" i="25"/>
  <c r="H252" i="25"/>
  <c r="AL252" i="25"/>
  <c r="CC252" i="25"/>
  <c r="BM252" i="25"/>
  <c r="J252" i="25"/>
  <c r="L252" i="25" s="1"/>
  <c r="I61" i="25"/>
  <c r="H250" i="25"/>
  <c r="CC250" i="25"/>
  <c r="AL250" i="25"/>
  <c r="BM250" i="25"/>
  <c r="J250" i="25"/>
  <c r="L250" i="25" s="1"/>
  <c r="H91" i="24"/>
  <c r="CF91" i="24"/>
  <c r="AM91" i="24"/>
  <c r="CE91" i="24"/>
  <c r="K91" i="24"/>
  <c r="I91" i="24"/>
  <c r="AM207" i="24"/>
  <c r="CF207" i="24"/>
  <c r="CE207" i="24"/>
  <c r="H207" i="24"/>
  <c r="I207" i="24"/>
  <c r="K207" i="24" s="1"/>
  <c r="BO207" i="24"/>
  <c r="BR207" i="24" s="1"/>
  <c r="AM209" i="24"/>
  <c r="H209" i="24"/>
  <c r="I209" i="24"/>
  <c r="K209" i="24" s="1"/>
  <c r="BO209" i="24"/>
  <c r="BR209" i="24" s="1"/>
  <c r="H229" i="24"/>
  <c r="AM229" i="24"/>
  <c r="CE229" i="24"/>
  <c r="I229" i="24"/>
  <c r="K229" i="24" s="1"/>
  <c r="BO229" i="24"/>
  <c r="BR229" i="24" s="1"/>
  <c r="CE17" i="25"/>
  <c r="CF17" i="25"/>
  <c r="CC17" i="25"/>
  <c r="AL17" i="25"/>
  <c r="H17" i="25"/>
  <c r="J17" i="25"/>
  <c r="H303" i="25"/>
  <c r="AL303" i="25"/>
  <c r="CC303" i="25"/>
  <c r="J303" i="25"/>
  <c r="L303" i="25" s="1"/>
  <c r="I7" i="25"/>
  <c r="H191" i="25"/>
  <c r="AL191" i="25"/>
  <c r="CC191" i="25"/>
  <c r="BM191" i="25"/>
  <c r="I299" i="25"/>
  <c r="BN299" i="25"/>
  <c r="BQ299" i="25" s="1"/>
  <c r="AL217" i="25"/>
  <c r="CC217" i="25"/>
  <c r="H217" i="25"/>
  <c r="J217" i="25"/>
  <c r="L217" i="25" s="1"/>
  <c r="BM217" i="25"/>
  <c r="BQ217" i="25" s="1"/>
  <c r="I27" i="25"/>
  <c r="BN27" i="25"/>
  <c r="H284" i="25"/>
  <c r="AL284" i="25"/>
  <c r="CC284" i="25"/>
  <c r="J284" i="25"/>
  <c r="BM284" i="25"/>
  <c r="CF140" i="24"/>
  <c r="CE140" i="24"/>
  <c r="AM140" i="24"/>
  <c r="H140" i="24"/>
  <c r="I140" i="24"/>
  <c r="K140" i="24" s="1"/>
  <c r="BO140" i="24"/>
  <c r="BR140" i="24" s="1"/>
  <c r="AM316" i="24"/>
  <c r="H316" i="24"/>
  <c r="CE316" i="24"/>
  <c r="I316" i="24"/>
  <c r="K316" i="24" s="1"/>
  <c r="CE189" i="24"/>
  <c r="AM189" i="24"/>
  <c r="CF189" i="24"/>
  <c r="H189" i="24"/>
  <c r="I189" i="24"/>
  <c r="BO189" i="24"/>
  <c r="BR189" i="24" s="1"/>
  <c r="H66" i="24"/>
  <c r="AM66" i="24"/>
  <c r="K66" i="24"/>
  <c r="I66" i="24"/>
  <c r="BO66" i="24"/>
  <c r="BR66" i="24" s="1"/>
  <c r="CE124" i="24"/>
  <c r="H124" i="24"/>
  <c r="CF124" i="24"/>
  <c r="AM124" i="24"/>
  <c r="BO124" i="24"/>
  <c r="BR124" i="24" s="1"/>
  <c r="I124" i="24"/>
  <c r="K124" i="24" s="1"/>
  <c r="CC310" i="25"/>
  <c r="H310" i="25"/>
  <c r="AL310" i="25"/>
  <c r="J310" i="25"/>
  <c r="L310" i="25" s="1"/>
  <c r="H29" i="24"/>
  <c r="CF29" i="24"/>
  <c r="CE29" i="24"/>
  <c r="AM29" i="24"/>
  <c r="K29" i="24"/>
  <c r="I29" i="24"/>
  <c r="BO79" i="24"/>
  <c r="BR79" i="24" s="1"/>
  <c r="AM105" i="24"/>
  <c r="K105" i="24"/>
  <c r="H105" i="24"/>
  <c r="I105" i="24"/>
  <c r="H60" i="25"/>
  <c r="CC60" i="25"/>
  <c r="AL60" i="25"/>
  <c r="J60" i="25"/>
  <c r="L60" i="25" s="1"/>
  <c r="BM60" i="25"/>
  <c r="BN238" i="25"/>
  <c r="I209" i="25"/>
  <c r="BN209" i="25"/>
  <c r="BN50" i="25"/>
  <c r="BQ50" i="25" s="1"/>
  <c r="AL19" i="25"/>
  <c r="CC19" i="25"/>
  <c r="H19" i="25"/>
  <c r="J19" i="25"/>
  <c r="L19" i="25" s="1"/>
  <c r="BM19" i="25"/>
  <c r="CC231" i="25"/>
  <c r="H231" i="25"/>
  <c r="AL231" i="25"/>
  <c r="BM231" i="25"/>
  <c r="BQ231" i="25" s="1"/>
  <c r="J231" i="25"/>
  <c r="H64" i="25"/>
  <c r="AL64" i="25"/>
  <c r="CC64" i="25"/>
  <c r="J64" i="25"/>
  <c r="BM64" i="25"/>
  <c r="AL84" i="25"/>
  <c r="CC84" i="25"/>
  <c r="CF84" i="25"/>
  <c r="CE84" i="25"/>
  <c r="H84" i="25"/>
  <c r="BM84" i="25"/>
  <c r="BQ84" i="25" s="1"/>
  <c r="J84" i="25"/>
  <c r="CC76" i="25"/>
  <c r="H76" i="25"/>
  <c r="AL76" i="25"/>
  <c r="CF76" i="25"/>
  <c r="CE76" i="25"/>
  <c r="BM76" i="25"/>
  <c r="J76" i="25"/>
  <c r="L76" i="25" s="1"/>
  <c r="H100" i="25"/>
  <c r="CF100" i="25"/>
  <c r="CE100" i="25"/>
  <c r="AL100" i="25"/>
  <c r="CC100" i="25"/>
  <c r="BM100" i="25"/>
  <c r="J100" i="25"/>
  <c r="L100" i="25" s="1"/>
  <c r="CC253" i="25"/>
  <c r="H253" i="25"/>
  <c r="AL253" i="25"/>
  <c r="BM253" i="25"/>
  <c r="BQ253" i="25" s="1"/>
  <c r="J253" i="25"/>
  <c r="L253" i="25" s="1"/>
  <c r="I268" i="25"/>
  <c r="BN268" i="25"/>
  <c r="AL301" i="25"/>
  <c r="H301" i="25"/>
  <c r="CC301" i="25"/>
  <c r="BM301" i="25"/>
  <c r="J301" i="25"/>
  <c r="L301" i="25" s="1"/>
  <c r="I308" i="25"/>
  <c r="BN308" i="25"/>
  <c r="H288" i="25"/>
  <c r="AL288" i="25"/>
  <c r="CC288" i="25"/>
  <c r="J288" i="25"/>
  <c r="L288" i="25" s="1"/>
  <c r="I286" i="25"/>
  <c r="BN286" i="25"/>
  <c r="H113" i="24"/>
  <c r="CF113" i="24"/>
  <c r="CE113" i="24"/>
  <c r="AM113" i="24"/>
  <c r="I113" i="24"/>
  <c r="K113" i="24" s="1"/>
  <c r="BO113" i="24"/>
  <c r="BR113" i="24" s="1"/>
  <c r="CF155" i="24"/>
  <c r="CE155" i="24"/>
  <c r="AM155" i="24"/>
  <c r="H155" i="24"/>
  <c r="I155" i="24"/>
  <c r="K155" i="24" s="1"/>
  <c r="BO155" i="24"/>
  <c r="BR155" i="24" s="1"/>
  <c r="H260" i="24"/>
  <c r="CF260" i="24"/>
  <c r="AM260" i="24"/>
  <c r="I260" i="24"/>
  <c r="K260" i="24" s="1"/>
  <c r="BO260" i="24"/>
  <c r="BR260" i="24" s="1"/>
  <c r="AM166" i="24"/>
  <c r="H166" i="24"/>
  <c r="I166" i="24"/>
  <c r="K166" i="24" s="1"/>
  <c r="AM60" i="24"/>
  <c r="H60" i="24"/>
  <c r="CE60" i="24"/>
  <c r="K60" i="24"/>
  <c r="CF60" i="24"/>
  <c r="I60" i="24"/>
  <c r="H148" i="24"/>
  <c r="CF148" i="24"/>
  <c r="AM148" i="24"/>
  <c r="CE148" i="24"/>
  <c r="I148" i="24"/>
  <c r="K148" i="24" s="1"/>
  <c r="H171" i="25"/>
  <c r="AL171" i="25"/>
  <c r="CC171" i="25"/>
  <c r="BM171" i="25"/>
  <c r="BQ171" i="25" s="1"/>
  <c r="AL67" i="25"/>
  <c r="H67" i="25"/>
  <c r="CC67" i="25"/>
  <c r="CE67" i="25"/>
  <c r="CF67" i="25"/>
  <c r="J67" i="25"/>
  <c r="L67" i="25" s="1"/>
  <c r="BM67" i="25"/>
  <c r="BQ67" i="25" s="1"/>
  <c r="H72" i="25"/>
  <c r="CC72" i="25"/>
  <c r="AL72" i="25"/>
  <c r="BM72" i="25"/>
  <c r="BQ72" i="25" s="1"/>
  <c r="J72" i="25"/>
  <c r="L72" i="25" s="1"/>
  <c r="CC51" i="25"/>
  <c r="CF51" i="25"/>
  <c r="CE51" i="25"/>
  <c r="AL51" i="25"/>
  <c r="H51" i="25"/>
  <c r="J51" i="25"/>
  <c r="BM51" i="25"/>
  <c r="BQ51" i="25" s="1"/>
  <c r="H18" i="25"/>
  <c r="AL18" i="25"/>
  <c r="CC18" i="25"/>
  <c r="CE18" i="25"/>
  <c r="CF18" i="25"/>
  <c r="J18" i="25"/>
  <c r="BM18" i="25"/>
  <c r="BQ18" i="25" s="1"/>
  <c r="CC68" i="25"/>
  <c r="AL68" i="25"/>
  <c r="H68" i="25"/>
  <c r="BM68" i="25"/>
  <c r="BQ68" i="25" s="1"/>
  <c r="J68" i="25"/>
  <c r="L68" i="25" s="1"/>
  <c r="CC79" i="25"/>
  <c r="AL79" i="25"/>
  <c r="H79" i="25"/>
  <c r="J79" i="25"/>
  <c r="BM79" i="25"/>
  <c r="BQ79" i="25" s="1"/>
  <c r="H46" i="25"/>
  <c r="AL46" i="25"/>
  <c r="CC46" i="25"/>
  <c r="CF46" i="25"/>
  <c r="CE46" i="25"/>
  <c r="J46" i="25"/>
  <c r="L46" i="25" s="1"/>
  <c r="BM46" i="25"/>
  <c r="BQ46" i="25" s="1"/>
  <c r="H156" i="25"/>
  <c r="CC156" i="25"/>
  <c r="AL156" i="25"/>
  <c r="BM156" i="25"/>
  <c r="J156" i="25"/>
  <c r="L156" i="25" s="1"/>
  <c r="AL139" i="25"/>
  <c r="CC139" i="25"/>
  <c r="H139" i="25"/>
  <c r="J139" i="25"/>
  <c r="BM139" i="25"/>
  <c r="BQ139" i="25" s="1"/>
  <c r="AL54" i="25"/>
  <c r="CC54" i="25"/>
  <c r="H54" i="25"/>
  <c r="BM54" i="25"/>
  <c r="BQ54" i="25" s="1"/>
  <c r="H40" i="25"/>
  <c r="AL40" i="25"/>
  <c r="CC40" i="25"/>
  <c r="CE40" i="25"/>
  <c r="CF40" i="25"/>
  <c r="J40" i="25"/>
  <c r="L40" i="25" s="1"/>
  <c r="BM40" i="25"/>
  <c r="BQ40" i="25" s="1"/>
  <c r="CE43" i="25"/>
  <c r="AL43" i="25"/>
  <c r="CC43" i="25"/>
  <c r="CF43" i="25"/>
  <c r="H43" i="25"/>
  <c r="BM43" i="25"/>
  <c r="BQ43" i="25" s="1"/>
  <c r="AL312" i="25"/>
  <c r="CC312" i="25"/>
  <c r="H312" i="25"/>
  <c r="BM312" i="25"/>
  <c r="BQ312" i="25" s="1"/>
  <c r="J312" i="25"/>
  <c r="BN297" i="25"/>
  <c r="BN117" i="25"/>
  <c r="H174" i="24"/>
  <c r="AM174" i="24"/>
  <c r="I174" i="24"/>
  <c r="K174" i="24" s="1"/>
  <c r="BO174" i="24"/>
  <c r="BR174" i="24" s="1"/>
  <c r="AM151" i="24"/>
  <c r="H151" i="24"/>
  <c r="BO151" i="24"/>
  <c r="BR151" i="24" s="1"/>
  <c r="CE239" i="24"/>
  <c r="CF239" i="24"/>
  <c r="AM239" i="24"/>
  <c r="H239" i="24"/>
  <c r="I239" i="24"/>
  <c r="K239" i="24" s="1"/>
  <c r="BO239" i="24"/>
  <c r="BR239" i="24" s="1"/>
  <c r="BO49" i="24"/>
  <c r="BR49" i="24" s="1"/>
  <c r="CC205" i="25"/>
  <c r="AL205" i="25"/>
  <c r="H205" i="25"/>
  <c r="J205" i="25"/>
  <c r="L205" i="25" s="1"/>
  <c r="BM205" i="25"/>
  <c r="BQ205" i="25" s="1"/>
  <c r="BN96" i="25"/>
  <c r="I96" i="25"/>
  <c r="BN219" i="25"/>
  <c r="H273" i="25"/>
  <c r="AL273" i="25"/>
  <c r="CC273" i="25"/>
  <c r="J273" i="25"/>
  <c r="N273" i="25" s="1"/>
  <c r="BM273" i="25"/>
  <c r="BQ273" i="25" s="1"/>
  <c r="I168" i="25"/>
  <c r="BQ151" i="25"/>
  <c r="BN15" i="25"/>
  <c r="BQ15" i="25" s="1"/>
  <c r="AM52" i="24"/>
  <c r="H52" i="24"/>
  <c r="K52" i="24"/>
  <c r="CE52" i="24"/>
  <c r="CF52" i="24"/>
  <c r="I52" i="24"/>
  <c r="M52" i="24" s="1"/>
  <c r="N52" i="24" s="1"/>
  <c r="BK45" i="24"/>
  <c r="S45" i="24"/>
  <c r="T45" i="24" s="1"/>
  <c r="M45" i="24"/>
  <c r="N45" i="24" s="1"/>
  <c r="K88" i="24"/>
  <c r="AM88" i="24"/>
  <c r="H88" i="24"/>
  <c r="I88" i="24"/>
  <c r="M88" i="24" s="1"/>
  <c r="N88" i="24" s="1"/>
  <c r="BO88" i="24"/>
  <c r="BR88" i="24" s="1"/>
  <c r="BM288" i="25"/>
  <c r="BQ288" i="25" s="1"/>
  <c r="I42" i="25"/>
  <c r="BN42" i="25"/>
  <c r="CE169" i="24"/>
  <c r="AM169" i="24"/>
  <c r="CF169" i="24"/>
  <c r="H169" i="24"/>
  <c r="I169" i="24"/>
  <c r="K169" i="24" s="1"/>
  <c r="BO169" i="24"/>
  <c r="BR169" i="24" s="1"/>
  <c r="I161" i="25"/>
  <c r="BN242" i="25"/>
  <c r="BO180" i="24"/>
  <c r="BR180" i="24" s="1"/>
  <c r="J169" i="25"/>
  <c r="L169" i="25" s="1"/>
  <c r="J54" i="25"/>
  <c r="BM45" i="25"/>
  <c r="J191" i="25"/>
  <c r="I85" i="24"/>
  <c r="H296" i="25"/>
  <c r="AL296" i="25"/>
  <c r="CC296" i="25"/>
  <c r="J296" i="25"/>
  <c r="N296" i="25" s="1"/>
  <c r="BM296" i="25"/>
  <c r="BN225" i="25"/>
  <c r="I225" i="25"/>
  <c r="AL170" i="25"/>
  <c r="CC170" i="25"/>
  <c r="H170" i="25"/>
  <c r="BM170" i="25"/>
  <c r="J170" i="25"/>
  <c r="N170" i="25" s="1"/>
  <c r="I178" i="25"/>
  <c r="BN178" i="25"/>
  <c r="AL155" i="25"/>
  <c r="CC155" i="25"/>
  <c r="H155" i="25"/>
  <c r="J155" i="25"/>
  <c r="L155" i="25" s="1"/>
  <c r="BM155" i="25"/>
  <c r="CC244" i="25"/>
  <c r="H244" i="25"/>
  <c r="AL244" i="25"/>
  <c r="J244" i="25"/>
  <c r="BM244" i="25"/>
  <c r="BN158" i="25"/>
  <c r="AL138" i="25"/>
  <c r="CC138" i="25"/>
  <c r="H138" i="25"/>
  <c r="BM138" i="25"/>
  <c r="J138" i="25"/>
  <c r="L138" i="25" s="1"/>
  <c r="I112" i="25"/>
  <c r="BN112" i="25"/>
  <c r="AL199" i="25"/>
  <c r="CC199" i="25"/>
  <c r="H199" i="25"/>
  <c r="J199" i="25"/>
  <c r="N199" i="25" s="1"/>
  <c r="BM199" i="25"/>
  <c r="H233" i="25"/>
  <c r="AL233" i="25"/>
  <c r="CC233" i="25"/>
  <c r="J233" i="25"/>
  <c r="BM233" i="25"/>
  <c r="BQ233" i="25" s="1"/>
  <c r="H298" i="25"/>
  <c r="AL298" i="25"/>
  <c r="CC298" i="25"/>
  <c r="J298" i="25"/>
  <c r="J216" i="25"/>
  <c r="BN148" i="25"/>
  <c r="BN138" i="25"/>
  <c r="AL243" i="25"/>
  <c r="CC243" i="25"/>
  <c r="H243" i="25"/>
  <c r="BM243" i="25"/>
  <c r="J243" i="25"/>
  <c r="N243" i="25" s="1"/>
  <c r="I121" i="25"/>
  <c r="BN47" i="25"/>
  <c r="I47" i="25"/>
  <c r="H316" i="25"/>
  <c r="AL316" i="25"/>
  <c r="CC316" i="25"/>
  <c r="T322" i="25"/>
  <c r="J316" i="25"/>
  <c r="BM316" i="25"/>
  <c r="H39" i="25"/>
  <c r="CC39" i="25"/>
  <c r="AL39" i="25"/>
  <c r="J39" i="25"/>
  <c r="L39" i="25" s="1"/>
  <c r="BM39" i="25"/>
  <c r="AM242" i="24"/>
  <c r="H242" i="24"/>
  <c r="CF242" i="24"/>
  <c r="BO242" i="24"/>
  <c r="BR242" i="24" s="1"/>
  <c r="I242" i="24"/>
  <c r="H173" i="24"/>
  <c r="AM173" i="24"/>
  <c r="BO173" i="24"/>
  <c r="BR173" i="24" s="1"/>
  <c r="I173" i="24"/>
  <c r="K173" i="24" s="1"/>
  <c r="AM135" i="24"/>
  <c r="H135" i="24"/>
  <c r="I135" i="24"/>
  <c r="CF196" i="24"/>
  <c r="CE196" i="24"/>
  <c r="AM196" i="24"/>
  <c r="H196" i="24"/>
  <c r="I196" i="24"/>
  <c r="K196" i="24" s="1"/>
  <c r="BO196" i="24"/>
  <c r="BR196" i="24" s="1"/>
  <c r="H15" i="25"/>
  <c r="CF15" i="25"/>
  <c r="CE15" i="25"/>
  <c r="AL15" i="25"/>
  <c r="CC15" i="25"/>
  <c r="H309" i="25"/>
  <c r="AL309" i="25"/>
  <c r="CC309" i="25"/>
  <c r="J309" i="25"/>
  <c r="BM309" i="25"/>
  <c r="BN181" i="25"/>
  <c r="H228" i="25"/>
  <c r="AL228" i="25"/>
  <c r="CC228" i="25"/>
  <c r="BM228" i="25"/>
  <c r="J228" i="25"/>
  <c r="I249" i="25"/>
  <c r="BN249" i="25"/>
  <c r="CC33" i="25"/>
  <c r="AL33" i="25"/>
  <c r="CF33" i="25"/>
  <c r="CE33" i="25"/>
  <c r="H33" i="25"/>
  <c r="BM33" i="25"/>
  <c r="J33" i="25"/>
  <c r="AM32" i="24"/>
  <c r="K32" i="24"/>
  <c r="H32" i="24"/>
  <c r="I32" i="24"/>
  <c r="M32" i="24" s="1"/>
  <c r="BO32" i="24"/>
  <c r="BR32" i="24" s="1"/>
  <c r="CF184" i="24"/>
  <c r="H184" i="24"/>
  <c r="AM184" i="24"/>
  <c r="CE184" i="24"/>
  <c r="I184" i="24"/>
  <c r="K184" i="24" s="1"/>
  <c r="BO184" i="24"/>
  <c r="BR184" i="24" s="1"/>
  <c r="K80" i="24"/>
  <c r="H80" i="24"/>
  <c r="AM80" i="24"/>
  <c r="BO80" i="24"/>
  <c r="BR80" i="24" s="1"/>
  <c r="I80" i="24"/>
  <c r="AM210" i="24"/>
  <c r="H210" i="24"/>
  <c r="I210" i="24"/>
  <c r="K210" i="24" s="1"/>
  <c r="BO210" i="24"/>
  <c r="BR210" i="24" s="1"/>
  <c r="AM25" i="24"/>
  <c r="CE25" i="24"/>
  <c r="K25" i="24"/>
  <c r="CF25" i="24"/>
  <c r="H25" i="24"/>
  <c r="BO25" i="24"/>
  <c r="BR25" i="24" s="1"/>
  <c r="H111" i="25"/>
  <c r="AL111" i="25"/>
  <c r="CC111" i="25"/>
  <c r="J111" i="25"/>
  <c r="BM251" i="25"/>
  <c r="CC63" i="25"/>
  <c r="AL63" i="25"/>
  <c r="H63" i="25"/>
  <c r="CF63" i="25"/>
  <c r="CE63" i="25"/>
  <c r="J63" i="25"/>
  <c r="CC95" i="25"/>
  <c r="AL95" i="25"/>
  <c r="H95" i="25"/>
  <c r="CF95" i="25"/>
  <c r="CE95" i="25"/>
  <c r="BM95" i="25"/>
  <c r="J95" i="25"/>
  <c r="N95" i="25" s="1"/>
  <c r="AL75" i="25"/>
  <c r="CF75" i="25"/>
  <c r="CE75" i="25"/>
  <c r="CC75" i="25"/>
  <c r="H75" i="25"/>
  <c r="BM75" i="25"/>
  <c r="J75" i="25"/>
  <c r="L75" i="25" s="1"/>
  <c r="I304" i="25"/>
  <c r="BN304" i="25"/>
  <c r="AL234" i="25"/>
  <c r="H234" i="25"/>
  <c r="CC234" i="25"/>
  <c r="BM234" i="25"/>
  <c r="J234" i="25"/>
  <c r="CC184" i="25"/>
  <c r="AL184" i="25"/>
  <c r="H184" i="25"/>
  <c r="J184" i="25"/>
  <c r="BM184" i="25"/>
  <c r="BN101" i="25"/>
  <c r="I101" i="25"/>
  <c r="I45" i="25"/>
  <c r="BN45" i="25"/>
  <c r="H312" i="24"/>
  <c r="CE312" i="24"/>
  <c r="AM312" i="24"/>
  <c r="I312" i="24"/>
  <c r="M312" i="24" s="1"/>
  <c r="N312" i="24" s="1"/>
  <c r="BO312" i="24"/>
  <c r="BR312" i="24" s="1"/>
  <c r="CF275" i="24"/>
  <c r="AM275" i="24"/>
  <c r="H275" i="24"/>
  <c r="I275" i="24"/>
  <c r="H270" i="24"/>
  <c r="CF270" i="24"/>
  <c r="AM270" i="24"/>
  <c r="I270" i="24"/>
  <c r="M270" i="24" s="1"/>
  <c r="N270" i="24" s="1"/>
  <c r="BO270" i="24"/>
  <c r="BR270" i="24" s="1"/>
  <c r="CF240" i="24"/>
  <c r="H240" i="24"/>
  <c r="AM240" i="24"/>
  <c r="CE240" i="24"/>
  <c r="I240" i="24"/>
  <c r="K240" i="24" s="1"/>
  <c r="BO240" i="24"/>
  <c r="BR240" i="24" s="1"/>
  <c r="BO245" i="24"/>
  <c r="BR245" i="24" s="1"/>
  <c r="H295" i="25"/>
  <c r="AL295" i="25"/>
  <c r="CC295" i="25"/>
  <c r="J295" i="25"/>
  <c r="BM295" i="25"/>
  <c r="BQ295" i="25" s="1"/>
  <c r="AL260" i="25"/>
  <c r="CC260" i="25"/>
  <c r="H260" i="25"/>
  <c r="J260" i="25"/>
  <c r="L260" i="25" s="1"/>
  <c r="BM260" i="25"/>
  <c r="CC278" i="25"/>
  <c r="H278" i="25"/>
  <c r="AL278" i="25"/>
  <c r="BM278" i="25"/>
  <c r="J278" i="25"/>
  <c r="AL221" i="25"/>
  <c r="CC221" i="25"/>
  <c r="H221" i="25"/>
  <c r="BM221" i="25"/>
  <c r="J221" i="25"/>
  <c r="AM299" i="24"/>
  <c r="H299" i="24"/>
  <c r="I299" i="24"/>
  <c r="BO299" i="24"/>
  <c r="BR299" i="24" s="1"/>
  <c r="H120" i="24"/>
  <c r="CF120" i="24"/>
  <c r="CE120" i="24"/>
  <c r="AM120" i="24"/>
  <c r="I120" i="24"/>
  <c r="M120" i="24" s="1"/>
  <c r="BO120" i="24"/>
  <c r="BR120" i="24" s="1"/>
  <c r="AM290" i="24"/>
  <c r="CF290" i="24"/>
  <c r="H290" i="24"/>
  <c r="I290" i="24"/>
  <c r="M290" i="24" s="1"/>
  <c r="N290" i="24" s="1"/>
  <c r="BO290" i="24"/>
  <c r="BR290" i="24" s="1"/>
  <c r="BO58" i="24"/>
  <c r="BR58" i="24" s="1"/>
  <c r="BN244" i="25"/>
  <c r="H114" i="25"/>
  <c r="AL114" i="25"/>
  <c r="CC114" i="25"/>
  <c r="J114" i="25"/>
  <c r="N114" i="25" s="1"/>
  <c r="BM114" i="25"/>
  <c r="BQ114" i="25" s="1"/>
  <c r="I169" i="25"/>
  <c r="H204" i="25"/>
  <c r="CC204" i="25"/>
  <c r="AL204" i="25"/>
  <c r="BM204" i="25"/>
  <c r="J204" i="25"/>
  <c r="N204" i="25" s="1"/>
  <c r="BQ203" i="25"/>
  <c r="AM171" i="24"/>
  <c r="H171" i="24"/>
  <c r="CE171" i="24"/>
  <c r="CF171" i="24"/>
  <c r="I171" i="24"/>
  <c r="BO171" i="24"/>
  <c r="BR171" i="24" s="1"/>
  <c r="CF230" i="24"/>
  <c r="AM230" i="24"/>
  <c r="H230" i="24"/>
  <c r="CE230" i="24"/>
  <c r="I230" i="24"/>
  <c r="BO230" i="24"/>
  <c r="BR230" i="24" s="1"/>
  <c r="I210" i="25"/>
  <c r="BN210" i="25"/>
  <c r="BK142" i="24"/>
  <c r="S142" i="24"/>
  <c r="T142" i="24" s="1"/>
  <c r="CE254" i="24"/>
  <c r="CF254" i="24"/>
  <c r="H254" i="24"/>
  <c r="AM254" i="24"/>
  <c r="BO254" i="24"/>
  <c r="BR254" i="24" s="1"/>
  <c r="I254" i="24"/>
  <c r="BK132" i="24"/>
  <c r="S132" i="24"/>
  <c r="T132" i="24" s="1"/>
  <c r="M132" i="24"/>
  <c r="N132" i="24" s="1"/>
  <c r="CE134" i="24"/>
  <c r="AM134" i="24"/>
  <c r="H134" i="24"/>
  <c r="CF134" i="24"/>
  <c r="I134" i="24"/>
  <c r="K134" i="24" s="1"/>
  <c r="BO134" i="24"/>
  <c r="BR134" i="24" s="1"/>
  <c r="BK21" i="24"/>
  <c r="S21" i="24"/>
  <c r="T21" i="24" s="1"/>
  <c r="BN121" i="25"/>
  <c r="I247" i="25"/>
  <c r="I78" i="24"/>
  <c r="AL262" i="25"/>
  <c r="H262" i="25"/>
  <c r="CC262" i="25"/>
  <c r="J262" i="25"/>
  <c r="L262" i="25" s="1"/>
  <c r="AL275" i="25"/>
  <c r="CC275" i="25"/>
  <c r="H275" i="25"/>
  <c r="J275" i="25"/>
  <c r="N275" i="25" s="1"/>
  <c r="BM275" i="25"/>
  <c r="I88" i="25"/>
  <c r="BN88" i="25"/>
  <c r="AL305" i="25"/>
  <c r="CC305" i="25"/>
  <c r="H305" i="25"/>
  <c r="BM305" i="25"/>
  <c r="J305" i="25"/>
  <c r="N305" i="25" s="1"/>
  <c r="BN10" i="25"/>
  <c r="BQ10" i="25" s="1"/>
  <c r="CC223" i="25"/>
  <c r="H223" i="25"/>
  <c r="AL223" i="25"/>
  <c r="BM223" i="25"/>
  <c r="J223" i="25"/>
  <c r="I147" i="25"/>
  <c r="BN147" i="25"/>
  <c r="CC302" i="25"/>
  <c r="H302" i="25"/>
  <c r="AL302" i="25"/>
  <c r="J302" i="25"/>
  <c r="L302" i="25" s="1"/>
  <c r="BM302" i="25"/>
  <c r="AL248" i="25"/>
  <c r="CC248" i="25"/>
  <c r="H248" i="25"/>
  <c r="BM248" i="25"/>
  <c r="J248" i="25"/>
  <c r="N248" i="25" s="1"/>
  <c r="I144" i="25"/>
  <c r="I298" i="25"/>
  <c r="BN292" i="25"/>
  <c r="I292" i="25"/>
  <c r="AL124" i="25"/>
  <c r="CC124" i="25"/>
  <c r="H124" i="25"/>
  <c r="J124" i="25"/>
  <c r="L124" i="25" s="1"/>
  <c r="BM124" i="25"/>
  <c r="I110" i="25"/>
  <c r="AL89" i="25"/>
  <c r="CC89" i="25"/>
  <c r="H89" i="25"/>
  <c r="J89" i="25"/>
  <c r="N89" i="25" s="1"/>
  <c r="BM89" i="25"/>
  <c r="H272" i="25"/>
  <c r="CC272" i="25"/>
  <c r="AL272" i="25"/>
  <c r="BM272" i="25"/>
  <c r="J272" i="25"/>
  <c r="L272" i="25" s="1"/>
  <c r="BN66" i="25"/>
  <c r="I66" i="25"/>
  <c r="H248" i="24"/>
  <c r="AM248" i="24"/>
  <c r="CE248" i="24"/>
  <c r="CF248" i="24"/>
  <c r="I248" i="24"/>
  <c r="M248" i="24" s="1"/>
  <c r="AM112" i="24"/>
  <c r="H112" i="24"/>
  <c r="BO112" i="24"/>
  <c r="BR112" i="24" s="1"/>
  <c r="H315" i="24"/>
  <c r="CE315" i="24"/>
  <c r="AM315" i="24"/>
  <c r="BO315" i="24"/>
  <c r="BR315" i="24" s="1"/>
  <c r="I315" i="24"/>
  <c r="K315" i="24" s="1"/>
  <c r="H79" i="24"/>
  <c r="AM79" i="24"/>
  <c r="K79" i="24"/>
  <c r="I79" i="24"/>
  <c r="M79" i="24" s="1"/>
  <c r="H172" i="24"/>
  <c r="AM172" i="24"/>
  <c r="I172" i="24"/>
  <c r="M172" i="24" s="1"/>
  <c r="N172" i="24" s="1"/>
  <c r="H282" i="25"/>
  <c r="AL282" i="25"/>
  <c r="CC282" i="25"/>
  <c r="BM282" i="25"/>
  <c r="BQ282" i="25" s="1"/>
  <c r="J282" i="25"/>
  <c r="N282" i="25" s="1"/>
  <c r="H78" i="25"/>
  <c r="AL78" i="25"/>
  <c r="CC78" i="25"/>
  <c r="CF78" i="25"/>
  <c r="CE78" i="25"/>
  <c r="BM78" i="25"/>
  <c r="J78" i="25"/>
  <c r="L78" i="25" s="1"/>
  <c r="I173" i="25"/>
  <c r="BN173" i="25"/>
  <c r="AL172" i="25"/>
  <c r="CC172" i="25"/>
  <c r="H172" i="25"/>
  <c r="J172" i="25"/>
  <c r="BM172" i="25"/>
  <c r="I65" i="25"/>
  <c r="BN65" i="25"/>
  <c r="CC261" i="25"/>
  <c r="H261" i="25"/>
  <c r="AL261" i="25"/>
  <c r="BM261" i="25"/>
  <c r="J261" i="25"/>
  <c r="N261" i="25" s="1"/>
  <c r="I251" i="25"/>
  <c r="BN251" i="25"/>
  <c r="H139" i="24"/>
  <c r="AM139" i="24"/>
  <c r="I139" i="24"/>
  <c r="BO139" i="24"/>
  <c r="BR139" i="24" s="1"/>
  <c r="AM93" i="24"/>
  <c r="CF93" i="24"/>
  <c r="CE93" i="24"/>
  <c r="K93" i="24"/>
  <c r="H93" i="24"/>
  <c r="BO93" i="24"/>
  <c r="BR93" i="24" s="1"/>
  <c r="I93" i="24"/>
  <c r="H264" i="24"/>
  <c r="CE264" i="24"/>
  <c r="CF264" i="24"/>
  <c r="AM264" i="24"/>
  <c r="BO264" i="24"/>
  <c r="BR264" i="24" s="1"/>
  <c r="K47" i="24"/>
  <c r="H47" i="24"/>
  <c r="AM47" i="24"/>
  <c r="CF47" i="24"/>
  <c r="CE47" i="24"/>
  <c r="I47" i="24"/>
  <c r="M47" i="24" s="1"/>
  <c r="N47" i="24" s="1"/>
  <c r="BO47" i="24"/>
  <c r="BR47" i="24" s="1"/>
  <c r="K28" i="24"/>
  <c r="AM28" i="24"/>
  <c r="H28" i="24"/>
  <c r="CE28" i="24"/>
  <c r="CF28" i="24"/>
  <c r="I28" i="24"/>
  <c r="AM48" i="24"/>
  <c r="K48" i="24"/>
  <c r="H48" i="24"/>
  <c r="I48" i="24"/>
  <c r="M48" i="24" s="1"/>
  <c r="N48" i="24" s="1"/>
  <c r="CC201" i="25"/>
  <c r="AL201" i="25"/>
  <c r="H201" i="25"/>
  <c r="J201" i="25"/>
  <c r="N201" i="25" s="1"/>
  <c r="BM201" i="25"/>
  <c r="BN167" i="25"/>
  <c r="I167" i="25"/>
  <c r="AL166" i="25"/>
  <c r="CC166" i="25"/>
  <c r="H166" i="25"/>
  <c r="J166" i="25"/>
  <c r="BM166" i="25"/>
  <c r="I55" i="25"/>
  <c r="BN55" i="25"/>
  <c r="H285" i="25"/>
  <c r="AL285" i="25"/>
  <c r="CC285" i="25"/>
  <c r="BM285" i="25"/>
  <c r="J285" i="25"/>
  <c r="I306" i="25"/>
  <c r="BN306" i="25"/>
  <c r="AL90" i="25"/>
  <c r="CC90" i="25"/>
  <c r="H90" i="25"/>
  <c r="J90" i="25"/>
  <c r="L90" i="25" s="1"/>
  <c r="BM90" i="25"/>
  <c r="I263" i="25"/>
  <c r="BN263" i="25"/>
  <c r="H314" i="25"/>
  <c r="AL314" i="25"/>
  <c r="CC314" i="25"/>
  <c r="BM314" i="25"/>
  <c r="J314" i="25"/>
  <c r="N314" i="25" s="1"/>
  <c r="AL287" i="25"/>
  <c r="H287" i="25"/>
  <c r="CC287" i="25"/>
  <c r="J287" i="25"/>
  <c r="L287" i="25" s="1"/>
  <c r="BM287" i="25"/>
  <c r="CC259" i="25"/>
  <c r="H259" i="25"/>
  <c r="AL259" i="25"/>
  <c r="J259" i="25"/>
  <c r="N259" i="25" s="1"/>
  <c r="CF128" i="24"/>
  <c r="CE128" i="24"/>
  <c r="AM128" i="24"/>
  <c r="H128" i="24"/>
  <c r="I128" i="24"/>
  <c r="K128" i="24" s="1"/>
  <c r="H180" i="24"/>
  <c r="AM180" i="24"/>
  <c r="I180" i="24"/>
  <c r="M180" i="24" s="1"/>
  <c r="AM90" i="24"/>
  <c r="K90" i="24"/>
  <c r="H90" i="24"/>
  <c r="CF90" i="24"/>
  <c r="CE90" i="24"/>
  <c r="I90" i="24"/>
  <c r="M90" i="24" s="1"/>
  <c r="BO90" i="24"/>
  <c r="BR90" i="24" s="1"/>
  <c r="K17" i="24"/>
  <c r="H17" i="24"/>
  <c r="AM17" i="24"/>
  <c r="CF17" i="24"/>
  <c r="CE17" i="24"/>
  <c r="I17" i="24"/>
  <c r="BO17" i="24"/>
  <c r="BR17" i="24" s="1"/>
  <c r="K61" i="24"/>
  <c r="H61" i="24"/>
  <c r="AM61" i="24"/>
  <c r="I61" i="24"/>
  <c r="M61" i="24" s="1"/>
  <c r="N61" i="24" s="1"/>
  <c r="BO316" i="24"/>
  <c r="BR316" i="24" s="1"/>
  <c r="CC34" i="25"/>
  <c r="AL34" i="25"/>
  <c r="CF34" i="25"/>
  <c r="H34" i="25"/>
  <c r="CE34" i="25"/>
  <c r="J34" i="25"/>
  <c r="N34" i="25" s="1"/>
  <c r="I295" i="25"/>
  <c r="H227" i="25"/>
  <c r="AL227" i="25"/>
  <c r="CC227" i="25"/>
  <c r="J227" i="25"/>
  <c r="L227" i="25" s="1"/>
  <c r="BM227" i="25"/>
  <c r="BN260" i="25"/>
  <c r="BN278" i="25"/>
  <c r="BN221" i="25"/>
  <c r="AM204" i="24"/>
  <c r="H204" i="24"/>
  <c r="BO204" i="24"/>
  <c r="BR204" i="24" s="1"/>
  <c r="I204" i="24"/>
  <c r="K204" i="24" s="1"/>
  <c r="K69" i="24"/>
  <c r="H69" i="24"/>
  <c r="AM69" i="24"/>
  <c r="I69" i="24"/>
  <c r="BO69" i="24"/>
  <c r="BR69" i="24" s="1"/>
  <c r="AM31" i="24"/>
  <c r="CF31" i="24"/>
  <c r="CE31" i="24"/>
  <c r="K31" i="24"/>
  <c r="H31" i="24"/>
  <c r="I31" i="24"/>
  <c r="BO31" i="24"/>
  <c r="BR31" i="24" s="1"/>
  <c r="BM292" i="25"/>
  <c r="BN223" i="25"/>
  <c r="AL116" i="25"/>
  <c r="H116" i="25"/>
  <c r="CC116" i="25"/>
  <c r="J116" i="25"/>
  <c r="BM116" i="25"/>
  <c r="BQ116" i="25" s="1"/>
  <c r="AL118" i="25"/>
  <c r="CC118" i="25"/>
  <c r="H118" i="25"/>
  <c r="J118" i="25"/>
  <c r="BM118" i="25"/>
  <c r="BQ118" i="25" s="1"/>
  <c r="AL96" i="25"/>
  <c r="CC96" i="25"/>
  <c r="H96" i="25"/>
  <c r="J96" i="25"/>
  <c r="L96" i="25" s="1"/>
  <c r="BM96" i="25"/>
  <c r="CC21" i="25"/>
  <c r="H21" i="25"/>
  <c r="AL21" i="25"/>
  <c r="J21" i="25"/>
  <c r="N21" i="25" s="1"/>
  <c r="BM21" i="25"/>
  <c r="BQ21" i="25" s="1"/>
  <c r="I176" i="25"/>
  <c r="BN176" i="25"/>
  <c r="AL126" i="25"/>
  <c r="CC126" i="25"/>
  <c r="H126" i="25"/>
  <c r="BM126" i="25"/>
  <c r="H174" i="25"/>
  <c r="AL174" i="25"/>
  <c r="CC174" i="25"/>
  <c r="AM201" i="24"/>
  <c r="H201" i="24"/>
  <c r="BO201" i="24"/>
  <c r="BR201" i="24" s="1"/>
  <c r="I201" i="24"/>
  <c r="AM77" i="24"/>
  <c r="CF77" i="24"/>
  <c r="CE77" i="24"/>
  <c r="H77" i="24"/>
  <c r="K77" i="24"/>
  <c r="BO77" i="24"/>
  <c r="BR77" i="24" s="1"/>
  <c r="I77" i="24"/>
  <c r="BQ83" i="25"/>
  <c r="I240" i="25"/>
  <c r="I288" i="25"/>
  <c r="BO52" i="24"/>
  <c r="BR52" i="24" s="1"/>
  <c r="BM298" i="25"/>
  <c r="BQ298" i="25" s="1"/>
  <c r="J43" i="25"/>
  <c r="BK22" i="24"/>
  <c r="S22" i="24"/>
  <c r="T22" i="24" s="1"/>
  <c r="CC178" i="25"/>
  <c r="AL178" i="25"/>
  <c r="H178" i="25"/>
  <c r="BM178" i="25"/>
  <c r="J178" i="25"/>
  <c r="N178" i="25" s="1"/>
  <c r="AL267" i="25"/>
  <c r="CC267" i="25"/>
  <c r="H267" i="25"/>
  <c r="J267" i="25"/>
  <c r="N267" i="25" s="1"/>
  <c r="BM267" i="25"/>
  <c r="CF244" i="24"/>
  <c r="AM244" i="24"/>
  <c r="H244" i="24"/>
  <c r="CE244" i="24"/>
  <c r="I244" i="24"/>
  <c r="BO244" i="24"/>
  <c r="BR244" i="24" s="1"/>
  <c r="H65" i="24"/>
  <c r="K65" i="24"/>
  <c r="AM65" i="24"/>
  <c r="I65" i="24"/>
  <c r="AL187" i="25"/>
  <c r="CC187" i="25"/>
  <c r="H187" i="25"/>
  <c r="J187" i="25"/>
  <c r="BM187" i="25"/>
  <c r="H14" i="25"/>
  <c r="CC14" i="25"/>
  <c r="AL14" i="25"/>
  <c r="J14" i="25"/>
  <c r="N14" i="25" s="1"/>
  <c r="BM14" i="25"/>
  <c r="AM89" i="24"/>
  <c r="CE89" i="24"/>
  <c r="CF89" i="24"/>
  <c r="K89" i="24"/>
  <c r="H89" i="24"/>
  <c r="I89" i="24"/>
  <c r="BO89" i="24"/>
  <c r="BR89" i="24" s="1"/>
  <c r="H199" i="24"/>
  <c r="AM199" i="24"/>
  <c r="I199" i="24"/>
  <c r="M199" i="24" s="1"/>
  <c r="N199" i="24" s="1"/>
  <c r="AM313" i="24"/>
  <c r="CE313" i="24"/>
  <c r="CF313" i="24"/>
  <c r="H313" i="24"/>
  <c r="I313" i="24"/>
  <c r="M313" i="24" s="1"/>
  <c r="BO313" i="24"/>
  <c r="BR313" i="24" s="1"/>
  <c r="H15" i="24"/>
  <c r="AM15" i="24"/>
  <c r="CE15" i="24"/>
  <c r="CF15" i="24"/>
  <c r="K15" i="24"/>
  <c r="I15" i="24"/>
  <c r="BO15" i="24"/>
  <c r="BR15" i="24" s="1"/>
  <c r="BO91" i="24"/>
  <c r="BR91" i="24" s="1"/>
  <c r="CF53" i="24"/>
  <c r="AM53" i="24"/>
  <c r="CE53" i="24"/>
  <c r="K53" i="24"/>
  <c r="H53" i="24"/>
  <c r="I53" i="24"/>
  <c r="M53" i="24" s="1"/>
  <c r="N53" i="24" s="1"/>
  <c r="BO154" i="24"/>
  <c r="BR154" i="24" s="1"/>
  <c r="AM127" i="24"/>
  <c r="H127" i="24"/>
  <c r="I127" i="24"/>
  <c r="M127" i="24" s="1"/>
  <c r="N127" i="24" s="1"/>
  <c r="BO199" i="24"/>
  <c r="BR199" i="24" s="1"/>
  <c r="BN97" i="25"/>
  <c r="BQ97" i="25" s="1"/>
  <c r="I97" i="25"/>
  <c r="I150" i="25"/>
  <c r="BN150" i="25"/>
  <c r="CC32" i="25"/>
  <c r="CF32" i="25"/>
  <c r="CE32" i="25"/>
  <c r="H32" i="25"/>
  <c r="AL32" i="25"/>
  <c r="J32" i="25"/>
  <c r="N32" i="25" s="1"/>
  <c r="BM32" i="25"/>
  <c r="BN99" i="25"/>
  <c r="I99" i="25"/>
  <c r="H49" i="25"/>
  <c r="CF49" i="25"/>
  <c r="CE49" i="25"/>
  <c r="CC49" i="25"/>
  <c r="AL49" i="25"/>
  <c r="BM49" i="25"/>
  <c r="J49" i="25"/>
  <c r="L49" i="25" s="1"/>
  <c r="AM23" i="24"/>
  <c r="K23" i="24"/>
  <c r="H23" i="24"/>
  <c r="I23" i="24"/>
  <c r="BO23" i="24"/>
  <c r="BR23" i="24" s="1"/>
  <c r="CF86" i="24"/>
  <c r="K86" i="24"/>
  <c r="H86" i="24"/>
  <c r="AM86" i="24"/>
  <c r="CE86" i="24"/>
  <c r="I86" i="24"/>
  <c r="M86" i="24" s="1"/>
  <c r="N86" i="24" s="1"/>
  <c r="I224" i="25"/>
  <c r="H183" i="25"/>
  <c r="AL183" i="25"/>
  <c r="CC183" i="25"/>
  <c r="BM183" i="25"/>
  <c r="BQ183" i="25" s="1"/>
  <c r="J183" i="25"/>
  <c r="L183" i="25" s="1"/>
  <c r="H179" i="25"/>
  <c r="AL179" i="25"/>
  <c r="CC179" i="25"/>
  <c r="BM179" i="25"/>
  <c r="BQ179" i="25" s="1"/>
  <c r="BQ168" i="25"/>
  <c r="I246" i="25"/>
  <c r="BN246" i="25"/>
  <c r="BQ246" i="25" s="1"/>
  <c r="H59" i="25"/>
  <c r="AL59" i="25"/>
  <c r="CC59" i="25"/>
  <c r="CE59" i="25"/>
  <c r="CF59" i="25"/>
  <c r="BM59" i="25"/>
  <c r="J59" i="25"/>
  <c r="L59" i="25" s="1"/>
  <c r="I232" i="25"/>
  <c r="BN232" i="25"/>
  <c r="BQ232" i="25" s="1"/>
  <c r="I180" i="25"/>
  <c r="BN180" i="25"/>
  <c r="BQ180" i="25" s="1"/>
  <c r="CC255" i="25"/>
  <c r="H255" i="25"/>
  <c r="AL255" i="25"/>
  <c r="J255" i="25"/>
  <c r="N255" i="25" s="1"/>
  <c r="BM255" i="25"/>
  <c r="I162" i="25"/>
  <c r="BN162" i="25"/>
  <c r="BO135" i="24"/>
  <c r="BR135" i="24" s="1"/>
  <c r="J304" i="25"/>
  <c r="L304" i="25" s="1"/>
  <c r="CC88" i="25"/>
  <c r="AL88" i="25"/>
  <c r="H88" i="25"/>
  <c r="J88" i="25"/>
  <c r="BM88" i="25"/>
  <c r="H161" i="24"/>
  <c r="AM161" i="24"/>
  <c r="I161" i="24"/>
  <c r="K161" i="24" s="1"/>
  <c r="AM303" i="24"/>
  <c r="H303" i="24"/>
  <c r="CE303" i="24"/>
  <c r="CF303" i="24"/>
  <c r="I303" i="24"/>
  <c r="M303" i="24" s="1"/>
  <c r="BO303" i="24"/>
  <c r="BR303" i="24" s="1"/>
  <c r="H10" i="24"/>
  <c r="CF10" i="24"/>
  <c r="CE10" i="24"/>
  <c r="K10" i="24"/>
  <c r="AM10" i="24"/>
  <c r="I10" i="24"/>
  <c r="M10" i="24" s="1"/>
  <c r="AL28" i="25"/>
  <c r="H28" i="25"/>
  <c r="CE28" i="25"/>
  <c r="CF28" i="25"/>
  <c r="CC28" i="25"/>
  <c r="BM28" i="25"/>
  <c r="I154" i="25"/>
  <c r="H197" i="24"/>
  <c r="CF197" i="24"/>
  <c r="CE197" i="24"/>
  <c r="AM197" i="24"/>
  <c r="I197" i="24"/>
  <c r="BO197" i="24"/>
  <c r="BR197" i="24" s="1"/>
  <c r="H149" i="24"/>
  <c r="CF149" i="24"/>
  <c r="CE149" i="24"/>
  <c r="AM149" i="24"/>
  <c r="I149" i="24"/>
  <c r="K149" i="24" s="1"/>
  <c r="BO149" i="24"/>
  <c r="BR149" i="24" s="1"/>
  <c r="H264" i="25"/>
  <c r="AL264" i="25"/>
  <c r="CC264" i="25"/>
  <c r="J264" i="25"/>
  <c r="L264" i="25" s="1"/>
  <c r="BM264" i="25"/>
  <c r="BQ264" i="25" s="1"/>
  <c r="AL313" i="25"/>
  <c r="CC313" i="25"/>
  <c r="H313" i="25"/>
  <c r="J313" i="25"/>
  <c r="L313" i="25" s="1"/>
  <c r="I175" i="25"/>
  <c r="BN175" i="25"/>
  <c r="I142" i="25"/>
  <c r="BN142" i="25"/>
  <c r="I12" i="25"/>
  <c r="BN12" i="25"/>
  <c r="CC294" i="25"/>
  <c r="H294" i="25"/>
  <c r="AL294" i="25"/>
  <c r="J294" i="25"/>
  <c r="BM294" i="25"/>
  <c r="CC224" i="25"/>
  <c r="H224" i="25"/>
  <c r="AL224" i="25"/>
  <c r="J224" i="25"/>
  <c r="L224" i="25" s="1"/>
  <c r="BN103" i="25"/>
  <c r="I103" i="25"/>
  <c r="BN254" i="25"/>
  <c r="CC146" i="25"/>
  <c r="H146" i="25"/>
  <c r="AL146" i="25"/>
  <c r="J146" i="25"/>
  <c r="L146" i="25" s="1"/>
  <c r="BM146" i="25"/>
  <c r="BQ146" i="25" s="1"/>
  <c r="BN291" i="25"/>
  <c r="BN296" i="25"/>
  <c r="I113" i="25"/>
  <c r="BN136" i="25"/>
  <c r="I136" i="25"/>
  <c r="BN56" i="25"/>
  <c r="CC293" i="25"/>
  <c r="H293" i="25"/>
  <c r="AL293" i="25"/>
  <c r="BM293" i="25"/>
  <c r="BN252" i="25"/>
  <c r="I252" i="25"/>
  <c r="CF61" i="25"/>
  <c r="H61" i="25"/>
  <c r="AL61" i="25"/>
  <c r="CC61" i="25"/>
  <c r="CE61" i="25"/>
  <c r="J61" i="25"/>
  <c r="BM61" i="25"/>
  <c r="BN250" i="25"/>
  <c r="I250" i="25"/>
  <c r="AM64" i="24"/>
  <c r="CE64" i="24"/>
  <c r="CF64" i="24"/>
  <c r="K64" i="24"/>
  <c r="H64" i="24"/>
  <c r="BO64" i="24"/>
  <c r="BR64" i="24" s="1"/>
  <c r="I64" i="24"/>
  <c r="AM262" i="24"/>
  <c r="CE262" i="24"/>
  <c r="H262" i="24"/>
  <c r="I262" i="24"/>
  <c r="BO262" i="24"/>
  <c r="BR262" i="24" s="1"/>
  <c r="AM249" i="24"/>
  <c r="H249" i="24"/>
  <c r="CE249" i="24"/>
  <c r="CF249" i="24"/>
  <c r="I249" i="24"/>
  <c r="K249" i="24" s="1"/>
  <c r="BO249" i="24"/>
  <c r="BR249" i="24" s="1"/>
  <c r="H236" i="24"/>
  <c r="CF236" i="24"/>
  <c r="AM236" i="24"/>
  <c r="BO236" i="24"/>
  <c r="BR236" i="24" s="1"/>
  <c r="I303" i="25"/>
  <c r="BN303" i="25"/>
  <c r="BQ303" i="25" s="1"/>
  <c r="AL7" i="25"/>
  <c r="CC7" i="25"/>
  <c r="H7" i="25"/>
  <c r="J7" i="25"/>
  <c r="L7" i="25" s="1"/>
  <c r="BM7" i="25"/>
  <c r="I191" i="25"/>
  <c r="BN191" i="25"/>
  <c r="AL299" i="25"/>
  <c r="CC299" i="25"/>
  <c r="H299" i="25"/>
  <c r="J299" i="25"/>
  <c r="L299" i="25" s="1"/>
  <c r="H27" i="25"/>
  <c r="AL27" i="25"/>
  <c r="CC27" i="25"/>
  <c r="BM27" i="25"/>
  <c r="J27" i="25"/>
  <c r="I284" i="25"/>
  <c r="BN284" i="25"/>
  <c r="CF235" i="24"/>
  <c r="H235" i="24"/>
  <c r="AM235" i="24"/>
  <c r="CE235" i="24"/>
  <c r="I235" i="24"/>
  <c r="CE288" i="24"/>
  <c r="AM288" i="24"/>
  <c r="H288" i="24"/>
  <c r="I288" i="24"/>
  <c r="K288" i="24" s="1"/>
  <c r="BO288" i="24"/>
  <c r="BR288" i="24" s="1"/>
  <c r="CE57" i="24"/>
  <c r="CF57" i="24"/>
  <c r="K57" i="24"/>
  <c r="H57" i="24"/>
  <c r="AM57" i="24"/>
  <c r="I57" i="24"/>
  <c r="BO57" i="24"/>
  <c r="BR57" i="24" s="1"/>
  <c r="CE278" i="24"/>
  <c r="H278" i="24"/>
  <c r="AM278" i="24"/>
  <c r="I278" i="24"/>
  <c r="K278" i="24" s="1"/>
  <c r="BO278" i="24"/>
  <c r="BR278" i="24" s="1"/>
  <c r="H69" i="25"/>
  <c r="CE69" i="25"/>
  <c r="AL69" i="25"/>
  <c r="CC69" i="25"/>
  <c r="CF69" i="25"/>
  <c r="J69" i="25"/>
  <c r="L69" i="25" s="1"/>
  <c r="K26" i="24"/>
  <c r="CF26" i="24"/>
  <c r="CE26" i="24"/>
  <c r="AM26" i="24"/>
  <c r="H26" i="24"/>
  <c r="I26" i="24"/>
  <c r="I60" i="25"/>
  <c r="BN60" i="25"/>
  <c r="BN313" i="25"/>
  <c r="AL209" i="25"/>
  <c r="CC209" i="25"/>
  <c r="H209" i="25"/>
  <c r="BM209" i="25"/>
  <c r="J209" i="25"/>
  <c r="L209" i="25" s="1"/>
  <c r="H131" i="25"/>
  <c r="AL131" i="25"/>
  <c r="CC131" i="25"/>
  <c r="BM131" i="25"/>
  <c r="CC119" i="25"/>
  <c r="H119" i="25"/>
  <c r="AL119" i="25"/>
  <c r="J119" i="25"/>
  <c r="BM119" i="25"/>
  <c r="BQ119" i="25" s="1"/>
  <c r="AL133" i="25"/>
  <c r="CC133" i="25"/>
  <c r="H133" i="25"/>
  <c r="BM133" i="25"/>
  <c r="J133" i="25"/>
  <c r="L133" i="25" s="1"/>
  <c r="AL41" i="25"/>
  <c r="H41" i="25"/>
  <c r="CC41" i="25"/>
  <c r="CE41" i="25"/>
  <c r="CF41" i="25"/>
  <c r="J41" i="25"/>
  <c r="BM41" i="25"/>
  <c r="BQ41" i="25" s="1"/>
  <c r="AL256" i="25"/>
  <c r="H256" i="25"/>
  <c r="CC256" i="25"/>
  <c r="J256" i="25"/>
  <c r="I19" i="25"/>
  <c r="AL36" i="25"/>
  <c r="CC36" i="25"/>
  <c r="CF36" i="25"/>
  <c r="CE36" i="25"/>
  <c r="H36" i="25"/>
  <c r="BM36" i="25"/>
  <c r="J36" i="25"/>
  <c r="I64" i="25"/>
  <c r="BN64" i="25"/>
  <c r="AL274" i="25"/>
  <c r="CC274" i="25"/>
  <c r="H274" i="25"/>
  <c r="BM274" i="25"/>
  <c r="BQ274" i="25" s="1"/>
  <c r="J274" i="25"/>
  <c r="L274" i="25" s="1"/>
  <c r="H268" i="25"/>
  <c r="AL268" i="25"/>
  <c r="CC268" i="25"/>
  <c r="J268" i="25"/>
  <c r="L268" i="25" s="1"/>
  <c r="BM268" i="25"/>
  <c r="I301" i="25"/>
  <c r="BN301" i="25"/>
  <c r="H308" i="25"/>
  <c r="AL308" i="25"/>
  <c r="CC308" i="25"/>
  <c r="J308" i="25"/>
  <c r="CC286" i="25"/>
  <c r="H286" i="25"/>
  <c r="AL286" i="25"/>
  <c r="J286" i="25"/>
  <c r="BM286" i="25"/>
  <c r="AM178" i="24"/>
  <c r="H178" i="24"/>
  <c r="I178" i="24"/>
  <c r="H217" i="24"/>
  <c r="AM217" i="24"/>
  <c r="BO217" i="24"/>
  <c r="BR217" i="24" s="1"/>
  <c r="I217" i="24"/>
  <c r="K217" i="24" s="1"/>
  <c r="H221" i="24"/>
  <c r="CF221" i="24"/>
  <c r="AM221" i="24"/>
  <c r="CE221" i="24"/>
  <c r="I221" i="24"/>
  <c r="K221" i="24" s="1"/>
  <c r="BO221" i="24"/>
  <c r="BR221" i="24" s="1"/>
  <c r="CE293" i="24"/>
  <c r="CF293" i="24"/>
  <c r="H293" i="24"/>
  <c r="AM293" i="24"/>
  <c r="BO293" i="24"/>
  <c r="BR293" i="24" s="1"/>
  <c r="I293" i="24"/>
  <c r="K293" i="24" s="1"/>
  <c r="H135" i="25"/>
  <c r="AL135" i="25"/>
  <c r="CC135" i="25"/>
  <c r="J135" i="25"/>
  <c r="L135" i="25" s="1"/>
  <c r="BM135" i="25"/>
  <c r="BQ135" i="25" s="1"/>
  <c r="AL196" i="25"/>
  <c r="CC196" i="25"/>
  <c r="H196" i="25"/>
  <c r="J196" i="25"/>
  <c r="BM196" i="25"/>
  <c r="BQ196" i="25" s="1"/>
  <c r="CC153" i="25"/>
  <c r="H153" i="25"/>
  <c r="AL153" i="25"/>
  <c r="J153" i="25"/>
  <c r="H127" i="25"/>
  <c r="AL127" i="25"/>
  <c r="CC127" i="25"/>
  <c r="BM127" i="25"/>
  <c r="BQ127" i="25" s="1"/>
  <c r="J127" i="25"/>
  <c r="L127" i="25" s="1"/>
  <c r="AL149" i="25"/>
  <c r="CC149" i="25"/>
  <c r="H149" i="25"/>
  <c r="J149" i="25"/>
  <c r="BM149" i="25"/>
  <c r="BQ149" i="25" s="1"/>
  <c r="AL140" i="25"/>
  <c r="CC140" i="25"/>
  <c r="H140" i="25"/>
  <c r="BM140" i="25"/>
  <c r="BQ140" i="25" s="1"/>
  <c r="J140" i="25"/>
  <c r="L140" i="25" s="1"/>
  <c r="H123" i="25"/>
  <c r="AL123" i="25"/>
  <c r="CC123" i="25"/>
  <c r="J123" i="25"/>
  <c r="BM123" i="25"/>
  <c r="BQ123" i="25" s="1"/>
  <c r="H22" i="25"/>
  <c r="AL22" i="25"/>
  <c r="CC22" i="25"/>
  <c r="J22" i="25"/>
  <c r="L22" i="25" s="1"/>
  <c r="BM22" i="25"/>
  <c r="BQ22" i="25" s="1"/>
  <c r="CE24" i="25"/>
  <c r="AL24" i="25"/>
  <c r="H24" i="25"/>
  <c r="CC24" i="25"/>
  <c r="CF24" i="25"/>
  <c r="J24" i="25"/>
  <c r="BM24" i="25"/>
  <c r="BQ24" i="25" s="1"/>
  <c r="CC98" i="25"/>
  <c r="H98" i="25"/>
  <c r="AL98" i="25"/>
  <c r="BM98" i="25"/>
  <c r="BQ98" i="25" s="1"/>
  <c r="J98" i="25"/>
  <c r="CC57" i="25"/>
  <c r="H57" i="25"/>
  <c r="AL57" i="25"/>
  <c r="BM57" i="25"/>
  <c r="BQ57" i="25" s="1"/>
  <c r="J57" i="25"/>
  <c r="L57" i="25" s="1"/>
  <c r="H20" i="25"/>
  <c r="CF20" i="25"/>
  <c r="CE20" i="25"/>
  <c r="CC20" i="25"/>
  <c r="AL20" i="25"/>
  <c r="J20" i="25"/>
  <c r="L20" i="25" s="1"/>
  <c r="BM20" i="25"/>
  <c r="BQ20" i="25" s="1"/>
  <c r="CC91" i="25"/>
  <c r="AL91" i="25"/>
  <c r="CF91" i="25"/>
  <c r="H91" i="25"/>
  <c r="CE91" i="25"/>
  <c r="J91" i="25"/>
  <c r="CC85" i="25"/>
  <c r="H85" i="25"/>
  <c r="CF85" i="25"/>
  <c r="CE85" i="25"/>
  <c r="AL85" i="25"/>
  <c r="J85" i="25"/>
  <c r="BM85" i="25"/>
  <c r="BQ85" i="25" s="1"/>
  <c r="H48" i="25"/>
  <c r="AL48" i="25"/>
  <c r="CC48" i="25"/>
  <c r="J48" i="25"/>
  <c r="CE35" i="25"/>
  <c r="CF35" i="25"/>
  <c r="H35" i="25"/>
  <c r="CC35" i="25"/>
  <c r="AL35" i="25"/>
  <c r="BM35" i="25"/>
  <c r="BQ35" i="25" s="1"/>
  <c r="J35" i="25"/>
  <c r="H175" i="24"/>
  <c r="AM175" i="24"/>
  <c r="I175" i="24"/>
  <c r="K95" i="24"/>
  <c r="H95" i="24"/>
  <c r="AM95" i="24"/>
  <c r="CE95" i="24"/>
  <c r="CF95" i="24"/>
  <c r="I95" i="24"/>
  <c r="BO95" i="24"/>
  <c r="BR95" i="24" s="1"/>
  <c r="CE258" i="24"/>
  <c r="H258" i="24"/>
  <c r="AM258" i="24"/>
  <c r="I258" i="24"/>
  <c r="BO258" i="24"/>
  <c r="BR258" i="24" s="1"/>
  <c r="BM66" i="25"/>
  <c r="BM92" i="25"/>
  <c r="BN222" i="25"/>
  <c r="CC207" i="25"/>
  <c r="AL207" i="25"/>
  <c r="H207" i="25"/>
  <c r="J207" i="25"/>
  <c r="BM207" i="25"/>
  <c r="BQ207" i="25" s="1"/>
  <c r="CC230" i="25"/>
  <c r="H230" i="25"/>
  <c r="AL230" i="25"/>
  <c r="J230" i="25"/>
  <c r="L230" i="25" s="1"/>
  <c r="BM230" i="25"/>
  <c r="BQ230" i="25" s="1"/>
  <c r="BN74" i="25"/>
  <c r="I74" i="25"/>
  <c r="AL62" i="25"/>
  <c r="CC62" i="25"/>
  <c r="H62" i="25"/>
  <c r="BM62" i="25"/>
  <c r="J62" i="25"/>
  <c r="N62" i="25" s="1"/>
  <c r="CF237" i="24"/>
  <c r="AM237" i="24"/>
  <c r="H237" i="24"/>
  <c r="CE237" i="24"/>
  <c r="BO237" i="24"/>
  <c r="BR237" i="24" s="1"/>
  <c r="I237" i="24"/>
  <c r="M237" i="24" s="1"/>
  <c r="N237" i="24" s="1"/>
  <c r="BK162" i="24"/>
  <c r="S162" i="24"/>
  <c r="T162" i="24" s="1"/>
  <c r="M162" i="24"/>
  <c r="N162" i="24" s="1"/>
  <c r="I16" i="25"/>
  <c r="BN16" i="25"/>
  <c r="BQ16" i="25" s="1"/>
  <c r="I50" i="25"/>
  <c r="BM220" i="25"/>
  <c r="BO166" i="24"/>
  <c r="BR166" i="24" s="1"/>
  <c r="BM91" i="25"/>
  <c r="BQ91" i="25" s="1"/>
  <c r="BM103" i="25"/>
  <c r="J87" i="25"/>
  <c r="N87" i="25" s="1"/>
  <c r="AL113" i="25"/>
  <c r="CC113" i="25"/>
  <c r="H113" i="25"/>
  <c r="J113" i="25"/>
  <c r="N113" i="25" s="1"/>
  <c r="BM113" i="25"/>
  <c r="AL225" i="25"/>
  <c r="CC225" i="25"/>
  <c r="H225" i="25"/>
  <c r="BM225" i="25"/>
  <c r="J225" i="25"/>
  <c r="L225" i="25" s="1"/>
  <c r="CC25" i="25"/>
  <c r="AL25" i="25"/>
  <c r="CE25" i="25"/>
  <c r="CF25" i="25"/>
  <c r="H25" i="25"/>
  <c r="BM25" i="25"/>
  <c r="J25" i="25"/>
  <c r="L25" i="25" s="1"/>
  <c r="H310" i="24"/>
  <c r="AM310" i="24"/>
  <c r="I310" i="24"/>
  <c r="M310" i="24" s="1"/>
  <c r="BO310" i="24"/>
  <c r="BR310" i="24" s="1"/>
  <c r="CC97" i="25"/>
  <c r="H97" i="25"/>
  <c r="AL97" i="25"/>
  <c r="J97" i="25"/>
  <c r="L97" i="25" s="1"/>
  <c r="I92" i="25"/>
  <c r="BN92" i="25"/>
  <c r="I155" i="25"/>
  <c r="BN155" i="25"/>
  <c r="H305" i="24"/>
  <c r="AM305" i="24"/>
  <c r="I305" i="24"/>
  <c r="K305" i="24" s="1"/>
  <c r="BO305" i="24"/>
  <c r="BR305" i="24" s="1"/>
  <c r="H158" i="25"/>
  <c r="AL158" i="25"/>
  <c r="CC158" i="25"/>
  <c r="J158" i="25"/>
  <c r="N158" i="25" s="1"/>
  <c r="H112" i="25"/>
  <c r="CC112" i="25"/>
  <c r="AL112" i="25"/>
  <c r="BM112" i="25"/>
  <c r="J112" i="25"/>
  <c r="L112" i="25" s="1"/>
  <c r="H134" i="25"/>
  <c r="AL134" i="25"/>
  <c r="CC134" i="25"/>
  <c r="J134" i="25"/>
  <c r="L134" i="25" s="1"/>
  <c r="BM134" i="25"/>
  <c r="H258" i="25"/>
  <c r="AL258" i="25"/>
  <c r="CC258" i="25"/>
  <c r="BM258" i="25"/>
  <c r="BQ258" i="25" s="1"/>
  <c r="I216" i="25"/>
  <c r="BN113" i="25"/>
  <c r="BN243" i="25"/>
  <c r="I243" i="25"/>
  <c r="H121" i="25"/>
  <c r="AL121" i="25"/>
  <c r="CC121" i="25"/>
  <c r="J121" i="25"/>
  <c r="L121" i="25" s="1"/>
  <c r="BM121" i="25"/>
  <c r="H47" i="25"/>
  <c r="CF47" i="25"/>
  <c r="CE47" i="25"/>
  <c r="AL47" i="25"/>
  <c r="CC47" i="25"/>
  <c r="J47" i="25"/>
  <c r="BM47" i="25"/>
  <c r="BN316" i="25"/>
  <c r="I316" i="25"/>
  <c r="AL242" i="25"/>
  <c r="CC242" i="25"/>
  <c r="H242" i="25"/>
  <c r="BM242" i="25"/>
  <c r="J242" i="25"/>
  <c r="BN39" i="25"/>
  <c r="I39" i="25"/>
  <c r="H301" i="24"/>
  <c r="AM301" i="24"/>
  <c r="CE301" i="24"/>
  <c r="CF301" i="24"/>
  <c r="I301" i="24"/>
  <c r="BO301" i="24"/>
  <c r="BR301" i="24" s="1"/>
  <c r="AM238" i="24"/>
  <c r="H238" i="24"/>
  <c r="I238" i="24"/>
  <c r="M238" i="24" s="1"/>
  <c r="N238" i="24" s="1"/>
  <c r="BO238" i="24"/>
  <c r="BR238" i="24" s="1"/>
  <c r="H193" i="24"/>
  <c r="AM193" i="24"/>
  <c r="I193" i="24"/>
  <c r="M193" i="24" s="1"/>
  <c r="BO193" i="24"/>
  <c r="BR193" i="24" s="1"/>
  <c r="H136" i="24"/>
  <c r="AM136" i="24"/>
  <c r="CF136" i="24"/>
  <c r="CE136" i="24"/>
  <c r="I136" i="24"/>
  <c r="BO136" i="24"/>
  <c r="BR136" i="24" s="1"/>
  <c r="CC50" i="25"/>
  <c r="AL50" i="25"/>
  <c r="H50" i="25"/>
  <c r="CE50" i="25"/>
  <c r="CF50" i="25"/>
  <c r="J50" i="25"/>
  <c r="AL229" i="25"/>
  <c r="CC229" i="25"/>
  <c r="H229" i="25"/>
  <c r="J229" i="25"/>
  <c r="N229" i="25" s="1"/>
  <c r="BM229" i="25"/>
  <c r="BQ229" i="25" s="1"/>
  <c r="I309" i="25"/>
  <c r="BN309" i="25"/>
  <c r="AL181" i="25"/>
  <c r="CC181" i="25"/>
  <c r="H181" i="25"/>
  <c r="BM181" i="25"/>
  <c r="J181" i="25"/>
  <c r="I228" i="25"/>
  <c r="BN228" i="25"/>
  <c r="AL249" i="25"/>
  <c r="CC249" i="25"/>
  <c r="H249" i="25"/>
  <c r="J249" i="25"/>
  <c r="L249" i="25" s="1"/>
  <c r="BM249" i="25"/>
  <c r="BN33" i="25"/>
  <c r="I33" i="25"/>
  <c r="H240" i="25"/>
  <c r="CC240" i="25"/>
  <c r="AL240" i="25"/>
  <c r="J240" i="25"/>
  <c r="N240" i="25" s="1"/>
  <c r="BM240" i="25"/>
  <c r="BQ240" i="25" s="1"/>
  <c r="H203" i="24"/>
  <c r="AM203" i="24"/>
  <c r="I203" i="24"/>
  <c r="K203" i="24" s="1"/>
  <c r="BO203" i="24"/>
  <c r="BR203" i="24" s="1"/>
  <c r="H49" i="24"/>
  <c r="AM49" i="24"/>
  <c r="K49" i="24"/>
  <c r="I49" i="24"/>
  <c r="H218" i="24"/>
  <c r="AM218" i="24"/>
  <c r="I218" i="24"/>
  <c r="M218" i="24" s="1"/>
  <c r="BO218" i="24"/>
  <c r="BR218" i="24" s="1"/>
  <c r="CF227" i="24"/>
  <c r="AM227" i="24"/>
  <c r="H227" i="24"/>
  <c r="BO227" i="24"/>
  <c r="BR227" i="24" s="1"/>
  <c r="I227" i="24"/>
  <c r="M227" i="24" s="1"/>
  <c r="BM158" i="25"/>
  <c r="AL277" i="25"/>
  <c r="CC277" i="25"/>
  <c r="H277" i="25"/>
  <c r="J277" i="25"/>
  <c r="L277" i="25" s="1"/>
  <c r="H78" i="24"/>
  <c r="AM78" i="24"/>
  <c r="K78" i="24"/>
  <c r="H11" i="24"/>
  <c r="CF11" i="24"/>
  <c r="CE11" i="24"/>
  <c r="AM11" i="24"/>
  <c r="K11" i="24"/>
  <c r="I11" i="24"/>
  <c r="CE183" i="24"/>
  <c r="H183" i="24"/>
  <c r="CF183" i="24"/>
  <c r="AM183" i="24"/>
  <c r="I183" i="24"/>
  <c r="H235" i="25"/>
  <c r="AL235" i="25"/>
  <c r="CC235" i="25"/>
  <c r="J235" i="25"/>
  <c r="L235" i="25" s="1"/>
  <c r="BM235" i="25"/>
  <c r="AL304" i="25"/>
  <c r="CC304" i="25"/>
  <c r="H304" i="25"/>
  <c r="I234" i="25"/>
  <c r="BN234" i="25"/>
  <c r="AL289" i="25"/>
  <c r="CC289" i="25"/>
  <c r="H289" i="25"/>
  <c r="BM289" i="25"/>
  <c r="J289" i="25"/>
  <c r="I184" i="25"/>
  <c r="BN184" i="25"/>
  <c r="AL101" i="25"/>
  <c r="CC101" i="25"/>
  <c r="H101" i="25"/>
  <c r="J101" i="25"/>
  <c r="BM101" i="25"/>
  <c r="H45" i="25"/>
  <c r="AL45" i="25"/>
  <c r="CC45" i="25"/>
  <c r="J45" i="25"/>
  <c r="L45" i="25" s="1"/>
  <c r="H306" i="24"/>
  <c r="AM306" i="24"/>
  <c r="I306" i="24"/>
  <c r="M306" i="24" s="1"/>
  <c r="H220" i="24"/>
  <c r="AM220" i="24"/>
  <c r="BO220" i="24"/>
  <c r="BR220" i="24" s="1"/>
  <c r="I220" i="24"/>
  <c r="K220" i="24" s="1"/>
  <c r="AM156" i="24"/>
  <c r="H156" i="24"/>
  <c r="I156" i="24"/>
  <c r="BO156" i="24"/>
  <c r="BR156" i="24" s="1"/>
  <c r="CE300" i="24"/>
  <c r="CF300" i="24"/>
  <c r="H300" i="24"/>
  <c r="AM300" i="24"/>
  <c r="I300" i="24"/>
  <c r="BO300" i="24"/>
  <c r="BR300" i="24" s="1"/>
  <c r="CF42" i="24"/>
  <c r="AM42" i="24"/>
  <c r="CE42" i="24"/>
  <c r="K42" i="24"/>
  <c r="H42" i="24"/>
  <c r="I42" i="24"/>
  <c r="AM311" i="24"/>
  <c r="H311" i="24"/>
  <c r="CE311" i="24"/>
  <c r="I311" i="24"/>
  <c r="K311" i="24" s="1"/>
  <c r="H80" i="25"/>
  <c r="CC80" i="25"/>
  <c r="AL80" i="25"/>
  <c r="J80" i="25"/>
  <c r="L80" i="25" s="1"/>
  <c r="AL311" i="25"/>
  <c r="CC311" i="25"/>
  <c r="H311" i="25"/>
  <c r="J311" i="25"/>
  <c r="L311" i="25" s="1"/>
  <c r="BM311" i="25"/>
  <c r="AL307" i="25"/>
  <c r="CC307" i="25"/>
  <c r="H307" i="25"/>
  <c r="J307" i="25"/>
  <c r="BM307" i="25"/>
  <c r="CE308" i="24"/>
  <c r="AM308" i="24"/>
  <c r="H308" i="24"/>
  <c r="I308" i="24"/>
  <c r="K308" i="24" s="1"/>
  <c r="BO308" i="24"/>
  <c r="BR308" i="24" s="1"/>
  <c r="AM271" i="24"/>
  <c r="H271" i="24"/>
  <c r="CE271" i="24"/>
  <c r="BO271" i="24"/>
  <c r="BR271" i="24" s="1"/>
  <c r="I271" i="24"/>
  <c r="M271" i="24" s="1"/>
  <c r="N271" i="24" s="1"/>
  <c r="AM181" i="24"/>
  <c r="CF181" i="24"/>
  <c r="H181" i="24"/>
  <c r="CE181" i="24"/>
  <c r="I181" i="24"/>
  <c r="M181" i="24" s="1"/>
  <c r="N181" i="24" s="1"/>
  <c r="CE58" i="24"/>
  <c r="K58" i="24"/>
  <c r="H58" i="24"/>
  <c r="AM58" i="24"/>
  <c r="CF58" i="24"/>
  <c r="I58" i="24"/>
  <c r="K84" i="24"/>
  <c r="H84" i="24"/>
  <c r="AM84" i="24"/>
  <c r="BO84" i="24"/>
  <c r="BR84" i="24" s="1"/>
  <c r="I84" i="24"/>
  <c r="K51" i="24"/>
  <c r="AM51" i="24"/>
  <c r="H51" i="24"/>
  <c r="CF51" i="24"/>
  <c r="CE51" i="24"/>
  <c r="I51" i="24"/>
  <c r="BO51" i="24"/>
  <c r="BR51" i="24" s="1"/>
  <c r="K43" i="24"/>
  <c r="H43" i="24"/>
  <c r="AM43" i="24"/>
  <c r="CE43" i="24"/>
  <c r="CF43" i="24"/>
  <c r="I43" i="24"/>
  <c r="M43" i="24" s="1"/>
  <c r="N43" i="24" s="1"/>
  <c r="BO43" i="24"/>
  <c r="BR43" i="24" s="1"/>
  <c r="I158" i="25"/>
  <c r="AL115" i="25"/>
  <c r="H115" i="25"/>
  <c r="CC115" i="25"/>
  <c r="J115" i="25"/>
  <c r="BM115" i="25"/>
  <c r="BQ115" i="25" s="1"/>
  <c r="BN7" i="25"/>
  <c r="CF44" i="24"/>
  <c r="K44" i="24"/>
  <c r="H44" i="24"/>
  <c r="AM44" i="24"/>
  <c r="CE44" i="24"/>
  <c r="M44" i="24"/>
  <c r="N44" i="24" s="1"/>
  <c r="BO44" i="24"/>
  <c r="BR44" i="24" s="1"/>
  <c r="AL31" i="25"/>
  <c r="CC31" i="25"/>
  <c r="H31" i="25"/>
  <c r="J31" i="25"/>
  <c r="N31" i="25" s="1"/>
  <c r="BM31" i="25"/>
  <c r="CF115" i="24"/>
  <c r="CE115" i="24"/>
  <c r="AM115" i="24"/>
  <c r="H115" i="24"/>
  <c r="I115" i="24"/>
  <c r="BO115" i="24"/>
  <c r="BR115" i="24" s="1"/>
  <c r="BK191" i="24"/>
  <c r="S191" i="24"/>
  <c r="T191" i="24" s="1"/>
  <c r="M191" i="24"/>
  <c r="N191" i="24" s="1"/>
  <c r="CE246" i="24"/>
  <c r="CF246" i="24"/>
  <c r="H246" i="24"/>
  <c r="AM246" i="24"/>
  <c r="I246" i="24"/>
  <c r="BO246" i="24"/>
  <c r="BR246" i="24" s="1"/>
  <c r="I229" i="25"/>
  <c r="BK101" i="24"/>
  <c r="S101" i="24"/>
  <c r="T101" i="24" s="1"/>
  <c r="BK292" i="24"/>
  <c r="S292" i="24"/>
  <c r="T292" i="24" s="1"/>
  <c r="M292" i="24"/>
  <c r="N292" i="24" s="1"/>
  <c r="BN289" i="25"/>
  <c r="BN19" i="25"/>
  <c r="BN154" i="25"/>
  <c r="BN61" i="25"/>
  <c r="BM313" i="25"/>
  <c r="BM308" i="25"/>
  <c r="BM128" i="25"/>
  <c r="BQ128" i="25" s="1"/>
  <c r="BM174" i="25"/>
  <c r="BO128" i="24"/>
  <c r="BR128" i="24" s="1"/>
  <c r="I151" i="24"/>
  <c r="K151" i="24" s="1"/>
  <c r="H102" i="25"/>
  <c r="AL102" i="25"/>
  <c r="CC102" i="25"/>
  <c r="J102" i="25"/>
  <c r="BM102" i="25"/>
  <c r="AL254" i="25"/>
  <c r="CC254" i="25"/>
  <c r="H254" i="25"/>
  <c r="BM254" i="25"/>
  <c r="J254" i="25"/>
  <c r="L254" i="25" s="1"/>
  <c r="H161" i="25"/>
  <c r="AL161" i="25"/>
  <c r="CC161" i="25"/>
  <c r="J161" i="25"/>
  <c r="N161" i="25" s="1"/>
  <c r="BM161" i="25"/>
  <c r="AL86" i="25"/>
  <c r="H86" i="25"/>
  <c r="CC86" i="25"/>
  <c r="BM86" i="25"/>
  <c r="J86" i="25"/>
  <c r="BN170" i="25"/>
  <c r="I170" i="25"/>
  <c r="AM35" i="24"/>
  <c r="CF35" i="24"/>
  <c r="CE35" i="24"/>
  <c r="K35" i="24"/>
  <c r="H35" i="24"/>
  <c r="I35" i="24"/>
  <c r="BO35" i="24"/>
  <c r="BR35" i="24" s="1"/>
  <c r="AL10" i="25"/>
  <c r="H10" i="25"/>
  <c r="CC10" i="25"/>
  <c r="J10" i="25"/>
  <c r="L10" i="25" s="1"/>
  <c r="H147" i="25"/>
  <c r="AL147" i="25"/>
  <c r="CC147" i="25"/>
  <c r="J147" i="25"/>
  <c r="N147" i="25" s="1"/>
  <c r="BM147" i="25"/>
  <c r="AL220" i="25"/>
  <c r="CC220" i="25"/>
  <c r="H220" i="25"/>
  <c r="J220" i="25"/>
  <c r="L220" i="25" s="1"/>
  <c r="CC144" i="25"/>
  <c r="AL144" i="25"/>
  <c r="H144" i="25"/>
  <c r="BM144" i="25"/>
  <c r="J144" i="25"/>
  <c r="AL148" i="25"/>
  <c r="H148" i="25"/>
  <c r="CC148" i="25"/>
  <c r="J148" i="25"/>
  <c r="N148" i="25" s="1"/>
  <c r="BM148" i="25"/>
  <c r="AL292" i="25"/>
  <c r="CC292" i="25"/>
  <c r="H292" i="25"/>
  <c r="J292" i="25"/>
  <c r="N292" i="25" s="1"/>
  <c r="BN124" i="25"/>
  <c r="I124" i="25"/>
  <c r="BN89" i="25"/>
  <c r="I89" i="25"/>
  <c r="H247" i="25"/>
  <c r="AL247" i="25"/>
  <c r="CC247" i="25"/>
  <c r="J247" i="25"/>
  <c r="N247" i="25" s="1"/>
  <c r="BN272" i="25"/>
  <c r="I272" i="25"/>
  <c r="H66" i="25"/>
  <c r="AL66" i="25"/>
  <c r="CC66" i="25"/>
  <c r="CF66" i="25"/>
  <c r="CE66" i="25"/>
  <c r="J66" i="25"/>
  <c r="L66" i="25" s="1"/>
  <c r="CF153" i="24"/>
  <c r="AM153" i="24"/>
  <c r="H153" i="24"/>
  <c r="CE153" i="24"/>
  <c r="I153" i="24"/>
  <c r="K153" i="24" s="1"/>
  <c r="BO153" i="24"/>
  <c r="BR153" i="24" s="1"/>
  <c r="CE234" i="24"/>
  <c r="H234" i="24"/>
  <c r="CF234" i="24"/>
  <c r="AM234" i="24"/>
  <c r="I234" i="24"/>
  <c r="M234" i="24" s="1"/>
  <c r="BO234" i="24"/>
  <c r="BR234" i="24" s="1"/>
  <c r="CE279" i="24"/>
  <c r="AM279" i="24"/>
  <c r="H279" i="24"/>
  <c r="I279" i="24"/>
  <c r="M279" i="24" s="1"/>
  <c r="BO279" i="24"/>
  <c r="BR279" i="24" s="1"/>
  <c r="AM98" i="24"/>
  <c r="K98" i="24"/>
  <c r="H98" i="24"/>
  <c r="I98" i="24"/>
  <c r="AM85" i="24"/>
  <c r="CF85" i="24"/>
  <c r="CE85" i="24"/>
  <c r="K85" i="24"/>
  <c r="H85" i="24"/>
  <c r="BO85" i="24"/>
  <c r="BR85" i="24" s="1"/>
  <c r="K59" i="24"/>
  <c r="AM59" i="24"/>
  <c r="H59" i="24"/>
  <c r="CF59" i="24"/>
  <c r="CE59" i="24"/>
  <c r="I59" i="24"/>
  <c r="I78" i="25"/>
  <c r="BN78" i="25"/>
  <c r="CC173" i="25"/>
  <c r="H173" i="25"/>
  <c r="AL173" i="25"/>
  <c r="J173" i="25"/>
  <c r="N173" i="25" s="1"/>
  <c r="BM173" i="25"/>
  <c r="I172" i="25"/>
  <c r="BN172" i="25"/>
  <c r="H65" i="25"/>
  <c r="AL65" i="25"/>
  <c r="CC65" i="25"/>
  <c r="BM65" i="25"/>
  <c r="J65" i="25"/>
  <c r="L65" i="25" s="1"/>
  <c r="I261" i="25"/>
  <c r="BN261" i="25"/>
  <c r="AL251" i="25"/>
  <c r="CC251" i="25"/>
  <c r="H251" i="25"/>
  <c r="J251" i="25"/>
  <c r="L251" i="25" s="1"/>
  <c r="AM297" i="24"/>
  <c r="H297" i="24"/>
  <c r="I297" i="24"/>
  <c r="BO297" i="24"/>
  <c r="BR297" i="24" s="1"/>
  <c r="AM40" i="24"/>
  <c r="K40" i="24"/>
  <c r="H40" i="24"/>
  <c r="BO40" i="24"/>
  <c r="BR40" i="24" s="1"/>
  <c r="I40" i="24"/>
  <c r="M40" i="24" s="1"/>
  <c r="H294" i="24"/>
  <c r="AM294" i="24"/>
  <c r="BO294" i="24"/>
  <c r="BR294" i="24" s="1"/>
  <c r="CF287" i="24"/>
  <c r="AM287" i="24"/>
  <c r="H287" i="24"/>
  <c r="I287" i="24"/>
  <c r="M287" i="24" s="1"/>
  <c r="BO287" i="24"/>
  <c r="BR287" i="24" s="1"/>
  <c r="CE226" i="24"/>
  <c r="CF226" i="24"/>
  <c r="AM226" i="24"/>
  <c r="H226" i="24"/>
  <c r="I226" i="24"/>
  <c r="M226" i="24" s="1"/>
  <c r="BO226" i="24"/>
  <c r="BR226" i="24" s="1"/>
  <c r="BO10" i="24"/>
  <c r="BR10" i="24" s="1"/>
  <c r="BO9" i="24"/>
  <c r="BR9" i="24" s="1"/>
  <c r="I201" i="25"/>
  <c r="BN201" i="25"/>
  <c r="AL167" i="25"/>
  <c r="CC167" i="25"/>
  <c r="H167" i="25"/>
  <c r="J167" i="25"/>
  <c r="N167" i="25" s="1"/>
  <c r="BM167" i="25"/>
  <c r="I166" i="25"/>
  <c r="BN166" i="25"/>
  <c r="H55" i="25"/>
  <c r="AL55" i="25"/>
  <c r="CC55" i="25"/>
  <c r="J55" i="25"/>
  <c r="BM55" i="25"/>
  <c r="I285" i="25"/>
  <c r="BN285" i="25"/>
  <c r="H306" i="25"/>
  <c r="AL306" i="25"/>
  <c r="CC306" i="25"/>
  <c r="J306" i="25"/>
  <c r="N306" i="25" s="1"/>
  <c r="BM306" i="25"/>
  <c r="I90" i="25"/>
  <c r="BN90" i="25"/>
  <c r="H263" i="25"/>
  <c r="AL263" i="25"/>
  <c r="CC263" i="25"/>
  <c r="J263" i="25"/>
  <c r="BM263" i="25"/>
  <c r="I314" i="25"/>
  <c r="BN314" i="25"/>
  <c r="H283" i="25"/>
  <c r="CC283" i="25"/>
  <c r="AL283" i="25"/>
  <c r="J283" i="25"/>
  <c r="N283" i="25" s="1"/>
  <c r="BM283" i="25"/>
  <c r="AL276" i="25"/>
  <c r="CC276" i="25"/>
  <c r="H276" i="25"/>
  <c r="J276" i="25"/>
  <c r="N276" i="25" s="1"/>
  <c r="BM276" i="25"/>
  <c r="H208" i="24"/>
  <c r="AM208" i="24"/>
  <c r="I208" i="24"/>
  <c r="BO208" i="24"/>
  <c r="BR208" i="24" s="1"/>
  <c r="CE8" i="24"/>
  <c r="H8" i="24"/>
  <c r="CF8" i="24"/>
  <c r="AM8" i="24"/>
  <c r="K8" i="24"/>
  <c r="I8" i="24"/>
  <c r="BO8" i="24"/>
  <c r="BR8" i="24" s="1"/>
  <c r="AM13" i="24"/>
  <c r="K13" i="24"/>
  <c r="H13" i="24"/>
  <c r="BO13" i="24"/>
  <c r="BR13" i="24" s="1"/>
  <c r="I13" i="24"/>
  <c r="AM200" i="24"/>
  <c r="H200" i="24"/>
  <c r="I200" i="24"/>
  <c r="M200" i="24" s="1"/>
  <c r="BO200" i="24"/>
  <c r="BR200" i="24" s="1"/>
  <c r="AM81" i="24"/>
  <c r="K81" i="24"/>
  <c r="H81" i="24"/>
  <c r="I81" i="24"/>
  <c r="AM150" i="24"/>
  <c r="H150" i="24"/>
  <c r="I150" i="24"/>
  <c r="M150" i="24" s="1"/>
  <c r="N150" i="24" s="1"/>
  <c r="AM284" i="24"/>
  <c r="H284" i="24"/>
  <c r="I284" i="24"/>
  <c r="H117" i="25"/>
  <c r="AL117" i="25"/>
  <c r="CC117" i="25"/>
  <c r="BM117" i="25"/>
  <c r="CC290" i="25"/>
  <c r="H290" i="25"/>
  <c r="AL290" i="25"/>
  <c r="J290" i="25"/>
  <c r="BM290" i="25"/>
  <c r="BQ290" i="25" s="1"/>
  <c r="K87" i="24"/>
  <c r="H87" i="24"/>
  <c r="AM87" i="24"/>
  <c r="I87" i="24"/>
  <c r="BO87" i="24"/>
  <c r="BR87" i="24" s="1"/>
  <c r="H187" i="24"/>
  <c r="CF187" i="24"/>
  <c r="CE187" i="24"/>
  <c r="AM187" i="24"/>
  <c r="I187" i="24"/>
  <c r="K187" i="24" s="1"/>
  <c r="BO187" i="24"/>
  <c r="BR187" i="24" s="1"/>
  <c r="H200" i="25"/>
  <c r="CC200" i="25"/>
  <c r="AL200" i="25"/>
  <c r="BM200" i="25"/>
  <c r="BQ200" i="25" s="1"/>
  <c r="J200" i="25"/>
  <c r="L200" i="25" s="1"/>
  <c r="AL198" i="25"/>
  <c r="CC198" i="25"/>
  <c r="H198" i="25"/>
  <c r="J198" i="25"/>
  <c r="N198" i="25" s="1"/>
  <c r="BM198" i="25"/>
  <c r="BK119" i="24"/>
  <c r="S119" i="24"/>
  <c r="T119" i="24" s="1"/>
  <c r="M119" i="24"/>
  <c r="N119" i="24" s="1"/>
  <c r="CE159" i="24"/>
  <c r="H159" i="24"/>
  <c r="AM159" i="24"/>
  <c r="CF159" i="24"/>
  <c r="I159" i="24"/>
  <c r="BO159" i="24"/>
  <c r="BR159" i="24" s="1"/>
  <c r="H188" i="24"/>
  <c r="AM188" i="24"/>
  <c r="BO188" i="24"/>
  <c r="BR188" i="24" s="1"/>
  <c r="I188" i="24"/>
  <c r="M188" i="24" s="1"/>
  <c r="N188" i="24" s="1"/>
  <c r="BN144" i="25"/>
  <c r="I71" i="25"/>
  <c r="BN71" i="25"/>
  <c r="AM263" i="24"/>
  <c r="CE263" i="24"/>
  <c r="H263" i="24"/>
  <c r="BO263" i="24"/>
  <c r="BR263" i="24" s="1"/>
  <c r="K104" i="24"/>
  <c r="H104" i="24"/>
  <c r="AM104" i="24"/>
  <c r="I104" i="24"/>
  <c r="BO104" i="24"/>
  <c r="BR104" i="24" s="1"/>
  <c r="I10" i="25"/>
  <c r="BN281" i="25"/>
  <c r="I122" i="25"/>
  <c r="BN122" i="25"/>
  <c r="BM304" i="25"/>
  <c r="BM153" i="25"/>
  <c r="BQ153" i="25" s="1"/>
  <c r="BO248" i="24"/>
  <c r="BR248" i="24" s="1"/>
  <c r="J117" i="25"/>
  <c r="L117" i="25" s="1"/>
  <c r="J15" i="25"/>
  <c r="L15" i="25" s="1"/>
  <c r="I25" i="24"/>
  <c r="M25" i="24" s="1"/>
  <c r="N25" i="24" s="1"/>
  <c r="I112" i="24"/>
  <c r="I263" i="24"/>
  <c r="J171" i="25"/>
  <c r="L171" i="25" s="1"/>
  <c r="I102" i="25"/>
  <c r="BN102" i="25"/>
  <c r="I262" i="25"/>
  <c r="BN262" i="25"/>
  <c r="BQ262" i="25" s="1"/>
  <c r="BN86" i="25"/>
  <c r="I86" i="25"/>
  <c r="AL281" i="25"/>
  <c r="CC281" i="25"/>
  <c r="H281" i="25"/>
  <c r="BM281" i="25"/>
  <c r="J281" i="25"/>
  <c r="L281" i="25" s="1"/>
  <c r="BN25" i="25"/>
  <c r="I25" i="25"/>
  <c r="H144" i="24"/>
  <c r="CF144" i="24"/>
  <c r="CE144" i="24"/>
  <c r="AM144" i="24"/>
  <c r="I144" i="24"/>
  <c r="BO144" i="24"/>
  <c r="BR144" i="24" s="1"/>
  <c r="H92" i="25"/>
  <c r="AL92" i="25"/>
  <c r="CC92" i="25"/>
  <c r="J92" i="25"/>
  <c r="N92" i="25" s="1"/>
  <c r="AM222" i="24"/>
  <c r="H222" i="24"/>
  <c r="CE222" i="24"/>
  <c r="I222" i="24"/>
  <c r="BO222" i="24"/>
  <c r="BR222" i="24" s="1"/>
  <c r="H154" i="24"/>
  <c r="CF154" i="24"/>
  <c r="CE154" i="24"/>
  <c r="AM154" i="24"/>
  <c r="I154" i="24"/>
  <c r="CC238" i="25"/>
  <c r="H238" i="25"/>
  <c r="AL238" i="25"/>
  <c r="J238" i="25"/>
  <c r="N238" i="25" s="1"/>
  <c r="BM238" i="25"/>
  <c r="H175" i="25"/>
  <c r="AL175" i="25"/>
  <c r="CC175" i="25"/>
  <c r="BM175" i="25"/>
  <c r="J175" i="25"/>
  <c r="CC142" i="25"/>
  <c r="H142" i="25"/>
  <c r="AL142" i="25"/>
  <c r="BM142" i="25"/>
  <c r="J142" i="25"/>
  <c r="L142" i="25" s="1"/>
  <c r="I14" i="25"/>
  <c r="BN14" i="25"/>
  <c r="AL12" i="25"/>
  <c r="CC12" i="25"/>
  <c r="H12" i="25"/>
  <c r="J12" i="25"/>
  <c r="L12" i="25" s="1"/>
  <c r="BM12" i="25"/>
  <c r="CE231" i="24"/>
  <c r="CF231" i="24"/>
  <c r="H231" i="24"/>
  <c r="AM231" i="24"/>
  <c r="I231" i="24"/>
  <c r="M231" i="24" s="1"/>
  <c r="BO231" i="24"/>
  <c r="BR231" i="24" s="1"/>
  <c r="AM27" i="24"/>
  <c r="CF27" i="24"/>
  <c r="K27" i="24"/>
  <c r="CE27" i="24"/>
  <c r="H27" i="24"/>
  <c r="I27" i="24"/>
  <c r="M27" i="24" s="1"/>
  <c r="N27" i="24" s="1"/>
  <c r="BO27" i="24"/>
  <c r="BR27" i="24" s="1"/>
  <c r="AM245" i="24"/>
  <c r="H245" i="24"/>
  <c r="I245" i="24"/>
  <c r="AM34" i="24"/>
  <c r="CE34" i="24"/>
  <c r="CF34" i="24"/>
  <c r="K34" i="24"/>
  <c r="H34" i="24"/>
  <c r="BO34" i="24"/>
  <c r="BR34" i="24" s="1"/>
  <c r="I34" i="24"/>
  <c r="AM92" i="24"/>
  <c r="K92" i="24"/>
  <c r="H92" i="24"/>
  <c r="BO92" i="24"/>
  <c r="BR92" i="24" s="1"/>
  <c r="I92" i="24"/>
  <c r="AL87" i="25"/>
  <c r="CF87" i="25"/>
  <c r="CE87" i="25"/>
  <c r="H87" i="25"/>
  <c r="CC87" i="25"/>
  <c r="AL82" i="25"/>
  <c r="CC82" i="25"/>
  <c r="H82" i="25"/>
  <c r="J82" i="25"/>
  <c r="N82" i="25" s="1"/>
  <c r="H150" i="25"/>
  <c r="AL150" i="25"/>
  <c r="CC150" i="25"/>
  <c r="BM150" i="25"/>
  <c r="J150" i="25"/>
  <c r="L150" i="25" s="1"/>
  <c r="BN32" i="25"/>
  <c r="I32" i="25"/>
  <c r="H99" i="25"/>
  <c r="AL99" i="25"/>
  <c r="CC99" i="25"/>
  <c r="CF99" i="25"/>
  <c r="CE99" i="25"/>
  <c r="J99" i="25"/>
  <c r="L99" i="25" s="1"/>
  <c r="BM99" i="25"/>
  <c r="I49" i="25"/>
  <c r="BN49" i="25"/>
  <c r="H297" i="25"/>
  <c r="AL297" i="25"/>
  <c r="CC297" i="25"/>
  <c r="J297" i="25"/>
  <c r="BM297" i="25"/>
  <c r="H269" i="24"/>
  <c r="AM269" i="24"/>
  <c r="I269" i="24"/>
  <c r="BO269" i="24"/>
  <c r="BR269" i="24" s="1"/>
  <c r="AM182" i="24"/>
  <c r="H182" i="24"/>
  <c r="I182" i="24"/>
  <c r="M182" i="24" s="1"/>
  <c r="N182" i="24" s="1"/>
  <c r="BO182" i="24"/>
  <c r="BR182" i="24" s="1"/>
  <c r="H76" i="24"/>
  <c r="CE76" i="24"/>
  <c r="CF76" i="24"/>
  <c r="AM76" i="24"/>
  <c r="K76" i="24"/>
  <c r="I76" i="24"/>
  <c r="M76" i="24" s="1"/>
  <c r="N76" i="24" s="1"/>
  <c r="BO76" i="24"/>
  <c r="BR76" i="24" s="1"/>
  <c r="K16" i="24"/>
  <c r="H16" i="24"/>
  <c r="AM16" i="24"/>
  <c r="CF16" i="24"/>
  <c r="CE16" i="24"/>
  <c r="I16" i="24"/>
  <c r="M16" i="24" s="1"/>
  <c r="BO16" i="24"/>
  <c r="BR16" i="24" s="1"/>
  <c r="H141" i="24"/>
  <c r="CF141" i="24"/>
  <c r="CE141" i="24"/>
  <c r="AM141" i="24"/>
  <c r="I141" i="24"/>
  <c r="K141" i="24" s="1"/>
  <c r="BO141" i="24"/>
  <c r="BR141" i="24" s="1"/>
  <c r="CF164" i="24"/>
  <c r="CE164" i="24"/>
  <c r="AM164" i="24"/>
  <c r="H164" i="24"/>
  <c r="I164" i="24"/>
  <c r="K164" i="24" s="1"/>
  <c r="K73" i="24"/>
  <c r="H73" i="24"/>
  <c r="AM73" i="24"/>
  <c r="I73" i="24"/>
  <c r="BO73" i="24"/>
  <c r="BR73" i="24" s="1"/>
  <c r="BM247" i="25"/>
  <c r="BQ247" i="25" s="1"/>
  <c r="CC130" i="25"/>
  <c r="AL130" i="25"/>
  <c r="H130" i="25"/>
  <c r="J130" i="25"/>
  <c r="L130" i="25" s="1"/>
  <c r="BM130" i="25"/>
  <c r="BQ130" i="25" s="1"/>
  <c r="H197" i="25"/>
  <c r="AL197" i="25"/>
  <c r="CC197" i="25"/>
  <c r="J197" i="25"/>
  <c r="BM197" i="25"/>
  <c r="BQ197" i="25" s="1"/>
  <c r="H104" i="25"/>
  <c r="AL104" i="25"/>
  <c r="CC104" i="25"/>
  <c r="BM104" i="25"/>
  <c r="H219" i="25"/>
  <c r="AL219" i="25"/>
  <c r="CC219" i="25"/>
  <c r="J219" i="25"/>
  <c r="L219" i="25" s="1"/>
  <c r="BM219" i="25"/>
  <c r="BN73" i="25"/>
  <c r="I73" i="25"/>
  <c r="AL271" i="25"/>
  <c r="H271" i="25"/>
  <c r="CC271" i="25"/>
  <c r="BM271" i="25"/>
  <c r="J271" i="25"/>
  <c r="L271" i="25" s="1"/>
  <c r="H137" i="24"/>
  <c r="AM137" i="24"/>
  <c r="BO137" i="24"/>
  <c r="BR137" i="24" s="1"/>
  <c r="I137" i="24"/>
  <c r="K137" i="24" s="1"/>
  <c r="H265" i="25"/>
  <c r="AL265" i="25"/>
  <c r="CC265" i="25"/>
  <c r="BM265" i="25"/>
  <c r="BK7" i="24"/>
  <c r="S7" i="24"/>
  <c r="T7" i="24" s="1"/>
  <c r="BK190" i="24"/>
  <c r="S190" i="24"/>
  <c r="T190" i="24" s="1"/>
  <c r="BO161" i="24"/>
  <c r="BR161" i="24" s="1"/>
  <c r="I226" i="25"/>
  <c r="BN226" i="25"/>
  <c r="I217" i="25"/>
  <c r="CF253" i="24"/>
  <c r="AM253" i="24"/>
  <c r="H253" i="24"/>
  <c r="CE253" i="24"/>
  <c r="I253" i="24"/>
  <c r="K253" i="24" s="1"/>
  <c r="BO253" i="24"/>
  <c r="BR253" i="24" s="1"/>
  <c r="H157" i="24"/>
  <c r="AM157" i="24"/>
  <c r="I157" i="24"/>
  <c r="K157" i="24" s="1"/>
  <c r="BO157" i="24"/>
  <c r="BR157" i="24" s="1"/>
  <c r="I264" i="25"/>
  <c r="BO306" i="24"/>
  <c r="BR306" i="24" s="1"/>
  <c r="J126" i="25"/>
  <c r="J174" i="25"/>
  <c r="N174" i="25" s="1"/>
  <c r="J73" i="25"/>
  <c r="L73" i="25" s="1"/>
  <c r="AM179" i="24"/>
  <c r="H179" i="24"/>
  <c r="H309" i="24"/>
  <c r="CE309" i="24"/>
  <c r="AM309" i="24"/>
  <c r="I309" i="24"/>
  <c r="K309" i="24" s="1"/>
  <c r="H232" i="24"/>
  <c r="AM232" i="24"/>
  <c r="I232" i="24"/>
  <c r="K232" i="24" s="1"/>
  <c r="CF304" i="24"/>
  <c r="AM304" i="24"/>
  <c r="H304" i="24"/>
  <c r="I304" i="24"/>
  <c r="K304" i="24" s="1"/>
  <c r="AL30" i="25"/>
  <c r="CC30" i="25"/>
  <c r="H30" i="25"/>
  <c r="J30" i="25"/>
  <c r="N30" i="25" s="1"/>
  <c r="H300" i="25"/>
  <c r="CC300" i="25"/>
  <c r="AL300" i="25"/>
  <c r="H266" i="25"/>
  <c r="AL266" i="25"/>
  <c r="CC266" i="25"/>
  <c r="CF176" i="24"/>
  <c r="CE176" i="24"/>
  <c r="AM176" i="24"/>
  <c r="H176" i="24"/>
  <c r="AM118" i="24"/>
  <c r="H118" i="24"/>
  <c r="H117" i="24"/>
  <c r="AM117" i="24"/>
  <c r="I117" i="24"/>
  <c r="AM12" i="24"/>
  <c r="K12" i="24"/>
  <c r="H12" i="24"/>
  <c r="CE266" i="24"/>
  <c r="CF266" i="24"/>
  <c r="H266" i="24"/>
  <c r="AM266" i="24"/>
  <c r="I266" i="24"/>
  <c r="K266" i="24" s="1"/>
  <c r="H225" i="24"/>
  <c r="AM225" i="24"/>
  <c r="I225" i="24"/>
  <c r="M225" i="24" s="1"/>
  <c r="N225" i="24" s="1"/>
  <c r="AM286" i="24"/>
  <c r="H286" i="24"/>
  <c r="CE286" i="24"/>
  <c r="I286" i="24"/>
  <c r="K286" i="24" s="1"/>
  <c r="AM41" i="24"/>
  <c r="CF41" i="24"/>
  <c r="CE41" i="24"/>
  <c r="K41" i="24"/>
  <c r="H41" i="24"/>
  <c r="BN34" i="25"/>
  <c r="BQ34" i="25" s="1"/>
  <c r="I34" i="25"/>
  <c r="H129" i="25"/>
  <c r="AL129" i="25"/>
  <c r="CC129" i="25"/>
  <c r="CC245" i="25"/>
  <c r="AL245" i="25"/>
  <c r="H245" i="25"/>
  <c r="CC105" i="25"/>
  <c r="AL105" i="25"/>
  <c r="H105" i="25"/>
  <c r="AL236" i="25"/>
  <c r="CC236" i="25"/>
  <c r="H236" i="25"/>
  <c r="J236" i="25"/>
  <c r="L236" i="25" s="1"/>
  <c r="CC145" i="25"/>
  <c r="H145" i="25"/>
  <c r="AL145" i="25"/>
  <c r="K22" i="24"/>
  <c r="H22" i="24"/>
  <c r="AM22" i="24"/>
  <c r="CE224" i="24"/>
  <c r="AM224" i="24"/>
  <c r="H224" i="24"/>
  <c r="AM143" i="24"/>
  <c r="H143" i="24"/>
  <c r="CE143" i="24"/>
  <c r="CF143" i="24"/>
  <c r="BN93" i="25"/>
  <c r="BQ93" i="25" s="1"/>
  <c r="I93" i="25"/>
  <c r="BN63" i="25"/>
  <c r="BQ63" i="25" s="1"/>
  <c r="I63" i="25"/>
  <c r="BN192" i="25"/>
  <c r="I192" i="25"/>
  <c r="J71" i="25"/>
  <c r="N71" i="25" s="1"/>
  <c r="BO12" i="24"/>
  <c r="BR12" i="24" s="1"/>
  <c r="BM94" i="25"/>
  <c r="BM162" i="25"/>
  <c r="BM169" i="25"/>
  <c r="BQ169" i="25" s="1"/>
  <c r="BO162" i="24"/>
  <c r="BR162" i="24" s="1"/>
  <c r="J125" i="25"/>
  <c r="L125" i="25" s="1"/>
  <c r="J203" i="25"/>
  <c r="L203" i="25" s="1"/>
  <c r="J13" i="25"/>
  <c r="N13" i="25" s="1"/>
  <c r="I147" i="24"/>
  <c r="M147" i="24" s="1"/>
  <c r="N147" i="24" s="1"/>
  <c r="I130" i="24"/>
  <c r="M130" i="24" s="1"/>
  <c r="BM13" i="25"/>
  <c r="BO119" i="24"/>
  <c r="BR119" i="24" s="1"/>
  <c r="BO33" i="24"/>
  <c r="BR33" i="24" s="1"/>
  <c r="BO19" i="24"/>
  <c r="BR19" i="24" s="1"/>
  <c r="BM8" i="25"/>
  <c r="BQ8" i="25" s="1"/>
  <c r="BM129" i="25"/>
  <c r="BO256" i="24"/>
  <c r="BR256" i="24" s="1"/>
  <c r="BO82" i="24"/>
  <c r="BR82" i="24" s="1"/>
  <c r="BO116" i="24"/>
  <c r="BR116" i="24" s="1"/>
  <c r="BO280" i="24"/>
  <c r="BR280" i="24" s="1"/>
  <c r="BO247" i="24"/>
  <c r="BR247" i="24" s="1"/>
  <c r="BM270" i="25"/>
  <c r="BM71" i="25"/>
  <c r="BM206" i="25"/>
  <c r="BQ206" i="25" s="1"/>
  <c r="I205" i="24"/>
  <c r="M205" i="24" s="1"/>
  <c r="N205" i="24" s="1"/>
  <c r="I116" i="24"/>
  <c r="M116" i="24" s="1"/>
  <c r="I97" i="24"/>
  <c r="M97" i="24" s="1"/>
  <c r="I194" i="24"/>
  <c r="K194" i="24" s="1"/>
  <c r="AM282" i="24"/>
  <c r="CE282" i="24"/>
  <c r="CF282" i="24"/>
  <c r="H282" i="24"/>
  <c r="I282" i="24"/>
  <c r="K282" i="24" s="1"/>
  <c r="AM126" i="24"/>
  <c r="H126" i="24"/>
  <c r="I126" i="24"/>
  <c r="AM102" i="24"/>
  <c r="K102" i="24"/>
  <c r="H102" i="24"/>
  <c r="I102" i="24"/>
  <c r="AL218" i="25"/>
  <c r="CC218" i="25"/>
  <c r="H218" i="25"/>
  <c r="J218" i="25"/>
  <c r="L218" i="25" s="1"/>
  <c r="CC176" i="25"/>
  <c r="AL176" i="25"/>
  <c r="H176" i="25"/>
  <c r="I126" i="25"/>
  <c r="BN126" i="25"/>
  <c r="H74" i="25"/>
  <c r="CC74" i="25"/>
  <c r="AL74" i="25"/>
  <c r="BN204" i="25"/>
  <c r="BN62" i="25"/>
  <c r="H120" i="25"/>
  <c r="AL120" i="25"/>
  <c r="CC120" i="25"/>
  <c r="J120" i="25"/>
  <c r="L120" i="25" s="1"/>
  <c r="CC194" i="25"/>
  <c r="AL194" i="25"/>
  <c r="H194" i="25"/>
  <c r="AL132" i="25"/>
  <c r="CC132" i="25"/>
  <c r="H132" i="25"/>
  <c r="CC208" i="25"/>
  <c r="AL208" i="25"/>
  <c r="H208" i="25"/>
  <c r="J208" i="25"/>
  <c r="L208" i="25" s="1"/>
  <c r="H55" i="24"/>
  <c r="K55" i="24"/>
  <c r="AM55" i="24"/>
  <c r="H63" i="24"/>
  <c r="K63" i="24"/>
  <c r="AM63" i="24"/>
  <c r="CF63" i="24"/>
  <c r="CE63" i="24"/>
  <c r="I63" i="24"/>
  <c r="K103" i="24"/>
  <c r="H103" i="24"/>
  <c r="AM103" i="24"/>
  <c r="I103" i="24"/>
  <c r="CF131" i="24"/>
  <c r="H131" i="24"/>
  <c r="AM131" i="24"/>
  <c r="CE131" i="24"/>
  <c r="I131" i="24"/>
  <c r="K131" i="24" s="1"/>
  <c r="H188" i="25"/>
  <c r="AL188" i="25"/>
  <c r="CC188" i="25"/>
  <c r="J188" i="25"/>
  <c r="L188" i="25" s="1"/>
  <c r="BN59" i="25"/>
  <c r="BN31" i="25"/>
  <c r="I6" i="25"/>
  <c r="BN6" i="25"/>
  <c r="BQ6" i="25" s="1"/>
  <c r="BN165" i="25"/>
  <c r="I165" i="25"/>
  <c r="CF198" i="24"/>
  <c r="AM198" i="24"/>
  <c r="CE198" i="24"/>
  <c r="H198" i="24"/>
  <c r="CE267" i="24"/>
  <c r="H267" i="24"/>
  <c r="AM267" i="24"/>
  <c r="H146" i="24"/>
  <c r="AM146" i="24"/>
  <c r="AM100" i="24"/>
  <c r="CE100" i="24"/>
  <c r="CF100" i="24"/>
  <c r="H100" i="24"/>
  <c r="K100" i="24"/>
  <c r="I100" i="24"/>
  <c r="H314" i="24"/>
  <c r="AM314" i="24"/>
  <c r="I314" i="24"/>
  <c r="H186" i="24"/>
  <c r="AM186" i="24"/>
  <c r="H99" i="24"/>
  <c r="AM99" i="24"/>
  <c r="CF99" i="24"/>
  <c r="K99" i="24"/>
  <c r="CE99" i="24"/>
  <c r="I99" i="24"/>
  <c r="CF125" i="24"/>
  <c r="CE125" i="24"/>
  <c r="AM125" i="24"/>
  <c r="H125" i="24"/>
  <c r="CE39" i="24"/>
  <c r="K39" i="24"/>
  <c r="AM39" i="24"/>
  <c r="H39" i="24"/>
  <c r="CF39" i="24"/>
  <c r="H296" i="24"/>
  <c r="AM296" i="24"/>
  <c r="CE296" i="24"/>
  <c r="CF296" i="24"/>
  <c r="AM75" i="24"/>
  <c r="K75" i="24"/>
  <c r="H75" i="24"/>
  <c r="CE75" i="24"/>
  <c r="CF75" i="24"/>
  <c r="CF38" i="24"/>
  <c r="CE38" i="24"/>
  <c r="K38" i="24"/>
  <c r="H38" i="24"/>
  <c r="AM38" i="24"/>
  <c r="I38" i="24"/>
  <c r="CF259" i="24"/>
  <c r="AM259" i="24"/>
  <c r="H259" i="24"/>
  <c r="CE259" i="24"/>
  <c r="I259" i="24"/>
  <c r="K259" i="24" s="1"/>
  <c r="AM261" i="24"/>
  <c r="H261" i="24"/>
  <c r="CF261" i="24"/>
  <c r="K74" i="24"/>
  <c r="AM74" i="24"/>
  <c r="H74" i="24"/>
  <c r="H277" i="24"/>
  <c r="CF277" i="24"/>
  <c r="AM277" i="24"/>
  <c r="I277" i="24"/>
  <c r="AL53" i="25"/>
  <c r="CC53" i="25"/>
  <c r="CE53" i="25"/>
  <c r="CF53" i="25"/>
  <c r="H53" i="25"/>
  <c r="J53" i="25"/>
  <c r="L53" i="25" s="1"/>
  <c r="CE11" i="25"/>
  <c r="AL11" i="25"/>
  <c r="CC11" i="25"/>
  <c r="H11" i="25"/>
  <c r="CF11" i="25"/>
  <c r="CC279" i="25"/>
  <c r="H279" i="25"/>
  <c r="AL279" i="25"/>
  <c r="I195" i="25"/>
  <c r="BN195" i="25"/>
  <c r="H157" i="25"/>
  <c r="AL157" i="25"/>
  <c r="CC157" i="25"/>
  <c r="AL163" i="25"/>
  <c r="CC163" i="25"/>
  <c r="H163" i="25"/>
  <c r="H190" i="25"/>
  <c r="AL190" i="25"/>
  <c r="CC190" i="25"/>
  <c r="I53" i="25"/>
  <c r="AM241" i="24"/>
  <c r="H241" i="24"/>
  <c r="CE241" i="24"/>
  <c r="I241" i="24"/>
  <c r="AL137" i="25"/>
  <c r="CC137" i="25"/>
  <c r="H137" i="25"/>
  <c r="BO170" i="24"/>
  <c r="BR170" i="24" s="1"/>
  <c r="BO190" i="24"/>
  <c r="BR190" i="24" s="1"/>
  <c r="J145" i="25"/>
  <c r="J165" i="25"/>
  <c r="L165" i="25" s="1"/>
  <c r="BO102" i="24"/>
  <c r="BR102" i="24" s="1"/>
  <c r="BO142" i="24"/>
  <c r="BR142" i="24" s="1"/>
  <c r="BM26" i="25"/>
  <c r="BQ26" i="25" s="1"/>
  <c r="BM11" i="25"/>
  <c r="BO179" i="24"/>
  <c r="BR179" i="24" s="1"/>
  <c r="BO143" i="24"/>
  <c r="BR143" i="24" s="1"/>
  <c r="J246" i="25"/>
  <c r="N246" i="25" s="1"/>
  <c r="I71" i="24"/>
  <c r="J210" i="25"/>
  <c r="L210" i="25" s="1"/>
  <c r="I74" i="24"/>
  <c r="I39" i="24"/>
  <c r="I179" i="24"/>
  <c r="I206" i="24"/>
  <c r="K206" i="24" s="1"/>
  <c r="I146" i="24"/>
  <c r="K146" i="24" s="1"/>
  <c r="I198" i="24"/>
  <c r="K198" i="24" s="1"/>
  <c r="I176" i="24"/>
  <c r="I12" i="24"/>
  <c r="CE247" i="24"/>
  <c r="CF247" i="24"/>
  <c r="H247" i="24"/>
  <c r="AM247" i="24"/>
  <c r="I247" i="24"/>
  <c r="K247" i="24" s="1"/>
  <c r="K20" i="24"/>
  <c r="H20" i="24"/>
  <c r="AM20" i="24"/>
  <c r="CF195" i="24"/>
  <c r="AM195" i="24"/>
  <c r="CE195" i="24"/>
  <c r="H195" i="24"/>
  <c r="AL177" i="25"/>
  <c r="H177" i="25"/>
  <c r="CC177" i="25"/>
  <c r="CE295" i="24"/>
  <c r="CF295" i="24"/>
  <c r="AM295" i="24"/>
  <c r="H295" i="24"/>
  <c r="I295" i="24"/>
  <c r="K295" i="24" s="1"/>
  <c r="AM122" i="24"/>
  <c r="CF122" i="24"/>
  <c r="CE122" i="24"/>
  <c r="H122" i="24"/>
  <c r="CF255" i="24"/>
  <c r="AM255" i="24"/>
  <c r="CE255" i="24"/>
  <c r="H255" i="24"/>
  <c r="I255" i="24"/>
  <c r="K255" i="24" s="1"/>
  <c r="AM19" i="24"/>
  <c r="CF19" i="24"/>
  <c r="CE19" i="24"/>
  <c r="K19" i="24"/>
  <c r="H19" i="24"/>
  <c r="I19" i="24"/>
  <c r="M19" i="24" s="1"/>
  <c r="H307" i="24"/>
  <c r="AM307" i="24"/>
  <c r="I307" i="24"/>
  <c r="M307" i="24" s="1"/>
  <c r="N307" i="24" s="1"/>
  <c r="AM167" i="24"/>
  <c r="CF167" i="24"/>
  <c r="CE167" i="24"/>
  <c r="H167" i="24"/>
  <c r="I167" i="24"/>
  <c r="K167" i="24" s="1"/>
  <c r="CC70" i="25"/>
  <c r="AL70" i="25"/>
  <c r="CE70" i="25"/>
  <c r="CF70" i="25"/>
  <c r="H70" i="25"/>
  <c r="CE37" i="25"/>
  <c r="CF37" i="25"/>
  <c r="CC37" i="25"/>
  <c r="AL37" i="25"/>
  <c r="H37" i="25"/>
  <c r="J37" i="25"/>
  <c r="BN152" i="25"/>
  <c r="BQ152" i="25" s="1"/>
  <c r="I152" i="25"/>
  <c r="CC182" i="25"/>
  <c r="H182" i="25"/>
  <c r="AL182" i="25"/>
  <c r="CE276" i="24"/>
  <c r="AM276" i="24"/>
  <c r="H276" i="24"/>
  <c r="I276" i="24"/>
  <c r="K276" i="24" s="1"/>
  <c r="H280" i="24"/>
  <c r="AM280" i="24"/>
  <c r="CE280" i="24"/>
  <c r="I280" i="24"/>
  <c r="AM191" i="24"/>
  <c r="K191" i="24"/>
  <c r="H191" i="24"/>
  <c r="CE133" i="24"/>
  <c r="H133" i="24"/>
  <c r="CF133" i="24"/>
  <c r="AM133" i="24"/>
  <c r="I133" i="24"/>
  <c r="M133" i="24" s="1"/>
  <c r="N133" i="24" s="1"/>
  <c r="CE251" i="24"/>
  <c r="CF251" i="24"/>
  <c r="H251" i="24"/>
  <c r="AM251" i="24"/>
  <c r="I251" i="24"/>
  <c r="K251" i="24" s="1"/>
  <c r="CF192" i="24"/>
  <c r="CE192" i="24"/>
  <c r="AM192" i="24"/>
  <c r="H192" i="24"/>
  <c r="I192" i="24"/>
  <c r="H129" i="24"/>
  <c r="CF129" i="24"/>
  <c r="CE129" i="24"/>
  <c r="AM129" i="24"/>
  <c r="K6" i="24"/>
  <c r="H6" i="24"/>
  <c r="AM6" i="24"/>
  <c r="I6" i="24"/>
  <c r="M6" i="24" s="1"/>
  <c r="N6" i="24" s="1"/>
  <c r="M21" i="24"/>
  <c r="N21" i="24" s="1"/>
  <c r="CF190" i="24"/>
  <c r="CE190" i="24"/>
  <c r="K190" i="24"/>
  <c r="AM190" i="24"/>
  <c r="H190" i="24"/>
  <c r="BO232" i="24"/>
  <c r="BR232" i="24" s="1"/>
  <c r="BN279" i="25"/>
  <c r="BQ279" i="25" s="1"/>
  <c r="CF58" i="25"/>
  <c r="CE58" i="25"/>
  <c r="AL58" i="25"/>
  <c r="CC58" i="25"/>
  <c r="H58" i="25"/>
  <c r="J58" i="25"/>
  <c r="H241" i="25"/>
  <c r="AL241" i="25"/>
  <c r="CC241" i="25"/>
  <c r="H9" i="25"/>
  <c r="AL9" i="25"/>
  <c r="CC9" i="25"/>
  <c r="H125" i="25"/>
  <c r="AL125" i="25"/>
  <c r="CC125" i="25"/>
  <c r="I29" i="25"/>
  <c r="M22" i="24"/>
  <c r="N22" i="24" s="1"/>
  <c r="H223" i="24"/>
  <c r="AM223" i="24"/>
  <c r="I223" i="24"/>
  <c r="K223" i="24" s="1"/>
  <c r="AM111" i="24"/>
  <c r="H111" i="24"/>
  <c r="J315" i="25"/>
  <c r="L315" i="25" s="1"/>
  <c r="J44" i="25"/>
  <c r="L44" i="25" s="1"/>
  <c r="BO286" i="24"/>
  <c r="BR286" i="24" s="1"/>
  <c r="I285" i="24"/>
  <c r="K285" i="24" s="1"/>
  <c r="J182" i="25"/>
  <c r="J279" i="25"/>
  <c r="J241" i="25"/>
  <c r="BM23" i="25"/>
  <c r="BQ23" i="25" s="1"/>
  <c r="J157" i="25"/>
  <c r="J81" i="25"/>
  <c r="L81" i="25" s="1"/>
  <c r="BO99" i="24"/>
  <c r="BR99" i="24" s="1"/>
  <c r="BM160" i="25"/>
  <c r="BQ160" i="25" s="1"/>
  <c r="J105" i="25"/>
  <c r="L105" i="25" s="1"/>
  <c r="J176" i="25"/>
  <c r="BO132" i="24"/>
  <c r="BR132" i="24" s="1"/>
  <c r="BM105" i="25"/>
  <c r="BO103" i="24"/>
  <c r="BR103" i="24" s="1"/>
  <c r="BO133" i="24"/>
  <c r="BR133" i="24" s="1"/>
  <c r="BO38" i="24"/>
  <c r="BR38" i="24" s="1"/>
  <c r="BM300" i="25"/>
  <c r="BQ300" i="25" s="1"/>
  <c r="BM194" i="25"/>
  <c r="I118" i="24"/>
  <c r="K118" i="24" s="1"/>
  <c r="BM9" i="25"/>
  <c r="BO191" i="24"/>
  <c r="BR191" i="24" s="1"/>
  <c r="BO276" i="24"/>
  <c r="BR276" i="24" s="1"/>
  <c r="BO266" i="24"/>
  <c r="BR266" i="24" s="1"/>
  <c r="BO224" i="24"/>
  <c r="BR224" i="24" s="1"/>
  <c r="I129" i="24"/>
  <c r="M129" i="24" s="1"/>
  <c r="N129" i="24" s="1"/>
  <c r="AL73" i="25"/>
  <c r="H73" i="25"/>
  <c r="CC73" i="25"/>
  <c r="AL246" i="25"/>
  <c r="CC246" i="25"/>
  <c r="H246" i="25"/>
  <c r="BN120" i="25"/>
  <c r="BN194" i="25"/>
  <c r="BN132" i="25"/>
  <c r="BN208" i="25"/>
  <c r="H116" i="24"/>
  <c r="AM116" i="24"/>
  <c r="CE256" i="24"/>
  <c r="H256" i="24"/>
  <c r="AM256" i="24"/>
  <c r="I256" i="24"/>
  <c r="AM205" i="24"/>
  <c r="H205" i="24"/>
  <c r="CC232" i="25"/>
  <c r="H232" i="25"/>
  <c r="AL232" i="25"/>
  <c r="J232" i="25"/>
  <c r="N232" i="25" s="1"/>
  <c r="CC180" i="25"/>
  <c r="H180" i="25"/>
  <c r="AL180" i="25"/>
  <c r="CC210" i="25"/>
  <c r="AL210" i="25"/>
  <c r="H210" i="25"/>
  <c r="H163" i="24"/>
  <c r="AM163" i="24"/>
  <c r="I163" i="24"/>
  <c r="M163" i="24" s="1"/>
  <c r="N163" i="24" s="1"/>
  <c r="CF302" i="24"/>
  <c r="AM302" i="24"/>
  <c r="H302" i="24"/>
  <c r="I302" i="24"/>
  <c r="K302" i="24" s="1"/>
  <c r="K50" i="24"/>
  <c r="H50" i="24"/>
  <c r="AM50" i="24"/>
  <c r="CF50" i="24"/>
  <c r="CE50" i="24"/>
  <c r="AM162" i="24"/>
  <c r="K162" i="24"/>
  <c r="H162" i="24"/>
  <c r="H56" i="24"/>
  <c r="AM56" i="24"/>
  <c r="K56" i="24"/>
  <c r="H21" i="24"/>
  <c r="K21" i="24"/>
  <c r="AM21" i="24"/>
  <c r="BM177" i="25"/>
  <c r="BM266" i="25"/>
  <c r="BQ266" i="25" s="1"/>
  <c r="AL226" i="25"/>
  <c r="CC226" i="25"/>
  <c r="H226" i="25"/>
  <c r="BN157" i="25"/>
  <c r="BN163" i="25"/>
  <c r="CC162" i="25"/>
  <c r="AL162" i="25"/>
  <c r="H162" i="25"/>
  <c r="BN190" i="25"/>
  <c r="AL16" i="25"/>
  <c r="CC16" i="25"/>
  <c r="H16" i="25"/>
  <c r="CF16" i="25"/>
  <c r="CE16" i="25"/>
  <c r="AL71" i="25"/>
  <c r="H71" i="25"/>
  <c r="CC71" i="25"/>
  <c r="H42" i="25"/>
  <c r="AL42" i="25"/>
  <c r="CC42" i="25"/>
  <c r="CE42" i="25"/>
  <c r="CF42" i="25"/>
  <c r="K96" i="24"/>
  <c r="H96" i="24"/>
  <c r="AM96" i="24"/>
  <c r="CF96" i="24"/>
  <c r="CE96" i="24"/>
  <c r="AM97" i="24"/>
  <c r="H97" i="24"/>
  <c r="K97" i="24"/>
  <c r="CF145" i="24"/>
  <c r="CE145" i="24"/>
  <c r="AM145" i="24"/>
  <c r="H145" i="24"/>
  <c r="I145" i="24"/>
  <c r="H138" i="24"/>
  <c r="CF138" i="24"/>
  <c r="AM138" i="24"/>
  <c r="CE138" i="24"/>
  <c r="AL122" i="25"/>
  <c r="CC122" i="25"/>
  <c r="H122" i="25"/>
  <c r="J122" i="25"/>
  <c r="L122" i="25" s="1"/>
  <c r="BM73" i="25"/>
  <c r="BO21" i="24"/>
  <c r="BR21" i="24" s="1"/>
  <c r="BO39" i="24"/>
  <c r="BR39" i="24" s="1"/>
  <c r="BO225" i="24"/>
  <c r="BR225" i="24" s="1"/>
  <c r="BM195" i="25"/>
  <c r="BO295" i="24"/>
  <c r="BR295" i="24" s="1"/>
  <c r="BO309" i="24"/>
  <c r="BR309" i="24" s="1"/>
  <c r="J300" i="25"/>
  <c r="L300" i="25" s="1"/>
  <c r="J245" i="25"/>
  <c r="J137" i="25"/>
  <c r="J6" i="25"/>
  <c r="N6" i="25" s="1"/>
  <c r="T6" i="25" s="1"/>
  <c r="BM52" i="25"/>
  <c r="BO186" i="24"/>
  <c r="BR186" i="24" s="1"/>
  <c r="BO176" i="24"/>
  <c r="BR176" i="24" s="1"/>
  <c r="J23" i="25"/>
  <c r="L23" i="25" s="1"/>
  <c r="I20" i="24"/>
  <c r="I111" i="24"/>
  <c r="J163" i="25"/>
  <c r="J180" i="25"/>
  <c r="J132" i="25"/>
  <c r="J74" i="25"/>
  <c r="L74" i="25" s="1"/>
  <c r="I195" i="24"/>
  <c r="K195" i="24" s="1"/>
  <c r="J206" i="25"/>
  <c r="N206" i="25" s="1"/>
  <c r="H291" i="24"/>
  <c r="AM291" i="24"/>
  <c r="CE291" i="24"/>
  <c r="I291" i="24"/>
  <c r="K291" i="24" s="1"/>
  <c r="H169" i="25"/>
  <c r="AL169" i="25"/>
  <c r="CC169" i="25"/>
  <c r="CC143" i="25"/>
  <c r="AL143" i="25"/>
  <c r="H143" i="25"/>
  <c r="AL193" i="25"/>
  <c r="H193" i="25"/>
  <c r="CC193" i="25"/>
  <c r="CC168" i="25"/>
  <c r="AL168" i="25"/>
  <c r="H168" i="25"/>
  <c r="AL151" i="25"/>
  <c r="H151" i="25"/>
  <c r="CC151" i="25"/>
  <c r="CC141" i="25"/>
  <c r="H141" i="25"/>
  <c r="AL141" i="25"/>
  <c r="AL185" i="25"/>
  <c r="CC185" i="25"/>
  <c r="H185" i="25"/>
  <c r="AL159" i="25"/>
  <c r="CC159" i="25"/>
  <c r="H159" i="25"/>
  <c r="BN174" i="25"/>
  <c r="I174" i="25"/>
  <c r="CF265" i="24"/>
  <c r="AM265" i="24"/>
  <c r="H265" i="24"/>
  <c r="CE265" i="24"/>
  <c r="I265" i="24"/>
  <c r="CF273" i="24"/>
  <c r="AM273" i="24"/>
  <c r="CE273" i="24"/>
  <c r="H273" i="24"/>
  <c r="I273" i="24"/>
  <c r="H202" i="24"/>
  <c r="AM202" i="24"/>
  <c r="AM37" i="24"/>
  <c r="CF37" i="24"/>
  <c r="CE37" i="24"/>
  <c r="K37" i="24"/>
  <c r="H37" i="24"/>
  <c r="AM123" i="24"/>
  <c r="H123" i="24"/>
  <c r="I123" i="24"/>
  <c r="AL269" i="25"/>
  <c r="CC269" i="25"/>
  <c r="H269" i="25"/>
  <c r="J269" i="25"/>
  <c r="L269" i="25" s="1"/>
  <c r="K142" i="24"/>
  <c r="H142" i="24"/>
  <c r="CF142" i="24"/>
  <c r="CE142" i="24"/>
  <c r="AM142" i="24"/>
  <c r="H18" i="24"/>
  <c r="AM18" i="24"/>
  <c r="CF18" i="24"/>
  <c r="CE18" i="24"/>
  <c r="K18" i="24"/>
  <c r="I18" i="24"/>
  <c r="M18" i="24" s="1"/>
  <c r="N18" i="24" s="1"/>
  <c r="CF228" i="24"/>
  <c r="H228" i="24"/>
  <c r="AM228" i="24"/>
  <c r="CE228" i="24"/>
  <c r="M7" i="24"/>
  <c r="N7" i="24" s="1"/>
  <c r="CE24" i="24"/>
  <c r="CF24" i="24"/>
  <c r="K24" i="24"/>
  <c r="AM24" i="24"/>
  <c r="H24" i="24"/>
  <c r="I24" i="24"/>
  <c r="M24" i="24" s="1"/>
  <c r="N24" i="24" s="1"/>
  <c r="M190" i="24"/>
  <c r="N190" i="24" s="1"/>
  <c r="H147" i="24"/>
  <c r="CE147" i="24"/>
  <c r="AM147" i="24"/>
  <c r="CF147" i="24"/>
  <c r="H257" i="25"/>
  <c r="AL257" i="25"/>
  <c r="CC257" i="25"/>
  <c r="AL270" i="25"/>
  <c r="CC270" i="25"/>
  <c r="H270" i="25"/>
  <c r="BN129" i="25"/>
  <c r="I129" i="25"/>
  <c r="I111" i="25"/>
  <c r="BN111" i="25"/>
  <c r="BQ111" i="25" s="1"/>
  <c r="AL83" i="25"/>
  <c r="H83" i="25"/>
  <c r="CC83" i="25"/>
  <c r="J83" i="25"/>
  <c r="L83" i="25" s="1"/>
  <c r="I105" i="25"/>
  <c r="BN105" i="25"/>
  <c r="I145" i="25"/>
  <c r="BN145" i="25"/>
  <c r="AM14" i="24"/>
  <c r="K14" i="24"/>
  <c r="H14" i="24"/>
  <c r="I14" i="24"/>
  <c r="M14" i="24" s="1"/>
  <c r="N14" i="24" s="1"/>
  <c r="AM101" i="24"/>
  <c r="K101" i="24"/>
  <c r="H101" i="24"/>
  <c r="H252" i="24"/>
  <c r="AM252" i="24"/>
  <c r="CE252" i="24"/>
  <c r="K62" i="24"/>
  <c r="H62" i="24"/>
  <c r="AM62" i="24"/>
  <c r="I62" i="24"/>
  <c r="M62" i="24" s="1"/>
  <c r="N62" i="24" s="1"/>
  <c r="CE160" i="24"/>
  <c r="AM160" i="24"/>
  <c r="H160" i="24"/>
  <c r="CF160" i="24"/>
  <c r="CE272" i="24"/>
  <c r="AM272" i="24"/>
  <c r="H272" i="24"/>
  <c r="I272" i="24"/>
  <c r="M272" i="24" s="1"/>
  <c r="N272" i="24" s="1"/>
  <c r="CC93" i="25"/>
  <c r="AL93" i="25"/>
  <c r="CF93" i="25"/>
  <c r="H93" i="25"/>
  <c r="CE93" i="25"/>
  <c r="J93" i="25"/>
  <c r="L93" i="25" s="1"/>
  <c r="AL192" i="25"/>
  <c r="CC192" i="25"/>
  <c r="H192" i="25"/>
  <c r="J192" i="25"/>
  <c r="N192" i="25" s="1"/>
  <c r="T192" i="25" s="1"/>
  <c r="J194" i="25"/>
  <c r="L194" i="25" s="1"/>
  <c r="J193" i="25"/>
  <c r="L193" i="25" s="1"/>
  <c r="BO272" i="24"/>
  <c r="BR272" i="24" s="1"/>
  <c r="BM157" i="25"/>
  <c r="BM132" i="25"/>
  <c r="BO68" i="24"/>
  <c r="BR68" i="24" s="1"/>
  <c r="BO41" i="24"/>
  <c r="BR41" i="24" s="1"/>
  <c r="BO205" i="24"/>
  <c r="BR205" i="24" s="1"/>
  <c r="BM210" i="25"/>
  <c r="BM125" i="25"/>
  <c r="BQ125" i="25" s="1"/>
  <c r="BM190" i="25"/>
  <c r="BO96" i="24"/>
  <c r="BR96" i="24" s="1"/>
  <c r="BO101" i="24"/>
  <c r="BR101" i="24" s="1"/>
  <c r="BO255" i="24"/>
  <c r="BR255" i="24" s="1"/>
  <c r="BO314" i="24"/>
  <c r="BR314" i="24" s="1"/>
  <c r="BO20" i="24"/>
  <c r="BR20" i="24" s="1"/>
  <c r="BO62" i="24"/>
  <c r="BR62" i="24" s="1"/>
  <c r="BM42" i="25"/>
  <c r="BO138" i="24"/>
  <c r="BR138" i="24" s="1"/>
  <c r="BO117" i="24"/>
  <c r="BR117" i="24" s="1"/>
  <c r="I50" i="24"/>
  <c r="BM163" i="25"/>
  <c r="BO282" i="24"/>
  <c r="BR282" i="24" s="1"/>
  <c r="BO122" i="24"/>
  <c r="BR122" i="24" s="1"/>
  <c r="BM192" i="25"/>
  <c r="BO123" i="24"/>
  <c r="BR123" i="24" s="1"/>
  <c r="BO267" i="24"/>
  <c r="BR267" i="24" s="1"/>
  <c r="BM145" i="25"/>
  <c r="BO7" i="24"/>
  <c r="BR7" i="24" s="1"/>
  <c r="I75" i="24"/>
  <c r="I122" i="24"/>
  <c r="K122" i="24" s="1"/>
  <c r="I261" i="24"/>
  <c r="I228" i="24"/>
  <c r="K228" i="24" s="1"/>
  <c r="I138" i="24"/>
  <c r="K138" i="24" s="1"/>
  <c r="I296" i="24"/>
  <c r="I267" i="24"/>
  <c r="I202" i="24"/>
  <c r="I252" i="24"/>
  <c r="K252" i="24" s="1"/>
  <c r="H160" i="25"/>
  <c r="AL160" i="25"/>
  <c r="CC160" i="25"/>
  <c r="J160" i="25"/>
  <c r="H206" i="25"/>
  <c r="CC206" i="25"/>
  <c r="AL206" i="25"/>
  <c r="H203" i="25"/>
  <c r="AL203" i="25"/>
  <c r="CC203" i="25"/>
  <c r="AL77" i="25"/>
  <c r="CC77" i="25"/>
  <c r="H77" i="25"/>
  <c r="CC26" i="25"/>
  <c r="AL26" i="25"/>
  <c r="CE26" i="25"/>
  <c r="CF26" i="25"/>
  <c r="H26" i="25"/>
  <c r="J26" i="25"/>
  <c r="L26" i="25" s="1"/>
  <c r="H13" i="25"/>
  <c r="CC13" i="25"/>
  <c r="AL13" i="25"/>
  <c r="AM82" i="24"/>
  <c r="CF82" i="24"/>
  <c r="CE82" i="24"/>
  <c r="K82" i="24"/>
  <c r="H82" i="24"/>
  <c r="I82" i="24"/>
  <c r="CE285" i="24"/>
  <c r="H285" i="24"/>
  <c r="AM285" i="24"/>
  <c r="AM170" i="24"/>
  <c r="H170" i="24"/>
  <c r="AM83" i="24"/>
  <c r="H83" i="24"/>
  <c r="K83" i="24"/>
  <c r="I83" i="24"/>
  <c r="M83" i="24" s="1"/>
  <c r="BN188" i="25"/>
  <c r="I188" i="25"/>
  <c r="H6" i="25"/>
  <c r="CC6" i="25"/>
  <c r="AL6" i="25"/>
  <c r="AL165" i="25"/>
  <c r="H165" i="25"/>
  <c r="CC165" i="25"/>
  <c r="AM68" i="24"/>
  <c r="CE68" i="24"/>
  <c r="CF68" i="24"/>
  <c r="K68" i="24"/>
  <c r="H68" i="24"/>
  <c r="I68" i="24"/>
  <c r="M68" i="24" s="1"/>
  <c r="N68" i="24" s="1"/>
  <c r="AM33" i="24"/>
  <c r="CE33" i="24"/>
  <c r="CF33" i="24"/>
  <c r="K33" i="24"/>
  <c r="H33" i="24"/>
  <c r="CE177" i="24"/>
  <c r="H177" i="24"/>
  <c r="AM177" i="24"/>
  <c r="CF177" i="24"/>
  <c r="I177" i="24"/>
  <c r="K177" i="24" s="1"/>
  <c r="AM54" i="24"/>
  <c r="K54" i="24"/>
  <c r="H54" i="24"/>
  <c r="I54" i="24"/>
  <c r="CE243" i="24"/>
  <c r="H243" i="24"/>
  <c r="AM243" i="24"/>
  <c r="H194" i="24"/>
  <c r="CE194" i="24"/>
  <c r="AM194" i="24"/>
  <c r="CF194" i="24"/>
  <c r="K7" i="24"/>
  <c r="AM7" i="24"/>
  <c r="H7" i="24"/>
  <c r="AM71" i="24"/>
  <c r="CE71" i="24"/>
  <c r="CF71" i="24"/>
  <c r="K71" i="24"/>
  <c r="H71" i="24"/>
  <c r="CF130" i="24"/>
  <c r="CE130" i="24"/>
  <c r="AM130" i="24"/>
  <c r="H130" i="24"/>
  <c r="AM268" i="24"/>
  <c r="CE268" i="24"/>
  <c r="H268" i="24"/>
  <c r="I268" i="24"/>
  <c r="M268" i="24" s="1"/>
  <c r="N268" i="24" s="1"/>
  <c r="BO202" i="24"/>
  <c r="BR202" i="24" s="1"/>
  <c r="H52" i="25"/>
  <c r="AL52" i="25"/>
  <c r="CC52" i="25"/>
  <c r="H23" i="25"/>
  <c r="CC23" i="25"/>
  <c r="AL23" i="25"/>
  <c r="CF23" i="25"/>
  <c r="CE23" i="25"/>
  <c r="BN11" i="25"/>
  <c r="I11" i="25"/>
  <c r="H195" i="25"/>
  <c r="AL195" i="25"/>
  <c r="CC195" i="25"/>
  <c r="J195" i="25"/>
  <c r="CC202" i="25"/>
  <c r="AL202" i="25"/>
  <c r="H202" i="25"/>
  <c r="J202" i="25"/>
  <c r="L202" i="25" s="1"/>
  <c r="H164" i="25"/>
  <c r="AL164" i="25"/>
  <c r="CC164" i="25"/>
  <c r="J164" i="25"/>
  <c r="L164" i="25" s="1"/>
  <c r="H186" i="25"/>
  <c r="AL186" i="25"/>
  <c r="CC186" i="25"/>
  <c r="H8" i="25"/>
  <c r="CC8" i="25"/>
  <c r="AL8" i="25"/>
  <c r="CF8" i="25"/>
  <c r="CE8" i="25"/>
  <c r="J8" i="25"/>
  <c r="L8" i="25" s="1"/>
  <c r="H237" i="25"/>
  <c r="AL237" i="25"/>
  <c r="CC237" i="25"/>
  <c r="H233" i="24"/>
  <c r="AM233" i="24"/>
  <c r="CF250" i="24"/>
  <c r="H250" i="24"/>
  <c r="AM250" i="24"/>
  <c r="I250" i="24"/>
  <c r="AM114" i="24"/>
  <c r="H114" i="24"/>
  <c r="I114" i="24"/>
  <c r="CF67" i="24"/>
  <c r="CE67" i="24"/>
  <c r="AM67" i="24"/>
  <c r="K67" i="24"/>
  <c r="H67" i="24"/>
  <c r="I67" i="24"/>
  <c r="CF158" i="24"/>
  <c r="CE158" i="24"/>
  <c r="AM158" i="24"/>
  <c r="H158" i="24"/>
  <c r="I158" i="24"/>
  <c r="K158" i="24" s="1"/>
  <c r="BN80" i="25"/>
  <c r="BQ80" i="25" s="1"/>
  <c r="I80" i="25"/>
  <c r="BN137" i="25"/>
  <c r="I137" i="25"/>
  <c r="BO265" i="24"/>
  <c r="BR265" i="24" s="1"/>
  <c r="BM269" i="25"/>
  <c r="BQ269" i="25" s="1"/>
  <c r="BO130" i="24"/>
  <c r="BR130" i="24" s="1"/>
  <c r="BO97" i="24"/>
  <c r="BR97" i="24" s="1"/>
  <c r="BO111" i="24"/>
  <c r="BR111" i="24" s="1"/>
  <c r="BM208" i="25"/>
  <c r="BO261" i="24"/>
  <c r="BR261" i="24" s="1"/>
  <c r="J270" i="25"/>
  <c r="I170" i="24"/>
  <c r="K170" i="24" s="1"/>
  <c r="J266" i="25"/>
  <c r="J16" i="25"/>
  <c r="BM226" i="25"/>
  <c r="BO118" i="24"/>
  <c r="BR118" i="24" s="1"/>
  <c r="J185" i="25"/>
  <c r="J186" i="25"/>
  <c r="N186" i="25" s="1"/>
  <c r="J52" i="25"/>
  <c r="J70" i="25"/>
  <c r="I96" i="24"/>
  <c r="J151" i="25"/>
  <c r="I224" i="24"/>
  <c r="I125" i="24"/>
  <c r="K125" i="24" s="1"/>
  <c r="I33" i="24"/>
  <c r="J159" i="25"/>
  <c r="I143" i="24"/>
  <c r="H185" i="24"/>
  <c r="AM185" i="24"/>
  <c r="I185" i="24"/>
  <c r="K185" i="24" s="1"/>
  <c r="CE283" i="24"/>
  <c r="CF283" i="24"/>
  <c r="H283" i="24"/>
  <c r="AM283" i="24"/>
  <c r="I283" i="24"/>
  <c r="H257" i="24"/>
  <c r="AM257" i="24"/>
  <c r="CE257" i="24"/>
  <c r="H168" i="24"/>
  <c r="AM168" i="24"/>
  <c r="AL81" i="25"/>
  <c r="CC81" i="25"/>
  <c r="H81" i="25"/>
  <c r="H44" i="25"/>
  <c r="CE44" i="25"/>
  <c r="CC44" i="25"/>
  <c r="AL44" i="25"/>
  <c r="CF44" i="25"/>
  <c r="AL239" i="25"/>
  <c r="CC239" i="25"/>
  <c r="H239" i="25"/>
  <c r="J239" i="25"/>
  <c r="L239" i="25" s="1"/>
  <c r="H315" i="25"/>
  <c r="AL315" i="25"/>
  <c r="CC315" i="25"/>
  <c r="H280" i="25"/>
  <c r="AL280" i="25"/>
  <c r="CC280" i="25"/>
  <c r="K119" i="24"/>
  <c r="H119" i="24"/>
  <c r="AM119" i="24"/>
  <c r="AM152" i="24"/>
  <c r="H152" i="24"/>
  <c r="K70" i="24"/>
  <c r="AM70" i="24"/>
  <c r="H70" i="24"/>
  <c r="CE70" i="24"/>
  <c r="CF70" i="24"/>
  <c r="I70" i="24"/>
  <c r="AL189" i="25"/>
  <c r="CC189" i="25"/>
  <c r="H189" i="25"/>
  <c r="BN37" i="25"/>
  <c r="I37" i="25"/>
  <c r="CC152" i="25"/>
  <c r="AL152" i="25"/>
  <c r="H152" i="25"/>
  <c r="J152" i="25"/>
  <c r="L152" i="25" s="1"/>
  <c r="BN182" i="25"/>
  <c r="I182" i="25"/>
  <c r="M142" i="24"/>
  <c r="AM46" i="24"/>
  <c r="CE46" i="24"/>
  <c r="CF46" i="24"/>
  <c r="K46" i="24"/>
  <c r="H46" i="24"/>
  <c r="I46" i="24"/>
  <c r="H36" i="24"/>
  <c r="CE36" i="24"/>
  <c r="CF36" i="24"/>
  <c r="AM36" i="24"/>
  <c r="K36" i="24"/>
  <c r="I36" i="24"/>
  <c r="AM45" i="24"/>
  <c r="K45" i="24"/>
  <c r="H45" i="24"/>
  <c r="CE281" i="24"/>
  <c r="AM281" i="24"/>
  <c r="H281" i="24"/>
  <c r="I281" i="24"/>
  <c r="K94" i="24"/>
  <c r="AM94" i="24"/>
  <c r="H94" i="24"/>
  <c r="CF94" i="24"/>
  <c r="CE94" i="24"/>
  <c r="I94" i="24"/>
  <c r="AM206" i="24"/>
  <c r="H206" i="24"/>
  <c r="AM132" i="24"/>
  <c r="K132" i="24"/>
  <c r="H132" i="24"/>
  <c r="CE274" i="24"/>
  <c r="H274" i="24"/>
  <c r="AM274" i="24"/>
  <c r="I274" i="24"/>
  <c r="K274" i="24" s="1"/>
  <c r="BO268" i="24"/>
  <c r="BR268" i="24" s="1"/>
  <c r="CF29" i="25"/>
  <c r="H29" i="25"/>
  <c r="AL29" i="25"/>
  <c r="CC29" i="25"/>
  <c r="CE29" i="25"/>
  <c r="BN9" i="25"/>
  <c r="I9" i="25"/>
  <c r="AL38" i="25"/>
  <c r="CC38" i="25"/>
  <c r="H38" i="25"/>
  <c r="J38" i="25"/>
  <c r="L38" i="25" s="1"/>
  <c r="CF94" i="25"/>
  <c r="AL94" i="25"/>
  <c r="CC94" i="25"/>
  <c r="CE94" i="25"/>
  <c r="H94" i="25"/>
  <c r="CF298" i="24"/>
  <c r="H298" i="24"/>
  <c r="AM298" i="24"/>
  <c r="I298" i="24"/>
  <c r="K298" i="24" s="1"/>
  <c r="H165" i="24"/>
  <c r="AM165" i="24"/>
  <c r="I165" i="24"/>
  <c r="M101" i="24"/>
  <c r="CE292" i="24"/>
  <c r="AM292" i="24"/>
  <c r="H292" i="24"/>
  <c r="K292" i="24"/>
  <c r="BN17" i="25"/>
  <c r="BQ17" i="25" s="1"/>
  <c r="I17" i="25"/>
  <c r="I243" i="24"/>
  <c r="BM280" i="25"/>
  <c r="BQ280" i="25" s="1"/>
  <c r="BM122" i="25"/>
  <c r="BM165" i="25"/>
  <c r="BM164" i="25"/>
  <c r="BQ164" i="25" s="1"/>
  <c r="BO165" i="24"/>
  <c r="BR165" i="24" s="1"/>
  <c r="BM185" i="25"/>
  <c r="BQ185" i="25" s="1"/>
  <c r="I186" i="24"/>
  <c r="J42" i="25"/>
  <c r="J141" i="25"/>
  <c r="J9" i="25"/>
  <c r="BO46" i="24"/>
  <c r="BR46" i="24" s="1"/>
  <c r="BM189" i="25"/>
  <c r="BM70" i="25"/>
  <c r="BQ70" i="25" s="1"/>
  <c r="BO18" i="24"/>
  <c r="BR18" i="24" s="1"/>
  <c r="BO56" i="24"/>
  <c r="BR56" i="24" s="1"/>
  <c r="BM241" i="25"/>
  <c r="BQ241" i="25" s="1"/>
  <c r="BO146" i="24"/>
  <c r="BR146" i="24" s="1"/>
  <c r="BM237" i="25"/>
  <c r="BQ237" i="25" s="1"/>
  <c r="BO71" i="24"/>
  <c r="BR71" i="24" s="1"/>
  <c r="BO37" i="24"/>
  <c r="BR37" i="24" s="1"/>
  <c r="BM188" i="25"/>
  <c r="BM176" i="25"/>
  <c r="J226" i="25"/>
  <c r="I152" i="24"/>
  <c r="K152" i="24" s="1"/>
  <c r="I37" i="24"/>
  <c r="J162" i="25"/>
  <c r="BO54" i="24"/>
  <c r="BR54" i="24" s="1"/>
  <c r="BM245" i="25"/>
  <c r="BM74" i="25"/>
  <c r="BO63" i="24"/>
  <c r="BR63" i="24" s="1"/>
  <c r="BO273" i="24"/>
  <c r="BR273" i="24" s="1"/>
  <c r="BM182" i="25"/>
  <c r="BM236" i="25"/>
  <c r="BQ236" i="25" s="1"/>
  <c r="BM137" i="25"/>
  <c r="BO252" i="24"/>
  <c r="BR252" i="24" s="1"/>
  <c r="BO257" i="24"/>
  <c r="BR257" i="24" s="1"/>
  <c r="BO22" i="24"/>
  <c r="BR22" i="24" s="1"/>
  <c r="BO296" i="24"/>
  <c r="BR296" i="24" s="1"/>
  <c r="BM77" i="25"/>
  <c r="BO304" i="24"/>
  <c r="BR304" i="24" s="1"/>
  <c r="BM37" i="25"/>
  <c r="BO114" i="24"/>
  <c r="BR114" i="24" s="1"/>
  <c r="BO292" i="24"/>
  <c r="BR292" i="24" s="1"/>
  <c r="BO67" i="24"/>
  <c r="BR67" i="24" s="1"/>
  <c r="BM120" i="25"/>
  <c r="I168" i="24"/>
  <c r="I56" i="24"/>
  <c r="J168" i="25"/>
  <c r="S236" i="24" l="1"/>
  <c r="T236" i="24" s="1"/>
  <c r="O236" i="24" s="1"/>
  <c r="BZ236" i="24" s="1"/>
  <c r="BK233" i="24"/>
  <c r="M236" i="24"/>
  <c r="N236" i="24" s="1"/>
  <c r="AP236" i="24" s="1"/>
  <c r="K236" i="24"/>
  <c r="M233" i="24"/>
  <c r="N233" i="24" s="1"/>
  <c r="AP233" i="24" s="1"/>
  <c r="K294" i="24"/>
  <c r="K233" i="24"/>
  <c r="BK294" i="24"/>
  <c r="M294" i="24"/>
  <c r="N294" i="24" s="1"/>
  <c r="BK264" i="24"/>
  <c r="M264" i="24"/>
  <c r="N264" i="24" s="1"/>
  <c r="P264" i="24" s="1"/>
  <c r="U237" i="24"/>
  <c r="S257" i="24"/>
  <c r="T257" i="24" s="1"/>
  <c r="J257" i="24" s="1"/>
  <c r="U219" i="24"/>
  <c r="BK257" i="24"/>
  <c r="S264" i="24"/>
  <c r="T264" i="24" s="1"/>
  <c r="J264" i="24" s="1"/>
  <c r="Q257" i="24"/>
  <c r="K257" i="24"/>
  <c r="U290" i="24"/>
  <c r="U268" i="24"/>
  <c r="U279" i="24"/>
  <c r="U312" i="24"/>
  <c r="U310" i="24"/>
  <c r="U248" i="24"/>
  <c r="U313" i="24"/>
  <c r="U292" i="24"/>
  <c r="V292" i="24" s="1"/>
  <c r="U271" i="24"/>
  <c r="U287" i="24"/>
  <c r="U306" i="24"/>
  <c r="U226" i="24"/>
  <c r="U257" i="24"/>
  <c r="V257" i="24" s="1"/>
  <c r="U218" i="24"/>
  <c r="U225" i="24"/>
  <c r="V225" i="24" s="1"/>
  <c r="U234" i="24"/>
  <c r="U303" i="24"/>
  <c r="U270" i="24"/>
  <c r="U272" i="24"/>
  <c r="U238" i="24"/>
  <c r="U307" i="24"/>
  <c r="U231" i="24"/>
  <c r="U227" i="24"/>
  <c r="BQ227" i="25"/>
  <c r="N190" i="25"/>
  <c r="T190" i="25" s="1"/>
  <c r="U190" i="25" s="1"/>
  <c r="BI190" i="25"/>
  <c r="L94" i="25"/>
  <c r="K160" i="24"/>
  <c r="BK160" i="24"/>
  <c r="L29" i="25"/>
  <c r="BI257" i="25"/>
  <c r="BQ177" i="25"/>
  <c r="N94" i="25"/>
  <c r="T94" i="25" s="1"/>
  <c r="U94" i="25" s="1"/>
  <c r="BQ104" i="25"/>
  <c r="M55" i="24"/>
  <c r="N55" i="24" s="1"/>
  <c r="AP55" i="24" s="1"/>
  <c r="BQ270" i="25"/>
  <c r="S55" i="24"/>
  <c r="T55" i="24" s="1"/>
  <c r="J55" i="24" s="1"/>
  <c r="L257" i="25"/>
  <c r="BQ161" i="25"/>
  <c r="N262" i="25"/>
  <c r="T262" i="25" s="1"/>
  <c r="M160" i="24"/>
  <c r="N160" i="24" s="1"/>
  <c r="P160" i="24" s="1"/>
  <c r="U45" i="24"/>
  <c r="V45" i="24" s="1"/>
  <c r="BQ225" i="25"/>
  <c r="BK41" i="24"/>
  <c r="BQ42" i="25"/>
  <c r="BQ308" i="25"/>
  <c r="S41" i="24"/>
  <c r="T41" i="24" s="1"/>
  <c r="J41" i="24" s="1"/>
  <c r="BQ242" i="25"/>
  <c r="N155" i="25"/>
  <c r="T155" i="25" s="1"/>
  <c r="BQ297" i="25"/>
  <c r="N11" i="25"/>
  <c r="T11" i="25" s="1"/>
  <c r="U11" i="25" s="1"/>
  <c r="BI280" i="25"/>
  <c r="BI11" i="25"/>
  <c r="N280" i="25"/>
  <c r="T280" i="25" s="1"/>
  <c r="U280" i="25" s="1"/>
  <c r="U119" i="24"/>
  <c r="V119" i="24" s="1"/>
  <c r="U162" i="24"/>
  <c r="V162" i="24" s="1"/>
  <c r="K130" i="24"/>
  <c r="U132" i="24"/>
  <c r="V132" i="24" s="1"/>
  <c r="BQ162" i="25"/>
  <c r="BQ37" i="25"/>
  <c r="K116" i="24"/>
  <c r="M289" i="24"/>
  <c r="BI143" i="25"/>
  <c r="L177" i="25"/>
  <c r="L143" i="25"/>
  <c r="BQ88" i="25"/>
  <c r="N189" i="25"/>
  <c r="T189" i="25" s="1"/>
  <c r="U189" i="25" s="1"/>
  <c r="BI237" i="25"/>
  <c r="N29" i="25"/>
  <c r="T29" i="25" s="1"/>
  <c r="U29" i="25" s="1"/>
  <c r="N237" i="25"/>
  <c r="T237" i="25" s="1"/>
  <c r="U237" i="25" s="1"/>
  <c r="BQ263" i="25"/>
  <c r="BQ189" i="25"/>
  <c r="L258" i="25"/>
  <c r="N258" i="25"/>
  <c r="P258" i="25" s="1"/>
  <c r="BQ73" i="25"/>
  <c r="T13" i="25"/>
  <c r="U13" i="25" s="1"/>
  <c r="BQ74" i="25"/>
  <c r="BQ148" i="25"/>
  <c r="BQ302" i="25"/>
  <c r="BQ255" i="25"/>
  <c r="BI293" i="25"/>
  <c r="BQ265" i="25"/>
  <c r="M223" i="24"/>
  <c r="U223" i="24" s="1"/>
  <c r="BQ219" i="25"/>
  <c r="L87" i="25"/>
  <c r="K225" i="24"/>
  <c r="BQ55" i="25"/>
  <c r="L293" i="25"/>
  <c r="BQ120" i="25"/>
  <c r="BQ167" i="25"/>
  <c r="BQ187" i="25"/>
  <c r="BQ293" i="25"/>
  <c r="T143" i="25"/>
  <c r="U143" i="25" s="1"/>
  <c r="BI177" i="25"/>
  <c r="BQ117" i="25"/>
  <c r="BQ96" i="25"/>
  <c r="N179" i="25"/>
  <c r="P179" i="25" s="1"/>
  <c r="BQ220" i="25"/>
  <c r="BQ275" i="25"/>
  <c r="N265" i="25"/>
  <c r="T265" i="25" s="1"/>
  <c r="U265" i="25" s="1"/>
  <c r="BQ313" i="25"/>
  <c r="L265" i="25"/>
  <c r="L179" i="25"/>
  <c r="BQ165" i="25"/>
  <c r="BQ137" i="25"/>
  <c r="K147" i="24"/>
  <c r="BQ122" i="25"/>
  <c r="BQ66" i="25"/>
  <c r="BI129" i="25"/>
  <c r="L206" i="25"/>
  <c r="U191" i="24"/>
  <c r="V191" i="24" s="1"/>
  <c r="BQ294" i="25"/>
  <c r="BQ103" i="25"/>
  <c r="O143" i="25"/>
  <c r="AO143" i="25" s="1"/>
  <c r="N97" i="25"/>
  <c r="T97" i="25" s="1"/>
  <c r="BQ77" i="25"/>
  <c r="L189" i="25"/>
  <c r="BQ306" i="25"/>
  <c r="L110" i="25"/>
  <c r="BQ112" i="25"/>
  <c r="N28" i="25"/>
  <c r="T28" i="25" s="1"/>
  <c r="U28" i="25" s="1"/>
  <c r="T110" i="25"/>
  <c r="U110" i="25" s="1"/>
  <c r="P110" i="25"/>
  <c r="BZ110" i="25" s="1"/>
  <c r="BQ176" i="25"/>
  <c r="BQ13" i="25"/>
  <c r="L129" i="25"/>
  <c r="BQ158" i="25"/>
  <c r="L28" i="25"/>
  <c r="N291" i="25"/>
  <c r="T291" i="25" s="1"/>
  <c r="BQ95" i="25"/>
  <c r="N77" i="25"/>
  <c r="L77" i="25"/>
  <c r="BQ94" i="25"/>
  <c r="BQ283" i="25"/>
  <c r="BQ311" i="25"/>
  <c r="BQ134" i="25"/>
  <c r="BQ292" i="25"/>
  <c r="BI110" i="25"/>
  <c r="BQ245" i="25"/>
  <c r="BQ304" i="25"/>
  <c r="P129" i="25"/>
  <c r="BZ129" i="25" s="1"/>
  <c r="T129" i="25"/>
  <c r="U129" i="25" s="1"/>
  <c r="BQ52" i="25"/>
  <c r="BQ47" i="25"/>
  <c r="BQ133" i="25"/>
  <c r="BQ76" i="25"/>
  <c r="BQ121" i="25"/>
  <c r="K188" i="24"/>
  <c r="M251" i="24"/>
  <c r="N251" i="24" s="1"/>
  <c r="AP251" i="24" s="1"/>
  <c r="M137" i="24"/>
  <c r="N137" i="24" s="1"/>
  <c r="K127" i="24"/>
  <c r="BQ100" i="25"/>
  <c r="BQ195" i="25"/>
  <c r="BQ156" i="25"/>
  <c r="M167" i="24"/>
  <c r="N167" i="24" s="1"/>
  <c r="P167" i="24" s="1"/>
  <c r="BQ192" i="25"/>
  <c r="BQ178" i="25"/>
  <c r="BQ99" i="25"/>
  <c r="BQ267" i="25"/>
  <c r="BQ157" i="25"/>
  <c r="BQ150" i="25"/>
  <c r="BQ181" i="25"/>
  <c r="BQ305" i="25"/>
  <c r="BQ226" i="25"/>
  <c r="N104" i="25"/>
  <c r="T104" i="25" s="1"/>
  <c r="U104" i="25" s="1"/>
  <c r="BI131" i="25"/>
  <c r="N154" i="25"/>
  <c r="P154" i="25" s="1"/>
  <c r="BQ238" i="25"/>
  <c r="L173" i="25"/>
  <c r="BQ307" i="25"/>
  <c r="BQ147" i="25"/>
  <c r="T131" i="25"/>
  <c r="U131" i="25" s="1"/>
  <c r="BQ210" i="25"/>
  <c r="BQ198" i="25"/>
  <c r="L131" i="25"/>
  <c r="BQ199" i="25"/>
  <c r="BQ12" i="25"/>
  <c r="L199" i="25"/>
  <c r="BQ145" i="25"/>
  <c r="BQ190" i="25"/>
  <c r="N41" i="24"/>
  <c r="AP41" i="24" s="1"/>
  <c r="U41" i="24"/>
  <c r="V41" i="24" s="1"/>
  <c r="BQ194" i="25"/>
  <c r="K200" i="24"/>
  <c r="K193" i="24"/>
  <c r="K237" i="24"/>
  <c r="K306" i="24"/>
  <c r="K313" i="24"/>
  <c r="M77" i="24"/>
  <c r="N77" i="24" s="1"/>
  <c r="AP77" i="24" s="1"/>
  <c r="N96" i="25"/>
  <c r="T96" i="25" s="1"/>
  <c r="U96" i="25" s="1"/>
  <c r="K248" i="24"/>
  <c r="K279" i="24"/>
  <c r="K234" i="24"/>
  <c r="BQ182" i="25"/>
  <c r="L6" i="25"/>
  <c r="M285" i="24"/>
  <c r="K205" i="24"/>
  <c r="K307" i="24"/>
  <c r="BQ71" i="25"/>
  <c r="K182" i="24"/>
  <c r="L167" i="25"/>
  <c r="BQ254" i="25"/>
  <c r="K246" i="24"/>
  <c r="M84" i="24"/>
  <c r="N84" i="24" s="1"/>
  <c r="BQ235" i="25"/>
  <c r="K227" i="24"/>
  <c r="BQ268" i="25"/>
  <c r="K303" i="24"/>
  <c r="M134" i="24"/>
  <c r="N134" i="24" s="1"/>
  <c r="AP134" i="24" s="1"/>
  <c r="U88" i="24"/>
  <c r="V88" i="24" s="1"/>
  <c r="BI104" i="25"/>
  <c r="K272" i="24"/>
  <c r="K226" i="24"/>
  <c r="K310" i="24"/>
  <c r="BQ209" i="25"/>
  <c r="BQ27" i="25"/>
  <c r="BQ287" i="25"/>
  <c r="L71" i="25"/>
  <c r="T232" i="25"/>
  <c r="U232" i="25" s="1"/>
  <c r="BQ276" i="25"/>
  <c r="BQ188" i="25"/>
  <c r="M252" i="24"/>
  <c r="N252" i="24" s="1"/>
  <c r="K290" i="24"/>
  <c r="L13" i="25"/>
  <c r="BQ175" i="25"/>
  <c r="BQ173" i="25"/>
  <c r="M246" i="24"/>
  <c r="N246" i="24" s="1"/>
  <c r="AP246" i="24" s="1"/>
  <c r="M286" i="24"/>
  <c r="N286" i="24" s="1"/>
  <c r="U7" i="24"/>
  <c r="V7" i="24" s="1"/>
  <c r="M276" i="24"/>
  <c r="N276" i="24" s="1"/>
  <c r="AP276" i="24" s="1"/>
  <c r="M157" i="24"/>
  <c r="N157" i="24" s="1"/>
  <c r="AP157" i="24" s="1"/>
  <c r="K218" i="24"/>
  <c r="N59" i="25"/>
  <c r="T59" i="25" s="1"/>
  <c r="BQ248" i="25"/>
  <c r="BQ142" i="25"/>
  <c r="L306" i="25"/>
  <c r="BQ86" i="25"/>
  <c r="L161" i="25"/>
  <c r="BQ249" i="25"/>
  <c r="BQ113" i="25"/>
  <c r="BQ131" i="25"/>
  <c r="T255" i="25"/>
  <c r="U255" i="25" s="1"/>
  <c r="L32" i="25"/>
  <c r="L95" i="25"/>
  <c r="T296" i="25"/>
  <c r="U296" i="25" s="1"/>
  <c r="L273" i="25"/>
  <c r="BQ208" i="25"/>
  <c r="L198" i="25"/>
  <c r="BQ65" i="25"/>
  <c r="BQ286" i="25"/>
  <c r="L14" i="25"/>
  <c r="L114" i="25"/>
  <c r="BQ251" i="25"/>
  <c r="L147" i="25"/>
  <c r="L229" i="25"/>
  <c r="BQ28" i="25"/>
  <c r="L248" i="25"/>
  <c r="BQ271" i="25"/>
  <c r="L276" i="25"/>
  <c r="L247" i="25"/>
  <c r="L158" i="25"/>
  <c r="BQ36" i="25"/>
  <c r="L261" i="25"/>
  <c r="L186" i="25"/>
  <c r="L292" i="25"/>
  <c r="L148" i="25"/>
  <c r="BQ101" i="25"/>
  <c r="L113" i="25"/>
  <c r="L255" i="25"/>
  <c r="L243" i="25"/>
  <c r="L240" i="25"/>
  <c r="BQ75" i="25"/>
  <c r="T186" i="25"/>
  <c r="U186" i="25" s="1"/>
  <c r="L192" i="25"/>
  <c r="L283" i="25"/>
  <c r="U192" i="25"/>
  <c r="Q6" i="24"/>
  <c r="R6" i="24" s="1"/>
  <c r="P6" i="24"/>
  <c r="U257" i="25"/>
  <c r="BK165" i="24"/>
  <c r="S165" i="24"/>
  <c r="T165" i="24" s="1"/>
  <c r="M165" i="24"/>
  <c r="N165" i="24" s="1"/>
  <c r="BK33" i="24"/>
  <c r="S33" i="24"/>
  <c r="T33" i="24" s="1"/>
  <c r="M33" i="24"/>
  <c r="N33" i="24" s="1"/>
  <c r="AP33" i="24" s="1"/>
  <c r="BI162" i="25"/>
  <c r="N162" i="25"/>
  <c r="T162" i="25" s="1"/>
  <c r="BI9" i="25"/>
  <c r="N9" i="25"/>
  <c r="T9" i="25" s="1"/>
  <c r="L9" i="25"/>
  <c r="AP45" i="24"/>
  <c r="AH239" i="25"/>
  <c r="BK224" i="24"/>
  <c r="S224" i="24"/>
  <c r="T224" i="24" s="1"/>
  <c r="K224" i="24"/>
  <c r="U18" i="24"/>
  <c r="BK111" i="24"/>
  <c r="S111" i="24"/>
  <c r="T111" i="24" s="1"/>
  <c r="K111" i="24"/>
  <c r="M111" i="24"/>
  <c r="N111" i="24" s="1"/>
  <c r="BI245" i="25"/>
  <c r="N245" i="25"/>
  <c r="T245" i="25" s="1"/>
  <c r="L245" i="25"/>
  <c r="N97" i="24"/>
  <c r="U97" i="24"/>
  <c r="P82" i="25"/>
  <c r="O82" i="25"/>
  <c r="P27" i="24"/>
  <c r="Q27" i="24"/>
  <c r="R27" i="24" s="1"/>
  <c r="P148" i="25"/>
  <c r="O148" i="25"/>
  <c r="T148" i="25"/>
  <c r="P147" i="25"/>
  <c r="O147" i="25"/>
  <c r="AO147" i="25" s="1"/>
  <c r="P240" i="25"/>
  <c r="O240" i="25"/>
  <c r="AO240" i="25" s="1"/>
  <c r="T240" i="25"/>
  <c r="P113" i="25"/>
  <c r="O113" i="25"/>
  <c r="AO113" i="25" s="1"/>
  <c r="T113" i="25"/>
  <c r="P237" i="24"/>
  <c r="Q237" i="24"/>
  <c r="N303" i="24"/>
  <c r="AP303" i="24" s="1"/>
  <c r="P267" i="25"/>
  <c r="O267" i="25"/>
  <c r="AO267" i="25" s="1"/>
  <c r="N90" i="24"/>
  <c r="AP90" i="24" s="1"/>
  <c r="U90" i="24"/>
  <c r="N79" i="24"/>
  <c r="AP79" i="24" s="1"/>
  <c r="U79" i="24"/>
  <c r="BK281" i="24"/>
  <c r="S281" i="24"/>
  <c r="T281" i="24" s="1"/>
  <c r="M281" i="24"/>
  <c r="N281" i="24" s="1"/>
  <c r="AH81" i="25"/>
  <c r="BI168" i="25"/>
  <c r="N168" i="25"/>
  <c r="T168" i="25" s="1"/>
  <c r="L168" i="25"/>
  <c r="U147" i="24"/>
  <c r="BK37" i="24"/>
  <c r="S37" i="24"/>
  <c r="T37" i="24" s="1"/>
  <c r="M37" i="24"/>
  <c r="N37" i="24" s="1"/>
  <c r="AP37" i="24" s="1"/>
  <c r="BI141" i="25"/>
  <c r="N141" i="25"/>
  <c r="T141" i="25" s="1"/>
  <c r="L141" i="25"/>
  <c r="AH38" i="25"/>
  <c r="BK94" i="24"/>
  <c r="S94" i="24"/>
  <c r="T94" i="24" s="1"/>
  <c r="M94" i="24"/>
  <c r="AH315" i="25"/>
  <c r="AH44" i="25"/>
  <c r="S283" i="24"/>
  <c r="T283" i="24" s="1"/>
  <c r="BK283" i="24"/>
  <c r="M283" i="24"/>
  <c r="N283" i="24" s="1"/>
  <c r="AP283" i="24" s="1"/>
  <c r="K283" i="24"/>
  <c r="BI151" i="25"/>
  <c r="N151" i="25"/>
  <c r="T151" i="25" s="1"/>
  <c r="L151" i="25"/>
  <c r="BI16" i="25"/>
  <c r="L16" i="25"/>
  <c r="N16" i="25"/>
  <c r="T16" i="25" s="1"/>
  <c r="AH8" i="25"/>
  <c r="N83" i="24"/>
  <c r="U83" i="24"/>
  <c r="BI160" i="25"/>
  <c r="N160" i="25"/>
  <c r="BK261" i="24"/>
  <c r="S261" i="24"/>
  <c r="T261" i="24" s="1"/>
  <c r="M261" i="24"/>
  <c r="N261" i="24" s="1"/>
  <c r="AP261" i="24" s="1"/>
  <c r="K261" i="24"/>
  <c r="Q129" i="24"/>
  <c r="P129" i="24"/>
  <c r="M224" i="24"/>
  <c r="N224" i="24" s="1"/>
  <c r="N116" i="24"/>
  <c r="U116" i="24"/>
  <c r="N130" i="24"/>
  <c r="AP130" i="24" s="1"/>
  <c r="U130" i="24"/>
  <c r="P92" i="25"/>
  <c r="O92" i="25"/>
  <c r="T92" i="25"/>
  <c r="Q238" i="24"/>
  <c r="P238" i="24"/>
  <c r="N10" i="24"/>
  <c r="AP10" i="24" s="1"/>
  <c r="U10" i="24"/>
  <c r="P259" i="25"/>
  <c r="O259" i="25"/>
  <c r="T259" i="25"/>
  <c r="P89" i="25"/>
  <c r="O89" i="25"/>
  <c r="T89" i="25"/>
  <c r="N32" i="24"/>
  <c r="U32" i="24"/>
  <c r="P243" i="25"/>
  <c r="O243" i="25"/>
  <c r="AO243" i="25" s="1"/>
  <c r="T243" i="25"/>
  <c r="BK243" i="24"/>
  <c r="S243" i="24"/>
  <c r="T243" i="24" s="1"/>
  <c r="BK67" i="24"/>
  <c r="S67" i="24"/>
  <c r="T67" i="24" s="1"/>
  <c r="M67" i="24"/>
  <c r="N67" i="24" s="1"/>
  <c r="AP67" i="24" s="1"/>
  <c r="AP268" i="24"/>
  <c r="P192" i="25"/>
  <c r="O192" i="25"/>
  <c r="P307" i="24"/>
  <c r="Q307" i="24"/>
  <c r="P206" i="25"/>
  <c r="O206" i="25"/>
  <c r="T206" i="25"/>
  <c r="P246" i="25"/>
  <c r="O246" i="25"/>
  <c r="AO246" i="25" s="1"/>
  <c r="Q205" i="24"/>
  <c r="P205" i="24"/>
  <c r="P238" i="25"/>
  <c r="O238" i="25"/>
  <c r="AO238" i="25" s="1"/>
  <c r="T238" i="25"/>
  <c r="P292" i="25"/>
  <c r="O292" i="25"/>
  <c r="AO292" i="25" s="1"/>
  <c r="T292" i="25"/>
  <c r="N193" i="24"/>
  <c r="U193" i="24"/>
  <c r="P32" i="25"/>
  <c r="O32" i="25"/>
  <c r="AO32" i="25" s="1"/>
  <c r="T32" i="25"/>
  <c r="Q199" i="24"/>
  <c r="P199" i="24"/>
  <c r="P201" i="25"/>
  <c r="O201" i="25"/>
  <c r="AO201" i="25" s="1"/>
  <c r="T201" i="25"/>
  <c r="N248" i="24"/>
  <c r="AP248" i="24" s="1"/>
  <c r="P95" i="25"/>
  <c r="O95" i="25"/>
  <c r="AO95" i="25" s="1"/>
  <c r="T95" i="25"/>
  <c r="BK56" i="24"/>
  <c r="S56" i="24"/>
  <c r="T56" i="24" s="1"/>
  <c r="M56" i="24"/>
  <c r="N56" i="24" s="1"/>
  <c r="BI42" i="25"/>
  <c r="N42" i="25"/>
  <c r="T42" i="25" s="1"/>
  <c r="L42" i="25"/>
  <c r="N142" i="24"/>
  <c r="AP142" i="24" s="1"/>
  <c r="U142" i="24"/>
  <c r="BK250" i="24"/>
  <c r="S250" i="24"/>
  <c r="T250" i="24" s="1"/>
  <c r="M250" i="24"/>
  <c r="N250" i="24" s="1"/>
  <c r="AP250" i="24" s="1"/>
  <c r="K165" i="24"/>
  <c r="AP132" i="24"/>
  <c r="AH189" i="25"/>
  <c r="BI70" i="25"/>
  <c r="L70" i="25"/>
  <c r="N70" i="25"/>
  <c r="BK170" i="24"/>
  <c r="S170" i="24"/>
  <c r="T170" i="24" s="1"/>
  <c r="M170" i="24"/>
  <c r="N170" i="24" s="1"/>
  <c r="BI8" i="25"/>
  <c r="N8" i="25"/>
  <c r="T8" i="25" s="1"/>
  <c r="BI164" i="25"/>
  <c r="N164" i="25"/>
  <c r="T164" i="25" s="1"/>
  <c r="BI202" i="25"/>
  <c r="N202" i="25"/>
  <c r="BI195" i="25"/>
  <c r="L195" i="25"/>
  <c r="N195" i="25"/>
  <c r="T195" i="25" s="1"/>
  <c r="AP7" i="24"/>
  <c r="K243" i="24"/>
  <c r="BK82" i="24"/>
  <c r="S82" i="24"/>
  <c r="T82" i="24" s="1"/>
  <c r="M82" i="24"/>
  <c r="N82" i="24" s="1"/>
  <c r="AP82" i="24" s="1"/>
  <c r="P163" i="24"/>
  <c r="Q163" i="24"/>
  <c r="BI81" i="25"/>
  <c r="N81" i="25"/>
  <c r="BI44" i="25"/>
  <c r="N44" i="25"/>
  <c r="AP191" i="24"/>
  <c r="P13" i="25"/>
  <c r="O13" i="25"/>
  <c r="O71" i="25"/>
  <c r="P71" i="25"/>
  <c r="T71" i="25"/>
  <c r="N200" i="24"/>
  <c r="U200" i="24"/>
  <c r="P306" i="25"/>
  <c r="O306" i="25"/>
  <c r="T306" i="25"/>
  <c r="N40" i="24"/>
  <c r="U40" i="24"/>
  <c r="P173" i="25"/>
  <c r="O173" i="25"/>
  <c r="AO173" i="25" s="1"/>
  <c r="T173" i="25"/>
  <c r="P31" i="25"/>
  <c r="O31" i="25"/>
  <c r="N227" i="24"/>
  <c r="AP227" i="24" s="1"/>
  <c r="N218" i="24"/>
  <c r="N310" i="24"/>
  <c r="P314" i="25"/>
  <c r="O314" i="25"/>
  <c r="AO314" i="25" s="1"/>
  <c r="P47" i="24"/>
  <c r="Q47" i="24"/>
  <c r="R47" i="24" s="1"/>
  <c r="N120" i="24"/>
  <c r="AP120" i="24" s="1"/>
  <c r="U120" i="24"/>
  <c r="P270" i="24"/>
  <c r="Q270" i="24"/>
  <c r="P273" i="25"/>
  <c r="O273" i="25"/>
  <c r="AO273" i="25" s="1"/>
  <c r="T273" i="25"/>
  <c r="BK152" i="24"/>
  <c r="S152" i="24"/>
  <c r="T152" i="24" s="1"/>
  <c r="M152" i="24"/>
  <c r="N152" i="24" s="1"/>
  <c r="P147" i="24"/>
  <c r="Q147" i="24"/>
  <c r="BK70" i="24"/>
  <c r="S70" i="24"/>
  <c r="T70" i="24" s="1"/>
  <c r="M70" i="24"/>
  <c r="N70" i="24" s="1"/>
  <c r="AP70" i="24" s="1"/>
  <c r="BK186" i="24"/>
  <c r="S186" i="24"/>
  <c r="T186" i="24" s="1"/>
  <c r="M186" i="24"/>
  <c r="N186" i="24" s="1"/>
  <c r="K186" i="24"/>
  <c r="Q24" i="24"/>
  <c r="R24" i="24" s="1"/>
  <c r="P24" i="24"/>
  <c r="BK168" i="24"/>
  <c r="S168" i="24"/>
  <c r="T168" i="24" s="1"/>
  <c r="M168" i="24"/>
  <c r="N168" i="24" s="1"/>
  <c r="AP168" i="24" s="1"/>
  <c r="AP292" i="24"/>
  <c r="BK298" i="24"/>
  <c r="S298" i="24"/>
  <c r="T298" i="24" s="1"/>
  <c r="M298" i="24"/>
  <c r="U298" i="24" s="1"/>
  <c r="AH94" i="25"/>
  <c r="BK274" i="24"/>
  <c r="S274" i="24"/>
  <c r="T274" i="24" s="1"/>
  <c r="M274" i="24"/>
  <c r="N274" i="24" s="1"/>
  <c r="K281" i="24"/>
  <c r="Q18" i="24"/>
  <c r="R18" i="24" s="1"/>
  <c r="P18" i="24"/>
  <c r="AP119" i="24"/>
  <c r="K168" i="24"/>
  <c r="BK143" i="24"/>
  <c r="S143" i="24"/>
  <c r="T143" i="24" s="1"/>
  <c r="M143" i="24"/>
  <c r="N143" i="24" s="1"/>
  <c r="AP143" i="24" s="1"/>
  <c r="K143" i="24"/>
  <c r="U6" i="25"/>
  <c r="BK202" i="24"/>
  <c r="S202" i="24"/>
  <c r="T202" i="24" s="1"/>
  <c r="M202" i="24"/>
  <c r="N202" i="24" s="1"/>
  <c r="K202" i="24"/>
  <c r="BK50" i="24"/>
  <c r="S50" i="24"/>
  <c r="T50" i="24" s="1"/>
  <c r="M50" i="24"/>
  <c r="N50" i="24" s="1"/>
  <c r="AP50" i="24" s="1"/>
  <c r="BQ132" i="25"/>
  <c r="U14" i="24"/>
  <c r="AH257" i="25"/>
  <c r="AH141" i="25"/>
  <c r="AH168" i="25"/>
  <c r="P283" i="25"/>
  <c r="O283" i="25"/>
  <c r="AO283" i="25" s="1"/>
  <c r="T283" i="25"/>
  <c r="P167" i="25"/>
  <c r="O167" i="25"/>
  <c r="AO167" i="25" s="1"/>
  <c r="T167" i="25"/>
  <c r="N313" i="24"/>
  <c r="AP313" i="24" s="1"/>
  <c r="P178" i="25"/>
  <c r="O178" i="25"/>
  <c r="AO178" i="25" s="1"/>
  <c r="T178" i="25"/>
  <c r="P248" i="25"/>
  <c r="O248" i="25"/>
  <c r="AO248" i="25" s="1"/>
  <c r="T248" i="25"/>
  <c r="P114" i="25"/>
  <c r="O114" i="25"/>
  <c r="AO114" i="25" s="1"/>
  <c r="T114" i="25"/>
  <c r="Q290" i="24"/>
  <c r="P290" i="24"/>
  <c r="P199" i="25"/>
  <c r="O199" i="25"/>
  <c r="AO199" i="25" s="1"/>
  <c r="AH186" i="25"/>
  <c r="BI226" i="25"/>
  <c r="L226" i="25"/>
  <c r="N226" i="25"/>
  <c r="Q14" i="24"/>
  <c r="R14" i="24" s="1"/>
  <c r="P14" i="24"/>
  <c r="AH29" i="25"/>
  <c r="BK185" i="24"/>
  <c r="S185" i="24"/>
  <c r="T185" i="24" s="1"/>
  <c r="M185" i="24"/>
  <c r="N185" i="24" s="1"/>
  <c r="N101" i="24"/>
  <c r="U101" i="24"/>
  <c r="BI38" i="25"/>
  <c r="N38" i="25"/>
  <c r="P257" i="25"/>
  <c r="O257" i="25"/>
  <c r="AO257" i="25" s="1"/>
  <c r="BK46" i="24"/>
  <c r="S46" i="24"/>
  <c r="T46" i="24" s="1"/>
  <c r="M46" i="24"/>
  <c r="AH152" i="25"/>
  <c r="BI239" i="25"/>
  <c r="N239" i="25"/>
  <c r="P186" i="25"/>
  <c r="O186" i="25"/>
  <c r="AO186" i="25" s="1"/>
  <c r="K250" i="24"/>
  <c r="L160" i="25"/>
  <c r="AH270" i="25"/>
  <c r="BK265" i="24"/>
  <c r="S265" i="24"/>
  <c r="T265" i="24" s="1"/>
  <c r="M265" i="24"/>
  <c r="N265" i="24" s="1"/>
  <c r="AP265" i="24" s="1"/>
  <c r="K265" i="24"/>
  <c r="BI132" i="25"/>
  <c r="N132" i="25"/>
  <c r="T132" i="25" s="1"/>
  <c r="L132" i="25"/>
  <c r="L162" i="25"/>
  <c r="N19" i="24"/>
  <c r="AP19" i="24" s="1"/>
  <c r="U19" i="24"/>
  <c r="P174" i="25"/>
  <c r="O174" i="25"/>
  <c r="AO174" i="25" s="1"/>
  <c r="P87" i="25"/>
  <c r="O87" i="25"/>
  <c r="T87" i="25"/>
  <c r="AH280" i="25"/>
  <c r="N185" i="25"/>
  <c r="T185" i="25" s="1"/>
  <c r="BI185" i="25"/>
  <c r="AH23" i="25"/>
  <c r="BK296" i="24"/>
  <c r="M296" i="24"/>
  <c r="N296" i="24" s="1"/>
  <c r="AP296" i="24" s="1"/>
  <c r="S296" i="24"/>
  <c r="T296" i="24" s="1"/>
  <c r="K296" i="24"/>
  <c r="U62" i="24"/>
  <c r="M243" i="24"/>
  <c r="N243" i="24" s="1"/>
  <c r="L185" i="25"/>
  <c r="AP163" i="24"/>
  <c r="BQ9" i="25"/>
  <c r="N241" i="25"/>
  <c r="T241" i="25" s="1"/>
  <c r="BI241" i="25"/>
  <c r="L241" i="25"/>
  <c r="BI58" i="25"/>
  <c r="N58" i="25"/>
  <c r="T58" i="25" s="1"/>
  <c r="L58" i="25"/>
  <c r="AH182" i="25"/>
  <c r="Q76" i="24"/>
  <c r="R76" i="24" s="1"/>
  <c r="P76" i="24"/>
  <c r="P25" i="24"/>
  <c r="Q25" i="24"/>
  <c r="R25" i="24" s="1"/>
  <c r="P276" i="25"/>
  <c r="O276" i="25"/>
  <c r="AO276" i="25" s="1"/>
  <c r="N226" i="24"/>
  <c r="AP226" i="24" s="1"/>
  <c r="N287" i="24"/>
  <c r="AP287" i="24" s="1"/>
  <c r="P247" i="25"/>
  <c r="O247" i="25"/>
  <c r="AO247" i="25" s="1"/>
  <c r="P161" i="25"/>
  <c r="O161" i="25"/>
  <c r="AO161" i="25" s="1"/>
  <c r="N306" i="24"/>
  <c r="P158" i="25"/>
  <c r="O158" i="25"/>
  <c r="AO158" i="25" s="1"/>
  <c r="T158" i="25"/>
  <c r="P21" i="25"/>
  <c r="O21" i="25"/>
  <c r="T21" i="25"/>
  <c r="N180" i="24"/>
  <c r="U180" i="24"/>
  <c r="P282" i="25"/>
  <c r="O282" i="25"/>
  <c r="AO282" i="25" s="1"/>
  <c r="T282" i="25"/>
  <c r="Q312" i="24"/>
  <c r="P312" i="24"/>
  <c r="Q272" i="24"/>
  <c r="P272" i="24"/>
  <c r="BI152" i="25"/>
  <c r="N152" i="25"/>
  <c r="T152" i="25" s="1"/>
  <c r="Q62" i="24"/>
  <c r="R62" i="24" s="1"/>
  <c r="P62" i="24"/>
  <c r="BK36" i="24"/>
  <c r="S36" i="24"/>
  <c r="T36" i="24" s="1"/>
  <c r="M36" i="24"/>
  <c r="N36" i="24" s="1"/>
  <c r="AP36" i="24" s="1"/>
  <c r="Q268" i="24"/>
  <c r="P268" i="24"/>
  <c r="BK138" i="24"/>
  <c r="S138" i="24"/>
  <c r="T138" i="24" s="1"/>
  <c r="M138" i="24"/>
  <c r="N138" i="24" s="1"/>
  <c r="AP138" i="24" s="1"/>
  <c r="BI193" i="25"/>
  <c r="N193" i="25"/>
  <c r="T193" i="25" s="1"/>
  <c r="BK273" i="24"/>
  <c r="S273" i="24"/>
  <c r="T273" i="24" s="1"/>
  <c r="M273" i="24"/>
  <c r="N273" i="24" s="1"/>
  <c r="AP273" i="24" s="1"/>
  <c r="K273" i="24"/>
  <c r="P232" i="25"/>
  <c r="O232" i="25"/>
  <c r="BK6" i="24"/>
  <c r="S6" i="24"/>
  <c r="T6" i="24" s="1"/>
  <c r="U6" i="24"/>
  <c r="N16" i="24"/>
  <c r="AP16" i="24" s="1"/>
  <c r="U16" i="24"/>
  <c r="N231" i="24"/>
  <c r="AP231" i="24" s="1"/>
  <c r="P150" i="24"/>
  <c r="Q150" i="24"/>
  <c r="N279" i="24"/>
  <c r="AP279" i="24" s="1"/>
  <c r="N234" i="24"/>
  <c r="AP234" i="24" s="1"/>
  <c r="P271" i="24"/>
  <c r="Q271" i="24"/>
  <c r="P229" i="25"/>
  <c r="O229" i="25"/>
  <c r="AO229" i="25" s="1"/>
  <c r="T229" i="25"/>
  <c r="P14" i="25"/>
  <c r="O14" i="25"/>
  <c r="T14" i="25"/>
  <c r="P261" i="25"/>
  <c r="O261" i="25"/>
  <c r="T261" i="25"/>
  <c r="P30" i="25"/>
  <c r="O30" i="25"/>
  <c r="BK12" i="24"/>
  <c r="S12" i="24"/>
  <c r="T12" i="24" s="1"/>
  <c r="M12" i="24"/>
  <c r="N12" i="24" s="1"/>
  <c r="BK74" i="24"/>
  <c r="S74" i="24"/>
  <c r="T74" i="24" s="1"/>
  <c r="M74" i="24"/>
  <c r="N74" i="24" s="1"/>
  <c r="AP74" i="24" s="1"/>
  <c r="AH208" i="25"/>
  <c r="AH74" i="25"/>
  <c r="BI203" i="25"/>
  <c r="BI30" i="25"/>
  <c r="L30" i="25"/>
  <c r="BI73" i="25"/>
  <c r="AH130" i="25"/>
  <c r="P182" i="24"/>
  <c r="Q182" i="24"/>
  <c r="AP182" i="24"/>
  <c r="BK269" i="24"/>
  <c r="S269" i="24"/>
  <c r="T269" i="24" s="1"/>
  <c r="M269" i="24"/>
  <c r="N269" i="24" s="1"/>
  <c r="BK245" i="24"/>
  <c r="S245" i="24"/>
  <c r="T245" i="24" s="1"/>
  <c r="BI175" i="25"/>
  <c r="AH238" i="25"/>
  <c r="BK222" i="24"/>
  <c r="S222" i="24"/>
  <c r="T222" i="24" s="1"/>
  <c r="Q119" i="24"/>
  <c r="P119" i="24"/>
  <c r="Q43" i="24"/>
  <c r="R43" i="24" s="1"/>
  <c r="P43" i="24"/>
  <c r="BK87" i="24"/>
  <c r="S87" i="24"/>
  <c r="T87" i="24" s="1"/>
  <c r="M87" i="24"/>
  <c r="N87" i="24" s="1"/>
  <c r="BI290" i="25"/>
  <c r="N290" i="25"/>
  <c r="T290" i="25" s="1"/>
  <c r="L290" i="25"/>
  <c r="BK284" i="24"/>
  <c r="S284" i="24"/>
  <c r="T284" i="24" s="1"/>
  <c r="BK81" i="24"/>
  <c r="S81" i="24"/>
  <c r="T81" i="24" s="1"/>
  <c r="BK208" i="24"/>
  <c r="S208" i="24"/>
  <c r="T208" i="24" s="1"/>
  <c r="BI263" i="25"/>
  <c r="BK297" i="24"/>
  <c r="S297" i="24"/>
  <c r="T297" i="24" s="1"/>
  <c r="K297" i="24"/>
  <c r="AH65" i="25"/>
  <c r="BK98" i="24"/>
  <c r="S98" i="24"/>
  <c r="T98" i="24" s="1"/>
  <c r="BI144" i="25"/>
  <c r="L144" i="25"/>
  <c r="P275" i="25"/>
  <c r="O275" i="25"/>
  <c r="AO275" i="25" s="1"/>
  <c r="BK35" i="24"/>
  <c r="S35" i="24"/>
  <c r="T35" i="24" s="1"/>
  <c r="BI102" i="25"/>
  <c r="BQ174" i="25"/>
  <c r="AH115" i="25"/>
  <c r="BK43" i="24"/>
  <c r="S43" i="24"/>
  <c r="T43" i="24" s="1"/>
  <c r="Q181" i="24"/>
  <c r="P181" i="24"/>
  <c r="AP271" i="24"/>
  <c r="BI101" i="25"/>
  <c r="BI289" i="25"/>
  <c r="BI50" i="25"/>
  <c r="N50" i="25"/>
  <c r="T50" i="25" s="1"/>
  <c r="BK136" i="24"/>
  <c r="S136" i="24"/>
  <c r="T136" i="24" s="1"/>
  <c r="BI47" i="25"/>
  <c r="AH258" i="25"/>
  <c r="AH134" i="25"/>
  <c r="AH207" i="25"/>
  <c r="BK258" i="24"/>
  <c r="S258" i="24"/>
  <c r="T258" i="24" s="1"/>
  <c r="M258" i="24"/>
  <c r="N258" i="24" s="1"/>
  <c r="BI35" i="25"/>
  <c r="N35" i="25"/>
  <c r="T35" i="25" s="1"/>
  <c r="BI91" i="25"/>
  <c r="N91" i="25"/>
  <c r="T91" i="25" s="1"/>
  <c r="AH57" i="25"/>
  <c r="BI24" i="25"/>
  <c r="N24" i="25"/>
  <c r="T24" i="25" s="1"/>
  <c r="L24" i="25"/>
  <c r="BI149" i="25"/>
  <c r="N149" i="25"/>
  <c r="T149" i="25" s="1"/>
  <c r="BK178" i="24"/>
  <c r="S178" i="24"/>
  <c r="T178" i="24" s="1"/>
  <c r="M178" i="24"/>
  <c r="N178" i="24" s="1"/>
  <c r="BI36" i="25"/>
  <c r="N36" i="25"/>
  <c r="T36" i="25" s="1"/>
  <c r="BI256" i="25"/>
  <c r="N256" i="25"/>
  <c r="T256" i="25" s="1"/>
  <c r="BI119" i="25"/>
  <c r="N119" i="25"/>
  <c r="T119" i="25" s="1"/>
  <c r="AH131" i="25"/>
  <c r="N61" i="25"/>
  <c r="T61" i="25" s="1"/>
  <c r="BI61" i="25"/>
  <c r="AH61" i="25"/>
  <c r="U293" i="25"/>
  <c r="AH146" i="25"/>
  <c r="AH294" i="25"/>
  <c r="AH264" i="25"/>
  <c r="BI88" i="25"/>
  <c r="BQ59" i="25"/>
  <c r="AH179" i="25"/>
  <c r="Q86" i="24"/>
  <c r="R86" i="24" s="1"/>
  <c r="P86" i="24"/>
  <c r="BK23" i="24"/>
  <c r="S23" i="24"/>
  <c r="T23" i="24" s="1"/>
  <c r="BK15" i="24"/>
  <c r="S15" i="24"/>
  <c r="T15" i="24" s="1"/>
  <c r="BK244" i="24"/>
  <c r="S244" i="24"/>
  <c r="T244" i="24" s="1"/>
  <c r="O22" i="24"/>
  <c r="BZ22" i="24" s="1"/>
  <c r="J22" i="24"/>
  <c r="BK201" i="24"/>
  <c r="S201" i="24"/>
  <c r="T201" i="24" s="1"/>
  <c r="T174" i="25"/>
  <c r="AH21" i="25"/>
  <c r="AH96" i="25"/>
  <c r="AH116" i="25"/>
  <c r="AH314" i="25"/>
  <c r="AH166" i="25"/>
  <c r="AH201" i="25"/>
  <c r="BK28" i="24"/>
  <c r="S28" i="24"/>
  <c r="T28" i="24" s="1"/>
  <c r="BQ261" i="25"/>
  <c r="BI172" i="25"/>
  <c r="BK172" i="24"/>
  <c r="S172" i="24"/>
  <c r="T172" i="24" s="1"/>
  <c r="AH272" i="25"/>
  <c r="AH89" i="25"/>
  <c r="AH110" i="25"/>
  <c r="BI305" i="25"/>
  <c r="BI275" i="25"/>
  <c r="AH275" i="25"/>
  <c r="AH262" i="25"/>
  <c r="BK254" i="24"/>
  <c r="S254" i="24"/>
  <c r="T254" i="24" s="1"/>
  <c r="BK230" i="24"/>
  <c r="S230" i="24"/>
  <c r="T230" i="24" s="1"/>
  <c r="BK171" i="24"/>
  <c r="S171" i="24"/>
  <c r="T171" i="24" s="1"/>
  <c r="K171" i="24"/>
  <c r="P204" i="25"/>
  <c r="O204" i="25"/>
  <c r="AO204" i="25" s="1"/>
  <c r="AH295" i="25"/>
  <c r="BK275" i="24"/>
  <c r="S275" i="24"/>
  <c r="T275" i="24" s="1"/>
  <c r="BI234" i="25"/>
  <c r="BK135" i="24"/>
  <c r="S135" i="24"/>
  <c r="T135" i="24" s="1"/>
  <c r="BI316" i="25"/>
  <c r="BI298" i="25"/>
  <c r="BI244" i="25"/>
  <c r="AH244" i="25"/>
  <c r="BK85" i="24"/>
  <c r="S85" i="24"/>
  <c r="T85" i="24" s="1"/>
  <c r="AH43" i="25"/>
  <c r="AH54" i="25"/>
  <c r="AH46" i="25"/>
  <c r="BI51" i="25"/>
  <c r="N51" i="25"/>
  <c r="T51" i="25" s="1"/>
  <c r="AH72" i="25"/>
  <c r="AH171" i="25"/>
  <c r="M81" i="24"/>
  <c r="N81" i="24" s="1"/>
  <c r="BQ301" i="25"/>
  <c r="BQ60" i="25"/>
  <c r="AH217" i="25"/>
  <c r="BI17" i="25"/>
  <c r="N17" i="25"/>
  <c r="T17" i="25" s="1"/>
  <c r="BK91" i="24"/>
  <c r="S91" i="24"/>
  <c r="T91" i="24" s="1"/>
  <c r="M91" i="24"/>
  <c r="N91" i="24" s="1"/>
  <c r="AP91" i="24" s="1"/>
  <c r="BI136" i="25"/>
  <c r="N136" i="25"/>
  <c r="T136" i="25" s="1"/>
  <c r="L136" i="25"/>
  <c r="BI128" i="25"/>
  <c r="N128" i="25"/>
  <c r="T128" i="25" s="1"/>
  <c r="L128" i="25"/>
  <c r="AH222" i="25"/>
  <c r="BK9" i="24"/>
  <c r="S9" i="24"/>
  <c r="T9" i="24" s="1"/>
  <c r="AH154" i="25"/>
  <c r="M15" i="24"/>
  <c r="N15" i="24" s="1"/>
  <c r="AP15" i="24" s="1"/>
  <c r="N75" i="25"/>
  <c r="M208" i="24"/>
  <c r="N208" i="24" s="1"/>
  <c r="M305" i="24"/>
  <c r="N305" i="24" s="1"/>
  <c r="M85" i="24"/>
  <c r="M34" i="24"/>
  <c r="N34" i="24" s="1"/>
  <c r="AP34" i="24" s="1"/>
  <c r="P131" i="25"/>
  <c r="O131" i="25"/>
  <c r="N144" i="25"/>
  <c r="T144" i="25" s="1"/>
  <c r="BI159" i="25"/>
  <c r="N159" i="25"/>
  <c r="BI52" i="25"/>
  <c r="BI270" i="25"/>
  <c r="N270" i="25"/>
  <c r="T270" i="25" s="1"/>
  <c r="BK114" i="24"/>
  <c r="S114" i="24"/>
  <c r="T114" i="24" s="1"/>
  <c r="M114" i="24"/>
  <c r="K114" i="24"/>
  <c r="BK68" i="24"/>
  <c r="S68" i="24"/>
  <c r="T68" i="24" s="1"/>
  <c r="AH13" i="25"/>
  <c r="AH160" i="25"/>
  <c r="BK122" i="24"/>
  <c r="S122" i="24"/>
  <c r="T122" i="24" s="1"/>
  <c r="AP18" i="24"/>
  <c r="P6" i="25"/>
  <c r="O6" i="25"/>
  <c r="AH193" i="25"/>
  <c r="BI180" i="25"/>
  <c r="BI6" i="25"/>
  <c r="AH122" i="25"/>
  <c r="AH16" i="25"/>
  <c r="AH162" i="25"/>
  <c r="AH226" i="25"/>
  <c r="BK302" i="24"/>
  <c r="S302" i="24"/>
  <c r="T302" i="24" s="1"/>
  <c r="M302" i="24"/>
  <c r="N302" i="24" s="1"/>
  <c r="BK256" i="24"/>
  <c r="S256" i="24"/>
  <c r="T256" i="24" s="1"/>
  <c r="AH246" i="25"/>
  <c r="AH73" i="25"/>
  <c r="BI157" i="25"/>
  <c r="N157" i="25"/>
  <c r="BI315" i="25"/>
  <c r="N315" i="25"/>
  <c r="AH125" i="25"/>
  <c r="AH241" i="25"/>
  <c r="AP6" i="24"/>
  <c r="K129" i="24"/>
  <c r="AP129" i="24"/>
  <c r="M118" i="24"/>
  <c r="N118" i="24" s="1"/>
  <c r="L182" i="25"/>
  <c r="BI37" i="25"/>
  <c r="AH70" i="25"/>
  <c r="BK307" i="24"/>
  <c r="S307" i="24"/>
  <c r="T307" i="24" s="1"/>
  <c r="BI210" i="25"/>
  <c r="K241" i="24"/>
  <c r="L157" i="25"/>
  <c r="AH53" i="25"/>
  <c r="BK99" i="24"/>
  <c r="S99" i="24"/>
  <c r="T99" i="24" s="1"/>
  <c r="M99" i="24"/>
  <c r="N99" i="24" s="1"/>
  <c r="AP99" i="24" s="1"/>
  <c r="BK314" i="24"/>
  <c r="M314" i="24"/>
  <c r="N314" i="24" s="1"/>
  <c r="S314" i="24"/>
  <c r="T314" i="24" s="1"/>
  <c r="K314" i="24"/>
  <c r="BK103" i="24"/>
  <c r="S103" i="24"/>
  <c r="T103" i="24" s="1"/>
  <c r="M103" i="24"/>
  <c r="AH194" i="25"/>
  <c r="BI120" i="25"/>
  <c r="N120" i="25"/>
  <c r="T120" i="25" s="1"/>
  <c r="BI125" i="25"/>
  <c r="U22" i="24"/>
  <c r="BK117" i="24"/>
  <c r="S117" i="24"/>
  <c r="T117" i="24" s="1"/>
  <c r="M117" i="24"/>
  <c r="T30" i="25"/>
  <c r="BI271" i="25"/>
  <c r="K269" i="24"/>
  <c r="L82" i="25"/>
  <c r="K222" i="24"/>
  <c r="L92" i="25"/>
  <c r="AH92" i="25"/>
  <c r="AH281" i="25"/>
  <c r="K159" i="24"/>
  <c r="O119" i="24"/>
  <c r="BZ119" i="24" s="1"/>
  <c r="J119" i="24"/>
  <c r="K150" i="24"/>
  <c r="AH263" i="25"/>
  <c r="BK40" i="24"/>
  <c r="S40" i="24"/>
  <c r="T40" i="24" s="1"/>
  <c r="BI66" i="25"/>
  <c r="BI247" i="25"/>
  <c r="AH148" i="25"/>
  <c r="BQ144" i="25"/>
  <c r="P296" i="25"/>
  <c r="O296" i="25"/>
  <c r="AO296" i="25" s="1"/>
  <c r="AH254" i="25"/>
  <c r="BK246" i="24"/>
  <c r="S246" i="24"/>
  <c r="T246" i="24" s="1"/>
  <c r="M115" i="24"/>
  <c r="N115" i="24" s="1"/>
  <c r="AP115" i="24" s="1"/>
  <c r="BQ31" i="25"/>
  <c r="L31" i="25"/>
  <c r="U44" i="24"/>
  <c r="AP44" i="24"/>
  <c r="BI115" i="25"/>
  <c r="U43" i="24"/>
  <c r="BI80" i="25"/>
  <c r="N80" i="25"/>
  <c r="T80" i="25" s="1"/>
  <c r="Q53" i="24"/>
  <c r="R53" i="24" s="1"/>
  <c r="P53" i="24"/>
  <c r="BK156" i="24"/>
  <c r="S156" i="24"/>
  <c r="T156" i="24" s="1"/>
  <c r="K156" i="24"/>
  <c r="BI45" i="25"/>
  <c r="BQ289" i="25"/>
  <c r="AH304" i="25"/>
  <c r="BI235" i="25"/>
  <c r="BK11" i="24"/>
  <c r="S11" i="24"/>
  <c r="T11" i="24" s="1"/>
  <c r="M11" i="24"/>
  <c r="N11" i="24" s="1"/>
  <c r="AP11" i="24" s="1"/>
  <c r="AH181" i="25"/>
  <c r="BK301" i="24"/>
  <c r="S301" i="24"/>
  <c r="T301" i="24" s="1"/>
  <c r="BI242" i="25"/>
  <c r="L242" i="25"/>
  <c r="AH121" i="25"/>
  <c r="BI112" i="25"/>
  <c r="BI97" i="25"/>
  <c r="AH25" i="25"/>
  <c r="L91" i="25"/>
  <c r="BI98" i="25"/>
  <c r="N98" i="25"/>
  <c r="AH98" i="25"/>
  <c r="BI140" i="25"/>
  <c r="N140" i="25"/>
  <c r="AH140" i="25"/>
  <c r="BI196" i="25"/>
  <c r="N196" i="25"/>
  <c r="L196" i="25"/>
  <c r="K178" i="24"/>
  <c r="BI308" i="25"/>
  <c r="N308" i="25"/>
  <c r="T308" i="25" s="1"/>
  <c r="AH308" i="25"/>
  <c r="AH268" i="25"/>
  <c r="BI133" i="25"/>
  <c r="N133" i="25"/>
  <c r="T133" i="25" s="1"/>
  <c r="AH133" i="25"/>
  <c r="P48" i="24"/>
  <c r="Q48" i="24"/>
  <c r="R48" i="24" s="1"/>
  <c r="BK278" i="24"/>
  <c r="S278" i="24"/>
  <c r="T278" i="24" s="1"/>
  <c r="M278" i="24"/>
  <c r="N278" i="24" s="1"/>
  <c r="K235" i="24"/>
  <c r="BI27" i="25"/>
  <c r="N27" i="25"/>
  <c r="BI294" i="25"/>
  <c r="N294" i="25"/>
  <c r="T294" i="25" s="1"/>
  <c r="BI183" i="25"/>
  <c r="N183" i="25"/>
  <c r="U86" i="24"/>
  <c r="BK53" i="24"/>
  <c r="S53" i="24"/>
  <c r="T53" i="24" s="1"/>
  <c r="AH187" i="25"/>
  <c r="BI178" i="25"/>
  <c r="AH126" i="25"/>
  <c r="AH118" i="25"/>
  <c r="BI116" i="25"/>
  <c r="BI227" i="25"/>
  <c r="N227" i="25"/>
  <c r="T227" i="25" s="1"/>
  <c r="BK17" i="24"/>
  <c r="S17" i="24"/>
  <c r="T17" i="24" s="1"/>
  <c r="BK90" i="24"/>
  <c r="S90" i="24"/>
  <c r="T90" i="24" s="1"/>
  <c r="K180" i="24"/>
  <c r="BK128" i="24"/>
  <c r="S128" i="24"/>
  <c r="T128" i="24" s="1"/>
  <c r="AP47" i="24"/>
  <c r="BK93" i="24"/>
  <c r="S93" i="24"/>
  <c r="T93" i="24" s="1"/>
  <c r="BK139" i="24"/>
  <c r="S139" i="24"/>
  <c r="T139" i="24" s="1"/>
  <c r="AH261" i="25"/>
  <c r="L172" i="25"/>
  <c r="L282" i="25"/>
  <c r="U172" i="24"/>
  <c r="BQ89" i="25"/>
  <c r="L305" i="25"/>
  <c r="T275" i="25"/>
  <c r="M254" i="24"/>
  <c r="N254" i="24" s="1"/>
  <c r="AP254" i="24" s="1"/>
  <c r="BQ204" i="25"/>
  <c r="K120" i="24"/>
  <c r="BI221" i="25"/>
  <c r="BQ260" i="25"/>
  <c r="K312" i="24"/>
  <c r="BQ234" i="25"/>
  <c r="L234" i="25"/>
  <c r="BI111" i="25"/>
  <c r="N111" i="25"/>
  <c r="T111" i="25" s="1"/>
  <c r="AP25" i="24"/>
  <c r="BK184" i="24"/>
  <c r="S184" i="24"/>
  <c r="T184" i="24" s="1"/>
  <c r="AH33" i="25"/>
  <c r="AH15" i="25"/>
  <c r="BQ39" i="25"/>
  <c r="BI243" i="25"/>
  <c r="AH243" i="25"/>
  <c r="BI199" i="25"/>
  <c r="BQ138" i="25"/>
  <c r="L244" i="25"/>
  <c r="BI191" i="25"/>
  <c r="N191" i="25"/>
  <c r="T191" i="25" s="1"/>
  <c r="M169" i="24"/>
  <c r="N169" i="24" s="1"/>
  <c r="AP169" i="24" s="1"/>
  <c r="AH312" i="25"/>
  <c r="AH40" i="25"/>
  <c r="BI68" i="25"/>
  <c r="N68" i="25"/>
  <c r="BI18" i="25"/>
  <c r="N18" i="25"/>
  <c r="AH51" i="25"/>
  <c r="BK166" i="24"/>
  <c r="S166" i="24"/>
  <c r="T166" i="24" s="1"/>
  <c r="M166" i="24"/>
  <c r="N166" i="24" s="1"/>
  <c r="AH301" i="25"/>
  <c r="BI100" i="25"/>
  <c r="N100" i="25"/>
  <c r="AH84" i="25"/>
  <c r="BI231" i="25"/>
  <c r="N231" i="25"/>
  <c r="L231" i="25"/>
  <c r="N60" i="25"/>
  <c r="T60" i="25" s="1"/>
  <c r="BI60" i="25"/>
  <c r="BI310" i="25"/>
  <c r="N310" i="25"/>
  <c r="T310" i="25" s="1"/>
  <c r="BK189" i="24"/>
  <c r="S189" i="24"/>
  <c r="T189" i="24" s="1"/>
  <c r="M189" i="24"/>
  <c r="N189" i="24" s="1"/>
  <c r="AP189" i="24" s="1"/>
  <c r="BQ284" i="25"/>
  <c r="N217" i="25"/>
  <c r="BI217" i="25"/>
  <c r="BI56" i="25"/>
  <c r="N56" i="25"/>
  <c r="BI222" i="25"/>
  <c r="N222" i="25"/>
  <c r="L222" i="25"/>
  <c r="BK72" i="24"/>
  <c r="S72" i="24"/>
  <c r="T72" i="24" s="1"/>
  <c r="M210" i="24"/>
  <c r="N244" i="25"/>
  <c r="T244" i="25" s="1"/>
  <c r="N235" i="25"/>
  <c r="T235" i="25" s="1"/>
  <c r="M297" i="24"/>
  <c r="M244" i="24"/>
  <c r="N244" i="24" s="1"/>
  <c r="AP244" i="24" s="1"/>
  <c r="N124" i="25"/>
  <c r="T124" i="25" s="1"/>
  <c r="M245" i="24"/>
  <c r="N245" i="24" s="1"/>
  <c r="P293" i="25"/>
  <c r="O293" i="25"/>
  <c r="N220" i="25"/>
  <c r="M275" i="24"/>
  <c r="N254" i="25"/>
  <c r="T254" i="25" s="1"/>
  <c r="BI186" i="25"/>
  <c r="L52" i="25"/>
  <c r="AH52" i="25"/>
  <c r="BK177" i="24"/>
  <c r="S177" i="24"/>
  <c r="T177" i="24" s="1"/>
  <c r="AH6" i="25"/>
  <c r="AH77" i="25"/>
  <c r="AH206" i="25"/>
  <c r="BK252" i="24"/>
  <c r="S252" i="24"/>
  <c r="T252" i="24" s="1"/>
  <c r="BK75" i="24"/>
  <c r="S75" i="24"/>
  <c r="T75" i="24" s="1"/>
  <c r="M75" i="24"/>
  <c r="N75" i="24" s="1"/>
  <c r="BQ163" i="25"/>
  <c r="BI192" i="25"/>
  <c r="AH93" i="25"/>
  <c r="BK272" i="24"/>
  <c r="S272" i="24"/>
  <c r="T272" i="24" s="1"/>
  <c r="BK14" i="24"/>
  <c r="S14" i="24"/>
  <c r="T14" i="24" s="1"/>
  <c r="AP24" i="24"/>
  <c r="Q133" i="24"/>
  <c r="P133" i="24"/>
  <c r="AH143" i="25"/>
  <c r="BI163" i="25"/>
  <c r="N163" i="25"/>
  <c r="T163" i="25" s="1"/>
  <c r="BI137" i="25"/>
  <c r="N137" i="25"/>
  <c r="T137" i="25" s="1"/>
  <c r="AH42" i="25"/>
  <c r="U21" i="24"/>
  <c r="AH232" i="25"/>
  <c r="AP205" i="24"/>
  <c r="BQ105" i="25"/>
  <c r="AH177" i="25"/>
  <c r="BK247" i="24"/>
  <c r="S247" i="24"/>
  <c r="T247" i="24" s="1"/>
  <c r="BK176" i="24"/>
  <c r="S176" i="24"/>
  <c r="T176" i="24" s="1"/>
  <c r="M176" i="24"/>
  <c r="N176" i="24" s="1"/>
  <c r="AP176" i="24" s="1"/>
  <c r="BK71" i="24"/>
  <c r="S71" i="24"/>
  <c r="T71" i="24" s="1"/>
  <c r="BI165" i="25"/>
  <c r="AH190" i="25"/>
  <c r="L163" i="25"/>
  <c r="AH279" i="25"/>
  <c r="BK277" i="24"/>
  <c r="S277" i="24"/>
  <c r="T277" i="24" s="1"/>
  <c r="M277" i="24"/>
  <c r="U277" i="24" s="1"/>
  <c r="K277" i="24"/>
  <c r="M195" i="24"/>
  <c r="AH145" i="25"/>
  <c r="BK225" i="24"/>
  <c r="S225" i="24"/>
  <c r="T225" i="24" s="1"/>
  <c r="K117" i="24"/>
  <c r="BK232" i="24"/>
  <c r="S232" i="24"/>
  <c r="T232" i="24" s="1"/>
  <c r="M232" i="24"/>
  <c r="U232" i="24" s="1"/>
  <c r="BI174" i="25"/>
  <c r="M253" i="24"/>
  <c r="BK137" i="24"/>
  <c r="S137" i="24"/>
  <c r="T137" i="24" s="1"/>
  <c r="N219" i="25"/>
  <c r="BK182" i="24"/>
  <c r="S182" i="24"/>
  <c r="T182" i="24" s="1"/>
  <c r="AH150" i="25"/>
  <c r="K231" i="24"/>
  <c r="BI12" i="25"/>
  <c r="BI142" i="25"/>
  <c r="AH142" i="25"/>
  <c r="AH175" i="25"/>
  <c r="BK263" i="24"/>
  <c r="S263" i="24"/>
  <c r="T263" i="24" s="1"/>
  <c r="M263" i="24"/>
  <c r="U263" i="24" s="1"/>
  <c r="M159" i="24"/>
  <c r="N159" i="24" s="1"/>
  <c r="AP159" i="24" s="1"/>
  <c r="AH198" i="25"/>
  <c r="BI200" i="25"/>
  <c r="N200" i="25"/>
  <c r="BK187" i="24"/>
  <c r="S187" i="24"/>
  <c r="T187" i="24" s="1"/>
  <c r="M187" i="24"/>
  <c r="BK8" i="24"/>
  <c r="S8" i="24"/>
  <c r="T8" i="24" s="1"/>
  <c r="AH276" i="25"/>
  <c r="BI283" i="25"/>
  <c r="AH283" i="25"/>
  <c r="AH167" i="25"/>
  <c r="K287" i="24"/>
  <c r="AH66" i="25"/>
  <c r="T247" i="25"/>
  <c r="BI10" i="25"/>
  <c r="AH161" i="25"/>
  <c r="P292" i="24"/>
  <c r="Q292" i="24"/>
  <c r="L115" i="25"/>
  <c r="U181" i="24"/>
  <c r="BI307" i="25"/>
  <c r="AH311" i="25"/>
  <c r="AH80" i="25"/>
  <c r="AH235" i="25"/>
  <c r="N277" i="25"/>
  <c r="BI277" i="25"/>
  <c r="BK203" i="24"/>
  <c r="S203" i="24"/>
  <c r="T203" i="24" s="1"/>
  <c r="AH229" i="25"/>
  <c r="L50" i="25"/>
  <c r="AH97" i="25"/>
  <c r="BI225" i="25"/>
  <c r="AH225" i="25"/>
  <c r="P162" i="24"/>
  <c r="Q162" i="24"/>
  <c r="AP237" i="24"/>
  <c r="AH62" i="25"/>
  <c r="BI230" i="25"/>
  <c r="N230" i="25"/>
  <c r="AH20" i="25"/>
  <c r="AH22" i="25"/>
  <c r="AH123" i="25"/>
  <c r="AH135" i="25"/>
  <c r="BK217" i="24"/>
  <c r="S217" i="24"/>
  <c r="T217" i="24" s="1"/>
  <c r="M217" i="24"/>
  <c r="N217" i="24" s="1"/>
  <c r="BI274" i="25"/>
  <c r="N274" i="25"/>
  <c r="AH41" i="25"/>
  <c r="AH119" i="25"/>
  <c r="BI209" i="25"/>
  <c r="N209" i="25"/>
  <c r="M28" i="24"/>
  <c r="N28" i="24" s="1"/>
  <c r="AP28" i="24" s="1"/>
  <c r="AH27" i="25"/>
  <c r="BK262" i="24"/>
  <c r="S262" i="24"/>
  <c r="T262" i="24" s="1"/>
  <c r="M262" i="24"/>
  <c r="U262" i="24" s="1"/>
  <c r="L61" i="25"/>
  <c r="L294" i="25"/>
  <c r="BI264" i="25"/>
  <c r="BK161" i="24"/>
  <c r="S161" i="24"/>
  <c r="T161" i="24" s="1"/>
  <c r="J160" i="24"/>
  <c r="O160" i="24"/>
  <c r="BZ160" i="24" s="1"/>
  <c r="N52" i="25"/>
  <c r="T52" i="25" s="1"/>
  <c r="BK86" i="24"/>
  <c r="S86" i="24"/>
  <c r="T86" i="24" s="1"/>
  <c r="AP86" i="24"/>
  <c r="AH49" i="25"/>
  <c r="U53" i="24"/>
  <c r="BK89" i="24"/>
  <c r="S89" i="24"/>
  <c r="T89" i="24" s="1"/>
  <c r="M201" i="24"/>
  <c r="N201" i="24" s="1"/>
  <c r="L174" i="25"/>
  <c r="L21" i="25"/>
  <c r="L116" i="25"/>
  <c r="AH34" i="25"/>
  <c r="BI287" i="25"/>
  <c r="BQ166" i="25"/>
  <c r="L201" i="25"/>
  <c r="BK315" i="24"/>
  <c r="S315" i="24"/>
  <c r="T315" i="24" s="1"/>
  <c r="BI89" i="25"/>
  <c r="L89" i="25"/>
  <c r="BQ124" i="25"/>
  <c r="AH302" i="25"/>
  <c r="BI223" i="25"/>
  <c r="T305" i="25"/>
  <c r="O21" i="24"/>
  <c r="BZ21" i="24" s="1"/>
  <c r="J21" i="24"/>
  <c r="K230" i="24"/>
  <c r="T204" i="25"/>
  <c r="M247" i="24"/>
  <c r="U247" i="24" s="1"/>
  <c r="BQ221" i="25"/>
  <c r="AH278" i="25"/>
  <c r="BI260" i="25"/>
  <c r="AP312" i="24"/>
  <c r="BQ184" i="25"/>
  <c r="AH184" i="25"/>
  <c r="AH75" i="25"/>
  <c r="BK80" i="24"/>
  <c r="S80" i="24"/>
  <c r="T80" i="24" s="1"/>
  <c r="BQ309" i="25"/>
  <c r="BI39" i="25"/>
  <c r="AH39" i="25"/>
  <c r="AH316" i="25"/>
  <c r="BQ243" i="25"/>
  <c r="AH199" i="25"/>
  <c r="AH155" i="25"/>
  <c r="BQ45" i="25"/>
  <c r="BK239" i="24"/>
  <c r="S239" i="24"/>
  <c r="T239" i="24" s="1"/>
  <c r="M239" i="24"/>
  <c r="U239" i="24" s="1"/>
  <c r="BI139" i="25"/>
  <c r="N139" i="25"/>
  <c r="AH18" i="25"/>
  <c r="BI67" i="25"/>
  <c r="N67" i="25"/>
  <c r="AH67" i="25"/>
  <c r="BI288" i="25"/>
  <c r="N288" i="25"/>
  <c r="AH64" i="25"/>
  <c r="AH310" i="25"/>
  <c r="AH17" i="25"/>
  <c r="BQ56" i="25"/>
  <c r="BQ222" i="25"/>
  <c r="AH291" i="25"/>
  <c r="M80" i="24"/>
  <c r="AO110" i="25"/>
  <c r="R110" i="25"/>
  <c r="S110" i="25"/>
  <c r="K110" i="25" s="1"/>
  <c r="Q110" i="25"/>
  <c r="N45" i="25"/>
  <c r="T45" i="25" s="1"/>
  <c r="N115" i="25"/>
  <c r="N142" i="25"/>
  <c r="N251" i="25"/>
  <c r="N39" i="25"/>
  <c r="M128" i="24"/>
  <c r="N128" i="24" s="1"/>
  <c r="AP128" i="24" s="1"/>
  <c r="M35" i="24"/>
  <c r="N35" i="24" s="1"/>
  <c r="M301" i="24"/>
  <c r="M315" i="24"/>
  <c r="U315" i="24" s="1"/>
  <c r="N223" i="25"/>
  <c r="AP190" i="24"/>
  <c r="BK192" i="24"/>
  <c r="S192" i="24"/>
  <c r="T192" i="24" s="1"/>
  <c r="M192" i="24"/>
  <c r="N192" i="24" s="1"/>
  <c r="AP192" i="24" s="1"/>
  <c r="BK198" i="24"/>
  <c r="S198" i="24"/>
  <c r="T198" i="24" s="1"/>
  <c r="M198" i="24"/>
  <c r="N198" i="24" s="1"/>
  <c r="AP198" i="24" s="1"/>
  <c r="BI246" i="25"/>
  <c r="BI145" i="25"/>
  <c r="N145" i="25"/>
  <c r="T145" i="25" s="1"/>
  <c r="BK241" i="24"/>
  <c r="S241" i="24"/>
  <c r="T241" i="24" s="1"/>
  <c r="M241" i="24"/>
  <c r="N241" i="24" s="1"/>
  <c r="AH120" i="25"/>
  <c r="AH176" i="25"/>
  <c r="AH218" i="25"/>
  <c r="BK102" i="24"/>
  <c r="S102" i="24"/>
  <c r="T102" i="24" s="1"/>
  <c r="M102" i="24"/>
  <c r="N102" i="24" s="1"/>
  <c r="BK194" i="24"/>
  <c r="S194" i="24"/>
  <c r="T194" i="24" s="1"/>
  <c r="M194" i="24"/>
  <c r="BI236" i="25"/>
  <c r="N236" i="25"/>
  <c r="T236" i="25" s="1"/>
  <c r="AH245" i="25"/>
  <c r="AO129" i="25"/>
  <c r="AH129" i="25"/>
  <c r="BI126" i="25"/>
  <c r="AH219" i="25"/>
  <c r="AH104" i="25"/>
  <c r="BK73" i="24"/>
  <c r="S73" i="24"/>
  <c r="T73" i="24" s="1"/>
  <c r="M73" i="24"/>
  <c r="N73" i="24" s="1"/>
  <c r="BK76" i="24"/>
  <c r="S76" i="24"/>
  <c r="T76" i="24" s="1"/>
  <c r="U182" i="24"/>
  <c r="BI82" i="25"/>
  <c r="BK34" i="24"/>
  <c r="S34" i="24"/>
  <c r="T34" i="24" s="1"/>
  <c r="BK154" i="24"/>
  <c r="S154" i="24"/>
  <c r="T154" i="24" s="1"/>
  <c r="BK144" i="24"/>
  <c r="S144" i="24"/>
  <c r="T144" i="24" s="1"/>
  <c r="BI281" i="25"/>
  <c r="BK112" i="24"/>
  <c r="S112" i="24"/>
  <c r="T112" i="24" s="1"/>
  <c r="Q188" i="24"/>
  <c r="P188" i="24"/>
  <c r="P198" i="25"/>
  <c r="O198" i="25"/>
  <c r="AH290" i="25"/>
  <c r="BK150" i="24"/>
  <c r="S150" i="24"/>
  <c r="T150" i="24" s="1"/>
  <c r="BK13" i="24"/>
  <c r="S13" i="24"/>
  <c r="T13" i="24" s="1"/>
  <c r="AH306" i="25"/>
  <c r="P219" i="24"/>
  <c r="Q219" i="24"/>
  <c r="BI65" i="25"/>
  <c r="P305" i="25"/>
  <c r="O305" i="25"/>
  <c r="AO305" i="25" s="1"/>
  <c r="BI147" i="25"/>
  <c r="BI254" i="25"/>
  <c r="AH102" i="25"/>
  <c r="BK115" i="24"/>
  <c r="S115" i="24"/>
  <c r="T115" i="24" s="1"/>
  <c r="BI31" i="25"/>
  <c r="Q44" i="24"/>
  <c r="R44" i="24" s="1"/>
  <c r="P44" i="24"/>
  <c r="AP43" i="24"/>
  <c r="P127" i="24"/>
  <c r="Q127" i="24"/>
  <c r="BK300" i="24"/>
  <c r="S300" i="24"/>
  <c r="T300" i="24" s="1"/>
  <c r="BK49" i="24"/>
  <c r="S49" i="24"/>
  <c r="T49" i="24" s="1"/>
  <c r="BI181" i="25"/>
  <c r="L181" i="25"/>
  <c r="K136" i="24"/>
  <c r="M98" i="24"/>
  <c r="N98" i="24" s="1"/>
  <c r="BK238" i="24"/>
  <c r="S238" i="24"/>
  <c r="T238" i="24" s="1"/>
  <c r="P177" i="25"/>
  <c r="O177" i="25"/>
  <c r="J162" i="24"/>
  <c r="O162" i="24"/>
  <c r="BZ162" i="24" s="1"/>
  <c r="BK237" i="24"/>
  <c r="S237" i="24"/>
  <c r="T237" i="24" s="1"/>
  <c r="BK175" i="24"/>
  <c r="S175" i="24"/>
  <c r="T175" i="24" s="1"/>
  <c r="M175" i="24"/>
  <c r="N175" i="24" s="1"/>
  <c r="BI85" i="25"/>
  <c r="N85" i="25"/>
  <c r="T85" i="25" s="1"/>
  <c r="BI57" i="25"/>
  <c r="N57" i="25"/>
  <c r="T57" i="25" s="1"/>
  <c r="BI153" i="25"/>
  <c r="N153" i="25"/>
  <c r="T153" i="25" s="1"/>
  <c r="AH286" i="25"/>
  <c r="L119" i="25"/>
  <c r="BI69" i="25"/>
  <c r="N69" i="25"/>
  <c r="T69" i="25" s="1"/>
  <c r="BK235" i="24"/>
  <c r="S235" i="24"/>
  <c r="T235" i="24" s="1"/>
  <c r="M235" i="24"/>
  <c r="N235" i="24" s="1"/>
  <c r="AP235" i="24" s="1"/>
  <c r="AH299" i="25"/>
  <c r="BI146" i="25"/>
  <c r="N146" i="25"/>
  <c r="T146" i="25" s="1"/>
  <c r="AH224" i="25"/>
  <c r="BK197" i="24"/>
  <c r="S197" i="24"/>
  <c r="T197" i="24" s="1"/>
  <c r="BK127" i="24"/>
  <c r="S127" i="24"/>
  <c r="T127" i="24" s="1"/>
  <c r="BK199" i="24"/>
  <c r="S199" i="24"/>
  <c r="T199" i="24" s="1"/>
  <c r="AH14" i="25"/>
  <c r="L187" i="25"/>
  <c r="BK65" i="24"/>
  <c r="S65" i="24"/>
  <c r="T65" i="24" s="1"/>
  <c r="L267" i="25"/>
  <c r="BI43" i="25"/>
  <c r="N43" i="25"/>
  <c r="T43" i="25" s="1"/>
  <c r="BI118" i="25"/>
  <c r="L118" i="25"/>
  <c r="BK69" i="24"/>
  <c r="S69" i="24"/>
  <c r="T69" i="24" s="1"/>
  <c r="M69" i="24"/>
  <c r="N69" i="24" s="1"/>
  <c r="AH227" i="25"/>
  <c r="U61" i="24"/>
  <c r="AH259" i="25"/>
  <c r="AH287" i="25"/>
  <c r="BQ90" i="25"/>
  <c r="BI285" i="25"/>
  <c r="BI166" i="25"/>
  <c r="BK48" i="24"/>
  <c r="S48" i="24"/>
  <c r="T48" i="24" s="1"/>
  <c r="M65" i="24"/>
  <c r="N65" i="24" s="1"/>
  <c r="BI124" i="25"/>
  <c r="AH248" i="25"/>
  <c r="BQ223" i="25"/>
  <c r="AH223" i="25"/>
  <c r="BK270" i="24"/>
  <c r="S270" i="24"/>
  <c r="T270" i="24" s="1"/>
  <c r="BI184" i="25"/>
  <c r="L184" i="25"/>
  <c r="BI63" i="25"/>
  <c r="N63" i="25"/>
  <c r="BI309" i="25"/>
  <c r="AH309" i="25"/>
  <c r="BK196" i="24"/>
  <c r="S196" i="24"/>
  <c r="T196" i="24" s="1"/>
  <c r="BK242" i="24"/>
  <c r="S242" i="24"/>
  <c r="T242" i="24" s="1"/>
  <c r="L316" i="25"/>
  <c r="L298" i="25"/>
  <c r="BI233" i="25"/>
  <c r="AH233" i="25"/>
  <c r="BQ155" i="25"/>
  <c r="BI54" i="25"/>
  <c r="N54" i="25"/>
  <c r="T54" i="25" s="1"/>
  <c r="BK169" i="24"/>
  <c r="S169" i="24"/>
  <c r="T169" i="24" s="1"/>
  <c r="AP88" i="24"/>
  <c r="M295" i="24"/>
  <c r="N295" i="24" s="1"/>
  <c r="L54" i="25"/>
  <c r="AH156" i="25"/>
  <c r="AH79" i="25"/>
  <c r="L51" i="25"/>
  <c r="BK60" i="24"/>
  <c r="S60" i="24"/>
  <c r="T60" i="24" s="1"/>
  <c r="M60" i="24"/>
  <c r="N60" i="24" s="1"/>
  <c r="BQ64" i="25"/>
  <c r="AH231" i="25"/>
  <c r="AH19" i="25"/>
  <c r="BK66" i="24"/>
  <c r="S66" i="24"/>
  <c r="T66" i="24" s="1"/>
  <c r="M66" i="24"/>
  <c r="N66" i="24" s="1"/>
  <c r="BI284" i="25"/>
  <c r="N284" i="25"/>
  <c r="T284" i="25" s="1"/>
  <c r="AH284" i="25"/>
  <c r="BK207" i="24"/>
  <c r="S207" i="24"/>
  <c r="T207" i="24" s="1"/>
  <c r="M207" i="24"/>
  <c r="N207" i="24" s="1"/>
  <c r="AP207" i="24" s="1"/>
  <c r="BI252" i="25"/>
  <c r="N252" i="25"/>
  <c r="T252" i="25" s="1"/>
  <c r="BQ154" i="25"/>
  <c r="U30" i="24"/>
  <c r="AP30" i="24"/>
  <c r="U72" i="24"/>
  <c r="BQ291" i="25"/>
  <c r="M89" i="24"/>
  <c r="M184" i="24"/>
  <c r="M299" i="24"/>
  <c r="N299" i="24" s="1"/>
  <c r="N316" i="25"/>
  <c r="T316" i="25" s="1"/>
  <c r="N12" i="25"/>
  <c r="N88" i="25"/>
  <c r="T88" i="25" s="1"/>
  <c r="M23" i="24"/>
  <c r="N23" i="24" s="1"/>
  <c r="M49" i="24"/>
  <c r="N49" i="24" s="1"/>
  <c r="M112" i="24"/>
  <c r="N112" i="24" s="1"/>
  <c r="AP257" i="24"/>
  <c r="BK125" i="24"/>
  <c r="S125" i="24"/>
  <c r="T125" i="24" s="1"/>
  <c r="M125" i="24"/>
  <c r="N125" i="24" s="1"/>
  <c r="AP125" i="24" s="1"/>
  <c r="AH164" i="25"/>
  <c r="AH202" i="25"/>
  <c r="BK268" i="24"/>
  <c r="S268" i="24"/>
  <c r="T268" i="24" s="1"/>
  <c r="BK54" i="24"/>
  <c r="S54" i="24"/>
  <c r="T54" i="24" s="1"/>
  <c r="M54" i="24"/>
  <c r="AP68" i="24"/>
  <c r="AH165" i="25"/>
  <c r="BI26" i="25"/>
  <c r="BK267" i="24"/>
  <c r="S267" i="24"/>
  <c r="T267" i="24" s="1"/>
  <c r="M267" i="24"/>
  <c r="N267" i="24" s="1"/>
  <c r="AP62" i="24"/>
  <c r="AH83" i="25"/>
  <c r="AP147" i="24"/>
  <c r="M177" i="24"/>
  <c r="N177" i="24" s="1"/>
  <c r="AP177" i="24" s="1"/>
  <c r="N203" i="25"/>
  <c r="AH159" i="25"/>
  <c r="AH185" i="25"/>
  <c r="BI206" i="25"/>
  <c r="BK20" i="24"/>
  <c r="S20" i="24"/>
  <c r="T20" i="24" s="1"/>
  <c r="BI300" i="25"/>
  <c r="N300" i="25"/>
  <c r="T300" i="25" s="1"/>
  <c r="BI122" i="25"/>
  <c r="AP21" i="24"/>
  <c r="K163" i="24"/>
  <c r="L246" i="25"/>
  <c r="U190" i="24"/>
  <c r="BK118" i="24"/>
  <c r="S118" i="24"/>
  <c r="T118" i="24" s="1"/>
  <c r="N176" i="25"/>
  <c r="T176" i="25" s="1"/>
  <c r="BI176" i="25"/>
  <c r="BI279" i="25"/>
  <c r="N279" i="25"/>
  <c r="T279" i="25" s="1"/>
  <c r="Q22" i="24"/>
  <c r="R22" i="24" s="1"/>
  <c r="P22" i="24"/>
  <c r="BK133" i="24"/>
  <c r="S133" i="24"/>
  <c r="T133" i="24" s="1"/>
  <c r="BK167" i="24"/>
  <c r="S167" i="24"/>
  <c r="T167" i="24" s="1"/>
  <c r="BK255" i="24"/>
  <c r="S255" i="24"/>
  <c r="T255" i="24" s="1"/>
  <c r="BK146" i="24"/>
  <c r="S146" i="24"/>
  <c r="T146" i="24" s="1"/>
  <c r="M146" i="24"/>
  <c r="AH137" i="25"/>
  <c r="BK38" i="24"/>
  <c r="S38" i="24"/>
  <c r="T38" i="24" s="1"/>
  <c r="M38" i="24"/>
  <c r="K267" i="24"/>
  <c r="BK131" i="24"/>
  <c r="M131" i="24"/>
  <c r="S131" i="24"/>
  <c r="T131" i="24" s="1"/>
  <c r="BK282" i="24"/>
  <c r="S282" i="24"/>
  <c r="T282" i="24" s="1"/>
  <c r="M282" i="24"/>
  <c r="U282" i="24" s="1"/>
  <c r="BK97" i="24"/>
  <c r="S97" i="24"/>
  <c r="T97" i="24" s="1"/>
  <c r="K176" i="24"/>
  <c r="K179" i="24"/>
  <c r="O190" i="24"/>
  <c r="BZ190" i="24" s="1"/>
  <c r="J190" i="24"/>
  <c r="N271" i="25"/>
  <c r="T271" i="25" s="1"/>
  <c r="AH271" i="25"/>
  <c r="BI219" i="25"/>
  <c r="BK16" i="24"/>
  <c r="S16" i="24"/>
  <c r="T16" i="24" s="1"/>
  <c r="T82" i="25"/>
  <c r="BK231" i="24"/>
  <c r="S231" i="24"/>
  <c r="T231" i="24" s="1"/>
  <c r="L175" i="25"/>
  <c r="BQ281" i="25"/>
  <c r="BK25" i="24"/>
  <c r="S25" i="24"/>
  <c r="T25" i="24" s="1"/>
  <c r="M104" i="24"/>
  <c r="N104" i="24" s="1"/>
  <c r="BK188" i="24"/>
  <c r="S188" i="24"/>
  <c r="T188" i="24" s="1"/>
  <c r="U150" i="24"/>
  <c r="K208" i="24"/>
  <c r="L263" i="25"/>
  <c r="BI167" i="25"/>
  <c r="Q121" i="24"/>
  <c r="P121" i="24"/>
  <c r="Q72" i="24"/>
  <c r="R72" i="24" s="1"/>
  <c r="P72" i="24"/>
  <c r="BK153" i="24"/>
  <c r="S153" i="24"/>
  <c r="T153" i="24" s="1"/>
  <c r="BI148" i="25"/>
  <c r="AH144" i="25"/>
  <c r="T147" i="25"/>
  <c r="J292" i="24"/>
  <c r="O292" i="24"/>
  <c r="BZ292" i="24" s="1"/>
  <c r="T31" i="25"/>
  <c r="BK84" i="24"/>
  <c r="S84" i="24"/>
  <c r="T84" i="24" s="1"/>
  <c r="BK58" i="24"/>
  <c r="S58" i="24"/>
  <c r="T58" i="24" s="1"/>
  <c r="BK308" i="24"/>
  <c r="S308" i="24"/>
  <c r="T308" i="24" s="1"/>
  <c r="BK42" i="24"/>
  <c r="S42" i="24"/>
  <c r="T42" i="24" s="1"/>
  <c r="M42" i="24"/>
  <c r="BK306" i="24"/>
  <c r="S306" i="24"/>
  <c r="T306" i="24" s="1"/>
  <c r="AH45" i="25"/>
  <c r="AH101" i="25"/>
  <c r="BK183" i="24"/>
  <c r="S183" i="24"/>
  <c r="T183" i="24" s="1"/>
  <c r="M183" i="24"/>
  <c r="BI229" i="25"/>
  <c r="K301" i="24"/>
  <c r="AH47" i="25"/>
  <c r="AH112" i="25"/>
  <c r="N10" i="25"/>
  <c r="BI25" i="25"/>
  <c r="BI87" i="25"/>
  <c r="BI62" i="25"/>
  <c r="L62" i="25"/>
  <c r="AH48" i="25"/>
  <c r="AH85" i="25"/>
  <c r="L98" i="25"/>
  <c r="BI123" i="25"/>
  <c r="N123" i="25"/>
  <c r="L123" i="25"/>
  <c r="AH149" i="25"/>
  <c r="AH127" i="25"/>
  <c r="P34" i="25"/>
  <c r="O34" i="25"/>
  <c r="L308" i="25"/>
  <c r="AH36" i="25"/>
  <c r="L256" i="25"/>
  <c r="BI41" i="25"/>
  <c r="N41" i="25"/>
  <c r="BK26" i="24"/>
  <c r="S26" i="24"/>
  <c r="T26" i="24" s="1"/>
  <c r="M26" i="24"/>
  <c r="L27" i="25"/>
  <c r="BK249" i="24"/>
  <c r="S249" i="24"/>
  <c r="T249" i="24" s="1"/>
  <c r="M249" i="24"/>
  <c r="U249" i="24" s="1"/>
  <c r="AH28" i="25"/>
  <c r="AH255" i="25"/>
  <c r="U199" i="24"/>
  <c r="K244" i="24"/>
  <c r="AH267" i="25"/>
  <c r="M71" i="24"/>
  <c r="BQ126" i="25"/>
  <c r="BI96" i="25"/>
  <c r="BK61" i="24"/>
  <c r="S61" i="24"/>
  <c r="T61" i="24" s="1"/>
  <c r="AP61" i="24"/>
  <c r="BK180" i="24"/>
  <c r="S180" i="24"/>
  <c r="T180" i="24" s="1"/>
  <c r="L314" i="25"/>
  <c r="BI90" i="25"/>
  <c r="BQ285" i="25"/>
  <c r="AH285" i="25"/>
  <c r="L166" i="25"/>
  <c r="BQ201" i="25"/>
  <c r="AP48" i="24"/>
  <c r="BI282" i="25"/>
  <c r="K172" i="24"/>
  <c r="AP172" i="24"/>
  <c r="BI302" i="25"/>
  <c r="BI262" i="25"/>
  <c r="J233" i="24"/>
  <c r="O233" i="24"/>
  <c r="BZ233" i="24" s="1"/>
  <c r="P132" i="24"/>
  <c r="Q132" i="24"/>
  <c r="M255" i="24"/>
  <c r="U255" i="24" s="1"/>
  <c r="N26" i="25"/>
  <c r="AP290" i="24"/>
  <c r="L221" i="25"/>
  <c r="K275" i="24"/>
  <c r="BI95" i="25"/>
  <c r="L63" i="25"/>
  <c r="BK210" i="24"/>
  <c r="S210" i="24"/>
  <c r="T210" i="24" s="1"/>
  <c r="BI33" i="25"/>
  <c r="L33" i="25"/>
  <c r="BI228" i="25"/>
  <c r="AH228" i="25"/>
  <c r="L233" i="25"/>
  <c r="AH138" i="25"/>
  <c r="BI155" i="25"/>
  <c r="BI170" i="25"/>
  <c r="AH170" i="25"/>
  <c r="BQ296" i="25"/>
  <c r="BI169" i="25"/>
  <c r="N169" i="25"/>
  <c r="P45" i="24"/>
  <c r="Q45" i="24"/>
  <c r="R45" i="24" s="1"/>
  <c r="BK52" i="24"/>
  <c r="S52" i="24"/>
  <c r="T52" i="24" s="1"/>
  <c r="AP52" i="24"/>
  <c r="BI273" i="25"/>
  <c r="AH273" i="25"/>
  <c r="BI79" i="25"/>
  <c r="N79" i="25"/>
  <c r="L79" i="25"/>
  <c r="L18" i="25"/>
  <c r="BI72" i="25"/>
  <c r="N72" i="25"/>
  <c r="M284" i="24"/>
  <c r="BK113" i="24"/>
  <c r="S113" i="24"/>
  <c r="T113" i="24" s="1"/>
  <c r="M113" i="24"/>
  <c r="AH288" i="25"/>
  <c r="AH253" i="25"/>
  <c r="BI64" i="25"/>
  <c r="N64" i="25"/>
  <c r="T64" i="25" s="1"/>
  <c r="L64" i="25"/>
  <c r="BK29" i="24"/>
  <c r="S29" i="24"/>
  <c r="T29" i="24" s="1"/>
  <c r="M29" i="24"/>
  <c r="BK124" i="24"/>
  <c r="S124" i="24"/>
  <c r="T124" i="24" s="1"/>
  <c r="M124" i="24"/>
  <c r="N124" i="24" s="1"/>
  <c r="BK140" i="24"/>
  <c r="S140" i="24"/>
  <c r="T140" i="24" s="1"/>
  <c r="M140" i="24"/>
  <c r="BQ252" i="25"/>
  <c r="BK219" i="24"/>
  <c r="S219" i="24"/>
  <c r="T219" i="24" s="1"/>
  <c r="BI154" i="25"/>
  <c r="BK30" i="24"/>
  <c r="S30" i="24"/>
  <c r="T30" i="24" s="1"/>
  <c r="BI291" i="25"/>
  <c r="N233" i="25"/>
  <c r="T233" i="25" s="1"/>
  <c r="N307" i="25"/>
  <c r="M196" i="24"/>
  <c r="N196" i="24" s="1"/>
  <c r="M153" i="24"/>
  <c r="N260" i="25"/>
  <c r="N65" i="25"/>
  <c r="T65" i="25" s="1"/>
  <c r="N263" i="25"/>
  <c r="T263" i="25" s="1"/>
  <c r="M161" i="24"/>
  <c r="N166" i="25"/>
  <c r="T166" i="25" s="1"/>
  <c r="M203" i="24"/>
  <c r="M308" i="24"/>
  <c r="U308" i="24" s="1"/>
  <c r="N264" i="25"/>
  <c r="N116" i="25"/>
  <c r="AH192" i="25"/>
  <c r="BI93" i="25"/>
  <c r="N93" i="25"/>
  <c r="BK62" i="24"/>
  <c r="S62" i="24"/>
  <c r="T62" i="24" s="1"/>
  <c r="Q190" i="24"/>
  <c r="P190" i="24"/>
  <c r="P7" i="24"/>
  <c r="Q7" i="24"/>
  <c r="R7" i="24" s="1"/>
  <c r="P68" i="24"/>
  <c r="Q68" i="24"/>
  <c r="R68" i="24" s="1"/>
  <c r="BK123" i="24"/>
  <c r="S123" i="24"/>
  <c r="T123" i="24" s="1"/>
  <c r="M123" i="24"/>
  <c r="AH169" i="25"/>
  <c r="BI23" i="25"/>
  <c r="BK145" i="24"/>
  <c r="S145" i="24"/>
  <c r="T145" i="24" s="1"/>
  <c r="M145" i="24"/>
  <c r="BI232" i="25"/>
  <c r="L232" i="25"/>
  <c r="BI105" i="25"/>
  <c r="N105" i="25"/>
  <c r="BI182" i="25"/>
  <c r="BK223" i="24"/>
  <c r="S223" i="24"/>
  <c r="T223" i="24" s="1"/>
  <c r="AH9" i="25"/>
  <c r="Q225" i="24"/>
  <c r="P225" i="24"/>
  <c r="U133" i="24"/>
  <c r="AP133" i="24"/>
  <c r="BK276" i="24"/>
  <c r="S276" i="24"/>
  <c r="T276" i="24" s="1"/>
  <c r="AH37" i="25"/>
  <c r="AP307" i="24"/>
  <c r="BK295" i="24"/>
  <c r="S295" i="24"/>
  <c r="T295" i="24" s="1"/>
  <c r="BK206" i="24"/>
  <c r="S206" i="24"/>
  <c r="T206" i="24" s="1"/>
  <c r="M206" i="24"/>
  <c r="AH11" i="25"/>
  <c r="L176" i="25"/>
  <c r="BK116" i="24"/>
  <c r="S116" i="24"/>
  <c r="T116" i="24" s="1"/>
  <c r="BK130" i="24"/>
  <c r="S130" i="24"/>
  <c r="T130" i="24" s="1"/>
  <c r="BK286" i="24"/>
  <c r="S286" i="24"/>
  <c r="T286" i="24" s="1"/>
  <c r="AP225" i="24"/>
  <c r="AH30" i="25"/>
  <c r="BK157" i="24"/>
  <c r="S157" i="24"/>
  <c r="T157" i="24" s="1"/>
  <c r="BK253" i="24"/>
  <c r="S253" i="24"/>
  <c r="T253" i="24" s="1"/>
  <c r="N37" i="25"/>
  <c r="T37" i="25" s="1"/>
  <c r="AH265" i="25"/>
  <c r="BI197" i="25"/>
  <c r="N197" i="25"/>
  <c r="AH197" i="25"/>
  <c r="BI130" i="25"/>
  <c r="N130" i="25"/>
  <c r="T130" i="25" s="1"/>
  <c r="BK141" i="24"/>
  <c r="S141" i="24"/>
  <c r="T141" i="24" s="1"/>
  <c r="M141" i="24"/>
  <c r="U76" i="24"/>
  <c r="AH297" i="25"/>
  <c r="BI150" i="25"/>
  <c r="N150" i="25"/>
  <c r="T150" i="25" s="1"/>
  <c r="BK92" i="24"/>
  <c r="S92" i="24"/>
  <c r="T92" i="24" s="1"/>
  <c r="BI92" i="25"/>
  <c r="K144" i="24"/>
  <c r="BI15" i="25"/>
  <c r="N15" i="25"/>
  <c r="T15" i="25" s="1"/>
  <c r="BK159" i="24"/>
  <c r="S159" i="24"/>
  <c r="T159" i="24" s="1"/>
  <c r="BI198" i="25"/>
  <c r="AH117" i="25"/>
  <c r="BI55" i="25"/>
  <c r="AH55" i="25"/>
  <c r="BI251" i="25"/>
  <c r="AH251" i="25"/>
  <c r="BK59" i="24"/>
  <c r="S59" i="24"/>
  <c r="T59" i="24" s="1"/>
  <c r="P30" i="24"/>
  <c r="Q30" i="24"/>
  <c r="R30" i="24" s="1"/>
  <c r="AH292" i="25"/>
  <c r="AH220" i="25"/>
  <c r="AH147" i="25"/>
  <c r="AH86" i="25"/>
  <c r="R129" i="25"/>
  <c r="S129" i="25"/>
  <c r="K129" i="25" s="1"/>
  <c r="Q129" i="25"/>
  <c r="P191" i="24"/>
  <c r="Q191" i="24"/>
  <c r="AH31" i="25"/>
  <c r="AP181" i="24"/>
  <c r="BK271" i="24"/>
  <c r="S271" i="24"/>
  <c r="T271" i="24" s="1"/>
  <c r="AH307" i="25"/>
  <c r="BK218" i="24"/>
  <c r="S218" i="24"/>
  <c r="T218" i="24" s="1"/>
  <c r="BK193" i="24"/>
  <c r="S193" i="24"/>
  <c r="T193" i="24" s="1"/>
  <c r="BI134" i="25"/>
  <c r="BQ25" i="25"/>
  <c r="BQ62" i="25"/>
  <c r="BQ92" i="25"/>
  <c r="L85" i="25"/>
  <c r="BI127" i="25"/>
  <c r="N127" i="25"/>
  <c r="T127" i="25" s="1"/>
  <c r="AH153" i="25"/>
  <c r="AH196" i="25"/>
  <c r="P61" i="24"/>
  <c r="Q61" i="24"/>
  <c r="R61" i="24" s="1"/>
  <c r="BK288" i="24"/>
  <c r="S288" i="24"/>
  <c r="T288" i="24" s="1"/>
  <c r="M288" i="24"/>
  <c r="U288" i="24" s="1"/>
  <c r="BQ7" i="25"/>
  <c r="Q172" i="24"/>
  <c r="P172" i="24"/>
  <c r="AH293" i="25"/>
  <c r="BI224" i="25"/>
  <c r="N224" i="25"/>
  <c r="BI313" i="25"/>
  <c r="AH313" i="25"/>
  <c r="BK149" i="24"/>
  <c r="S149" i="24"/>
  <c r="T149" i="24" s="1"/>
  <c r="BK303" i="24"/>
  <c r="S303" i="24"/>
  <c r="T303" i="24" s="1"/>
  <c r="AH59" i="25"/>
  <c r="AH183" i="25"/>
  <c r="BI49" i="25"/>
  <c r="AH32" i="25"/>
  <c r="U127" i="24"/>
  <c r="AP53" i="24"/>
  <c r="BK77" i="24"/>
  <c r="S77" i="24"/>
  <c r="T77" i="24" s="1"/>
  <c r="N210" i="25"/>
  <c r="N126" i="25"/>
  <c r="T126" i="25" s="1"/>
  <c r="L126" i="25"/>
  <c r="BK31" i="24"/>
  <c r="S31" i="24"/>
  <c r="T31" i="24" s="1"/>
  <c r="M31" i="24"/>
  <c r="N31" i="24" s="1"/>
  <c r="AP31" i="24" s="1"/>
  <c r="BI34" i="25"/>
  <c r="L34" i="25"/>
  <c r="BI314" i="25"/>
  <c r="BI201" i="25"/>
  <c r="U48" i="24"/>
  <c r="AH282" i="25"/>
  <c r="BK79" i="24"/>
  <c r="S79" i="24"/>
  <c r="T79" i="24" s="1"/>
  <c r="BK248" i="24"/>
  <c r="S248" i="24"/>
  <c r="T248" i="24" s="1"/>
  <c r="BI272" i="25"/>
  <c r="AH305" i="25"/>
  <c r="J132" i="24"/>
  <c r="O132" i="24"/>
  <c r="BZ132" i="24" s="1"/>
  <c r="M230" i="24"/>
  <c r="N230" i="24" s="1"/>
  <c r="AP230" i="24" s="1"/>
  <c r="AH204" i="25"/>
  <c r="BK120" i="24"/>
  <c r="S120" i="24"/>
  <c r="T120" i="24" s="1"/>
  <c r="BK299" i="24"/>
  <c r="S299" i="24"/>
  <c r="T299" i="24" s="1"/>
  <c r="K299" i="24"/>
  <c r="BI278" i="25"/>
  <c r="BK240" i="24"/>
  <c r="S240" i="24"/>
  <c r="T240" i="24" s="1"/>
  <c r="AH95" i="25"/>
  <c r="AH111" i="25"/>
  <c r="BQ33" i="25"/>
  <c r="BQ228" i="25"/>
  <c r="L309" i="25"/>
  <c r="K135" i="24"/>
  <c r="BK173" i="24"/>
  <c r="S173" i="24"/>
  <c r="T173" i="24" s="1"/>
  <c r="K242" i="24"/>
  <c r="BQ170" i="25"/>
  <c r="AH296" i="25"/>
  <c r="Q52" i="24"/>
  <c r="R52" i="24" s="1"/>
  <c r="P52" i="24"/>
  <c r="BI205" i="25"/>
  <c r="N205" i="25"/>
  <c r="BI312" i="25"/>
  <c r="N312" i="25"/>
  <c r="T312" i="25" s="1"/>
  <c r="AH139" i="25"/>
  <c r="BK148" i="24"/>
  <c r="S148" i="24"/>
  <c r="T148" i="24" s="1"/>
  <c r="M148" i="24"/>
  <c r="BK155" i="24"/>
  <c r="S155" i="24"/>
  <c r="T155" i="24" s="1"/>
  <c r="M155" i="24"/>
  <c r="N155" i="24" s="1"/>
  <c r="AP155" i="24" s="1"/>
  <c r="N253" i="25"/>
  <c r="T253" i="25" s="1"/>
  <c r="BI253" i="25"/>
  <c r="AH100" i="25"/>
  <c r="BI84" i="25"/>
  <c r="N84" i="25"/>
  <c r="L84" i="25"/>
  <c r="BQ19" i="25"/>
  <c r="AH60" i="25"/>
  <c r="AH191" i="25"/>
  <c r="BI303" i="25"/>
  <c r="N303" i="25"/>
  <c r="L17" i="25"/>
  <c r="M59" i="24"/>
  <c r="BK209" i="24"/>
  <c r="S209" i="24"/>
  <c r="T209" i="24" s="1"/>
  <c r="M209" i="24"/>
  <c r="BI250" i="25"/>
  <c r="N250" i="25"/>
  <c r="T250" i="25" s="1"/>
  <c r="AH252" i="25"/>
  <c r="AH136" i="25"/>
  <c r="AH103" i="25"/>
  <c r="AP121" i="24"/>
  <c r="K219" i="24"/>
  <c r="BK289" i="24"/>
  <c r="S289" i="24"/>
  <c r="T289" i="24" s="1"/>
  <c r="N175" i="25"/>
  <c r="N278" i="25"/>
  <c r="M135" i="24"/>
  <c r="N135" i="24" s="1"/>
  <c r="N242" i="25"/>
  <c r="M300" i="24"/>
  <c r="N313" i="25"/>
  <c r="N172" i="25"/>
  <c r="T172" i="25" s="1"/>
  <c r="N33" i="25"/>
  <c r="T33" i="25" s="1"/>
  <c r="M144" i="24"/>
  <c r="N144" i="24" s="1"/>
  <c r="N221" i="25"/>
  <c r="N184" i="25"/>
  <c r="T184" i="25" s="1"/>
  <c r="N302" i="25"/>
  <c r="N90" i="25"/>
  <c r="M93" i="24"/>
  <c r="N118" i="25"/>
  <c r="N49" i="25"/>
  <c r="T49" i="25" s="1"/>
  <c r="N25" i="25"/>
  <c r="M13" i="24"/>
  <c r="N13" i="24" s="1"/>
  <c r="BI83" i="25"/>
  <c r="N83" i="25"/>
  <c r="T83" i="25" s="1"/>
  <c r="BK24" i="24"/>
  <c r="S24" i="24"/>
  <c r="T24" i="24" s="1"/>
  <c r="AH269" i="25"/>
  <c r="L159" i="25"/>
  <c r="AH151" i="25"/>
  <c r="BK291" i="24"/>
  <c r="S291" i="24"/>
  <c r="T291" i="24" s="1"/>
  <c r="M291" i="24"/>
  <c r="N291" i="24" s="1"/>
  <c r="BK195" i="24"/>
  <c r="S195" i="24"/>
  <c r="T195" i="24" s="1"/>
  <c r="AP162" i="24"/>
  <c r="BK163" i="24"/>
  <c r="S163" i="24"/>
  <c r="T163" i="24" s="1"/>
  <c r="AH210" i="25"/>
  <c r="AH180" i="25"/>
  <c r="T246" i="25"/>
  <c r="BK129" i="24"/>
  <c r="S129" i="24"/>
  <c r="T129" i="24" s="1"/>
  <c r="BK285" i="24"/>
  <c r="S285" i="24"/>
  <c r="T285" i="24" s="1"/>
  <c r="P21" i="24"/>
  <c r="Q21" i="24"/>
  <c r="R21" i="24" s="1"/>
  <c r="U129" i="24"/>
  <c r="K192" i="24"/>
  <c r="N180" i="25"/>
  <c r="T180" i="25" s="1"/>
  <c r="U177" i="25"/>
  <c r="BK179" i="24"/>
  <c r="S179" i="24"/>
  <c r="T179" i="24" s="1"/>
  <c r="M179" i="24"/>
  <c r="N179" i="24" s="1"/>
  <c r="BQ11" i="25"/>
  <c r="L137" i="25"/>
  <c r="N53" i="25"/>
  <c r="BI53" i="25"/>
  <c r="AH188" i="25"/>
  <c r="AH132" i="25"/>
  <c r="BK205" i="24"/>
  <c r="S205" i="24"/>
  <c r="T205" i="24" s="1"/>
  <c r="U205" i="24"/>
  <c r="BK147" i="24"/>
  <c r="S147" i="24"/>
  <c r="T147" i="24" s="1"/>
  <c r="AP22" i="24"/>
  <c r="AH236" i="25"/>
  <c r="AH266" i="25"/>
  <c r="AH300" i="25"/>
  <c r="BK304" i="24"/>
  <c r="S304" i="24"/>
  <c r="T304" i="24" s="1"/>
  <c r="M304" i="24"/>
  <c r="N304" i="24" s="1"/>
  <c r="AP304" i="24" s="1"/>
  <c r="BI99" i="25"/>
  <c r="N99" i="25"/>
  <c r="K245" i="24"/>
  <c r="BK27" i="24"/>
  <c r="S27" i="24"/>
  <c r="T27" i="24" s="1"/>
  <c r="AP27" i="24"/>
  <c r="K154" i="24"/>
  <c r="BK104" i="24"/>
  <c r="S104" i="24"/>
  <c r="T104" i="24" s="1"/>
  <c r="U188" i="24"/>
  <c r="M122" i="24"/>
  <c r="T198" i="25"/>
  <c r="K284" i="24"/>
  <c r="AP150" i="24"/>
  <c r="BI276" i="25"/>
  <c r="BK287" i="24"/>
  <c r="S287" i="24"/>
  <c r="T287" i="24" s="1"/>
  <c r="BK234" i="24"/>
  <c r="S234" i="24"/>
  <c r="T234" i="24" s="1"/>
  <c r="P170" i="25"/>
  <c r="O170" i="25"/>
  <c r="BI220" i="25"/>
  <c r="AH10" i="25"/>
  <c r="BI161" i="25"/>
  <c r="L102" i="25"/>
  <c r="BK151" i="24"/>
  <c r="S151" i="24"/>
  <c r="T151" i="24" s="1"/>
  <c r="J101" i="24"/>
  <c r="O101" i="24"/>
  <c r="BZ101" i="24" s="1"/>
  <c r="J191" i="24"/>
  <c r="O191" i="24"/>
  <c r="BZ191" i="24" s="1"/>
  <c r="BK51" i="24"/>
  <c r="S51" i="24"/>
  <c r="T51" i="24" s="1"/>
  <c r="BI311" i="25"/>
  <c r="BK311" i="24"/>
  <c r="S311" i="24"/>
  <c r="T311" i="24" s="1"/>
  <c r="M311" i="24"/>
  <c r="N311" i="24" s="1"/>
  <c r="BK220" i="24"/>
  <c r="S220" i="24"/>
  <c r="T220" i="24" s="1"/>
  <c r="L101" i="25"/>
  <c r="AH289" i="25"/>
  <c r="AH277" i="25"/>
  <c r="BK227" i="24"/>
  <c r="S227" i="24"/>
  <c r="T227" i="24" s="1"/>
  <c r="AH240" i="25"/>
  <c r="BI249" i="25"/>
  <c r="AH249" i="25"/>
  <c r="AH50" i="25"/>
  <c r="L47" i="25"/>
  <c r="BI121" i="25"/>
  <c r="AH216" i="25"/>
  <c r="BK305" i="24"/>
  <c r="S305" i="24"/>
  <c r="T305" i="24" s="1"/>
  <c r="AH113" i="25"/>
  <c r="U68" i="24"/>
  <c r="P62" i="25"/>
  <c r="O62" i="25"/>
  <c r="AH230" i="25"/>
  <c r="BK95" i="24"/>
  <c r="S95" i="24"/>
  <c r="T95" i="24" s="1"/>
  <c r="M95" i="24"/>
  <c r="AH35" i="25"/>
  <c r="BI48" i="25"/>
  <c r="N48" i="25"/>
  <c r="T48" i="25" s="1"/>
  <c r="AH91" i="25"/>
  <c r="BI20" i="25"/>
  <c r="N20" i="25"/>
  <c r="T20" i="25" s="1"/>
  <c r="L149" i="25"/>
  <c r="BK293" i="24"/>
  <c r="S293" i="24"/>
  <c r="T293" i="24" s="1"/>
  <c r="M293" i="24"/>
  <c r="N293" i="24" s="1"/>
  <c r="BK221" i="24"/>
  <c r="S221" i="24"/>
  <c r="T221" i="24" s="1"/>
  <c r="M221" i="24"/>
  <c r="N221" i="24" s="1"/>
  <c r="AP221" i="24" s="1"/>
  <c r="AH274" i="25"/>
  <c r="AH209" i="25"/>
  <c r="BI7" i="25"/>
  <c r="N7" i="25"/>
  <c r="T7" i="25" s="1"/>
  <c r="AH88" i="25"/>
  <c r="BI304" i="25"/>
  <c r="N125" i="25"/>
  <c r="P255" i="25"/>
  <c r="O255" i="25"/>
  <c r="M20" i="24"/>
  <c r="N20" i="24" s="1"/>
  <c r="BQ49" i="25"/>
  <c r="BQ32" i="25"/>
  <c r="BQ14" i="25"/>
  <c r="BI187" i="25"/>
  <c r="BI267" i="25"/>
  <c r="AH178" i="25"/>
  <c r="N165" i="25"/>
  <c r="AH174" i="25"/>
  <c r="BI21" i="25"/>
  <c r="T34" i="25"/>
  <c r="BI259" i="25"/>
  <c r="L259" i="25"/>
  <c r="BQ314" i="25"/>
  <c r="BK47" i="24"/>
  <c r="S47" i="24"/>
  <c r="T47" i="24" s="1"/>
  <c r="BQ172" i="25"/>
  <c r="BI78" i="25"/>
  <c r="K112" i="24"/>
  <c r="BQ272" i="25"/>
  <c r="L275" i="25"/>
  <c r="M171" i="24"/>
  <c r="N171" i="24" s="1"/>
  <c r="AP171" i="24" s="1"/>
  <c r="N73" i="25"/>
  <c r="BK290" i="24"/>
  <c r="S290" i="24"/>
  <c r="T290" i="24" s="1"/>
  <c r="BQ278" i="25"/>
  <c r="AH260" i="25"/>
  <c r="BI295" i="25"/>
  <c r="L295" i="25"/>
  <c r="K270" i="24"/>
  <c r="BK312" i="24"/>
  <c r="S312" i="24"/>
  <c r="T312" i="24" s="1"/>
  <c r="BI75" i="25"/>
  <c r="BI296" i="25"/>
  <c r="Q88" i="24"/>
  <c r="R88" i="24" s="1"/>
  <c r="P88" i="24"/>
  <c r="O45" i="24"/>
  <c r="BZ45" i="24" s="1"/>
  <c r="J45" i="24"/>
  <c r="BI46" i="25"/>
  <c r="N46" i="25"/>
  <c r="T46" i="25" s="1"/>
  <c r="AH68" i="25"/>
  <c r="BI19" i="25"/>
  <c r="N19" i="25"/>
  <c r="T19" i="25" s="1"/>
  <c r="BK105" i="24"/>
  <c r="S105" i="24"/>
  <c r="T105" i="24" s="1"/>
  <c r="M105" i="24"/>
  <c r="N105" i="24" s="1"/>
  <c r="BK316" i="24"/>
  <c r="S316" i="24"/>
  <c r="T316" i="24" s="1"/>
  <c r="M316" i="24"/>
  <c r="U316" i="24" s="1"/>
  <c r="L284" i="25"/>
  <c r="BQ191" i="25"/>
  <c r="BQ250" i="25"/>
  <c r="AH250" i="25"/>
  <c r="AH56" i="25"/>
  <c r="AH128" i="25"/>
  <c r="BI103" i="25"/>
  <c r="N103" i="25"/>
  <c r="L103" i="25"/>
  <c r="BK121" i="24"/>
  <c r="S121" i="24"/>
  <c r="T121" i="24" s="1"/>
  <c r="K121" i="24"/>
  <c r="AP219" i="24"/>
  <c r="N234" i="25"/>
  <c r="N66" i="25"/>
  <c r="N112" i="25"/>
  <c r="O44" i="24"/>
  <c r="BZ44" i="24" s="1"/>
  <c r="J44" i="24"/>
  <c r="O294" i="24"/>
  <c r="BZ294" i="24" s="1"/>
  <c r="J294" i="24"/>
  <c r="M173" i="24"/>
  <c r="N173" i="24" s="1"/>
  <c r="AP173" i="24" s="1"/>
  <c r="N47" i="25"/>
  <c r="M156" i="24"/>
  <c r="N156" i="24" s="1"/>
  <c r="M149" i="24"/>
  <c r="N228" i="25"/>
  <c r="N289" i="25"/>
  <c r="N249" i="25"/>
  <c r="N102" i="25"/>
  <c r="T102" i="25" s="1"/>
  <c r="N187" i="25"/>
  <c r="M139" i="24"/>
  <c r="N225" i="25"/>
  <c r="M58" i="24"/>
  <c r="N311" i="25"/>
  <c r="T311" i="25" s="1"/>
  <c r="M154" i="24"/>
  <c r="N154" i="24" s="1"/>
  <c r="N281" i="25"/>
  <c r="N55" i="25"/>
  <c r="BK96" i="24"/>
  <c r="S96" i="24"/>
  <c r="T96" i="24" s="1"/>
  <c r="M96" i="24"/>
  <c r="N96" i="24" s="1"/>
  <c r="AP96" i="24" s="1"/>
  <c r="BI266" i="25"/>
  <c r="N266" i="25"/>
  <c r="BK158" i="24"/>
  <c r="S158" i="24"/>
  <c r="T158" i="24" s="1"/>
  <c r="M158" i="24"/>
  <c r="AH237" i="25"/>
  <c r="AH195" i="25"/>
  <c r="K268" i="24"/>
  <c r="BK83" i="24"/>
  <c r="S83" i="24"/>
  <c r="T83" i="24" s="1"/>
  <c r="AH26" i="25"/>
  <c r="AH203" i="25"/>
  <c r="BK228" i="24"/>
  <c r="S228" i="24"/>
  <c r="T228" i="24" s="1"/>
  <c r="M228" i="24"/>
  <c r="U228" i="24" s="1"/>
  <c r="BI194" i="25"/>
  <c r="N194" i="25"/>
  <c r="AP272" i="24"/>
  <c r="AP14" i="24"/>
  <c r="L270" i="25"/>
  <c r="U24" i="24"/>
  <c r="BK18" i="24"/>
  <c r="S18" i="24"/>
  <c r="T18" i="24" s="1"/>
  <c r="BI269" i="25"/>
  <c r="N269" i="25"/>
  <c r="T269" i="25" s="1"/>
  <c r="K123" i="24"/>
  <c r="BI74" i="25"/>
  <c r="N74" i="25"/>
  <c r="K145" i="24"/>
  <c r="AH71" i="25"/>
  <c r="U163" i="24"/>
  <c r="L180" i="25"/>
  <c r="K256" i="24"/>
  <c r="AH58" i="25"/>
  <c r="BK251" i="24"/>
  <c r="S251" i="24"/>
  <c r="T251" i="24" s="1"/>
  <c r="K133" i="24"/>
  <c r="BK280" i="24"/>
  <c r="S280" i="24"/>
  <c r="T280" i="24" s="1"/>
  <c r="K280" i="24"/>
  <c r="L37" i="25"/>
  <c r="BK19" i="24"/>
  <c r="S19" i="24"/>
  <c r="T19" i="24" s="1"/>
  <c r="BK39" i="24"/>
  <c r="S39" i="24"/>
  <c r="T39" i="24" s="1"/>
  <c r="M39" i="24"/>
  <c r="AH163" i="25"/>
  <c r="AH157" i="25"/>
  <c r="L279" i="25"/>
  <c r="BK259" i="24"/>
  <c r="S259" i="24"/>
  <c r="T259" i="24" s="1"/>
  <c r="M259" i="24"/>
  <c r="U259" i="24" s="1"/>
  <c r="BK100" i="24"/>
  <c r="S100" i="24"/>
  <c r="T100" i="24" s="1"/>
  <c r="M100" i="24"/>
  <c r="BI188" i="25"/>
  <c r="N188" i="25"/>
  <c r="BK63" i="24"/>
  <c r="S63" i="24"/>
  <c r="T63" i="24" s="1"/>
  <c r="M63" i="24"/>
  <c r="BI208" i="25"/>
  <c r="N208" i="25"/>
  <c r="BI218" i="25"/>
  <c r="N218" i="25"/>
  <c r="BK126" i="24"/>
  <c r="S126" i="24"/>
  <c r="T126" i="24" s="1"/>
  <c r="M126" i="24"/>
  <c r="K126" i="24"/>
  <c r="BQ129" i="25"/>
  <c r="BI13" i="25"/>
  <c r="BI71" i="25"/>
  <c r="L145" i="25"/>
  <c r="AH105" i="25"/>
  <c r="BK266" i="24"/>
  <c r="S266" i="24"/>
  <c r="T266" i="24" s="1"/>
  <c r="M266" i="24"/>
  <c r="U266" i="24" s="1"/>
  <c r="L266" i="25"/>
  <c r="BK309" i="24"/>
  <c r="S309" i="24"/>
  <c r="T309" i="24" s="1"/>
  <c r="M309" i="24"/>
  <c r="U309" i="24" s="1"/>
  <c r="N122" i="25"/>
  <c r="N23" i="25"/>
  <c r="J7" i="24"/>
  <c r="O7" i="24"/>
  <c r="BZ7" i="24" s="1"/>
  <c r="L197" i="25"/>
  <c r="BK164" i="24"/>
  <c r="S164" i="24"/>
  <c r="T164" i="24" s="1"/>
  <c r="M164" i="24"/>
  <c r="AP76" i="24"/>
  <c r="BI297" i="25"/>
  <c r="N297" i="25"/>
  <c r="L297" i="25"/>
  <c r="AH99" i="25"/>
  <c r="AH82" i="25"/>
  <c r="AH87" i="25"/>
  <c r="U27" i="24"/>
  <c r="AH12" i="25"/>
  <c r="BI238" i="25"/>
  <c r="L238" i="25"/>
  <c r="BI171" i="25"/>
  <c r="N171" i="25"/>
  <c r="BI117" i="25"/>
  <c r="N117" i="25"/>
  <c r="T117" i="25" s="1"/>
  <c r="K263" i="24"/>
  <c r="AP188" i="24"/>
  <c r="AH200" i="25"/>
  <c r="BK200" i="24"/>
  <c r="S200" i="24"/>
  <c r="T200" i="24" s="1"/>
  <c r="T276" i="25"/>
  <c r="BI306" i="25"/>
  <c r="L55" i="25"/>
  <c r="BK226" i="24"/>
  <c r="S226" i="24"/>
  <c r="T226" i="24" s="1"/>
  <c r="BI173" i="25"/>
  <c r="AH173" i="25"/>
  <c r="BK279" i="24"/>
  <c r="S279" i="24"/>
  <c r="T279" i="24" s="1"/>
  <c r="AH247" i="25"/>
  <c r="BI292" i="25"/>
  <c r="BI86" i="25"/>
  <c r="L86" i="25"/>
  <c r="T161" i="25"/>
  <c r="BQ102" i="25"/>
  <c r="K115" i="24"/>
  <c r="N182" i="25"/>
  <c r="T182" i="25" s="1"/>
  <c r="M51" i="24"/>
  <c r="N51" i="24" s="1"/>
  <c r="BK181" i="24"/>
  <c r="S181" i="24"/>
  <c r="T181" i="24" s="1"/>
  <c r="K181" i="24"/>
  <c r="K271" i="24"/>
  <c r="L307" i="25"/>
  <c r="K300" i="24"/>
  <c r="L289" i="25"/>
  <c r="K183" i="24"/>
  <c r="BI240" i="25"/>
  <c r="AP238" i="24"/>
  <c r="K238" i="24"/>
  <c r="AH242" i="25"/>
  <c r="BI158" i="25"/>
  <c r="AH158" i="25"/>
  <c r="BK310" i="24"/>
  <c r="S310" i="24"/>
  <c r="T310" i="24" s="1"/>
  <c r="BI113" i="25"/>
  <c r="M280" i="24"/>
  <c r="U280" i="24" s="1"/>
  <c r="T62" i="25"/>
  <c r="BI207" i="25"/>
  <c r="N207" i="25"/>
  <c r="L207" i="25"/>
  <c r="K258" i="24"/>
  <c r="K175" i="24"/>
  <c r="L35" i="25"/>
  <c r="L48" i="25"/>
  <c r="AH24" i="25"/>
  <c r="BI22" i="25"/>
  <c r="N22" i="25"/>
  <c r="L153" i="25"/>
  <c r="BI135" i="25"/>
  <c r="N135" i="25"/>
  <c r="BI286" i="25"/>
  <c r="N286" i="25"/>
  <c r="L286" i="25"/>
  <c r="BI268" i="25"/>
  <c r="N268" i="25"/>
  <c r="L36" i="25"/>
  <c r="AH256" i="25"/>
  <c r="L41" i="25"/>
  <c r="AH69" i="25"/>
  <c r="BK57" i="24"/>
  <c r="S57" i="24"/>
  <c r="T57" i="24" s="1"/>
  <c r="M57" i="24"/>
  <c r="BI299" i="25"/>
  <c r="N299" i="25"/>
  <c r="AH7" i="25"/>
  <c r="K262" i="24"/>
  <c r="BK64" i="24"/>
  <c r="S64" i="24"/>
  <c r="T64" i="24" s="1"/>
  <c r="M64" i="24"/>
  <c r="BQ61" i="25"/>
  <c r="K197" i="24"/>
  <c r="BK10" i="24"/>
  <c r="S10" i="24"/>
  <c r="T10" i="24" s="1"/>
  <c r="L88" i="25"/>
  <c r="BI255" i="25"/>
  <c r="BI59" i="25"/>
  <c r="BI32" i="25"/>
  <c r="AP127" i="24"/>
  <c r="BK313" i="24"/>
  <c r="S313" i="24"/>
  <c r="T313" i="24" s="1"/>
  <c r="K199" i="24"/>
  <c r="AP199" i="24"/>
  <c r="BI14" i="25"/>
  <c r="T267" i="25"/>
  <c r="L178" i="25"/>
  <c r="K201" i="24"/>
  <c r="M256" i="24"/>
  <c r="N256" i="24" s="1"/>
  <c r="BK204" i="24"/>
  <c r="S204" i="24"/>
  <c r="T204" i="24" s="1"/>
  <c r="M204" i="24"/>
  <c r="T314" i="25"/>
  <c r="AH90" i="25"/>
  <c r="L285" i="25"/>
  <c r="U47" i="24"/>
  <c r="K139" i="24"/>
  <c r="BI261" i="25"/>
  <c r="AH172" i="25"/>
  <c r="BQ78" i="25"/>
  <c r="AH78" i="25"/>
  <c r="AH124" i="25"/>
  <c r="BI248" i="25"/>
  <c r="L223" i="25"/>
  <c r="BK78" i="24"/>
  <c r="S78" i="24"/>
  <c r="T78" i="24" s="1"/>
  <c r="M78" i="24"/>
  <c r="BK134" i="24"/>
  <c r="S134" i="24"/>
  <c r="T134" i="24" s="1"/>
  <c r="K254" i="24"/>
  <c r="J142" i="24"/>
  <c r="O142" i="24"/>
  <c r="BZ142" i="24" s="1"/>
  <c r="BI204" i="25"/>
  <c r="L204" i="25"/>
  <c r="BI114" i="25"/>
  <c r="AH114" i="25"/>
  <c r="AH221" i="25"/>
  <c r="L278" i="25"/>
  <c r="AP270" i="24"/>
  <c r="AH234" i="25"/>
  <c r="AH63" i="25"/>
  <c r="M9" i="24"/>
  <c r="N9" i="24" s="1"/>
  <c r="L111" i="25"/>
  <c r="U25" i="24"/>
  <c r="BK32" i="24"/>
  <c r="S32" i="24"/>
  <c r="T32" i="24" s="1"/>
  <c r="L228" i="25"/>
  <c r="BQ316" i="25"/>
  <c r="L216" i="25"/>
  <c r="BI216" i="25"/>
  <c r="N216" i="25"/>
  <c r="AH298" i="25"/>
  <c r="T199" i="25"/>
  <c r="BI138" i="25"/>
  <c r="BQ244" i="25"/>
  <c r="T170" i="25"/>
  <c r="L170" i="25"/>
  <c r="L296" i="25"/>
  <c r="BK88" i="24"/>
  <c r="S88" i="24"/>
  <c r="T88" i="24" s="1"/>
  <c r="U52" i="24"/>
  <c r="AH205" i="25"/>
  <c r="M151" i="24"/>
  <c r="N151" i="24" s="1"/>
  <c r="BK174" i="24"/>
  <c r="S174" i="24"/>
  <c r="T174" i="24" s="1"/>
  <c r="M174" i="24"/>
  <c r="L312" i="25"/>
  <c r="L43" i="25"/>
  <c r="BI40" i="25"/>
  <c r="N40" i="25"/>
  <c r="L139" i="25"/>
  <c r="BI156" i="25"/>
  <c r="N156" i="25"/>
  <c r="BK260" i="24"/>
  <c r="S260" i="24"/>
  <c r="T260" i="24" s="1"/>
  <c r="M260" i="24"/>
  <c r="U260" i="24" s="1"/>
  <c r="BI301" i="25"/>
  <c r="N301" i="25"/>
  <c r="BI76" i="25"/>
  <c r="N76" i="25"/>
  <c r="AH76" i="25"/>
  <c r="K189" i="24"/>
  <c r="L191" i="25"/>
  <c r="AH303" i="25"/>
  <c r="BK229" i="24"/>
  <c r="S229" i="24"/>
  <c r="T229" i="24" s="1"/>
  <c r="M229" i="24"/>
  <c r="U229" i="24" s="1"/>
  <c r="BQ136" i="25"/>
  <c r="U121" i="24"/>
  <c r="AP72" i="24"/>
  <c r="N295" i="25"/>
  <c r="N272" i="25"/>
  <c r="N138" i="25"/>
  <c r="N101" i="25"/>
  <c r="M242" i="24"/>
  <c r="N242" i="24" s="1"/>
  <c r="N298" i="25"/>
  <c r="M220" i="24"/>
  <c r="U220" i="24" s="1"/>
  <c r="M197" i="24"/>
  <c r="N197" i="24" s="1"/>
  <c r="AP197" i="24" s="1"/>
  <c r="N78" i="25"/>
  <c r="N285" i="25"/>
  <c r="T285" i="25" s="1"/>
  <c r="M17" i="24"/>
  <c r="N17" i="24" s="1"/>
  <c r="N309" i="25"/>
  <c r="T309" i="25" s="1"/>
  <c r="M92" i="24"/>
  <c r="N92" i="24" s="1"/>
  <c r="N304" i="25"/>
  <c r="N181" i="25"/>
  <c r="M8" i="24"/>
  <c r="M136" i="24"/>
  <c r="N136" i="24" s="1"/>
  <c r="N86" i="25"/>
  <c r="N287" i="25"/>
  <c r="M240" i="24"/>
  <c r="N240" i="24" s="1"/>
  <c r="M222" i="24"/>
  <c r="N121" i="25"/>
  <c r="N134" i="25"/>
  <c r="T134" i="25" s="1"/>
  <c r="AP9" i="24" l="1"/>
  <c r="AP40" i="24"/>
  <c r="AP116" i="24"/>
  <c r="AO13" i="25"/>
  <c r="P252" i="24"/>
  <c r="J236" i="24"/>
  <c r="AP12" i="24"/>
  <c r="Q236" i="24"/>
  <c r="P236" i="24"/>
  <c r="AP314" i="24"/>
  <c r="AP32" i="24"/>
  <c r="AO31" i="25"/>
  <c r="Q233" i="24"/>
  <c r="P233" i="24"/>
  <c r="AP218" i="24"/>
  <c r="AP112" i="24"/>
  <c r="AP83" i="24"/>
  <c r="AP65" i="24"/>
  <c r="AP49" i="24"/>
  <c r="AP258" i="24"/>
  <c r="AP152" i="24"/>
  <c r="U236" i="24"/>
  <c r="V236" i="24" s="1"/>
  <c r="AP69" i="24"/>
  <c r="AP294" i="24"/>
  <c r="AP278" i="24"/>
  <c r="AP264" i="24"/>
  <c r="U233" i="24"/>
  <c r="V233" i="24" s="1"/>
  <c r="W257" i="24"/>
  <c r="Y257" i="24" s="1"/>
  <c r="P294" i="24"/>
  <c r="P190" i="25"/>
  <c r="Q294" i="24"/>
  <c r="AP175" i="24"/>
  <c r="Q264" i="24"/>
  <c r="Q84" i="24"/>
  <c r="R84" i="24" s="1"/>
  <c r="AP281" i="24"/>
  <c r="U264" i="24"/>
  <c r="V264" i="24" s="1"/>
  <c r="O190" i="25"/>
  <c r="S190" i="25" s="1"/>
  <c r="K190" i="25" s="1"/>
  <c r="P262" i="25"/>
  <c r="O264" i="24"/>
  <c r="BZ264" i="24" s="1"/>
  <c r="U294" i="24"/>
  <c r="V294" i="24" s="1"/>
  <c r="O257" i="24"/>
  <c r="BZ257" i="24" s="1"/>
  <c r="U241" i="24"/>
  <c r="U276" i="24"/>
  <c r="V276" i="24" s="1"/>
  <c r="N301" i="24"/>
  <c r="AP301" i="24" s="1"/>
  <c r="U301" i="24"/>
  <c r="U295" i="24"/>
  <c r="U258" i="24"/>
  <c r="V258" i="24" s="1"/>
  <c r="U243" i="24"/>
  <c r="N284" i="24"/>
  <c r="P284" i="24" s="1"/>
  <c r="U284" i="24"/>
  <c r="V284" i="24" s="1"/>
  <c r="U251" i="24"/>
  <c r="V251" i="24" s="1"/>
  <c r="U244" i="24"/>
  <c r="U217" i="24"/>
  <c r="V217" i="24" s="1"/>
  <c r="U240" i="24"/>
  <c r="U256" i="24"/>
  <c r="U265" i="24"/>
  <c r="V265" i="24" s="1"/>
  <c r="N222" i="24"/>
  <c r="U222" i="24"/>
  <c r="N253" i="24"/>
  <c r="AP253" i="24" s="1"/>
  <c r="U253" i="24"/>
  <c r="V253" i="24" s="1"/>
  <c r="N275" i="24"/>
  <c r="AP275" i="24" s="1"/>
  <c r="U275" i="24"/>
  <c r="U291" i="24"/>
  <c r="U250" i="24"/>
  <c r="U246" i="24"/>
  <c r="V246" i="24" s="1"/>
  <c r="U286" i="24"/>
  <c r="V286" i="24" s="1"/>
  <c r="U304" i="24"/>
  <c r="U281" i="24"/>
  <c r="V281" i="24" s="1"/>
  <c r="U269" i="24"/>
  <c r="V269" i="24" s="1"/>
  <c r="N300" i="24"/>
  <c r="P300" i="24" s="1"/>
  <c r="U300" i="24"/>
  <c r="N285" i="24"/>
  <c r="AP285" i="24" s="1"/>
  <c r="U285" i="24"/>
  <c r="V285" i="24" s="1"/>
  <c r="U311" i="24"/>
  <c r="V311" i="24" s="1"/>
  <c r="U299" i="24"/>
  <c r="U224" i="24"/>
  <c r="V224" i="24" s="1"/>
  <c r="U254" i="24"/>
  <c r="V254" i="24" s="1"/>
  <c r="U283" i="24"/>
  <c r="U221" i="24"/>
  <c r="U267" i="24"/>
  <c r="V267" i="24" s="1"/>
  <c r="U278" i="24"/>
  <c r="V278" i="24" s="1"/>
  <c r="U305" i="24"/>
  <c r="V305" i="24" s="1"/>
  <c r="U261" i="24"/>
  <c r="U314" i="24"/>
  <c r="V314" i="24" s="1"/>
  <c r="U252" i="24"/>
  <c r="V252" i="24" s="1"/>
  <c r="U302" i="24"/>
  <c r="V302" i="24" s="1"/>
  <c r="U242" i="24"/>
  <c r="U230" i="24"/>
  <c r="V230" i="24" s="1"/>
  <c r="U296" i="24"/>
  <c r="V296" i="24" s="1"/>
  <c r="N297" i="24"/>
  <c r="AP297" i="24" s="1"/>
  <c r="U297" i="24"/>
  <c r="N289" i="24"/>
  <c r="P289" i="24" s="1"/>
  <c r="U289" i="24"/>
  <c r="V289" i="24" s="1"/>
  <c r="U274" i="24"/>
  <c r="V274" i="24" s="1"/>
  <c r="U293" i="24"/>
  <c r="U273" i="24"/>
  <c r="V273" i="24" s="1"/>
  <c r="U235" i="24"/>
  <c r="U245" i="24"/>
  <c r="AP224" i="24"/>
  <c r="AP118" i="24"/>
  <c r="AO30" i="25"/>
  <c r="AO21" i="25"/>
  <c r="AP23" i="24"/>
  <c r="Q137" i="24"/>
  <c r="AO14" i="25"/>
  <c r="AP66" i="24"/>
  <c r="AP111" i="24"/>
  <c r="AP217" i="24"/>
  <c r="AO6" i="25"/>
  <c r="AP87" i="24"/>
  <c r="AP269" i="24"/>
  <c r="AP165" i="24"/>
  <c r="AP97" i="24"/>
  <c r="AP305" i="24"/>
  <c r="O55" i="24"/>
  <c r="BZ55" i="24" s="1"/>
  <c r="AP267" i="24"/>
  <c r="AP56" i="24"/>
  <c r="O262" i="25"/>
  <c r="AO262" i="25" s="1"/>
  <c r="AP208" i="24"/>
  <c r="AP193" i="24"/>
  <c r="AP299" i="24"/>
  <c r="O94" i="25"/>
  <c r="S94" i="25" s="1"/>
  <c r="K94" i="25" s="1"/>
  <c r="AP101" i="24"/>
  <c r="AP202" i="24"/>
  <c r="P55" i="24"/>
  <c r="Q55" i="24"/>
  <c r="R55" i="24" s="1"/>
  <c r="U55" i="24"/>
  <c r="V55" i="24" s="1"/>
  <c r="P94" i="25"/>
  <c r="Q160" i="24"/>
  <c r="AP286" i="24"/>
  <c r="AP81" i="24"/>
  <c r="AP180" i="24"/>
  <c r="AP310" i="24"/>
  <c r="AP98" i="24"/>
  <c r="AP306" i="24"/>
  <c r="AP200" i="24"/>
  <c r="AP160" i="24"/>
  <c r="W45" i="24"/>
  <c r="Y45" i="24" s="1"/>
  <c r="AO71" i="25"/>
  <c r="U105" i="24"/>
  <c r="V105" i="24" s="1"/>
  <c r="P11" i="25"/>
  <c r="U160" i="24"/>
  <c r="V160" i="24" s="1"/>
  <c r="O11" i="25"/>
  <c r="AO11" i="25" s="1"/>
  <c r="AP252" i="24"/>
  <c r="O41" i="24"/>
  <c r="BZ41" i="24" s="1"/>
  <c r="AP186" i="24"/>
  <c r="P280" i="25"/>
  <c r="O280" i="25"/>
  <c r="Q280" i="25" s="1"/>
  <c r="AP245" i="24"/>
  <c r="BZ273" i="25"/>
  <c r="BZ306" i="25"/>
  <c r="BZ31" i="25"/>
  <c r="AO306" i="25"/>
  <c r="O155" i="25"/>
  <c r="AO155" i="25" s="1"/>
  <c r="P155" i="25"/>
  <c r="AP241" i="24"/>
  <c r="AP178" i="24"/>
  <c r="U87" i="24"/>
  <c r="V87" i="24" s="1"/>
  <c r="O96" i="25"/>
  <c r="P96" i="25"/>
  <c r="T154" i="25"/>
  <c r="U154" i="25" s="1"/>
  <c r="Q286" i="24"/>
  <c r="P286" i="24"/>
  <c r="Q252" i="24"/>
  <c r="P77" i="24"/>
  <c r="Q77" i="24"/>
  <c r="R77" i="24" s="1"/>
  <c r="P137" i="24"/>
  <c r="P246" i="24"/>
  <c r="AP137" i="24"/>
  <c r="AP84" i="24"/>
  <c r="Q246" i="24"/>
  <c r="U137" i="24"/>
  <c r="V137" i="24" s="1"/>
  <c r="P84" i="24"/>
  <c r="U74" i="24"/>
  <c r="V74" i="24" s="1"/>
  <c r="BZ147" i="25"/>
  <c r="O154" i="25"/>
  <c r="AO154" i="25" s="1"/>
  <c r="U118" i="24"/>
  <c r="V118" i="24" s="1"/>
  <c r="P276" i="24"/>
  <c r="P189" i="25"/>
  <c r="Q276" i="24"/>
  <c r="Q143" i="25"/>
  <c r="N223" i="24"/>
  <c r="U12" i="24"/>
  <c r="V12" i="24" s="1"/>
  <c r="AP170" i="24"/>
  <c r="BZ114" i="25"/>
  <c r="U35" i="24"/>
  <c r="V35" i="24" s="1"/>
  <c r="U60" i="24"/>
  <c r="V60" i="24" s="1"/>
  <c r="O97" i="25"/>
  <c r="AP166" i="24"/>
  <c r="Q157" i="24"/>
  <c r="P157" i="24"/>
  <c r="O29" i="25"/>
  <c r="R29" i="25" s="1"/>
  <c r="P251" i="24"/>
  <c r="U152" i="24"/>
  <c r="V152" i="24" s="1"/>
  <c r="AO92" i="25"/>
  <c r="P29" i="25"/>
  <c r="P134" i="24"/>
  <c r="U157" i="24"/>
  <c r="V157" i="24" s="1"/>
  <c r="Q251" i="24"/>
  <c r="BZ174" i="25"/>
  <c r="Q134" i="24"/>
  <c r="U178" i="24"/>
  <c r="V178" i="24" s="1"/>
  <c r="AP274" i="24"/>
  <c r="R143" i="25"/>
  <c r="S143" i="25"/>
  <c r="K143" i="25" s="1"/>
  <c r="V143" i="25" s="1"/>
  <c r="X143" i="25" s="1"/>
  <c r="BZ143" i="25"/>
  <c r="BZ267" i="25"/>
  <c r="O189" i="25"/>
  <c r="AO189" i="25" s="1"/>
  <c r="BZ292" i="25"/>
  <c r="P97" i="25"/>
  <c r="U81" i="24"/>
  <c r="V81" i="24" s="1"/>
  <c r="O265" i="25"/>
  <c r="AO265" i="25" s="1"/>
  <c r="U207" i="24"/>
  <c r="V207" i="24" s="1"/>
  <c r="AP167" i="24"/>
  <c r="P265" i="25"/>
  <c r="Q167" i="24"/>
  <c r="U91" i="24"/>
  <c r="V91" i="24" s="1"/>
  <c r="U166" i="24"/>
  <c r="V166" i="24" s="1"/>
  <c r="U67" i="24"/>
  <c r="V67" i="24" s="1"/>
  <c r="BZ161" i="25"/>
  <c r="BZ71" i="25"/>
  <c r="P237" i="25"/>
  <c r="BZ247" i="25"/>
  <c r="O179" i="25"/>
  <c r="R179" i="25" s="1"/>
  <c r="T179" i="25"/>
  <c r="U179" i="25" s="1"/>
  <c r="T258" i="25"/>
  <c r="U258" i="25" s="1"/>
  <c r="O237" i="25"/>
  <c r="R237" i="25" s="1"/>
  <c r="O258" i="25"/>
  <c r="BZ258" i="25" s="1"/>
  <c r="BZ167" i="25"/>
  <c r="U66" i="24"/>
  <c r="V66" i="24" s="1"/>
  <c r="BZ82" i="25"/>
  <c r="U99" i="24"/>
  <c r="V99" i="24" s="1"/>
  <c r="BZ30" i="25"/>
  <c r="BZ238" i="25"/>
  <c r="BZ32" i="25"/>
  <c r="BZ13" i="25"/>
  <c r="AO82" i="25"/>
  <c r="O104" i="25"/>
  <c r="BZ199" i="25"/>
  <c r="BZ248" i="25"/>
  <c r="P104" i="25"/>
  <c r="O291" i="25"/>
  <c r="AO291" i="25" s="1"/>
  <c r="P291" i="25"/>
  <c r="P59" i="25"/>
  <c r="O59" i="25"/>
  <c r="S59" i="25" s="1"/>
  <c r="K59" i="25" s="1"/>
  <c r="V59" i="25" s="1"/>
  <c r="O28" i="25"/>
  <c r="AO28" i="25" s="1"/>
  <c r="BZ14" i="25"/>
  <c r="P28" i="25"/>
  <c r="BZ276" i="25"/>
  <c r="BZ305" i="25"/>
  <c r="BZ178" i="25"/>
  <c r="BZ283" i="25"/>
  <c r="BZ95" i="25"/>
  <c r="BZ204" i="25"/>
  <c r="BZ206" i="25"/>
  <c r="BZ259" i="25"/>
  <c r="BZ92" i="25"/>
  <c r="BZ229" i="25"/>
  <c r="AO259" i="25"/>
  <c r="BZ243" i="25"/>
  <c r="AO206" i="25"/>
  <c r="BZ240" i="25"/>
  <c r="V129" i="25"/>
  <c r="X129" i="25" s="1"/>
  <c r="FI212" i="25"/>
  <c r="FJ212" i="25"/>
  <c r="BZ293" i="25"/>
  <c r="U11" i="24"/>
  <c r="V11" i="24" s="1"/>
  <c r="U173" i="24"/>
  <c r="V173" i="24" s="1"/>
  <c r="U20" i="24"/>
  <c r="V20" i="24" s="1"/>
  <c r="U49" i="24"/>
  <c r="V49" i="24" s="1"/>
  <c r="U125" i="24"/>
  <c r="V125" i="24" s="1"/>
  <c r="U167" i="24"/>
  <c r="V167" i="24" s="1"/>
  <c r="U175" i="24"/>
  <c r="V175" i="24" s="1"/>
  <c r="U82" i="24"/>
  <c r="V82" i="24" s="1"/>
  <c r="BZ173" i="25"/>
  <c r="BZ21" i="25"/>
  <c r="BZ201" i="25"/>
  <c r="BZ192" i="25"/>
  <c r="BZ89" i="25"/>
  <c r="P77" i="25"/>
  <c r="O77" i="25"/>
  <c r="T77" i="25"/>
  <c r="U77" i="25" s="1"/>
  <c r="AO293" i="25"/>
  <c r="BZ314" i="25"/>
  <c r="U208" i="24"/>
  <c r="V208" i="24" s="1"/>
  <c r="U13" i="24"/>
  <c r="V13" i="24" s="1"/>
  <c r="U201" i="24"/>
  <c r="V201" i="24" s="1"/>
  <c r="U155" i="24"/>
  <c r="V155" i="24" s="1"/>
  <c r="BZ87" i="25"/>
  <c r="BZ261" i="25"/>
  <c r="BZ232" i="25"/>
  <c r="BZ148" i="25"/>
  <c r="BZ296" i="25"/>
  <c r="BZ6" i="25"/>
  <c r="U124" i="24"/>
  <c r="AO87" i="25"/>
  <c r="U169" i="24"/>
  <c r="V169" i="24" s="1"/>
  <c r="U165" i="24"/>
  <c r="V165" i="24" s="1"/>
  <c r="BZ158" i="25"/>
  <c r="AO232" i="25"/>
  <c r="AO261" i="25"/>
  <c r="U202" i="24"/>
  <c r="V202" i="24" s="1"/>
  <c r="U70" i="24"/>
  <c r="V70" i="24" s="1"/>
  <c r="U189" i="24"/>
  <c r="V189" i="24" s="1"/>
  <c r="BZ282" i="25"/>
  <c r="BZ246" i="25"/>
  <c r="BZ113" i="25"/>
  <c r="AO148" i="25"/>
  <c r="U198" i="24"/>
  <c r="V198" i="24" s="1"/>
  <c r="AO192" i="25"/>
  <c r="AO89" i="25"/>
  <c r="U15" i="24"/>
  <c r="V15" i="24" s="1"/>
  <c r="BZ34" i="25"/>
  <c r="U37" i="24"/>
  <c r="P41" i="24"/>
  <c r="Q41" i="24"/>
  <c r="R41" i="24" s="1"/>
  <c r="U77" i="24"/>
  <c r="V77" i="24" s="1"/>
  <c r="U50" i="24"/>
  <c r="V50" i="24" s="1"/>
  <c r="U128" i="24"/>
  <c r="V128" i="24" s="1"/>
  <c r="BZ275" i="25"/>
  <c r="U84" i="24"/>
  <c r="V84" i="24" s="1"/>
  <c r="U56" i="24"/>
  <c r="V56" i="24" s="1"/>
  <c r="U134" i="24"/>
  <c r="V134" i="24" s="1"/>
  <c r="BZ186" i="25"/>
  <c r="U193" i="25"/>
  <c r="U151" i="25"/>
  <c r="U245" i="25"/>
  <c r="U102" i="25"/>
  <c r="U271" i="25"/>
  <c r="U263" i="25"/>
  <c r="U284" i="25"/>
  <c r="U164" i="25"/>
  <c r="U309" i="25"/>
  <c r="U17" i="25"/>
  <c r="U311" i="25"/>
  <c r="U48" i="25"/>
  <c r="U236" i="25"/>
  <c r="U60" i="25"/>
  <c r="U152" i="25"/>
  <c r="U241" i="25"/>
  <c r="U269" i="25"/>
  <c r="U8" i="25"/>
  <c r="U16" i="25"/>
  <c r="U88" i="25"/>
  <c r="U132" i="25"/>
  <c r="U117" i="25"/>
  <c r="U182" i="25"/>
  <c r="U83" i="25"/>
  <c r="U130" i="25"/>
  <c r="U37" i="25"/>
  <c r="U141" i="25"/>
  <c r="U134" i="25"/>
  <c r="U166" i="25"/>
  <c r="U43" i="25"/>
  <c r="N220" i="24"/>
  <c r="J88" i="24"/>
  <c r="O88" i="24"/>
  <c r="BZ88" i="24" s="1"/>
  <c r="U7" i="25"/>
  <c r="U20" i="25"/>
  <c r="U180" i="25"/>
  <c r="P240" i="24"/>
  <c r="Q240" i="24"/>
  <c r="Q256" i="24"/>
  <c r="P256" i="24"/>
  <c r="J19" i="24"/>
  <c r="W19" i="24" s="1"/>
  <c r="O19" i="24"/>
  <c r="BZ19" i="24" s="1"/>
  <c r="P138" i="25"/>
  <c r="O138" i="25"/>
  <c r="T138" i="25"/>
  <c r="N229" i="24"/>
  <c r="U312" i="25"/>
  <c r="V312" i="24"/>
  <c r="V290" i="24"/>
  <c r="N78" i="24"/>
  <c r="U78" i="24"/>
  <c r="J204" i="24"/>
  <c r="O204" i="24"/>
  <c r="BZ204" i="24" s="1"/>
  <c r="J64" i="24"/>
  <c r="O64" i="24"/>
  <c r="BZ64" i="24" s="1"/>
  <c r="P135" i="25"/>
  <c r="O135" i="25"/>
  <c r="T135" i="25"/>
  <c r="U150" i="25"/>
  <c r="N164" i="24"/>
  <c r="U164" i="24"/>
  <c r="AE7" i="24"/>
  <c r="AI7" i="24"/>
  <c r="X7" i="24"/>
  <c r="AA7" i="24" s="1"/>
  <c r="AB7" i="24" s="1"/>
  <c r="AC7" i="24" s="1"/>
  <c r="N266" i="24"/>
  <c r="P218" i="25"/>
  <c r="O218" i="25"/>
  <c r="T218" i="25"/>
  <c r="P188" i="25"/>
  <c r="O188" i="25"/>
  <c r="T188" i="25"/>
  <c r="N100" i="24"/>
  <c r="U100" i="24"/>
  <c r="N39" i="24"/>
  <c r="U39" i="24"/>
  <c r="J251" i="24"/>
  <c r="O251" i="24"/>
  <c r="BZ251" i="24" s="1"/>
  <c r="J158" i="24"/>
  <c r="O158" i="24"/>
  <c r="BZ158" i="24" s="1"/>
  <c r="O96" i="24"/>
  <c r="BZ96" i="24" s="1"/>
  <c r="J96" i="24"/>
  <c r="P225" i="25"/>
  <c r="O225" i="25"/>
  <c r="T225" i="25"/>
  <c r="Q156" i="24"/>
  <c r="P156" i="24"/>
  <c r="P66" i="25"/>
  <c r="O66" i="25"/>
  <c r="Q105" i="24"/>
  <c r="R105" i="24" s="1"/>
  <c r="P105" i="24"/>
  <c r="J290" i="24"/>
  <c r="W290" i="24" s="1"/>
  <c r="O290" i="24"/>
  <c r="BZ290" i="24" s="1"/>
  <c r="Q293" i="24"/>
  <c r="P293" i="24"/>
  <c r="J234" i="24"/>
  <c r="W234" i="24" s="1"/>
  <c r="O234" i="24"/>
  <c r="BZ234" i="24" s="1"/>
  <c r="O205" i="24"/>
  <c r="BZ205" i="24" s="1"/>
  <c r="J205" i="24"/>
  <c r="W205" i="24" s="1"/>
  <c r="O179" i="24"/>
  <c r="BZ179" i="24" s="1"/>
  <c r="J179" i="24"/>
  <c r="U246" i="25"/>
  <c r="P302" i="25"/>
  <c r="O302" i="25"/>
  <c r="T302" i="25"/>
  <c r="P242" i="25"/>
  <c r="O242" i="25"/>
  <c r="T242" i="25"/>
  <c r="N209" i="24"/>
  <c r="U209" i="24"/>
  <c r="P253" i="25"/>
  <c r="O253" i="25"/>
  <c r="J248" i="24"/>
  <c r="W248" i="24" s="1"/>
  <c r="O248" i="24"/>
  <c r="BZ248" i="24" s="1"/>
  <c r="J79" i="24"/>
  <c r="O79" i="24"/>
  <c r="BZ79" i="24" s="1"/>
  <c r="O77" i="24"/>
  <c r="BZ77" i="24" s="1"/>
  <c r="J77" i="24"/>
  <c r="N288" i="24"/>
  <c r="O276" i="24"/>
  <c r="BZ276" i="24" s="1"/>
  <c r="J276" i="24"/>
  <c r="J123" i="24"/>
  <c r="O123" i="24"/>
  <c r="BZ123" i="24" s="1"/>
  <c r="P93" i="25"/>
  <c r="O93" i="25"/>
  <c r="T93" i="25"/>
  <c r="P116" i="25"/>
  <c r="O116" i="25"/>
  <c r="T116" i="25"/>
  <c r="P65" i="25"/>
  <c r="O65" i="25"/>
  <c r="J30" i="24"/>
  <c r="W30" i="24" s="1"/>
  <c r="O30" i="24"/>
  <c r="BZ30" i="24" s="1"/>
  <c r="J124" i="24"/>
  <c r="O124" i="24"/>
  <c r="BZ124" i="24" s="1"/>
  <c r="P72" i="25"/>
  <c r="O72" i="25"/>
  <c r="T72" i="25"/>
  <c r="O52" i="24"/>
  <c r="BZ52" i="24" s="1"/>
  <c r="J52" i="24"/>
  <c r="W52" i="24" s="1"/>
  <c r="J61" i="24"/>
  <c r="W61" i="24" s="1"/>
  <c r="O61" i="24"/>
  <c r="BZ61" i="24" s="1"/>
  <c r="V199" i="24"/>
  <c r="O26" i="24"/>
  <c r="BZ26" i="24" s="1"/>
  <c r="J26" i="24"/>
  <c r="J183" i="24"/>
  <c r="O183" i="24"/>
  <c r="BZ183" i="24" s="1"/>
  <c r="AP154" i="24"/>
  <c r="J97" i="24"/>
  <c r="W97" i="24" s="1"/>
  <c r="O97" i="24"/>
  <c r="BZ97" i="24" s="1"/>
  <c r="W190" i="24"/>
  <c r="V190" i="24"/>
  <c r="N54" i="24"/>
  <c r="U54" i="24"/>
  <c r="P125" i="24"/>
  <c r="Q125" i="24"/>
  <c r="Q112" i="24"/>
  <c r="P112" i="24"/>
  <c r="Q299" i="24"/>
  <c r="P299" i="24"/>
  <c r="P54" i="25"/>
  <c r="O54" i="25"/>
  <c r="J196" i="24"/>
  <c r="O196" i="24"/>
  <c r="BZ196" i="24" s="1"/>
  <c r="V61" i="24"/>
  <c r="O237" i="24"/>
  <c r="BZ237" i="24" s="1"/>
  <c r="J237" i="24"/>
  <c r="W237" i="24" s="1"/>
  <c r="J238" i="24"/>
  <c r="W238" i="24" s="1"/>
  <c r="O238" i="24"/>
  <c r="BZ238" i="24" s="1"/>
  <c r="Q102" i="24"/>
  <c r="R102" i="24" s="1"/>
  <c r="P102" i="24"/>
  <c r="FJ110" i="25"/>
  <c r="FJ209" i="25"/>
  <c r="FI207" i="25"/>
  <c r="FI176" i="25"/>
  <c r="FJ164" i="25"/>
  <c r="FI113" i="25"/>
  <c r="FI204" i="25"/>
  <c r="FJ129" i="25"/>
  <c r="FI151" i="25"/>
  <c r="FI126" i="25"/>
  <c r="FI187" i="25"/>
  <c r="FI137" i="25"/>
  <c r="FJ189" i="25"/>
  <c r="FJ170" i="25"/>
  <c r="FI142" i="25"/>
  <c r="FJ158" i="25"/>
  <c r="FJ172" i="25"/>
  <c r="FI135" i="25"/>
  <c r="FI183" i="25"/>
  <c r="FJ123" i="25"/>
  <c r="FI168" i="25"/>
  <c r="FI157" i="25"/>
  <c r="FJ182" i="25"/>
  <c r="FI110" i="25"/>
  <c r="FJ141" i="25"/>
  <c r="F212" i="25"/>
  <c r="FI123" i="25"/>
  <c r="FI122" i="25"/>
  <c r="FI125" i="25"/>
  <c r="FJ190" i="25"/>
  <c r="FJ111" i="25"/>
  <c r="FJ148" i="25"/>
  <c r="FI166" i="25"/>
  <c r="FI201" i="25"/>
  <c r="FJ208" i="25"/>
  <c r="FJ203" i="25"/>
  <c r="FI190" i="25"/>
  <c r="FI174" i="25"/>
  <c r="FJ120" i="25"/>
  <c r="FI194" i="25"/>
  <c r="FJ142" i="25"/>
  <c r="FJ124" i="25"/>
  <c r="FI170" i="25"/>
  <c r="FJ121" i="25"/>
  <c r="FJ185" i="25"/>
  <c r="FJ153" i="25"/>
  <c r="FI156" i="25"/>
  <c r="FI143" i="25"/>
  <c r="FI121" i="25"/>
  <c r="FI119" i="25"/>
  <c r="FJ174" i="25"/>
  <c r="FI193" i="25"/>
  <c r="FI162" i="25"/>
  <c r="FI165" i="25"/>
  <c r="FJ161" i="25"/>
  <c r="FJ160" i="25"/>
  <c r="FJ191" i="25"/>
  <c r="FJ193" i="25"/>
  <c r="FJ207" i="25"/>
  <c r="FJ152" i="25"/>
  <c r="FJ177" i="25"/>
  <c r="FJ184" i="25"/>
  <c r="FI173" i="25"/>
  <c r="FI148" i="25"/>
  <c r="FI127" i="25"/>
  <c r="FI158" i="25"/>
  <c r="FI208" i="25"/>
  <c r="FJ130" i="25"/>
  <c r="FI167" i="25"/>
  <c r="FJ187" i="25"/>
  <c r="FI199" i="25"/>
  <c r="FJ195" i="25"/>
  <c r="FI180" i="25"/>
  <c r="FJ150" i="25"/>
  <c r="FJ127" i="25"/>
  <c r="FI131" i="25"/>
  <c r="FJ134" i="25"/>
  <c r="G212" i="25"/>
  <c r="FJ112" i="25"/>
  <c r="FI154" i="25"/>
  <c r="FI205" i="25"/>
  <c r="FJ167" i="25"/>
  <c r="FI140" i="25"/>
  <c r="FJ176" i="25"/>
  <c r="FI178" i="25"/>
  <c r="FI163" i="25"/>
  <c r="FJ114" i="25"/>
  <c r="FJ145" i="25"/>
  <c r="FI195" i="25"/>
  <c r="FJ186" i="25"/>
  <c r="FI197" i="25"/>
  <c r="FI116" i="25"/>
  <c r="FJ205" i="25"/>
  <c r="FI179" i="25"/>
  <c r="FI182" i="25"/>
  <c r="FI169" i="25"/>
  <c r="FI111" i="25"/>
  <c r="FJ157" i="25"/>
  <c r="FJ149" i="25"/>
  <c r="FJ175" i="25"/>
  <c r="FI206" i="25"/>
  <c r="FI115" i="25"/>
  <c r="FI185" i="25"/>
  <c r="FJ143" i="25"/>
  <c r="FI172" i="25"/>
  <c r="FI192" i="25"/>
  <c r="FJ173" i="25"/>
  <c r="FJ171" i="25"/>
  <c r="FJ116" i="25"/>
  <c r="FI129" i="25"/>
  <c r="FJ180" i="25"/>
  <c r="FJ163" i="25"/>
  <c r="FI198" i="25"/>
  <c r="FJ118" i="25"/>
  <c r="FI112" i="25"/>
  <c r="FI133" i="25"/>
  <c r="FJ137" i="25"/>
  <c r="FI124" i="25"/>
  <c r="FJ168" i="25"/>
  <c r="FJ178" i="25"/>
  <c r="FI164" i="25"/>
  <c r="FI175" i="25"/>
  <c r="FI186" i="25"/>
  <c r="FJ159" i="25"/>
  <c r="FI150" i="25"/>
  <c r="FI144" i="25"/>
  <c r="FJ169" i="25"/>
  <c r="FJ166" i="25"/>
  <c r="FJ181" i="25"/>
  <c r="FJ126" i="25"/>
  <c r="FJ131" i="25"/>
  <c r="FJ201" i="25"/>
  <c r="FJ128" i="25"/>
  <c r="FJ144" i="25"/>
  <c r="FI146" i="25"/>
  <c r="FI177" i="25"/>
  <c r="FI149" i="25"/>
  <c r="FJ200" i="25"/>
  <c r="FI196" i="25"/>
  <c r="FJ202" i="25"/>
  <c r="FJ198" i="25"/>
  <c r="FJ136" i="25"/>
  <c r="FI139" i="25"/>
  <c r="FI202" i="25"/>
  <c r="FJ155" i="25"/>
  <c r="FI188" i="25"/>
  <c r="FJ125" i="25"/>
  <c r="FJ117" i="25"/>
  <c r="FJ156" i="25"/>
  <c r="FJ132" i="25"/>
  <c r="FJ188" i="25"/>
  <c r="FI209" i="25"/>
  <c r="FJ140" i="25"/>
  <c r="FJ135" i="25"/>
  <c r="FI117" i="25"/>
  <c r="FJ179" i="25"/>
  <c r="FJ154" i="25"/>
  <c r="FJ194" i="25"/>
  <c r="FJ119" i="25"/>
  <c r="FJ133" i="25"/>
  <c r="FI210" i="25"/>
  <c r="FI134" i="25"/>
  <c r="FI153" i="25"/>
  <c r="FJ197" i="25"/>
  <c r="FI152" i="25"/>
  <c r="FI160" i="25"/>
  <c r="FJ204" i="25"/>
  <c r="FJ162" i="25"/>
  <c r="FI118" i="25"/>
  <c r="FI189" i="25"/>
  <c r="FI128" i="25"/>
  <c r="FI155" i="25"/>
  <c r="FI161" i="25"/>
  <c r="FJ115" i="25"/>
  <c r="FI159" i="25"/>
  <c r="FJ138" i="25"/>
  <c r="FJ183" i="25"/>
  <c r="FJ199" i="25"/>
  <c r="FJ192" i="25"/>
  <c r="FJ196" i="25"/>
  <c r="FI141" i="25"/>
  <c r="FI171" i="25"/>
  <c r="FI181" i="25"/>
  <c r="FJ147" i="25"/>
  <c r="FI114" i="25"/>
  <c r="FJ165" i="25"/>
  <c r="FI120" i="25"/>
  <c r="FI184" i="25"/>
  <c r="FJ151" i="25"/>
  <c r="FI136" i="25"/>
  <c r="FJ206" i="25"/>
  <c r="FI130" i="25"/>
  <c r="FJ210" i="25"/>
  <c r="FJ146" i="25"/>
  <c r="FI200" i="25"/>
  <c r="FI138" i="25"/>
  <c r="FJ139" i="25"/>
  <c r="FI203" i="25"/>
  <c r="FI191" i="25"/>
  <c r="FJ122" i="25"/>
  <c r="FI145" i="25"/>
  <c r="FI132" i="25"/>
  <c r="FJ113" i="25"/>
  <c r="FI147" i="25"/>
  <c r="CF128" i="25"/>
  <c r="CE136" i="25"/>
  <c r="CF126" i="25"/>
  <c r="CF119" i="25"/>
  <c r="CF123" i="25"/>
  <c r="CF150" i="25"/>
  <c r="CE119" i="25"/>
  <c r="CE140" i="25"/>
  <c r="CF158" i="25"/>
  <c r="CE167" i="25"/>
  <c r="CE150" i="25"/>
  <c r="CF157" i="25"/>
  <c r="CE128" i="25"/>
  <c r="CE124" i="25"/>
  <c r="CF178" i="25"/>
  <c r="CE146" i="25"/>
  <c r="CF127" i="25"/>
  <c r="CF140" i="25"/>
  <c r="CE123" i="25"/>
  <c r="CE158" i="25"/>
  <c r="CF188" i="25"/>
  <c r="CE157" i="25"/>
  <c r="CF136" i="25"/>
  <c r="CE155" i="25"/>
  <c r="CE178" i="25"/>
  <c r="CF131" i="25"/>
  <c r="CE197" i="25"/>
  <c r="CE188" i="25"/>
  <c r="CE139" i="25"/>
  <c r="CF146" i="25"/>
  <c r="CE127" i="25"/>
  <c r="CE131" i="25"/>
  <c r="CE144" i="25"/>
  <c r="CF148" i="25"/>
  <c r="CE143" i="25"/>
  <c r="CF139" i="25"/>
  <c r="CF155" i="25"/>
  <c r="CF124" i="25"/>
  <c r="CE187" i="25"/>
  <c r="CF144" i="25"/>
  <c r="CF129" i="25"/>
  <c r="CF145" i="25"/>
  <c r="CF120" i="25"/>
  <c r="CE137" i="25"/>
  <c r="CF143" i="25"/>
  <c r="CE126" i="25"/>
  <c r="CF187" i="25"/>
  <c r="CE148" i="25"/>
  <c r="CF167" i="25"/>
  <c r="CF197" i="25"/>
  <c r="CE129" i="25"/>
  <c r="CE145" i="25"/>
  <c r="CE120" i="25"/>
  <c r="CF137" i="25"/>
  <c r="CF195" i="25"/>
  <c r="CE195" i="25"/>
  <c r="AO34" i="25"/>
  <c r="P52" i="25"/>
  <c r="O52" i="25"/>
  <c r="U308" i="25"/>
  <c r="BZ62" i="25"/>
  <c r="U80" i="25"/>
  <c r="AP35" i="24"/>
  <c r="P200" i="25"/>
  <c r="O200" i="25"/>
  <c r="T200" i="25"/>
  <c r="BZ177" i="25"/>
  <c r="V21" i="24"/>
  <c r="W21" i="24"/>
  <c r="O177" i="24"/>
  <c r="BZ177" i="24" s="1"/>
  <c r="J177" i="24"/>
  <c r="P235" i="25"/>
  <c r="O235" i="25"/>
  <c r="P222" i="25"/>
  <c r="O222" i="25"/>
  <c r="T222" i="25"/>
  <c r="P310" i="25"/>
  <c r="O310" i="25"/>
  <c r="P166" i="24"/>
  <c r="Q166" i="24"/>
  <c r="U28" i="24"/>
  <c r="P133" i="25"/>
  <c r="O133" i="25"/>
  <c r="P98" i="25"/>
  <c r="O98" i="25"/>
  <c r="T98" i="25"/>
  <c r="P80" i="25"/>
  <c r="O80" i="25"/>
  <c r="O246" i="24"/>
  <c r="BZ246" i="24" s="1"/>
  <c r="J246" i="24"/>
  <c r="P118" i="24"/>
  <c r="Q118" i="24"/>
  <c r="P315" i="25"/>
  <c r="O315" i="25"/>
  <c r="T315" i="25"/>
  <c r="Q34" i="24"/>
  <c r="R34" i="24" s="1"/>
  <c r="P34" i="24"/>
  <c r="Q15" i="24"/>
  <c r="R15" i="24" s="1"/>
  <c r="P15" i="24"/>
  <c r="O85" i="24"/>
  <c r="BZ85" i="24" s="1"/>
  <c r="J85" i="24"/>
  <c r="J135" i="24"/>
  <c r="O135" i="24"/>
  <c r="BZ135" i="24" s="1"/>
  <c r="S204" i="25"/>
  <c r="K204" i="25" s="1"/>
  <c r="V204" i="25" s="1"/>
  <c r="R204" i="25"/>
  <c r="Q204" i="25"/>
  <c r="U174" i="25"/>
  <c r="S275" i="25"/>
  <c r="K275" i="25" s="1"/>
  <c r="V275" i="25" s="1"/>
  <c r="R275" i="25"/>
  <c r="Q275" i="25"/>
  <c r="J208" i="24"/>
  <c r="O208" i="24"/>
  <c r="BZ208" i="24" s="1"/>
  <c r="P74" i="24"/>
  <c r="Q74" i="24"/>
  <c r="R74" i="24" s="1"/>
  <c r="R14" i="25"/>
  <c r="S14" i="25"/>
  <c r="K14" i="25" s="1"/>
  <c r="V14" i="25" s="1"/>
  <c r="Q14" i="25"/>
  <c r="Q16" i="24"/>
  <c r="R16" i="24" s="1"/>
  <c r="P16" i="24"/>
  <c r="Q138" i="24"/>
  <c r="P138" i="24"/>
  <c r="V180" i="24"/>
  <c r="U158" i="25"/>
  <c r="V62" i="24"/>
  <c r="P185" i="25"/>
  <c r="O185" i="25"/>
  <c r="U87" i="25"/>
  <c r="U192" i="24"/>
  <c r="P239" i="25"/>
  <c r="O239" i="25"/>
  <c r="T239" i="25"/>
  <c r="N46" i="24"/>
  <c r="U46" i="24"/>
  <c r="S248" i="25"/>
  <c r="K248" i="25" s="1"/>
  <c r="V248" i="25" s="1"/>
  <c r="R248" i="25"/>
  <c r="Q248" i="25"/>
  <c r="V272" i="24"/>
  <c r="O168" i="24"/>
  <c r="BZ168" i="24" s="1"/>
  <c r="J168" i="24"/>
  <c r="O186" i="24"/>
  <c r="BZ186" i="24" s="1"/>
  <c r="J186" i="24"/>
  <c r="Q310" i="24"/>
  <c r="P310" i="24"/>
  <c r="U306" i="25"/>
  <c r="U73" i="24"/>
  <c r="Q142" i="24"/>
  <c r="P142" i="24"/>
  <c r="V193" i="24"/>
  <c r="U243" i="25"/>
  <c r="U89" i="25"/>
  <c r="Q130" i="24"/>
  <c r="P130" i="24"/>
  <c r="N94" i="24"/>
  <c r="U94" i="24"/>
  <c r="P168" i="25"/>
  <c r="O168" i="25"/>
  <c r="V79" i="24"/>
  <c r="P97" i="24"/>
  <c r="Q97" i="24"/>
  <c r="R97" i="24" s="1"/>
  <c r="P165" i="24"/>
  <c r="Q165" i="24"/>
  <c r="N8" i="24"/>
  <c r="U8" i="24"/>
  <c r="P121" i="25"/>
  <c r="O121" i="25"/>
  <c r="P242" i="24"/>
  <c r="Q242" i="24"/>
  <c r="P268" i="25"/>
  <c r="O268" i="25"/>
  <c r="T268" i="25"/>
  <c r="Q51" i="24"/>
  <c r="R51" i="24" s="1"/>
  <c r="P51" i="24"/>
  <c r="V27" i="24"/>
  <c r="U300" i="25"/>
  <c r="P289" i="25"/>
  <c r="O289" i="25"/>
  <c r="U199" i="25"/>
  <c r="N64" i="24"/>
  <c r="U64" i="24"/>
  <c r="J126" i="24"/>
  <c r="O126" i="24"/>
  <c r="BZ126" i="24" s="1"/>
  <c r="P86" i="25"/>
  <c r="O86" i="25"/>
  <c r="T86" i="25"/>
  <c r="P285" i="25"/>
  <c r="O285" i="25"/>
  <c r="V121" i="24"/>
  <c r="P136" i="24"/>
  <c r="Q136" i="24"/>
  <c r="P78" i="25"/>
  <c r="O78" i="25"/>
  <c r="T78" i="25"/>
  <c r="P272" i="25"/>
  <c r="O272" i="25"/>
  <c r="T272" i="25"/>
  <c r="U128" i="25"/>
  <c r="U191" i="25"/>
  <c r="U19" i="25"/>
  <c r="J260" i="24"/>
  <c r="O260" i="24"/>
  <c r="BZ260" i="24" s="1"/>
  <c r="O32" i="24"/>
  <c r="BZ32" i="24" s="1"/>
  <c r="J32" i="24"/>
  <c r="W32" i="24" s="1"/>
  <c r="J78" i="24"/>
  <c r="O78" i="24"/>
  <c r="BZ78" i="24" s="1"/>
  <c r="U314" i="25"/>
  <c r="U267" i="25"/>
  <c r="N57" i="24"/>
  <c r="U57" i="24"/>
  <c r="P286" i="25"/>
  <c r="O286" i="25"/>
  <c r="T286" i="25"/>
  <c r="O207" i="25"/>
  <c r="P207" i="25"/>
  <c r="T207" i="25"/>
  <c r="AE55" i="24"/>
  <c r="AI55" i="24"/>
  <c r="X55" i="24"/>
  <c r="AA55" i="24" s="1"/>
  <c r="AB55" i="24" s="1"/>
  <c r="AC55" i="24" s="1"/>
  <c r="U136" i="24"/>
  <c r="U276" i="25"/>
  <c r="P23" i="25"/>
  <c r="O23" i="25"/>
  <c r="T23" i="25"/>
  <c r="J266" i="24"/>
  <c r="O266" i="24"/>
  <c r="BZ266" i="24" s="1"/>
  <c r="N63" i="24"/>
  <c r="U63" i="24"/>
  <c r="O100" i="24"/>
  <c r="BZ100" i="24" s="1"/>
  <c r="J100" i="24"/>
  <c r="J259" i="24"/>
  <c r="O259" i="24"/>
  <c r="BZ259" i="24" s="1"/>
  <c r="P194" i="25"/>
  <c r="O194" i="25"/>
  <c r="T194" i="25"/>
  <c r="N139" i="24"/>
  <c r="U139" i="24"/>
  <c r="P47" i="25"/>
  <c r="O47" i="25"/>
  <c r="P234" i="25"/>
  <c r="O234" i="25"/>
  <c r="O105" i="24"/>
  <c r="BZ105" i="24" s="1"/>
  <c r="J105" i="24"/>
  <c r="AE45" i="24"/>
  <c r="X45" i="24"/>
  <c r="AA45" i="24" s="1"/>
  <c r="AB45" i="24" s="1"/>
  <c r="AC45" i="24" s="1"/>
  <c r="AI45" i="24"/>
  <c r="O293" i="24"/>
  <c r="BZ293" i="24" s="1"/>
  <c r="J293" i="24"/>
  <c r="P311" i="24"/>
  <c r="Q311" i="24"/>
  <c r="R170" i="25"/>
  <c r="S170" i="25"/>
  <c r="K170" i="25" s="1"/>
  <c r="V170" i="25" s="1"/>
  <c r="Q170" i="25"/>
  <c r="U198" i="25"/>
  <c r="P53" i="25"/>
  <c r="O53" i="25"/>
  <c r="P184" i="25"/>
  <c r="O184" i="25"/>
  <c r="Q135" i="24"/>
  <c r="P135" i="24"/>
  <c r="V219" i="24"/>
  <c r="P230" i="24"/>
  <c r="Q230" i="24"/>
  <c r="U262" i="25"/>
  <c r="V127" i="24"/>
  <c r="J303" i="24"/>
  <c r="W303" i="24" s="1"/>
  <c r="O303" i="24"/>
  <c r="BZ303" i="24" s="1"/>
  <c r="U57" i="25"/>
  <c r="P15" i="25"/>
  <c r="O15" i="25"/>
  <c r="O157" i="24"/>
  <c r="BZ157" i="24" s="1"/>
  <c r="J157" i="24"/>
  <c r="J286" i="24"/>
  <c r="O286" i="24"/>
  <c r="BZ286" i="24" s="1"/>
  <c r="O116" i="24"/>
  <c r="BZ116" i="24" s="1"/>
  <c r="J116" i="24"/>
  <c r="J223" i="24"/>
  <c r="W223" i="24" s="1"/>
  <c r="O223" i="24"/>
  <c r="BZ223" i="24" s="1"/>
  <c r="P264" i="25"/>
  <c r="O264" i="25"/>
  <c r="T264" i="25"/>
  <c r="P260" i="25"/>
  <c r="O260" i="25"/>
  <c r="T260" i="25"/>
  <c r="N113" i="24"/>
  <c r="U113" i="24"/>
  <c r="BZ255" i="25"/>
  <c r="V238" i="24"/>
  <c r="U31" i="25"/>
  <c r="N38" i="24"/>
  <c r="U38" i="24"/>
  <c r="J167" i="24"/>
  <c r="O167" i="24"/>
  <c r="BZ167" i="24" s="1"/>
  <c r="Q267" i="24"/>
  <c r="P267" i="24"/>
  <c r="O54" i="24"/>
  <c r="BZ54" i="24" s="1"/>
  <c r="J54" i="24"/>
  <c r="J268" i="24"/>
  <c r="W268" i="24" s="1"/>
  <c r="O268" i="24"/>
  <c r="BZ268" i="24" s="1"/>
  <c r="U35" i="25"/>
  <c r="Q69" i="24"/>
  <c r="R69" i="24" s="1"/>
  <c r="P69" i="24"/>
  <c r="P235" i="24"/>
  <c r="Q235" i="24"/>
  <c r="P69" i="25"/>
  <c r="O69" i="25"/>
  <c r="P153" i="25"/>
  <c r="O153" i="25"/>
  <c r="P85" i="25"/>
  <c r="O85" i="25"/>
  <c r="R198" i="25"/>
  <c r="S198" i="25"/>
  <c r="K198" i="25" s="1"/>
  <c r="Q198" i="25"/>
  <c r="O198" i="24"/>
  <c r="BZ198" i="24" s="1"/>
  <c r="J198" i="24"/>
  <c r="N239" i="24"/>
  <c r="O89" i="24"/>
  <c r="BZ89" i="24" s="1"/>
  <c r="J89" i="24"/>
  <c r="N262" i="24"/>
  <c r="Q217" i="24"/>
  <c r="P217" i="24"/>
  <c r="N277" i="24"/>
  <c r="P176" i="24"/>
  <c r="Q176" i="24"/>
  <c r="AP291" i="24"/>
  <c r="P220" i="25"/>
  <c r="O220" i="25"/>
  <c r="T220" i="25"/>
  <c r="P244" i="25"/>
  <c r="O244" i="25"/>
  <c r="P100" i="25"/>
  <c r="O100" i="25"/>
  <c r="T100" i="25"/>
  <c r="O166" i="24"/>
  <c r="BZ166" i="24" s="1"/>
  <c r="J166" i="24"/>
  <c r="P68" i="25"/>
  <c r="O68" i="25"/>
  <c r="T68" i="25"/>
  <c r="J184" i="24"/>
  <c r="O184" i="24"/>
  <c r="BZ184" i="24" s="1"/>
  <c r="P111" i="25"/>
  <c r="O111" i="25"/>
  <c r="O93" i="24"/>
  <c r="BZ93" i="24" s="1"/>
  <c r="J93" i="24"/>
  <c r="U119" i="25"/>
  <c r="U149" i="25"/>
  <c r="W22" i="24"/>
  <c r="V22" i="24"/>
  <c r="P99" i="24"/>
  <c r="Q99" i="24"/>
  <c r="R99" i="24" s="1"/>
  <c r="P302" i="24"/>
  <c r="Q302" i="24"/>
  <c r="N114" i="24"/>
  <c r="U114" i="24"/>
  <c r="Q81" i="24"/>
  <c r="R81" i="24" s="1"/>
  <c r="P81" i="24"/>
  <c r="O254" i="24"/>
  <c r="BZ254" i="24" s="1"/>
  <c r="J254" i="24"/>
  <c r="P61" i="25"/>
  <c r="O61" i="25"/>
  <c r="AO131" i="25"/>
  <c r="P178" i="24"/>
  <c r="Q178" i="24"/>
  <c r="J74" i="24"/>
  <c r="O74" i="24"/>
  <c r="BZ74" i="24" s="1"/>
  <c r="V6" i="24"/>
  <c r="P180" i="24"/>
  <c r="Q180" i="24"/>
  <c r="R158" i="25"/>
  <c r="S158" i="25"/>
  <c r="K158" i="25" s="1"/>
  <c r="V158" i="25" s="1"/>
  <c r="Q158" i="25"/>
  <c r="V287" i="24"/>
  <c r="U154" i="24"/>
  <c r="S87" i="25"/>
  <c r="K87" i="25" s="1"/>
  <c r="V87" i="25" s="1"/>
  <c r="R87" i="25"/>
  <c r="Q87" i="25"/>
  <c r="S174" i="25"/>
  <c r="K174" i="25" s="1"/>
  <c r="R174" i="25"/>
  <c r="Q174" i="25"/>
  <c r="J46" i="24"/>
  <c r="O46" i="24"/>
  <c r="BZ46" i="24" s="1"/>
  <c r="W101" i="24"/>
  <c r="V101" i="24"/>
  <c r="P226" i="25"/>
  <c r="O226" i="25"/>
  <c r="U92" i="24"/>
  <c r="V120" i="24"/>
  <c r="R306" i="25"/>
  <c r="S306" i="25"/>
  <c r="K306" i="25" s="1"/>
  <c r="Q306" i="25"/>
  <c r="P202" i="25"/>
  <c r="O202" i="25"/>
  <c r="P70" i="25"/>
  <c r="O70" i="25"/>
  <c r="U32" i="25"/>
  <c r="P193" i="24"/>
  <c r="Q193" i="24"/>
  <c r="R243" i="25"/>
  <c r="S243" i="25"/>
  <c r="K243" i="25" s="1"/>
  <c r="V243" i="25" s="1"/>
  <c r="Q243" i="25"/>
  <c r="R89" i="25"/>
  <c r="S89" i="25"/>
  <c r="K89" i="25" s="1"/>
  <c r="V89" i="25" s="1"/>
  <c r="Q89" i="25"/>
  <c r="V116" i="24"/>
  <c r="O160" i="25"/>
  <c r="P160" i="25"/>
  <c r="T160" i="25"/>
  <c r="Q283" i="24"/>
  <c r="P283" i="24"/>
  <c r="J94" i="24"/>
  <c r="O94" i="24"/>
  <c r="BZ94" i="24" s="1"/>
  <c r="Q37" i="24"/>
  <c r="R37" i="24" s="1"/>
  <c r="P37" i="24"/>
  <c r="Q281" i="24"/>
  <c r="P281" i="24"/>
  <c r="Q79" i="24"/>
  <c r="R79" i="24" s="1"/>
  <c r="P79" i="24"/>
  <c r="J111" i="24"/>
  <c r="O111" i="24"/>
  <c r="BZ111" i="24" s="1"/>
  <c r="P9" i="25"/>
  <c r="O9" i="25"/>
  <c r="J165" i="24"/>
  <c r="O165" i="24"/>
  <c r="BZ165" i="24" s="1"/>
  <c r="P295" i="25"/>
  <c r="O295" i="25"/>
  <c r="J229" i="24"/>
  <c r="O229" i="24"/>
  <c r="BZ229" i="24" s="1"/>
  <c r="U253" i="25"/>
  <c r="N174" i="24"/>
  <c r="U174" i="24"/>
  <c r="U170" i="25"/>
  <c r="T295" i="25"/>
  <c r="AE142" i="24"/>
  <c r="AI142" i="24"/>
  <c r="X142" i="24"/>
  <c r="AA142" i="24" s="1"/>
  <c r="AB142" i="24" s="1"/>
  <c r="AC142" i="24" s="1"/>
  <c r="V47" i="24"/>
  <c r="U50" i="25"/>
  <c r="U161" i="25"/>
  <c r="P171" i="25"/>
  <c r="O171" i="25"/>
  <c r="O164" i="24"/>
  <c r="BZ164" i="24" s="1"/>
  <c r="J164" i="24"/>
  <c r="P122" i="25"/>
  <c r="O122" i="25"/>
  <c r="T122" i="25"/>
  <c r="J63" i="24"/>
  <c r="O63" i="24"/>
  <c r="BZ63" i="24" s="1"/>
  <c r="J39" i="24"/>
  <c r="O39" i="24"/>
  <c r="BZ39" i="24" s="1"/>
  <c r="P269" i="25"/>
  <c r="O269" i="25"/>
  <c r="P187" i="25"/>
  <c r="O187" i="25"/>
  <c r="P173" i="24"/>
  <c r="Q173" i="24"/>
  <c r="J121" i="24"/>
  <c r="W121" i="24" s="1"/>
  <c r="O121" i="24"/>
  <c r="BZ121" i="24" s="1"/>
  <c r="P73" i="25"/>
  <c r="O73" i="25"/>
  <c r="T73" i="25"/>
  <c r="J47" i="24"/>
  <c r="O47" i="24"/>
  <c r="BZ47" i="24" s="1"/>
  <c r="N95" i="24"/>
  <c r="U95" i="24"/>
  <c r="J51" i="24"/>
  <c r="O51" i="24"/>
  <c r="BZ51" i="24" s="1"/>
  <c r="AE101" i="24"/>
  <c r="X101" i="24"/>
  <c r="AA101" i="24" s="1"/>
  <c r="AB101" i="24" s="1"/>
  <c r="AC101" i="24" s="1"/>
  <c r="AI101" i="24"/>
  <c r="N122" i="24"/>
  <c r="U122" i="24"/>
  <c r="P304" i="24"/>
  <c r="Q304" i="24"/>
  <c r="Q13" i="24"/>
  <c r="R13" i="24" s="1"/>
  <c r="P13" i="24"/>
  <c r="P221" i="25"/>
  <c r="O221" i="25"/>
  <c r="T221" i="25"/>
  <c r="P278" i="25"/>
  <c r="O278" i="25"/>
  <c r="T278" i="25"/>
  <c r="J209" i="24"/>
  <c r="O209" i="24"/>
  <c r="BZ209" i="24" s="1"/>
  <c r="O288" i="24"/>
  <c r="BZ288" i="24" s="1"/>
  <c r="J288" i="24"/>
  <c r="O92" i="24"/>
  <c r="BZ92" i="24" s="1"/>
  <c r="J92" i="24"/>
  <c r="O295" i="24"/>
  <c r="BZ295" i="24" s="1"/>
  <c r="J295" i="24"/>
  <c r="N145" i="24"/>
  <c r="U145" i="24"/>
  <c r="N308" i="24"/>
  <c r="N153" i="24"/>
  <c r="U153" i="24"/>
  <c r="N29" i="24"/>
  <c r="U29" i="24"/>
  <c r="P64" i="25"/>
  <c r="O64" i="25"/>
  <c r="J113" i="24"/>
  <c r="O113" i="24"/>
  <c r="BZ113" i="24" s="1"/>
  <c r="AP151" i="24"/>
  <c r="U124" i="25"/>
  <c r="J180" i="24"/>
  <c r="O180" i="24"/>
  <c r="BZ180" i="24" s="1"/>
  <c r="N71" i="24"/>
  <c r="U71" i="24"/>
  <c r="U197" i="24"/>
  <c r="O306" i="24"/>
  <c r="BZ306" i="24" s="1"/>
  <c r="J306" i="24"/>
  <c r="W306" i="24" s="1"/>
  <c r="O16" i="24"/>
  <c r="BZ16" i="24" s="1"/>
  <c r="J16" i="24"/>
  <c r="W16" i="24" s="1"/>
  <c r="U163" i="25"/>
  <c r="N146" i="24"/>
  <c r="U146" i="24"/>
  <c r="P203" i="25"/>
  <c r="O203" i="25"/>
  <c r="T203" i="25"/>
  <c r="J125" i="24"/>
  <c r="O125" i="24"/>
  <c r="BZ125" i="24" s="1"/>
  <c r="AE264" i="24"/>
  <c r="AI264" i="24"/>
  <c r="X264" i="24"/>
  <c r="AA264" i="24" s="1"/>
  <c r="AB264" i="24" s="1"/>
  <c r="AC264" i="24" s="1"/>
  <c r="AE236" i="24"/>
  <c r="AI236" i="24"/>
  <c r="X236" i="24"/>
  <c r="AA236" i="24" s="1"/>
  <c r="AB236" i="24" s="1"/>
  <c r="AC236" i="24" s="1"/>
  <c r="P252" i="25"/>
  <c r="O252" i="25"/>
  <c r="P63" i="25"/>
  <c r="O63" i="25"/>
  <c r="O270" i="24"/>
  <c r="BZ270" i="24" s="1"/>
  <c r="J270" i="24"/>
  <c r="W270" i="24" s="1"/>
  <c r="P65" i="24"/>
  <c r="Q65" i="24"/>
  <c r="R65" i="24" s="1"/>
  <c r="J69" i="24"/>
  <c r="O69" i="24"/>
  <c r="BZ69" i="24" s="1"/>
  <c r="O65" i="24"/>
  <c r="BZ65" i="24" s="1"/>
  <c r="J65" i="24"/>
  <c r="P146" i="25"/>
  <c r="O146" i="25"/>
  <c r="O112" i="24"/>
  <c r="BZ112" i="24" s="1"/>
  <c r="J112" i="24"/>
  <c r="O154" i="24"/>
  <c r="BZ154" i="24" s="1"/>
  <c r="J154" i="24"/>
  <c r="P73" i="24"/>
  <c r="Q73" i="24"/>
  <c r="R73" i="24" s="1"/>
  <c r="J102" i="24"/>
  <c r="O102" i="24"/>
  <c r="BZ102" i="24" s="1"/>
  <c r="O145" i="25"/>
  <c r="P145" i="25"/>
  <c r="AD110" i="25"/>
  <c r="W110" i="25"/>
  <c r="Z110" i="25" s="1"/>
  <c r="AA110" i="25" s="1"/>
  <c r="AB110" i="25" s="1"/>
  <c r="AI110" i="25" s="1"/>
  <c r="AP60" i="24"/>
  <c r="O239" i="24"/>
  <c r="BZ239" i="24" s="1"/>
  <c r="J239" i="24"/>
  <c r="J80" i="24"/>
  <c r="O80" i="24"/>
  <c r="BZ80" i="24" s="1"/>
  <c r="U227" i="25"/>
  <c r="AE160" i="24"/>
  <c r="AI160" i="24"/>
  <c r="X160" i="24"/>
  <c r="AA160" i="24" s="1"/>
  <c r="AB160" i="24" s="1"/>
  <c r="AC160" i="24" s="1"/>
  <c r="O262" i="24"/>
  <c r="BZ262" i="24" s="1"/>
  <c r="J262" i="24"/>
  <c r="U36" i="25"/>
  <c r="AP73" i="24"/>
  <c r="O277" i="24"/>
  <c r="BZ277" i="24" s="1"/>
  <c r="J277" i="24"/>
  <c r="J176" i="24"/>
  <c r="O176" i="24"/>
  <c r="BZ176" i="24" s="1"/>
  <c r="P137" i="25"/>
  <c r="O137" i="25"/>
  <c r="O252" i="24"/>
  <c r="BZ252" i="24" s="1"/>
  <c r="J252" i="24"/>
  <c r="R293" i="25"/>
  <c r="S293" i="25"/>
  <c r="K293" i="25" s="1"/>
  <c r="Q293" i="25"/>
  <c r="N210" i="24"/>
  <c r="U210" i="24"/>
  <c r="U244" i="25"/>
  <c r="Q254" i="24"/>
  <c r="P254" i="24"/>
  <c r="V172" i="24"/>
  <c r="O139" i="24"/>
  <c r="BZ139" i="24" s="1"/>
  <c r="J139" i="24"/>
  <c r="J53" i="24"/>
  <c r="W53" i="24" s="1"/>
  <c r="O53" i="24"/>
  <c r="BZ53" i="24" s="1"/>
  <c r="U256" i="25"/>
  <c r="U24" i="25"/>
  <c r="O156" i="24"/>
  <c r="BZ156" i="24" s="1"/>
  <c r="J156" i="24"/>
  <c r="S296" i="25"/>
  <c r="K296" i="25" s="1"/>
  <c r="R296" i="25"/>
  <c r="Q296" i="25"/>
  <c r="O40" i="24"/>
  <c r="BZ40" i="24" s="1"/>
  <c r="J40" i="24"/>
  <c r="W40" i="24" s="1"/>
  <c r="AP92" i="24"/>
  <c r="O99" i="24"/>
  <c r="BZ99" i="24" s="1"/>
  <c r="J99" i="24"/>
  <c r="P157" i="25"/>
  <c r="O157" i="25"/>
  <c r="O122" i="24"/>
  <c r="BZ122" i="24" s="1"/>
  <c r="J122" i="24"/>
  <c r="P159" i="25"/>
  <c r="O159" i="25"/>
  <c r="T159" i="25"/>
  <c r="Q91" i="24"/>
  <c r="R91" i="24" s="1"/>
  <c r="P91" i="24"/>
  <c r="J201" i="24"/>
  <c r="O201" i="24"/>
  <c r="BZ201" i="24" s="1"/>
  <c r="O244" i="24"/>
  <c r="BZ244" i="24" s="1"/>
  <c r="J244" i="24"/>
  <c r="O23" i="24"/>
  <c r="BZ23" i="24" s="1"/>
  <c r="J23" i="24"/>
  <c r="P36" i="25"/>
  <c r="O36" i="25"/>
  <c r="J178" i="24"/>
  <c r="O178" i="24"/>
  <c r="BZ178" i="24" s="1"/>
  <c r="O136" i="24"/>
  <c r="BZ136" i="24" s="1"/>
  <c r="J136" i="24"/>
  <c r="J43" i="24"/>
  <c r="W43" i="24" s="1"/>
  <c r="O43" i="24"/>
  <c r="BZ43" i="24" s="1"/>
  <c r="O6" i="24"/>
  <c r="BZ6" i="24" s="1"/>
  <c r="J6" i="24"/>
  <c r="Q273" i="24"/>
  <c r="P273" i="24"/>
  <c r="J138" i="24"/>
  <c r="O138" i="24"/>
  <c r="BZ138" i="24" s="1"/>
  <c r="U21" i="25"/>
  <c r="P287" i="24"/>
  <c r="Q287" i="24"/>
  <c r="P101" i="24"/>
  <c r="Q101" i="24"/>
  <c r="R101" i="24" s="1"/>
  <c r="T226" i="25"/>
  <c r="U69" i="24"/>
  <c r="U51" i="24"/>
  <c r="Q202" i="24"/>
  <c r="P202" i="24"/>
  <c r="U273" i="25"/>
  <c r="P120" i="24"/>
  <c r="Q120" i="24"/>
  <c r="U65" i="24"/>
  <c r="V218" i="24"/>
  <c r="U173" i="25"/>
  <c r="P81" i="25"/>
  <c r="O81" i="25"/>
  <c r="T81" i="25"/>
  <c r="Q82" i="24"/>
  <c r="R82" i="24" s="1"/>
  <c r="P82" i="24"/>
  <c r="T202" i="25"/>
  <c r="Q250" i="24"/>
  <c r="P250" i="24"/>
  <c r="V248" i="24"/>
  <c r="S32" i="25"/>
  <c r="K32" i="25" s="1"/>
  <c r="V32" i="25" s="1"/>
  <c r="R32" i="25"/>
  <c r="Q32" i="25"/>
  <c r="U238" i="25"/>
  <c r="U206" i="25"/>
  <c r="U177" i="24"/>
  <c r="P67" i="24"/>
  <c r="Q67" i="24"/>
  <c r="R67" i="24" s="1"/>
  <c r="Q116" i="24"/>
  <c r="P116" i="24"/>
  <c r="O281" i="24"/>
  <c r="BZ281" i="24" s="1"/>
  <c r="J281" i="24"/>
  <c r="V90" i="24"/>
  <c r="O245" i="25"/>
  <c r="P245" i="25"/>
  <c r="Q33" i="24"/>
  <c r="R33" i="24" s="1"/>
  <c r="P33" i="24"/>
  <c r="U36" i="24"/>
  <c r="P181" i="25"/>
  <c r="O181" i="25"/>
  <c r="U250" i="25"/>
  <c r="O174" i="24"/>
  <c r="BZ174" i="24" s="1"/>
  <c r="J174" i="24"/>
  <c r="V52" i="24"/>
  <c r="P216" i="25"/>
  <c r="O216" i="25"/>
  <c r="T216" i="25"/>
  <c r="O10" i="24"/>
  <c r="BZ10" i="24" s="1"/>
  <c r="J10" i="24"/>
  <c r="W10" i="24" s="1"/>
  <c r="J57" i="24"/>
  <c r="O57" i="24"/>
  <c r="BZ57" i="24" s="1"/>
  <c r="J226" i="24"/>
  <c r="W226" i="24" s="1"/>
  <c r="O226" i="24"/>
  <c r="BZ226" i="24" s="1"/>
  <c r="N309" i="24"/>
  <c r="U176" i="25"/>
  <c r="J280" i="24"/>
  <c r="O280" i="24"/>
  <c r="BZ280" i="24" s="1"/>
  <c r="P266" i="25"/>
  <c r="O266" i="25"/>
  <c r="P55" i="25"/>
  <c r="O55" i="25"/>
  <c r="P102" i="25"/>
  <c r="O102" i="25"/>
  <c r="AE294" i="24"/>
  <c r="X294" i="24"/>
  <c r="AA294" i="24" s="1"/>
  <c r="AB294" i="24" s="1"/>
  <c r="AC294" i="24" s="1"/>
  <c r="AI294" i="24"/>
  <c r="N316" i="24"/>
  <c r="AP242" i="24"/>
  <c r="P171" i="24"/>
  <c r="Q171" i="24"/>
  <c r="P165" i="25"/>
  <c r="O165" i="25"/>
  <c r="T165" i="25"/>
  <c r="P221" i="24"/>
  <c r="Q221" i="24"/>
  <c r="J95" i="24"/>
  <c r="O95" i="24"/>
  <c r="BZ95" i="24" s="1"/>
  <c r="R62" i="25"/>
  <c r="S62" i="25"/>
  <c r="K62" i="25" s="1"/>
  <c r="V62" i="25" s="1"/>
  <c r="Q62" i="25"/>
  <c r="O311" i="24"/>
  <c r="BZ311" i="24" s="1"/>
  <c r="J311" i="24"/>
  <c r="J151" i="24"/>
  <c r="O151" i="24"/>
  <c r="BZ151" i="24" s="1"/>
  <c r="V188" i="24"/>
  <c r="J285" i="24"/>
  <c r="O285" i="24"/>
  <c r="BZ285" i="24" s="1"/>
  <c r="O195" i="24"/>
  <c r="BZ195" i="24" s="1"/>
  <c r="J195" i="24"/>
  <c r="P25" i="25"/>
  <c r="O25" i="25"/>
  <c r="T25" i="25"/>
  <c r="Q144" i="24"/>
  <c r="P144" i="24"/>
  <c r="Q155" i="24"/>
  <c r="P155" i="24"/>
  <c r="O205" i="25"/>
  <c r="P205" i="25"/>
  <c r="T205" i="25"/>
  <c r="U184" i="25"/>
  <c r="J299" i="24"/>
  <c r="O299" i="24"/>
  <c r="BZ299" i="24" s="1"/>
  <c r="AE132" i="24"/>
  <c r="X132" i="24"/>
  <c r="AA132" i="24" s="1"/>
  <c r="AB132" i="24" s="1"/>
  <c r="AC132" i="24" s="1"/>
  <c r="AI132" i="24"/>
  <c r="J193" i="24"/>
  <c r="O193" i="24"/>
  <c r="BZ193" i="24" s="1"/>
  <c r="U65" i="25"/>
  <c r="P130" i="25"/>
  <c r="O130" i="25"/>
  <c r="P197" i="25"/>
  <c r="O197" i="25"/>
  <c r="T197" i="25"/>
  <c r="O145" i="24"/>
  <c r="BZ145" i="24" s="1"/>
  <c r="J145" i="24"/>
  <c r="P196" i="24"/>
  <c r="Q196" i="24"/>
  <c r="V270" i="24"/>
  <c r="AE233" i="24"/>
  <c r="X233" i="24"/>
  <c r="AA233" i="24" s="1"/>
  <c r="AB233" i="24" s="1"/>
  <c r="AC233" i="24" s="1"/>
  <c r="AI233" i="24"/>
  <c r="AO255" i="25"/>
  <c r="U146" i="25"/>
  <c r="AP311" i="24"/>
  <c r="J308" i="24"/>
  <c r="O308" i="24"/>
  <c r="BZ308" i="24" s="1"/>
  <c r="J84" i="24"/>
  <c r="O84" i="24"/>
  <c r="BZ84" i="24" s="1"/>
  <c r="AE292" i="24"/>
  <c r="X292" i="24"/>
  <c r="AA292" i="24" s="1"/>
  <c r="AB292" i="24" s="1"/>
  <c r="AC292" i="24" s="1"/>
  <c r="AI292" i="24"/>
  <c r="O188" i="24"/>
  <c r="BZ188" i="24" s="1"/>
  <c r="J188" i="24"/>
  <c r="N282" i="24"/>
  <c r="J38" i="24"/>
  <c r="O38" i="24"/>
  <c r="BZ38" i="24" s="1"/>
  <c r="P176" i="25"/>
  <c r="O176" i="25"/>
  <c r="J20" i="24"/>
  <c r="O20" i="24"/>
  <c r="BZ20" i="24" s="1"/>
  <c r="J267" i="24"/>
  <c r="O267" i="24"/>
  <c r="BZ267" i="24" s="1"/>
  <c r="Q49" i="24"/>
  <c r="R49" i="24" s="1"/>
  <c r="P49" i="24"/>
  <c r="P284" i="25"/>
  <c r="O284" i="25"/>
  <c r="J127" i="24"/>
  <c r="O127" i="24"/>
  <c r="BZ127" i="24" s="1"/>
  <c r="J235" i="24"/>
  <c r="O235" i="24"/>
  <c r="BZ235" i="24" s="1"/>
  <c r="J115" i="24"/>
  <c r="O115" i="24"/>
  <c r="BZ115" i="24" s="1"/>
  <c r="J13" i="24"/>
  <c r="O13" i="24"/>
  <c r="BZ13" i="24" s="1"/>
  <c r="V182" i="24"/>
  <c r="J73" i="24"/>
  <c r="O73" i="24"/>
  <c r="BZ73" i="24" s="1"/>
  <c r="Q192" i="24"/>
  <c r="P192" i="24"/>
  <c r="P223" i="25"/>
  <c r="O223" i="25"/>
  <c r="T223" i="25"/>
  <c r="P39" i="25"/>
  <c r="O39" i="25"/>
  <c r="T39" i="25"/>
  <c r="P67" i="25"/>
  <c r="O67" i="25"/>
  <c r="T67" i="25"/>
  <c r="AE21" i="24"/>
  <c r="AI21" i="24"/>
  <c r="X21" i="24"/>
  <c r="AA21" i="24" s="1"/>
  <c r="AB21" i="24" s="1"/>
  <c r="AC21" i="24" s="1"/>
  <c r="O315" i="24"/>
  <c r="BZ315" i="24" s="1"/>
  <c r="J315" i="24"/>
  <c r="Q28" i="24"/>
  <c r="R28" i="24" s="1"/>
  <c r="P28" i="24"/>
  <c r="P274" i="25"/>
  <c r="O274" i="25"/>
  <c r="T274" i="25"/>
  <c r="O217" i="24"/>
  <c r="BZ217" i="24" s="1"/>
  <c r="J217" i="24"/>
  <c r="P230" i="25"/>
  <c r="O230" i="25"/>
  <c r="T230" i="25"/>
  <c r="T47" i="25"/>
  <c r="U235" i="25"/>
  <c r="J263" i="24"/>
  <c r="O263" i="24"/>
  <c r="BZ263" i="24" s="1"/>
  <c r="N232" i="24"/>
  <c r="N195" i="24"/>
  <c r="U195" i="24"/>
  <c r="AO177" i="25"/>
  <c r="J272" i="24"/>
  <c r="W272" i="24" s="1"/>
  <c r="O272" i="24"/>
  <c r="BZ272" i="24" s="1"/>
  <c r="U136" i="25"/>
  <c r="U275" i="25"/>
  <c r="J17" i="24"/>
  <c r="O17" i="24"/>
  <c r="BZ17" i="24" s="1"/>
  <c r="P294" i="25"/>
  <c r="O294" i="25"/>
  <c r="P27" i="25"/>
  <c r="O27" i="25"/>
  <c r="T27" i="25"/>
  <c r="P278" i="24"/>
  <c r="Q278" i="24"/>
  <c r="P308" i="25"/>
  <c r="O308" i="25"/>
  <c r="O301" i="24"/>
  <c r="BZ301" i="24" s="1"/>
  <c r="J301" i="24"/>
  <c r="P11" i="24"/>
  <c r="Q11" i="24"/>
  <c r="R11" i="24" s="1"/>
  <c r="AE119" i="24"/>
  <c r="X119" i="24"/>
  <c r="AA119" i="24" s="1"/>
  <c r="AB119" i="24" s="1"/>
  <c r="AC119" i="24" s="1"/>
  <c r="AI119" i="24"/>
  <c r="U30" i="25"/>
  <c r="J302" i="24"/>
  <c r="O302" i="24"/>
  <c r="BZ302" i="24" s="1"/>
  <c r="J68" i="24"/>
  <c r="W68" i="24" s="1"/>
  <c r="O68" i="24"/>
  <c r="BZ68" i="24" s="1"/>
  <c r="J114" i="24"/>
  <c r="O114" i="24"/>
  <c r="BZ114" i="24" s="1"/>
  <c r="N85" i="24"/>
  <c r="U85" i="24"/>
  <c r="P136" i="25"/>
  <c r="O136" i="25"/>
  <c r="P24" i="25"/>
  <c r="O24" i="25"/>
  <c r="P91" i="25"/>
  <c r="O91" i="25"/>
  <c r="O35" i="24"/>
  <c r="BZ35" i="24" s="1"/>
  <c r="J35" i="24"/>
  <c r="P290" i="25"/>
  <c r="O290" i="25"/>
  <c r="O222" i="24"/>
  <c r="BZ222" i="24" s="1"/>
  <c r="J222" i="24"/>
  <c r="R30" i="25"/>
  <c r="S30" i="25"/>
  <c r="K30" i="25" s="1"/>
  <c r="V30" i="25" s="1"/>
  <c r="Q30" i="25"/>
  <c r="U261" i="25"/>
  <c r="V234" i="24"/>
  <c r="Q36" i="24"/>
  <c r="R36" i="24" s="1"/>
  <c r="P36" i="24"/>
  <c r="S21" i="25"/>
  <c r="K21" i="25" s="1"/>
  <c r="V21" i="25" s="1"/>
  <c r="R21" i="25"/>
  <c r="Q21" i="25"/>
  <c r="V306" i="24"/>
  <c r="V226" i="24"/>
  <c r="Q243" i="24"/>
  <c r="P243" i="24"/>
  <c r="O296" i="24"/>
  <c r="BZ296" i="24" s="1"/>
  <c r="J296" i="24"/>
  <c r="U31" i="24"/>
  <c r="U185" i="24"/>
  <c r="T266" i="25"/>
  <c r="U178" i="25"/>
  <c r="U167" i="25"/>
  <c r="V14" i="24"/>
  <c r="Q50" i="24"/>
  <c r="R50" i="24" s="1"/>
  <c r="P50" i="24"/>
  <c r="J202" i="24"/>
  <c r="O202" i="24"/>
  <c r="BZ202" i="24" s="1"/>
  <c r="U143" i="24"/>
  <c r="Q274" i="24"/>
  <c r="P274" i="24"/>
  <c r="Q70" i="24"/>
  <c r="R70" i="24" s="1"/>
  <c r="P70" i="24"/>
  <c r="S273" i="25"/>
  <c r="K273" i="25" s="1"/>
  <c r="V273" i="25" s="1"/>
  <c r="R273" i="25"/>
  <c r="Q273" i="25"/>
  <c r="Q218" i="24"/>
  <c r="P218" i="24"/>
  <c r="S173" i="25"/>
  <c r="K173" i="25" s="1"/>
  <c r="V173" i="25" s="1"/>
  <c r="R173" i="25"/>
  <c r="Q173" i="25"/>
  <c r="V200" i="24"/>
  <c r="U71" i="25"/>
  <c r="U168" i="25"/>
  <c r="J82" i="24"/>
  <c r="O82" i="24"/>
  <c r="BZ82" i="24" s="1"/>
  <c r="T70" i="25"/>
  <c r="P56" i="24"/>
  <c r="Q56" i="24"/>
  <c r="R56" i="24" s="1"/>
  <c r="P248" i="24"/>
  <c r="Q248" i="24"/>
  <c r="S238" i="25"/>
  <c r="K238" i="25" s="1"/>
  <c r="V238" i="25" s="1"/>
  <c r="R238" i="25"/>
  <c r="Q238" i="25"/>
  <c r="R206" i="25"/>
  <c r="S206" i="25"/>
  <c r="K206" i="25" s="1"/>
  <c r="Q206" i="25"/>
  <c r="W132" i="24"/>
  <c r="Y132" i="24" s="1"/>
  <c r="U259" i="25"/>
  <c r="U104" i="24"/>
  <c r="U176" i="24"/>
  <c r="J37" i="24"/>
  <c r="O37" i="24"/>
  <c r="BZ37" i="24" s="1"/>
  <c r="Q90" i="24"/>
  <c r="R90" i="24" s="1"/>
  <c r="P90" i="24"/>
  <c r="U113" i="25"/>
  <c r="R147" i="25"/>
  <c r="S147" i="25"/>
  <c r="K147" i="25" s="1"/>
  <c r="V147" i="25" s="1"/>
  <c r="Q147" i="25"/>
  <c r="V18" i="24"/>
  <c r="U33" i="24"/>
  <c r="P134" i="25"/>
  <c r="O134" i="25"/>
  <c r="P298" i="25"/>
  <c r="O298" i="25"/>
  <c r="V25" i="24"/>
  <c r="U172" i="25"/>
  <c r="J313" i="24"/>
  <c r="W313" i="24" s="1"/>
  <c r="O313" i="24"/>
  <c r="BZ313" i="24" s="1"/>
  <c r="U49" i="25"/>
  <c r="U127" i="25"/>
  <c r="U62" i="25"/>
  <c r="J310" i="24"/>
  <c r="W310" i="24" s="1"/>
  <c r="O310" i="24"/>
  <c r="BZ310" i="24" s="1"/>
  <c r="V271" i="24"/>
  <c r="U290" i="25"/>
  <c r="O309" i="24"/>
  <c r="BZ309" i="24" s="1"/>
  <c r="J309" i="24"/>
  <c r="N126" i="24"/>
  <c r="U126" i="24"/>
  <c r="P208" i="25"/>
  <c r="O208" i="25"/>
  <c r="T208" i="25"/>
  <c r="N228" i="24"/>
  <c r="P281" i="25"/>
  <c r="O281" i="25"/>
  <c r="P249" i="25"/>
  <c r="O249" i="25"/>
  <c r="T249" i="25"/>
  <c r="J316" i="24"/>
  <c r="O316" i="24"/>
  <c r="BZ316" i="24" s="1"/>
  <c r="P46" i="25"/>
  <c r="O46" i="25"/>
  <c r="J312" i="24"/>
  <c r="W312" i="24" s="1"/>
  <c r="O312" i="24"/>
  <c r="BZ312" i="24" s="1"/>
  <c r="Q20" i="24"/>
  <c r="R20" i="24" s="1"/>
  <c r="P20" i="24"/>
  <c r="O305" i="24"/>
  <c r="BZ305" i="24" s="1"/>
  <c r="J305" i="24"/>
  <c r="O287" i="24"/>
  <c r="BZ287" i="24" s="1"/>
  <c r="J287" i="24"/>
  <c r="J104" i="24"/>
  <c r="O104" i="24"/>
  <c r="BZ104" i="24" s="1"/>
  <c r="P99" i="25"/>
  <c r="O99" i="25"/>
  <c r="J304" i="24"/>
  <c r="O304" i="24"/>
  <c r="BZ304" i="24" s="1"/>
  <c r="O147" i="24"/>
  <c r="BZ147" i="24" s="1"/>
  <c r="J147" i="24"/>
  <c r="W147" i="24" s="1"/>
  <c r="U137" i="25"/>
  <c r="J24" i="24"/>
  <c r="W24" i="24" s="1"/>
  <c r="O24" i="24"/>
  <c r="BZ24" i="24" s="1"/>
  <c r="P49" i="25"/>
  <c r="O49" i="25"/>
  <c r="P33" i="25"/>
  <c r="O33" i="25"/>
  <c r="P175" i="25"/>
  <c r="O175" i="25"/>
  <c r="U252" i="25"/>
  <c r="N59" i="24"/>
  <c r="U59" i="24"/>
  <c r="U64" i="25"/>
  <c r="N148" i="24"/>
  <c r="U148" i="24"/>
  <c r="O173" i="24"/>
  <c r="BZ173" i="24" s="1"/>
  <c r="J173" i="24"/>
  <c r="O149" i="24"/>
  <c r="BZ149" i="24" s="1"/>
  <c r="J149" i="24"/>
  <c r="P224" i="25"/>
  <c r="O224" i="25"/>
  <c r="T224" i="25"/>
  <c r="U69" i="25"/>
  <c r="O271" i="24"/>
  <c r="BZ271" i="24" s="1"/>
  <c r="J271" i="24"/>
  <c r="W271" i="24" s="1"/>
  <c r="AD129" i="25"/>
  <c r="W129" i="25"/>
  <c r="Z129" i="25" s="1"/>
  <c r="AA129" i="25" s="1"/>
  <c r="AB129" i="25" s="1"/>
  <c r="AI129" i="25" s="1"/>
  <c r="T281" i="25"/>
  <c r="V76" i="24"/>
  <c r="U145" i="25"/>
  <c r="N203" i="24"/>
  <c r="U203" i="24"/>
  <c r="P307" i="25"/>
  <c r="O307" i="25"/>
  <c r="T307" i="25"/>
  <c r="J29" i="24"/>
  <c r="O29" i="24"/>
  <c r="BZ29" i="24" s="1"/>
  <c r="N249" i="24"/>
  <c r="P41" i="25"/>
  <c r="O41" i="25"/>
  <c r="T41" i="25"/>
  <c r="P123" i="25"/>
  <c r="O123" i="25"/>
  <c r="T123" i="25"/>
  <c r="U147" i="25"/>
  <c r="O153" i="24"/>
  <c r="BZ153" i="24" s="1"/>
  <c r="J153" i="24"/>
  <c r="J282" i="24"/>
  <c r="O282" i="24"/>
  <c r="BZ282" i="24" s="1"/>
  <c r="J146" i="24"/>
  <c r="O146" i="24"/>
  <c r="BZ146" i="24" s="1"/>
  <c r="O255" i="24"/>
  <c r="BZ255" i="24" s="1"/>
  <c r="J255" i="24"/>
  <c r="Q23" i="24"/>
  <c r="R23" i="24" s="1"/>
  <c r="P23" i="24"/>
  <c r="N184" i="24"/>
  <c r="U184" i="24"/>
  <c r="V30" i="24"/>
  <c r="P295" i="24"/>
  <c r="Q295" i="24"/>
  <c r="O48" i="24"/>
  <c r="BZ48" i="24" s="1"/>
  <c r="J48" i="24"/>
  <c r="W48" i="24" s="1"/>
  <c r="O197" i="24"/>
  <c r="BZ197" i="24" s="1"/>
  <c r="J197" i="24"/>
  <c r="P175" i="24"/>
  <c r="Q175" i="24"/>
  <c r="AE162" i="24"/>
  <c r="X162" i="24"/>
  <c r="AA162" i="24" s="1"/>
  <c r="AB162" i="24" s="1"/>
  <c r="AC162" i="24" s="1"/>
  <c r="AI162" i="24"/>
  <c r="P98" i="24"/>
  <c r="Q98" i="24"/>
  <c r="R98" i="24" s="1"/>
  <c r="T175" i="25"/>
  <c r="N194" i="24"/>
  <c r="U194" i="24"/>
  <c r="AP20" i="24"/>
  <c r="N315" i="24"/>
  <c r="P251" i="25"/>
  <c r="O251" i="25"/>
  <c r="T251" i="25"/>
  <c r="U316" i="25"/>
  <c r="N247" i="24"/>
  <c r="U17" i="24"/>
  <c r="J86" i="24"/>
  <c r="W86" i="24" s="1"/>
  <c r="O86" i="24"/>
  <c r="BZ86" i="24" s="1"/>
  <c r="O161" i="24"/>
  <c r="BZ161" i="24" s="1"/>
  <c r="J161" i="24"/>
  <c r="P209" i="25"/>
  <c r="O209" i="25"/>
  <c r="T209" i="25"/>
  <c r="U133" i="25"/>
  <c r="P277" i="25"/>
  <c r="O277" i="25"/>
  <c r="T277" i="25"/>
  <c r="T289" i="25"/>
  <c r="N187" i="24"/>
  <c r="U187" i="24"/>
  <c r="P219" i="25"/>
  <c r="O219" i="25"/>
  <c r="T219" i="25"/>
  <c r="J232" i="24"/>
  <c r="O232" i="24"/>
  <c r="BZ232" i="24" s="1"/>
  <c r="U120" i="25"/>
  <c r="P245" i="24"/>
  <c r="Q245" i="24"/>
  <c r="O72" i="24"/>
  <c r="BZ72" i="24" s="1"/>
  <c r="J72" i="24"/>
  <c r="W72" i="24" s="1"/>
  <c r="P56" i="25"/>
  <c r="O56" i="25"/>
  <c r="T56" i="25"/>
  <c r="Q189" i="24"/>
  <c r="P189" i="24"/>
  <c r="P60" i="25"/>
  <c r="O60" i="25"/>
  <c r="U151" i="24"/>
  <c r="J128" i="24"/>
  <c r="O128" i="24"/>
  <c r="BZ128" i="24" s="1"/>
  <c r="O278" i="24"/>
  <c r="BZ278" i="24" s="1"/>
  <c r="J278" i="24"/>
  <c r="U91" i="25"/>
  <c r="V44" i="24"/>
  <c r="W44" i="24"/>
  <c r="N117" i="24"/>
  <c r="U117" i="24"/>
  <c r="J314" i="24"/>
  <c r="O314" i="24"/>
  <c r="BZ314" i="24" s="1"/>
  <c r="J307" i="24"/>
  <c r="W307" i="24" s="1"/>
  <c r="O307" i="24"/>
  <c r="BZ307" i="24" s="1"/>
  <c r="P305" i="24"/>
  <c r="Q305" i="24"/>
  <c r="J91" i="24"/>
  <c r="O91" i="24"/>
  <c r="BZ91" i="24" s="1"/>
  <c r="P17" i="25"/>
  <c r="O17" i="25"/>
  <c r="AP196" i="24"/>
  <c r="J171" i="24"/>
  <c r="O171" i="24"/>
  <c r="BZ171" i="24" s="1"/>
  <c r="P119" i="25"/>
  <c r="O119" i="25"/>
  <c r="P50" i="25"/>
  <c r="O50" i="25"/>
  <c r="J98" i="24"/>
  <c r="O98" i="24"/>
  <c r="BZ98" i="24" s="1"/>
  <c r="J81" i="24"/>
  <c r="O81" i="24"/>
  <c r="BZ81" i="24" s="1"/>
  <c r="J245" i="24"/>
  <c r="O245" i="24"/>
  <c r="BZ245" i="24" s="1"/>
  <c r="Q12" i="24"/>
  <c r="R12" i="24" s="1"/>
  <c r="P12" i="24"/>
  <c r="S261" i="25"/>
  <c r="K261" i="25" s="1"/>
  <c r="R261" i="25"/>
  <c r="Q261" i="25"/>
  <c r="U229" i="25"/>
  <c r="P234" i="24"/>
  <c r="Q234" i="24"/>
  <c r="J273" i="24"/>
  <c r="O273" i="24"/>
  <c r="BZ273" i="24" s="1"/>
  <c r="P193" i="25"/>
  <c r="O193" i="25"/>
  <c r="O152" i="25"/>
  <c r="P152" i="25"/>
  <c r="P306" i="24"/>
  <c r="Q306" i="24"/>
  <c r="P226" i="24"/>
  <c r="Q226" i="24"/>
  <c r="U102" i="24"/>
  <c r="P296" i="24"/>
  <c r="Q296" i="24"/>
  <c r="T53" i="25"/>
  <c r="P132" i="25"/>
  <c r="O132" i="25"/>
  <c r="P265" i="24"/>
  <c r="Q265" i="24"/>
  <c r="R257" i="25"/>
  <c r="S257" i="25"/>
  <c r="K257" i="25" s="1"/>
  <c r="Q257" i="25"/>
  <c r="Q185" i="24"/>
  <c r="P185" i="24"/>
  <c r="U114" i="25"/>
  <c r="S178" i="25"/>
  <c r="K178" i="25" s="1"/>
  <c r="V178" i="25" s="1"/>
  <c r="R178" i="25"/>
  <c r="Q178" i="25"/>
  <c r="S167" i="25"/>
  <c r="K167" i="25" s="1"/>
  <c r="R167" i="25"/>
  <c r="Q167" i="25"/>
  <c r="J274" i="24"/>
  <c r="O274" i="24"/>
  <c r="BZ274" i="24" s="1"/>
  <c r="N298" i="24"/>
  <c r="J70" i="24"/>
  <c r="O70" i="24"/>
  <c r="BZ70" i="24" s="1"/>
  <c r="P152" i="24"/>
  <c r="Q152" i="24"/>
  <c r="V227" i="24"/>
  <c r="P200" i="24"/>
  <c r="Q200" i="24"/>
  <c r="P195" i="25"/>
  <c r="O195" i="25"/>
  <c r="P8" i="25"/>
  <c r="O8" i="25"/>
  <c r="U170" i="24"/>
  <c r="J250" i="24"/>
  <c r="O250" i="24"/>
  <c r="BZ250" i="24" s="1"/>
  <c r="O56" i="24"/>
  <c r="BZ56" i="24" s="1"/>
  <c r="J56" i="24"/>
  <c r="T63" i="25"/>
  <c r="U201" i="25"/>
  <c r="U292" i="25"/>
  <c r="S246" i="25"/>
  <c r="K246" i="25" s="1"/>
  <c r="R246" i="25"/>
  <c r="Q246" i="25"/>
  <c r="J67" i="24"/>
  <c r="O67" i="24"/>
  <c r="BZ67" i="24" s="1"/>
  <c r="R259" i="25"/>
  <c r="S259" i="25"/>
  <c r="K259" i="25" s="1"/>
  <c r="Q259" i="25"/>
  <c r="U92" i="25"/>
  <c r="Q224" i="24"/>
  <c r="P224" i="24"/>
  <c r="V83" i="24"/>
  <c r="P151" i="25"/>
  <c r="O151" i="25"/>
  <c r="O283" i="24"/>
  <c r="BZ283" i="24" s="1"/>
  <c r="J283" i="24"/>
  <c r="R267" i="25"/>
  <c r="S267" i="25"/>
  <c r="K267" i="25" s="1"/>
  <c r="V267" i="25" s="1"/>
  <c r="Q267" i="25"/>
  <c r="R113" i="25"/>
  <c r="S113" i="25"/>
  <c r="K113" i="25" s="1"/>
  <c r="V113" i="25" s="1"/>
  <c r="Q113" i="25"/>
  <c r="AP302" i="24"/>
  <c r="O162" i="25"/>
  <c r="P162" i="25"/>
  <c r="O33" i="24"/>
  <c r="BZ33" i="24" s="1"/>
  <c r="J33" i="24"/>
  <c r="Q197" i="24"/>
  <c r="P197" i="24"/>
  <c r="P304" i="25"/>
  <c r="O304" i="25"/>
  <c r="T304" i="25"/>
  <c r="P151" i="24"/>
  <c r="Q151" i="24"/>
  <c r="P74" i="25"/>
  <c r="O74" i="25"/>
  <c r="T74" i="25"/>
  <c r="P103" i="25"/>
  <c r="O103" i="25"/>
  <c r="U285" i="25"/>
  <c r="U126" i="25"/>
  <c r="R255" i="25"/>
  <c r="S255" i="25"/>
  <c r="K255" i="25" s="1"/>
  <c r="Q255" i="25"/>
  <c r="P7" i="25"/>
  <c r="O7" i="25"/>
  <c r="J221" i="24"/>
  <c r="O221" i="24"/>
  <c r="BZ221" i="24" s="1"/>
  <c r="V68" i="24"/>
  <c r="V129" i="24"/>
  <c r="J129" i="24"/>
  <c r="O129" i="24"/>
  <c r="BZ129" i="24" s="1"/>
  <c r="P291" i="24"/>
  <c r="Q291" i="24"/>
  <c r="P118" i="25"/>
  <c r="O118" i="25"/>
  <c r="P172" i="25"/>
  <c r="O172" i="25"/>
  <c r="U291" i="25"/>
  <c r="J289" i="24"/>
  <c r="O289" i="24"/>
  <c r="BZ289" i="24" s="1"/>
  <c r="P250" i="25"/>
  <c r="O250" i="25"/>
  <c r="J155" i="24"/>
  <c r="O155" i="24"/>
  <c r="BZ155" i="24" s="1"/>
  <c r="U54" i="25"/>
  <c r="U155" i="25"/>
  <c r="J240" i="24"/>
  <c r="O240" i="24"/>
  <c r="BZ240" i="24" s="1"/>
  <c r="Q31" i="24"/>
  <c r="R31" i="24" s="1"/>
  <c r="P31" i="24"/>
  <c r="P126" i="25"/>
  <c r="O126" i="25"/>
  <c r="U153" i="25"/>
  <c r="V237" i="24"/>
  <c r="T181" i="25"/>
  <c r="P150" i="25"/>
  <c r="O150" i="25"/>
  <c r="N141" i="24"/>
  <c r="U141" i="24"/>
  <c r="O105" i="25"/>
  <c r="P105" i="25"/>
  <c r="O62" i="24"/>
  <c r="BZ62" i="24" s="1"/>
  <c r="J62" i="24"/>
  <c r="W62" i="24" s="1"/>
  <c r="P166" i="25"/>
  <c r="O166" i="25"/>
  <c r="P233" i="25"/>
  <c r="O233" i="25"/>
  <c r="N140" i="24"/>
  <c r="U140" i="24"/>
  <c r="P79" i="25"/>
  <c r="O79" i="25"/>
  <c r="T79" i="25"/>
  <c r="BZ170" i="25"/>
  <c r="P26" i="25"/>
  <c r="O26" i="25"/>
  <c r="T26" i="25"/>
  <c r="U85" i="25"/>
  <c r="P10" i="25"/>
  <c r="O10" i="25"/>
  <c r="T10" i="25"/>
  <c r="V150" i="24"/>
  <c r="Q104" i="24"/>
  <c r="R104" i="24" s="1"/>
  <c r="P104" i="24"/>
  <c r="AP144" i="24"/>
  <c r="J231" i="24"/>
  <c r="W231" i="24" s="1"/>
  <c r="O231" i="24"/>
  <c r="BZ231" i="24" s="1"/>
  <c r="J131" i="24"/>
  <c r="O131" i="24"/>
  <c r="BZ131" i="24" s="1"/>
  <c r="J133" i="24"/>
  <c r="W133" i="24" s="1"/>
  <c r="O133" i="24"/>
  <c r="BZ133" i="24" s="1"/>
  <c r="P88" i="25"/>
  <c r="O88" i="25"/>
  <c r="N89" i="24"/>
  <c r="U89" i="24"/>
  <c r="P207" i="24"/>
  <c r="Q207" i="24"/>
  <c r="Q60" i="24"/>
  <c r="R60" i="24" s="1"/>
  <c r="P60" i="24"/>
  <c r="J242" i="24"/>
  <c r="O242" i="24"/>
  <c r="BZ242" i="24" s="1"/>
  <c r="T234" i="25"/>
  <c r="AP17" i="24"/>
  <c r="J199" i="24"/>
  <c r="W199" i="24" s="1"/>
  <c r="O199" i="24"/>
  <c r="BZ199" i="24" s="1"/>
  <c r="J175" i="24"/>
  <c r="O175" i="24"/>
  <c r="BZ175" i="24" s="1"/>
  <c r="S177" i="25"/>
  <c r="K177" i="25" s="1"/>
  <c r="R177" i="25"/>
  <c r="Q177" i="25"/>
  <c r="O34" i="24"/>
  <c r="BZ34" i="24" s="1"/>
  <c r="J34" i="24"/>
  <c r="J76" i="24"/>
  <c r="O76" i="24"/>
  <c r="BZ76" i="24" s="1"/>
  <c r="O236" i="25"/>
  <c r="P236" i="25"/>
  <c r="O192" i="24"/>
  <c r="BZ192" i="24" s="1"/>
  <c r="J192" i="24"/>
  <c r="P142" i="25"/>
  <c r="O142" i="25"/>
  <c r="T142" i="25"/>
  <c r="O139" i="25"/>
  <c r="P139" i="25"/>
  <c r="T139" i="25"/>
  <c r="U111" i="25"/>
  <c r="U204" i="25"/>
  <c r="U305" i="25"/>
  <c r="U294" i="25"/>
  <c r="AP136" i="24"/>
  <c r="U45" i="25"/>
  <c r="T66" i="25"/>
  <c r="P159" i="24"/>
  <c r="Q159" i="24"/>
  <c r="J225" i="24"/>
  <c r="O225" i="24"/>
  <c r="BZ225" i="24" s="1"/>
  <c r="V307" i="24"/>
  <c r="P163" i="25"/>
  <c r="O163" i="25"/>
  <c r="Q75" i="24"/>
  <c r="R75" i="24" s="1"/>
  <c r="P75" i="24"/>
  <c r="P124" i="25"/>
  <c r="O124" i="25"/>
  <c r="P217" i="25"/>
  <c r="O217" i="25"/>
  <c r="T217" i="25"/>
  <c r="O189" i="24"/>
  <c r="BZ189" i="24" s="1"/>
  <c r="J189" i="24"/>
  <c r="P18" i="25"/>
  <c r="O18" i="25"/>
  <c r="T18" i="25"/>
  <c r="P169" i="24"/>
  <c r="Q169" i="24"/>
  <c r="U135" i="24"/>
  <c r="V110" i="25"/>
  <c r="X110" i="25" s="1"/>
  <c r="AE257" i="24"/>
  <c r="X257" i="24"/>
  <c r="AA257" i="24" s="1"/>
  <c r="AB257" i="24" s="1"/>
  <c r="AC257" i="24" s="1"/>
  <c r="AI257" i="24"/>
  <c r="U23" i="24"/>
  <c r="J11" i="24"/>
  <c r="O11" i="24"/>
  <c r="BZ11" i="24" s="1"/>
  <c r="V43" i="24"/>
  <c r="Q314" i="24"/>
  <c r="P314" i="24"/>
  <c r="S6" i="25"/>
  <c r="K6" i="25" s="1"/>
  <c r="R6" i="25"/>
  <c r="Q6" i="25"/>
  <c r="P270" i="25"/>
  <c r="O270" i="25"/>
  <c r="O144" i="25"/>
  <c r="P144" i="25"/>
  <c r="P208" i="24"/>
  <c r="Q208" i="24"/>
  <c r="AP105" i="24"/>
  <c r="P51" i="25"/>
  <c r="O51" i="25"/>
  <c r="J15" i="24"/>
  <c r="O15" i="24"/>
  <c r="BZ15" i="24" s="1"/>
  <c r="Q258" i="24"/>
  <c r="P258" i="24"/>
  <c r="AP51" i="24"/>
  <c r="P269" i="24"/>
  <c r="Q269" i="24"/>
  <c r="J12" i="24"/>
  <c r="O12" i="24"/>
  <c r="BZ12" i="24" s="1"/>
  <c r="R229" i="25"/>
  <c r="S229" i="25"/>
  <c r="K229" i="25" s="1"/>
  <c r="V229" i="25" s="1"/>
  <c r="Q229" i="25"/>
  <c r="V279" i="24"/>
  <c r="V231" i="24"/>
  <c r="AP256" i="24"/>
  <c r="J36" i="24"/>
  <c r="O36" i="24"/>
  <c r="BZ36" i="24" s="1"/>
  <c r="U282" i="25"/>
  <c r="S161" i="25"/>
  <c r="K161" i="25" s="1"/>
  <c r="V161" i="25" s="1"/>
  <c r="R161" i="25"/>
  <c r="Q161" i="25"/>
  <c r="S276" i="25"/>
  <c r="K276" i="25" s="1"/>
  <c r="V276" i="25" s="1"/>
  <c r="R276" i="25"/>
  <c r="Q276" i="25"/>
  <c r="P241" i="25"/>
  <c r="O241" i="25"/>
  <c r="U115" i="24"/>
  <c r="U179" i="24"/>
  <c r="J265" i="24"/>
  <c r="O265" i="24"/>
  <c r="BZ265" i="24" s="1"/>
  <c r="S186" i="25"/>
  <c r="K186" i="25" s="1"/>
  <c r="R186" i="25"/>
  <c r="Q186" i="25"/>
  <c r="S114" i="25"/>
  <c r="K114" i="25" s="1"/>
  <c r="R114" i="25"/>
  <c r="Q114" i="25"/>
  <c r="J50" i="24"/>
  <c r="O50" i="24"/>
  <c r="BZ50" i="24" s="1"/>
  <c r="P143" i="24"/>
  <c r="Q143" i="24"/>
  <c r="J298" i="24"/>
  <c r="O298" i="24"/>
  <c r="BZ298" i="24" s="1"/>
  <c r="U186" i="24"/>
  <c r="P227" i="24"/>
  <c r="Q227" i="24"/>
  <c r="V40" i="24"/>
  <c r="U34" i="24"/>
  <c r="S71" i="25"/>
  <c r="K71" i="25" s="1"/>
  <c r="R71" i="25"/>
  <c r="Q71" i="25"/>
  <c r="P170" i="24"/>
  <c r="Q170" i="24"/>
  <c r="U42" i="25"/>
  <c r="U95" i="25"/>
  <c r="R201" i="25"/>
  <c r="S201" i="25"/>
  <c r="K201" i="25" s="1"/>
  <c r="V201" i="25" s="1"/>
  <c r="Q201" i="25"/>
  <c r="S292" i="25"/>
  <c r="K292" i="25" s="1"/>
  <c r="V292" i="25" s="1"/>
  <c r="R292" i="25"/>
  <c r="Q292" i="25"/>
  <c r="T99" i="25"/>
  <c r="V32" i="24"/>
  <c r="R92" i="25"/>
  <c r="S92" i="25"/>
  <c r="K92" i="25" s="1"/>
  <c r="Q92" i="25"/>
  <c r="Q261" i="24"/>
  <c r="P261" i="24"/>
  <c r="Q83" i="24"/>
  <c r="R83" i="24" s="1"/>
  <c r="P83" i="24"/>
  <c r="U148" i="25"/>
  <c r="R82" i="25"/>
  <c r="S82" i="25"/>
  <c r="K82" i="25" s="1"/>
  <c r="V82" i="25" s="1"/>
  <c r="Q82" i="25"/>
  <c r="U111" i="24"/>
  <c r="U162" i="25"/>
  <c r="P301" i="25"/>
  <c r="O301" i="25"/>
  <c r="T301" i="25"/>
  <c r="N280" i="24"/>
  <c r="J18" i="24"/>
  <c r="O18" i="24"/>
  <c r="BZ18" i="24" s="1"/>
  <c r="Q154" i="24"/>
  <c r="P154" i="24"/>
  <c r="AE44" i="24"/>
  <c r="X44" i="24"/>
  <c r="AA44" i="24" s="1"/>
  <c r="AB44" i="24" s="1"/>
  <c r="AC44" i="24" s="1"/>
  <c r="AI44" i="24"/>
  <c r="U46" i="25"/>
  <c r="Q9" i="24"/>
  <c r="R9" i="24" s="1"/>
  <c r="P9" i="24"/>
  <c r="P299" i="25"/>
  <c r="O299" i="25"/>
  <c r="T299" i="25"/>
  <c r="O181" i="24"/>
  <c r="BZ181" i="24" s="1"/>
  <c r="J181" i="24"/>
  <c r="W181" i="24" s="1"/>
  <c r="V163" i="24"/>
  <c r="P228" i="25"/>
  <c r="O228" i="25"/>
  <c r="T228" i="25"/>
  <c r="O19" i="25"/>
  <c r="P19" i="25"/>
  <c r="T298" i="25"/>
  <c r="U34" i="25"/>
  <c r="AE41" i="24"/>
  <c r="X41" i="24"/>
  <c r="AA41" i="24" s="1"/>
  <c r="AB41" i="24" s="1"/>
  <c r="AC41" i="24" s="1"/>
  <c r="AI41" i="24"/>
  <c r="P20" i="25"/>
  <c r="O20" i="25"/>
  <c r="P48" i="25"/>
  <c r="O48" i="25"/>
  <c r="O227" i="24"/>
  <c r="BZ227" i="24" s="1"/>
  <c r="J227" i="24"/>
  <c r="W227" i="24" s="1"/>
  <c r="AE191" i="24"/>
  <c r="AI191" i="24"/>
  <c r="X191" i="24"/>
  <c r="AA191" i="24" s="1"/>
  <c r="AB191" i="24" s="1"/>
  <c r="AC191" i="24" s="1"/>
  <c r="V205" i="24"/>
  <c r="Q179" i="24"/>
  <c r="P179" i="24"/>
  <c r="P180" i="25"/>
  <c r="O180" i="25"/>
  <c r="J163" i="24"/>
  <c r="W163" i="24" s="1"/>
  <c r="O163" i="24"/>
  <c r="BZ163" i="24" s="1"/>
  <c r="O291" i="24"/>
  <c r="BZ291" i="24" s="1"/>
  <c r="J291" i="24"/>
  <c r="N93" i="24"/>
  <c r="U93" i="24"/>
  <c r="P313" i="25"/>
  <c r="O313" i="25"/>
  <c r="T313" i="25"/>
  <c r="P303" i="25"/>
  <c r="O303" i="25"/>
  <c r="T303" i="25"/>
  <c r="P84" i="25"/>
  <c r="O84" i="25"/>
  <c r="T84" i="25"/>
  <c r="J148" i="24"/>
  <c r="O148" i="24"/>
  <c r="BZ148" i="24" s="1"/>
  <c r="P312" i="25"/>
  <c r="O312" i="25"/>
  <c r="U233" i="25"/>
  <c r="O120" i="24"/>
  <c r="BZ120" i="24" s="1"/>
  <c r="J120" i="24"/>
  <c r="B83" i="2"/>
  <c r="D83" i="2" s="1"/>
  <c r="O210" i="25"/>
  <c r="P210" i="25"/>
  <c r="T210" i="25"/>
  <c r="P127" i="25"/>
  <c r="O127" i="25"/>
  <c r="J218" i="24"/>
  <c r="O218" i="24"/>
  <c r="BZ218" i="24" s="1"/>
  <c r="O159" i="24"/>
  <c r="BZ159" i="24" s="1"/>
  <c r="J159" i="24"/>
  <c r="U144" i="24"/>
  <c r="O141" i="24"/>
  <c r="BZ141" i="24" s="1"/>
  <c r="J141" i="24"/>
  <c r="J253" i="24"/>
  <c r="O253" i="24"/>
  <c r="BZ253" i="24" s="1"/>
  <c r="O130" i="24"/>
  <c r="BZ130" i="24" s="1"/>
  <c r="J130" i="24"/>
  <c r="W130" i="24" s="1"/>
  <c r="N206" i="24"/>
  <c r="U206" i="24"/>
  <c r="V133" i="24"/>
  <c r="N123" i="24"/>
  <c r="U123" i="24"/>
  <c r="N161" i="24"/>
  <c r="U161" i="24"/>
  <c r="Q124" i="24"/>
  <c r="P124" i="24"/>
  <c r="N255" i="24"/>
  <c r="T118" i="25"/>
  <c r="J249" i="24"/>
  <c r="O249" i="24"/>
  <c r="BZ249" i="24" s="1"/>
  <c r="N42" i="24"/>
  <c r="U42" i="24"/>
  <c r="P271" i="25"/>
  <c r="O271" i="25"/>
  <c r="N131" i="24"/>
  <c r="U131" i="24"/>
  <c r="J118" i="24"/>
  <c r="O118" i="24"/>
  <c r="BZ118" i="24" s="1"/>
  <c r="P12" i="25"/>
  <c r="O12" i="25"/>
  <c r="T12" i="25"/>
  <c r="O207" i="24"/>
  <c r="BZ207" i="24" s="1"/>
  <c r="J207" i="24"/>
  <c r="Q66" i="24"/>
  <c r="R66" i="24" s="1"/>
  <c r="P66" i="24"/>
  <c r="O169" i="24"/>
  <c r="BZ169" i="24" s="1"/>
  <c r="J169" i="24"/>
  <c r="P43" i="25"/>
  <c r="O43" i="25"/>
  <c r="P57" i="25"/>
  <c r="O57" i="25"/>
  <c r="O49" i="24"/>
  <c r="BZ49" i="24" s="1"/>
  <c r="J49" i="24"/>
  <c r="J300" i="24"/>
  <c r="O300" i="24"/>
  <c r="BZ300" i="24" s="1"/>
  <c r="S305" i="25"/>
  <c r="K305" i="25" s="1"/>
  <c r="V305" i="25" s="1"/>
  <c r="R305" i="25"/>
  <c r="Q305" i="25"/>
  <c r="O150" i="24"/>
  <c r="BZ150" i="24" s="1"/>
  <c r="J150" i="24"/>
  <c r="AP179" i="24"/>
  <c r="J194" i="24"/>
  <c r="O194" i="24"/>
  <c r="BZ194" i="24" s="1"/>
  <c r="Q241" i="24"/>
  <c r="P241" i="24"/>
  <c r="Q35" i="24"/>
  <c r="R35" i="24" s="1"/>
  <c r="P35" i="24"/>
  <c r="P115" i="25"/>
  <c r="O115" i="25"/>
  <c r="T115" i="25"/>
  <c r="U9" i="24"/>
  <c r="P288" i="25"/>
  <c r="O288" i="25"/>
  <c r="T288" i="25"/>
  <c r="U97" i="25"/>
  <c r="U156" i="24"/>
  <c r="U144" i="25"/>
  <c r="U98" i="24"/>
  <c r="J187" i="24"/>
  <c r="O187" i="24"/>
  <c r="BZ187" i="24" s="1"/>
  <c r="BZ198" i="25"/>
  <c r="N263" i="24"/>
  <c r="J182" i="24"/>
  <c r="W182" i="24" s="1"/>
  <c r="O182" i="24"/>
  <c r="BZ182" i="24" s="1"/>
  <c r="U270" i="25"/>
  <c r="J71" i="24"/>
  <c r="O71" i="24"/>
  <c r="BZ71" i="24" s="1"/>
  <c r="J247" i="24"/>
  <c r="O247" i="24"/>
  <c r="BZ247" i="24" s="1"/>
  <c r="AP295" i="24"/>
  <c r="W162" i="24"/>
  <c r="Y162" i="24" s="1"/>
  <c r="J14" i="24"/>
  <c r="O14" i="24"/>
  <c r="BZ14" i="24" s="1"/>
  <c r="P244" i="24"/>
  <c r="Q244" i="24"/>
  <c r="P191" i="25"/>
  <c r="O191" i="25"/>
  <c r="V86" i="24"/>
  <c r="U61" i="25"/>
  <c r="P196" i="25"/>
  <c r="O196" i="25"/>
  <c r="T196" i="25"/>
  <c r="O117" i="24"/>
  <c r="BZ117" i="24" s="1"/>
  <c r="J117" i="24"/>
  <c r="P120" i="25"/>
  <c r="O120" i="25"/>
  <c r="N103" i="24"/>
  <c r="U103" i="24"/>
  <c r="O256" i="24"/>
  <c r="BZ256" i="24" s="1"/>
  <c r="J256" i="24"/>
  <c r="S131" i="25"/>
  <c r="K131" i="25" s="1"/>
  <c r="R131" i="25"/>
  <c r="Q131" i="25"/>
  <c r="P75" i="25"/>
  <c r="O75" i="25"/>
  <c r="T75" i="25"/>
  <c r="J9" i="24"/>
  <c r="O9" i="24"/>
  <c r="BZ9" i="24" s="1"/>
  <c r="J275" i="24"/>
  <c r="O275" i="24"/>
  <c r="BZ275" i="24" s="1"/>
  <c r="J230" i="24"/>
  <c r="O230" i="24"/>
  <c r="BZ230" i="24" s="1"/>
  <c r="O28" i="24"/>
  <c r="BZ28" i="24" s="1"/>
  <c r="J28" i="24"/>
  <c r="P35" i="25"/>
  <c r="O35" i="25"/>
  <c r="AP156" i="24"/>
  <c r="O297" i="24"/>
  <c r="BZ297" i="24" s="1"/>
  <c r="J297" i="24"/>
  <c r="Q87" i="24"/>
  <c r="R87" i="24" s="1"/>
  <c r="P87" i="24"/>
  <c r="T187" i="25"/>
  <c r="Q279" i="24"/>
  <c r="P279" i="24"/>
  <c r="P231" i="24"/>
  <c r="Q231" i="24"/>
  <c r="R232" i="25"/>
  <c r="S232" i="25"/>
  <c r="K232" i="25" s="1"/>
  <c r="Q232" i="25"/>
  <c r="R282" i="25"/>
  <c r="S282" i="25"/>
  <c r="K282" i="25" s="1"/>
  <c r="V282" i="25" s="1"/>
  <c r="Q282" i="25"/>
  <c r="U58" i="25"/>
  <c r="U185" i="25"/>
  <c r="U112" i="24"/>
  <c r="V19" i="24"/>
  <c r="O185" i="24"/>
  <c r="BZ185" i="24" s="1"/>
  <c r="J185" i="24"/>
  <c r="S199" i="25"/>
  <c r="K199" i="25" s="1"/>
  <c r="V199" i="25" s="1"/>
  <c r="R199" i="25"/>
  <c r="Q199" i="25"/>
  <c r="V313" i="24"/>
  <c r="U283" i="25"/>
  <c r="V223" i="24"/>
  <c r="J143" i="24"/>
  <c r="O143" i="24"/>
  <c r="BZ143" i="24" s="1"/>
  <c r="Q168" i="24"/>
  <c r="P168" i="24"/>
  <c r="P186" i="24"/>
  <c r="Q186" i="24"/>
  <c r="O152" i="24"/>
  <c r="BZ152" i="24" s="1"/>
  <c r="J152" i="24"/>
  <c r="S31" i="25"/>
  <c r="K31" i="25" s="1"/>
  <c r="R31" i="25"/>
  <c r="Q31" i="25"/>
  <c r="Q40" i="24"/>
  <c r="R40" i="24" s="1"/>
  <c r="P40" i="24"/>
  <c r="R13" i="25"/>
  <c r="S13" i="25"/>
  <c r="K13" i="25" s="1"/>
  <c r="Q13" i="25"/>
  <c r="U9" i="25"/>
  <c r="U195" i="25"/>
  <c r="P164" i="25"/>
  <c r="O164" i="25"/>
  <c r="U96" i="24"/>
  <c r="S95" i="25"/>
  <c r="K95" i="25" s="1"/>
  <c r="V95" i="25" s="1"/>
  <c r="R95" i="25"/>
  <c r="Q95" i="25"/>
  <c r="S192" i="25"/>
  <c r="K192" i="25" s="1"/>
  <c r="R192" i="25"/>
  <c r="Q192" i="25"/>
  <c r="J243" i="24"/>
  <c r="O243" i="24"/>
  <c r="BZ243" i="24" s="1"/>
  <c r="P32" i="24"/>
  <c r="Q32" i="24"/>
  <c r="R32" i="24" s="1"/>
  <c r="V10" i="24"/>
  <c r="W7" i="24"/>
  <c r="Y7" i="24" s="1"/>
  <c r="P16" i="25"/>
  <c r="O16" i="25"/>
  <c r="P141" i="25"/>
  <c r="O141" i="25"/>
  <c r="V147" i="24"/>
  <c r="T103" i="25"/>
  <c r="V303" i="24"/>
  <c r="U240" i="25"/>
  <c r="S148" i="25"/>
  <c r="K148" i="25" s="1"/>
  <c r="V148" i="25" s="1"/>
  <c r="R148" i="25"/>
  <c r="Q148" i="25"/>
  <c r="P111" i="24"/>
  <c r="Q111" i="24"/>
  <c r="J224" i="24"/>
  <c r="O224" i="24"/>
  <c r="BZ224" i="24" s="1"/>
  <c r="P40" i="25"/>
  <c r="O40" i="25"/>
  <c r="T40" i="25"/>
  <c r="P92" i="24"/>
  <c r="Q92" i="24"/>
  <c r="R92" i="24" s="1"/>
  <c r="U51" i="25"/>
  <c r="U15" i="25"/>
  <c r="P22" i="25"/>
  <c r="O22" i="25"/>
  <c r="T22" i="25"/>
  <c r="U279" i="25"/>
  <c r="V24" i="24"/>
  <c r="P309" i="25"/>
  <c r="O309" i="25"/>
  <c r="J134" i="24"/>
  <c r="O134" i="24"/>
  <c r="BZ134" i="24" s="1"/>
  <c r="N204" i="24"/>
  <c r="U204" i="24"/>
  <c r="P182" i="25"/>
  <c r="O182" i="25"/>
  <c r="J228" i="24"/>
  <c r="O228" i="24"/>
  <c r="BZ228" i="24" s="1"/>
  <c r="P311" i="25"/>
  <c r="O311" i="25"/>
  <c r="P287" i="25"/>
  <c r="O287" i="25"/>
  <c r="T287" i="25"/>
  <c r="Q17" i="24"/>
  <c r="R17" i="24" s="1"/>
  <c r="P17" i="24"/>
  <c r="P101" i="25"/>
  <c r="O101" i="25"/>
  <c r="P76" i="25"/>
  <c r="O76" i="25"/>
  <c r="T76" i="25"/>
  <c r="N260" i="24"/>
  <c r="P156" i="25"/>
  <c r="O156" i="25"/>
  <c r="T156" i="25"/>
  <c r="U33" i="25"/>
  <c r="AP240" i="24"/>
  <c r="U171" i="24"/>
  <c r="T121" i="25"/>
  <c r="J279" i="24"/>
  <c r="W279" i="24" s="1"/>
  <c r="O279" i="24"/>
  <c r="BZ279" i="24" s="1"/>
  <c r="O200" i="24"/>
  <c r="BZ200" i="24" s="1"/>
  <c r="J200" i="24"/>
  <c r="W200" i="24" s="1"/>
  <c r="P117" i="25"/>
  <c r="O117" i="25"/>
  <c r="P297" i="25"/>
  <c r="O297" i="25"/>
  <c r="T297" i="25"/>
  <c r="N259" i="24"/>
  <c r="J83" i="24"/>
  <c r="W83" i="24" s="1"/>
  <c r="O83" i="24"/>
  <c r="BZ83" i="24" s="1"/>
  <c r="U52" i="25"/>
  <c r="N158" i="24"/>
  <c r="U158" i="24"/>
  <c r="Q96" i="24"/>
  <c r="R96" i="24" s="1"/>
  <c r="P96" i="24"/>
  <c r="N58" i="24"/>
  <c r="U58" i="24"/>
  <c r="N149" i="24"/>
  <c r="U149" i="24"/>
  <c r="O112" i="25"/>
  <c r="P112" i="25"/>
  <c r="T112" i="25"/>
  <c r="P125" i="25"/>
  <c r="O125" i="25"/>
  <c r="T125" i="25"/>
  <c r="J220" i="24"/>
  <c r="O220" i="24"/>
  <c r="BZ220" i="24" s="1"/>
  <c r="U254" i="25"/>
  <c r="J27" i="24"/>
  <c r="O27" i="24"/>
  <c r="BZ27" i="24" s="1"/>
  <c r="P83" i="25"/>
  <c r="O83" i="25"/>
  <c r="P90" i="25"/>
  <c r="O90" i="25"/>
  <c r="T90" i="25"/>
  <c r="U196" i="24"/>
  <c r="V48" i="24"/>
  <c r="O31" i="24"/>
  <c r="BZ31" i="24" s="1"/>
  <c r="J31" i="24"/>
  <c r="AP293" i="24"/>
  <c r="J59" i="24"/>
  <c r="O59" i="24"/>
  <c r="BZ59" i="24" s="1"/>
  <c r="P37" i="25"/>
  <c r="O37" i="25"/>
  <c r="O206" i="24"/>
  <c r="BZ206" i="24" s="1"/>
  <c r="J206" i="24"/>
  <c r="P263" i="25"/>
  <c r="O263" i="25"/>
  <c r="O219" i="24"/>
  <c r="BZ219" i="24" s="1"/>
  <c r="J219" i="24"/>
  <c r="W219" i="24" s="1"/>
  <c r="J140" i="24"/>
  <c r="O140" i="24"/>
  <c r="BZ140" i="24" s="1"/>
  <c r="O169" i="25"/>
  <c r="P169" i="25"/>
  <c r="T169" i="25"/>
  <c r="AO170" i="25"/>
  <c r="AP135" i="24"/>
  <c r="O210" i="24"/>
  <c r="BZ210" i="24" s="1"/>
  <c r="J210" i="24"/>
  <c r="N26" i="24"/>
  <c r="U26" i="24"/>
  <c r="R34" i="25"/>
  <c r="S34" i="25"/>
  <c r="K34" i="25" s="1"/>
  <c r="Q34" i="25"/>
  <c r="N183" i="24"/>
  <c r="U183" i="24"/>
  <c r="O42" i="24"/>
  <c r="BZ42" i="24" s="1"/>
  <c r="J42" i="24"/>
  <c r="J58" i="24"/>
  <c r="O58" i="24"/>
  <c r="BZ58" i="24" s="1"/>
  <c r="O25" i="24"/>
  <c r="BZ25" i="24" s="1"/>
  <c r="J25" i="24"/>
  <c r="W25" i="24" s="1"/>
  <c r="U82" i="25"/>
  <c r="AE190" i="24"/>
  <c r="X190" i="24"/>
  <c r="AA190" i="24" s="1"/>
  <c r="AB190" i="24" s="1"/>
  <c r="AC190" i="24" s="1"/>
  <c r="AI190" i="24"/>
  <c r="P279" i="25"/>
  <c r="O279" i="25"/>
  <c r="P300" i="25"/>
  <c r="O300" i="25"/>
  <c r="Q177" i="24"/>
  <c r="P177" i="24"/>
  <c r="P316" i="25"/>
  <c r="O316" i="25"/>
  <c r="B86" i="2"/>
  <c r="V72" i="24"/>
  <c r="J66" i="24"/>
  <c r="O66" i="24"/>
  <c r="BZ66" i="24" s="1"/>
  <c r="J60" i="24"/>
  <c r="O60" i="24"/>
  <c r="BZ60" i="24" s="1"/>
  <c r="AP13" i="24"/>
  <c r="J144" i="24"/>
  <c r="O144" i="24"/>
  <c r="BZ144" i="24" s="1"/>
  <c r="O241" i="24"/>
  <c r="BZ241" i="24" s="1"/>
  <c r="J241" i="24"/>
  <c r="P198" i="24"/>
  <c r="Q198" i="24"/>
  <c r="P128" i="24"/>
  <c r="Q128" i="24"/>
  <c r="P45" i="25"/>
  <c r="O45" i="25"/>
  <c r="N80" i="24"/>
  <c r="U80" i="24"/>
  <c r="AP124" i="24"/>
  <c r="U310" i="25"/>
  <c r="Q201" i="24"/>
  <c r="P201" i="24"/>
  <c r="V53" i="24"/>
  <c r="U59" i="25"/>
  <c r="AO62" i="25"/>
  <c r="J203" i="24"/>
  <c r="O203" i="24"/>
  <c r="BZ203" i="24" s="1"/>
  <c r="V181" i="24"/>
  <c r="U247" i="25"/>
  <c r="O8" i="24"/>
  <c r="BZ8" i="24" s="1"/>
  <c r="J8" i="24"/>
  <c r="AO198" i="25"/>
  <c r="AP104" i="24"/>
  <c r="O137" i="24"/>
  <c r="BZ137" i="24" s="1"/>
  <c r="J137" i="24"/>
  <c r="W41" i="24"/>
  <c r="Y41" i="24" s="1"/>
  <c r="AP102" i="24"/>
  <c r="U75" i="24"/>
  <c r="W191" i="24"/>
  <c r="Y191" i="24" s="1"/>
  <c r="O75" i="24"/>
  <c r="BZ75" i="24" s="1"/>
  <c r="J75" i="24"/>
  <c r="P254" i="25"/>
  <c r="O254" i="25"/>
  <c r="P231" i="25"/>
  <c r="O231" i="25"/>
  <c r="T231" i="25"/>
  <c r="O90" i="24"/>
  <c r="BZ90" i="24" s="1"/>
  <c r="J90" i="24"/>
  <c r="P227" i="25"/>
  <c r="O227" i="25"/>
  <c r="AP201" i="24"/>
  <c r="P183" i="25"/>
  <c r="O183" i="25"/>
  <c r="T183" i="25"/>
  <c r="P140" i="25"/>
  <c r="O140" i="25"/>
  <c r="T140" i="25"/>
  <c r="T101" i="25"/>
  <c r="P115" i="24"/>
  <c r="Q115" i="24"/>
  <c r="J103" i="24"/>
  <c r="O103" i="24"/>
  <c r="BZ103" i="24" s="1"/>
  <c r="AP75" i="24"/>
  <c r="T157" i="25"/>
  <c r="P128" i="25"/>
  <c r="O128" i="25"/>
  <c r="T171" i="25"/>
  <c r="J172" i="24"/>
  <c r="O172" i="24"/>
  <c r="BZ172" i="24" s="1"/>
  <c r="AE22" i="24"/>
  <c r="X22" i="24"/>
  <c r="AA22" i="24" s="1"/>
  <c r="AB22" i="24" s="1"/>
  <c r="AC22" i="24" s="1"/>
  <c r="AI22" i="24"/>
  <c r="BZ131" i="25"/>
  <c r="P256" i="25"/>
  <c r="O256" i="25"/>
  <c r="P149" i="25"/>
  <c r="O149" i="25"/>
  <c r="O258" i="24"/>
  <c r="BZ258" i="24" s="1"/>
  <c r="J258" i="24"/>
  <c r="O284" i="24"/>
  <c r="BZ284" i="24" s="1"/>
  <c r="J284" i="24"/>
  <c r="O87" i="24"/>
  <c r="BZ87" i="24" s="1"/>
  <c r="J87" i="24"/>
  <c r="O269" i="24"/>
  <c r="BZ269" i="24" s="1"/>
  <c r="J269" i="24"/>
  <c r="U14" i="25"/>
  <c r="V16" i="24"/>
  <c r="U138" i="24"/>
  <c r="R247" i="25"/>
  <c r="S247" i="25"/>
  <c r="K247" i="25" s="1"/>
  <c r="V247" i="25" s="1"/>
  <c r="Q247" i="25"/>
  <c r="P58" i="25"/>
  <c r="O58" i="25"/>
  <c r="Q19" i="24"/>
  <c r="R19" i="24" s="1"/>
  <c r="P19" i="24"/>
  <c r="U168" i="24"/>
  <c r="P38" i="25"/>
  <c r="O38" i="25"/>
  <c r="T38" i="25"/>
  <c r="U248" i="25"/>
  <c r="Q313" i="24"/>
  <c r="P313" i="24"/>
  <c r="S283" i="25"/>
  <c r="K283" i="25" s="1"/>
  <c r="V283" i="25" s="1"/>
  <c r="R283" i="25"/>
  <c r="Q283" i="25"/>
  <c r="BZ257" i="25"/>
  <c r="AP243" i="24"/>
  <c r="AP185" i="24"/>
  <c r="S314" i="25"/>
  <c r="K314" i="25" s="1"/>
  <c r="V314" i="25" s="1"/>
  <c r="R314" i="25"/>
  <c r="Q314" i="25"/>
  <c r="V310" i="24"/>
  <c r="T55" i="25"/>
  <c r="P44" i="25"/>
  <c r="O44" i="25"/>
  <c r="T44" i="25"/>
  <c r="J170" i="24"/>
  <c r="O170" i="24"/>
  <c r="BZ170" i="24" s="1"/>
  <c r="W119" i="24"/>
  <c r="Y119" i="24" s="1"/>
  <c r="V142" i="24"/>
  <c r="W142" i="24"/>
  <c r="P42" i="25"/>
  <c r="O42" i="25"/>
  <c r="U159" i="24"/>
  <c r="P10" i="24"/>
  <c r="Q10" i="24"/>
  <c r="R10" i="24" s="1"/>
  <c r="V130" i="24"/>
  <c r="V268" i="24"/>
  <c r="J261" i="24"/>
  <c r="O261" i="24"/>
  <c r="BZ261" i="24" s="1"/>
  <c r="Q303" i="24"/>
  <c r="P303" i="24"/>
  <c r="R240" i="25"/>
  <c r="S240" i="25"/>
  <c r="K240" i="25" s="1"/>
  <c r="V240" i="25" s="1"/>
  <c r="Q240" i="25"/>
  <c r="V97" i="24"/>
  <c r="T105" i="25"/>
  <c r="W292" i="24"/>
  <c r="Y292" i="24" s="1"/>
  <c r="Q222" i="24" l="1"/>
  <c r="AP223" i="24"/>
  <c r="W233" i="24"/>
  <c r="Y233" i="24" s="1"/>
  <c r="W236" i="24"/>
  <c r="Y236" i="24" s="1"/>
  <c r="AO190" i="25"/>
  <c r="Q300" i="24"/>
  <c r="BZ190" i="25"/>
  <c r="AP284" i="24"/>
  <c r="Q190" i="25"/>
  <c r="R190" i="25"/>
  <c r="W294" i="24"/>
  <c r="Y294" i="24" s="1"/>
  <c r="Q301" i="24"/>
  <c r="P301" i="24"/>
  <c r="W264" i="24"/>
  <c r="Y264" i="24" s="1"/>
  <c r="AP300" i="24"/>
  <c r="AP289" i="24"/>
  <c r="P222" i="24"/>
  <c r="AP222" i="24"/>
  <c r="Q284" i="24"/>
  <c r="Q275" i="24"/>
  <c r="P275" i="24"/>
  <c r="P253" i="24"/>
  <c r="Q253" i="24"/>
  <c r="Q297" i="24"/>
  <c r="P297" i="24"/>
  <c r="Q289" i="24"/>
  <c r="Q285" i="24"/>
  <c r="P285" i="24"/>
  <c r="R262" i="25"/>
  <c r="Q262" i="25"/>
  <c r="S262" i="25"/>
  <c r="K262" i="25" s="1"/>
  <c r="V262" i="25" s="1"/>
  <c r="X262" i="25" s="1"/>
  <c r="BZ262" i="25"/>
  <c r="X170" i="25"/>
  <c r="AO96" i="25"/>
  <c r="Q94" i="25"/>
  <c r="BZ94" i="25"/>
  <c r="R94" i="25"/>
  <c r="AO94" i="25"/>
  <c r="Y270" i="24"/>
  <c r="W55" i="24"/>
  <c r="Y55" i="24" s="1"/>
  <c r="Y268" i="24"/>
  <c r="Y97" i="24"/>
  <c r="Y61" i="24"/>
  <c r="Y205" i="24"/>
  <c r="Y248" i="24"/>
  <c r="Y238" i="24"/>
  <c r="Y313" i="24"/>
  <c r="Y237" i="24"/>
  <c r="Y303" i="24"/>
  <c r="Y133" i="24"/>
  <c r="X62" i="25"/>
  <c r="Y130" i="24"/>
  <c r="Y52" i="24"/>
  <c r="Y32" i="24"/>
  <c r="Y24" i="24"/>
  <c r="Y30" i="24"/>
  <c r="X248" i="25"/>
  <c r="Y142" i="24"/>
  <c r="Y310" i="24"/>
  <c r="Y68" i="24"/>
  <c r="Y48" i="24"/>
  <c r="Y306" i="24"/>
  <c r="Y223" i="24"/>
  <c r="Y226" i="24"/>
  <c r="Y231" i="24"/>
  <c r="X204" i="25"/>
  <c r="Y16" i="24"/>
  <c r="Y234" i="24"/>
  <c r="Y43" i="24"/>
  <c r="X147" i="25"/>
  <c r="X82" i="25"/>
  <c r="AO104" i="25"/>
  <c r="Y147" i="24"/>
  <c r="Y307" i="24"/>
  <c r="Y181" i="24"/>
  <c r="X59" i="25"/>
  <c r="X275" i="25"/>
  <c r="X14" i="25"/>
  <c r="X229" i="25"/>
  <c r="Y182" i="24"/>
  <c r="Y272" i="24"/>
  <c r="Y271" i="24"/>
  <c r="Y190" i="24"/>
  <c r="Y219" i="24"/>
  <c r="X89" i="25"/>
  <c r="Y199" i="24"/>
  <c r="Y227" i="24"/>
  <c r="Y121" i="24"/>
  <c r="X283" i="25"/>
  <c r="X161" i="25"/>
  <c r="Y279" i="24"/>
  <c r="Y290" i="24"/>
  <c r="Y163" i="24"/>
  <c r="Y200" i="24"/>
  <c r="Y312" i="24"/>
  <c r="X292" i="25"/>
  <c r="X113" i="25"/>
  <c r="X199" i="25"/>
  <c r="X201" i="25"/>
  <c r="X238" i="25"/>
  <c r="X158" i="25"/>
  <c r="X32" i="25"/>
  <c r="X267" i="25"/>
  <c r="X282" i="25"/>
  <c r="X273" i="25"/>
  <c r="X314" i="25"/>
  <c r="X247" i="25"/>
  <c r="X178" i="25"/>
  <c r="X21" i="25"/>
  <c r="X276" i="25"/>
  <c r="X87" i="25"/>
  <c r="X240" i="25"/>
  <c r="X148" i="25"/>
  <c r="X95" i="25"/>
  <c r="X305" i="25"/>
  <c r="X30" i="25"/>
  <c r="X173" i="25"/>
  <c r="X243" i="25"/>
  <c r="Y86" i="24"/>
  <c r="Y19" i="24"/>
  <c r="Y22" i="24"/>
  <c r="Y72" i="24"/>
  <c r="Y44" i="24"/>
  <c r="Y53" i="24"/>
  <c r="Y10" i="24"/>
  <c r="Y40" i="24"/>
  <c r="Y83" i="24"/>
  <c r="Y21" i="24"/>
  <c r="Y25" i="24"/>
  <c r="Y101" i="24"/>
  <c r="Y62" i="24"/>
  <c r="W160" i="24"/>
  <c r="Y160" i="24" s="1"/>
  <c r="S11" i="25"/>
  <c r="K11" i="25" s="1"/>
  <c r="V11" i="25" s="1"/>
  <c r="X11" i="25" s="1"/>
  <c r="R11" i="25"/>
  <c r="Q11" i="25"/>
  <c r="R280" i="25"/>
  <c r="S280" i="25"/>
  <c r="K280" i="25" s="1"/>
  <c r="V280" i="25" s="1"/>
  <c r="X280" i="25" s="1"/>
  <c r="BZ11" i="25"/>
  <c r="AO280" i="25"/>
  <c r="BZ280" i="25"/>
  <c r="W305" i="24"/>
  <c r="Y305" i="24" s="1"/>
  <c r="S155" i="25"/>
  <c r="K155" i="25" s="1"/>
  <c r="W155" i="25" s="1"/>
  <c r="Z155" i="25" s="1"/>
  <c r="AA155" i="25" s="1"/>
  <c r="AB155" i="25" s="1"/>
  <c r="AI155" i="25" s="1"/>
  <c r="R155" i="25"/>
  <c r="W267" i="24"/>
  <c r="Y267" i="24" s="1"/>
  <c r="AJ191" i="24"/>
  <c r="AT191" i="24" s="1"/>
  <c r="Q155" i="25"/>
  <c r="W252" i="24"/>
  <c r="Y252" i="24" s="1"/>
  <c r="AJ190" i="24"/>
  <c r="AT190" i="24" s="1"/>
  <c r="W152" i="24"/>
  <c r="Y152" i="24" s="1"/>
  <c r="Q96" i="25"/>
  <c r="W12" i="24"/>
  <c r="Y12" i="24" s="1"/>
  <c r="R96" i="25"/>
  <c r="S96" i="25"/>
  <c r="K96" i="25" s="1"/>
  <c r="AD96" i="25" s="1"/>
  <c r="W178" i="24"/>
  <c r="Y178" i="24" s="1"/>
  <c r="W128" i="24"/>
  <c r="Y128" i="24" s="1"/>
  <c r="BZ155" i="25"/>
  <c r="W87" i="24"/>
  <c r="Y87" i="24" s="1"/>
  <c r="BZ96" i="25"/>
  <c r="W137" i="24"/>
  <c r="Y137" i="24" s="1"/>
  <c r="W276" i="24"/>
  <c r="Y276" i="24" s="1"/>
  <c r="W74" i="24"/>
  <c r="Y74" i="24" s="1"/>
  <c r="W286" i="24"/>
  <c r="Y286" i="24" s="1"/>
  <c r="W254" i="24"/>
  <c r="Y254" i="24" s="1"/>
  <c r="W60" i="24"/>
  <c r="Y60" i="24" s="1"/>
  <c r="W143" i="25"/>
  <c r="Z143" i="25" s="1"/>
  <c r="AA143" i="25" s="1"/>
  <c r="AB143" i="25" s="1"/>
  <c r="AI143" i="25" s="1"/>
  <c r="AS143" i="25" s="1"/>
  <c r="Q265" i="25"/>
  <c r="AD143" i="25"/>
  <c r="AE143" i="25" s="1"/>
  <c r="AJ162" i="24"/>
  <c r="AT162" i="24" s="1"/>
  <c r="AJ160" i="24"/>
  <c r="AT160" i="24" s="1"/>
  <c r="Q154" i="25"/>
  <c r="S154" i="25"/>
  <c r="K154" i="25" s="1"/>
  <c r="V154" i="25" s="1"/>
  <c r="X154" i="25" s="1"/>
  <c r="R154" i="25"/>
  <c r="W296" i="24"/>
  <c r="Y296" i="24" s="1"/>
  <c r="BZ154" i="25"/>
  <c r="W314" i="24"/>
  <c r="Y314" i="24" s="1"/>
  <c r="AJ101" i="24"/>
  <c r="W165" i="24"/>
  <c r="Y165" i="24" s="1"/>
  <c r="W157" i="24"/>
  <c r="Y157" i="24" s="1"/>
  <c r="W217" i="24"/>
  <c r="Y217" i="24" s="1"/>
  <c r="W91" i="24"/>
  <c r="Y91" i="24" s="1"/>
  <c r="P223" i="24"/>
  <c r="Q223" i="24"/>
  <c r="BZ97" i="25"/>
  <c r="W230" i="24"/>
  <c r="Y230" i="24" s="1"/>
  <c r="Q97" i="25"/>
  <c r="R97" i="25"/>
  <c r="S97" i="25"/>
  <c r="K97" i="25" s="1"/>
  <c r="V97" i="25" s="1"/>
  <c r="X97" i="25" s="1"/>
  <c r="AO97" i="25"/>
  <c r="Q258" i="25"/>
  <c r="S258" i="25"/>
  <c r="K258" i="25" s="1"/>
  <c r="V258" i="25" s="1"/>
  <c r="X258" i="25" s="1"/>
  <c r="W302" i="24"/>
  <c r="Y302" i="24" s="1"/>
  <c r="R258" i="25"/>
  <c r="AO258" i="25"/>
  <c r="W208" i="24"/>
  <c r="Y208" i="24" s="1"/>
  <c r="W49" i="24"/>
  <c r="Y49" i="24" s="1"/>
  <c r="S265" i="25"/>
  <c r="K265" i="25" s="1"/>
  <c r="AD265" i="25" s="1"/>
  <c r="BZ29" i="25"/>
  <c r="R265" i="25"/>
  <c r="Q291" i="25"/>
  <c r="AO29" i="25"/>
  <c r="R291" i="25"/>
  <c r="Q29" i="25"/>
  <c r="S291" i="25"/>
  <c r="K291" i="25" s="1"/>
  <c r="V291" i="25" s="1"/>
  <c r="X291" i="25" s="1"/>
  <c r="S29" i="25"/>
  <c r="K29" i="25" s="1"/>
  <c r="AD29" i="25" s="1"/>
  <c r="BZ265" i="25"/>
  <c r="R59" i="25"/>
  <c r="Q189" i="25"/>
  <c r="W37" i="24"/>
  <c r="S189" i="25"/>
  <c r="K189" i="25" s="1"/>
  <c r="W189" i="25" s="1"/>
  <c r="Z189" i="25" s="1"/>
  <c r="AA189" i="25" s="1"/>
  <c r="AB189" i="25" s="1"/>
  <c r="AI189" i="25" s="1"/>
  <c r="R189" i="25"/>
  <c r="BZ189" i="25"/>
  <c r="AO179" i="25"/>
  <c r="BZ179" i="25"/>
  <c r="Q179" i="25"/>
  <c r="S179" i="25"/>
  <c r="K179" i="25" s="1"/>
  <c r="V179" i="25" s="1"/>
  <c r="X179" i="25" s="1"/>
  <c r="BZ291" i="25"/>
  <c r="V37" i="24"/>
  <c r="W125" i="24"/>
  <c r="Y125" i="24" s="1"/>
  <c r="R28" i="25"/>
  <c r="W50" i="24"/>
  <c r="Y50" i="24" s="1"/>
  <c r="W265" i="24"/>
  <c r="Y265" i="24" s="1"/>
  <c r="W11" i="24"/>
  <c r="Y11" i="24" s="1"/>
  <c r="W175" i="24"/>
  <c r="Y175" i="24" s="1"/>
  <c r="W201" i="24"/>
  <c r="Y201" i="24" s="1"/>
  <c r="Q104" i="25"/>
  <c r="Q28" i="25"/>
  <c r="S28" i="25"/>
  <c r="K28" i="25" s="1"/>
  <c r="AD28" i="25" s="1"/>
  <c r="W253" i="24"/>
  <c r="Y253" i="24" s="1"/>
  <c r="Q59" i="25"/>
  <c r="R104" i="25"/>
  <c r="S104" i="25"/>
  <c r="K104" i="25" s="1"/>
  <c r="W104" i="25" s="1"/>
  <c r="Z104" i="25" s="1"/>
  <c r="AA104" i="25" s="1"/>
  <c r="AB104" i="25" s="1"/>
  <c r="AI104" i="25" s="1"/>
  <c r="Q237" i="25"/>
  <c r="BZ237" i="25"/>
  <c r="AO237" i="25"/>
  <c r="S237" i="25"/>
  <c r="K237" i="25" s="1"/>
  <c r="V237" i="25" s="1"/>
  <c r="X237" i="25" s="1"/>
  <c r="BZ104" i="25"/>
  <c r="BZ28" i="25"/>
  <c r="BZ59" i="25"/>
  <c r="AO59" i="25"/>
  <c r="W274" i="24"/>
  <c r="Y274" i="24" s="1"/>
  <c r="W20" i="24"/>
  <c r="Y20" i="24" s="1"/>
  <c r="W70" i="24"/>
  <c r="Y70" i="24" s="1"/>
  <c r="BN212" i="25"/>
  <c r="I212" i="25"/>
  <c r="CC212" i="25"/>
  <c r="BM212" i="25"/>
  <c r="AL212" i="25"/>
  <c r="J212" i="25"/>
  <c r="L212" i="25" s="1"/>
  <c r="AJ21" i="24"/>
  <c r="W124" i="24"/>
  <c r="AJ45" i="24"/>
  <c r="W224" i="24"/>
  <c r="Y224" i="24" s="1"/>
  <c r="W198" i="24"/>
  <c r="Y198" i="24" s="1"/>
  <c r="V124" i="24"/>
  <c r="W56" i="24"/>
  <c r="Y56" i="24" s="1"/>
  <c r="W169" i="24"/>
  <c r="Y169" i="24" s="1"/>
  <c r="AO77" i="25"/>
  <c r="S77" i="25"/>
  <c r="K77" i="25" s="1"/>
  <c r="BZ77" i="25"/>
  <c r="R77" i="25"/>
  <c r="Q77" i="25"/>
  <c r="AJ44" i="24"/>
  <c r="AJ55" i="24"/>
  <c r="AJ294" i="24"/>
  <c r="AT294" i="24" s="1"/>
  <c r="AJ41" i="24"/>
  <c r="AJ257" i="24"/>
  <c r="AT257" i="24" s="1"/>
  <c r="AJ119" i="24"/>
  <c r="AT119" i="24" s="1"/>
  <c r="AJ7" i="24"/>
  <c r="AJ233" i="24"/>
  <c r="AT233" i="24" s="1"/>
  <c r="AE284" i="24"/>
  <c r="AI284" i="24"/>
  <c r="X284" i="24"/>
  <c r="AA284" i="24" s="1"/>
  <c r="AB284" i="24" s="1"/>
  <c r="AC284" i="24" s="1"/>
  <c r="AE210" i="24"/>
  <c r="AI210" i="24"/>
  <c r="X210" i="24"/>
  <c r="AA210" i="24" s="1"/>
  <c r="AB210" i="24" s="1"/>
  <c r="AC210" i="24" s="1"/>
  <c r="U288" i="25"/>
  <c r="AE120" i="24"/>
  <c r="AI120" i="24"/>
  <c r="X120" i="24"/>
  <c r="AA120" i="24" s="1"/>
  <c r="AB120" i="24" s="1"/>
  <c r="AC120" i="24" s="1"/>
  <c r="U303" i="25"/>
  <c r="AD114" i="25"/>
  <c r="W114" i="25"/>
  <c r="Z114" i="25" s="1"/>
  <c r="AA114" i="25" s="1"/>
  <c r="AB114" i="25" s="1"/>
  <c r="AI114" i="25" s="1"/>
  <c r="V295" i="24"/>
  <c r="W295" i="24"/>
  <c r="S18" i="25"/>
  <c r="K18" i="25" s="1"/>
  <c r="V18" i="25" s="1"/>
  <c r="R18" i="25"/>
  <c r="Q18" i="25"/>
  <c r="AO18" i="25"/>
  <c r="BZ18" i="25"/>
  <c r="S88" i="25"/>
  <c r="K88" i="25" s="1"/>
  <c r="R88" i="25"/>
  <c r="Q88" i="25"/>
  <c r="AO88" i="25"/>
  <c r="BZ88" i="25"/>
  <c r="AE155" i="24"/>
  <c r="AI155" i="24"/>
  <c r="X155" i="24"/>
  <c r="AA155" i="24" s="1"/>
  <c r="AB155" i="24" s="1"/>
  <c r="AC155" i="24" s="1"/>
  <c r="AE250" i="24"/>
  <c r="AI250" i="24"/>
  <c r="X250" i="24"/>
  <c r="AA250" i="24" s="1"/>
  <c r="AB250" i="24" s="1"/>
  <c r="AC250" i="24" s="1"/>
  <c r="W298" i="24"/>
  <c r="V298" i="24"/>
  <c r="AD167" i="25"/>
  <c r="W167" i="25"/>
  <c r="Z167" i="25" s="1"/>
  <c r="AA167" i="25" s="1"/>
  <c r="AB167" i="25" s="1"/>
  <c r="AI167" i="25" s="1"/>
  <c r="AE81" i="24"/>
  <c r="AI81" i="24"/>
  <c r="X81" i="24"/>
  <c r="AA81" i="24" s="1"/>
  <c r="AB81" i="24" s="1"/>
  <c r="AC81" i="24" s="1"/>
  <c r="Q117" i="24"/>
  <c r="P117" i="24"/>
  <c r="AP117" i="24"/>
  <c r="AE278" i="24"/>
  <c r="AI278" i="24"/>
  <c r="X278" i="24"/>
  <c r="AA278" i="24" s="1"/>
  <c r="AB278" i="24" s="1"/>
  <c r="AC278" i="24" s="1"/>
  <c r="S56" i="25"/>
  <c r="K56" i="25" s="1"/>
  <c r="V56" i="25" s="1"/>
  <c r="R56" i="25"/>
  <c r="Q56" i="25"/>
  <c r="BZ56" i="25"/>
  <c r="AO56" i="25"/>
  <c r="AE232" i="24"/>
  <c r="AI232" i="24"/>
  <c r="X232" i="24"/>
  <c r="AA232" i="24" s="1"/>
  <c r="AB232" i="24" s="1"/>
  <c r="AC232" i="24" s="1"/>
  <c r="Q187" i="24"/>
  <c r="P187" i="24"/>
  <c r="AP187" i="24"/>
  <c r="W17" i="24"/>
  <c r="V17" i="24"/>
  <c r="R251" i="25"/>
  <c r="S251" i="25"/>
  <c r="K251" i="25" s="1"/>
  <c r="V251" i="25" s="1"/>
  <c r="Q251" i="25"/>
  <c r="AO251" i="25"/>
  <c r="BZ251" i="25"/>
  <c r="AG162" i="24"/>
  <c r="AF162" i="24"/>
  <c r="AE282" i="24"/>
  <c r="AI282" i="24"/>
  <c r="X282" i="24"/>
  <c r="AA282" i="24" s="1"/>
  <c r="AB282" i="24" s="1"/>
  <c r="AC282" i="24" s="1"/>
  <c r="V59" i="24"/>
  <c r="W59" i="24"/>
  <c r="R49" i="25"/>
  <c r="S49" i="25"/>
  <c r="K49" i="25" s="1"/>
  <c r="Q49" i="25"/>
  <c r="AO49" i="25"/>
  <c r="BZ49" i="25"/>
  <c r="AE305" i="24"/>
  <c r="AI305" i="24"/>
  <c r="X305" i="24"/>
  <c r="AA305" i="24" s="1"/>
  <c r="AB305" i="24" s="1"/>
  <c r="AC305" i="24" s="1"/>
  <c r="R249" i="25"/>
  <c r="S249" i="25"/>
  <c r="K249" i="25" s="1"/>
  <c r="V249" i="25" s="1"/>
  <c r="Q249" i="25"/>
  <c r="AO249" i="25"/>
  <c r="BZ249" i="25"/>
  <c r="V126" i="24"/>
  <c r="W126" i="24"/>
  <c r="AD206" i="25"/>
  <c r="W206" i="25"/>
  <c r="Z206" i="25" s="1"/>
  <c r="AA206" i="25" s="1"/>
  <c r="AB206" i="25" s="1"/>
  <c r="AI206" i="25" s="1"/>
  <c r="V31" i="24"/>
  <c r="W31" i="24"/>
  <c r="AE114" i="24"/>
  <c r="AI114" i="24"/>
  <c r="X114" i="24"/>
  <c r="AA114" i="24" s="1"/>
  <c r="AB114" i="24" s="1"/>
  <c r="AC114" i="24" s="1"/>
  <c r="S294" i="25"/>
  <c r="K294" i="25" s="1"/>
  <c r="R294" i="25"/>
  <c r="Q294" i="25"/>
  <c r="BZ294" i="25"/>
  <c r="AO294" i="25"/>
  <c r="W81" i="24"/>
  <c r="Y81" i="24" s="1"/>
  <c r="U230" i="25"/>
  <c r="AG21" i="24"/>
  <c r="AF21" i="24"/>
  <c r="AE73" i="24"/>
  <c r="AI73" i="24"/>
  <c r="X73" i="24"/>
  <c r="AA73" i="24" s="1"/>
  <c r="AB73" i="24" s="1"/>
  <c r="AC73" i="24" s="1"/>
  <c r="AE115" i="24"/>
  <c r="AI115" i="24"/>
  <c r="X115" i="24"/>
  <c r="AA115" i="24" s="1"/>
  <c r="AB115" i="24" s="1"/>
  <c r="AC115" i="24" s="1"/>
  <c r="AE38" i="24"/>
  <c r="AI38" i="24"/>
  <c r="X38" i="24"/>
  <c r="AA38" i="24" s="1"/>
  <c r="AB38" i="24" s="1"/>
  <c r="AC38" i="24" s="1"/>
  <c r="AE188" i="24"/>
  <c r="AI188" i="24"/>
  <c r="X188" i="24"/>
  <c r="AA188" i="24" s="1"/>
  <c r="AB188" i="24" s="1"/>
  <c r="AC188" i="24" s="1"/>
  <c r="AE308" i="24"/>
  <c r="AI308" i="24"/>
  <c r="X308" i="24"/>
  <c r="AA308" i="24" s="1"/>
  <c r="AB308" i="24" s="1"/>
  <c r="AC308" i="24" s="1"/>
  <c r="U197" i="25"/>
  <c r="AG132" i="24"/>
  <c r="AF132" i="24"/>
  <c r="R25" i="25"/>
  <c r="S25" i="25"/>
  <c r="K25" i="25" s="1"/>
  <c r="V25" i="25" s="1"/>
  <c r="Q25" i="25"/>
  <c r="BZ25" i="25"/>
  <c r="AO25" i="25"/>
  <c r="AE151" i="24"/>
  <c r="AI151" i="24"/>
  <c r="X151" i="24"/>
  <c r="AA151" i="24" s="1"/>
  <c r="AB151" i="24" s="1"/>
  <c r="AC151" i="24" s="1"/>
  <c r="AE280" i="24"/>
  <c r="AI280" i="24"/>
  <c r="X280" i="24"/>
  <c r="AA280" i="24" s="1"/>
  <c r="AB280" i="24" s="1"/>
  <c r="AC280" i="24" s="1"/>
  <c r="V244" i="24"/>
  <c r="W244" i="24"/>
  <c r="AG160" i="24"/>
  <c r="AF160" i="24"/>
  <c r="AE65" i="24"/>
  <c r="AI65" i="24"/>
  <c r="X65" i="24"/>
  <c r="AA65" i="24" s="1"/>
  <c r="AB65" i="24" s="1"/>
  <c r="AC65" i="24" s="1"/>
  <c r="Q146" i="24"/>
  <c r="P146" i="24"/>
  <c r="AP146" i="24"/>
  <c r="P71" i="24"/>
  <c r="Q71" i="24"/>
  <c r="R71" i="24" s="1"/>
  <c r="AP71" i="24"/>
  <c r="AE113" i="24"/>
  <c r="AI113" i="24"/>
  <c r="X113" i="24"/>
  <c r="AA113" i="24" s="1"/>
  <c r="AB113" i="24" s="1"/>
  <c r="AC113" i="24" s="1"/>
  <c r="Q153" i="24"/>
  <c r="P153" i="24"/>
  <c r="AP153" i="24"/>
  <c r="U122" i="25"/>
  <c r="AE165" i="24"/>
  <c r="AI165" i="24"/>
  <c r="X165" i="24"/>
  <c r="AA165" i="24" s="1"/>
  <c r="AB165" i="24" s="1"/>
  <c r="AC165" i="24" s="1"/>
  <c r="AD306" i="25"/>
  <c r="W306" i="25"/>
  <c r="Z306" i="25" s="1"/>
  <c r="AA306" i="25" s="1"/>
  <c r="AB306" i="25" s="1"/>
  <c r="AI306" i="25" s="1"/>
  <c r="AE254" i="24"/>
  <c r="AI254" i="24"/>
  <c r="X254" i="24"/>
  <c r="AA254" i="24" s="1"/>
  <c r="AB254" i="24" s="1"/>
  <c r="AC254" i="24" s="1"/>
  <c r="AE166" i="24"/>
  <c r="AI166" i="24"/>
  <c r="X166" i="24"/>
  <c r="AA166" i="24" s="1"/>
  <c r="AB166" i="24" s="1"/>
  <c r="AC166" i="24" s="1"/>
  <c r="S220" i="25"/>
  <c r="K220" i="25" s="1"/>
  <c r="V220" i="25" s="1"/>
  <c r="R220" i="25"/>
  <c r="Q220" i="25"/>
  <c r="AO220" i="25"/>
  <c r="BZ220" i="25"/>
  <c r="R260" i="25"/>
  <c r="S260" i="25"/>
  <c r="K260" i="25" s="1"/>
  <c r="V260" i="25" s="1"/>
  <c r="Q260" i="25"/>
  <c r="BZ260" i="25"/>
  <c r="AO260" i="25"/>
  <c r="R15" i="25"/>
  <c r="S15" i="25"/>
  <c r="K15" i="25" s="1"/>
  <c r="Q15" i="25"/>
  <c r="BZ15" i="25"/>
  <c r="AO15" i="25"/>
  <c r="AE105" i="24"/>
  <c r="AI105" i="24"/>
  <c r="X105" i="24"/>
  <c r="AA105" i="24" s="1"/>
  <c r="AB105" i="24" s="1"/>
  <c r="AC105" i="24" s="1"/>
  <c r="Q63" i="24"/>
  <c r="R63" i="24" s="1"/>
  <c r="P63" i="24"/>
  <c r="AP63" i="24"/>
  <c r="S207" i="25"/>
  <c r="K207" i="25" s="1"/>
  <c r="V207" i="25" s="1"/>
  <c r="R207" i="25"/>
  <c r="Q207" i="25"/>
  <c r="AO207" i="25"/>
  <c r="BZ207" i="25"/>
  <c r="AE32" i="24"/>
  <c r="AI32" i="24"/>
  <c r="X32" i="24"/>
  <c r="AA32" i="24" s="1"/>
  <c r="AB32" i="24" s="1"/>
  <c r="AC32" i="24" s="1"/>
  <c r="R78" i="25"/>
  <c r="S78" i="25"/>
  <c r="K78" i="25" s="1"/>
  <c r="V78" i="25" s="1"/>
  <c r="Q78" i="25"/>
  <c r="AO78" i="25"/>
  <c r="BZ78" i="25"/>
  <c r="U86" i="25"/>
  <c r="R239" i="25"/>
  <c r="S239" i="25"/>
  <c r="K239" i="25" s="1"/>
  <c r="V239" i="25" s="1"/>
  <c r="Q239" i="25"/>
  <c r="BZ239" i="25"/>
  <c r="AO239" i="25"/>
  <c r="AD14" i="25"/>
  <c r="W14" i="25"/>
  <c r="Z14" i="25" s="1"/>
  <c r="AA14" i="25" s="1"/>
  <c r="AB14" i="25" s="1"/>
  <c r="AI14" i="25" s="1"/>
  <c r="U315" i="25"/>
  <c r="AE276" i="24"/>
  <c r="AI276" i="24"/>
  <c r="X276" i="24"/>
  <c r="AA276" i="24" s="1"/>
  <c r="AB276" i="24" s="1"/>
  <c r="AC276" i="24" s="1"/>
  <c r="AE79" i="24"/>
  <c r="AI79" i="24"/>
  <c r="X79" i="24"/>
  <c r="AA79" i="24" s="1"/>
  <c r="AB79" i="24" s="1"/>
  <c r="AC79" i="24" s="1"/>
  <c r="U302" i="25"/>
  <c r="AE179" i="24"/>
  <c r="AI179" i="24"/>
  <c r="X179" i="24"/>
  <c r="AA179" i="24" s="1"/>
  <c r="AB179" i="24" s="1"/>
  <c r="AC179" i="24" s="1"/>
  <c r="S66" i="25"/>
  <c r="K66" i="25" s="1"/>
  <c r="V66" i="25" s="1"/>
  <c r="R66" i="25"/>
  <c r="Q66" i="25"/>
  <c r="AO66" i="25"/>
  <c r="BZ66" i="25"/>
  <c r="AE251" i="24"/>
  <c r="AI251" i="24"/>
  <c r="X251" i="24"/>
  <c r="AA251" i="24" s="1"/>
  <c r="AB251" i="24" s="1"/>
  <c r="AC251" i="24" s="1"/>
  <c r="W251" i="24"/>
  <c r="Y251" i="24" s="1"/>
  <c r="AG7" i="24"/>
  <c r="AF7" i="24"/>
  <c r="W78" i="24"/>
  <c r="V78" i="24"/>
  <c r="W105" i="24"/>
  <c r="Y105" i="24" s="1"/>
  <c r="AE172" i="24"/>
  <c r="AI172" i="24"/>
  <c r="X172" i="24"/>
  <c r="AA172" i="24" s="1"/>
  <c r="AB172" i="24" s="1"/>
  <c r="AC172" i="24" s="1"/>
  <c r="V75" i="24"/>
  <c r="W75" i="24"/>
  <c r="S169" i="25"/>
  <c r="K169" i="25" s="1"/>
  <c r="V169" i="25" s="1"/>
  <c r="R169" i="25"/>
  <c r="Q169" i="25"/>
  <c r="BZ169" i="25"/>
  <c r="AO169" i="25"/>
  <c r="R112" i="25"/>
  <c r="S112" i="25"/>
  <c r="K112" i="25" s="1"/>
  <c r="V112" i="25" s="1"/>
  <c r="Q112" i="25"/>
  <c r="BZ112" i="25"/>
  <c r="AO112" i="25"/>
  <c r="V204" i="24"/>
  <c r="W204" i="24"/>
  <c r="AD232" i="25"/>
  <c r="V232" i="25"/>
  <c r="X232" i="25" s="1"/>
  <c r="W232" i="25"/>
  <c r="Z232" i="25" s="1"/>
  <c r="AA232" i="25" s="1"/>
  <c r="AB232" i="25" s="1"/>
  <c r="AI232" i="25" s="1"/>
  <c r="AE118" i="24"/>
  <c r="AI118" i="24"/>
  <c r="X118" i="24"/>
  <c r="AA118" i="24" s="1"/>
  <c r="AB118" i="24" s="1"/>
  <c r="AC118" i="24" s="1"/>
  <c r="AE141" i="24"/>
  <c r="AI141" i="24"/>
  <c r="X141" i="24"/>
  <c r="AA141" i="24" s="1"/>
  <c r="AB141" i="24" s="1"/>
  <c r="AC141" i="24" s="1"/>
  <c r="R312" i="25"/>
  <c r="S312" i="25"/>
  <c r="K312" i="25" s="1"/>
  <c r="Q312" i="25"/>
  <c r="AO312" i="25"/>
  <c r="BZ312" i="25"/>
  <c r="Q93" i="24"/>
  <c r="R93" i="24" s="1"/>
  <c r="P93" i="24"/>
  <c r="AP93" i="24"/>
  <c r="U99" i="25"/>
  <c r="AE298" i="24"/>
  <c r="AI298" i="24"/>
  <c r="X298" i="24"/>
  <c r="AA298" i="24" s="1"/>
  <c r="AB298" i="24" s="1"/>
  <c r="AC298" i="24" s="1"/>
  <c r="AE265" i="24"/>
  <c r="AI265" i="24"/>
  <c r="X265" i="24"/>
  <c r="AA265" i="24" s="1"/>
  <c r="AB265" i="24" s="1"/>
  <c r="AC265" i="24" s="1"/>
  <c r="AE131" i="24"/>
  <c r="AI131" i="24"/>
  <c r="X131" i="24"/>
  <c r="AA131" i="24" s="1"/>
  <c r="AB131" i="24" s="1"/>
  <c r="AC131" i="24" s="1"/>
  <c r="V140" i="24"/>
  <c r="W140" i="24"/>
  <c r="AE289" i="24"/>
  <c r="AI289" i="24"/>
  <c r="X289" i="24"/>
  <c r="AA289" i="24" s="1"/>
  <c r="AB289" i="24" s="1"/>
  <c r="AC289" i="24" s="1"/>
  <c r="AD259" i="25"/>
  <c r="W259" i="25"/>
  <c r="Z259" i="25" s="1"/>
  <c r="AA259" i="25" s="1"/>
  <c r="AB259" i="25" s="1"/>
  <c r="AI259" i="25" s="1"/>
  <c r="U101" i="25"/>
  <c r="S183" i="25"/>
  <c r="K183" i="25" s="1"/>
  <c r="V183" i="25" s="1"/>
  <c r="R183" i="25"/>
  <c r="Q183" i="25"/>
  <c r="AO183" i="25"/>
  <c r="BZ183" i="25"/>
  <c r="U231" i="25"/>
  <c r="R279" i="25"/>
  <c r="S279" i="25"/>
  <c r="K279" i="25" s="1"/>
  <c r="Q279" i="25"/>
  <c r="AO279" i="25"/>
  <c r="BZ279" i="25"/>
  <c r="AE31" i="24"/>
  <c r="AI31" i="24"/>
  <c r="X31" i="24"/>
  <c r="AA31" i="24" s="1"/>
  <c r="AB31" i="24" s="1"/>
  <c r="AC31" i="24" s="1"/>
  <c r="V149" i="24"/>
  <c r="W149" i="24"/>
  <c r="U156" i="25"/>
  <c r="U287" i="25"/>
  <c r="Q204" i="24"/>
  <c r="P204" i="24"/>
  <c r="AP204" i="24"/>
  <c r="AD148" i="25"/>
  <c r="W148" i="25"/>
  <c r="Z148" i="25" s="1"/>
  <c r="AA148" i="25" s="1"/>
  <c r="AB148" i="25" s="1"/>
  <c r="AI148" i="25" s="1"/>
  <c r="R141" i="25"/>
  <c r="S141" i="25"/>
  <c r="K141" i="25" s="1"/>
  <c r="Q141" i="25"/>
  <c r="AO141" i="25"/>
  <c r="BZ141" i="25"/>
  <c r="AE28" i="24"/>
  <c r="AI28" i="24"/>
  <c r="X28" i="24"/>
  <c r="AA28" i="24" s="1"/>
  <c r="AB28" i="24" s="1"/>
  <c r="AC28" i="24" s="1"/>
  <c r="R120" i="25"/>
  <c r="S120" i="25"/>
  <c r="K120" i="25" s="1"/>
  <c r="Q120" i="25"/>
  <c r="AO120" i="25"/>
  <c r="BZ120" i="25"/>
  <c r="R191" i="25"/>
  <c r="S191" i="25"/>
  <c r="K191" i="25" s="1"/>
  <c r="Q191" i="25"/>
  <c r="BZ191" i="25"/>
  <c r="AO191" i="25"/>
  <c r="AE14" i="24"/>
  <c r="AI14" i="24"/>
  <c r="X14" i="24"/>
  <c r="AA14" i="24" s="1"/>
  <c r="AB14" i="24" s="1"/>
  <c r="AC14" i="24" s="1"/>
  <c r="R288" i="25"/>
  <c r="S288" i="25"/>
  <c r="K288" i="25" s="1"/>
  <c r="V288" i="25" s="1"/>
  <c r="Q288" i="25"/>
  <c r="BZ288" i="25"/>
  <c r="AO288" i="25"/>
  <c r="AE49" i="24"/>
  <c r="AI49" i="24"/>
  <c r="X49" i="24"/>
  <c r="AA49" i="24" s="1"/>
  <c r="AB49" i="24" s="1"/>
  <c r="AC49" i="24" s="1"/>
  <c r="V206" i="24"/>
  <c r="W206" i="24"/>
  <c r="AE218" i="24"/>
  <c r="AI218" i="24"/>
  <c r="X218" i="24"/>
  <c r="AA218" i="24" s="1"/>
  <c r="AB218" i="24" s="1"/>
  <c r="AC218" i="24" s="1"/>
  <c r="S303" i="25"/>
  <c r="K303" i="25" s="1"/>
  <c r="V303" i="25" s="1"/>
  <c r="R303" i="25"/>
  <c r="Q303" i="25"/>
  <c r="BZ303" i="25"/>
  <c r="AO303" i="25"/>
  <c r="AG191" i="24"/>
  <c r="AF191" i="24"/>
  <c r="V179" i="24"/>
  <c r="W179" i="24"/>
  <c r="AD59" i="25"/>
  <c r="W59" i="25"/>
  <c r="Z59" i="25" s="1"/>
  <c r="AA59" i="25" s="1"/>
  <c r="AB59" i="25" s="1"/>
  <c r="AI59" i="25" s="1"/>
  <c r="AE76" i="24"/>
  <c r="AI76" i="24"/>
  <c r="X76" i="24"/>
  <c r="AA76" i="24" s="1"/>
  <c r="AB76" i="24" s="1"/>
  <c r="AC76" i="24" s="1"/>
  <c r="AE199" i="24"/>
  <c r="AI199" i="24"/>
  <c r="X199" i="24"/>
  <c r="AA199" i="24" s="1"/>
  <c r="AB199" i="24" s="1"/>
  <c r="AC199" i="24" s="1"/>
  <c r="U79" i="25"/>
  <c r="Q140" i="24"/>
  <c r="P140" i="24"/>
  <c r="AP140" i="24"/>
  <c r="R105" i="25"/>
  <c r="S105" i="25"/>
  <c r="K105" i="25" s="1"/>
  <c r="V105" i="25" s="1"/>
  <c r="Q105" i="25"/>
  <c r="AO105" i="25"/>
  <c r="BZ105" i="25"/>
  <c r="AE240" i="24"/>
  <c r="AI240" i="24"/>
  <c r="X240" i="24"/>
  <c r="AA240" i="24" s="1"/>
  <c r="AB240" i="24" s="1"/>
  <c r="AC240" i="24" s="1"/>
  <c r="AE221" i="24"/>
  <c r="AI221" i="24"/>
  <c r="X221" i="24"/>
  <c r="AA221" i="24" s="1"/>
  <c r="AB221" i="24" s="1"/>
  <c r="AC221" i="24" s="1"/>
  <c r="W170" i="24"/>
  <c r="V170" i="24"/>
  <c r="Q298" i="24"/>
  <c r="P298" i="24"/>
  <c r="AP298" i="24"/>
  <c r="R132" i="25"/>
  <c r="S132" i="25"/>
  <c r="K132" i="25" s="1"/>
  <c r="Q132" i="25"/>
  <c r="AO132" i="25"/>
  <c r="BZ132" i="25"/>
  <c r="AE273" i="24"/>
  <c r="AI273" i="24"/>
  <c r="X273" i="24"/>
  <c r="AA273" i="24" s="1"/>
  <c r="AB273" i="24" s="1"/>
  <c r="AC273" i="24" s="1"/>
  <c r="AD261" i="25"/>
  <c r="W261" i="25"/>
  <c r="Z261" i="25" s="1"/>
  <c r="AA261" i="25" s="1"/>
  <c r="AB261" i="25" s="1"/>
  <c r="AI261" i="25" s="1"/>
  <c r="R119" i="25"/>
  <c r="S119" i="25"/>
  <c r="K119" i="25" s="1"/>
  <c r="Q119" i="25"/>
  <c r="AO119" i="25"/>
  <c r="BZ119" i="25"/>
  <c r="S17" i="25"/>
  <c r="K17" i="25" s="1"/>
  <c r="R17" i="25"/>
  <c r="Q17" i="25"/>
  <c r="AO17" i="25"/>
  <c r="BZ17" i="25"/>
  <c r="AE161" i="24"/>
  <c r="AI161" i="24"/>
  <c r="X161" i="24"/>
  <c r="AA161" i="24" s="1"/>
  <c r="AB161" i="24" s="1"/>
  <c r="AC161" i="24" s="1"/>
  <c r="U175" i="25"/>
  <c r="W249" i="24"/>
  <c r="V249" i="24"/>
  <c r="P59" i="24"/>
  <c r="Q59" i="24"/>
  <c r="R59" i="24" s="1"/>
  <c r="AP59" i="24"/>
  <c r="AE104" i="24"/>
  <c r="AI104" i="24"/>
  <c r="X104" i="24"/>
  <c r="AA104" i="24" s="1"/>
  <c r="AB104" i="24" s="1"/>
  <c r="AC104" i="24" s="1"/>
  <c r="S46" i="25"/>
  <c r="K46" i="25" s="1"/>
  <c r="R46" i="25"/>
  <c r="Q46" i="25"/>
  <c r="BZ46" i="25"/>
  <c r="AO46" i="25"/>
  <c r="P126" i="24"/>
  <c r="Q126" i="24"/>
  <c r="AP126" i="24"/>
  <c r="V261" i="24"/>
  <c r="W261" i="24"/>
  <c r="U70" i="25"/>
  <c r="AD273" i="25"/>
  <c r="W273" i="25"/>
  <c r="Z273" i="25" s="1"/>
  <c r="AA273" i="25" s="1"/>
  <c r="AB273" i="25" s="1"/>
  <c r="AI273" i="25" s="1"/>
  <c r="AE202" i="24"/>
  <c r="AI202" i="24"/>
  <c r="X202" i="24"/>
  <c r="AA202" i="24" s="1"/>
  <c r="AB202" i="24" s="1"/>
  <c r="AC202" i="24" s="1"/>
  <c r="AE296" i="24"/>
  <c r="AI296" i="24"/>
  <c r="X296" i="24"/>
  <c r="AA296" i="24" s="1"/>
  <c r="AB296" i="24" s="1"/>
  <c r="AC296" i="24" s="1"/>
  <c r="AE222" i="24"/>
  <c r="AI222" i="24"/>
  <c r="X222" i="24"/>
  <c r="AA222" i="24" s="1"/>
  <c r="AB222" i="24" s="1"/>
  <c r="AC222" i="24" s="1"/>
  <c r="S308" i="25"/>
  <c r="K308" i="25" s="1"/>
  <c r="R308" i="25"/>
  <c r="Q308" i="25"/>
  <c r="BZ308" i="25"/>
  <c r="AO308" i="25"/>
  <c r="V195" i="24"/>
  <c r="W195" i="24"/>
  <c r="S230" i="25"/>
  <c r="K230" i="25" s="1"/>
  <c r="R230" i="25"/>
  <c r="Q230" i="25"/>
  <c r="BZ230" i="25"/>
  <c r="AO230" i="25"/>
  <c r="U223" i="25"/>
  <c r="AE267" i="24"/>
  <c r="AI267" i="24"/>
  <c r="X267" i="24"/>
  <c r="AA267" i="24" s="1"/>
  <c r="AB267" i="24" s="1"/>
  <c r="AC267" i="24" s="1"/>
  <c r="R197" i="25"/>
  <c r="S197" i="25"/>
  <c r="K197" i="25" s="1"/>
  <c r="V197" i="25" s="1"/>
  <c r="Q197" i="25"/>
  <c r="AO197" i="25"/>
  <c r="BZ197" i="25"/>
  <c r="AE311" i="24"/>
  <c r="AI311" i="24"/>
  <c r="X311" i="24"/>
  <c r="AA311" i="24" s="1"/>
  <c r="AB311" i="24" s="1"/>
  <c r="AC311" i="24" s="1"/>
  <c r="V316" i="24"/>
  <c r="W316" i="24"/>
  <c r="S55" i="25"/>
  <c r="K55" i="25" s="1"/>
  <c r="V55" i="25" s="1"/>
  <c r="R55" i="25"/>
  <c r="Q55" i="25"/>
  <c r="AO55" i="25"/>
  <c r="BZ55" i="25"/>
  <c r="V309" i="24"/>
  <c r="W309" i="24"/>
  <c r="W36" i="24"/>
  <c r="V36" i="24"/>
  <c r="AE281" i="24"/>
  <c r="AI281" i="24"/>
  <c r="X281" i="24"/>
  <c r="AA281" i="24" s="1"/>
  <c r="AB281" i="24" s="1"/>
  <c r="AC281" i="24" s="1"/>
  <c r="AD32" i="25"/>
  <c r="W32" i="25"/>
  <c r="Z32" i="25" s="1"/>
  <c r="AA32" i="25" s="1"/>
  <c r="AB32" i="25" s="1"/>
  <c r="AI32" i="25" s="1"/>
  <c r="AE99" i="24"/>
  <c r="AI99" i="24"/>
  <c r="X99" i="24"/>
  <c r="AA99" i="24" s="1"/>
  <c r="AB99" i="24" s="1"/>
  <c r="AC99" i="24" s="1"/>
  <c r="AE277" i="24"/>
  <c r="AI277" i="24"/>
  <c r="X277" i="24"/>
  <c r="AA277" i="24" s="1"/>
  <c r="AB277" i="24" s="1"/>
  <c r="AC277" i="24" s="1"/>
  <c r="AS110" i="25"/>
  <c r="AE102" i="24"/>
  <c r="AI102" i="24"/>
  <c r="X102" i="24"/>
  <c r="AA102" i="24" s="1"/>
  <c r="AB102" i="24" s="1"/>
  <c r="AC102" i="24" s="1"/>
  <c r="AE270" i="24"/>
  <c r="AI270" i="24"/>
  <c r="X270" i="24"/>
  <c r="AA270" i="24" s="1"/>
  <c r="AB270" i="24" s="1"/>
  <c r="AC270" i="24" s="1"/>
  <c r="AG264" i="24"/>
  <c r="AF264" i="24"/>
  <c r="R64" i="25"/>
  <c r="S64" i="25"/>
  <c r="K64" i="25" s="1"/>
  <c r="Q64" i="25"/>
  <c r="AO64" i="25"/>
  <c r="BZ64" i="25"/>
  <c r="W308" i="24"/>
  <c r="V308" i="24"/>
  <c r="AE288" i="24"/>
  <c r="AI288" i="24"/>
  <c r="X288" i="24"/>
  <c r="AA288" i="24" s="1"/>
  <c r="AB288" i="24" s="1"/>
  <c r="AC288" i="24" s="1"/>
  <c r="AE209" i="24"/>
  <c r="AI209" i="24"/>
  <c r="X209" i="24"/>
  <c r="AA209" i="24" s="1"/>
  <c r="AB209" i="24" s="1"/>
  <c r="AC209" i="24" s="1"/>
  <c r="AE121" i="24"/>
  <c r="AI121" i="24"/>
  <c r="X121" i="24"/>
  <c r="AA121" i="24" s="1"/>
  <c r="AB121" i="24" s="1"/>
  <c r="AC121" i="24" s="1"/>
  <c r="S122" i="25"/>
  <c r="K122" i="25" s="1"/>
  <c r="V122" i="25" s="1"/>
  <c r="R122" i="25"/>
  <c r="Q122" i="25"/>
  <c r="BZ122" i="25"/>
  <c r="AO122" i="25"/>
  <c r="S9" i="25"/>
  <c r="K9" i="25" s="1"/>
  <c r="R9" i="25"/>
  <c r="Q9" i="25"/>
  <c r="BZ9" i="25"/>
  <c r="AO9" i="25"/>
  <c r="U160" i="25"/>
  <c r="V154" i="24"/>
  <c r="W154" i="24"/>
  <c r="W114" i="24"/>
  <c r="V114" i="24"/>
  <c r="S85" i="25"/>
  <c r="K85" i="25" s="1"/>
  <c r="R85" i="25"/>
  <c r="Q85" i="25"/>
  <c r="BZ85" i="25"/>
  <c r="AO85" i="25"/>
  <c r="S53" i="25"/>
  <c r="K53" i="25" s="1"/>
  <c r="V53" i="25" s="1"/>
  <c r="R53" i="25"/>
  <c r="Q53" i="25"/>
  <c r="AO53" i="25"/>
  <c r="BZ53" i="25"/>
  <c r="U286" i="25"/>
  <c r="R86" i="25"/>
  <c r="S86" i="25"/>
  <c r="K86" i="25" s="1"/>
  <c r="Q86" i="25"/>
  <c r="BZ86" i="25"/>
  <c r="AO86" i="25"/>
  <c r="W8" i="24"/>
  <c r="V8" i="24"/>
  <c r="V94" i="24"/>
  <c r="W94" i="24"/>
  <c r="AE168" i="24"/>
  <c r="AI168" i="24"/>
  <c r="X168" i="24"/>
  <c r="AA168" i="24" s="1"/>
  <c r="AB168" i="24" s="1"/>
  <c r="AC168" i="24" s="1"/>
  <c r="AD275" i="25"/>
  <c r="W275" i="25"/>
  <c r="Z275" i="25" s="1"/>
  <c r="AA275" i="25" s="1"/>
  <c r="AB275" i="25" s="1"/>
  <c r="AI275" i="25" s="1"/>
  <c r="S315" i="25"/>
  <c r="K315" i="25" s="1"/>
  <c r="R315" i="25"/>
  <c r="Q315" i="25"/>
  <c r="AO315" i="25"/>
  <c r="BZ315" i="25"/>
  <c r="V297" i="24"/>
  <c r="W297" i="24"/>
  <c r="V28" i="24"/>
  <c r="W28" i="24"/>
  <c r="S235" i="25"/>
  <c r="K235" i="25" s="1"/>
  <c r="R235" i="25"/>
  <c r="Q235" i="25"/>
  <c r="AO235" i="25"/>
  <c r="BZ235" i="25"/>
  <c r="W99" i="24"/>
  <c r="Y99" i="24" s="1"/>
  <c r="AD94" i="25"/>
  <c r="W94" i="25"/>
  <c r="Z94" i="25" s="1"/>
  <c r="AA94" i="25" s="1"/>
  <c r="AB94" i="25" s="1"/>
  <c r="AI94" i="25" s="1"/>
  <c r="V94" i="25"/>
  <c r="X94" i="25" s="1"/>
  <c r="AE52" i="24"/>
  <c r="AI52" i="24"/>
  <c r="X52" i="24"/>
  <c r="AA52" i="24" s="1"/>
  <c r="AB52" i="24" s="1"/>
  <c r="AC52" i="24" s="1"/>
  <c r="U93" i="25"/>
  <c r="W288" i="24"/>
  <c r="V288" i="24"/>
  <c r="V209" i="24"/>
  <c r="W209" i="24"/>
  <c r="R302" i="25"/>
  <c r="S302" i="25"/>
  <c r="K302" i="25" s="1"/>
  <c r="V302" i="25" s="1"/>
  <c r="Q302" i="25"/>
  <c r="AO302" i="25"/>
  <c r="BZ302" i="25"/>
  <c r="U218" i="25"/>
  <c r="W164" i="24"/>
  <c r="V164" i="24"/>
  <c r="P78" i="24"/>
  <c r="Q78" i="24"/>
  <c r="R78" i="24" s="1"/>
  <c r="AP78" i="24"/>
  <c r="AE19" i="24"/>
  <c r="AI19" i="24"/>
  <c r="X19" i="24"/>
  <c r="AA19" i="24" s="1"/>
  <c r="AB19" i="24" s="1"/>
  <c r="AC19" i="24" s="1"/>
  <c r="W275" i="24"/>
  <c r="V275" i="24"/>
  <c r="AE25" i="24"/>
  <c r="AI25" i="24"/>
  <c r="X25" i="24"/>
  <c r="AA25" i="24" s="1"/>
  <c r="AB25" i="24" s="1"/>
  <c r="AC25" i="24" s="1"/>
  <c r="AE206" i="24"/>
  <c r="AI206" i="24"/>
  <c r="X206" i="24"/>
  <c r="AA206" i="24" s="1"/>
  <c r="AB206" i="24" s="1"/>
  <c r="AC206" i="24" s="1"/>
  <c r="S117" i="25"/>
  <c r="K117" i="25" s="1"/>
  <c r="R117" i="25"/>
  <c r="Q117" i="25"/>
  <c r="AO117" i="25"/>
  <c r="BZ117" i="25"/>
  <c r="R40" i="25"/>
  <c r="S40" i="25"/>
  <c r="K40" i="25" s="1"/>
  <c r="V40" i="25" s="1"/>
  <c r="Q40" i="25"/>
  <c r="AO40" i="25"/>
  <c r="BZ40" i="25"/>
  <c r="S164" i="25"/>
  <c r="K164" i="25" s="1"/>
  <c r="R164" i="25"/>
  <c r="Q164" i="25"/>
  <c r="AO164" i="25"/>
  <c r="BZ164" i="25"/>
  <c r="P255" i="24"/>
  <c r="Q255" i="24"/>
  <c r="AP255" i="24"/>
  <c r="R58" i="25"/>
  <c r="S58" i="25"/>
  <c r="K58" i="25" s="1"/>
  <c r="Q58" i="25"/>
  <c r="BZ58" i="25"/>
  <c r="AO58" i="25"/>
  <c r="AE103" i="24"/>
  <c r="AI103" i="24"/>
  <c r="X103" i="24"/>
  <c r="AA103" i="24" s="1"/>
  <c r="AB103" i="24" s="1"/>
  <c r="AC103" i="24" s="1"/>
  <c r="R231" i="25"/>
  <c r="S231" i="25"/>
  <c r="K231" i="25" s="1"/>
  <c r="V231" i="25" s="1"/>
  <c r="Q231" i="25"/>
  <c r="BZ231" i="25"/>
  <c r="AO231" i="25"/>
  <c r="R316" i="25"/>
  <c r="S316" i="25"/>
  <c r="K316" i="25" s="1"/>
  <c r="Q316" i="25"/>
  <c r="BZ316" i="25"/>
  <c r="AO316" i="25"/>
  <c r="AE140" i="24"/>
  <c r="AI140" i="24"/>
  <c r="X140" i="24"/>
  <c r="AA140" i="24" s="1"/>
  <c r="AB140" i="24" s="1"/>
  <c r="AC140" i="24" s="1"/>
  <c r="P149" i="24"/>
  <c r="Q149" i="24"/>
  <c r="AP149" i="24"/>
  <c r="AE200" i="24"/>
  <c r="AI200" i="24"/>
  <c r="X200" i="24"/>
  <c r="AA200" i="24" s="1"/>
  <c r="AB200" i="24" s="1"/>
  <c r="AC200" i="24" s="1"/>
  <c r="U121" i="25"/>
  <c r="W171" i="24"/>
  <c r="V171" i="24"/>
  <c r="R156" i="25"/>
  <c r="S156" i="25"/>
  <c r="K156" i="25" s="1"/>
  <c r="Q156" i="25"/>
  <c r="AO156" i="25"/>
  <c r="BZ156" i="25"/>
  <c r="S287" i="25"/>
  <c r="K287" i="25" s="1"/>
  <c r="V287" i="25" s="1"/>
  <c r="R287" i="25"/>
  <c r="Q287" i="25"/>
  <c r="BZ287" i="25"/>
  <c r="AO287" i="25"/>
  <c r="AD95" i="25"/>
  <c r="W95" i="25"/>
  <c r="Z95" i="25" s="1"/>
  <c r="AA95" i="25" s="1"/>
  <c r="AB95" i="25" s="1"/>
  <c r="AI95" i="25" s="1"/>
  <c r="AD131" i="25"/>
  <c r="W131" i="25"/>
  <c r="Z131" i="25" s="1"/>
  <c r="AA131" i="25" s="1"/>
  <c r="AB131" i="25" s="1"/>
  <c r="AI131" i="25" s="1"/>
  <c r="V131" i="25"/>
  <c r="X131" i="25" s="1"/>
  <c r="AE187" i="24"/>
  <c r="AI187" i="24"/>
  <c r="X187" i="24"/>
  <c r="AA187" i="24" s="1"/>
  <c r="AB187" i="24" s="1"/>
  <c r="AC187" i="24" s="1"/>
  <c r="AE150" i="24"/>
  <c r="AI150" i="24"/>
  <c r="X150" i="24"/>
  <c r="AA150" i="24" s="1"/>
  <c r="AB150" i="24" s="1"/>
  <c r="AC150" i="24" s="1"/>
  <c r="R43" i="25"/>
  <c r="S43" i="25"/>
  <c r="K43" i="25" s="1"/>
  <c r="Q43" i="25"/>
  <c r="BZ43" i="25"/>
  <c r="AO43" i="25"/>
  <c r="AE207" i="24"/>
  <c r="AI207" i="24"/>
  <c r="X207" i="24"/>
  <c r="AA207" i="24" s="1"/>
  <c r="AB207" i="24" s="1"/>
  <c r="AC207" i="24" s="1"/>
  <c r="V161" i="24"/>
  <c r="W161" i="24"/>
  <c r="P206" i="24"/>
  <c r="Q206" i="24"/>
  <c r="AP206" i="24"/>
  <c r="V144" i="24"/>
  <c r="W144" i="24"/>
  <c r="R127" i="25"/>
  <c r="S127" i="25"/>
  <c r="K127" i="25" s="1"/>
  <c r="Q127" i="25"/>
  <c r="AO127" i="25"/>
  <c r="BZ127" i="25"/>
  <c r="AE291" i="24"/>
  <c r="AI291" i="24"/>
  <c r="X291" i="24"/>
  <c r="AA291" i="24" s="1"/>
  <c r="AB291" i="24" s="1"/>
  <c r="AC291" i="24" s="1"/>
  <c r="AE227" i="24"/>
  <c r="AI227" i="24"/>
  <c r="X227" i="24"/>
  <c r="AA227" i="24" s="1"/>
  <c r="AB227" i="24" s="1"/>
  <c r="AC227" i="24" s="1"/>
  <c r="AD92" i="25"/>
  <c r="W92" i="25"/>
  <c r="Z92" i="25" s="1"/>
  <c r="AA92" i="25" s="1"/>
  <c r="AB92" i="25" s="1"/>
  <c r="AI92" i="25" s="1"/>
  <c r="V115" i="24"/>
  <c r="W115" i="24"/>
  <c r="AE36" i="24"/>
  <c r="AI36" i="24"/>
  <c r="X36" i="24"/>
  <c r="AA36" i="24" s="1"/>
  <c r="AB36" i="24" s="1"/>
  <c r="AC36" i="24" s="1"/>
  <c r="AE11" i="24"/>
  <c r="AI11" i="24"/>
  <c r="X11" i="24"/>
  <c r="AA11" i="24" s="1"/>
  <c r="AB11" i="24" s="1"/>
  <c r="AC11" i="24" s="1"/>
  <c r="AE189" i="24"/>
  <c r="AI189" i="24"/>
  <c r="X189" i="24"/>
  <c r="AA189" i="24" s="1"/>
  <c r="AB189" i="24" s="1"/>
  <c r="AC189" i="24" s="1"/>
  <c r="AE34" i="24"/>
  <c r="AI34" i="24"/>
  <c r="X34" i="24"/>
  <c r="AA34" i="24" s="1"/>
  <c r="AB34" i="24" s="1"/>
  <c r="AC34" i="24" s="1"/>
  <c r="S79" i="25"/>
  <c r="K79" i="25" s="1"/>
  <c r="V79" i="25" s="1"/>
  <c r="R79" i="25"/>
  <c r="Q79" i="25"/>
  <c r="BZ79" i="25"/>
  <c r="AO79" i="25"/>
  <c r="S233" i="25"/>
  <c r="K233" i="25" s="1"/>
  <c r="R233" i="25"/>
  <c r="Q233" i="25"/>
  <c r="AO233" i="25"/>
  <c r="BZ233" i="25"/>
  <c r="AE129" i="24"/>
  <c r="AI129" i="24"/>
  <c r="X129" i="24"/>
  <c r="AA129" i="24" s="1"/>
  <c r="AB129" i="24" s="1"/>
  <c r="AC129" i="24" s="1"/>
  <c r="R7" i="25"/>
  <c r="S7" i="25"/>
  <c r="K7" i="25" s="1"/>
  <c r="Q7" i="25"/>
  <c r="AO7" i="25"/>
  <c r="BZ7" i="25"/>
  <c r="S8" i="25"/>
  <c r="K8" i="25" s="1"/>
  <c r="R8" i="25"/>
  <c r="Q8" i="25"/>
  <c r="AO8" i="25"/>
  <c r="BZ8" i="25"/>
  <c r="AE307" i="24"/>
  <c r="AI307" i="24"/>
  <c r="X307" i="24"/>
  <c r="AA307" i="24" s="1"/>
  <c r="AB307" i="24" s="1"/>
  <c r="AC307" i="24" s="1"/>
  <c r="W151" i="24"/>
  <c r="V151" i="24"/>
  <c r="AE72" i="24"/>
  <c r="AI72" i="24"/>
  <c r="X72" i="24"/>
  <c r="AA72" i="24" s="1"/>
  <c r="AB72" i="24" s="1"/>
  <c r="AC72" i="24" s="1"/>
  <c r="W256" i="24"/>
  <c r="V256" i="24"/>
  <c r="W247" i="24"/>
  <c r="V247" i="24"/>
  <c r="W315" i="24"/>
  <c r="V315" i="24"/>
  <c r="AE255" i="24"/>
  <c r="AI255" i="24"/>
  <c r="X255" i="24"/>
  <c r="AA255" i="24" s="1"/>
  <c r="AB255" i="24" s="1"/>
  <c r="AC255" i="24" s="1"/>
  <c r="V300" i="24"/>
  <c r="W300" i="24"/>
  <c r="P249" i="24"/>
  <c r="Q249" i="24"/>
  <c r="AP249" i="24"/>
  <c r="AE29" i="24"/>
  <c r="AI29" i="24"/>
  <c r="X29" i="24"/>
  <c r="AA29" i="24" s="1"/>
  <c r="AB29" i="24" s="1"/>
  <c r="AC29" i="24" s="1"/>
  <c r="U224" i="25"/>
  <c r="AE173" i="24"/>
  <c r="AI173" i="24"/>
  <c r="X173" i="24"/>
  <c r="AA173" i="24" s="1"/>
  <c r="AB173" i="24" s="1"/>
  <c r="AC173" i="24" s="1"/>
  <c r="AE147" i="24"/>
  <c r="AI147" i="24"/>
  <c r="X147" i="24"/>
  <c r="AA147" i="24" s="1"/>
  <c r="AB147" i="24" s="1"/>
  <c r="AC147" i="24" s="1"/>
  <c r="AE287" i="24"/>
  <c r="AI287" i="24"/>
  <c r="X287" i="24"/>
  <c r="AA287" i="24" s="1"/>
  <c r="AB287" i="24" s="1"/>
  <c r="AC287" i="24" s="1"/>
  <c r="R281" i="25"/>
  <c r="S281" i="25"/>
  <c r="K281" i="25" s="1"/>
  <c r="V281" i="25" s="1"/>
  <c r="Q281" i="25"/>
  <c r="BZ281" i="25"/>
  <c r="AO281" i="25"/>
  <c r="AE309" i="24"/>
  <c r="AI309" i="24"/>
  <c r="X309" i="24"/>
  <c r="AA309" i="24" s="1"/>
  <c r="AB309" i="24" s="1"/>
  <c r="AC309" i="24" s="1"/>
  <c r="V33" i="24"/>
  <c r="W33" i="24"/>
  <c r="W176" i="24"/>
  <c r="V176" i="24"/>
  <c r="U266" i="25"/>
  <c r="S91" i="25"/>
  <c r="K91" i="25" s="1"/>
  <c r="R91" i="25"/>
  <c r="Q91" i="25"/>
  <c r="AO91" i="25"/>
  <c r="BZ91" i="25"/>
  <c r="AE68" i="24"/>
  <c r="AI68" i="24"/>
  <c r="X68" i="24"/>
  <c r="AA68" i="24" s="1"/>
  <c r="AB68" i="24" s="1"/>
  <c r="AC68" i="24" s="1"/>
  <c r="P195" i="24"/>
  <c r="Q195" i="24"/>
  <c r="AP195" i="24"/>
  <c r="U67" i="25"/>
  <c r="S223" i="25"/>
  <c r="K223" i="25" s="1"/>
  <c r="V223" i="25" s="1"/>
  <c r="R223" i="25"/>
  <c r="Q223" i="25"/>
  <c r="BZ223" i="25"/>
  <c r="AO223" i="25"/>
  <c r="AE235" i="24"/>
  <c r="AI235" i="24"/>
  <c r="X235" i="24"/>
  <c r="AA235" i="24" s="1"/>
  <c r="AB235" i="24" s="1"/>
  <c r="AC235" i="24" s="1"/>
  <c r="S284" i="25"/>
  <c r="K284" i="25" s="1"/>
  <c r="R284" i="25"/>
  <c r="Q284" i="25"/>
  <c r="BZ284" i="25"/>
  <c r="AO284" i="25"/>
  <c r="W282" i="24"/>
  <c r="V282" i="24"/>
  <c r="AE299" i="24"/>
  <c r="AI299" i="24"/>
  <c r="X299" i="24"/>
  <c r="AA299" i="24" s="1"/>
  <c r="AB299" i="24" s="1"/>
  <c r="AC299" i="24" s="1"/>
  <c r="AE195" i="24"/>
  <c r="AI195" i="24"/>
  <c r="X195" i="24"/>
  <c r="AA195" i="24" s="1"/>
  <c r="AB195" i="24" s="1"/>
  <c r="AC195" i="24" s="1"/>
  <c r="U165" i="25"/>
  <c r="P316" i="24"/>
  <c r="Q316" i="24"/>
  <c r="AP316" i="24"/>
  <c r="P309" i="24"/>
  <c r="Q309" i="24"/>
  <c r="AP309" i="24"/>
  <c r="AE57" i="24"/>
  <c r="AI57" i="24"/>
  <c r="X57" i="24"/>
  <c r="AA57" i="24" s="1"/>
  <c r="AB57" i="24" s="1"/>
  <c r="AC57" i="24" s="1"/>
  <c r="W177" i="24"/>
  <c r="V177" i="24"/>
  <c r="V51" i="24"/>
  <c r="W51" i="24"/>
  <c r="AE6" i="24"/>
  <c r="AI6" i="24"/>
  <c r="X6" i="24"/>
  <c r="AA6" i="24" s="1"/>
  <c r="AB6" i="24" s="1"/>
  <c r="AC6" i="24" s="1"/>
  <c r="AE23" i="24"/>
  <c r="AI23" i="24"/>
  <c r="X23" i="24"/>
  <c r="AA23" i="24" s="1"/>
  <c r="AB23" i="24" s="1"/>
  <c r="AC23" i="24" s="1"/>
  <c r="U159" i="25"/>
  <c r="AE139" i="24"/>
  <c r="AI139" i="24"/>
  <c r="X139" i="24"/>
  <c r="AA139" i="24" s="1"/>
  <c r="AB139" i="24" s="1"/>
  <c r="AC139" i="24" s="1"/>
  <c r="AE252" i="24"/>
  <c r="AI252" i="24"/>
  <c r="X252" i="24"/>
  <c r="AA252" i="24" s="1"/>
  <c r="AB252" i="24" s="1"/>
  <c r="AC252" i="24" s="1"/>
  <c r="W278" i="24"/>
  <c r="Y278" i="24" s="1"/>
  <c r="AF110" i="25"/>
  <c r="AE110" i="25"/>
  <c r="S146" i="25"/>
  <c r="K146" i="25" s="1"/>
  <c r="R146" i="25"/>
  <c r="Q146" i="25"/>
  <c r="BZ146" i="25"/>
  <c r="AO146" i="25"/>
  <c r="R252" i="25"/>
  <c r="S252" i="25"/>
  <c r="K252" i="25" s="1"/>
  <c r="Q252" i="25"/>
  <c r="BZ252" i="25"/>
  <c r="AO252" i="25"/>
  <c r="AE180" i="24"/>
  <c r="AI180" i="24"/>
  <c r="X180" i="24"/>
  <c r="AA180" i="24" s="1"/>
  <c r="AB180" i="24" s="1"/>
  <c r="AC180" i="24" s="1"/>
  <c r="Q308" i="24"/>
  <c r="P308" i="24"/>
  <c r="AP308" i="24"/>
  <c r="U278" i="25"/>
  <c r="AG101" i="24"/>
  <c r="AF101" i="24"/>
  <c r="AE47" i="24"/>
  <c r="AI47" i="24"/>
  <c r="X47" i="24"/>
  <c r="AA47" i="24" s="1"/>
  <c r="AB47" i="24" s="1"/>
  <c r="AC47" i="24" s="1"/>
  <c r="W47" i="24"/>
  <c r="Y47" i="24" s="1"/>
  <c r="W174" i="24"/>
  <c r="V174" i="24"/>
  <c r="AD243" i="25"/>
  <c r="W243" i="25"/>
  <c r="Z243" i="25" s="1"/>
  <c r="AA243" i="25" s="1"/>
  <c r="AB243" i="25" s="1"/>
  <c r="AI243" i="25" s="1"/>
  <c r="R70" i="25"/>
  <c r="S70" i="25"/>
  <c r="K70" i="25" s="1"/>
  <c r="Q70" i="25"/>
  <c r="BZ70" i="25"/>
  <c r="AO70" i="25"/>
  <c r="W120" i="24"/>
  <c r="Y120" i="24" s="1"/>
  <c r="W273" i="24"/>
  <c r="Y273" i="24" s="1"/>
  <c r="Q114" i="24"/>
  <c r="P114" i="24"/>
  <c r="AP114" i="24"/>
  <c r="AE184" i="24"/>
  <c r="AI184" i="24"/>
  <c r="X184" i="24"/>
  <c r="AA184" i="24" s="1"/>
  <c r="AB184" i="24" s="1"/>
  <c r="AC184" i="24" s="1"/>
  <c r="U100" i="25"/>
  <c r="AE268" i="24"/>
  <c r="AI268" i="24"/>
  <c r="X268" i="24"/>
  <c r="AA268" i="24" s="1"/>
  <c r="AB268" i="24" s="1"/>
  <c r="AC268" i="24" s="1"/>
  <c r="W113" i="24"/>
  <c r="V113" i="24"/>
  <c r="U264" i="25"/>
  <c r="AE116" i="24"/>
  <c r="AI116" i="24"/>
  <c r="X116" i="24"/>
  <c r="AA116" i="24" s="1"/>
  <c r="AB116" i="24" s="1"/>
  <c r="AC116" i="24" s="1"/>
  <c r="AD170" i="25"/>
  <c r="W170" i="25"/>
  <c r="Z170" i="25" s="1"/>
  <c r="AA170" i="25" s="1"/>
  <c r="AB170" i="25" s="1"/>
  <c r="AI170" i="25" s="1"/>
  <c r="R234" i="25"/>
  <c r="S234" i="25"/>
  <c r="K234" i="25" s="1"/>
  <c r="V234" i="25" s="1"/>
  <c r="Q234" i="25"/>
  <c r="AO234" i="25"/>
  <c r="BZ234" i="25"/>
  <c r="U194" i="25"/>
  <c r="AE266" i="24"/>
  <c r="AI266" i="24"/>
  <c r="X266" i="24"/>
  <c r="AA266" i="24" s="1"/>
  <c r="AB266" i="24" s="1"/>
  <c r="AC266" i="24" s="1"/>
  <c r="V136" i="24"/>
  <c r="W136" i="24"/>
  <c r="R286" i="25"/>
  <c r="S286" i="25"/>
  <c r="K286" i="25" s="1"/>
  <c r="Q286" i="25"/>
  <c r="AO286" i="25"/>
  <c r="BZ286" i="25"/>
  <c r="U268" i="25"/>
  <c r="P8" i="24"/>
  <c r="Q8" i="24"/>
  <c r="R8" i="24" s="1"/>
  <c r="AP8" i="24"/>
  <c r="Q94" i="24"/>
  <c r="R94" i="24" s="1"/>
  <c r="P94" i="24"/>
  <c r="AP94" i="24"/>
  <c r="V73" i="24"/>
  <c r="W73" i="24"/>
  <c r="W192" i="24"/>
  <c r="V192" i="24"/>
  <c r="AE246" i="24"/>
  <c r="AI246" i="24"/>
  <c r="W246" i="24"/>
  <c r="Y246" i="24" s="1"/>
  <c r="X246" i="24"/>
  <c r="AA246" i="24" s="1"/>
  <c r="AB246" i="24" s="1"/>
  <c r="AC246" i="24" s="1"/>
  <c r="U98" i="25"/>
  <c r="S52" i="25"/>
  <c r="K52" i="25" s="1"/>
  <c r="R52" i="25"/>
  <c r="Q52" i="25"/>
  <c r="BZ52" i="25"/>
  <c r="AO52" i="25"/>
  <c r="H212" i="25"/>
  <c r="AE238" i="24"/>
  <c r="AI238" i="24"/>
  <c r="X238" i="24"/>
  <c r="AA238" i="24" s="1"/>
  <c r="AB238" i="24" s="1"/>
  <c r="AC238" i="24" s="1"/>
  <c r="AE183" i="24"/>
  <c r="AI183" i="24"/>
  <c r="X183" i="24"/>
  <c r="AA183" i="24" s="1"/>
  <c r="AB183" i="24" s="1"/>
  <c r="AC183" i="24" s="1"/>
  <c r="AE61" i="24"/>
  <c r="AI61" i="24"/>
  <c r="X61" i="24"/>
  <c r="AA61" i="24" s="1"/>
  <c r="AB61" i="24" s="1"/>
  <c r="AC61" i="24" s="1"/>
  <c r="R93" i="25"/>
  <c r="S93" i="25"/>
  <c r="K93" i="25" s="1"/>
  <c r="Q93" i="25"/>
  <c r="AO93" i="25"/>
  <c r="BZ93" i="25"/>
  <c r="Q288" i="24"/>
  <c r="P288" i="24"/>
  <c r="AP288" i="24"/>
  <c r="AE248" i="24"/>
  <c r="AI248" i="24"/>
  <c r="X248" i="24"/>
  <c r="AA248" i="24" s="1"/>
  <c r="AB248" i="24" s="1"/>
  <c r="AC248" i="24" s="1"/>
  <c r="P209" i="24"/>
  <c r="Q209" i="24"/>
  <c r="AP209" i="24"/>
  <c r="AE205" i="24"/>
  <c r="AI205" i="24"/>
  <c r="X205" i="24"/>
  <c r="AA205" i="24" s="1"/>
  <c r="AB205" i="24" s="1"/>
  <c r="AC205" i="24" s="1"/>
  <c r="AE158" i="24"/>
  <c r="AI158" i="24"/>
  <c r="X158" i="24"/>
  <c r="AA158" i="24" s="1"/>
  <c r="AB158" i="24" s="1"/>
  <c r="AC158" i="24" s="1"/>
  <c r="V39" i="24"/>
  <c r="W39" i="24"/>
  <c r="S218" i="25"/>
  <c r="K218" i="25" s="1"/>
  <c r="V218" i="25" s="1"/>
  <c r="R218" i="25"/>
  <c r="Q218" i="25"/>
  <c r="AO218" i="25"/>
  <c r="BZ218" i="25"/>
  <c r="P164" i="24"/>
  <c r="Q164" i="24"/>
  <c r="AP164" i="24"/>
  <c r="W311" i="24"/>
  <c r="Y311" i="24" s="1"/>
  <c r="S44" i="25"/>
  <c r="K44" i="25" s="1"/>
  <c r="V44" i="25" s="1"/>
  <c r="R44" i="25"/>
  <c r="Q44" i="25"/>
  <c r="AO44" i="25"/>
  <c r="BZ44" i="25"/>
  <c r="R256" i="25"/>
  <c r="S256" i="25"/>
  <c r="K256" i="25" s="1"/>
  <c r="Q256" i="25"/>
  <c r="AO256" i="25"/>
  <c r="BZ256" i="25"/>
  <c r="Q26" i="24"/>
  <c r="R26" i="24" s="1"/>
  <c r="P26" i="24"/>
  <c r="AP26" i="24"/>
  <c r="Q158" i="24"/>
  <c r="P158" i="24"/>
  <c r="AP158" i="24"/>
  <c r="Q103" i="24"/>
  <c r="R103" i="24" s="1"/>
  <c r="P103" i="24"/>
  <c r="AP103" i="24"/>
  <c r="S271" i="25"/>
  <c r="K271" i="25" s="1"/>
  <c r="R271" i="25"/>
  <c r="Q271" i="25"/>
  <c r="AO271" i="25"/>
  <c r="BZ271" i="25"/>
  <c r="U55" i="25"/>
  <c r="U105" i="25"/>
  <c r="W138" i="24"/>
  <c r="V138" i="24"/>
  <c r="AE258" i="24"/>
  <c r="AI258" i="24"/>
  <c r="X258" i="24"/>
  <c r="AA258" i="24" s="1"/>
  <c r="AB258" i="24" s="1"/>
  <c r="AC258" i="24" s="1"/>
  <c r="U171" i="25"/>
  <c r="R254" i="25"/>
  <c r="S254" i="25"/>
  <c r="K254" i="25" s="1"/>
  <c r="Q254" i="25"/>
  <c r="BZ254" i="25"/>
  <c r="AO254" i="25"/>
  <c r="AE60" i="24"/>
  <c r="AI60" i="24"/>
  <c r="X60" i="24"/>
  <c r="AA60" i="24" s="1"/>
  <c r="AB60" i="24" s="1"/>
  <c r="AC60" i="24" s="1"/>
  <c r="AD34" i="25"/>
  <c r="W34" i="25"/>
  <c r="Z34" i="25" s="1"/>
  <c r="AA34" i="25" s="1"/>
  <c r="AB34" i="25" s="1"/>
  <c r="AI34" i="25" s="1"/>
  <c r="R182" i="25"/>
  <c r="S182" i="25"/>
  <c r="K182" i="25" s="1"/>
  <c r="Q182" i="25"/>
  <c r="AO182" i="25"/>
  <c r="BZ182" i="25"/>
  <c r="AE243" i="24"/>
  <c r="AI243" i="24"/>
  <c r="X243" i="24"/>
  <c r="AA243" i="24" s="1"/>
  <c r="AB243" i="24" s="1"/>
  <c r="AC243" i="24" s="1"/>
  <c r="AE256" i="24"/>
  <c r="AI256" i="24"/>
  <c r="X256" i="24"/>
  <c r="AA256" i="24" s="1"/>
  <c r="AB256" i="24" s="1"/>
  <c r="AC256" i="24" s="1"/>
  <c r="AE117" i="24"/>
  <c r="AI117" i="24"/>
  <c r="X117" i="24"/>
  <c r="AA117" i="24" s="1"/>
  <c r="AB117" i="24" s="1"/>
  <c r="AC117" i="24" s="1"/>
  <c r="W98" i="24"/>
  <c r="V98" i="24"/>
  <c r="S57" i="25"/>
  <c r="K57" i="25" s="1"/>
  <c r="R57" i="25"/>
  <c r="Q57" i="25"/>
  <c r="BZ57" i="25"/>
  <c r="AO57" i="25"/>
  <c r="Q161" i="24"/>
  <c r="P161" i="24"/>
  <c r="AP161" i="24"/>
  <c r="AE130" i="24"/>
  <c r="AI130" i="24"/>
  <c r="X130" i="24"/>
  <c r="AA130" i="24" s="1"/>
  <c r="AB130" i="24" s="1"/>
  <c r="AC130" i="24" s="1"/>
  <c r="AE159" i="24"/>
  <c r="AI159" i="24"/>
  <c r="X159" i="24"/>
  <c r="AA159" i="24" s="1"/>
  <c r="AB159" i="24" s="1"/>
  <c r="AC159" i="24" s="1"/>
  <c r="AE148" i="24"/>
  <c r="AI148" i="24"/>
  <c r="X148" i="24"/>
  <c r="AA148" i="24" s="1"/>
  <c r="AB148" i="24" s="1"/>
  <c r="AC148" i="24" s="1"/>
  <c r="R19" i="25"/>
  <c r="S19" i="25"/>
  <c r="K19" i="25" s="1"/>
  <c r="Q19" i="25"/>
  <c r="AO19" i="25"/>
  <c r="BZ19" i="25"/>
  <c r="AE18" i="24"/>
  <c r="AI18" i="24"/>
  <c r="X18" i="24"/>
  <c r="AA18" i="24" s="1"/>
  <c r="AB18" i="24" s="1"/>
  <c r="AC18" i="24" s="1"/>
  <c r="U301" i="25"/>
  <c r="AD292" i="25"/>
  <c r="W292" i="25"/>
  <c r="Z292" i="25" s="1"/>
  <c r="AA292" i="25" s="1"/>
  <c r="AB292" i="25" s="1"/>
  <c r="AI292" i="25" s="1"/>
  <c r="AD276" i="25"/>
  <c r="W276" i="25"/>
  <c r="Z276" i="25" s="1"/>
  <c r="AA276" i="25" s="1"/>
  <c r="AB276" i="25" s="1"/>
  <c r="AI276" i="25" s="1"/>
  <c r="AE15" i="24"/>
  <c r="AI15" i="24"/>
  <c r="X15" i="24"/>
  <c r="AA15" i="24" s="1"/>
  <c r="AB15" i="24" s="1"/>
  <c r="AC15" i="24" s="1"/>
  <c r="AD6" i="25"/>
  <c r="V6" i="25"/>
  <c r="X6" i="25" s="1"/>
  <c r="W6" i="25"/>
  <c r="Z6" i="25" s="1"/>
  <c r="AA6" i="25" s="1"/>
  <c r="AB6" i="25" s="1"/>
  <c r="AI6" i="25" s="1"/>
  <c r="W23" i="24"/>
  <c r="V23" i="24"/>
  <c r="S163" i="25"/>
  <c r="K163" i="25" s="1"/>
  <c r="R163" i="25"/>
  <c r="Q163" i="25"/>
  <c r="BZ163" i="25"/>
  <c r="AO163" i="25"/>
  <c r="AE225" i="24"/>
  <c r="AI225" i="24"/>
  <c r="W225" i="24"/>
  <c r="Y225" i="24" s="1"/>
  <c r="X225" i="24"/>
  <c r="AA225" i="24" s="1"/>
  <c r="AB225" i="24" s="1"/>
  <c r="AC225" i="24" s="1"/>
  <c r="U139" i="25"/>
  <c r="AE192" i="24"/>
  <c r="AI192" i="24"/>
  <c r="X192" i="24"/>
  <c r="AA192" i="24" s="1"/>
  <c r="AB192" i="24" s="1"/>
  <c r="AC192" i="24" s="1"/>
  <c r="AD177" i="25"/>
  <c r="W177" i="25"/>
  <c r="Z177" i="25" s="1"/>
  <c r="AA177" i="25" s="1"/>
  <c r="AB177" i="25" s="1"/>
  <c r="AI177" i="25" s="1"/>
  <c r="V177" i="25"/>
  <c r="X177" i="25" s="1"/>
  <c r="AE231" i="24"/>
  <c r="AI231" i="24"/>
  <c r="X231" i="24"/>
  <c r="AA231" i="24" s="1"/>
  <c r="AB231" i="24" s="1"/>
  <c r="AC231" i="24" s="1"/>
  <c r="U10" i="25"/>
  <c r="S126" i="25"/>
  <c r="K126" i="25" s="1"/>
  <c r="R126" i="25"/>
  <c r="Q126" i="25"/>
  <c r="BZ126" i="25"/>
  <c r="AO126" i="25"/>
  <c r="S172" i="25"/>
  <c r="K172" i="25" s="1"/>
  <c r="R172" i="25"/>
  <c r="Q172" i="25"/>
  <c r="BZ172" i="25"/>
  <c r="AO172" i="25"/>
  <c r="W129" i="24"/>
  <c r="Y129" i="24" s="1"/>
  <c r="S103" i="25"/>
  <c r="K103" i="25" s="1"/>
  <c r="V103" i="25" s="1"/>
  <c r="R103" i="25"/>
  <c r="Q103" i="25"/>
  <c r="BZ103" i="25"/>
  <c r="AO103" i="25"/>
  <c r="AE283" i="24"/>
  <c r="AI283" i="24"/>
  <c r="X283" i="24"/>
  <c r="AA283" i="24" s="1"/>
  <c r="AB283" i="24" s="1"/>
  <c r="AC283" i="24" s="1"/>
  <c r="AE274" i="24"/>
  <c r="AI274" i="24"/>
  <c r="X274" i="24"/>
  <c r="AA274" i="24" s="1"/>
  <c r="AB274" i="24" s="1"/>
  <c r="AC274" i="24" s="1"/>
  <c r="AD178" i="25"/>
  <c r="W178" i="25"/>
  <c r="Z178" i="25" s="1"/>
  <c r="AA178" i="25" s="1"/>
  <c r="AB178" i="25" s="1"/>
  <c r="AI178" i="25" s="1"/>
  <c r="AD257" i="25"/>
  <c r="W257" i="25"/>
  <c r="Z257" i="25" s="1"/>
  <c r="AA257" i="25" s="1"/>
  <c r="AB257" i="25" s="1"/>
  <c r="AI257" i="25" s="1"/>
  <c r="V257" i="25"/>
  <c r="X257" i="25" s="1"/>
  <c r="U53" i="25"/>
  <c r="AE128" i="24"/>
  <c r="AI128" i="24"/>
  <c r="X128" i="24"/>
  <c r="AA128" i="24" s="1"/>
  <c r="AB128" i="24" s="1"/>
  <c r="AC128" i="24" s="1"/>
  <c r="S60" i="25"/>
  <c r="K60" i="25" s="1"/>
  <c r="R60" i="25"/>
  <c r="Q60" i="25"/>
  <c r="AO60" i="25"/>
  <c r="BZ60" i="25"/>
  <c r="U219" i="25"/>
  <c r="U289" i="25"/>
  <c r="U209" i="25"/>
  <c r="P247" i="24"/>
  <c r="Q247" i="24"/>
  <c r="AP247" i="24"/>
  <c r="Q315" i="24"/>
  <c r="P315" i="24"/>
  <c r="AP315" i="24"/>
  <c r="U123" i="25"/>
  <c r="U307" i="25"/>
  <c r="AS129" i="25"/>
  <c r="S224" i="25"/>
  <c r="K224" i="25" s="1"/>
  <c r="R224" i="25"/>
  <c r="Q224" i="25"/>
  <c r="AO224" i="25"/>
  <c r="BZ224" i="25"/>
  <c r="AE24" i="24"/>
  <c r="AI24" i="24"/>
  <c r="X24" i="24"/>
  <c r="AA24" i="24" s="1"/>
  <c r="AB24" i="24" s="1"/>
  <c r="AC24" i="24" s="1"/>
  <c r="AE313" i="24"/>
  <c r="AI313" i="24"/>
  <c r="X313" i="24"/>
  <c r="AA313" i="24" s="1"/>
  <c r="AB313" i="24" s="1"/>
  <c r="AC313" i="24" s="1"/>
  <c r="W173" i="24"/>
  <c r="Y173" i="24" s="1"/>
  <c r="W18" i="24"/>
  <c r="Y18" i="24" s="1"/>
  <c r="W104" i="24"/>
  <c r="V104" i="24"/>
  <c r="AE82" i="24"/>
  <c r="AI82" i="24"/>
  <c r="X82" i="24"/>
  <c r="AA82" i="24" s="1"/>
  <c r="AB82" i="24" s="1"/>
  <c r="AC82" i="24" s="1"/>
  <c r="V261" i="25"/>
  <c r="X261" i="25" s="1"/>
  <c r="R290" i="25"/>
  <c r="S290" i="25"/>
  <c r="K290" i="25" s="1"/>
  <c r="Q290" i="25"/>
  <c r="BZ290" i="25"/>
  <c r="AO290" i="25"/>
  <c r="S136" i="25"/>
  <c r="K136" i="25" s="1"/>
  <c r="Q136" i="25"/>
  <c r="R136" i="25"/>
  <c r="AO136" i="25"/>
  <c r="BZ136" i="25"/>
  <c r="W232" i="24"/>
  <c r="V232" i="24"/>
  <c r="AE217" i="24"/>
  <c r="AI217" i="24"/>
  <c r="X217" i="24"/>
  <c r="AA217" i="24" s="1"/>
  <c r="AB217" i="24" s="1"/>
  <c r="AC217" i="24" s="1"/>
  <c r="S67" i="25"/>
  <c r="K67" i="25" s="1"/>
  <c r="R67" i="25"/>
  <c r="Q67" i="25"/>
  <c r="BZ67" i="25"/>
  <c r="AO67" i="25"/>
  <c r="AE20" i="24"/>
  <c r="AI20" i="24"/>
  <c r="X20" i="24"/>
  <c r="AA20" i="24" s="1"/>
  <c r="AB20" i="24" s="1"/>
  <c r="AC20" i="24" s="1"/>
  <c r="P282" i="24"/>
  <c r="Q282" i="24"/>
  <c r="AP282" i="24"/>
  <c r="AJ292" i="24"/>
  <c r="AE145" i="24"/>
  <c r="AI145" i="24"/>
  <c r="X145" i="24"/>
  <c r="AA145" i="24" s="1"/>
  <c r="AB145" i="24" s="1"/>
  <c r="AC145" i="24" s="1"/>
  <c r="R130" i="25"/>
  <c r="S130" i="25"/>
  <c r="K130" i="25" s="1"/>
  <c r="Q130" i="25"/>
  <c r="BZ130" i="25"/>
  <c r="AO130" i="25"/>
  <c r="R165" i="25"/>
  <c r="S165" i="25"/>
  <c r="K165" i="25" s="1"/>
  <c r="V165" i="25" s="1"/>
  <c r="Q165" i="25"/>
  <c r="BZ165" i="25"/>
  <c r="AO165" i="25"/>
  <c r="S266" i="25"/>
  <c r="K266" i="25" s="1"/>
  <c r="V266" i="25" s="1"/>
  <c r="R266" i="25"/>
  <c r="Q266" i="25"/>
  <c r="AO266" i="25"/>
  <c r="BZ266" i="25"/>
  <c r="AE174" i="24"/>
  <c r="AI174" i="24"/>
  <c r="X174" i="24"/>
  <c r="AA174" i="24" s="1"/>
  <c r="AB174" i="24" s="1"/>
  <c r="AC174" i="24" s="1"/>
  <c r="U202" i="25"/>
  <c r="W69" i="24"/>
  <c r="V69" i="24"/>
  <c r="AE178" i="24"/>
  <c r="AI178" i="24"/>
  <c r="X178" i="24"/>
  <c r="AA178" i="24" s="1"/>
  <c r="AB178" i="24" s="1"/>
  <c r="AC178" i="24" s="1"/>
  <c r="S159" i="25"/>
  <c r="K159" i="25" s="1"/>
  <c r="V159" i="25" s="1"/>
  <c r="R159" i="25"/>
  <c r="Q159" i="25"/>
  <c r="AO159" i="25"/>
  <c r="BZ159" i="25"/>
  <c r="V210" i="24"/>
  <c r="W210" i="24"/>
  <c r="AE69" i="24"/>
  <c r="AI69" i="24"/>
  <c r="X69" i="24"/>
  <c r="AA69" i="24" s="1"/>
  <c r="AB69" i="24" s="1"/>
  <c r="AC69" i="24" s="1"/>
  <c r="S63" i="25"/>
  <c r="K63" i="25" s="1"/>
  <c r="V63" i="25" s="1"/>
  <c r="R63" i="25"/>
  <c r="Q63" i="25"/>
  <c r="AO63" i="25"/>
  <c r="BZ63" i="25"/>
  <c r="AE125" i="24"/>
  <c r="AI125" i="24"/>
  <c r="X125" i="24"/>
  <c r="AA125" i="24" s="1"/>
  <c r="AB125" i="24" s="1"/>
  <c r="AC125" i="24" s="1"/>
  <c r="W29" i="24"/>
  <c r="V29" i="24"/>
  <c r="V145" i="24"/>
  <c r="W145" i="24"/>
  <c r="R278" i="25"/>
  <c r="S278" i="25"/>
  <c r="K278" i="25" s="1"/>
  <c r="Q278" i="25"/>
  <c r="BZ278" i="25"/>
  <c r="AO278" i="25"/>
  <c r="U73" i="25"/>
  <c r="AE164" i="24"/>
  <c r="AI164" i="24"/>
  <c r="X164" i="24"/>
  <c r="AA164" i="24" s="1"/>
  <c r="AB164" i="24" s="1"/>
  <c r="AC164" i="24" s="1"/>
  <c r="P174" i="24"/>
  <c r="Q174" i="24"/>
  <c r="AP174" i="24"/>
  <c r="R160" i="25"/>
  <c r="S160" i="25"/>
  <c r="K160" i="25" s="1"/>
  <c r="V160" i="25" s="1"/>
  <c r="Q160" i="25"/>
  <c r="AO160" i="25"/>
  <c r="BZ160" i="25"/>
  <c r="W202" i="24"/>
  <c r="Y202" i="24" s="1"/>
  <c r="AD174" i="25"/>
  <c r="W174" i="25"/>
  <c r="Z174" i="25" s="1"/>
  <c r="AA174" i="25" s="1"/>
  <c r="AB174" i="25" s="1"/>
  <c r="AI174" i="25" s="1"/>
  <c r="W287" i="24"/>
  <c r="Y287" i="24" s="1"/>
  <c r="R61" i="25"/>
  <c r="S61" i="25"/>
  <c r="K61" i="25" s="1"/>
  <c r="Q61" i="25"/>
  <c r="BZ61" i="25"/>
  <c r="AO61" i="25"/>
  <c r="S100" i="25"/>
  <c r="K100" i="25" s="1"/>
  <c r="R100" i="25"/>
  <c r="Q100" i="25"/>
  <c r="AO100" i="25"/>
  <c r="BZ100" i="25"/>
  <c r="V239" i="24"/>
  <c r="W239" i="24"/>
  <c r="R153" i="25"/>
  <c r="S153" i="25"/>
  <c r="K153" i="25" s="1"/>
  <c r="Q153" i="25"/>
  <c r="AO153" i="25"/>
  <c r="BZ153" i="25"/>
  <c r="AE54" i="24"/>
  <c r="AI54" i="24"/>
  <c r="X54" i="24"/>
  <c r="AA54" i="24" s="1"/>
  <c r="AB54" i="24" s="1"/>
  <c r="AC54" i="24" s="1"/>
  <c r="AE167" i="24"/>
  <c r="AI167" i="24"/>
  <c r="W167" i="24"/>
  <c r="Y167" i="24" s="1"/>
  <c r="X167" i="24"/>
  <c r="AA167" i="24" s="1"/>
  <c r="AB167" i="24" s="1"/>
  <c r="AC167" i="24" s="1"/>
  <c r="Q113" i="24"/>
  <c r="P113" i="24"/>
  <c r="AP113" i="24"/>
  <c r="R264" i="25"/>
  <c r="S264" i="25"/>
  <c r="K264" i="25" s="1"/>
  <c r="Q264" i="25"/>
  <c r="BZ264" i="25"/>
  <c r="AO264" i="25"/>
  <c r="R194" i="25"/>
  <c r="S194" i="25"/>
  <c r="K194" i="25" s="1"/>
  <c r="V194" i="25" s="1"/>
  <c r="Q194" i="25"/>
  <c r="AO194" i="25"/>
  <c r="BZ194" i="25"/>
  <c r="U23" i="25"/>
  <c r="R268" i="25"/>
  <c r="S268" i="25"/>
  <c r="K268" i="25" s="1"/>
  <c r="Q268" i="25"/>
  <c r="AO268" i="25"/>
  <c r="BZ268" i="25"/>
  <c r="V283" i="24"/>
  <c r="W283" i="24"/>
  <c r="V306" i="25"/>
  <c r="X306" i="25" s="1"/>
  <c r="W180" i="24"/>
  <c r="Y180" i="24" s="1"/>
  <c r="R98" i="25"/>
  <c r="S98" i="25"/>
  <c r="K98" i="25" s="1"/>
  <c r="Q98" i="25"/>
  <c r="AO98" i="25"/>
  <c r="BZ98" i="25"/>
  <c r="AE237" i="24"/>
  <c r="AI237" i="24"/>
  <c r="X237" i="24"/>
  <c r="AA237" i="24" s="1"/>
  <c r="AB237" i="24" s="1"/>
  <c r="AC237" i="24" s="1"/>
  <c r="AE196" i="24"/>
  <c r="AI196" i="24"/>
  <c r="X196" i="24"/>
  <c r="AA196" i="24" s="1"/>
  <c r="AB196" i="24" s="1"/>
  <c r="AC196" i="24" s="1"/>
  <c r="U72" i="25"/>
  <c r="AE30" i="24"/>
  <c r="AI30" i="24"/>
  <c r="X30" i="24"/>
  <c r="AA30" i="24" s="1"/>
  <c r="AB30" i="24" s="1"/>
  <c r="AC30" i="24" s="1"/>
  <c r="W118" i="24"/>
  <c r="Y118" i="24" s="1"/>
  <c r="AE234" i="24"/>
  <c r="AI234" i="24"/>
  <c r="X234" i="24"/>
  <c r="AA234" i="24" s="1"/>
  <c r="AB234" i="24" s="1"/>
  <c r="AC234" i="24" s="1"/>
  <c r="AE290" i="24"/>
  <c r="AI290" i="24"/>
  <c r="X290" i="24"/>
  <c r="AA290" i="24" s="1"/>
  <c r="AB290" i="24" s="1"/>
  <c r="AC290" i="24" s="1"/>
  <c r="Q39" i="24"/>
  <c r="R39" i="24" s="1"/>
  <c r="P39" i="24"/>
  <c r="AP39" i="24"/>
  <c r="AE64" i="24"/>
  <c r="AI64" i="24"/>
  <c r="X64" i="24"/>
  <c r="AA64" i="24" s="1"/>
  <c r="AB64" i="24" s="1"/>
  <c r="AC64" i="24" s="1"/>
  <c r="V229" i="24"/>
  <c r="W229" i="24"/>
  <c r="W155" i="24"/>
  <c r="Y155" i="24" s="1"/>
  <c r="U183" i="25"/>
  <c r="S83" i="25"/>
  <c r="K83" i="25" s="1"/>
  <c r="R83" i="25"/>
  <c r="Q83" i="25"/>
  <c r="BZ83" i="25"/>
  <c r="AO83" i="25"/>
  <c r="AE185" i="24"/>
  <c r="AI185" i="24"/>
  <c r="X185" i="24"/>
  <c r="AA185" i="24" s="1"/>
  <c r="AB185" i="24" s="1"/>
  <c r="AC185" i="24" s="1"/>
  <c r="AE300" i="24"/>
  <c r="AI300" i="24"/>
  <c r="X300" i="24"/>
  <c r="AA300" i="24" s="1"/>
  <c r="AB300" i="24" s="1"/>
  <c r="AC300" i="24" s="1"/>
  <c r="V299" i="24"/>
  <c r="W299" i="24"/>
  <c r="AE261" i="24"/>
  <c r="AI261" i="24"/>
  <c r="X261" i="24"/>
  <c r="AA261" i="24" s="1"/>
  <c r="AB261" i="24" s="1"/>
  <c r="AC261" i="24" s="1"/>
  <c r="U38" i="25"/>
  <c r="AE269" i="24"/>
  <c r="AI269" i="24"/>
  <c r="X269" i="24"/>
  <c r="AA269" i="24" s="1"/>
  <c r="AB269" i="24" s="1"/>
  <c r="AC269" i="24" s="1"/>
  <c r="U140" i="25"/>
  <c r="AE144" i="24"/>
  <c r="AI144" i="24"/>
  <c r="X144" i="24"/>
  <c r="AA144" i="24" s="1"/>
  <c r="AB144" i="24" s="1"/>
  <c r="AC144" i="24" s="1"/>
  <c r="AE58" i="24"/>
  <c r="AI58" i="24"/>
  <c r="X58" i="24"/>
  <c r="AA58" i="24" s="1"/>
  <c r="AB58" i="24" s="1"/>
  <c r="AC58" i="24" s="1"/>
  <c r="AE219" i="24"/>
  <c r="AI219" i="24"/>
  <c r="X219" i="24"/>
  <c r="AA219" i="24" s="1"/>
  <c r="AB219" i="24" s="1"/>
  <c r="AC219" i="24" s="1"/>
  <c r="V58" i="24"/>
  <c r="W58" i="24"/>
  <c r="AE134" i="24"/>
  <c r="AI134" i="24"/>
  <c r="W134" i="24"/>
  <c r="Y134" i="24" s="1"/>
  <c r="X134" i="24"/>
  <c r="AA134" i="24" s="1"/>
  <c r="AB134" i="24" s="1"/>
  <c r="AC134" i="24" s="1"/>
  <c r="S16" i="25"/>
  <c r="K16" i="25" s="1"/>
  <c r="R16" i="25"/>
  <c r="Q16" i="25"/>
  <c r="BZ16" i="25"/>
  <c r="AO16" i="25"/>
  <c r="W159" i="24"/>
  <c r="V159" i="24"/>
  <c r="AD283" i="25"/>
  <c r="W283" i="25"/>
  <c r="Z283" i="25" s="1"/>
  <c r="AA283" i="25" s="1"/>
  <c r="AB283" i="25" s="1"/>
  <c r="AI283" i="25" s="1"/>
  <c r="S38" i="25"/>
  <c r="K38" i="25" s="1"/>
  <c r="V38" i="25" s="1"/>
  <c r="R38" i="25"/>
  <c r="Q38" i="25"/>
  <c r="BZ38" i="25"/>
  <c r="AO38" i="25"/>
  <c r="AJ22" i="24"/>
  <c r="R128" i="25"/>
  <c r="S128" i="25"/>
  <c r="K128" i="25" s="1"/>
  <c r="Q128" i="25"/>
  <c r="AO128" i="25"/>
  <c r="BZ128" i="25"/>
  <c r="W245" i="24"/>
  <c r="V245" i="24"/>
  <c r="R140" i="25"/>
  <c r="S140" i="25"/>
  <c r="K140" i="25" s="1"/>
  <c r="V140" i="25" s="1"/>
  <c r="Q140" i="25"/>
  <c r="BZ140" i="25"/>
  <c r="AO140" i="25"/>
  <c r="S227" i="25"/>
  <c r="K227" i="25" s="1"/>
  <c r="R227" i="25"/>
  <c r="Q227" i="25"/>
  <c r="AO227" i="25"/>
  <c r="BZ227" i="25"/>
  <c r="AE42" i="24"/>
  <c r="AI42" i="24"/>
  <c r="X42" i="24"/>
  <c r="AA42" i="24" s="1"/>
  <c r="AB42" i="24" s="1"/>
  <c r="AC42" i="24" s="1"/>
  <c r="R37" i="25"/>
  <c r="S37" i="25"/>
  <c r="K37" i="25" s="1"/>
  <c r="Q37" i="25"/>
  <c r="AO37" i="25"/>
  <c r="BZ37" i="25"/>
  <c r="AE220" i="24"/>
  <c r="AI220" i="24"/>
  <c r="X220" i="24"/>
  <c r="AA220" i="24" s="1"/>
  <c r="AB220" i="24" s="1"/>
  <c r="AC220" i="24" s="1"/>
  <c r="Q58" i="24"/>
  <c r="R58" i="24" s="1"/>
  <c r="P58" i="24"/>
  <c r="AP58" i="24"/>
  <c r="AE83" i="24"/>
  <c r="AI83" i="24"/>
  <c r="X83" i="24"/>
  <c r="AA83" i="24" s="1"/>
  <c r="AB83" i="24" s="1"/>
  <c r="AC83" i="24" s="1"/>
  <c r="V260" i="24"/>
  <c r="W260" i="24"/>
  <c r="W289" i="24"/>
  <c r="Y289" i="24" s="1"/>
  <c r="R311" i="25"/>
  <c r="S311" i="25"/>
  <c r="K311" i="25" s="1"/>
  <c r="Q311" i="25"/>
  <c r="BZ311" i="25"/>
  <c r="AO311" i="25"/>
  <c r="R309" i="25"/>
  <c r="S309" i="25"/>
  <c r="K309" i="25" s="1"/>
  <c r="Q309" i="25"/>
  <c r="BZ309" i="25"/>
  <c r="AO309" i="25"/>
  <c r="AE224" i="24"/>
  <c r="AI224" i="24"/>
  <c r="X224" i="24"/>
  <c r="AA224" i="24" s="1"/>
  <c r="AB224" i="24" s="1"/>
  <c r="AC224" i="24" s="1"/>
  <c r="AD282" i="25"/>
  <c r="W282" i="25"/>
  <c r="Z282" i="25" s="1"/>
  <c r="AA282" i="25" s="1"/>
  <c r="AB282" i="25" s="1"/>
  <c r="AI282" i="25" s="1"/>
  <c r="R35" i="25"/>
  <c r="S35" i="25"/>
  <c r="K35" i="25" s="1"/>
  <c r="Q35" i="25"/>
  <c r="BZ35" i="25"/>
  <c r="AO35" i="25"/>
  <c r="AE9" i="24"/>
  <c r="AI9" i="24"/>
  <c r="X9" i="24"/>
  <c r="AA9" i="24" s="1"/>
  <c r="AB9" i="24" s="1"/>
  <c r="AC9" i="24" s="1"/>
  <c r="W189" i="24"/>
  <c r="Y189" i="24" s="1"/>
  <c r="U12" i="25"/>
  <c r="W42" i="24"/>
  <c r="V42" i="24"/>
  <c r="B117" i="2"/>
  <c r="U210" i="25"/>
  <c r="U313" i="25"/>
  <c r="AG41" i="24"/>
  <c r="AF41" i="24"/>
  <c r="AE181" i="24"/>
  <c r="AI181" i="24"/>
  <c r="X181" i="24"/>
  <c r="AA181" i="24" s="1"/>
  <c r="AB181" i="24" s="1"/>
  <c r="AC181" i="24" s="1"/>
  <c r="S301" i="25"/>
  <c r="K301" i="25" s="1"/>
  <c r="R301" i="25"/>
  <c r="Q301" i="25"/>
  <c r="AO301" i="25"/>
  <c r="BZ301" i="25"/>
  <c r="W111" i="24"/>
  <c r="V111" i="24"/>
  <c r="W186" i="24"/>
  <c r="V186" i="24"/>
  <c r="AD186" i="25"/>
  <c r="W186" i="25"/>
  <c r="Z186" i="25" s="1"/>
  <c r="AA186" i="25" s="1"/>
  <c r="AB186" i="25" s="1"/>
  <c r="AI186" i="25" s="1"/>
  <c r="V186" i="25"/>
  <c r="X186" i="25" s="1"/>
  <c r="S241" i="25"/>
  <c r="K241" i="25" s="1"/>
  <c r="R241" i="25"/>
  <c r="Q241" i="25"/>
  <c r="BZ241" i="25"/>
  <c r="AO241" i="25"/>
  <c r="AD229" i="25"/>
  <c r="W229" i="25"/>
  <c r="Z229" i="25" s="1"/>
  <c r="AA229" i="25" s="1"/>
  <c r="AB229" i="25" s="1"/>
  <c r="AI229" i="25" s="1"/>
  <c r="W258" i="24"/>
  <c r="Y258" i="24" s="1"/>
  <c r="W135" i="24"/>
  <c r="V135" i="24"/>
  <c r="U217" i="25"/>
  <c r="AE133" i="24"/>
  <c r="AI133" i="24"/>
  <c r="X133" i="24"/>
  <c r="AA133" i="24" s="1"/>
  <c r="AB133" i="24" s="1"/>
  <c r="AC133" i="24" s="1"/>
  <c r="R10" i="25"/>
  <c r="S10" i="25"/>
  <c r="K10" i="25" s="1"/>
  <c r="V10" i="25" s="1"/>
  <c r="Q10" i="25"/>
  <c r="AO10" i="25"/>
  <c r="BZ10" i="25"/>
  <c r="R166" i="25"/>
  <c r="S166" i="25"/>
  <c r="K166" i="25" s="1"/>
  <c r="Q166" i="25"/>
  <c r="BZ166" i="25"/>
  <c r="AO166" i="25"/>
  <c r="U181" i="25"/>
  <c r="AE33" i="24"/>
  <c r="AI33" i="24"/>
  <c r="X33" i="24"/>
  <c r="AA33" i="24" s="1"/>
  <c r="AB33" i="24" s="1"/>
  <c r="AC33" i="24" s="1"/>
  <c r="AD113" i="25"/>
  <c r="W113" i="25"/>
  <c r="Z113" i="25" s="1"/>
  <c r="AA113" i="25" s="1"/>
  <c r="AB113" i="25" s="1"/>
  <c r="AI113" i="25" s="1"/>
  <c r="AE67" i="24"/>
  <c r="AI67" i="24"/>
  <c r="X67" i="24"/>
  <c r="AA67" i="24" s="1"/>
  <c r="AB67" i="24" s="1"/>
  <c r="AC67" i="24" s="1"/>
  <c r="U63" i="25"/>
  <c r="R195" i="25"/>
  <c r="S195" i="25"/>
  <c r="K195" i="25" s="1"/>
  <c r="Q195" i="25"/>
  <c r="AO195" i="25"/>
  <c r="BZ195" i="25"/>
  <c r="V114" i="25"/>
  <c r="X114" i="25" s="1"/>
  <c r="AE98" i="24"/>
  <c r="AI98" i="24"/>
  <c r="X98" i="24"/>
  <c r="AA98" i="24" s="1"/>
  <c r="AB98" i="24" s="1"/>
  <c r="AC98" i="24" s="1"/>
  <c r="AE91" i="24"/>
  <c r="AI91" i="24"/>
  <c r="X91" i="24"/>
  <c r="AA91" i="24" s="1"/>
  <c r="AB91" i="24" s="1"/>
  <c r="AC91" i="24" s="1"/>
  <c r="R219" i="25"/>
  <c r="S219" i="25"/>
  <c r="K219" i="25" s="1"/>
  <c r="Q219" i="25"/>
  <c r="AO219" i="25"/>
  <c r="BZ219" i="25"/>
  <c r="U277" i="25"/>
  <c r="S209" i="25"/>
  <c r="K209" i="25" s="1"/>
  <c r="V209" i="25" s="1"/>
  <c r="R209" i="25"/>
  <c r="Q209" i="25"/>
  <c r="BZ209" i="25"/>
  <c r="AO209" i="25"/>
  <c r="AE86" i="24"/>
  <c r="AI86" i="24"/>
  <c r="X86" i="24"/>
  <c r="AA86" i="24" s="1"/>
  <c r="AB86" i="24" s="1"/>
  <c r="AC86" i="24" s="1"/>
  <c r="AE197" i="24"/>
  <c r="AI197" i="24"/>
  <c r="X197" i="24"/>
  <c r="AA197" i="24" s="1"/>
  <c r="AB197" i="24" s="1"/>
  <c r="AC197" i="24" s="1"/>
  <c r="V184" i="24"/>
  <c r="W184" i="24"/>
  <c r="R123" i="25"/>
  <c r="S123" i="25"/>
  <c r="K123" i="25" s="1"/>
  <c r="V123" i="25" s="1"/>
  <c r="Q123" i="25"/>
  <c r="AO123" i="25"/>
  <c r="BZ123" i="25"/>
  <c r="R307" i="25"/>
  <c r="S307" i="25"/>
  <c r="K307" i="25" s="1"/>
  <c r="V307" i="25" s="1"/>
  <c r="Q307" i="25"/>
  <c r="BZ307" i="25"/>
  <c r="AO307" i="25"/>
  <c r="W76" i="24"/>
  <c r="Y76" i="24" s="1"/>
  <c r="AF129" i="25"/>
  <c r="AE129" i="25"/>
  <c r="V148" i="24"/>
  <c r="W148" i="24"/>
  <c r="R175" i="25"/>
  <c r="S175" i="25"/>
  <c r="K175" i="25" s="1"/>
  <c r="V175" i="25" s="1"/>
  <c r="Q175" i="25"/>
  <c r="BZ175" i="25"/>
  <c r="AO175" i="25"/>
  <c r="AE316" i="24"/>
  <c r="AI316" i="24"/>
  <c r="X316" i="24"/>
  <c r="AA316" i="24" s="1"/>
  <c r="AB316" i="24" s="1"/>
  <c r="AC316" i="24" s="1"/>
  <c r="W228" i="24"/>
  <c r="V228" i="24"/>
  <c r="V259" i="25"/>
  <c r="X259" i="25" s="1"/>
  <c r="AD238" i="25"/>
  <c r="W238" i="25"/>
  <c r="Z238" i="25" s="1"/>
  <c r="AA238" i="25" s="1"/>
  <c r="AB238" i="25" s="1"/>
  <c r="AI238" i="25" s="1"/>
  <c r="AD173" i="25"/>
  <c r="W173" i="25"/>
  <c r="Z173" i="25" s="1"/>
  <c r="AA173" i="25" s="1"/>
  <c r="AB173" i="25" s="1"/>
  <c r="AI173" i="25" s="1"/>
  <c r="W14" i="24"/>
  <c r="Y14" i="24" s="1"/>
  <c r="S24" i="25"/>
  <c r="K24" i="25" s="1"/>
  <c r="R24" i="25"/>
  <c r="Q24" i="25"/>
  <c r="BZ24" i="25"/>
  <c r="AO24" i="25"/>
  <c r="AE301" i="24"/>
  <c r="AI301" i="24"/>
  <c r="X301" i="24"/>
  <c r="AA301" i="24" s="1"/>
  <c r="AB301" i="24" s="1"/>
  <c r="AC301" i="24" s="1"/>
  <c r="AE17" i="24"/>
  <c r="AI17" i="24"/>
  <c r="X17" i="24"/>
  <c r="AA17" i="24" s="1"/>
  <c r="AB17" i="24" s="1"/>
  <c r="AC17" i="24" s="1"/>
  <c r="P232" i="24"/>
  <c r="Q232" i="24"/>
  <c r="AP232" i="24"/>
  <c r="AE315" i="24"/>
  <c r="AI315" i="24"/>
  <c r="X315" i="24"/>
  <c r="AA315" i="24" s="1"/>
  <c r="AB315" i="24" s="1"/>
  <c r="AC315" i="24" s="1"/>
  <c r="AE127" i="24"/>
  <c r="AI127" i="24"/>
  <c r="X127" i="24"/>
  <c r="AA127" i="24" s="1"/>
  <c r="AB127" i="24" s="1"/>
  <c r="AC127" i="24" s="1"/>
  <c r="R176" i="25"/>
  <c r="S176" i="25"/>
  <c r="K176" i="25" s="1"/>
  <c r="Q176" i="25"/>
  <c r="AO176" i="25"/>
  <c r="BZ176" i="25"/>
  <c r="AG292" i="24"/>
  <c r="AF292" i="24"/>
  <c r="AE193" i="24"/>
  <c r="AI193" i="24"/>
  <c r="X193" i="24"/>
  <c r="AA193" i="24" s="1"/>
  <c r="AB193" i="24" s="1"/>
  <c r="AC193" i="24" s="1"/>
  <c r="W188" i="24"/>
  <c r="Y188" i="24" s="1"/>
  <c r="AD62" i="25"/>
  <c r="W62" i="25"/>
  <c r="Z62" i="25" s="1"/>
  <c r="AA62" i="25" s="1"/>
  <c r="AB62" i="25" s="1"/>
  <c r="AI62" i="25" s="1"/>
  <c r="W284" i="24"/>
  <c r="Y284" i="24" s="1"/>
  <c r="V206" i="25"/>
  <c r="X206" i="25" s="1"/>
  <c r="W218" i="24"/>
  <c r="Y218" i="24" s="1"/>
  <c r="U226" i="25"/>
  <c r="R36" i="25"/>
  <c r="S36" i="25"/>
  <c r="K36" i="25" s="1"/>
  <c r="Q36" i="25"/>
  <c r="AO36" i="25"/>
  <c r="BZ36" i="25"/>
  <c r="AE244" i="24"/>
  <c r="AI244" i="24"/>
  <c r="X244" i="24"/>
  <c r="AA244" i="24" s="1"/>
  <c r="AB244" i="24" s="1"/>
  <c r="AC244" i="24" s="1"/>
  <c r="W269" i="24"/>
  <c r="Y269" i="24" s="1"/>
  <c r="AD296" i="25"/>
  <c r="W296" i="25"/>
  <c r="Z296" i="25" s="1"/>
  <c r="AA296" i="25" s="1"/>
  <c r="AB296" i="25" s="1"/>
  <c r="AI296" i="25" s="1"/>
  <c r="V296" i="25"/>
  <c r="X296" i="25" s="1"/>
  <c r="W172" i="24"/>
  <c r="Y172" i="24" s="1"/>
  <c r="Q210" i="24"/>
  <c r="P210" i="24"/>
  <c r="AP210" i="24"/>
  <c r="R137" i="25"/>
  <c r="S137" i="25"/>
  <c r="K137" i="25" s="1"/>
  <c r="Q137" i="25"/>
  <c r="AO137" i="25"/>
  <c r="BZ137" i="25"/>
  <c r="V222" i="24"/>
  <c r="W222" i="24"/>
  <c r="AE262" i="24"/>
  <c r="AI262" i="24"/>
  <c r="X262" i="24"/>
  <c r="AA262" i="24" s="1"/>
  <c r="AB262" i="24" s="1"/>
  <c r="AC262" i="24" s="1"/>
  <c r="AE80" i="24"/>
  <c r="AI80" i="24"/>
  <c r="X80" i="24"/>
  <c r="AA80" i="24" s="1"/>
  <c r="AB80" i="24" s="1"/>
  <c r="AC80" i="24" s="1"/>
  <c r="AJ236" i="24"/>
  <c r="U203" i="25"/>
  <c r="AE306" i="24"/>
  <c r="AI306" i="24"/>
  <c r="X306" i="24"/>
  <c r="AA306" i="24" s="1"/>
  <c r="AB306" i="24" s="1"/>
  <c r="AC306" i="24" s="1"/>
  <c r="P29" i="24"/>
  <c r="Q29" i="24"/>
  <c r="R29" i="24" s="1"/>
  <c r="AP29" i="24"/>
  <c r="P145" i="24"/>
  <c r="Q145" i="24"/>
  <c r="AP145" i="24"/>
  <c r="AE92" i="24"/>
  <c r="AI92" i="24"/>
  <c r="X92" i="24"/>
  <c r="AA92" i="24" s="1"/>
  <c r="AB92" i="24" s="1"/>
  <c r="AC92" i="24" s="1"/>
  <c r="AE51" i="24"/>
  <c r="AI51" i="24"/>
  <c r="X51" i="24"/>
  <c r="AA51" i="24" s="1"/>
  <c r="AB51" i="24" s="1"/>
  <c r="AC51" i="24" s="1"/>
  <c r="R73" i="25"/>
  <c r="S73" i="25"/>
  <c r="K73" i="25" s="1"/>
  <c r="V73" i="25" s="1"/>
  <c r="Q73" i="25"/>
  <c r="AO73" i="25"/>
  <c r="BZ73" i="25"/>
  <c r="R187" i="25"/>
  <c r="S187" i="25"/>
  <c r="K187" i="25" s="1"/>
  <c r="V187" i="25" s="1"/>
  <c r="Q187" i="25"/>
  <c r="BZ187" i="25"/>
  <c r="AO187" i="25"/>
  <c r="AE39" i="24"/>
  <c r="AI39" i="24"/>
  <c r="X39" i="24"/>
  <c r="AA39" i="24" s="1"/>
  <c r="AB39" i="24" s="1"/>
  <c r="AC39" i="24" s="1"/>
  <c r="AJ142" i="24"/>
  <c r="AE229" i="24"/>
  <c r="AI229" i="24"/>
  <c r="X229" i="24"/>
  <c r="AA229" i="24" s="1"/>
  <c r="AB229" i="24" s="1"/>
  <c r="AC229" i="24" s="1"/>
  <c r="AE111" i="24"/>
  <c r="AI111" i="24"/>
  <c r="X111" i="24"/>
  <c r="AA111" i="24" s="1"/>
  <c r="AB111" i="24" s="1"/>
  <c r="AC111" i="24" s="1"/>
  <c r="W116" i="24"/>
  <c r="Y116" i="24" s="1"/>
  <c r="W67" i="24"/>
  <c r="Y67" i="24" s="1"/>
  <c r="W92" i="24"/>
  <c r="V92" i="24"/>
  <c r="AE46" i="24"/>
  <c r="AI46" i="24"/>
  <c r="X46" i="24"/>
  <c r="AA46" i="24" s="1"/>
  <c r="AB46" i="24" s="1"/>
  <c r="AC46" i="24" s="1"/>
  <c r="W6" i="24"/>
  <c r="Y6" i="24" s="1"/>
  <c r="W277" i="24"/>
  <c r="V277" i="24"/>
  <c r="Q239" i="24"/>
  <c r="P239" i="24"/>
  <c r="AP239" i="24"/>
  <c r="W38" i="24"/>
  <c r="V38" i="24"/>
  <c r="R47" i="25"/>
  <c r="S47" i="25"/>
  <c r="K47" i="25" s="1"/>
  <c r="V47" i="25" s="1"/>
  <c r="Q47" i="25"/>
  <c r="AO47" i="25"/>
  <c r="BZ47" i="25"/>
  <c r="AE259" i="24"/>
  <c r="AI259" i="24"/>
  <c r="X259" i="24"/>
  <c r="AA259" i="24" s="1"/>
  <c r="AB259" i="24" s="1"/>
  <c r="AC259" i="24" s="1"/>
  <c r="S23" i="25"/>
  <c r="K23" i="25" s="1"/>
  <c r="R23" i="25"/>
  <c r="Q23" i="25"/>
  <c r="AO23" i="25"/>
  <c r="BZ23" i="25"/>
  <c r="V57" i="24"/>
  <c r="W57" i="24"/>
  <c r="U272" i="25"/>
  <c r="AE126" i="24"/>
  <c r="AI126" i="24"/>
  <c r="X126" i="24"/>
  <c r="AA126" i="24" s="1"/>
  <c r="AB126" i="24" s="1"/>
  <c r="AC126" i="24" s="1"/>
  <c r="V235" i="24"/>
  <c r="W235" i="24"/>
  <c r="W193" i="24"/>
  <c r="Y193" i="24" s="1"/>
  <c r="AD248" i="25"/>
  <c r="W248" i="25"/>
  <c r="Z248" i="25" s="1"/>
  <c r="AA248" i="25" s="1"/>
  <c r="AB248" i="25" s="1"/>
  <c r="AI248" i="25" s="1"/>
  <c r="V174" i="25"/>
  <c r="X174" i="25" s="1"/>
  <c r="AD204" i="25"/>
  <c r="W204" i="25"/>
  <c r="Z204" i="25" s="1"/>
  <c r="AA204" i="25" s="1"/>
  <c r="AB204" i="25" s="1"/>
  <c r="AI204" i="25" s="1"/>
  <c r="S80" i="25"/>
  <c r="K80" i="25" s="1"/>
  <c r="R80" i="25"/>
  <c r="Q80" i="25"/>
  <c r="AO80" i="25"/>
  <c r="BZ80" i="25"/>
  <c r="R310" i="25"/>
  <c r="S310" i="25"/>
  <c r="K310" i="25" s="1"/>
  <c r="Q310" i="25"/>
  <c r="AO310" i="25"/>
  <c r="BZ310" i="25"/>
  <c r="FJ211" i="25"/>
  <c r="R54" i="25"/>
  <c r="S54" i="25"/>
  <c r="K54" i="25" s="1"/>
  <c r="Q54" i="25"/>
  <c r="BZ54" i="25"/>
  <c r="AO54" i="25"/>
  <c r="S72" i="25"/>
  <c r="K72" i="25" s="1"/>
  <c r="R72" i="25"/>
  <c r="Q72" i="25"/>
  <c r="AO72" i="25"/>
  <c r="BZ72" i="25"/>
  <c r="R65" i="25"/>
  <c r="S65" i="25"/>
  <c r="K65" i="25" s="1"/>
  <c r="Q65" i="25"/>
  <c r="BZ65" i="25"/>
  <c r="AO65" i="25"/>
  <c r="U225" i="25"/>
  <c r="W291" i="24"/>
  <c r="V291" i="24"/>
  <c r="V100" i="24"/>
  <c r="W100" i="24"/>
  <c r="W266" i="24"/>
  <c r="V266" i="24"/>
  <c r="Q229" i="24"/>
  <c r="P229" i="24"/>
  <c r="AP229" i="24"/>
  <c r="AE88" i="24"/>
  <c r="AI88" i="24"/>
  <c r="W88" i="24"/>
  <c r="Y88" i="24" s="1"/>
  <c r="X88" i="24"/>
  <c r="AA88" i="24" s="1"/>
  <c r="AB88" i="24" s="1"/>
  <c r="AC88" i="24" s="1"/>
  <c r="AE170" i="24"/>
  <c r="AI170" i="24"/>
  <c r="X170" i="24"/>
  <c r="AA170" i="24" s="1"/>
  <c r="AB170" i="24" s="1"/>
  <c r="AC170" i="24" s="1"/>
  <c r="AD247" i="25"/>
  <c r="W247" i="25"/>
  <c r="Z247" i="25" s="1"/>
  <c r="AA247" i="25" s="1"/>
  <c r="AB247" i="25" s="1"/>
  <c r="AI247" i="25" s="1"/>
  <c r="R149" i="25"/>
  <c r="S149" i="25"/>
  <c r="K149" i="25" s="1"/>
  <c r="Q149" i="25"/>
  <c r="AO149" i="25"/>
  <c r="BZ149" i="25"/>
  <c r="AG22" i="24"/>
  <c r="AF22" i="24"/>
  <c r="W80" i="24"/>
  <c r="V80" i="24"/>
  <c r="AE241" i="24"/>
  <c r="AI241" i="24"/>
  <c r="X241" i="24"/>
  <c r="AA241" i="24" s="1"/>
  <c r="AB241" i="24" s="1"/>
  <c r="AC241" i="24" s="1"/>
  <c r="AE66" i="24"/>
  <c r="AI66" i="24"/>
  <c r="X66" i="24"/>
  <c r="AA66" i="24" s="1"/>
  <c r="AB66" i="24" s="1"/>
  <c r="AC66" i="24" s="1"/>
  <c r="AG190" i="24"/>
  <c r="AF190" i="24"/>
  <c r="R263" i="25"/>
  <c r="S263" i="25"/>
  <c r="K263" i="25" s="1"/>
  <c r="Q263" i="25"/>
  <c r="AO263" i="25"/>
  <c r="BZ263" i="25"/>
  <c r="U90" i="25"/>
  <c r="U125" i="25"/>
  <c r="U297" i="25"/>
  <c r="AE279" i="24"/>
  <c r="AI279" i="24"/>
  <c r="X279" i="24"/>
  <c r="AA279" i="24" s="1"/>
  <c r="AB279" i="24" s="1"/>
  <c r="AC279" i="24" s="1"/>
  <c r="P260" i="24"/>
  <c r="Q260" i="24"/>
  <c r="AP260" i="24"/>
  <c r="S101" i="25"/>
  <c r="K101" i="25" s="1"/>
  <c r="V101" i="25" s="1"/>
  <c r="R101" i="25"/>
  <c r="Q101" i="25"/>
  <c r="AO101" i="25"/>
  <c r="BZ101" i="25"/>
  <c r="AD31" i="25"/>
  <c r="W31" i="25"/>
  <c r="Z31" i="25" s="1"/>
  <c r="AA31" i="25" s="1"/>
  <c r="AB31" i="25" s="1"/>
  <c r="AI31" i="25" s="1"/>
  <c r="V112" i="24"/>
  <c r="W112" i="24"/>
  <c r="AE230" i="24"/>
  <c r="AI230" i="24"/>
  <c r="X230" i="24"/>
  <c r="AA230" i="24" s="1"/>
  <c r="AB230" i="24" s="1"/>
  <c r="AC230" i="24" s="1"/>
  <c r="U75" i="25"/>
  <c r="AE247" i="24"/>
  <c r="AI247" i="24"/>
  <c r="X247" i="24"/>
  <c r="AA247" i="24" s="1"/>
  <c r="AB247" i="24" s="1"/>
  <c r="AC247" i="24" s="1"/>
  <c r="AE182" i="24"/>
  <c r="AI182" i="24"/>
  <c r="X182" i="24"/>
  <c r="AA182" i="24" s="1"/>
  <c r="AB182" i="24" s="1"/>
  <c r="AC182" i="24" s="1"/>
  <c r="V9" i="24"/>
  <c r="W9" i="24"/>
  <c r="S12" i="25"/>
  <c r="K12" i="25" s="1"/>
  <c r="R12" i="25"/>
  <c r="Q12" i="25"/>
  <c r="AO12" i="25"/>
  <c r="BZ12" i="25"/>
  <c r="W131" i="24"/>
  <c r="V131" i="24"/>
  <c r="P42" i="24"/>
  <c r="Q42" i="24"/>
  <c r="R42" i="24" s="1"/>
  <c r="AP42" i="24"/>
  <c r="AE249" i="24"/>
  <c r="AI249" i="24"/>
  <c r="X249" i="24"/>
  <c r="AA249" i="24" s="1"/>
  <c r="AB249" i="24" s="1"/>
  <c r="AC249" i="24" s="1"/>
  <c r="V123" i="24"/>
  <c r="W123" i="24"/>
  <c r="U84" i="25"/>
  <c r="S313" i="25"/>
  <c r="K313" i="25" s="1"/>
  <c r="R313" i="25"/>
  <c r="Q313" i="25"/>
  <c r="AO313" i="25"/>
  <c r="BZ313" i="25"/>
  <c r="AE163" i="24"/>
  <c r="AI163" i="24"/>
  <c r="X163" i="24"/>
  <c r="AA163" i="24" s="1"/>
  <c r="AB163" i="24" s="1"/>
  <c r="AC163" i="24" s="1"/>
  <c r="S48" i="25"/>
  <c r="K48" i="25" s="1"/>
  <c r="R48" i="25"/>
  <c r="Q48" i="25"/>
  <c r="BZ48" i="25"/>
  <c r="AO48" i="25"/>
  <c r="V34" i="25"/>
  <c r="X34" i="25" s="1"/>
  <c r="U228" i="25"/>
  <c r="W280" i="24"/>
  <c r="V280" i="24"/>
  <c r="AD201" i="25"/>
  <c r="W201" i="25"/>
  <c r="Z201" i="25" s="1"/>
  <c r="AA201" i="25" s="1"/>
  <c r="AB201" i="25" s="1"/>
  <c r="AI201" i="25" s="1"/>
  <c r="AE50" i="24"/>
  <c r="AI50" i="24"/>
  <c r="X50" i="24"/>
  <c r="AA50" i="24" s="1"/>
  <c r="AB50" i="24" s="1"/>
  <c r="AC50" i="24" s="1"/>
  <c r="S144" i="25"/>
  <c r="K144" i="25" s="1"/>
  <c r="R144" i="25"/>
  <c r="Q144" i="25"/>
  <c r="AO144" i="25"/>
  <c r="BZ144" i="25"/>
  <c r="S217" i="25"/>
  <c r="K217" i="25" s="1"/>
  <c r="V217" i="25" s="1"/>
  <c r="R217" i="25"/>
  <c r="Q217" i="25"/>
  <c r="AO217" i="25"/>
  <c r="BZ217" i="25"/>
  <c r="R139" i="25"/>
  <c r="S139" i="25"/>
  <c r="K139" i="25" s="1"/>
  <c r="V139" i="25" s="1"/>
  <c r="Q139" i="25"/>
  <c r="AO139" i="25"/>
  <c r="BZ139" i="25"/>
  <c r="AE175" i="24"/>
  <c r="AI175" i="24"/>
  <c r="X175" i="24"/>
  <c r="AA175" i="24" s="1"/>
  <c r="AB175" i="24" s="1"/>
  <c r="AC175" i="24" s="1"/>
  <c r="U234" i="25"/>
  <c r="U26" i="25"/>
  <c r="W141" i="24"/>
  <c r="V141" i="24"/>
  <c r="S250" i="25"/>
  <c r="K250" i="25" s="1"/>
  <c r="R250" i="25"/>
  <c r="Q250" i="25"/>
  <c r="AO250" i="25"/>
  <c r="BZ250" i="25"/>
  <c r="R118" i="25"/>
  <c r="S118" i="25"/>
  <c r="K118" i="25" s="1"/>
  <c r="V118" i="25" s="1"/>
  <c r="Q118" i="25"/>
  <c r="AO118" i="25"/>
  <c r="BZ118" i="25"/>
  <c r="AD255" i="25"/>
  <c r="W255" i="25"/>
  <c r="Z255" i="25" s="1"/>
  <c r="AA255" i="25" s="1"/>
  <c r="AB255" i="25" s="1"/>
  <c r="AI255" i="25" s="1"/>
  <c r="V255" i="25"/>
  <c r="X255" i="25" s="1"/>
  <c r="U74" i="25"/>
  <c r="R151" i="25"/>
  <c r="S151" i="25"/>
  <c r="K151" i="25" s="1"/>
  <c r="Q151" i="25"/>
  <c r="AO151" i="25"/>
  <c r="BZ151" i="25"/>
  <c r="V92" i="25"/>
  <c r="X92" i="25" s="1"/>
  <c r="AE56" i="24"/>
  <c r="AI56" i="24"/>
  <c r="X56" i="24"/>
  <c r="AA56" i="24" s="1"/>
  <c r="AB56" i="24" s="1"/>
  <c r="AC56" i="24" s="1"/>
  <c r="AE70" i="24"/>
  <c r="AI70" i="24"/>
  <c r="X70" i="24"/>
  <c r="AA70" i="24" s="1"/>
  <c r="AB70" i="24" s="1"/>
  <c r="AC70" i="24" s="1"/>
  <c r="S152" i="25"/>
  <c r="K152" i="25" s="1"/>
  <c r="R152" i="25"/>
  <c r="Q152" i="25"/>
  <c r="AO152" i="25"/>
  <c r="BZ152" i="25"/>
  <c r="S50" i="25"/>
  <c r="K50" i="25" s="1"/>
  <c r="R50" i="25"/>
  <c r="Q50" i="25"/>
  <c r="AO50" i="25"/>
  <c r="BZ50" i="25"/>
  <c r="S277" i="25"/>
  <c r="K277" i="25" s="1"/>
  <c r="R277" i="25"/>
  <c r="Q277" i="25"/>
  <c r="AO277" i="25"/>
  <c r="BZ277" i="25"/>
  <c r="P184" i="24"/>
  <c r="Q184" i="24"/>
  <c r="AP184" i="24"/>
  <c r="AE146" i="24"/>
  <c r="AI146" i="24"/>
  <c r="X146" i="24"/>
  <c r="AA146" i="24" s="1"/>
  <c r="AB146" i="24" s="1"/>
  <c r="AC146" i="24" s="1"/>
  <c r="AE153" i="24"/>
  <c r="AI153" i="24"/>
  <c r="X153" i="24"/>
  <c r="AA153" i="24" s="1"/>
  <c r="AB153" i="24" s="1"/>
  <c r="AC153" i="24" s="1"/>
  <c r="AE271" i="24"/>
  <c r="AI271" i="24"/>
  <c r="X271" i="24"/>
  <c r="AA271" i="24" s="1"/>
  <c r="AB271" i="24" s="1"/>
  <c r="AC271" i="24" s="1"/>
  <c r="AE149" i="24"/>
  <c r="AI149" i="24"/>
  <c r="X149" i="24"/>
  <c r="AA149" i="24" s="1"/>
  <c r="AB149" i="24" s="1"/>
  <c r="AC149" i="24" s="1"/>
  <c r="P148" i="24"/>
  <c r="Q148" i="24"/>
  <c r="AP148" i="24"/>
  <c r="AE304" i="24"/>
  <c r="AI304" i="24"/>
  <c r="X304" i="24"/>
  <c r="AA304" i="24" s="1"/>
  <c r="AB304" i="24" s="1"/>
  <c r="AC304" i="24" s="1"/>
  <c r="Q228" i="24"/>
  <c r="P228" i="24"/>
  <c r="AP228" i="24"/>
  <c r="U208" i="25"/>
  <c r="R298" i="25"/>
  <c r="S298" i="25"/>
  <c r="K298" i="25" s="1"/>
  <c r="V298" i="25" s="1"/>
  <c r="Q298" i="25"/>
  <c r="BZ298" i="25"/>
  <c r="AO298" i="25"/>
  <c r="W241" i="24"/>
  <c r="V241" i="24"/>
  <c r="V185" i="24"/>
  <c r="W185" i="24"/>
  <c r="AD21" i="25"/>
  <c r="W21" i="25"/>
  <c r="Z21" i="25" s="1"/>
  <c r="AA21" i="25" s="1"/>
  <c r="AB21" i="25" s="1"/>
  <c r="AI21" i="25" s="1"/>
  <c r="AE35" i="24"/>
  <c r="AI35" i="24"/>
  <c r="X35" i="24"/>
  <c r="AA35" i="24" s="1"/>
  <c r="AB35" i="24" s="1"/>
  <c r="AC35" i="24" s="1"/>
  <c r="W85" i="24"/>
  <c r="V85" i="24"/>
  <c r="U27" i="25"/>
  <c r="U274" i="25"/>
  <c r="U205" i="25"/>
  <c r="AE10" i="24"/>
  <c r="AI10" i="24"/>
  <c r="X10" i="24"/>
  <c r="AA10" i="24" s="1"/>
  <c r="AB10" i="24" s="1"/>
  <c r="AC10" i="24" s="1"/>
  <c r="W65" i="24"/>
  <c r="V65" i="24"/>
  <c r="W82" i="24"/>
  <c r="Y82" i="24" s="1"/>
  <c r="AE43" i="24"/>
  <c r="AI43" i="24"/>
  <c r="X43" i="24"/>
  <c r="AA43" i="24" s="1"/>
  <c r="AB43" i="24" s="1"/>
  <c r="AC43" i="24" s="1"/>
  <c r="AE122" i="24"/>
  <c r="AI122" i="24"/>
  <c r="X122" i="24"/>
  <c r="AA122" i="24" s="1"/>
  <c r="AB122" i="24" s="1"/>
  <c r="AC122" i="24" s="1"/>
  <c r="AE40" i="24"/>
  <c r="AI40" i="24"/>
  <c r="X40" i="24"/>
  <c r="AA40" i="24" s="1"/>
  <c r="AB40" i="24" s="1"/>
  <c r="AC40" i="24" s="1"/>
  <c r="AE239" i="24"/>
  <c r="AI239" i="24"/>
  <c r="X239" i="24"/>
  <c r="AA239" i="24" s="1"/>
  <c r="AB239" i="24" s="1"/>
  <c r="AC239" i="24" s="1"/>
  <c r="AE154" i="24"/>
  <c r="AI154" i="24"/>
  <c r="X154" i="24"/>
  <c r="AA154" i="24" s="1"/>
  <c r="AB154" i="24" s="1"/>
  <c r="AC154" i="24" s="1"/>
  <c r="R203" i="25"/>
  <c r="S203" i="25"/>
  <c r="K203" i="25" s="1"/>
  <c r="V203" i="25" s="1"/>
  <c r="Q203" i="25"/>
  <c r="AO203" i="25"/>
  <c r="BZ203" i="25"/>
  <c r="V197" i="24"/>
  <c r="W197" i="24"/>
  <c r="W207" i="24"/>
  <c r="Y207" i="24" s="1"/>
  <c r="U221" i="25"/>
  <c r="V95" i="24"/>
  <c r="W95" i="24"/>
  <c r="S171" i="25"/>
  <c r="K171" i="25" s="1"/>
  <c r="V171" i="25" s="1"/>
  <c r="R171" i="25"/>
  <c r="Q171" i="25"/>
  <c r="AO171" i="25"/>
  <c r="BZ171" i="25"/>
  <c r="R295" i="25"/>
  <c r="S295" i="25"/>
  <c r="K295" i="25" s="1"/>
  <c r="V295" i="25" s="1"/>
  <c r="Q295" i="25"/>
  <c r="AO295" i="25"/>
  <c r="BZ295" i="25"/>
  <c r="R202" i="25"/>
  <c r="S202" i="25"/>
  <c r="K202" i="25" s="1"/>
  <c r="V202" i="25" s="1"/>
  <c r="Q202" i="25"/>
  <c r="AO202" i="25"/>
  <c r="BZ202" i="25"/>
  <c r="R226" i="25"/>
  <c r="S226" i="25"/>
  <c r="K226" i="25" s="1"/>
  <c r="Q226" i="25"/>
  <c r="AO226" i="25"/>
  <c r="BZ226" i="25"/>
  <c r="AD158" i="25"/>
  <c r="W158" i="25"/>
  <c r="Z158" i="25" s="1"/>
  <c r="AA158" i="25" s="1"/>
  <c r="AB158" i="25" s="1"/>
  <c r="AI158" i="25" s="1"/>
  <c r="AE93" i="24"/>
  <c r="AI93" i="24"/>
  <c r="X93" i="24"/>
  <c r="AA93" i="24" s="1"/>
  <c r="AB93" i="24" s="1"/>
  <c r="AC93" i="24" s="1"/>
  <c r="U68" i="25"/>
  <c r="S244" i="25"/>
  <c r="K244" i="25" s="1"/>
  <c r="R244" i="25"/>
  <c r="Q244" i="25"/>
  <c r="AO244" i="25"/>
  <c r="BZ244" i="25"/>
  <c r="P277" i="24"/>
  <c r="Q277" i="24"/>
  <c r="AP277" i="24"/>
  <c r="W262" i="24"/>
  <c r="V262" i="24"/>
  <c r="W166" i="24"/>
  <c r="Y166" i="24" s="1"/>
  <c r="S69" i="25"/>
  <c r="K69" i="25" s="1"/>
  <c r="R69" i="25"/>
  <c r="Q69" i="25"/>
  <c r="BZ69" i="25"/>
  <c r="AO69" i="25"/>
  <c r="Q38" i="24"/>
  <c r="R38" i="24" s="1"/>
  <c r="P38" i="24"/>
  <c r="AP38" i="24"/>
  <c r="V31" i="25"/>
  <c r="X31" i="25" s="1"/>
  <c r="AE286" i="24"/>
  <c r="AI286" i="24"/>
  <c r="X286" i="24"/>
  <c r="AA286" i="24" s="1"/>
  <c r="AB286" i="24" s="1"/>
  <c r="AC286" i="24" s="1"/>
  <c r="AE100" i="24"/>
  <c r="AI100" i="24"/>
  <c r="X100" i="24"/>
  <c r="AA100" i="24" s="1"/>
  <c r="AB100" i="24" s="1"/>
  <c r="AC100" i="24" s="1"/>
  <c r="AG55" i="24"/>
  <c r="AF55" i="24"/>
  <c r="Q57" i="24"/>
  <c r="R57" i="24" s="1"/>
  <c r="P57" i="24"/>
  <c r="AP57" i="24"/>
  <c r="AE260" i="24"/>
  <c r="AI260" i="24"/>
  <c r="X260" i="24"/>
  <c r="AA260" i="24" s="1"/>
  <c r="AB260" i="24" s="1"/>
  <c r="AC260" i="24" s="1"/>
  <c r="S272" i="25"/>
  <c r="K272" i="25" s="1"/>
  <c r="V272" i="25" s="1"/>
  <c r="R272" i="25"/>
  <c r="Q272" i="25"/>
  <c r="AO272" i="25"/>
  <c r="BZ272" i="25"/>
  <c r="V64" i="24"/>
  <c r="W64" i="24"/>
  <c r="W79" i="24"/>
  <c r="Y79" i="24" s="1"/>
  <c r="V46" i="24"/>
  <c r="W46" i="24"/>
  <c r="R185" i="25"/>
  <c r="S185" i="25"/>
  <c r="K185" i="25" s="1"/>
  <c r="Q185" i="25"/>
  <c r="AO185" i="25"/>
  <c r="BZ185" i="25"/>
  <c r="W281" i="24"/>
  <c r="Y281" i="24" s="1"/>
  <c r="R133" i="25"/>
  <c r="S133" i="25"/>
  <c r="K133" i="25" s="1"/>
  <c r="Q133" i="25"/>
  <c r="BZ133" i="25"/>
  <c r="AO133" i="25"/>
  <c r="U200" i="25"/>
  <c r="AE26" i="24"/>
  <c r="AI26" i="24"/>
  <c r="X26" i="24"/>
  <c r="AA26" i="24" s="1"/>
  <c r="AB26" i="24" s="1"/>
  <c r="AC26" i="24" s="1"/>
  <c r="AE123" i="24"/>
  <c r="AI123" i="24"/>
  <c r="X123" i="24"/>
  <c r="AA123" i="24" s="1"/>
  <c r="AB123" i="24" s="1"/>
  <c r="AC123" i="24" s="1"/>
  <c r="AE77" i="24"/>
  <c r="AI77" i="24"/>
  <c r="X77" i="24"/>
  <c r="AA77" i="24" s="1"/>
  <c r="AB77" i="24" s="1"/>
  <c r="AC77" i="24" s="1"/>
  <c r="W77" i="24"/>
  <c r="Y77" i="24" s="1"/>
  <c r="U242" i="25"/>
  <c r="S225" i="25"/>
  <c r="K225" i="25" s="1"/>
  <c r="V225" i="25" s="1"/>
  <c r="R225" i="25"/>
  <c r="Q225" i="25"/>
  <c r="AO225" i="25"/>
  <c r="BZ225" i="25"/>
  <c r="Q100" i="24"/>
  <c r="R100" i="24" s="1"/>
  <c r="P100" i="24"/>
  <c r="AP100" i="24"/>
  <c r="P266" i="24"/>
  <c r="Q266" i="24"/>
  <c r="AP266" i="24"/>
  <c r="U135" i="25"/>
  <c r="U138" i="25"/>
  <c r="W250" i="24"/>
  <c r="V250" i="24"/>
  <c r="W168" i="24"/>
  <c r="V168" i="24"/>
  <c r="AE87" i="24"/>
  <c r="AI87" i="24"/>
  <c r="X87" i="24"/>
  <c r="AA87" i="24" s="1"/>
  <c r="AB87" i="24" s="1"/>
  <c r="AC87" i="24" s="1"/>
  <c r="U157" i="25"/>
  <c r="AE90" i="24"/>
  <c r="AI90" i="24"/>
  <c r="X90" i="24"/>
  <c r="AA90" i="24" s="1"/>
  <c r="AB90" i="24" s="1"/>
  <c r="AC90" i="24" s="1"/>
  <c r="AE75" i="24"/>
  <c r="AI75" i="24"/>
  <c r="X75" i="24"/>
  <c r="AA75" i="24" s="1"/>
  <c r="AB75" i="24" s="1"/>
  <c r="AC75" i="24" s="1"/>
  <c r="AE8" i="24"/>
  <c r="AI8" i="24"/>
  <c r="X8" i="24"/>
  <c r="AA8" i="24" s="1"/>
  <c r="AB8" i="24" s="1"/>
  <c r="AC8" i="24" s="1"/>
  <c r="AE203" i="24"/>
  <c r="AI203" i="24"/>
  <c r="X203" i="24"/>
  <c r="AA203" i="24" s="1"/>
  <c r="AB203" i="24" s="1"/>
  <c r="AC203" i="24" s="1"/>
  <c r="P80" i="24"/>
  <c r="Q80" i="24"/>
  <c r="R80" i="24" s="1"/>
  <c r="AP80" i="24"/>
  <c r="S300" i="25"/>
  <c r="K300" i="25" s="1"/>
  <c r="R300" i="25"/>
  <c r="Q300" i="25"/>
  <c r="BZ300" i="25"/>
  <c r="AO300" i="25"/>
  <c r="V183" i="24"/>
  <c r="W183" i="24"/>
  <c r="U169" i="25"/>
  <c r="R90" i="25"/>
  <c r="S90" i="25"/>
  <c r="K90" i="25" s="1"/>
  <c r="V90" i="25" s="1"/>
  <c r="Q90" i="25"/>
  <c r="BZ90" i="25"/>
  <c r="AO90" i="25"/>
  <c r="R125" i="25"/>
  <c r="S125" i="25"/>
  <c r="K125" i="25" s="1"/>
  <c r="Q125" i="25"/>
  <c r="BZ125" i="25"/>
  <c r="AO125" i="25"/>
  <c r="U112" i="25"/>
  <c r="V259" i="24"/>
  <c r="W259" i="24"/>
  <c r="R297" i="25"/>
  <c r="S297" i="25"/>
  <c r="K297" i="25" s="1"/>
  <c r="Q297" i="25"/>
  <c r="AO297" i="25"/>
  <c r="BZ297" i="25"/>
  <c r="U76" i="25"/>
  <c r="U22" i="25"/>
  <c r="U103" i="25"/>
  <c r="W96" i="24"/>
  <c r="V96" i="24"/>
  <c r="AE152" i="24"/>
  <c r="AI152" i="24"/>
  <c r="X152" i="24"/>
  <c r="AA152" i="24" s="1"/>
  <c r="AB152" i="24" s="1"/>
  <c r="AC152" i="24" s="1"/>
  <c r="AE143" i="24"/>
  <c r="AI143" i="24"/>
  <c r="X143" i="24"/>
  <c r="AA143" i="24" s="1"/>
  <c r="AB143" i="24" s="1"/>
  <c r="AC143" i="24" s="1"/>
  <c r="U187" i="25"/>
  <c r="AE297" i="24"/>
  <c r="AI297" i="24"/>
  <c r="X297" i="24"/>
  <c r="AA297" i="24" s="1"/>
  <c r="AB297" i="24" s="1"/>
  <c r="AC297" i="24" s="1"/>
  <c r="R75" i="25"/>
  <c r="S75" i="25"/>
  <c r="K75" i="25" s="1"/>
  <c r="Q75" i="25"/>
  <c r="BZ75" i="25"/>
  <c r="AO75" i="25"/>
  <c r="U196" i="25"/>
  <c r="V263" i="24"/>
  <c r="W263" i="24"/>
  <c r="V156" i="24"/>
  <c r="W156" i="24"/>
  <c r="U115" i="25"/>
  <c r="AD305" i="25"/>
  <c r="W305" i="25"/>
  <c r="Z305" i="25" s="1"/>
  <c r="AA305" i="25" s="1"/>
  <c r="AB305" i="25" s="1"/>
  <c r="AI305" i="25" s="1"/>
  <c r="AE169" i="24"/>
  <c r="AI169" i="24"/>
  <c r="X169" i="24"/>
  <c r="AA169" i="24" s="1"/>
  <c r="AB169" i="24" s="1"/>
  <c r="AC169" i="24" s="1"/>
  <c r="Q131" i="24"/>
  <c r="P131" i="24"/>
  <c r="AP131" i="24"/>
  <c r="U118" i="25"/>
  <c r="Q123" i="24"/>
  <c r="P123" i="24"/>
  <c r="AP123" i="24"/>
  <c r="AE253" i="24"/>
  <c r="AI253" i="24"/>
  <c r="X253" i="24"/>
  <c r="AA253" i="24" s="1"/>
  <c r="AB253" i="24" s="1"/>
  <c r="AC253" i="24" s="1"/>
  <c r="S210" i="25"/>
  <c r="K210" i="25" s="1"/>
  <c r="R210" i="25"/>
  <c r="Q210" i="25"/>
  <c r="AO210" i="25"/>
  <c r="BZ210" i="25"/>
  <c r="S84" i="25"/>
  <c r="K84" i="25" s="1"/>
  <c r="V84" i="25" s="1"/>
  <c r="R84" i="25"/>
  <c r="Q84" i="25"/>
  <c r="AO84" i="25"/>
  <c r="BZ84" i="25"/>
  <c r="S180" i="25"/>
  <c r="K180" i="25" s="1"/>
  <c r="R180" i="25"/>
  <c r="Q180" i="25"/>
  <c r="AO180" i="25"/>
  <c r="BZ180" i="25"/>
  <c r="S228" i="25"/>
  <c r="K228" i="25" s="1"/>
  <c r="V228" i="25" s="1"/>
  <c r="R228" i="25"/>
  <c r="Q228" i="25"/>
  <c r="AO228" i="25"/>
  <c r="BZ228" i="25"/>
  <c r="U299" i="25"/>
  <c r="P280" i="24"/>
  <c r="Q280" i="24"/>
  <c r="AP280" i="24"/>
  <c r="V243" i="24"/>
  <c r="W243" i="24"/>
  <c r="AD71" i="25"/>
  <c r="W71" i="25"/>
  <c r="Z71" i="25" s="1"/>
  <c r="AA71" i="25" s="1"/>
  <c r="AB71" i="25" s="1"/>
  <c r="AI71" i="25" s="1"/>
  <c r="AD161" i="25"/>
  <c r="W161" i="25"/>
  <c r="Z161" i="25" s="1"/>
  <c r="AA161" i="25" s="1"/>
  <c r="AB161" i="25" s="1"/>
  <c r="AI161" i="25" s="1"/>
  <c r="S270" i="25"/>
  <c r="K270" i="25" s="1"/>
  <c r="Q270" i="25"/>
  <c r="R270" i="25"/>
  <c r="AO270" i="25"/>
  <c r="BZ270" i="25"/>
  <c r="AG257" i="24"/>
  <c r="AF257" i="24"/>
  <c r="U142" i="25"/>
  <c r="AD190" i="25"/>
  <c r="W190" i="25"/>
  <c r="Z190" i="25" s="1"/>
  <c r="AA190" i="25" s="1"/>
  <c r="AB190" i="25" s="1"/>
  <c r="AI190" i="25" s="1"/>
  <c r="V190" i="25"/>
  <c r="X190" i="25" s="1"/>
  <c r="W89" i="24"/>
  <c r="V89" i="24"/>
  <c r="S26" i="25"/>
  <c r="K26" i="25" s="1"/>
  <c r="V26" i="25" s="1"/>
  <c r="R26" i="25"/>
  <c r="Q26" i="25"/>
  <c r="AO26" i="25"/>
  <c r="BZ26" i="25"/>
  <c r="W66" i="24"/>
  <c r="Y66" i="24" s="1"/>
  <c r="AE62" i="24"/>
  <c r="AI62" i="24"/>
  <c r="X62" i="24"/>
  <c r="AA62" i="24" s="1"/>
  <c r="AB62" i="24" s="1"/>
  <c r="AC62" i="24" s="1"/>
  <c r="Q141" i="24"/>
  <c r="P141" i="24"/>
  <c r="AP141" i="24"/>
  <c r="S74" i="25"/>
  <c r="K74" i="25" s="1"/>
  <c r="V74" i="25" s="1"/>
  <c r="R74" i="25"/>
  <c r="Q74" i="25"/>
  <c r="BZ74" i="25"/>
  <c r="AO74" i="25"/>
  <c r="U304" i="25"/>
  <c r="S193" i="25"/>
  <c r="K193" i="25" s="1"/>
  <c r="R193" i="25"/>
  <c r="Q193" i="25"/>
  <c r="AO193" i="25"/>
  <c r="BZ193" i="25"/>
  <c r="AE245" i="24"/>
  <c r="AI245" i="24"/>
  <c r="X245" i="24"/>
  <c r="AA245" i="24" s="1"/>
  <c r="AB245" i="24" s="1"/>
  <c r="AC245" i="24" s="1"/>
  <c r="AE171" i="24"/>
  <c r="AI171" i="24"/>
  <c r="X171" i="24"/>
  <c r="AA171" i="24" s="1"/>
  <c r="AB171" i="24" s="1"/>
  <c r="AC171" i="24" s="1"/>
  <c r="AE314" i="24"/>
  <c r="AI314" i="24"/>
  <c r="X314" i="24"/>
  <c r="AA314" i="24" s="1"/>
  <c r="AB314" i="24" s="1"/>
  <c r="AC314" i="24" s="1"/>
  <c r="V194" i="24"/>
  <c r="W194" i="24"/>
  <c r="AE48" i="24"/>
  <c r="AI48" i="24"/>
  <c r="X48" i="24"/>
  <c r="AA48" i="24" s="1"/>
  <c r="AB48" i="24" s="1"/>
  <c r="AC48" i="24" s="1"/>
  <c r="U41" i="25"/>
  <c r="V203" i="24"/>
  <c r="W203" i="24"/>
  <c r="S33" i="25"/>
  <c r="K33" i="25" s="1"/>
  <c r="R33" i="25"/>
  <c r="Q33" i="25"/>
  <c r="AO33" i="25"/>
  <c r="BZ33" i="25"/>
  <c r="S99" i="25"/>
  <c r="K99" i="25" s="1"/>
  <c r="V99" i="25" s="1"/>
  <c r="R99" i="25"/>
  <c r="Q99" i="25"/>
  <c r="BZ99" i="25"/>
  <c r="AO99" i="25"/>
  <c r="R208" i="25"/>
  <c r="S208" i="25"/>
  <c r="K208" i="25" s="1"/>
  <c r="V208" i="25" s="1"/>
  <c r="Q208" i="25"/>
  <c r="AO208" i="25"/>
  <c r="BZ208" i="25"/>
  <c r="V143" i="24"/>
  <c r="W143" i="24"/>
  <c r="AD30" i="25"/>
  <c r="W30" i="25"/>
  <c r="Z30" i="25" s="1"/>
  <c r="AA30" i="25" s="1"/>
  <c r="AB30" i="25" s="1"/>
  <c r="AI30" i="25" s="1"/>
  <c r="Q85" i="24"/>
  <c r="R85" i="24" s="1"/>
  <c r="P85" i="24"/>
  <c r="AP85" i="24"/>
  <c r="AE302" i="24"/>
  <c r="AI302" i="24"/>
  <c r="X302" i="24"/>
  <c r="AA302" i="24" s="1"/>
  <c r="AB302" i="24" s="1"/>
  <c r="AC302" i="24" s="1"/>
  <c r="AG119" i="24"/>
  <c r="AF119" i="24"/>
  <c r="R27" i="25"/>
  <c r="S27" i="25"/>
  <c r="K27" i="25" s="1"/>
  <c r="V27" i="25" s="1"/>
  <c r="Q27" i="25"/>
  <c r="AO27" i="25"/>
  <c r="BZ27" i="25"/>
  <c r="AE263" i="24"/>
  <c r="AI263" i="24"/>
  <c r="X263" i="24"/>
  <c r="AA263" i="24" s="1"/>
  <c r="AB263" i="24" s="1"/>
  <c r="AC263" i="24" s="1"/>
  <c r="U47" i="25"/>
  <c r="S274" i="25"/>
  <c r="K274" i="25" s="1"/>
  <c r="R274" i="25"/>
  <c r="Q274" i="25"/>
  <c r="AO274" i="25"/>
  <c r="BZ274" i="25"/>
  <c r="U39" i="25"/>
  <c r="AE13" i="24"/>
  <c r="AI13" i="24"/>
  <c r="X13" i="24"/>
  <c r="AA13" i="24" s="1"/>
  <c r="AB13" i="24" s="1"/>
  <c r="AC13" i="24" s="1"/>
  <c r="AE84" i="24"/>
  <c r="AI84" i="24"/>
  <c r="X84" i="24"/>
  <c r="AA84" i="24" s="1"/>
  <c r="AB84" i="24" s="1"/>
  <c r="AC84" i="24" s="1"/>
  <c r="W84" i="24"/>
  <c r="Y84" i="24" s="1"/>
  <c r="AE285" i="24"/>
  <c r="AI285" i="24"/>
  <c r="W285" i="24"/>
  <c r="Y285" i="24" s="1"/>
  <c r="X285" i="24"/>
  <c r="AA285" i="24" s="1"/>
  <c r="AB285" i="24" s="1"/>
  <c r="AC285" i="24" s="1"/>
  <c r="W13" i="24"/>
  <c r="Y13" i="24" s="1"/>
  <c r="AG294" i="24"/>
  <c r="AF294" i="24"/>
  <c r="U216" i="25"/>
  <c r="R245" i="25"/>
  <c r="S245" i="25"/>
  <c r="K245" i="25" s="1"/>
  <c r="Q245" i="25"/>
  <c r="AO245" i="25"/>
  <c r="BZ245" i="25"/>
  <c r="U81" i="25"/>
  <c r="AE136" i="24"/>
  <c r="AI136" i="24"/>
  <c r="X136" i="24"/>
  <c r="AA136" i="24" s="1"/>
  <c r="AB136" i="24" s="1"/>
  <c r="AC136" i="24" s="1"/>
  <c r="AE156" i="24"/>
  <c r="AI156" i="24"/>
  <c r="X156" i="24"/>
  <c r="AA156" i="24" s="1"/>
  <c r="AB156" i="24" s="1"/>
  <c r="AC156" i="24" s="1"/>
  <c r="AD293" i="25"/>
  <c r="W293" i="25"/>
  <c r="Z293" i="25" s="1"/>
  <c r="AA293" i="25" s="1"/>
  <c r="AB293" i="25" s="1"/>
  <c r="AI293" i="25" s="1"/>
  <c r="V293" i="25"/>
  <c r="X293" i="25" s="1"/>
  <c r="AG236" i="24"/>
  <c r="AF236" i="24"/>
  <c r="AE295" i="24"/>
  <c r="AI295" i="24"/>
  <c r="X295" i="24"/>
  <c r="AA295" i="24" s="1"/>
  <c r="AB295" i="24" s="1"/>
  <c r="AC295" i="24" s="1"/>
  <c r="S221" i="25"/>
  <c r="K221" i="25" s="1"/>
  <c r="V221" i="25" s="1"/>
  <c r="R221" i="25"/>
  <c r="Q221" i="25"/>
  <c r="BZ221" i="25"/>
  <c r="AO221" i="25"/>
  <c r="W122" i="24"/>
  <c r="V122" i="24"/>
  <c r="Q95" i="24"/>
  <c r="R95" i="24" s="1"/>
  <c r="P95" i="24"/>
  <c r="AP95" i="24"/>
  <c r="AG142" i="24"/>
  <c r="AF142" i="24"/>
  <c r="AE94" i="24"/>
  <c r="AI94" i="24"/>
  <c r="X94" i="24"/>
  <c r="AA94" i="24" s="1"/>
  <c r="AB94" i="24" s="1"/>
  <c r="AC94" i="24" s="1"/>
  <c r="AD87" i="25"/>
  <c r="W87" i="25"/>
  <c r="Z87" i="25" s="1"/>
  <c r="AA87" i="25" s="1"/>
  <c r="AB87" i="25" s="1"/>
  <c r="AI87" i="25" s="1"/>
  <c r="AE74" i="24"/>
  <c r="AI74" i="24"/>
  <c r="X74" i="24"/>
  <c r="AA74" i="24" s="1"/>
  <c r="AB74" i="24" s="1"/>
  <c r="AC74" i="24" s="1"/>
  <c r="S68" i="25"/>
  <c r="K68" i="25" s="1"/>
  <c r="R68" i="25"/>
  <c r="Q68" i="25"/>
  <c r="AO68" i="25"/>
  <c r="BZ68" i="25"/>
  <c r="Q262" i="24"/>
  <c r="P262" i="24"/>
  <c r="AP262" i="24"/>
  <c r="AD198" i="25"/>
  <c r="W198" i="25"/>
  <c r="Z198" i="25" s="1"/>
  <c r="AA198" i="25" s="1"/>
  <c r="AB198" i="25" s="1"/>
  <c r="AI198" i="25" s="1"/>
  <c r="AE157" i="24"/>
  <c r="AI157" i="24"/>
  <c r="X157" i="24"/>
  <c r="AA157" i="24" s="1"/>
  <c r="AB157" i="24" s="1"/>
  <c r="AC157" i="24" s="1"/>
  <c r="AE303" i="24"/>
  <c r="AI303" i="24"/>
  <c r="X303" i="24"/>
  <c r="AA303" i="24" s="1"/>
  <c r="AB303" i="24" s="1"/>
  <c r="AC303" i="24" s="1"/>
  <c r="R184" i="25"/>
  <c r="S184" i="25"/>
  <c r="K184" i="25" s="1"/>
  <c r="Q184" i="25"/>
  <c r="BZ184" i="25"/>
  <c r="AO184" i="25"/>
  <c r="V198" i="25"/>
  <c r="X198" i="25" s="1"/>
  <c r="AE293" i="24"/>
  <c r="AI293" i="24"/>
  <c r="X293" i="24"/>
  <c r="AA293" i="24" s="1"/>
  <c r="AB293" i="24" s="1"/>
  <c r="AC293" i="24" s="1"/>
  <c r="W139" i="24"/>
  <c r="V139" i="24"/>
  <c r="U207" i="25"/>
  <c r="AE78" i="24"/>
  <c r="AI78" i="24"/>
  <c r="X78" i="24"/>
  <c r="AA78" i="24" s="1"/>
  <c r="AB78" i="24" s="1"/>
  <c r="AC78" i="24" s="1"/>
  <c r="R285" i="25"/>
  <c r="S285" i="25"/>
  <c r="K285" i="25" s="1"/>
  <c r="Q285" i="25"/>
  <c r="AO285" i="25"/>
  <c r="BZ285" i="25"/>
  <c r="P64" i="24"/>
  <c r="Q64" i="24"/>
  <c r="R64" i="24" s="1"/>
  <c r="AP64" i="24"/>
  <c r="S289" i="25"/>
  <c r="K289" i="25" s="1"/>
  <c r="R289" i="25"/>
  <c r="Q289" i="25"/>
  <c r="AO289" i="25"/>
  <c r="BZ289" i="25"/>
  <c r="P46" i="24"/>
  <c r="Q46" i="24"/>
  <c r="R46" i="24" s="1"/>
  <c r="AP46" i="24"/>
  <c r="AE208" i="24"/>
  <c r="AI208" i="24"/>
  <c r="X208" i="24"/>
  <c r="AA208" i="24" s="1"/>
  <c r="AB208" i="24" s="1"/>
  <c r="AC208" i="24" s="1"/>
  <c r="AE135" i="24"/>
  <c r="AI135" i="24"/>
  <c r="X135" i="24"/>
  <c r="AA135" i="24" s="1"/>
  <c r="AB135" i="24" s="1"/>
  <c r="AC135" i="24" s="1"/>
  <c r="U222" i="25"/>
  <c r="R200" i="25"/>
  <c r="S200" i="25"/>
  <c r="K200" i="25" s="1"/>
  <c r="Q200" i="25"/>
  <c r="BZ200" i="25"/>
  <c r="AO200" i="25"/>
  <c r="W54" i="24"/>
  <c r="V54" i="24"/>
  <c r="AE97" i="24"/>
  <c r="AI97" i="24"/>
  <c r="X97" i="24"/>
  <c r="AA97" i="24" s="1"/>
  <c r="AB97" i="24" s="1"/>
  <c r="AC97" i="24" s="1"/>
  <c r="U116" i="25"/>
  <c r="S242" i="25"/>
  <c r="K242" i="25" s="1"/>
  <c r="V242" i="25" s="1"/>
  <c r="R242" i="25"/>
  <c r="Q242" i="25"/>
  <c r="BZ242" i="25"/>
  <c r="AO242" i="25"/>
  <c r="U188" i="25"/>
  <c r="W35" i="24"/>
  <c r="Y35" i="24" s="1"/>
  <c r="R135" i="25"/>
  <c r="S135" i="25"/>
  <c r="K135" i="25" s="1"/>
  <c r="Q135" i="25"/>
  <c r="BZ135" i="25"/>
  <c r="AO135" i="25"/>
  <c r="R138" i="25"/>
  <c r="S138" i="25"/>
  <c r="K138" i="25" s="1"/>
  <c r="V138" i="25" s="1"/>
  <c r="Q138" i="25"/>
  <c r="BZ138" i="25"/>
  <c r="AO138" i="25"/>
  <c r="V220" i="24"/>
  <c r="W220" i="24"/>
  <c r="R42" i="25"/>
  <c r="S42" i="25"/>
  <c r="K42" i="25" s="1"/>
  <c r="Q42" i="25"/>
  <c r="AO42" i="25"/>
  <c r="BZ42" i="25"/>
  <c r="AD240" i="25"/>
  <c r="W240" i="25"/>
  <c r="Z240" i="25" s="1"/>
  <c r="AA240" i="25" s="1"/>
  <c r="AB240" i="25" s="1"/>
  <c r="AI240" i="25" s="1"/>
  <c r="U44" i="25"/>
  <c r="AD314" i="25"/>
  <c r="W314" i="25"/>
  <c r="Z314" i="25" s="1"/>
  <c r="AA314" i="25" s="1"/>
  <c r="AB314" i="25" s="1"/>
  <c r="AI314" i="25" s="1"/>
  <c r="W221" i="24"/>
  <c r="V221" i="24"/>
  <c r="AE137" i="24"/>
  <c r="AI137" i="24"/>
  <c r="X137" i="24"/>
  <c r="AA137" i="24" s="1"/>
  <c r="AB137" i="24" s="1"/>
  <c r="AC137" i="24" s="1"/>
  <c r="S45" i="25"/>
  <c r="K45" i="25" s="1"/>
  <c r="R45" i="25"/>
  <c r="Q45" i="25"/>
  <c r="AO45" i="25"/>
  <c r="BZ45" i="25"/>
  <c r="P183" i="24"/>
  <c r="Q183" i="24"/>
  <c r="AP183" i="24"/>
  <c r="W26" i="24"/>
  <c r="V26" i="24"/>
  <c r="AE59" i="24"/>
  <c r="AI59" i="24"/>
  <c r="X59" i="24"/>
  <c r="AA59" i="24" s="1"/>
  <c r="AB59" i="24" s="1"/>
  <c r="AC59" i="24" s="1"/>
  <c r="W196" i="24"/>
  <c r="V196" i="24"/>
  <c r="AE27" i="24"/>
  <c r="AI27" i="24"/>
  <c r="X27" i="24"/>
  <c r="AA27" i="24" s="1"/>
  <c r="AB27" i="24" s="1"/>
  <c r="AC27" i="24" s="1"/>
  <c r="W158" i="24"/>
  <c r="V158" i="24"/>
  <c r="Q259" i="24"/>
  <c r="P259" i="24"/>
  <c r="AP259" i="24"/>
  <c r="S76" i="25"/>
  <c r="K76" i="25" s="1"/>
  <c r="R76" i="25"/>
  <c r="Q76" i="25"/>
  <c r="BZ76" i="25"/>
  <c r="AO76" i="25"/>
  <c r="AE228" i="24"/>
  <c r="AI228" i="24"/>
  <c r="X228" i="24"/>
  <c r="AA228" i="24" s="1"/>
  <c r="AB228" i="24" s="1"/>
  <c r="AC228" i="24" s="1"/>
  <c r="S22" i="25"/>
  <c r="K22" i="25" s="1"/>
  <c r="V22" i="25" s="1"/>
  <c r="R22" i="25"/>
  <c r="Q22" i="25"/>
  <c r="BZ22" i="25"/>
  <c r="AO22" i="25"/>
  <c r="U40" i="25"/>
  <c r="AD192" i="25"/>
  <c r="V192" i="25"/>
  <c r="X192" i="25" s="1"/>
  <c r="W192" i="25"/>
  <c r="Z192" i="25" s="1"/>
  <c r="AA192" i="25" s="1"/>
  <c r="AB192" i="25" s="1"/>
  <c r="AI192" i="25" s="1"/>
  <c r="AD13" i="25"/>
  <c r="V13" i="25"/>
  <c r="X13" i="25" s="1"/>
  <c r="W13" i="25"/>
  <c r="Z13" i="25" s="1"/>
  <c r="AA13" i="25" s="1"/>
  <c r="AB13" i="25" s="1"/>
  <c r="AI13" i="25" s="1"/>
  <c r="AD199" i="25"/>
  <c r="W199" i="25"/>
  <c r="Z199" i="25" s="1"/>
  <c r="AA199" i="25" s="1"/>
  <c r="AB199" i="25" s="1"/>
  <c r="AI199" i="25" s="1"/>
  <c r="AE275" i="24"/>
  <c r="AI275" i="24"/>
  <c r="X275" i="24"/>
  <c r="AA275" i="24" s="1"/>
  <c r="AB275" i="24" s="1"/>
  <c r="AC275" i="24" s="1"/>
  <c r="V103" i="24"/>
  <c r="W103" i="24"/>
  <c r="R196" i="25"/>
  <c r="S196" i="25"/>
  <c r="K196" i="25" s="1"/>
  <c r="V196" i="25" s="1"/>
  <c r="Q196" i="25"/>
  <c r="BZ196" i="25"/>
  <c r="AO196" i="25"/>
  <c r="AE71" i="24"/>
  <c r="AI71" i="24"/>
  <c r="X71" i="24"/>
  <c r="AA71" i="24" s="1"/>
  <c r="AB71" i="24" s="1"/>
  <c r="AC71" i="24" s="1"/>
  <c r="P263" i="24"/>
  <c r="Q263" i="24"/>
  <c r="AP263" i="24"/>
  <c r="R115" i="25"/>
  <c r="S115" i="25"/>
  <c r="K115" i="25" s="1"/>
  <c r="Q115" i="25"/>
  <c r="AO115" i="25"/>
  <c r="BZ115" i="25"/>
  <c r="AE194" i="24"/>
  <c r="AI194" i="24"/>
  <c r="X194" i="24"/>
  <c r="AA194" i="24" s="1"/>
  <c r="AB194" i="24" s="1"/>
  <c r="AC194" i="24" s="1"/>
  <c r="V255" i="24"/>
  <c r="W255" i="24"/>
  <c r="V93" i="24"/>
  <c r="W93" i="24"/>
  <c r="S20" i="25"/>
  <c r="K20" i="25" s="1"/>
  <c r="R20" i="25"/>
  <c r="Q20" i="25"/>
  <c r="AO20" i="25"/>
  <c r="BZ20" i="25"/>
  <c r="U298" i="25"/>
  <c r="R299" i="25"/>
  <c r="S299" i="25"/>
  <c r="K299" i="25" s="1"/>
  <c r="Q299" i="25"/>
  <c r="AO299" i="25"/>
  <c r="BZ299" i="25"/>
  <c r="AG44" i="24"/>
  <c r="AF44" i="24"/>
  <c r="AD82" i="25"/>
  <c r="W82" i="25"/>
  <c r="Z82" i="25" s="1"/>
  <c r="AA82" i="25" s="1"/>
  <c r="AB82" i="25" s="1"/>
  <c r="AI82" i="25" s="1"/>
  <c r="V34" i="24"/>
  <c r="W34" i="24"/>
  <c r="AE12" i="24"/>
  <c r="AI12" i="24"/>
  <c r="X12" i="24"/>
  <c r="AA12" i="24" s="1"/>
  <c r="AB12" i="24" s="1"/>
  <c r="AC12" i="24" s="1"/>
  <c r="R51" i="25"/>
  <c r="S51" i="25"/>
  <c r="K51" i="25" s="1"/>
  <c r="Q51" i="25"/>
  <c r="AO51" i="25"/>
  <c r="BZ51" i="25"/>
  <c r="U18" i="25"/>
  <c r="S124" i="25"/>
  <c r="K124" i="25" s="1"/>
  <c r="R124" i="25"/>
  <c r="Q124" i="25"/>
  <c r="BZ124" i="25"/>
  <c r="AO124" i="25"/>
  <c r="U66" i="25"/>
  <c r="R142" i="25"/>
  <c r="S142" i="25"/>
  <c r="K142" i="25" s="1"/>
  <c r="Q142" i="25"/>
  <c r="AO142" i="25"/>
  <c r="BZ142" i="25"/>
  <c r="S236" i="25"/>
  <c r="K236" i="25" s="1"/>
  <c r="R236" i="25"/>
  <c r="Q236" i="25"/>
  <c r="AO236" i="25"/>
  <c r="BZ236" i="25"/>
  <c r="AE242" i="24"/>
  <c r="AI242" i="24"/>
  <c r="X242" i="24"/>
  <c r="AA242" i="24" s="1"/>
  <c r="AB242" i="24" s="1"/>
  <c r="AC242" i="24" s="1"/>
  <c r="P89" i="24"/>
  <c r="Q89" i="24"/>
  <c r="R89" i="24" s="1"/>
  <c r="AP89" i="24"/>
  <c r="W150" i="24"/>
  <c r="Y150" i="24" s="1"/>
  <c r="R150" i="25"/>
  <c r="S150" i="25"/>
  <c r="K150" i="25" s="1"/>
  <c r="Q150" i="25"/>
  <c r="AO150" i="25"/>
  <c r="BZ150" i="25"/>
  <c r="R304" i="25"/>
  <c r="S304" i="25"/>
  <c r="K304" i="25" s="1"/>
  <c r="Q304" i="25"/>
  <c r="AO304" i="25"/>
  <c r="BZ304" i="25"/>
  <c r="S162" i="25"/>
  <c r="K162" i="25" s="1"/>
  <c r="R162" i="25"/>
  <c r="Q162" i="25"/>
  <c r="AO162" i="25"/>
  <c r="BZ162" i="25"/>
  <c r="AD267" i="25"/>
  <c r="W267" i="25"/>
  <c r="Z267" i="25" s="1"/>
  <c r="AA267" i="25" s="1"/>
  <c r="AB267" i="25" s="1"/>
  <c r="AI267" i="25" s="1"/>
  <c r="AD246" i="25"/>
  <c r="W246" i="25"/>
  <c r="Z246" i="25" s="1"/>
  <c r="AA246" i="25" s="1"/>
  <c r="AB246" i="25" s="1"/>
  <c r="AI246" i="25" s="1"/>
  <c r="W102" i="24"/>
  <c r="V102" i="24"/>
  <c r="W117" i="24"/>
  <c r="V117" i="24"/>
  <c r="W293" i="24"/>
  <c r="V293" i="24"/>
  <c r="U56" i="25"/>
  <c r="V187" i="24"/>
  <c r="W187" i="24"/>
  <c r="V301" i="24"/>
  <c r="W301" i="24"/>
  <c r="U251" i="25"/>
  <c r="P194" i="24"/>
  <c r="Q194" i="24"/>
  <c r="AP194" i="24"/>
  <c r="S41" i="25"/>
  <c r="K41" i="25" s="1"/>
  <c r="V41" i="25" s="1"/>
  <c r="R41" i="25"/>
  <c r="Q41" i="25"/>
  <c r="AO41" i="25"/>
  <c r="BZ41" i="25"/>
  <c r="P203" i="24"/>
  <c r="Q203" i="24"/>
  <c r="AP203" i="24"/>
  <c r="U281" i="25"/>
  <c r="AE312" i="24"/>
  <c r="AI312" i="24"/>
  <c r="X312" i="24"/>
  <c r="AA312" i="24" s="1"/>
  <c r="AB312" i="24" s="1"/>
  <c r="AC312" i="24" s="1"/>
  <c r="U249" i="25"/>
  <c r="AE310" i="24"/>
  <c r="AI310" i="24"/>
  <c r="X310" i="24"/>
  <c r="AA310" i="24" s="1"/>
  <c r="AB310" i="24" s="1"/>
  <c r="AC310" i="24" s="1"/>
  <c r="S134" i="25"/>
  <c r="K134" i="25" s="1"/>
  <c r="R134" i="25"/>
  <c r="Q134" i="25"/>
  <c r="BZ134" i="25"/>
  <c r="AO134" i="25"/>
  <c r="AD147" i="25"/>
  <c r="W147" i="25"/>
  <c r="Z147" i="25" s="1"/>
  <c r="AA147" i="25" s="1"/>
  <c r="AB147" i="25" s="1"/>
  <c r="AI147" i="25" s="1"/>
  <c r="AE37" i="24"/>
  <c r="AI37" i="24"/>
  <c r="X37" i="24"/>
  <c r="AA37" i="24" s="1"/>
  <c r="AB37" i="24" s="1"/>
  <c r="AC37" i="24" s="1"/>
  <c r="V71" i="25"/>
  <c r="X71" i="25" s="1"/>
  <c r="V167" i="25"/>
  <c r="X167" i="25" s="1"/>
  <c r="V304" i="24"/>
  <c r="W304" i="24"/>
  <c r="AE272" i="24"/>
  <c r="AI272" i="24"/>
  <c r="X272" i="24"/>
  <c r="AA272" i="24" s="1"/>
  <c r="AB272" i="24" s="1"/>
  <c r="AC272" i="24" s="1"/>
  <c r="R39" i="25"/>
  <c r="S39" i="25"/>
  <c r="K39" i="25" s="1"/>
  <c r="Q39" i="25"/>
  <c r="AO39" i="25"/>
  <c r="BZ39" i="25"/>
  <c r="AG233" i="24"/>
  <c r="AF233" i="24"/>
  <c r="AJ132" i="24"/>
  <c r="S205" i="25"/>
  <c r="K205" i="25" s="1"/>
  <c r="V205" i="25" s="1"/>
  <c r="R205" i="25"/>
  <c r="Q205" i="25"/>
  <c r="AO205" i="25"/>
  <c r="BZ205" i="25"/>
  <c r="U25" i="25"/>
  <c r="AE95" i="24"/>
  <c r="AI95" i="24"/>
  <c r="X95" i="24"/>
  <c r="AA95" i="24" s="1"/>
  <c r="AB95" i="24" s="1"/>
  <c r="AC95" i="24" s="1"/>
  <c r="R102" i="25"/>
  <c r="S102" i="25"/>
  <c r="K102" i="25" s="1"/>
  <c r="Q102" i="25"/>
  <c r="AO102" i="25"/>
  <c r="BZ102" i="25"/>
  <c r="AE226" i="24"/>
  <c r="AI226" i="24"/>
  <c r="X226" i="24"/>
  <c r="AA226" i="24" s="1"/>
  <c r="AB226" i="24" s="1"/>
  <c r="AC226" i="24" s="1"/>
  <c r="S216" i="25"/>
  <c r="K216" i="25" s="1"/>
  <c r="R216" i="25"/>
  <c r="AO216" i="25"/>
  <c r="Q216" i="25"/>
  <c r="BZ216" i="25"/>
  <c r="S181" i="25"/>
  <c r="K181" i="25" s="1"/>
  <c r="R181" i="25"/>
  <c r="Q181" i="25"/>
  <c r="BZ181" i="25"/>
  <c r="AO181" i="25"/>
  <c r="W90" i="24"/>
  <c r="Y90" i="24" s="1"/>
  <c r="S81" i="25"/>
  <c r="K81" i="25" s="1"/>
  <c r="R81" i="25"/>
  <c r="Q81" i="25"/>
  <c r="AO81" i="25"/>
  <c r="BZ81" i="25"/>
  <c r="AE138" i="24"/>
  <c r="AI138" i="24"/>
  <c r="X138" i="24"/>
  <c r="AA138" i="24" s="1"/>
  <c r="AB138" i="24" s="1"/>
  <c r="AC138" i="24" s="1"/>
  <c r="AE201" i="24"/>
  <c r="AI201" i="24"/>
  <c r="X201" i="24"/>
  <c r="AA201" i="24" s="1"/>
  <c r="AB201" i="24" s="1"/>
  <c r="AC201" i="24" s="1"/>
  <c r="S157" i="25"/>
  <c r="K157" i="25" s="1"/>
  <c r="R157" i="25"/>
  <c r="Q157" i="25"/>
  <c r="BZ157" i="25"/>
  <c r="AO157" i="25"/>
  <c r="AE53" i="24"/>
  <c r="AI53" i="24"/>
  <c r="X53" i="24"/>
  <c r="AA53" i="24" s="1"/>
  <c r="AB53" i="24" s="1"/>
  <c r="AC53" i="24" s="1"/>
  <c r="AE176" i="24"/>
  <c r="AI176" i="24"/>
  <c r="X176" i="24"/>
  <c r="AA176" i="24" s="1"/>
  <c r="AB176" i="24" s="1"/>
  <c r="AC176" i="24" s="1"/>
  <c r="S145" i="25"/>
  <c r="K145" i="25" s="1"/>
  <c r="R145" i="25"/>
  <c r="Q145" i="25"/>
  <c r="AO145" i="25"/>
  <c r="BZ145" i="25"/>
  <c r="AE112" i="24"/>
  <c r="AI112" i="24"/>
  <c r="X112" i="24"/>
  <c r="AA112" i="24" s="1"/>
  <c r="AB112" i="24" s="1"/>
  <c r="AC112" i="24" s="1"/>
  <c r="AJ264" i="24"/>
  <c r="V146" i="24"/>
  <c r="W146" i="24"/>
  <c r="AE16" i="24"/>
  <c r="AI16" i="24"/>
  <c r="X16" i="24"/>
  <c r="AA16" i="24" s="1"/>
  <c r="AB16" i="24" s="1"/>
  <c r="AC16" i="24" s="1"/>
  <c r="W71" i="24"/>
  <c r="V71" i="24"/>
  <c r="V153" i="24"/>
  <c r="W153" i="24"/>
  <c r="V242" i="24"/>
  <c r="W242" i="24"/>
  <c r="Q122" i="24"/>
  <c r="P122" i="24"/>
  <c r="AP122" i="24"/>
  <c r="R269" i="25"/>
  <c r="S269" i="25"/>
  <c r="K269" i="25" s="1"/>
  <c r="Q269" i="25"/>
  <c r="AO269" i="25"/>
  <c r="BZ269" i="25"/>
  <c r="AE63" i="24"/>
  <c r="AI63" i="24"/>
  <c r="X63" i="24"/>
  <c r="AA63" i="24" s="1"/>
  <c r="AB63" i="24" s="1"/>
  <c r="AC63" i="24" s="1"/>
  <c r="U295" i="25"/>
  <c r="AD89" i="25"/>
  <c r="W89" i="25"/>
  <c r="Z89" i="25" s="1"/>
  <c r="AA89" i="25" s="1"/>
  <c r="AB89" i="25" s="1"/>
  <c r="AI89" i="25" s="1"/>
  <c r="S111" i="25"/>
  <c r="K111" i="25" s="1"/>
  <c r="R111" i="25"/>
  <c r="Q111" i="25"/>
  <c r="AO111" i="25"/>
  <c r="BZ111" i="25"/>
  <c r="U220" i="25"/>
  <c r="AE89" i="24"/>
  <c r="AI89" i="24"/>
  <c r="X89" i="24"/>
  <c r="AA89" i="24" s="1"/>
  <c r="AB89" i="24" s="1"/>
  <c r="AC89" i="24" s="1"/>
  <c r="AE198" i="24"/>
  <c r="AI198" i="24"/>
  <c r="X198" i="24"/>
  <c r="AA198" i="24" s="1"/>
  <c r="AB198" i="24" s="1"/>
  <c r="AC198" i="24" s="1"/>
  <c r="U260" i="25"/>
  <c r="AE223" i="24"/>
  <c r="AI223" i="24"/>
  <c r="X223" i="24"/>
  <c r="AA223" i="24" s="1"/>
  <c r="AB223" i="24" s="1"/>
  <c r="AC223" i="24" s="1"/>
  <c r="W127" i="24"/>
  <c r="Y127" i="24" s="1"/>
  <c r="AG45" i="24"/>
  <c r="AF45" i="24"/>
  <c r="P139" i="24"/>
  <c r="Q139" i="24"/>
  <c r="AP139" i="24"/>
  <c r="V63" i="24"/>
  <c r="W63" i="24"/>
  <c r="V240" i="24"/>
  <c r="W240" i="24"/>
  <c r="U78" i="25"/>
  <c r="W27" i="24"/>
  <c r="Y27" i="24" s="1"/>
  <c r="R121" i="25"/>
  <c r="S121" i="25"/>
  <c r="K121" i="25" s="1"/>
  <c r="Q121" i="25"/>
  <c r="BZ121" i="25"/>
  <c r="AO121" i="25"/>
  <c r="S168" i="25"/>
  <c r="K168" i="25" s="1"/>
  <c r="R168" i="25"/>
  <c r="Q168" i="25"/>
  <c r="AO168" i="25"/>
  <c r="BZ168" i="25"/>
  <c r="AE186" i="24"/>
  <c r="AI186" i="24"/>
  <c r="X186" i="24"/>
  <c r="AA186" i="24" s="1"/>
  <c r="AB186" i="24" s="1"/>
  <c r="AC186" i="24" s="1"/>
  <c r="U239" i="25"/>
  <c r="AE85" i="24"/>
  <c r="AI85" i="24"/>
  <c r="X85" i="24"/>
  <c r="AA85" i="24" s="1"/>
  <c r="AB85" i="24" s="1"/>
  <c r="AC85" i="24" s="1"/>
  <c r="W15" i="24"/>
  <c r="Y15" i="24" s="1"/>
  <c r="R222" i="25"/>
  <c r="S222" i="25"/>
  <c r="K222" i="25" s="1"/>
  <c r="Q222" i="25"/>
  <c r="AO222" i="25"/>
  <c r="BZ222" i="25"/>
  <c r="AE177" i="24"/>
  <c r="AI177" i="24"/>
  <c r="X177" i="24"/>
  <c r="AA177" i="24" s="1"/>
  <c r="AB177" i="24" s="1"/>
  <c r="AC177" i="24" s="1"/>
  <c r="P54" i="24"/>
  <c r="Q54" i="24"/>
  <c r="R54" i="24" s="1"/>
  <c r="AP54" i="24"/>
  <c r="AE124" i="24"/>
  <c r="AI124" i="24"/>
  <c r="X124" i="24"/>
  <c r="AA124" i="24" s="1"/>
  <c r="AB124" i="24" s="1"/>
  <c r="AC124" i="24" s="1"/>
  <c r="S116" i="25"/>
  <c r="K116" i="25" s="1"/>
  <c r="V116" i="25" s="1"/>
  <c r="R116" i="25"/>
  <c r="Q116" i="25"/>
  <c r="AO116" i="25"/>
  <c r="BZ116" i="25"/>
  <c r="S253" i="25"/>
  <c r="K253" i="25" s="1"/>
  <c r="R253" i="25"/>
  <c r="Q253" i="25"/>
  <c r="BZ253" i="25"/>
  <c r="AO253" i="25"/>
  <c r="V246" i="25"/>
  <c r="X246" i="25" s="1"/>
  <c r="AE96" i="24"/>
  <c r="AI96" i="24"/>
  <c r="X96" i="24"/>
  <c r="AA96" i="24" s="1"/>
  <c r="AB96" i="24" s="1"/>
  <c r="AC96" i="24" s="1"/>
  <c r="R188" i="25"/>
  <c r="S188" i="25"/>
  <c r="K188" i="25" s="1"/>
  <c r="V188" i="25" s="1"/>
  <c r="Q188" i="25"/>
  <c r="AO188" i="25"/>
  <c r="BZ188" i="25"/>
  <c r="AE204" i="24"/>
  <c r="AI204" i="24"/>
  <c r="X204" i="24"/>
  <c r="AA204" i="24" s="1"/>
  <c r="AB204" i="24" s="1"/>
  <c r="AC204" i="24" s="1"/>
  <c r="Q220" i="24"/>
  <c r="P220" i="24"/>
  <c r="AP220" i="24"/>
  <c r="W262" i="25" l="1"/>
  <c r="Z262" i="25" s="1"/>
  <c r="AA262" i="25" s="1"/>
  <c r="AB262" i="25" s="1"/>
  <c r="AI262" i="25" s="1"/>
  <c r="AD262" i="25"/>
  <c r="AD280" i="25"/>
  <c r="AE280" i="25" s="1"/>
  <c r="X187" i="25"/>
  <c r="X63" i="25"/>
  <c r="W280" i="25"/>
  <c r="Z280" i="25" s="1"/>
  <c r="AA280" i="25" s="1"/>
  <c r="AB280" i="25" s="1"/>
  <c r="AI280" i="25" s="1"/>
  <c r="AS280" i="25" s="1"/>
  <c r="X281" i="25"/>
  <c r="X251" i="25"/>
  <c r="Y124" i="24"/>
  <c r="Y221" i="24"/>
  <c r="Y243" i="24"/>
  <c r="Y141" i="24"/>
  <c r="Y291" i="24"/>
  <c r="Y177" i="24"/>
  <c r="X260" i="25"/>
  <c r="X105" i="25"/>
  <c r="W11" i="25"/>
  <c r="Z11" i="25" s="1"/>
  <c r="AA11" i="25" s="1"/>
  <c r="AB11" i="25" s="1"/>
  <c r="AI11" i="25" s="1"/>
  <c r="AS11" i="25" s="1"/>
  <c r="X78" i="25"/>
  <c r="X53" i="25"/>
  <c r="X18" i="25"/>
  <c r="X118" i="25"/>
  <c r="X249" i="25"/>
  <c r="X112" i="25"/>
  <c r="Y185" i="24"/>
  <c r="Y184" i="24"/>
  <c r="Y161" i="24"/>
  <c r="Y153" i="24"/>
  <c r="Y197" i="24"/>
  <c r="Y136" i="24"/>
  <c r="X234" i="25"/>
  <c r="Y280" i="24"/>
  <c r="Y156" i="24"/>
  <c r="Y297" i="24"/>
  <c r="X25" i="25"/>
  <c r="Y293" i="24"/>
  <c r="X183" i="25"/>
  <c r="Y174" i="24"/>
  <c r="Y282" i="24"/>
  <c r="Y179" i="24"/>
  <c r="Y288" i="24"/>
  <c r="Y145" i="24"/>
  <c r="Y154" i="24"/>
  <c r="Y245" i="24"/>
  <c r="Y256" i="24"/>
  <c r="X220" i="25"/>
  <c r="X169" i="25"/>
  <c r="X40" i="25"/>
  <c r="Y159" i="24"/>
  <c r="Y315" i="24"/>
  <c r="Y235" i="24"/>
  <c r="Y209" i="24"/>
  <c r="Y309" i="24"/>
  <c r="Y204" i="24"/>
  <c r="Y126" i="24"/>
  <c r="Y123" i="24"/>
  <c r="Y308" i="24"/>
  <c r="Y111" i="24"/>
  <c r="Y228" i="24"/>
  <c r="Y203" i="24"/>
  <c r="Y259" i="24"/>
  <c r="Y301" i="24"/>
  <c r="Y299" i="24"/>
  <c r="Y255" i="24"/>
  <c r="Y263" i="24"/>
  <c r="Y36" i="24"/>
  <c r="Y261" i="24"/>
  <c r="Y149" i="24"/>
  <c r="X239" i="25"/>
  <c r="X103" i="25"/>
  <c r="X44" i="25"/>
  <c r="X56" i="25"/>
  <c r="X298" i="25"/>
  <c r="X295" i="25"/>
  <c r="Y187" i="24"/>
  <c r="Y194" i="24"/>
  <c r="Y222" i="24"/>
  <c r="X55" i="25"/>
  <c r="Y151" i="24"/>
  <c r="Y144" i="24"/>
  <c r="Y295" i="24"/>
  <c r="Y158" i="24"/>
  <c r="Y143" i="24"/>
  <c r="Y183" i="24"/>
  <c r="Y266" i="24"/>
  <c r="Y135" i="24"/>
  <c r="X38" i="25"/>
  <c r="Y247" i="24"/>
  <c r="Y115" i="24"/>
  <c r="Y275" i="24"/>
  <c r="Y164" i="24"/>
  <c r="Y316" i="24"/>
  <c r="Y206" i="24"/>
  <c r="Y168" i="24"/>
  <c r="Y131" i="24"/>
  <c r="Y277" i="24"/>
  <c r="Y242" i="24"/>
  <c r="Y300" i="24"/>
  <c r="Y171" i="24"/>
  <c r="Y170" i="24"/>
  <c r="Y244" i="24"/>
  <c r="Y146" i="24"/>
  <c r="Y304" i="24"/>
  <c r="Y117" i="24"/>
  <c r="X66" i="25"/>
  <c r="X207" i="25"/>
  <c r="Y250" i="24"/>
  <c r="Y262" i="24"/>
  <c r="Y241" i="24"/>
  <c r="Y148" i="24"/>
  <c r="Y260" i="24"/>
  <c r="Y192" i="24"/>
  <c r="Y114" i="24"/>
  <c r="Y195" i="24"/>
  <c r="Y220" i="24"/>
  <c r="Y139" i="24"/>
  <c r="Y122" i="24"/>
  <c r="X47" i="25"/>
  <c r="Y229" i="24"/>
  <c r="Y283" i="24"/>
  <c r="Y138" i="24"/>
  <c r="Y113" i="24"/>
  <c r="Y140" i="24"/>
  <c r="Y298" i="24"/>
  <c r="Y240" i="24"/>
  <c r="Y196" i="24"/>
  <c r="Y112" i="24"/>
  <c r="Y186" i="24"/>
  <c r="Y239" i="24"/>
  <c r="Y210" i="24"/>
  <c r="Y232" i="24"/>
  <c r="Y176" i="24"/>
  <c r="Y249" i="24"/>
  <c r="X272" i="25"/>
  <c r="X140" i="25"/>
  <c r="X10" i="25"/>
  <c r="X266" i="25"/>
  <c r="X223" i="25"/>
  <c r="X138" i="25"/>
  <c r="X90" i="25"/>
  <c r="X307" i="25"/>
  <c r="X209" i="25"/>
  <c r="X101" i="25"/>
  <c r="X116" i="25"/>
  <c r="X74" i="25"/>
  <c r="X26" i="25"/>
  <c r="X225" i="25"/>
  <c r="X203" i="25"/>
  <c r="X123" i="25"/>
  <c r="X139" i="25"/>
  <c r="X99" i="25"/>
  <c r="X288" i="25"/>
  <c r="X196" i="25"/>
  <c r="X205" i="25"/>
  <c r="X217" i="25"/>
  <c r="X73" i="25"/>
  <c r="X165" i="25"/>
  <c r="X160" i="25"/>
  <c r="X175" i="25"/>
  <c r="X231" i="25"/>
  <c r="X122" i="25"/>
  <c r="X188" i="25"/>
  <c r="X84" i="25"/>
  <c r="X202" i="25"/>
  <c r="X171" i="25"/>
  <c r="X194" i="25"/>
  <c r="X197" i="25"/>
  <c r="X221" i="25"/>
  <c r="X27" i="25"/>
  <c r="X228" i="25"/>
  <c r="X41" i="25"/>
  <c r="X22" i="25"/>
  <c r="X242" i="25"/>
  <c r="X208" i="25"/>
  <c r="X218" i="25"/>
  <c r="X79" i="25"/>
  <c r="X302" i="25"/>
  <c r="X303" i="25"/>
  <c r="X159" i="25"/>
  <c r="X287" i="25"/>
  <c r="Y78" i="24"/>
  <c r="Y33" i="24"/>
  <c r="Y102" i="24"/>
  <c r="Y26" i="24"/>
  <c r="Y89" i="24"/>
  <c r="Y93" i="24"/>
  <c r="Y65" i="24"/>
  <c r="Y28" i="24"/>
  <c r="Y31" i="24"/>
  <c r="Y69" i="24"/>
  <c r="Y34" i="24"/>
  <c r="Y95" i="24"/>
  <c r="Y9" i="24"/>
  <c r="Y58" i="24"/>
  <c r="Y64" i="24"/>
  <c r="Y54" i="24"/>
  <c r="Y38" i="24"/>
  <c r="Y29" i="24"/>
  <c r="Y104" i="24"/>
  <c r="Y94" i="24"/>
  <c r="Y63" i="24"/>
  <c r="Y73" i="24"/>
  <c r="Y51" i="24"/>
  <c r="Y71" i="24"/>
  <c r="Y80" i="24"/>
  <c r="Y23" i="24"/>
  <c r="Y17" i="24"/>
  <c r="Y100" i="24"/>
  <c r="Y96" i="24"/>
  <c r="Y103" i="24"/>
  <c r="Y39" i="24"/>
  <c r="Y46" i="24"/>
  <c r="Y85" i="24"/>
  <c r="Y57" i="24"/>
  <c r="Y42" i="24"/>
  <c r="Y75" i="24"/>
  <c r="Y59" i="24"/>
  <c r="Y92" i="24"/>
  <c r="Y98" i="24"/>
  <c r="Y8" i="24"/>
  <c r="Y37" i="24"/>
  <c r="AD11" i="25"/>
  <c r="AE11" i="25" s="1"/>
  <c r="V155" i="25"/>
  <c r="X155" i="25" s="1"/>
  <c r="AJ194" i="24"/>
  <c r="AT194" i="24" s="1"/>
  <c r="AJ208" i="24"/>
  <c r="AT208" i="24" s="1"/>
  <c r="AJ205" i="24"/>
  <c r="AT205" i="24" s="1"/>
  <c r="AJ186" i="24"/>
  <c r="AT186" i="24" s="1"/>
  <c r="AJ192" i="24"/>
  <c r="AT192" i="24" s="1"/>
  <c r="AJ209" i="24"/>
  <c r="AT209" i="24" s="1"/>
  <c r="AJ201" i="24"/>
  <c r="AT201" i="24" s="1"/>
  <c r="AJ195" i="24"/>
  <c r="AT195" i="24" s="1"/>
  <c r="AJ189" i="24"/>
  <c r="AT189" i="24" s="1"/>
  <c r="AJ207" i="24"/>
  <c r="AT207" i="24" s="1"/>
  <c r="AJ202" i="24"/>
  <c r="AT202" i="24" s="1"/>
  <c r="AJ199" i="24"/>
  <c r="AT199" i="24" s="1"/>
  <c r="AD155" i="25"/>
  <c r="AF155" i="25" s="1"/>
  <c r="AV45" i="24"/>
  <c r="AV41" i="24"/>
  <c r="AT21" i="24"/>
  <c r="BA21" i="24" s="1"/>
  <c r="AV101" i="24"/>
  <c r="AV55" i="24"/>
  <c r="AT44" i="24"/>
  <c r="BA44" i="24" s="1"/>
  <c r="AV7" i="24"/>
  <c r="AJ204" i="24"/>
  <c r="AT204" i="24" s="1"/>
  <c r="AJ198" i="24"/>
  <c r="AT198" i="24" s="1"/>
  <c r="AJ203" i="24"/>
  <c r="AT203" i="24" s="1"/>
  <c r="AJ196" i="24"/>
  <c r="AT196" i="24" s="1"/>
  <c r="AJ206" i="24"/>
  <c r="AT206" i="24" s="1"/>
  <c r="AJ200" i="24"/>
  <c r="AT200" i="24" s="1"/>
  <c r="AJ185" i="24"/>
  <c r="AT185" i="24" s="1"/>
  <c r="AJ197" i="24"/>
  <c r="AT197" i="24" s="1"/>
  <c r="AJ188" i="24"/>
  <c r="AT188" i="24" s="1"/>
  <c r="AJ210" i="24"/>
  <c r="AT210" i="24" s="1"/>
  <c r="AJ187" i="24"/>
  <c r="AT187" i="24" s="1"/>
  <c r="AJ193" i="24"/>
  <c r="AT193" i="24" s="1"/>
  <c r="AJ184" i="24"/>
  <c r="AT184" i="24" s="1"/>
  <c r="V96" i="25"/>
  <c r="X96" i="25" s="1"/>
  <c r="W96" i="25"/>
  <c r="Z96" i="25" s="1"/>
  <c r="AA96" i="25" s="1"/>
  <c r="AB96" i="25" s="1"/>
  <c r="AI96" i="25" s="1"/>
  <c r="AS96" i="25" s="1"/>
  <c r="AJ178" i="24"/>
  <c r="AT178" i="24" s="1"/>
  <c r="AJ174" i="24"/>
  <c r="AT174" i="24" s="1"/>
  <c r="AJ173" i="24"/>
  <c r="AT173" i="24" s="1"/>
  <c r="AJ181" i="24"/>
  <c r="AT181" i="24" s="1"/>
  <c r="AJ171" i="24"/>
  <c r="AT171" i="24" s="1"/>
  <c r="AJ175" i="24"/>
  <c r="AT175" i="24" s="1"/>
  <c r="AJ180" i="24"/>
  <c r="AT180" i="24" s="1"/>
  <c r="AJ177" i="24"/>
  <c r="AT177" i="24" s="1"/>
  <c r="AJ103" i="24"/>
  <c r="AJ105" i="24"/>
  <c r="AJ96" i="24"/>
  <c r="AJ94" i="24"/>
  <c r="AJ99" i="24"/>
  <c r="W258" i="25"/>
  <c r="Z258" i="25" s="1"/>
  <c r="AA258" i="25" s="1"/>
  <c r="AB258" i="25" s="1"/>
  <c r="AI258" i="25" s="1"/>
  <c r="AS258" i="25" s="1"/>
  <c r="AD258" i="25"/>
  <c r="AE258" i="25" s="1"/>
  <c r="AV44" i="24"/>
  <c r="AF143" i="25"/>
  <c r="AM143" i="25" s="1"/>
  <c r="BG143" i="25" s="1"/>
  <c r="AJ170" i="24"/>
  <c r="AT170" i="24" s="1"/>
  <c r="AJ161" i="24"/>
  <c r="AT161" i="24" s="1"/>
  <c r="AJ85" i="24"/>
  <c r="AJ89" i="24"/>
  <c r="AJ165" i="24"/>
  <c r="AT165" i="24" s="1"/>
  <c r="W154" i="25"/>
  <c r="Z154" i="25" s="1"/>
  <c r="AA154" i="25" s="1"/>
  <c r="AB154" i="25" s="1"/>
  <c r="AI154" i="25" s="1"/>
  <c r="AS154" i="25" s="1"/>
  <c r="AD154" i="25"/>
  <c r="AJ176" i="24"/>
  <c r="AT176" i="24" s="1"/>
  <c r="AJ91" i="24"/>
  <c r="AJ158" i="24"/>
  <c r="AT158" i="24" s="1"/>
  <c r="AJ168" i="24"/>
  <c r="AT168" i="24" s="1"/>
  <c r="AT101" i="24"/>
  <c r="BA101" i="24" s="1"/>
  <c r="AJ163" i="24"/>
  <c r="AT163" i="24" s="1"/>
  <c r="AJ169" i="24"/>
  <c r="AT169" i="24" s="1"/>
  <c r="AJ167" i="24"/>
  <c r="AT167" i="24" s="1"/>
  <c r="AJ182" i="24"/>
  <c r="AT182" i="24" s="1"/>
  <c r="AJ183" i="24"/>
  <c r="AT183" i="24" s="1"/>
  <c r="AJ172" i="24"/>
  <c r="AT172" i="24" s="1"/>
  <c r="AJ164" i="24"/>
  <c r="AT164" i="24" s="1"/>
  <c r="AJ179" i="24"/>
  <c r="AT179" i="24" s="1"/>
  <c r="AD189" i="25"/>
  <c r="AF189" i="25" s="1"/>
  <c r="AT41" i="24"/>
  <c r="BA41" i="24" s="1"/>
  <c r="AJ69" i="24"/>
  <c r="AJ66" i="24"/>
  <c r="W97" i="25"/>
  <c r="Z97" i="25" s="1"/>
  <c r="AA97" i="25" s="1"/>
  <c r="AB97" i="25" s="1"/>
  <c r="AI97" i="25" s="1"/>
  <c r="AS97" i="25" s="1"/>
  <c r="AD97" i="25"/>
  <c r="AE97" i="25" s="1"/>
  <c r="AJ75" i="24"/>
  <c r="AJ93" i="24"/>
  <c r="AJ95" i="24"/>
  <c r="AJ84" i="24"/>
  <c r="AJ62" i="24"/>
  <c r="AJ157" i="24"/>
  <c r="AT157" i="24" s="1"/>
  <c r="AJ102" i="24"/>
  <c r="AJ90" i="24"/>
  <c r="AJ97" i="24"/>
  <c r="AJ74" i="24"/>
  <c r="AT7" i="24"/>
  <c r="BA7" i="24" s="1"/>
  <c r="AJ100" i="24"/>
  <c r="AJ98" i="24"/>
  <c r="AJ104" i="24"/>
  <c r="AJ81" i="24"/>
  <c r="AJ67" i="24"/>
  <c r="AJ79" i="24"/>
  <c r="AJ73" i="24"/>
  <c r="AJ92" i="24"/>
  <c r="AJ80" i="24"/>
  <c r="AJ86" i="24"/>
  <c r="AJ65" i="24"/>
  <c r="AJ70" i="24"/>
  <c r="AJ87" i="24"/>
  <c r="AJ88" i="24"/>
  <c r="AJ82" i="24"/>
  <c r="AJ68" i="24"/>
  <c r="AJ83" i="24"/>
  <c r="AJ72" i="24"/>
  <c r="AJ316" i="24"/>
  <c r="AT316" i="24" s="1"/>
  <c r="AT55" i="24"/>
  <c r="BA55" i="24" s="1"/>
  <c r="W179" i="25"/>
  <c r="Z179" i="25" s="1"/>
  <c r="AA179" i="25" s="1"/>
  <c r="AB179" i="25" s="1"/>
  <c r="AI179" i="25" s="1"/>
  <c r="AS179" i="25" s="1"/>
  <c r="AD179" i="25"/>
  <c r="AE179" i="25" s="1"/>
  <c r="V29" i="25"/>
  <c r="X29" i="25" s="1"/>
  <c r="W29" i="25"/>
  <c r="Z29" i="25" s="1"/>
  <c r="AA29" i="25" s="1"/>
  <c r="AB29" i="25" s="1"/>
  <c r="AI29" i="25" s="1"/>
  <c r="AS29" i="25" s="1"/>
  <c r="V28" i="25"/>
  <c r="X28" i="25" s="1"/>
  <c r="W291" i="25"/>
  <c r="Z291" i="25" s="1"/>
  <c r="AA291" i="25" s="1"/>
  <c r="AB291" i="25" s="1"/>
  <c r="AI291" i="25" s="1"/>
  <c r="AS291" i="25" s="1"/>
  <c r="W28" i="25"/>
  <c r="Z28" i="25" s="1"/>
  <c r="AA28" i="25" s="1"/>
  <c r="AB28" i="25" s="1"/>
  <c r="AI28" i="25" s="1"/>
  <c r="AS28" i="25" s="1"/>
  <c r="AD291" i="25"/>
  <c r="AE291" i="25" s="1"/>
  <c r="V265" i="25"/>
  <c r="X265" i="25" s="1"/>
  <c r="W265" i="25"/>
  <c r="Z265" i="25" s="1"/>
  <c r="AA265" i="25" s="1"/>
  <c r="AB265" i="25" s="1"/>
  <c r="AI265" i="25" s="1"/>
  <c r="AS265" i="25" s="1"/>
  <c r="AT45" i="24"/>
  <c r="BA45" i="24" s="1"/>
  <c r="AJ314" i="24"/>
  <c r="AT314" i="24" s="1"/>
  <c r="AV21" i="24"/>
  <c r="V189" i="25"/>
  <c r="X189" i="25" s="1"/>
  <c r="V104" i="25"/>
  <c r="X104" i="25" s="1"/>
  <c r="AD104" i="25"/>
  <c r="AF104" i="25" s="1"/>
  <c r="AJ311" i="24"/>
  <c r="AT311" i="24" s="1"/>
  <c r="AJ309" i="24"/>
  <c r="AT309" i="24" s="1"/>
  <c r="AJ307" i="24"/>
  <c r="AT307" i="24" s="1"/>
  <c r="AJ308" i="24"/>
  <c r="AT308" i="24" s="1"/>
  <c r="AJ156" i="24"/>
  <c r="AT156" i="24" s="1"/>
  <c r="AJ159" i="24"/>
  <c r="AT159" i="24" s="1"/>
  <c r="AJ76" i="24"/>
  <c r="AJ166" i="24"/>
  <c r="AT166" i="24" s="1"/>
  <c r="AJ312" i="24"/>
  <c r="AT312" i="24" s="1"/>
  <c r="AJ71" i="24"/>
  <c r="AJ315" i="24"/>
  <c r="AT315" i="24" s="1"/>
  <c r="AJ310" i="24"/>
  <c r="AT310" i="24" s="1"/>
  <c r="AJ78" i="24"/>
  <c r="AJ77" i="24"/>
  <c r="AJ64" i="24"/>
  <c r="AJ313" i="24"/>
  <c r="AT313" i="24" s="1"/>
  <c r="AD237" i="25"/>
  <c r="AE237" i="25" s="1"/>
  <c r="W237" i="25"/>
  <c r="Z237" i="25" s="1"/>
  <c r="AA237" i="25" s="1"/>
  <c r="AB237" i="25" s="1"/>
  <c r="AI237" i="25" s="1"/>
  <c r="AS237" i="25" s="1"/>
  <c r="AJ63" i="24"/>
  <c r="AJ61" i="24"/>
  <c r="AJ116" i="24"/>
  <c r="AT116" i="24" s="1"/>
  <c r="N212" i="25"/>
  <c r="BI212" i="25"/>
  <c r="AH212" i="25"/>
  <c r="BQ212" i="25"/>
  <c r="AJ252" i="24"/>
  <c r="AT252" i="24" s="1"/>
  <c r="AJ151" i="24"/>
  <c r="AT151" i="24" s="1"/>
  <c r="AJ115" i="24"/>
  <c r="AT115" i="24" s="1"/>
  <c r="AJ303" i="24"/>
  <c r="AT303" i="24" s="1"/>
  <c r="AJ275" i="24"/>
  <c r="AT275" i="24" s="1"/>
  <c r="AJ53" i="24"/>
  <c r="AJ47" i="24"/>
  <c r="AJ289" i="24"/>
  <c r="AT289" i="24" s="1"/>
  <c r="AJ254" i="24"/>
  <c r="AT254" i="24" s="1"/>
  <c r="AJ268" i="24"/>
  <c r="AT268" i="24" s="1"/>
  <c r="AJ141" i="24"/>
  <c r="AT141" i="24" s="1"/>
  <c r="AJ251" i="24"/>
  <c r="AT251" i="24" s="1"/>
  <c r="AJ60" i="24"/>
  <c r="V77" i="25"/>
  <c r="X77" i="25" s="1"/>
  <c r="AD77" i="25"/>
  <c r="W77" i="25"/>
  <c r="Z77" i="25" s="1"/>
  <c r="AA77" i="25" s="1"/>
  <c r="AB77" i="25" s="1"/>
  <c r="AI77" i="25" s="1"/>
  <c r="AS77" i="25" s="1"/>
  <c r="AW77" i="25" s="1"/>
  <c r="AJ272" i="24"/>
  <c r="AT272" i="24" s="1"/>
  <c r="AJ288" i="24"/>
  <c r="AT288" i="24" s="1"/>
  <c r="AJ40" i="24"/>
  <c r="AJ23" i="24"/>
  <c r="AJ276" i="24"/>
  <c r="AT276" i="24" s="1"/>
  <c r="AJ42" i="24"/>
  <c r="AJ286" i="24"/>
  <c r="AT286" i="24" s="1"/>
  <c r="AJ231" i="24"/>
  <c r="AT231" i="24" s="1"/>
  <c r="AJ143" i="24"/>
  <c r="AT143" i="24" s="1"/>
  <c r="AJ139" i="24"/>
  <c r="AT139" i="24" s="1"/>
  <c r="AJ11" i="24"/>
  <c r="AJ52" i="24"/>
  <c r="AJ144" i="24"/>
  <c r="AT144" i="24" s="1"/>
  <c r="AJ39" i="24"/>
  <c r="AJ127" i="24"/>
  <c r="AT127" i="24" s="1"/>
  <c r="AJ36" i="24"/>
  <c r="AJ137" i="24"/>
  <c r="AT137" i="24" s="1"/>
  <c r="AJ245" i="24"/>
  <c r="AT245" i="24" s="1"/>
  <c r="AJ149" i="24"/>
  <c r="AT149" i="24" s="1"/>
  <c r="AJ140" i="24"/>
  <c r="AT140" i="24" s="1"/>
  <c r="AJ285" i="24"/>
  <c r="AT285" i="24" s="1"/>
  <c r="AJ223" i="24"/>
  <c r="AT223" i="24" s="1"/>
  <c r="AJ13" i="24"/>
  <c r="AJ239" i="24"/>
  <c r="AT239" i="24" s="1"/>
  <c r="AJ262" i="24"/>
  <c r="AT262" i="24" s="1"/>
  <c r="AJ291" i="24"/>
  <c r="AT291" i="24" s="1"/>
  <c r="AJ277" i="24"/>
  <c r="AT277" i="24" s="1"/>
  <c r="AJ234" i="24"/>
  <c r="AT234" i="24" s="1"/>
  <c r="AJ217" i="24"/>
  <c r="AT217" i="24" s="1"/>
  <c r="AJ31" i="24"/>
  <c r="AJ293" i="24"/>
  <c r="AT293" i="24" s="1"/>
  <c r="AJ154" i="24"/>
  <c r="AT154" i="24" s="1"/>
  <c r="AJ50" i="24"/>
  <c r="AJ306" i="24"/>
  <c r="AT306" i="24" s="1"/>
  <c r="AJ49" i="24"/>
  <c r="AJ230" i="24"/>
  <c r="AT230" i="24" s="1"/>
  <c r="AJ241" i="24"/>
  <c r="AT241" i="24" s="1"/>
  <c r="AJ46" i="24"/>
  <c r="AJ150" i="24"/>
  <c r="AT150" i="24" s="1"/>
  <c r="AJ38" i="24"/>
  <c r="AJ226" i="24"/>
  <c r="AT226" i="24" s="1"/>
  <c r="AJ302" i="24"/>
  <c r="AT302" i="24" s="1"/>
  <c r="AJ122" i="24"/>
  <c r="AT122" i="24" s="1"/>
  <c r="AJ229" i="24"/>
  <c r="AT229" i="24" s="1"/>
  <c r="AJ244" i="24"/>
  <c r="AT244" i="24" s="1"/>
  <c r="AJ15" i="24"/>
  <c r="AJ256" i="24"/>
  <c r="AT256" i="24" s="1"/>
  <c r="AJ287" i="24"/>
  <c r="AT287" i="24" s="1"/>
  <c r="AJ270" i="24"/>
  <c r="AT270" i="24" s="1"/>
  <c r="AJ304" i="24"/>
  <c r="AT304" i="24" s="1"/>
  <c r="AJ146" i="24"/>
  <c r="AT146" i="24" s="1"/>
  <c r="AJ134" i="24"/>
  <c r="AT134" i="24" s="1"/>
  <c r="AJ138" i="24"/>
  <c r="AT138" i="24" s="1"/>
  <c r="AJ27" i="24"/>
  <c r="AJ136" i="24"/>
  <c r="AT136" i="24" s="1"/>
  <c r="AJ43" i="24"/>
  <c r="AJ10" i="24"/>
  <c r="AJ300" i="24"/>
  <c r="AT300" i="24" s="1"/>
  <c r="AJ29" i="24"/>
  <c r="AJ255" i="24"/>
  <c r="AT255" i="24" s="1"/>
  <c r="AJ278" i="24"/>
  <c r="AT278" i="24" s="1"/>
  <c r="AJ246" i="24"/>
  <c r="AT246" i="24" s="1"/>
  <c r="AJ250" i="24"/>
  <c r="AT250" i="24" s="1"/>
  <c r="AJ16" i="24"/>
  <c r="AJ227" i="24"/>
  <c r="AT227" i="24" s="1"/>
  <c r="AJ222" i="24"/>
  <c r="AT222" i="24" s="1"/>
  <c r="AJ124" i="24"/>
  <c r="AT124" i="24" s="1"/>
  <c r="AJ14" i="24"/>
  <c r="AJ118" i="24"/>
  <c r="AT118" i="24" s="1"/>
  <c r="AJ113" i="24"/>
  <c r="AT113" i="24" s="1"/>
  <c r="AJ220" i="24"/>
  <c r="AT220" i="24" s="1"/>
  <c r="AJ131" i="24"/>
  <c r="AT131" i="24" s="1"/>
  <c r="AJ25" i="24"/>
  <c r="AJ221" i="24"/>
  <c r="AT221" i="24" s="1"/>
  <c r="AD253" i="25"/>
  <c r="W253" i="25"/>
  <c r="Z253" i="25" s="1"/>
  <c r="AA253" i="25" s="1"/>
  <c r="AB253" i="25" s="1"/>
  <c r="AI253" i="25" s="1"/>
  <c r="V253" i="25"/>
  <c r="X253" i="25" s="1"/>
  <c r="AG223" i="24"/>
  <c r="AF223" i="24"/>
  <c r="AD102" i="25"/>
  <c r="W102" i="25"/>
  <c r="Z102" i="25" s="1"/>
  <c r="AA102" i="25" s="1"/>
  <c r="AB102" i="25" s="1"/>
  <c r="AI102" i="25" s="1"/>
  <c r="V102" i="25"/>
  <c r="X102" i="25" s="1"/>
  <c r="AF192" i="25"/>
  <c r="AE192" i="25"/>
  <c r="AG124" i="24"/>
  <c r="AF124" i="24"/>
  <c r="AD222" i="25"/>
  <c r="W222" i="25"/>
  <c r="Z222" i="25" s="1"/>
  <c r="AA222" i="25" s="1"/>
  <c r="AB222" i="25" s="1"/>
  <c r="AI222" i="25" s="1"/>
  <c r="AN45" i="24"/>
  <c r="AK45" i="24"/>
  <c r="AG89" i="24"/>
  <c r="AF89" i="24"/>
  <c r="AD111" i="25"/>
  <c r="W111" i="25"/>
  <c r="Z111" i="25" s="1"/>
  <c r="AA111" i="25" s="1"/>
  <c r="AB111" i="25" s="1"/>
  <c r="AI111" i="25" s="1"/>
  <c r="V111" i="25"/>
  <c r="X111" i="25" s="1"/>
  <c r="AD157" i="25"/>
  <c r="W157" i="25"/>
  <c r="Z157" i="25" s="1"/>
  <c r="AA157" i="25" s="1"/>
  <c r="AB157" i="25" s="1"/>
  <c r="AI157" i="25" s="1"/>
  <c r="AD181" i="25"/>
  <c r="W181" i="25"/>
  <c r="Z181" i="25" s="1"/>
  <c r="AA181" i="25" s="1"/>
  <c r="AB181" i="25" s="1"/>
  <c r="AI181" i="25" s="1"/>
  <c r="AG37" i="24"/>
  <c r="AF37" i="24"/>
  <c r="AD134" i="25"/>
  <c r="W134" i="25"/>
  <c r="Z134" i="25" s="1"/>
  <c r="AA134" i="25" s="1"/>
  <c r="AB134" i="25" s="1"/>
  <c r="AI134" i="25" s="1"/>
  <c r="V134" i="25"/>
  <c r="X134" i="25" s="1"/>
  <c r="AG312" i="24"/>
  <c r="AF312" i="24"/>
  <c r="AS267" i="25"/>
  <c r="AG242" i="24"/>
  <c r="AF242" i="24"/>
  <c r="AG12" i="24"/>
  <c r="AF12" i="24"/>
  <c r="AS82" i="25"/>
  <c r="AD299" i="25"/>
  <c r="W299" i="25"/>
  <c r="Z299" i="25" s="1"/>
  <c r="AA299" i="25" s="1"/>
  <c r="AB299" i="25" s="1"/>
  <c r="AI299" i="25" s="1"/>
  <c r="AF199" i="25"/>
  <c r="AE199" i="25"/>
  <c r="AJ228" i="24"/>
  <c r="AD76" i="25"/>
  <c r="W76" i="25"/>
  <c r="Z76" i="25" s="1"/>
  <c r="AA76" i="25" s="1"/>
  <c r="AB76" i="25" s="1"/>
  <c r="AI76" i="25" s="1"/>
  <c r="AF314" i="25"/>
  <c r="AE314" i="25"/>
  <c r="AJ135" i="24"/>
  <c r="AG78" i="24"/>
  <c r="AF78" i="24"/>
  <c r="AK142" i="24"/>
  <c r="AN142" i="24"/>
  <c r="AG295" i="24"/>
  <c r="AF295" i="24"/>
  <c r="AK119" i="24"/>
  <c r="AN119" i="24"/>
  <c r="AK257" i="24"/>
  <c r="AN257" i="24"/>
  <c r="BI257" i="24" s="1"/>
  <c r="AS161" i="25"/>
  <c r="AG253" i="24"/>
  <c r="AF253" i="24"/>
  <c r="AE28" i="25"/>
  <c r="AG152" i="24"/>
  <c r="AF152" i="24"/>
  <c r="AD125" i="25"/>
  <c r="W125" i="25"/>
  <c r="Z125" i="25" s="1"/>
  <c r="AA125" i="25" s="1"/>
  <c r="AB125" i="25" s="1"/>
  <c r="AI125" i="25" s="1"/>
  <c r="AJ26" i="24"/>
  <c r="AG100" i="24"/>
  <c r="AF100" i="24"/>
  <c r="AD295" i="25"/>
  <c r="W295" i="25"/>
  <c r="Z295" i="25" s="1"/>
  <c r="AA295" i="25" s="1"/>
  <c r="AB295" i="25" s="1"/>
  <c r="AI295" i="25" s="1"/>
  <c r="BA119" i="24"/>
  <c r="AJ35" i="24"/>
  <c r="AD298" i="25"/>
  <c r="W298" i="25"/>
  <c r="Z298" i="25" s="1"/>
  <c r="AA298" i="25" s="1"/>
  <c r="AB298" i="25" s="1"/>
  <c r="AI298" i="25" s="1"/>
  <c r="AJ153" i="24"/>
  <c r="AD277" i="25"/>
  <c r="W277" i="25"/>
  <c r="Z277" i="25" s="1"/>
  <c r="AA277" i="25" s="1"/>
  <c r="AB277" i="25" s="1"/>
  <c r="AI277" i="25" s="1"/>
  <c r="AD152" i="25"/>
  <c r="W152" i="25"/>
  <c r="Z152" i="25" s="1"/>
  <c r="AA152" i="25" s="1"/>
  <c r="AB152" i="25" s="1"/>
  <c r="AI152" i="25" s="1"/>
  <c r="V152" i="25"/>
  <c r="X152" i="25" s="1"/>
  <c r="AD250" i="25"/>
  <c r="W250" i="25"/>
  <c r="Z250" i="25" s="1"/>
  <c r="AA250" i="25" s="1"/>
  <c r="AB250" i="25" s="1"/>
  <c r="AI250" i="25" s="1"/>
  <c r="V250" i="25"/>
  <c r="X250" i="25" s="1"/>
  <c r="AD48" i="25"/>
  <c r="W48" i="25"/>
  <c r="Z48" i="25" s="1"/>
  <c r="AA48" i="25" s="1"/>
  <c r="AB48" i="25" s="1"/>
  <c r="AI48" i="25" s="1"/>
  <c r="V48" i="25"/>
  <c r="X48" i="25" s="1"/>
  <c r="AJ249" i="24"/>
  <c r="AF31" i="25"/>
  <c r="AE31" i="25"/>
  <c r="AG66" i="24"/>
  <c r="AF66" i="24"/>
  <c r="AS247" i="25"/>
  <c r="AF204" i="25"/>
  <c r="AE204" i="25"/>
  <c r="AJ111" i="24"/>
  <c r="AD187" i="25"/>
  <c r="W187" i="25"/>
  <c r="Z187" i="25" s="1"/>
  <c r="AA187" i="25" s="1"/>
  <c r="AB187" i="25" s="1"/>
  <c r="AI187" i="25" s="1"/>
  <c r="AJ51" i="24"/>
  <c r="AG306" i="24"/>
  <c r="AF306" i="24"/>
  <c r="AG80" i="24"/>
  <c r="AF80" i="24"/>
  <c r="AG244" i="24"/>
  <c r="AF244" i="24"/>
  <c r="AS62" i="25"/>
  <c r="AJ301" i="24"/>
  <c r="AD24" i="25"/>
  <c r="W24" i="25"/>
  <c r="Z24" i="25" s="1"/>
  <c r="AA24" i="25" s="1"/>
  <c r="AB24" i="25" s="1"/>
  <c r="AI24" i="25" s="1"/>
  <c r="V24" i="25"/>
  <c r="X24" i="25" s="1"/>
  <c r="AJ129" i="25"/>
  <c r="AM129" i="25"/>
  <c r="BG129" i="25" s="1"/>
  <c r="AG91" i="24"/>
  <c r="AF91" i="24"/>
  <c r="AG67" i="24"/>
  <c r="AF67" i="24"/>
  <c r="AD166" i="25"/>
  <c r="W166" i="25"/>
  <c r="Z166" i="25" s="1"/>
  <c r="AA166" i="25" s="1"/>
  <c r="AB166" i="25" s="1"/>
  <c r="AI166" i="25" s="1"/>
  <c r="V166" i="25"/>
  <c r="X166" i="25" s="1"/>
  <c r="AJ133" i="24"/>
  <c r="AN41" i="24"/>
  <c r="AK41" i="24"/>
  <c r="AF282" i="25"/>
  <c r="AE282" i="25"/>
  <c r="AD37" i="25"/>
  <c r="W37" i="25"/>
  <c r="Z37" i="25" s="1"/>
  <c r="AA37" i="25" s="1"/>
  <c r="AB37" i="25" s="1"/>
  <c r="AI37" i="25" s="1"/>
  <c r="V37" i="25"/>
  <c r="X37" i="25" s="1"/>
  <c r="AJ58" i="24"/>
  <c r="AJ269" i="24"/>
  <c r="AJ54" i="24"/>
  <c r="AD278" i="25"/>
  <c r="W278" i="25"/>
  <c r="Z278" i="25" s="1"/>
  <c r="AA278" i="25" s="1"/>
  <c r="AB278" i="25" s="1"/>
  <c r="AI278" i="25" s="1"/>
  <c r="AJ125" i="24"/>
  <c r="AD63" i="25"/>
  <c r="W63" i="25"/>
  <c r="Z63" i="25" s="1"/>
  <c r="AA63" i="25" s="1"/>
  <c r="AB63" i="25" s="1"/>
  <c r="AI63" i="25" s="1"/>
  <c r="AJ24" i="24"/>
  <c r="AF178" i="25"/>
  <c r="AE178" i="25"/>
  <c r="AG231" i="24"/>
  <c r="AF231" i="24"/>
  <c r="AG192" i="24"/>
  <c r="AF192" i="24"/>
  <c r="AS6" i="25"/>
  <c r="AS292" i="25"/>
  <c r="AJ148" i="24"/>
  <c r="AG130" i="24"/>
  <c r="AF130" i="24"/>
  <c r="AJ117" i="24"/>
  <c r="AG243" i="24"/>
  <c r="AF243" i="24"/>
  <c r="AG60" i="24"/>
  <c r="AF60" i="24"/>
  <c r="AD271" i="25"/>
  <c r="W271" i="25"/>
  <c r="Z271" i="25" s="1"/>
  <c r="AA271" i="25" s="1"/>
  <c r="AB271" i="25" s="1"/>
  <c r="AI271" i="25" s="1"/>
  <c r="V271" i="25"/>
  <c r="X271" i="25" s="1"/>
  <c r="AD44" i="25"/>
  <c r="W44" i="25"/>
  <c r="Z44" i="25" s="1"/>
  <c r="AA44" i="25" s="1"/>
  <c r="AB44" i="25" s="1"/>
  <c r="AI44" i="25" s="1"/>
  <c r="AG248" i="24"/>
  <c r="AF248" i="24"/>
  <c r="AD286" i="25"/>
  <c r="W286" i="25"/>
  <c r="Z286" i="25" s="1"/>
  <c r="AA286" i="25" s="1"/>
  <c r="AB286" i="25" s="1"/>
  <c r="AI286" i="25" s="1"/>
  <c r="AF170" i="25"/>
  <c r="AE170" i="25"/>
  <c r="AD70" i="25"/>
  <c r="W70" i="25"/>
  <c r="Z70" i="25" s="1"/>
  <c r="AA70" i="25" s="1"/>
  <c r="AB70" i="25" s="1"/>
  <c r="AI70" i="25" s="1"/>
  <c r="AM110" i="25"/>
  <c r="AJ110" i="25"/>
  <c r="AG139" i="24"/>
  <c r="AF139" i="24"/>
  <c r="AG23" i="24"/>
  <c r="AF23" i="24"/>
  <c r="AG147" i="24"/>
  <c r="AF147" i="24"/>
  <c r="AG103" i="24"/>
  <c r="AF103" i="24"/>
  <c r="AS94" i="25"/>
  <c r="AD235" i="25"/>
  <c r="W235" i="25"/>
  <c r="Z235" i="25" s="1"/>
  <c r="AA235" i="25" s="1"/>
  <c r="AB235" i="25" s="1"/>
  <c r="AI235" i="25" s="1"/>
  <c r="V235" i="25"/>
  <c r="X235" i="25" s="1"/>
  <c r="AG168" i="24"/>
  <c r="AF168" i="24"/>
  <c r="AD85" i="25"/>
  <c r="W85" i="25"/>
  <c r="Z85" i="25" s="1"/>
  <c r="AA85" i="25" s="1"/>
  <c r="AB85" i="25" s="1"/>
  <c r="AI85" i="25" s="1"/>
  <c r="V85" i="25"/>
  <c r="X85" i="25" s="1"/>
  <c r="AJ121" i="24"/>
  <c r="AG102" i="24"/>
  <c r="AF102" i="24"/>
  <c r="AG99" i="24"/>
  <c r="AF99" i="24"/>
  <c r="AJ281" i="24"/>
  <c r="AD230" i="25"/>
  <c r="W230" i="25"/>
  <c r="Z230" i="25" s="1"/>
  <c r="AA230" i="25" s="1"/>
  <c r="AB230" i="25" s="1"/>
  <c r="AI230" i="25" s="1"/>
  <c r="AD308" i="25"/>
  <c r="W308" i="25"/>
  <c r="Z308" i="25" s="1"/>
  <c r="AA308" i="25" s="1"/>
  <c r="AB308" i="25" s="1"/>
  <c r="AI308" i="25" s="1"/>
  <c r="V308" i="25"/>
  <c r="X308" i="25" s="1"/>
  <c r="AJ296" i="24"/>
  <c r="AG273" i="24"/>
  <c r="AF273" i="24"/>
  <c r="AG76" i="24"/>
  <c r="AF76" i="24"/>
  <c r="AK191" i="24"/>
  <c r="AN191" i="24"/>
  <c r="AJ218" i="24"/>
  <c r="AD191" i="25"/>
  <c r="W191" i="25"/>
  <c r="Z191" i="25" s="1"/>
  <c r="AA191" i="25" s="1"/>
  <c r="AB191" i="25" s="1"/>
  <c r="AI191" i="25" s="1"/>
  <c r="V191" i="25"/>
  <c r="X191" i="25" s="1"/>
  <c r="AJ28" i="24"/>
  <c r="AD141" i="25"/>
  <c r="W141" i="25"/>
  <c r="Z141" i="25" s="1"/>
  <c r="AA141" i="25" s="1"/>
  <c r="AB141" i="25" s="1"/>
  <c r="AI141" i="25" s="1"/>
  <c r="V141" i="25"/>
  <c r="X141" i="25" s="1"/>
  <c r="AS259" i="25"/>
  <c r="AJ298" i="24"/>
  <c r="AF232" i="25"/>
  <c r="AE232" i="25"/>
  <c r="AD66" i="25"/>
  <c r="W66" i="25"/>
  <c r="Z66" i="25" s="1"/>
  <c r="AA66" i="25" s="1"/>
  <c r="AB66" i="25" s="1"/>
  <c r="AI66" i="25" s="1"/>
  <c r="AG79" i="24"/>
  <c r="AF79" i="24"/>
  <c r="AG165" i="24"/>
  <c r="AF165" i="24"/>
  <c r="AJ280" i="24"/>
  <c r="AG73" i="24"/>
  <c r="AF73" i="24"/>
  <c r="AJ305" i="24"/>
  <c r="AG232" i="24"/>
  <c r="AF232" i="24"/>
  <c r="AD88" i="25"/>
  <c r="W88" i="25"/>
  <c r="Z88" i="25" s="1"/>
  <c r="AA88" i="25" s="1"/>
  <c r="AB88" i="25" s="1"/>
  <c r="AI88" i="25" s="1"/>
  <c r="V88" i="25"/>
  <c r="X88" i="25" s="1"/>
  <c r="AG16" i="24"/>
  <c r="AF16" i="24"/>
  <c r="AD81" i="25"/>
  <c r="W81" i="25"/>
  <c r="Z81" i="25" s="1"/>
  <c r="AA81" i="25" s="1"/>
  <c r="AB81" i="25" s="1"/>
  <c r="AI81" i="25" s="1"/>
  <c r="AN233" i="24"/>
  <c r="AK233" i="24"/>
  <c r="AS147" i="25"/>
  <c r="AF267" i="25"/>
  <c r="AE267" i="25"/>
  <c r="AF82" i="25"/>
  <c r="AE82" i="25"/>
  <c r="AD20" i="25"/>
  <c r="W20" i="25"/>
  <c r="Z20" i="25" s="1"/>
  <c r="AA20" i="25" s="1"/>
  <c r="AB20" i="25" s="1"/>
  <c r="AI20" i="25" s="1"/>
  <c r="V20" i="25"/>
  <c r="X20" i="25" s="1"/>
  <c r="AD115" i="25"/>
  <c r="W115" i="25"/>
  <c r="Z115" i="25" s="1"/>
  <c r="AA115" i="25" s="1"/>
  <c r="AB115" i="25" s="1"/>
  <c r="AI115" i="25" s="1"/>
  <c r="AG71" i="24"/>
  <c r="AF71" i="24"/>
  <c r="AG27" i="24"/>
  <c r="AF27" i="24"/>
  <c r="AG293" i="24"/>
  <c r="AF293" i="24"/>
  <c r="AS198" i="25"/>
  <c r="AG74" i="24"/>
  <c r="AF74" i="24"/>
  <c r="AG13" i="24"/>
  <c r="AF13" i="24"/>
  <c r="AS30" i="25"/>
  <c r="AG171" i="24"/>
  <c r="AF171" i="24"/>
  <c r="AF161" i="25"/>
  <c r="AE161" i="25"/>
  <c r="AD180" i="25"/>
  <c r="W180" i="25"/>
  <c r="Z180" i="25" s="1"/>
  <c r="AA180" i="25" s="1"/>
  <c r="AB180" i="25" s="1"/>
  <c r="AI180" i="25" s="1"/>
  <c r="V180" i="25"/>
  <c r="X180" i="25" s="1"/>
  <c r="AS305" i="25"/>
  <c r="V76" i="25"/>
  <c r="X76" i="25" s="1"/>
  <c r="AG75" i="24"/>
  <c r="AF75" i="24"/>
  <c r="AG87" i="24"/>
  <c r="AF87" i="24"/>
  <c r="AG93" i="24"/>
  <c r="AF93" i="24"/>
  <c r="AD226" i="25"/>
  <c r="W226" i="25"/>
  <c r="Z226" i="25" s="1"/>
  <c r="AA226" i="25" s="1"/>
  <c r="AB226" i="25" s="1"/>
  <c r="AI226" i="25" s="1"/>
  <c r="AG154" i="24"/>
  <c r="AF154" i="24"/>
  <c r="AG40" i="24"/>
  <c r="AF40" i="24"/>
  <c r="AG43" i="24"/>
  <c r="AF43" i="24"/>
  <c r="BA294" i="24"/>
  <c r="AD50" i="25"/>
  <c r="W50" i="25"/>
  <c r="Z50" i="25" s="1"/>
  <c r="AA50" i="25" s="1"/>
  <c r="AB50" i="25" s="1"/>
  <c r="AI50" i="25" s="1"/>
  <c r="V50" i="25"/>
  <c r="X50" i="25" s="1"/>
  <c r="AD118" i="25"/>
  <c r="W118" i="25"/>
  <c r="Z118" i="25" s="1"/>
  <c r="AA118" i="25" s="1"/>
  <c r="AB118" i="25" s="1"/>
  <c r="AI118" i="25" s="1"/>
  <c r="AG175" i="24"/>
  <c r="AF175" i="24"/>
  <c r="AG50" i="24"/>
  <c r="AF50" i="24"/>
  <c r="AD313" i="25"/>
  <c r="W313" i="25"/>
  <c r="Z313" i="25" s="1"/>
  <c r="AA313" i="25" s="1"/>
  <c r="AB313" i="25" s="1"/>
  <c r="AI313" i="25" s="1"/>
  <c r="V125" i="25"/>
  <c r="X125" i="25" s="1"/>
  <c r="AD263" i="25"/>
  <c r="W263" i="25"/>
  <c r="Z263" i="25" s="1"/>
  <c r="AA263" i="25" s="1"/>
  <c r="AB263" i="25" s="1"/>
  <c r="AI263" i="25" s="1"/>
  <c r="V263" i="25"/>
  <c r="X263" i="25" s="1"/>
  <c r="AK22" i="24"/>
  <c r="AN22" i="24"/>
  <c r="BI22" i="24" s="1"/>
  <c r="AF247" i="25"/>
  <c r="AE247" i="25"/>
  <c r="AF62" i="25"/>
  <c r="AE62" i="25"/>
  <c r="AD311" i="25"/>
  <c r="W311" i="25"/>
  <c r="Z311" i="25" s="1"/>
  <c r="AA311" i="25" s="1"/>
  <c r="AB311" i="25" s="1"/>
  <c r="AI311" i="25" s="1"/>
  <c r="V311" i="25"/>
  <c r="X311" i="25" s="1"/>
  <c r="AG220" i="24"/>
  <c r="AF220" i="24"/>
  <c r="BA190" i="24"/>
  <c r="AG134" i="24"/>
  <c r="AF134" i="24"/>
  <c r="AG185" i="24"/>
  <c r="AF185" i="24"/>
  <c r="AG234" i="24"/>
  <c r="AF234" i="24"/>
  <c r="AD268" i="25"/>
  <c r="W268" i="25"/>
  <c r="Z268" i="25" s="1"/>
  <c r="AA268" i="25" s="1"/>
  <c r="AB268" i="25" s="1"/>
  <c r="AI268" i="25" s="1"/>
  <c r="AD100" i="25"/>
  <c r="W100" i="25"/>
  <c r="Z100" i="25" s="1"/>
  <c r="AA100" i="25" s="1"/>
  <c r="AB100" i="25" s="1"/>
  <c r="AI100" i="25" s="1"/>
  <c r="AD165" i="25"/>
  <c r="W165" i="25"/>
  <c r="Z165" i="25" s="1"/>
  <c r="AA165" i="25" s="1"/>
  <c r="AB165" i="25" s="1"/>
  <c r="AI165" i="25" s="1"/>
  <c r="AG217" i="24"/>
  <c r="AF217" i="24"/>
  <c r="AD224" i="25"/>
  <c r="W224" i="25"/>
  <c r="Z224" i="25" s="1"/>
  <c r="AA224" i="25" s="1"/>
  <c r="AB224" i="25" s="1"/>
  <c r="AI224" i="25" s="1"/>
  <c r="AJ274" i="24"/>
  <c r="AF292" i="25"/>
  <c r="AE292" i="25"/>
  <c r="AJ258" i="24"/>
  <c r="AD256" i="25"/>
  <c r="W256" i="25"/>
  <c r="Z256" i="25" s="1"/>
  <c r="AA256" i="25" s="1"/>
  <c r="AB256" i="25" s="1"/>
  <c r="AI256" i="25" s="1"/>
  <c r="V256" i="25"/>
  <c r="X256" i="25" s="1"/>
  <c r="AG205" i="24"/>
  <c r="AF205" i="24"/>
  <c r="AD93" i="25"/>
  <c r="W93" i="25"/>
  <c r="Z93" i="25" s="1"/>
  <c r="AA93" i="25" s="1"/>
  <c r="AB93" i="25" s="1"/>
  <c r="AI93" i="25" s="1"/>
  <c r="V268" i="25"/>
  <c r="X268" i="25" s="1"/>
  <c r="AG184" i="24"/>
  <c r="AF184" i="24"/>
  <c r="AG47" i="24"/>
  <c r="AF47" i="24"/>
  <c r="AD281" i="25"/>
  <c r="W281" i="25"/>
  <c r="Z281" i="25" s="1"/>
  <c r="AA281" i="25" s="1"/>
  <c r="AB281" i="25" s="1"/>
  <c r="AI281" i="25" s="1"/>
  <c r="AG36" i="24"/>
  <c r="AF36" i="24"/>
  <c r="AG227" i="24"/>
  <c r="AF227" i="24"/>
  <c r="AG150" i="24"/>
  <c r="AF150" i="24"/>
  <c r="AG206" i="24"/>
  <c r="AF206" i="24"/>
  <c r="AF94" i="25"/>
  <c r="AE94" i="25"/>
  <c r="AD9" i="25"/>
  <c r="W9" i="25"/>
  <c r="Z9" i="25" s="1"/>
  <c r="AA9" i="25" s="1"/>
  <c r="AB9" i="25" s="1"/>
  <c r="AI9" i="25" s="1"/>
  <c r="V9" i="25"/>
  <c r="X9" i="25" s="1"/>
  <c r="AN264" i="24"/>
  <c r="AK264" i="24"/>
  <c r="AD197" i="25"/>
  <c r="W197" i="25"/>
  <c r="Z197" i="25" s="1"/>
  <c r="AA197" i="25" s="1"/>
  <c r="AB197" i="25" s="1"/>
  <c r="AI197" i="25" s="1"/>
  <c r="V70" i="25"/>
  <c r="X70" i="25" s="1"/>
  <c r="AG221" i="24"/>
  <c r="AF221" i="24"/>
  <c r="AG49" i="24"/>
  <c r="AF49" i="24"/>
  <c r="AD183" i="25"/>
  <c r="W183" i="25"/>
  <c r="Z183" i="25" s="1"/>
  <c r="AA183" i="25" s="1"/>
  <c r="AB183" i="25" s="1"/>
  <c r="AI183" i="25" s="1"/>
  <c r="AF259" i="25"/>
  <c r="AE259" i="25"/>
  <c r="AG141" i="24"/>
  <c r="AF141" i="24"/>
  <c r="AG251" i="24"/>
  <c r="AF251" i="24"/>
  <c r="AD239" i="25"/>
  <c r="W239" i="25"/>
  <c r="Z239" i="25" s="1"/>
  <c r="AA239" i="25" s="1"/>
  <c r="AB239" i="25" s="1"/>
  <c r="AI239" i="25" s="1"/>
  <c r="AD260" i="25"/>
  <c r="W260" i="25"/>
  <c r="Z260" i="25" s="1"/>
  <c r="AA260" i="25" s="1"/>
  <c r="AB260" i="25" s="1"/>
  <c r="AI260" i="25" s="1"/>
  <c r="AG38" i="24"/>
  <c r="AF38" i="24"/>
  <c r="AD49" i="25"/>
  <c r="W49" i="25"/>
  <c r="Z49" i="25" s="1"/>
  <c r="AA49" i="25" s="1"/>
  <c r="AB49" i="25" s="1"/>
  <c r="AI49" i="25" s="1"/>
  <c r="V49" i="25"/>
  <c r="X49" i="25" s="1"/>
  <c r="AK162" i="24"/>
  <c r="AN162" i="24"/>
  <c r="AG278" i="24"/>
  <c r="AF278" i="24"/>
  <c r="AS114" i="25"/>
  <c r="AS262" i="25"/>
  <c r="AG226" i="24"/>
  <c r="AF226" i="24"/>
  <c r="AT264" i="24"/>
  <c r="FI285" i="25"/>
  <c r="FI232" i="25"/>
  <c r="FI256" i="25"/>
  <c r="FI286" i="25"/>
  <c r="FI227" i="25"/>
  <c r="FI216" i="25"/>
  <c r="FI295" i="25"/>
  <c r="FI218" i="25"/>
  <c r="FI294" i="25"/>
  <c r="FI258" i="25"/>
  <c r="FI301" i="25"/>
  <c r="FI220" i="25"/>
  <c r="FI308" i="25"/>
  <c r="FI272" i="25"/>
  <c r="FI278" i="25"/>
  <c r="FI221" i="25"/>
  <c r="FI290" i="25"/>
  <c r="FI228" i="25"/>
  <c r="FI257" i="25"/>
  <c r="FI245" i="25"/>
  <c r="FI303" i="25"/>
  <c r="FI283" i="25"/>
  <c r="FI316" i="25"/>
  <c r="FI289" i="25"/>
  <c r="FI274" i="25"/>
  <c r="FI266" i="25"/>
  <c r="FI267" i="25"/>
  <c r="FI293" i="25"/>
  <c r="FI299" i="25"/>
  <c r="FI311" i="25"/>
  <c r="FI234" i="25"/>
  <c r="FI281" i="25"/>
  <c r="FI304" i="25"/>
  <c r="FI279" i="25"/>
  <c r="FI246" i="25"/>
  <c r="FI244" i="25"/>
  <c r="FI312" i="25"/>
  <c r="FI260" i="25"/>
  <c r="FI248" i="25"/>
  <c r="FI261" i="25"/>
  <c r="FI314" i="25"/>
  <c r="FI309" i="25"/>
  <c r="FI302" i="25"/>
  <c r="FI264" i="25"/>
  <c r="FI230" i="25"/>
  <c r="FI238" i="25"/>
  <c r="FI268" i="25"/>
  <c r="FI287" i="25"/>
  <c r="FI313" i="25"/>
  <c r="FI222" i="25"/>
  <c r="FI307" i="25"/>
  <c r="FI305" i="25"/>
  <c r="FI291" i="25"/>
  <c r="FI225" i="25"/>
  <c r="FI237" i="25"/>
  <c r="FI249" i="25"/>
  <c r="FI300" i="25"/>
  <c r="FI296" i="25"/>
  <c r="FI288" i="25"/>
  <c r="FI240" i="25"/>
  <c r="FI276" i="25"/>
  <c r="FI235" i="25"/>
  <c r="FI251" i="25"/>
  <c r="FI275" i="25"/>
  <c r="FI253" i="25"/>
  <c r="FI223" i="25"/>
  <c r="FI226" i="25"/>
  <c r="FI297" i="25"/>
  <c r="FI306" i="25"/>
  <c r="FI310" i="25"/>
  <c r="FI265" i="25"/>
  <c r="FI241" i="25"/>
  <c r="FI239" i="25"/>
  <c r="FI242" i="25"/>
  <c r="FI315" i="25"/>
  <c r="FI262" i="25"/>
  <c r="FI284" i="25"/>
  <c r="FI243" i="25"/>
  <c r="FI298" i="25"/>
  <c r="FI252" i="25"/>
  <c r="FI270" i="25"/>
  <c r="FI277" i="25"/>
  <c r="FI273" i="25"/>
  <c r="FI224" i="25"/>
  <c r="FI236" i="25"/>
  <c r="FI263" i="25"/>
  <c r="FI231" i="25"/>
  <c r="FI217" i="25"/>
  <c r="FI254" i="25"/>
  <c r="FI271" i="25"/>
  <c r="FI250" i="25"/>
  <c r="FI282" i="25"/>
  <c r="FI247" i="25"/>
  <c r="FI219" i="25"/>
  <c r="FI229" i="25"/>
  <c r="FI255" i="25"/>
  <c r="FI280" i="25"/>
  <c r="FI269" i="25"/>
  <c r="FI259" i="25"/>
  <c r="FI292" i="25"/>
  <c r="FI233" i="25"/>
  <c r="CE252" i="25"/>
  <c r="CE314" i="25"/>
  <c r="CE265" i="25"/>
  <c r="CE241" i="25"/>
  <c r="CE278" i="25"/>
  <c r="CE293" i="25"/>
  <c r="CE304" i="25"/>
  <c r="CE271" i="25"/>
  <c r="CE253" i="25"/>
  <c r="CE301" i="25"/>
  <c r="CE244" i="25"/>
  <c r="CE262" i="25"/>
  <c r="CE255" i="25"/>
  <c r="CE256" i="25"/>
  <c r="CE225" i="25"/>
  <c r="CE254" i="25"/>
  <c r="CE276" i="25"/>
  <c r="CE290" i="25"/>
  <c r="CE298" i="25"/>
  <c r="CE275" i="25"/>
  <c r="CE282" i="25"/>
  <c r="CE224" i="25"/>
  <c r="CE249" i="25"/>
  <c r="CE240" i="25"/>
  <c r="CE277" i="25"/>
  <c r="CE238" i="25"/>
  <c r="CE266" i="25"/>
  <c r="CE226" i="25"/>
  <c r="CE250" i="25"/>
  <c r="CE234" i="25"/>
  <c r="CE285" i="25"/>
  <c r="CE264" i="25"/>
  <c r="CE297" i="25"/>
  <c r="CE273" i="25"/>
  <c r="CE263" i="25"/>
  <c r="CE291" i="25"/>
  <c r="CE230" i="25"/>
  <c r="CE229" i="25"/>
  <c r="CE247" i="25"/>
  <c r="CE251" i="25"/>
  <c r="CE232" i="25"/>
  <c r="CE237" i="25"/>
  <c r="CE288" i="25"/>
  <c r="CE233" i="25"/>
  <c r="CE308" i="25"/>
  <c r="CE281" i="25"/>
  <c r="CE246" i="25"/>
  <c r="CE239" i="25"/>
  <c r="AD39" i="25"/>
  <c r="W39" i="25"/>
  <c r="Z39" i="25" s="1"/>
  <c r="AA39" i="25" s="1"/>
  <c r="AB39" i="25" s="1"/>
  <c r="AI39" i="25" s="1"/>
  <c r="AF147" i="25"/>
  <c r="AE147" i="25"/>
  <c r="AS13" i="25"/>
  <c r="AG228" i="24"/>
  <c r="AF228" i="24"/>
  <c r="AD42" i="25"/>
  <c r="W42" i="25"/>
  <c r="Z42" i="25" s="1"/>
  <c r="AA42" i="25" s="1"/>
  <c r="AB42" i="25" s="1"/>
  <c r="AI42" i="25" s="1"/>
  <c r="V42" i="25"/>
  <c r="X42" i="25" s="1"/>
  <c r="AD242" i="25"/>
  <c r="W242" i="25"/>
  <c r="Z242" i="25" s="1"/>
  <c r="AA242" i="25" s="1"/>
  <c r="AB242" i="25" s="1"/>
  <c r="AI242" i="25" s="1"/>
  <c r="AG97" i="24"/>
  <c r="AF97" i="24"/>
  <c r="AG135" i="24"/>
  <c r="AF135" i="24"/>
  <c r="AD289" i="25"/>
  <c r="W289" i="25"/>
  <c r="Z289" i="25" s="1"/>
  <c r="AA289" i="25" s="1"/>
  <c r="AB289" i="25" s="1"/>
  <c r="AI289" i="25" s="1"/>
  <c r="AF198" i="25"/>
  <c r="AE198" i="25"/>
  <c r="AS87" i="25"/>
  <c r="AS293" i="25"/>
  <c r="AG285" i="24"/>
  <c r="AF285" i="24"/>
  <c r="V39" i="25"/>
  <c r="X39" i="25" s="1"/>
  <c r="AD274" i="25"/>
  <c r="W274" i="25"/>
  <c r="Z274" i="25" s="1"/>
  <c r="AA274" i="25" s="1"/>
  <c r="AB274" i="25" s="1"/>
  <c r="AI274" i="25" s="1"/>
  <c r="AF30" i="25"/>
  <c r="AE30" i="25"/>
  <c r="AD193" i="25"/>
  <c r="W193" i="25"/>
  <c r="Z193" i="25" s="1"/>
  <c r="AA193" i="25" s="1"/>
  <c r="AB193" i="25" s="1"/>
  <c r="AI193" i="25" s="1"/>
  <c r="V193" i="25"/>
  <c r="X193" i="25" s="1"/>
  <c r="AS190" i="25"/>
  <c r="AS71" i="25"/>
  <c r="AD228" i="25"/>
  <c r="W228" i="25"/>
  <c r="Z228" i="25" s="1"/>
  <c r="AA228" i="25" s="1"/>
  <c r="AB228" i="25" s="1"/>
  <c r="AI228" i="25" s="1"/>
  <c r="AF305" i="25"/>
  <c r="AE305" i="25"/>
  <c r="AD75" i="25"/>
  <c r="W75" i="25"/>
  <c r="Z75" i="25" s="1"/>
  <c r="AA75" i="25" s="1"/>
  <c r="AB75" i="25" s="1"/>
  <c r="AI75" i="25" s="1"/>
  <c r="AE29" i="25"/>
  <c r="AG26" i="24"/>
  <c r="AF26" i="24"/>
  <c r="AG35" i="24"/>
  <c r="AF35" i="24"/>
  <c r="AG153" i="24"/>
  <c r="AF153" i="24"/>
  <c r="AS201" i="25"/>
  <c r="AG249" i="24"/>
  <c r="AF249" i="24"/>
  <c r="AD72" i="25"/>
  <c r="W72" i="25"/>
  <c r="Z72" i="25" s="1"/>
  <c r="AA72" i="25" s="1"/>
  <c r="AB72" i="25" s="1"/>
  <c r="AI72" i="25" s="1"/>
  <c r="AG111" i="24"/>
  <c r="AF111" i="24"/>
  <c r="AG51" i="24"/>
  <c r="AF51" i="24"/>
  <c r="AD137" i="25"/>
  <c r="W137" i="25"/>
  <c r="Z137" i="25" s="1"/>
  <c r="AA137" i="25" s="1"/>
  <c r="AB137" i="25" s="1"/>
  <c r="AI137" i="25" s="1"/>
  <c r="V137" i="25"/>
  <c r="X137" i="25" s="1"/>
  <c r="V226" i="25"/>
  <c r="X226" i="25" s="1"/>
  <c r="AK292" i="24"/>
  <c r="AN292" i="24"/>
  <c r="AG301" i="24"/>
  <c r="AF301" i="24"/>
  <c r="AD195" i="25"/>
  <c r="W195" i="25"/>
  <c r="Z195" i="25" s="1"/>
  <c r="AA195" i="25" s="1"/>
  <c r="AB195" i="25" s="1"/>
  <c r="AI195" i="25" s="1"/>
  <c r="V195" i="25"/>
  <c r="X195" i="25" s="1"/>
  <c r="AS113" i="25"/>
  <c r="V181" i="25"/>
  <c r="X181" i="25" s="1"/>
  <c r="AG133" i="24"/>
  <c r="AF133" i="24"/>
  <c r="AD301" i="25"/>
  <c r="W301" i="25"/>
  <c r="Z301" i="25" s="1"/>
  <c r="AA301" i="25" s="1"/>
  <c r="AB301" i="25" s="1"/>
  <c r="AI301" i="25" s="1"/>
  <c r="V313" i="25"/>
  <c r="X313" i="25" s="1"/>
  <c r="AG83" i="24"/>
  <c r="AF83" i="24"/>
  <c r="AD140" i="25"/>
  <c r="W140" i="25"/>
  <c r="Z140" i="25" s="1"/>
  <c r="AA140" i="25" s="1"/>
  <c r="AB140" i="25" s="1"/>
  <c r="AI140" i="25" s="1"/>
  <c r="AD128" i="25"/>
  <c r="W128" i="25"/>
  <c r="Z128" i="25" s="1"/>
  <c r="AA128" i="25" s="1"/>
  <c r="AB128" i="25" s="1"/>
  <c r="AI128" i="25" s="1"/>
  <c r="V128" i="25"/>
  <c r="X128" i="25" s="1"/>
  <c r="AG58" i="24"/>
  <c r="AF58" i="24"/>
  <c r="AG269" i="24"/>
  <c r="AF269" i="24"/>
  <c r="AG54" i="24"/>
  <c r="AF54" i="24"/>
  <c r="AG125" i="24"/>
  <c r="AF125" i="24"/>
  <c r="AG178" i="24"/>
  <c r="AF178" i="24"/>
  <c r="AD130" i="25"/>
  <c r="W130" i="25"/>
  <c r="Z130" i="25" s="1"/>
  <c r="AA130" i="25" s="1"/>
  <c r="AB130" i="25" s="1"/>
  <c r="AI130" i="25" s="1"/>
  <c r="V130" i="25"/>
  <c r="X130" i="25" s="1"/>
  <c r="AD136" i="25"/>
  <c r="W136" i="25"/>
  <c r="Z136" i="25" s="1"/>
  <c r="AA136" i="25" s="1"/>
  <c r="AB136" i="25" s="1"/>
  <c r="AI136" i="25" s="1"/>
  <c r="V136" i="25"/>
  <c r="X136" i="25" s="1"/>
  <c r="AG24" i="24"/>
  <c r="AF24" i="24"/>
  <c r="V289" i="25"/>
  <c r="X289" i="25" s="1"/>
  <c r="AF6" i="25"/>
  <c r="AE6" i="25"/>
  <c r="V301" i="25"/>
  <c r="X301" i="25" s="1"/>
  <c r="AG148" i="24"/>
  <c r="AF148" i="24"/>
  <c r="AG117" i="24"/>
  <c r="AF117" i="24"/>
  <c r="AG183" i="24"/>
  <c r="AF183" i="24"/>
  <c r="AG246" i="24"/>
  <c r="AF246" i="24"/>
  <c r="AS243" i="25"/>
  <c r="AD7" i="25"/>
  <c r="W7" i="25"/>
  <c r="Z7" i="25" s="1"/>
  <c r="AA7" i="25" s="1"/>
  <c r="AB7" i="25" s="1"/>
  <c r="AI7" i="25" s="1"/>
  <c r="V7" i="25"/>
  <c r="X7" i="25" s="1"/>
  <c r="AD79" i="25"/>
  <c r="W79" i="25"/>
  <c r="Z79" i="25" s="1"/>
  <c r="AA79" i="25" s="1"/>
  <c r="AB79" i="25" s="1"/>
  <c r="AI79" i="25" s="1"/>
  <c r="AG189" i="24"/>
  <c r="AF189" i="24"/>
  <c r="AD156" i="25"/>
  <c r="W156" i="25"/>
  <c r="Z156" i="25" s="1"/>
  <c r="AA156" i="25" s="1"/>
  <c r="AB156" i="25" s="1"/>
  <c r="AI156" i="25" s="1"/>
  <c r="AG200" i="24"/>
  <c r="AF200" i="24"/>
  <c r="AD316" i="25"/>
  <c r="W316" i="25"/>
  <c r="Z316" i="25" s="1"/>
  <c r="AA316" i="25" s="1"/>
  <c r="AB316" i="25" s="1"/>
  <c r="AI316" i="25" s="1"/>
  <c r="V316" i="25"/>
  <c r="X316" i="25" s="1"/>
  <c r="AD164" i="25"/>
  <c r="W164" i="25"/>
  <c r="Z164" i="25" s="1"/>
  <c r="AA164" i="25" s="1"/>
  <c r="AB164" i="25" s="1"/>
  <c r="AI164" i="25" s="1"/>
  <c r="V164" i="25"/>
  <c r="X164" i="25" s="1"/>
  <c r="AD315" i="25"/>
  <c r="W315" i="25"/>
  <c r="Z315" i="25" s="1"/>
  <c r="AA315" i="25" s="1"/>
  <c r="AB315" i="25" s="1"/>
  <c r="AI315" i="25" s="1"/>
  <c r="AD86" i="25"/>
  <c r="W86" i="25"/>
  <c r="Z86" i="25" s="1"/>
  <c r="AA86" i="25" s="1"/>
  <c r="AB86" i="25" s="1"/>
  <c r="AI86" i="25" s="1"/>
  <c r="AG121" i="24"/>
  <c r="AF121" i="24"/>
  <c r="AE96" i="25"/>
  <c r="AG281" i="24"/>
  <c r="AF281" i="24"/>
  <c r="AG296" i="24"/>
  <c r="AF296" i="24"/>
  <c r="AS189" i="25"/>
  <c r="AD119" i="25"/>
  <c r="W119" i="25"/>
  <c r="Z119" i="25" s="1"/>
  <c r="AA119" i="25" s="1"/>
  <c r="AB119" i="25" s="1"/>
  <c r="AI119" i="25" s="1"/>
  <c r="V119" i="25"/>
  <c r="X119" i="25" s="1"/>
  <c r="AG218" i="24"/>
  <c r="AF218" i="24"/>
  <c r="AG28" i="24"/>
  <c r="AF28" i="24"/>
  <c r="AS148" i="25"/>
  <c r="AG298" i="24"/>
  <c r="AF298" i="24"/>
  <c r="AD220" i="25"/>
  <c r="W220" i="25"/>
  <c r="Z220" i="25" s="1"/>
  <c r="AA220" i="25" s="1"/>
  <c r="AB220" i="25" s="1"/>
  <c r="AI220" i="25" s="1"/>
  <c r="AG280" i="24"/>
  <c r="AF280" i="24"/>
  <c r="AD25" i="25"/>
  <c r="W25" i="25"/>
  <c r="Z25" i="25" s="1"/>
  <c r="AA25" i="25" s="1"/>
  <c r="AB25" i="25" s="1"/>
  <c r="AI25" i="25" s="1"/>
  <c r="AN21" i="24"/>
  <c r="BI21" i="24" s="1"/>
  <c r="AK21" i="24"/>
  <c r="AG305" i="24"/>
  <c r="AF305" i="24"/>
  <c r="AF114" i="25"/>
  <c r="AE114" i="25"/>
  <c r="AG96" i="24"/>
  <c r="AF96" i="24"/>
  <c r="AG53" i="24"/>
  <c r="AF53" i="24"/>
  <c r="AS89" i="25"/>
  <c r="AG177" i="24"/>
  <c r="AF177" i="24"/>
  <c r="AF89" i="25"/>
  <c r="AE89" i="25"/>
  <c r="AJ112" i="24"/>
  <c r="AD145" i="25"/>
  <c r="W145" i="25"/>
  <c r="Z145" i="25" s="1"/>
  <c r="AA145" i="25" s="1"/>
  <c r="AB145" i="25" s="1"/>
  <c r="AI145" i="25" s="1"/>
  <c r="V145" i="25"/>
  <c r="X145" i="25" s="1"/>
  <c r="AG201" i="24"/>
  <c r="AF201" i="24"/>
  <c r="AG95" i="24"/>
  <c r="AF95" i="24"/>
  <c r="AG310" i="24"/>
  <c r="AF310" i="24"/>
  <c r="BA162" i="24"/>
  <c r="AD142" i="25"/>
  <c r="W142" i="25"/>
  <c r="Z142" i="25" s="1"/>
  <c r="AA142" i="25" s="1"/>
  <c r="AB142" i="25" s="1"/>
  <c r="AI142" i="25" s="1"/>
  <c r="AK44" i="24"/>
  <c r="AN44" i="24"/>
  <c r="AD45" i="25"/>
  <c r="W45" i="25"/>
  <c r="Z45" i="25" s="1"/>
  <c r="AA45" i="25" s="1"/>
  <c r="AB45" i="25" s="1"/>
  <c r="AI45" i="25" s="1"/>
  <c r="V45" i="25"/>
  <c r="X45" i="25" s="1"/>
  <c r="AD285" i="25"/>
  <c r="W285" i="25"/>
  <c r="Z285" i="25" s="1"/>
  <c r="AA285" i="25" s="1"/>
  <c r="AB285" i="25" s="1"/>
  <c r="AI285" i="25" s="1"/>
  <c r="V285" i="25"/>
  <c r="X285" i="25" s="1"/>
  <c r="AG303" i="24"/>
  <c r="AF303" i="24"/>
  <c r="AF87" i="25"/>
  <c r="AE87" i="25"/>
  <c r="AK236" i="24"/>
  <c r="AN236" i="24"/>
  <c r="CE236" i="24" s="1"/>
  <c r="BA160" i="24"/>
  <c r="AF293" i="25"/>
  <c r="AE293" i="25"/>
  <c r="AG302" i="24"/>
  <c r="AF302" i="24"/>
  <c r="AF190" i="25"/>
  <c r="AE190" i="25"/>
  <c r="AF71" i="25"/>
  <c r="AE71" i="25"/>
  <c r="V299" i="25"/>
  <c r="X299" i="25" s="1"/>
  <c r="AD300" i="25"/>
  <c r="W300" i="25"/>
  <c r="Z300" i="25" s="1"/>
  <c r="AA300" i="25" s="1"/>
  <c r="AB300" i="25" s="1"/>
  <c r="AI300" i="25" s="1"/>
  <c r="V300" i="25"/>
  <c r="X300" i="25" s="1"/>
  <c r="AG203" i="24"/>
  <c r="AF203" i="24"/>
  <c r="AD272" i="25"/>
  <c r="W272" i="25"/>
  <c r="Z272" i="25" s="1"/>
  <c r="AA272" i="25" s="1"/>
  <c r="AB272" i="25" s="1"/>
  <c r="AI272" i="25" s="1"/>
  <c r="AS158" i="25"/>
  <c r="AG10" i="24"/>
  <c r="AF10" i="24"/>
  <c r="AS21" i="25"/>
  <c r="AG149" i="24"/>
  <c r="AF149" i="24"/>
  <c r="AS255" i="25"/>
  <c r="AF201" i="25"/>
  <c r="AE201" i="25"/>
  <c r="AG163" i="24"/>
  <c r="AF163" i="24"/>
  <c r="AG182" i="24"/>
  <c r="AF182" i="24"/>
  <c r="AG230" i="24"/>
  <c r="AF230" i="24"/>
  <c r="AG241" i="24"/>
  <c r="AF241" i="24"/>
  <c r="AD65" i="25"/>
  <c r="W65" i="25"/>
  <c r="Z65" i="25" s="1"/>
  <c r="AA65" i="25" s="1"/>
  <c r="AB65" i="25" s="1"/>
  <c r="AI65" i="25" s="1"/>
  <c r="V65" i="25"/>
  <c r="X65" i="25" s="1"/>
  <c r="AS248" i="25"/>
  <c r="AE265" i="25"/>
  <c r="AD23" i="25"/>
  <c r="W23" i="25"/>
  <c r="Z23" i="25" s="1"/>
  <c r="AA23" i="25" s="1"/>
  <c r="AB23" i="25" s="1"/>
  <c r="AI23" i="25" s="1"/>
  <c r="AD47" i="25"/>
  <c r="W47" i="25"/>
  <c r="Z47" i="25" s="1"/>
  <c r="AA47" i="25" s="1"/>
  <c r="AB47" i="25" s="1"/>
  <c r="AI47" i="25" s="1"/>
  <c r="AG46" i="24"/>
  <c r="AF46" i="24"/>
  <c r="AG39" i="24"/>
  <c r="AF39" i="24"/>
  <c r="AT236" i="24"/>
  <c r="AG262" i="24"/>
  <c r="AF262" i="24"/>
  <c r="AS296" i="25"/>
  <c r="AG127" i="24"/>
  <c r="AF127" i="24"/>
  <c r="AS173" i="25"/>
  <c r="AD175" i="25"/>
  <c r="W175" i="25"/>
  <c r="Z175" i="25" s="1"/>
  <c r="AA175" i="25" s="1"/>
  <c r="AB175" i="25" s="1"/>
  <c r="AI175" i="25" s="1"/>
  <c r="AG197" i="24"/>
  <c r="AF197" i="24"/>
  <c r="AD219" i="25"/>
  <c r="W219" i="25"/>
  <c r="Z219" i="25" s="1"/>
  <c r="AA219" i="25" s="1"/>
  <c r="AB219" i="25" s="1"/>
  <c r="AI219" i="25" s="1"/>
  <c r="AG98" i="24"/>
  <c r="AF98" i="24"/>
  <c r="AF113" i="25"/>
  <c r="AE113" i="25"/>
  <c r="AD241" i="25"/>
  <c r="W241" i="25"/>
  <c r="Z241" i="25" s="1"/>
  <c r="AA241" i="25" s="1"/>
  <c r="AB241" i="25" s="1"/>
  <c r="AI241" i="25" s="1"/>
  <c r="V241" i="25"/>
  <c r="X241" i="25" s="1"/>
  <c r="AD309" i="25"/>
  <c r="W309" i="25"/>
  <c r="Z309" i="25" s="1"/>
  <c r="AA309" i="25" s="1"/>
  <c r="AB309" i="25" s="1"/>
  <c r="AI309" i="25" s="1"/>
  <c r="V309" i="25"/>
  <c r="X309" i="25" s="1"/>
  <c r="AG196" i="24"/>
  <c r="AF196" i="24"/>
  <c r="AS174" i="25"/>
  <c r="AG69" i="24"/>
  <c r="AF69" i="24"/>
  <c r="AG313" i="24"/>
  <c r="AF313" i="24"/>
  <c r="AG274" i="24"/>
  <c r="AF274" i="24"/>
  <c r="AD126" i="25"/>
  <c r="W126" i="25"/>
  <c r="Z126" i="25" s="1"/>
  <c r="AA126" i="25" s="1"/>
  <c r="AB126" i="25" s="1"/>
  <c r="AI126" i="25" s="1"/>
  <c r="V126" i="25"/>
  <c r="X126" i="25" s="1"/>
  <c r="AS177" i="25"/>
  <c r="AD19" i="25"/>
  <c r="W19" i="25"/>
  <c r="Z19" i="25" s="1"/>
  <c r="AA19" i="25" s="1"/>
  <c r="AB19" i="25" s="1"/>
  <c r="AI19" i="25" s="1"/>
  <c r="V19" i="25"/>
  <c r="X19" i="25" s="1"/>
  <c r="AD57" i="25"/>
  <c r="W57" i="25"/>
  <c r="Z57" i="25" s="1"/>
  <c r="AA57" i="25" s="1"/>
  <c r="AB57" i="25" s="1"/>
  <c r="AI57" i="25" s="1"/>
  <c r="V57" i="25"/>
  <c r="X57" i="25" s="1"/>
  <c r="AG258" i="24"/>
  <c r="AF258" i="24"/>
  <c r="AD52" i="25"/>
  <c r="W52" i="25"/>
  <c r="Z52" i="25" s="1"/>
  <c r="AA52" i="25" s="1"/>
  <c r="AB52" i="25" s="1"/>
  <c r="AI52" i="25" s="1"/>
  <c r="V52" i="25"/>
  <c r="X52" i="25" s="1"/>
  <c r="AF243" i="25"/>
  <c r="AE243" i="25"/>
  <c r="AK101" i="24"/>
  <c r="AN101" i="24"/>
  <c r="AD284" i="25"/>
  <c r="W284" i="25"/>
  <c r="Z284" i="25" s="1"/>
  <c r="AA284" i="25" s="1"/>
  <c r="AB284" i="25" s="1"/>
  <c r="AI284" i="25" s="1"/>
  <c r="V284" i="25"/>
  <c r="X284" i="25" s="1"/>
  <c r="AG29" i="24"/>
  <c r="AF29" i="24"/>
  <c r="AD8" i="25"/>
  <c r="W8" i="25"/>
  <c r="Z8" i="25" s="1"/>
  <c r="AA8" i="25" s="1"/>
  <c r="AB8" i="25" s="1"/>
  <c r="AI8" i="25" s="1"/>
  <c r="V8" i="25"/>
  <c r="X8" i="25" s="1"/>
  <c r="AD127" i="25"/>
  <c r="W127" i="25"/>
  <c r="Z127" i="25" s="1"/>
  <c r="AA127" i="25" s="1"/>
  <c r="AB127" i="25" s="1"/>
  <c r="AI127" i="25" s="1"/>
  <c r="V127" i="25"/>
  <c r="X127" i="25" s="1"/>
  <c r="AG52" i="24"/>
  <c r="AF52" i="24"/>
  <c r="AS275" i="25"/>
  <c r="AG311" i="24"/>
  <c r="AF311" i="24"/>
  <c r="AG104" i="24"/>
  <c r="AF104" i="24"/>
  <c r="AD105" i="25"/>
  <c r="W105" i="25"/>
  <c r="Z105" i="25" s="1"/>
  <c r="AA105" i="25" s="1"/>
  <c r="AB105" i="25" s="1"/>
  <c r="AI105" i="25" s="1"/>
  <c r="AG14" i="24"/>
  <c r="AF14" i="24"/>
  <c r="AF148" i="25"/>
  <c r="AE148" i="25"/>
  <c r="AG131" i="24"/>
  <c r="AF131" i="24"/>
  <c r="AG172" i="24"/>
  <c r="AF172" i="24"/>
  <c r="AG179" i="24"/>
  <c r="AF179" i="24"/>
  <c r="AG276" i="24"/>
  <c r="AF276" i="24"/>
  <c r="AS14" i="25"/>
  <c r="AD78" i="25"/>
  <c r="W78" i="25"/>
  <c r="Z78" i="25" s="1"/>
  <c r="AA78" i="25" s="1"/>
  <c r="AB78" i="25" s="1"/>
  <c r="AI78" i="25" s="1"/>
  <c r="AD15" i="25"/>
  <c r="W15" i="25"/>
  <c r="Z15" i="25" s="1"/>
  <c r="AA15" i="25" s="1"/>
  <c r="AB15" i="25" s="1"/>
  <c r="AI15" i="25" s="1"/>
  <c r="V15" i="25"/>
  <c r="X15" i="25" s="1"/>
  <c r="AG254" i="24"/>
  <c r="AF254" i="24"/>
  <c r="AG65" i="24"/>
  <c r="AF65" i="24"/>
  <c r="AS155" i="25"/>
  <c r="AG308" i="24"/>
  <c r="AF308" i="24"/>
  <c r="V230" i="25"/>
  <c r="X230" i="25" s="1"/>
  <c r="AD294" i="25"/>
  <c r="W294" i="25"/>
  <c r="Z294" i="25" s="1"/>
  <c r="AA294" i="25" s="1"/>
  <c r="AB294" i="25" s="1"/>
  <c r="AI294" i="25" s="1"/>
  <c r="V294" i="25"/>
  <c r="X294" i="25" s="1"/>
  <c r="AG81" i="24"/>
  <c r="AF81" i="24"/>
  <c r="AG250" i="24"/>
  <c r="AF250" i="24"/>
  <c r="AD121" i="25"/>
  <c r="W121" i="25"/>
  <c r="Z121" i="25" s="1"/>
  <c r="AA121" i="25" s="1"/>
  <c r="AB121" i="25" s="1"/>
  <c r="AI121" i="25" s="1"/>
  <c r="AG138" i="24"/>
  <c r="AF138" i="24"/>
  <c r="AD188" i="25"/>
  <c r="W188" i="25"/>
  <c r="Z188" i="25" s="1"/>
  <c r="AA188" i="25" s="1"/>
  <c r="AB188" i="25" s="1"/>
  <c r="AI188" i="25" s="1"/>
  <c r="AF262" i="25"/>
  <c r="AE262" i="25"/>
  <c r="AG63" i="24"/>
  <c r="AF63" i="24"/>
  <c r="AG204" i="24"/>
  <c r="AF204" i="24"/>
  <c r="AG186" i="24"/>
  <c r="AF186" i="24"/>
  <c r="AD168" i="25"/>
  <c r="W168" i="25"/>
  <c r="Z168" i="25" s="1"/>
  <c r="AA168" i="25" s="1"/>
  <c r="AB168" i="25" s="1"/>
  <c r="AI168" i="25" s="1"/>
  <c r="V168" i="25"/>
  <c r="X168" i="25" s="1"/>
  <c r="AD205" i="25"/>
  <c r="W205" i="25"/>
  <c r="Z205" i="25" s="1"/>
  <c r="AA205" i="25" s="1"/>
  <c r="AB205" i="25" s="1"/>
  <c r="AI205" i="25" s="1"/>
  <c r="AD41" i="25"/>
  <c r="W41" i="25"/>
  <c r="Z41" i="25" s="1"/>
  <c r="AA41" i="25" s="1"/>
  <c r="AB41" i="25" s="1"/>
  <c r="AI41" i="25" s="1"/>
  <c r="AD304" i="25"/>
  <c r="W304" i="25"/>
  <c r="Z304" i="25" s="1"/>
  <c r="AA304" i="25" s="1"/>
  <c r="AB304" i="25" s="1"/>
  <c r="AI304" i="25" s="1"/>
  <c r="AD150" i="25"/>
  <c r="W150" i="25"/>
  <c r="Z150" i="25" s="1"/>
  <c r="AA150" i="25" s="1"/>
  <c r="AB150" i="25" s="1"/>
  <c r="AI150" i="25" s="1"/>
  <c r="V150" i="25"/>
  <c r="X150" i="25" s="1"/>
  <c r="AD124" i="25"/>
  <c r="W124" i="25"/>
  <c r="Z124" i="25" s="1"/>
  <c r="AA124" i="25" s="1"/>
  <c r="AB124" i="25" s="1"/>
  <c r="AI124" i="25" s="1"/>
  <c r="V124" i="25"/>
  <c r="X124" i="25" s="1"/>
  <c r="AD51" i="25"/>
  <c r="W51" i="25"/>
  <c r="Z51" i="25" s="1"/>
  <c r="AA51" i="25" s="1"/>
  <c r="AB51" i="25" s="1"/>
  <c r="AI51" i="25" s="1"/>
  <c r="V51" i="25"/>
  <c r="X51" i="25" s="1"/>
  <c r="AG194" i="24"/>
  <c r="AF194" i="24"/>
  <c r="AG275" i="24"/>
  <c r="AF275" i="24"/>
  <c r="AF13" i="25"/>
  <c r="AE13" i="25"/>
  <c r="AJ59" i="24"/>
  <c r="AS240" i="25"/>
  <c r="AD200" i="25"/>
  <c r="W200" i="25"/>
  <c r="Z200" i="25" s="1"/>
  <c r="AA200" i="25" s="1"/>
  <c r="AB200" i="25" s="1"/>
  <c r="AI200" i="25" s="1"/>
  <c r="AN294" i="24"/>
  <c r="AK294" i="24"/>
  <c r="AD33" i="25"/>
  <c r="W33" i="25"/>
  <c r="Z33" i="25" s="1"/>
  <c r="AA33" i="25" s="1"/>
  <c r="AB33" i="25" s="1"/>
  <c r="AI33" i="25" s="1"/>
  <c r="V33" i="25"/>
  <c r="X33" i="25" s="1"/>
  <c r="AG245" i="24"/>
  <c r="AF245" i="24"/>
  <c r="AD74" i="25"/>
  <c r="W74" i="25"/>
  <c r="Z74" i="25" s="1"/>
  <c r="AA74" i="25" s="1"/>
  <c r="AB74" i="25" s="1"/>
  <c r="AI74" i="25" s="1"/>
  <c r="AD26" i="25"/>
  <c r="W26" i="25"/>
  <c r="Z26" i="25" s="1"/>
  <c r="AA26" i="25" s="1"/>
  <c r="AB26" i="25" s="1"/>
  <c r="AI26" i="25" s="1"/>
  <c r="V142" i="25"/>
  <c r="X142" i="25" s="1"/>
  <c r="V115" i="25"/>
  <c r="X115" i="25" s="1"/>
  <c r="AJ8" i="24"/>
  <c r="AG90" i="24"/>
  <c r="AF90" i="24"/>
  <c r="AG77" i="24"/>
  <c r="AF77" i="24"/>
  <c r="AJ260" i="24"/>
  <c r="AG286" i="24"/>
  <c r="AF286" i="24"/>
  <c r="AD244" i="25"/>
  <c r="W244" i="25"/>
  <c r="Z244" i="25" s="1"/>
  <c r="AA244" i="25" s="1"/>
  <c r="AB244" i="25" s="1"/>
  <c r="AI244" i="25" s="1"/>
  <c r="V244" i="25"/>
  <c r="X244" i="25" s="1"/>
  <c r="AF158" i="25"/>
  <c r="AE158" i="25"/>
  <c r="AG239" i="24"/>
  <c r="AF239" i="24"/>
  <c r="AF21" i="25"/>
  <c r="AE21" i="25"/>
  <c r="AG304" i="24"/>
  <c r="AF304" i="24"/>
  <c r="AJ271" i="24"/>
  <c r="AG70" i="24"/>
  <c r="AF70" i="24"/>
  <c r="AF255" i="25"/>
  <c r="AE255" i="25"/>
  <c r="BA257" i="24"/>
  <c r="AJ247" i="24"/>
  <c r="AJ279" i="24"/>
  <c r="AG170" i="24"/>
  <c r="AF170" i="24"/>
  <c r="AF248" i="25"/>
  <c r="AE248" i="25"/>
  <c r="AJ126" i="24"/>
  <c r="AJ259" i="24"/>
  <c r="AF296" i="25"/>
  <c r="AE296" i="25"/>
  <c r="AF173" i="25"/>
  <c r="AE173" i="25"/>
  <c r="AD123" i="25"/>
  <c r="W123" i="25"/>
  <c r="Z123" i="25" s="1"/>
  <c r="AA123" i="25" s="1"/>
  <c r="AB123" i="25" s="1"/>
  <c r="AI123" i="25" s="1"/>
  <c r="AD209" i="25"/>
  <c r="W209" i="25"/>
  <c r="Z209" i="25" s="1"/>
  <c r="AA209" i="25" s="1"/>
  <c r="AB209" i="25" s="1"/>
  <c r="AI209" i="25" s="1"/>
  <c r="AJ33" i="24"/>
  <c r="AS229" i="25"/>
  <c r="AJ224" i="24"/>
  <c r="AV22" i="24"/>
  <c r="AT22" i="24"/>
  <c r="AD16" i="25"/>
  <c r="W16" i="25"/>
  <c r="Z16" i="25" s="1"/>
  <c r="AA16" i="25" s="1"/>
  <c r="AB16" i="25" s="1"/>
  <c r="AI16" i="25" s="1"/>
  <c r="V16" i="25"/>
  <c r="X16" i="25" s="1"/>
  <c r="AJ290" i="24"/>
  <c r="AJ30" i="24"/>
  <c r="AJ237" i="24"/>
  <c r="AD98" i="25"/>
  <c r="W98" i="25"/>
  <c r="Z98" i="25" s="1"/>
  <c r="AA98" i="25" s="1"/>
  <c r="AB98" i="25" s="1"/>
  <c r="AI98" i="25" s="1"/>
  <c r="AF174" i="25"/>
  <c r="AE174" i="25"/>
  <c r="AD160" i="25"/>
  <c r="W160" i="25"/>
  <c r="Z160" i="25" s="1"/>
  <c r="AA160" i="25" s="1"/>
  <c r="AB160" i="25" s="1"/>
  <c r="AI160" i="25" s="1"/>
  <c r="AD266" i="25"/>
  <c r="W266" i="25"/>
  <c r="Z266" i="25" s="1"/>
  <c r="AA266" i="25" s="1"/>
  <c r="AB266" i="25" s="1"/>
  <c r="AI266" i="25" s="1"/>
  <c r="AJ145" i="24"/>
  <c r="AJ20" i="24"/>
  <c r="AG82" i="24"/>
  <c r="AF82" i="24"/>
  <c r="V219" i="25"/>
  <c r="X219" i="25" s="1"/>
  <c r="AD60" i="25"/>
  <c r="W60" i="25"/>
  <c r="Z60" i="25" s="1"/>
  <c r="AA60" i="25" s="1"/>
  <c r="AB60" i="25" s="1"/>
  <c r="AI60" i="25" s="1"/>
  <c r="V60" i="25"/>
  <c r="X60" i="25" s="1"/>
  <c r="AD172" i="25"/>
  <c r="W172" i="25"/>
  <c r="Z172" i="25" s="1"/>
  <c r="AA172" i="25" s="1"/>
  <c r="AB172" i="25" s="1"/>
  <c r="AI172" i="25" s="1"/>
  <c r="V172" i="25"/>
  <c r="X172" i="25" s="1"/>
  <c r="AF177" i="25"/>
  <c r="AE177" i="25"/>
  <c r="AJ225" i="24"/>
  <c r="AJ18" i="24"/>
  <c r="AS34" i="25"/>
  <c r="AG158" i="24"/>
  <c r="AF158" i="24"/>
  <c r="AJ238" i="24"/>
  <c r="AJ266" i="24"/>
  <c r="AG116" i="24"/>
  <c r="AF116" i="24"/>
  <c r="AG268" i="24"/>
  <c r="AF268" i="24"/>
  <c r="V278" i="25"/>
  <c r="X278" i="25" s="1"/>
  <c r="AJ6" i="24"/>
  <c r="AJ57" i="24"/>
  <c r="AG195" i="24"/>
  <c r="AF195" i="24"/>
  <c r="AJ235" i="24"/>
  <c r="AG309" i="24"/>
  <c r="AF309" i="24"/>
  <c r="AG255" i="24"/>
  <c r="AF255" i="24"/>
  <c r="AG307" i="24"/>
  <c r="AF307" i="24"/>
  <c r="AJ129" i="24"/>
  <c r="AD233" i="25"/>
  <c r="W233" i="25"/>
  <c r="Z233" i="25" s="1"/>
  <c r="AA233" i="25" s="1"/>
  <c r="AB233" i="25" s="1"/>
  <c r="AI233" i="25" s="1"/>
  <c r="V233" i="25"/>
  <c r="X233" i="25" s="1"/>
  <c r="AJ34" i="24"/>
  <c r="AS92" i="25"/>
  <c r="AD43" i="25"/>
  <c r="W43" i="25"/>
  <c r="Z43" i="25" s="1"/>
  <c r="AA43" i="25" s="1"/>
  <c r="AB43" i="25" s="1"/>
  <c r="AI43" i="25" s="1"/>
  <c r="V43" i="25"/>
  <c r="X43" i="25" s="1"/>
  <c r="AG187" i="24"/>
  <c r="AF187" i="24"/>
  <c r="AS95" i="25"/>
  <c r="AG140" i="24"/>
  <c r="AF140" i="24"/>
  <c r="AD231" i="25"/>
  <c r="W231" i="25"/>
  <c r="Z231" i="25" s="1"/>
  <c r="AA231" i="25" s="1"/>
  <c r="AB231" i="25" s="1"/>
  <c r="AI231" i="25" s="1"/>
  <c r="AG25" i="24"/>
  <c r="AF25" i="24"/>
  <c r="AJ19" i="24"/>
  <c r="AF275" i="25"/>
  <c r="AE275" i="25"/>
  <c r="AD64" i="25"/>
  <c r="W64" i="25"/>
  <c r="Z64" i="25" s="1"/>
  <c r="AA64" i="25" s="1"/>
  <c r="AB64" i="25" s="1"/>
  <c r="AI64" i="25" s="1"/>
  <c r="V64" i="25"/>
  <c r="X64" i="25" s="1"/>
  <c r="AG270" i="24"/>
  <c r="AF270" i="24"/>
  <c r="AW110" i="25"/>
  <c r="AX110" i="25"/>
  <c r="AG277" i="24"/>
  <c r="AF277" i="24"/>
  <c r="AG161" i="24"/>
  <c r="AF161" i="24"/>
  <c r="AS261" i="25"/>
  <c r="AJ240" i="24"/>
  <c r="AG118" i="24"/>
  <c r="AF118" i="24"/>
  <c r="AF14" i="25"/>
  <c r="AE14" i="25"/>
  <c r="AS306" i="25"/>
  <c r="AJ114" i="24"/>
  <c r="AS206" i="25"/>
  <c r="AG210" i="24"/>
  <c r="AF210" i="24"/>
  <c r="AD116" i="25"/>
  <c r="W116" i="25"/>
  <c r="Z116" i="25" s="1"/>
  <c r="AA116" i="25" s="1"/>
  <c r="AB116" i="25" s="1"/>
  <c r="AI116" i="25" s="1"/>
  <c r="AG85" i="24"/>
  <c r="AF85" i="24"/>
  <c r="AG198" i="24"/>
  <c r="AF198" i="24"/>
  <c r="AG112" i="24"/>
  <c r="AF112" i="24"/>
  <c r="AT132" i="24"/>
  <c r="AS246" i="25"/>
  <c r="BA191" i="24"/>
  <c r="AS192" i="25"/>
  <c r="AF240" i="25"/>
  <c r="AE240" i="25"/>
  <c r="AG208" i="24"/>
  <c r="AF208" i="24"/>
  <c r="AD68" i="25"/>
  <c r="W68" i="25"/>
  <c r="Z68" i="25" s="1"/>
  <c r="AA68" i="25" s="1"/>
  <c r="AB68" i="25" s="1"/>
  <c r="AI68" i="25" s="1"/>
  <c r="AD221" i="25"/>
  <c r="W221" i="25"/>
  <c r="Z221" i="25" s="1"/>
  <c r="AA221" i="25" s="1"/>
  <c r="AB221" i="25" s="1"/>
  <c r="AI221" i="25" s="1"/>
  <c r="AG136" i="24"/>
  <c r="AF136" i="24"/>
  <c r="AD245" i="25"/>
  <c r="W245" i="25"/>
  <c r="Z245" i="25" s="1"/>
  <c r="AA245" i="25" s="1"/>
  <c r="AB245" i="25" s="1"/>
  <c r="AI245" i="25" s="1"/>
  <c r="V245" i="25"/>
  <c r="X245" i="25" s="1"/>
  <c r="AJ263" i="24"/>
  <c r="AD27" i="25"/>
  <c r="W27" i="25"/>
  <c r="Z27" i="25" s="1"/>
  <c r="AA27" i="25" s="1"/>
  <c r="AB27" i="25" s="1"/>
  <c r="AI27" i="25" s="1"/>
  <c r="AJ48" i="24"/>
  <c r="AG62" i="24"/>
  <c r="AF62" i="24"/>
  <c r="AD210" i="25"/>
  <c r="W210" i="25"/>
  <c r="Z210" i="25" s="1"/>
  <c r="AA210" i="25" s="1"/>
  <c r="AB210" i="25" s="1"/>
  <c r="AI210" i="25" s="1"/>
  <c r="AG169" i="24"/>
  <c r="AF169" i="24"/>
  <c r="AJ297" i="24"/>
  <c r="AG143" i="24"/>
  <c r="AF143" i="24"/>
  <c r="AD225" i="25"/>
  <c r="W225" i="25"/>
  <c r="Z225" i="25" s="1"/>
  <c r="AA225" i="25" s="1"/>
  <c r="AB225" i="25" s="1"/>
  <c r="AI225" i="25" s="1"/>
  <c r="AJ123" i="24"/>
  <c r="AD133" i="25"/>
  <c r="W133" i="25"/>
  <c r="Z133" i="25" s="1"/>
  <c r="AA133" i="25" s="1"/>
  <c r="AB133" i="25" s="1"/>
  <c r="AI133" i="25" s="1"/>
  <c r="V133" i="25"/>
  <c r="X133" i="25" s="1"/>
  <c r="AN55" i="24"/>
  <c r="AK55" i="24"/>
  <c r="AD203" i="25"/>
  <c r="W203" i="25"/>
  <c r="Z203" i="25" s="1"/>
  <c r="AA203" i="25" s="1"/>
  <c r="AB203" i="25" s="1"/>
  <c r="AI203" i="25" s="1"/>
  <c r="AG122" i="24"/>
  <c r="AF122" i="24"/>
  <c r="AG146" i="24"/>
  <c r="AF146" i="24"/>
  <c r="AJ56" i="24"/>
  <c r="AD151" i="25"/>
  <c r="W151" i="25"/>
  <c r="Z151" i="25" s="1"/>
  <c r="AA151" i="25" s="1"/>
  <c r="AB151" i="25" s="1"/>
  <c r="AI151" i="25" s="1"/>
  <c r="V151" i="25"/>
  <c r="X151" i="25" s="1"/>
  <c r="AK190" i="24"/>
  <c r="AN190" i="24"/>
  <c r="BI190" i="24" s="1"/>
  <c r="AG88" i="24"/>
  <c r="AF88" i="24"/>
  <c r="AG229" i="24"/>
  <c r="AF229" i="24"/>
  <c r="AG92" i="24"/>
  <c r="AF92" i="24"/>
  <c r="AD36" i="25"/>
  <c r="W36" i="25"/>
  <c r="Z36" i="25" s="1"/>
  <c r="AA36" i="25" s="1"/>
  <c r="AB36" i="25" s="1"/>
  <c r="AI36" i="25" s="1"/>
  <c r="V36" i="25"/>
  <c r="X36" i="25" s="1"/>
  <c r="AJ17" i="24"/>
  <c r="AS238" i="25"/>
  <c r="AG316" i="24"/>
  <c r="AF316" i="24"/>
  <c r="AF229" i="25"/>
  <c r="AE229" i="25"/>
  <c r="AS186" i="25"/>
  <c r="AJ9" i="24"/>
  <c r="AD35" i="25"/>
  <c r="W35" i="25"/>
  <c r="Z35" i="25" s="1"/>
  <c r="AA35" i="25" s="1"/>
  <c r="AB35" i="25" s="1"/>
  <c r="AI35" i="25" s="1"/>
  <c r="V35" i="25"/>
  <c r="X35" i="25" s="1"/>
  <c r="AG42" i="24"/>
  <c r="AF42" i="24"/>
  <c r="AD227" i="25"/>
  <c r="W227" i="25"/>
  <c r="Z227" i="25" s="1"/>
  <c r="AA227" i="25" s="1"/>
  <c r="AB227" i="25" s="1"/>
  <c r="AI227" i="25" s="1"/>
  <c r="V227" i="25"/>
  <c r="X227" i="25" s="1"/>
  <c r="AD38" i="25"/>
  <c r="W38" i="25"/>
  <c r="Z38" i="25" s="1"/>
  <c r="AA38" i="25" s="1"/>
  <c r="AB38" i="25" s="1"/>
  <c r="AI38" i="25" s="1"/>
  <c r="AJ219" i="24"/>
  <c r="AG144" i="24"/>
  <c r="AF144" i="24"/>
  <c r="AJ261" i="24"/>
  <c r="AG300" i="24"/>
  <c r="AF300" i="24"/>
  <c r="AD194" i="25"/>
  <c r="W194" i="25"/>
  <c r="Z194" i="25" s="1"/>
  <c r="AA194" i="25" s="1"/>
  <c r="AB194" i="25" s="1"/>
  <c r="AI194" i="25" s="1"/>
  <c r="AD67" i="25"/>
  <c r="W67" i="25"/>
  <c r="Z67" i="25" s="1"/>
  <c r="AA67" i="25" s="1"/>
  <c r="AB67" i="25" s="1"/>
  <c r="AI67" i="25" s="1"/>
  <c r="AX129" i="25"/>
  <c r="AW129" i="25"/>
  <c r="AJ128" i="24"/>
  <c r="AS257" i="25"/>
  <c r="AJ283" i="24"/>
  <c r="AD103" i="25"/>
  <c r="W103" i="25"/>
  <c r="Z103" i="25" s="1"/>
  <c r="AA103" i="25" s="1"/>
  <c r="AB103" i="25" s="1"/>
  <c r="AI103" i="25" s="1"/>
  <c r="AD163" i="25"/>
  <c r="W163" i="25"/>
  <c r="Z163" i="25" s="1"/>
  <c r="AA163" i="25" s="1"/>
  <c r="AB163" i="25" s="1"/>
  <c r="AI163" i="25" s="1"/>
  <c r="V163" i="25"/>
  <c r="X163" i="25" s="1"/>
  <c r="AG15" i="24"/>
  <c r="AF15" i="24"/>
  <c r="AG159" i="24"/>
  <c r="AF159" i="24"/>
  <c r="AG256" i="24"/>
  <c r="AF256" i="24"/>
  <c r="AF34" i="25"/>
  <c r="AE34" i="25"/>
  <c r="AD254" i="25"/>
  <c r="W254" i="25"/>
  <c r="Z254" i="25" s="1"/>
  <c r="AA254" i="25" s="1"/>
  <c r="AB254" i="25" s="1"/>
  <c r="AI254" i="25" s="1"/>
  <c r="V254" i="25"/>
  <c r="X254" i="25" s="1"/>
  <c r="AD234" i="25"/>
  <c r="W234" i="25"/>
  <c r="Z234" i="25" s="1"/>
  <c r="AA234" i="25" s="1"/>
  <c r="AB234" i="25" s="1"/>
  <c r="AI234" i="25" s="1"/>
  <c r="AG180" i="24"/>
  <c r="AF180" i="24"/>
  <c r="AD252" i="25"/>
  <c r="W252" i="25"/>
  <c r="Z252" i="25" s="1"/>
  <c r="AA252" i="25" s="1"/>
  <c r="AB252" i="25" s="1"/>
  <c r="AI252" i="25" s="1"/>
  <c r="V252" i="25"/>
  <c r="X252" i="25" s="1"/>
  <c r="AG252" i="24"/>
  <c r="AF252" i="24"/>
  <c r="AJ299" i="24"/>
  <c r="AD223" i="25"/>
  <c r="W223" i="25"/>
  <c r="Z223" i="25" s="1"/>
  <c r="AA223" i="25" s="1"/>
  <c r="AB223" i="25" s="1"/>
  <c r="AI223" i="25" s="1"/>
  <c r="AD91" i="25"/>
  <c r="W91" i="25"/>
  <c r="Z91" i="25" s="1"/>
  <c r="AA91" i="25" s="1"/>
  <c r="AB91" i="25" s="1"/>
  <c r="AI91" i="25" s="1"/>
  <c r="V91" i="25"/>
  <c r="X91" i="25" s="1"/>
  <c r="AG287" i="24"/>
  <c r="AF287" i="24"/>
  <c r="AG173" i="24"/>
  <c r="AF173" i="24"/>
  <c r="AG11" i="24"/>
  <c r="AF11" i="24"/>
  <c r="AF92" i="25"/>
  <c r="AE92" i="25"/>
  <c r="AG291" i="24"/>
  <c r="AF291" i="24"/>
  <c r="AF95" i="25"/>
  <c r="AE95" i="25"/>
  <c r="AD287" i="25"/>
  <c r="W287" i="25"/>
  <c r="Z287" i="25" s="1"/>
  <c r="AA287" i="25" s="1"/>
  <c r="AB287" i="25" s="1"/>
  <c r="AI287" i="25" s="1"/>
  <c r="AG288" i="24"/>
  <c r="AF288" i="24"/>
  <c r="AJ267" i="24"/>
  <c r="AG222" i="24"/>
  <c r="AF222" i="24"/>
  <c r="AG202" i="24"/>
  <c r="AF202" i="24"/>
  <c r="AD17" i="25"/>
  <c r="W17" i="25"/>
  <c r="Z17" i="25" s="1"/>
  <c r="AA17" i="25" s="1"/>
  <c r="AB17" i="25" s="1"/>
  <c r="AI17" i="25" s="1"/>
  <c r="V17" i="25"/>
  <c r="X17" i="25" s="1"/>
  <c r="AF261" i="25"/>
  <c r="AE261" i="25"/>
  <c r="AD132" i="25"/>
  <c r="W132" i="25"/>
  <c r="Z132" i="25" s="1"/>
  <c r="AA132" i="25" s="1"/>
  <c r="AB132" i="25" s="1"/>
  <c r="AI132" i="25" s="1"/>
  <c r="V132" i="25"/>
  <c r="X132" i="25" s="1"/>
  <c r="AG199" i="24"/>
  <c r="AF199" i="24"/>
  <c r="AS59" i="25"/>
  <c r="AG31" i="24"/>
  <c r="AF31" i="24"/>
  <c r="AG289" i="24"/>
  <c r="AF289" i="24"/>
  <c r="AJ265" i="24"/>
  <c r="AD312" i="25"/>
  <c r="W312" i="25"/>
  <c r="Z312" i="25" s="1"/>
  <c r="AA312" i="25" s="1"/>
  <c r="AB312" i="25" s="1"/>
  <c r="AI312" i="25" s="1"/>
  <c r="V312" i="25"/>
  <c r="X312" i="25" s="1"/>
  <c r="AN7" i="24"/>
  <c r="CE7" i="24" s="1"/>
  <c r="AK7" i="24"/>
  <c r="AJ32" i="24"/>
  <c r="AG105" i="24"/>
  <c r="AF105" i="24"/>
  <c r="AG166" i="24"/>
  <c r="AF166" i="24"/>
  <c r="AF306" i="25"/>
  <c r="AE306" i="25"/>
  <c r="AG113" i="24"/>
  <c r="AF113" i="24"/>
  <c r="AG151" i="24"/>
  <c r="AF151" i="24"/>
  <c r="AG115" i="24"/>
  <c r="AF115" i="24"/>
  <c r="AF206" i="25"/>
  <c r="AE206" i="25"/>
  <c r="AJ282" i="24"/>
  <c r="AS167" i="25"/>
  <c r="AJ155" i="24"/>
  <c r="AJ120" i="24"/>
  <c r="AJ284" i="24"/>
  <c r="AG176" i="24"/>
  <c r="AF176" i="24"/>
  <c r="AD216" i="25"/>
  <c r="W216" i="25"/>
  <c r="Z216" i="25" s="1"/>
  <c r="AA216" i="25" s="1"/>
  <c r="AB216" i="25" s="1"/>
  <c r="AI216" i="25" s="1"/>
  <c r="AJ37" i="24"/>
  <c r="AF246" i="25"/>
  <c r="AE246" i="25"/>
  <c r="AJ242" i="24"/>
  <c r="AD236" i="25"/>
  <c r="W236" i="25"/>
  <c r="Z236" i="25" s="1"/>
  <c r="AA236" i="25" s="1"/>
  <c r="AB236" i="25" s="1"/>
  <c r="AI236" i="25" s="1"/>
  <c r="V236" i="25"/>
  <c r="X236" i="25" s="1"/>
  <c r="AJ12" i="24"/>
  <c r="AD196" i="25"/>
  <c r="W196" i="25"/>
  <c r="Z196" i="25" s="1"/>
  <c r="AA196" i="25" s="1"/>
  <c r="AB196" i="25" s="1"/>
  <c r="AI196" i="25" s="1"/>
  <c r="AG59" i="24"/>
  <c r="AF59" i="24"/>
  <c r="AD135" i="25"/>
  <c r="W135" i="25"/>
  <c r="Z135" i="25" s="1"/>
  <c r="AA135" i="25" s="1"/>
  <c r="AB135" i="25" s="1"/>
  <c r="AI135" i="25" s="1"/>
  <c r="AG157" i="24"/>
  <c r="AF157" i="24"/>
  <c r="AG94" i="24"/>
  <c r="AF94" i="24"/>
  <c r="AJ295" i="24"/>
  <c r="BA233" i="24"/>
  <c r="AG84" i="24"/>
  <c r="AF84" i="24"/>
  <c r="AD208" i="25"/>
  <c r="W208" i="25"/>
  <c r="Z208" i="25" s="1"/>
  <c r="AA208" i="25" s="1"/>
  <c r="AB208" i="25" s="1"/>
  <c r="AI208" i="25" s="1"/>
  <c r="AD99" i="25"/>
  <c r="W99" i="25"/>
  <c r="Z99" i="25" s="1"/>
  <c r="AA99" i="25" s="1"/>
  <c r="AB99" i="25" s="1"/>
  <c r="AI99" i="25" s="1"/>
  <c r="AG314" i="24"/>
  <c r="AF314" i="24"/>
  <c r="V304" i="25"/>
  <c r="X304" i="25" s="1"/>
  <c r="AD270" i="25"/>
  <c r="W270" i="25"/>
  <c r="Z270" i="25" s="1"/>
  <c r="AA270" i="25" s="1"/>
  <c r="AB270" i="25" s="1"/>
  <c r="AI270" i="25" s="1"/>
  <c r="V270" i="25"/>
  <c r="X270" i="25" s="1"/>
  <c r="AJ253" i="24"/>
  <c r="AJ152" i="24"/>
  <c r="AD297" i="25"/>
  <c r="W297" i="25"/>
  <c r="Z297" i="25" s="1"/>
  <c r="AA297" i="25" s="1"/>
  <c r="AB297" i="25" s="1"/>
  <c r="AI297" i="25" s="1"/>
  <c r="AG8" i="24"/>
  <c r="AF8" i="24"/>
  <c r="V157" i="25"/>
  <c r="X157" i="25" s="1"/>
  <c r="V200" i="25"/>
  <c r="X200" i="25" s="1"/>
  <c r="AG260" i="24"/>
  <c r="AF260" i="24"/>
  <c r="V68" i="25"/>
  <c r="X68" i="25" s="1"/>
  <c r="V274" i="25"/>
  <c r="X274" i="25" s="1"/>
  <c r="AG271" i="24"/>
  <c r="AF271" i="24"/>
  <c r="AD139" i="25"/>
  <c r="W139" i="25"/>
  <c r="Z139" i="25" s="1"/>
  <c r="AA139" i="25" s="1"/>
  <c r="AB139" i="25" s="1"/>
  <c r="AI139" i="25" s="1"/>
  <c r="AD144" i="25"/>
  <c r="W144" i="25"/>
  <c r="Z144" i="25" s="1"/>
  <c r="AA144" i="25" s="1"/>
  <c r="AB144" i="25" s="1"/>
  <c r="AI144" i="25" s="1"/>
  <c r="V144" i="25"/>
  <c r="X144" i="25" s="1"/>
  <c r="AD12" i="25"/>
  <c r="W12" i="25"/>
  <c r="Z12" i="25" s="1"/>
  <c r="AA12" i="25" s="1"/>
  <c r="AB12" i="25" s="1"/>
  <c r="AI12" i="25" s="1"/>
  <c r="AG247" i="24"/>
  <c r="AF247" i="24"/>
  <c r="AD101" i="25"/>
  <c r="W101" i="25"/>
  <c r="Z101" i="25" s="1"/>
  <c r="AA101" i="25" s="1"/>
  <c r="AB101" i="25" s="1"/>
  <c r="AI101" i="25" s="1"/>
  <c r="AG279" i="24"/>
  <c r="AF279" i="24"/>
  <c r="AD149" i="25"/>
  <c r="W149" i="25"/>
  <c r="Z149" i="25" s="1"/>
  <c r="AA149" i="25" s="1"/>
  <c r="AB149" i="25" s="1"/>
  <c r="AI149" i="25" s="1"/>
  <c r="V149" i="25"/>
  <c r="X149" i="25" s="1"/>
  <c r="AD80" i="25"/>
  <c r="W80" i="25"/>
  <c r="Z80" i="25" s="1"/>
  <c r="AA80" i="25" s="1"/>
  <c r="AB80" i="25" s="1"/>
  <c r="AI80" i="25" s="1"/>
  <c r="V80" i="25"/>
  <c r="X80" i="25" s="1"/>
  <c r="AG126" i="24"/>
  <c r="AF126" i="24"/>
  <c r="AG259" i="24"/>
  <c r="AF259" i="24"/>
  <c r="AT142" i="24"/>
  <c r="AD73" i="25"/>
  <c r="W73" i="25"/>
  <c r="Z73" i="25" s="1"/>
  <c r="AA73" i="25" s="1"/>
  <c r="AB73" i="25" s="1"/>
  <c r="AI73" i="25" s="1"/>
  <c r="AG193" i="24"/>
  <c r="AF193" i="24"/>
  <c r="AG315" i="24"/>
  <c r="AF315" i="24"/>
  <c r="AF238" i="25"/>
  <c r="AE238" i="25"/>
  <c r="AD307" i="25"/>
  <c r="W307" i="25"/>
  <c r="Z307" i="25" s="1"/>
  <c r="AA307" i="25" s="1"/>
  <c r="AB307" i="25" s="1"/>
  <c r="AI307" i="25" s="1"/>
  <c r="AG86" i="24"/>
  <c r="AF86" i="24"/>
  <c r="V277" i="25"/>
  <c r="X277" i="25" s="1"/>
  <c r="AG33" i="24"/>
  <c r="AF33" i="24"/>
  <c r="AD10" i="25"/>
  <c r="W10" i="25"/>
  <c r="Z10" i="25" s="1"/>
  <c r="AA10" i="25" s="1"/>
  <c r="AB10" i="25" s="1"/>
  <c r="AI10" i="25" s="1"/>
  <c r="AF186" i="25"/>
  <c r="AE186" i="25"/>
  <c r="AG181" i="24"/>
  <c r="AF181" i="24"/>
  <c r="V210" i="25"/>
  <c r="X210" i="25" s="1"/>
  <c r="V12" i="25"/>
  <c r="X12" i="25" s="1"/>
  <c r="AG224" i="24"/>
  <c r="AF224" i="24"/>
  <c r="AS283" i="25"/>
  <c r="AG64" i="24"/>
  <c r="AF64" i="24"/>
  <c r="AG290" i="24"/>
  <c r="AF290" i="24"/>
  <c r="AG30" i="24"/>
  <c r="AF30" i="24"/>
  <c r="AG237" i="24"/>
  <c r="AF237" i="24"/>
  <c r="V23" i="25"/>
  <c r="X23" i="25" s="1"/>
  <c r="AD264" i="25"/>
  <c r="W264" i="25"/>
  <c r="Z264" i="25" s="1"/>
  <c r="AA264" i="25" s="1"/>
  <c r="AB264" i="25" s="1"/>
  <c r="AI264" i="25" s="1"/>
  <c r="AD159" i="25"/>
  <c r="W159" i="25"/>
  <c r="Z159" i="25" s="1"/>
  <c r="AA159" i="25" s="1"/>
  <c r="AB159" i="25" s="1"/>
  <c r="AI159" i="25" s="1"/>
  <c r="AG174" i="24"/>
  <c r="AF174" i="24"/>
  <c r="AG145" i="24"/>
  <c r="AF145" i="24"/>
  <c r="AG20" i="24"/>
  <c r="AF20" i="24"/>
  <c r="AF257" i="25"/>
  <c r="AE257" i="25"/>
  <c r="AS276" i="25"/>
  <c r="AG18" i="24"/>
  <c r="AF18" i="24"/>
  <c r="AJ130" i="24"/>
  <c r="AJ243" i="24"/>
  <c r="AJ248" i="24"/>
  <c r="AG238" i="24"/>
  <c r="AF238" i="24"/>
  <c r="V98" i="25"/>
  <c r="X98" i="25" s="1"/>
  <c r="AG266" i="24"/>
  <c r="AF266" i="24"/>
  <c r="V264" i="25"/>
  <c r="X264" i="25" s="1"/>
  <c r="V100" i="25"/>
  <c r="X100" i="25" s="1"/>
  <c r="AD146" i="25"/>
  <c r="W146" i="25"/>
  <c r="Z146" i="25" s="1"/>
  <c r="AA146" i="25" s="1"/>
  <c r="AB146" i="25" s="1"/>
  <c r="AI146" i="25" s="1"/>
  <c r="V146" i="25"/>
  <c r="X146" i="25" s="1"/>
  <c r="AG6" i="24"/>
  <c r="AF6" i="24"/>
  <c r="AG57" i="24"/>
  <c r="AF57" i="24"/>
  <c r="AG235" i="24"/>
  <c r="AF235" i="24"/>
  <c r="V67" i="25"/>
  <c r="X67" i="25" s="1"/>
  <c r="AJ147" i="24"/>
  <c r="V224" i="25"/>
  <c r="X224" i="25" s="1"/>
  <c r="AG72" i="24"/>
  <c r="AF72" i="24"/>
  <c r="AG129" i="24"/>
  <c r="AF129" i="24"/>
  <c r="AG34" i="24"/>
  <c r="AF34" i="24"/>
  <c r="AS131" i="25"/>
  <c r="V121" i="25"/>
  <c r="X121" i="25" s="1"/>
  <c r="AD58" i="25"/>
  <c r="W58" i="25"/>
  <c r="Z58" i="25" s="1"/>
  <c r="AA58" i="25" s="1"/>
  <c r="AB58" i="25" s="1"/>
  <c r="AI58" i="25" s="1"/>
  <c r="V58" i="25"/>
  <c r="X58" i="25" s="1"/>
  <c r="AD117" i="25"/>
  <c r="W117" i="25"/>
  <c r="Z117" i="25" s="1"/>
  <c r="AA117" i="25" s="1"/>
  <c r="AB117" i="25" s="1"/>
  <c r="AI117" i="25" s="1"/>
  <c r="V117" i="25"/>
  <c r="X117" i="25" s="1"/>
  <c r="AG19" i="24"/>
  <c r="AF19" i="24"/>
  <c r="V286" i="25"/>
  <c r="X286" i="25" s="1"/>
  <c r="AS32" i="25"/>
  <c r="AD55" i="25"/>
  <c r="W55" i="25"/>
  <c r="Z55" i="25" s="1"/>
  <c r="AA55" i="25" s="1"/>
  <c r="AB55" i="25" s="1"/>
  <c r="AI55" i="25" s="1"/>
  <c r="AS273" i="25"/>
  <c r="AJ273" i="24"/>
  <c r="AG240" i="24"/>
  <c r="AF240" i="24"/>
  <c r="AF59" i="25"/>
  <c r="AE59" i="25"/>
  <c r="AD303" i="25"/>
  <c r="W303" i="25"/>
  <c r="Z303" i="25" s="1"/>
  <c r="AA303" i="25" s="1"/>
  <c r="AB303" i="25" s="1"/>
  <c r="AI303" i="25" s="1"/>
  <c r="AD288" i="25"/>
  <c r="W288" i="25"/>
  <c r="Z288" i="25" s="1"/>
  <c r="AA288" i="25" s="1"/>
  <c r="AB288" i="25" s="1"/>
  <c r="AI288" i="25" s="1"/>
  <c r="AD120" i="25"/>
  <c r="W120" i="25"/>
  <c r="Z120" i="25" s="1"/>
  <c r="AA120" i="25" s="1"/>
  <c r="AB120" i="25" s="1"/>
  <c r="AI120" i="25" s="1"/>
  <c r="V120" i="25"/>
  <c r="X120" i="25" s="1"/>
  <c r="V156" i="25"/>
  <c r="X156" i="25" s="1"/>
  <c r="AD279" i="25"/>
  <c r="W279" i="25"/>
  <c r="Z279" i="25" s="1"/>
  <c r="AA279" i="25" s="1"/>
  <c r="AB279" i="25" s="1"/>
  <c r="AI279" i="25" s="1"/>
  <c r="V279" i="25"/>
  <c r="X279" i="25" s="1"/>
  <c r="AS232" i="25"/>
  <c r="AD169" i="25"/>
  <c r="W169" i="25"/>
  <c r="Z169" i="25" s="1"/>
  <c r="AA169" i="25" s="1"/>
  <c r="AB169" i="25" s="1"/>
  <c r="AI169" i="25" s="1"/>
  <c r="V86" i="25"/>
  <c r="X86" i="25" s="1"/>
  <c r="AD207" i="25"/>
  <c r="W207" i="25"/>
  <c r="Z207" i="25" s="1"/>
  <c r="AA207" i="25" s="1"/>
  <c r="AB207" i="25" s="1"/>
  <c r="AI207" i="25" s="1"/>
  <c r="AK132" i="24"/>
  <c r="AN132" i="24"/>
  <c r="AG188" i="24"/>
  <c r="AF188" i="24"/>
  <c r="AG114" i="24"/>
  <c r="AF114" i="24"/>
  <c r="AD249" i="25"/>
  <c r="W249" i="25"/>
  <c r="Z249" i="25" s="1"/>
  <c r="AA249" i="25" s="1"/>
  <c r="AB249" i="25" s="1"/>
  <c r="AI249" i="25" s="1"/>
  <c r="AD251" i="25"/>
  <c r="W251" i="25"/>
  <c r="Z251" i="25" s="1"/>
  <c r="AA251" i="25" s="1"/>
  <c r="AB251" i="25" s="1"/>
  <c r="AI251" i="25" s="1"/>
  <c r="AJ232" i="24"/>
  <c r="AD56" i="25"/>
  <c r="W56" i="25"/>
  <c r="Z56" i="25" s="1"/>
  <c r="AA56" i="25" s="1"/>
  <c r="AB56" i="25" s="1"/>
  <c r="AI56" i="25" s="1"/>
  <c r="AF167" i="25"/>
  <c r="AE167" i="25"/>
  <c r="AD18" i="25"/>
  <c r="W18" i="25"/>
  <c r="Z18" i="25" s="1"/>
  <c r="AA18" i="25" s="1"/>
  <c r="AB18" i="25" s="1"/>
  <c r="AI18" i="25" s="1"/>
  <c r="AD269" i="25"/>
  <c r="W269" i="25"/>
  <c r="Z269" i="25" s="1"/>
  <c r="AA269" i="25" s="1"/>
  <c r="AB269" i="25" s="1"/>
  <c r="AI269" i="25" s="1"/>
  <c r="V269" i="25"/>
  <c r="X269" i="25" s="1"/>
  <c r="AG272" i="24"/>
  <c r="AF272" i="24"/>
  <c r="AD162" i="25"/>
  <c r="W162" i="25"/>
  <c r="Z162" i="25" s="1"/>
  <c r="AA162" i="25" s="1"/>
  <c r="AB162" i="25" s="1"/>
  <c r="AI162" i="25" s="1"/>
  <c r="V162" i="25"/>
  <c r="X162" i="25" s="1"/>
  <c r="AS199" i="25"/>
  <c r="AD22" i="25"/>
  <c r="W22" i="25"/>
  <c r="Z22" i="25" s="1"/>
  <c r="AA22" i="25" s="1"/>
  <c r="AB22" i="25" s="1"/>
  <c r="AI22" i="25" s="1"/>
  <c r="AG137" i="24"/>
  <c r="AF137" i="24"/>
  <c r="AS314" i="25"/>
  <c r="AD138" i="25"/>
  <c r="W138" i="25"/>
  <c r="Z138" i="25" s="1"/>
  <c r="AA138" i="25" s="1"/>
  <c r="AB138" i="25" s="1"/>
  <c r="AI138" i="25" s="1"/>
  <c r="V222" i="25"/>
  <c r="X222" i="25" s="1"/>
  <c r="AD184" i="25"/>
  <c r="W184" i="25"/>
  <c r="Z184" i="25" s="1"/>
  <c r="AA184" i="25" s="1"/>
  <c r="AB184" i="25" s="1"/>
  <c r="AI184" i="25" s="1"/>
  <c r="V184" i="25"/>
  <c r="X184" i="25" s="1"/>
  <c r="AG156" i="24"/>
  <c r="AF156" i="24"/>
  <c r="V81" i="25"/>
  <c r="X81" i="25" s="1"/>
  <c r="V216" i="25"/>
  <c r="X216" i="25" s="1"/>
  <c r="AG263" i="24"/>
  <c r="AF263" i="24"/>
  <c r="AG48" i="24"/>
  <c r="AF48" i="24"/>
  <c r="AD84" i="25"/>
  <c r="W84" i="25"/>
  <c r="Z84" i="25" s="1"/>
  <c r="AA84" i="25" s="1"/>
  <c r="AB84" i="25" s="1"/>
  <c r="AI84" i="25" s="1"/>
  <c r="AG297" i="24"/>
  <c r="AF297" i="24"/>
  <c r="AD90" i="25"/>
  <c r="W90" i="25"/>
  <c r="Z90" i="25" s="1"/>
  <c r="AA90" i="25" s="1"/>
  <c r="AB90" i="25" s="1"/>
  <c r="AI90" i="25" s="1"/>
  <c r="V135" i="25"/>
  <c r="X135" i="25" s="1"/>
  <c r="AG123" i="24"/>
  <c r="AF123" i="24"/>
  <c r="AD185" i="25"/>
  <c r="W185" i="25"/>
  <c r="Z185" i="25" s="1"/>
  <c r="AA185" i="25" s="1"/>
  <c r="AB185" i="25" s="1"/>
  <c r="AI185" i="25" s="1"/>
  <c r="V185" i="25"/>
  <c r="X185" i="25" s="1"/>
  <c r="AD69" i="25"/>
  <c r="W69" i="25"/>
  <c r="Z69" i="25" s="1"/>
  <c r="AA69" i="25" s="1"/>
  <c r="AB69" i="25" s="1"/>
  <c r="AI69" i="25" s="1"/>
  <c r="V69" i="25"/>
  <c r="X69" i="25" s="1"/>
  <c r="AD202" i="25"/>
  <c r="W202" i="25"/>
  <c r="Z202" i="25" s="1"/>
  <c r="AA202" i="25" s="1"/>
  <c r="AB202" i="25" s="1"/>
  <c r="AI202" i="25" s="1"/>
  <c r="AD171" i="25"/>
  <c r="W171" i="25"/>
  <c r="Z171" i="25" s="1"/>
  <c r="AA171" i="25" s="1"/>
  <c r="AB171" i="25" s="1"/>
  <c r="AI171" i="25" s="1"/>
  <c r="AG56" i="24"/>
  <c r="AF56" i="24"/>
  <c r="AD217" i="25"/>
  <c r="W217" i="25"/>
  <c r="Z217" i="25" s="1"/>
  <c r="AA217" i="25" s="1"/>
  <c r="AB217" i="25" s="1"/>
  <c r="AI217" i="25" s="1"/>
  <c r="V75" i="25"/>
  <c r="X75" i="25" s="1"/>
  <c r="AS31" i="25"/>
  <c r="V297" i="25"/>
  <c r="X297" i="25" s="1"/>
  <c r="AD54" i="25"/>
  <c r="W54" i="25"/>
  <c r="Z54" i="25" s="1"/>
  <c r="AA54" i="25" s="1"/>
  <c r="AB54" i="25" s="1"/>
  <c r="AI54" i="25" s="1"/>
  <c r="V54" i="25"/>
  <c r="X54" i="25" s="1"/>
  <c r="AD310" i="25"/>
  <c r="W310" i="25"/>
  <c r="Z310" i="25" s="1"/>
  <c r="AA310" i="25" s="1"/>
  <c r="AB310" i="25" s="1"/>
  <c r="AI310" i="25" s="1"/>
  <c r="V310" i="25"/>
  <c r="X310" i="25" s="1"/>
  <c r="AS204" i="25"/>
  <c r="AD176" i="25"/>
  <c r="W176" i="25"/>
  <c r="Z176" i="25" s="1"/>
  <c r="AA176" i="25" s="1"/>
  <c r="AB176" i="25" s="1"/>
  <c r="AI176" i="25" s="1"/>
  <c r="V176" i="25"/>
  <c r="X176" i="25" s="1"/>
  <c r="AG17" i="24"/>
  <c r="AF17" i="24"/>
  <c r="AG9" i="24"/>
  <c r="AF9" i="24"/>
  <c r="AS282" i="25"/>
  <c r="AF283" i="25"/>
  <c r="AE283" i="25"/>
  <c r="AG219" i="24"/>
  <c r="AF219" i="24"/>
  <c r="AG261" i="24"/>
  <c r="AF261" i="24"/>
  <c r="AD83" i="25"/>
  <c r="W83" i="25"/>
  <c r="Z83" i="25" s="1"/>
  <c r="AA83" i="25" s="1"/>
  <c r="AB83" i="25" s="1"/>
  <c r="AI83" i="25" s="1"/>
  <c r="V83" i="25"/>
  <c r="X83" i="25" s="1"/>
  <c r="V72" i="25"/>
  <c r="X72" i="25" s="1"/>
  <c r="AG167" i="24"/>
  <c r="AF167" i="24"/>
  <c r="AD153" i="25"/>
  <c r="W153" i="25"/>
  <c r="Z153" i="25" s="1"/>
  <c r="AA153" i="25" s="1"/>
  <c r="AB153" i="25" s="1"/>
  <c r="AI153" i="25" s="1"/>
  <c r="V153" i="25"/>
  <c r="X153" i="25" s="1"/>
  <c r="AD61" i="25"/>
  <c r="W61" i="25"/>
  <c r="Z61" i="25" s="1"/>
  <c r="AA61" i="25" s="1"/>
  <c r="AB61" i="25" s="1"/>
  <c r="AI61" i="25" s="1"/>
  <c r="V61" i="25"/>
  <c r="X61" i="25" s="1"/>
  <c r="AG164" i="24"/>
  <c r="AF164" i="24"/>
  <c r="AX143" i="25"/>
  <c r="AW143" i="25"/>
  <c r="AT292" i="24"/>
  <c r="AD290" i="25"/>
  <c r="W290" i="25"/>
  <c r="Z290" i="25" s="1"/>
  <c r="AA290" i="25" s="1"/>
  <c r="AB290" i="25" s="1"/>
  <c r="AI290" i="25" s="1"/>
  <c r="V290" i="25"/>
  <c r="X290" i="25" s="1"/>
  <c r="AG128" i="24"/>
  <c r="AF128" i="24"/>
  <c r="AS178" i="25"/>
  <c r="AG283" i="24"/>
  <c r="AF283" i="24"/>
  <c r="AG225" i="24"/>
  <c r="AF225" i="24"/>
  <c r="AF276" i="25"/>
  <c r="AE276" i="25"/>
  <c r="AD182" i="25"/>
  <c r="W182" i="25"/>
  <c r="Z182" i="25" s="1"/>
  <c r="AA182" i="25" s="1"/>
  <c r="AB182" i="25" s="1"/>
  <c r="AI182" i="25" s="1"/>
  <c r="V182" i="25"/>
  <c r="X182" i="25" s="1"/>
  <c r="AD218" i="25"/>
  <c r="W218" i="25"/>
  <c r="Z218" i="25" s="1"/>
  <c r="AA218" i="25" s="1"/>
  <c r="AB218" i="25" s="1"/>
  <c r="AI218" i="25" s="1"/>
  <c r="AG61" i="24"/>
  <c r="AF61" i="24"/>
  <c r="AS170" i="25"/>
  <c r="AG299" i="24"/>
  <c r="AF299" i="24"/>
  <c r="AG68" i="24"/>
  <c r="AF68" i="24"/>
  <c r="AG207" i="24"/>
  <c r="AF207" i="24"/>
  <c r="AF131" i="25"/>
  <c r="AE131" i="25"/>
  <c r="AD40" i="25"/>
  <c r="W40" i="25"/>
  <c r="Z40" i="25" s="1"/>
  <c r="AA40" i="25" s="1"/>
  <c r="AB40" i="25" s="1"/>
  <c r="AI40" i="25" s="1"/>
  <c r="AD302" i="25"/>
  <c r="W302" i="25"/>
  <c r="Z302" i="25" s="1"/>
  <c r="AA302" i="25" s="1"/>
  <c r="AB302" i="25" s="1"/>
  <c r="AI302" i="25" s="1"/>
  <c r="V93" i="25"/>
  <c r="X93" i="25" s="1"/>
  <c r="AD53" i="25"/>
  <c r="W53" i="25"/>
  <c r="Z53" i="25" s="1"/>
  <c r="AA53" i="25" s="1"/>
  <c r="AB53" i="25" s="1"/>
  <c r="AI53" i="25" s="1"/>
  <c r="AD122" i="25"/>
  <c r="W122" i="25"/>
  <c r="Z122" i="25" s="1"/>
  <c r="AA122" i="25" s="1"/>
  <c r="AB122" i="25" s="1"/>
  <c r="AI122" i="25" s="1"/>
  <c r="AG209" i="24"/>
  <c r="AF209" i="24"/>
  <c r="AF32" i="25"/>
  <c r="AE32" i="25"/>
  <c r="AG267" i="24"/>
  <c r="AF267" i="24"/>
  <c r="AF273" i="25"/>
  <c r="AE273" i="25"/>
  <c r="AD46" i="25"/>
  <c r="W46" i="25"/>
  <c r="Z46" i="25" s="1"/>
  <c r="AA46" i="25" s="1"/>
  <c r="AB46" i="25" s="1"/>
  <c r="AI46" i="25" s="1"/>
  <c r="V46" i="25"/>
  <c r="X46" i="25" s="1"/>
  <c r="AG265" i="24"/>
  <c r="AF265" i="24"/>
  <c r="AD112" i="25"/>
  <c r="W112" i="25"/>
  <c r="Z112" i="25" s="1"/>
  <c r="AA112" i="25" s="1"/>
  <c r="AB112" i="25" s="1"/>
  <c r="AI112" i="25" s="1"/>
  <c r="V315" i="25"/>
  <c r="X315" i="25" s="1"/>
  <c r="AG32" i="24"/>
  <c r="AF32" i="24"/>
  <c r="AS104" i="25"/>
  <c r="AK160" i="24"/>
  <c r="AN160" i="24"/>
  <c r="BI160" i="24" s="1"/>
  <c r="AG282" i="24"/>
  <c r="AF282" i="24"/>
  <c r="AG155" i="24"/>
  <c r="AF155" i="24"/>
  <c r="AG120" i="24"/>
  <c r="AF120" i="24"/>
  <c r="AG284" i="24"/>
  <c r="AF284" i="24"/>
  <c r="BG110" i="25" l="1"/>
  <c r="CE110" i="25"/>
  <c r="BI294" i="24"/>
  <c r="BL294" i="24" s="1"/>
  <c r="CE294" i="24"/>
  <c r="AN222" i="24"/>
  <c r="AX264" i="24"/>
  <c r="BI264" i="24"/>
  <c r="BL264" i="24" s="1"/>
  <c r="CE119" i="24"/>
  <c r="BI119" i="24"/>
  <c r="BL119" i="24" s="1"/>
  <c r="CE233" i="24"/>
  <c r="BI233" i="24"/>
  <c r="BL233" i="24" s="1"/>
  <c r="AX142" i="24"/>
  <c r="BI142" i="24"/>
  <c r="BL142" i="24" s="1"/>
  <c r="BU236" i="24"/>
  <c r="BI236" i="24"/>
  <c r="BL236" i="24" s="1"/>
  <c r="CE132" i="24"/>
  <c r="BI132" i="24"/>
  <c r="BL132" i="24" s="1"/>
  <c r="CE162" i="24"/>
  <c r="BI162" i="24"/>
  <c r="BL162" i="24" s="1"/>
  <c r="BU292" i="24"/>
  <c r="BI292" i="24"/>
  <c r="BL292" i="24" s="1"/>
  <c r="CE191" i="24"/>
  <c r="BI191" i="24"/>
  <c r="BL191" i="24" s="1"/>
  <c r="BU7" i="24"/>
  <c r="BI7" i="24"/>
  <c r="BL7" i="24" s="1"/>
  <c r="BU44" i="24"/>
  <c r="BI44" i="24"/>
  <c r="BL44" i="24" s="1"/>
  <c r="CE45" i="24"/>
  <c r="BI45" i="24"/>
  <c r="BL45" i="24" s="1"/>
  <c r="BU41" i="24"/>
  <c r="BI41" i="24"/>
  <c r="BL41" i="24" s="1"/>
  <c r="BU101" i="24"/>
  <c r="BI101" i="24"/>
  <c r="BL101" i="24" s="1"/>
  <c r="CE55" i="24"/>
  <c r="BI55" i="24"/>
  <c r="BL55" i="24" s="1"/>
  <c r="BU21" i="24"/>
  <c r="CE21" i="24"/>
  <c r="AX22" i="24"/>
  <c r="CE22" i="24"/>
  <c r="AT67" i="24"/>
  <c r="BA67" i="24" s="1"/>
  <c r="BU22" i="24"/>
  <c r="BU45" i="24"/>
  <c r="BU55" i="24"/>
  <c r="AF280" i="25"/>
  <c r="AJ280" i="25" s="1"/>
  <c r="CE101" i="24"/>
  <c r="AF11" i="25"/>
  <c r="AJ11" i="25" s="1"/>
  <c r="AE155" i="25"/>
  <c r="AJ155" i="25" s="1"/>
  <c r="AF96" i="25"/>
  <c r="AJ96" i="25" s="1"/>
  <c r="AV27" i="24"/>
  <c r="AT81" i="24"/>
  <c r="BA81" i="24" s="1"/>
  <c r="AT49" i="24"/>
  <c r="BA49" i="24" s="1"/>
  <c r="AT39" i="24"/>
  <c r="BA39" i="24" s="1"/>
  <c r="AV77" i="24"/>
  <c r="AV65" i="24"/>
  <c r="AV104" i="24"/>
  <c r="AV66" i="24"/>
  <c r="AV103" i="24"/>
  <c r="AV64" i="24"/>
  <c r="AV102" i="24"/>
  <c r="AV23" i="24"/>
  <c r="AV61" i="24"/>
  <c r="AV78" i="24"/>
  <c r="AT72" i="24"/>
  <c r="BA72" i="24" s="1"/>
  <c r="AV86" i="24"/>
  <c r="AV98" i="24"/>
  <c r="AT62" i="24"/>
  <c r="BA62" i="24" s="1"/>
  <c r="AV69" i="24"/>
  <c r="AV10" i="24"/>
  <c r="AV15" i="24"/>
  <c r="AV38" i="24"/>
  <c r="AV50" i="24"/>
  <c r="AV40" i="24"/>
  <c r="AV60" i="24"/>
  <c r="AV47" i="24"/>
  <c r="AV63" i="24"/>
  <c r="AV83" i="24"/>
  <c r="AV80" i="24"/>
  <c r="AV100" i="24"/>
  <c r="AV84" i="24"/>
  <c r="AV76" i="24"/>
  <c r="AV70" i="24"/>
  <c r="AV91" i="24"/>
  <c r="AV43" i="24"/>
  <c r="AV68" i="24"/>
  <c r="AT92" i="24"/>
  <c r="BA92" i="24" s="1"/>
  <c r="AT95" i="24"/>
  <c r="BA95" i="24" s="1"/>
  <c r="AV16" i="24"/>
  <c r="AV105" i="24"/>
  <c r="AV46" i="24"/>
  <c r="AV52" i="24"/>
  <c r="AV53" i="24"/>
  <c r="AV71" i="24"/>
  <c r="AV82" i="24"/>
  <c r="AV73" i="24"/>
  <c r="AT74" i="24"/>
  <c r="BA74" i="24" s="1"/>
  <c r="AT93" i="24"/>
  <c r="BA93" i="24" s="1"/>
  <c r="AV89" i="24"/>
  <c r="AV99" i="24"/>
  <c r="AT14" i="24"/>
  <c r="BA14" i="24" s="1"/>
  <c r="AV11" i="24"/>
  <c r="AV88" i="24"/>
  <c r="AV79" i="24"/>
  <c r="AT97" i="24"/>
  <c r="BA97" i="24" s="1"/>
  <c r="AV75" i="24"/>
  <c r="AV85" i="24"/>
  <c r="AV94" i="24"/>
  <c r="AT25" i="24"/>
  <c r="BA25" i="24" s="1"/>
  <c r="AV29" i="24"/>
  <c r="AV31" i="24"/>
  <c r="AV13" i="24"/>
  <c r="AV36" i="24"/>
  <c r="AV42" i="24"/>
  <c r="AV87" i="24"/>
  <c r="AV67" i="24"/>
  <c r="AV90" i="24"/>
  <c r="AV96" i="24"/>
  <c r="AT103" i="24"/>
  <c r="BA103" i="24" s="1"/>
  <c r="AJ143" i="25"/>
  <c r="AT105" i="24"/>
  <c r="BA105" i="24" s="1"/>
  <c r="AT99" i="24"/>
  <c r="BA99" i="24" s="1"/>
  <c r="AF258" i="25"/>
  <c r="AJ258" i="25" s="1"/>
  <c r="AE189" i="25"/>
  <c r="AJ189" i="25" s="1"/>
  <c r="AT90" i="24"/>
  <c r="BA90" i="24" s="1"/>
  <c r="AT96" i="24"/>
  <c r="BA96" i="24" s="1"/>
  <c r="AT42" i="24"/>
  <c r="BA42" i="24" s="1"/>
  <c r="AT94" i="24"/>
  <c r="BA94" i="24" s="1"/>
  <c r="AT85" i="24"/>
  <c r="BA85" i="24" s="1"/>
  <c r="AT89" i="24"/>
  <c r="BA89" i="24" s="1"/>
  <c r="AV72" i="24"/>
  <c r="AV62" i="24"/>
  <c r="AT69" i="24"/>
  <c r="BA69" i="24" s="1"/>
  <c r="AT80" i="24"/>
  <c r="BA80" i="24" s="1"/>
  <c r="AT100" i="24"/>
  <c r="BA100" i="24" s="1"/>
  <c r="AT84" i="24"/>
  <c r="BA84" i="24" s="1"/>
  <c r="AV81" i="24"/>
  <c r="AF154" i="25"/>
  <c r="BU142" i="24"/>
  <c r="AT66" i="24"/>
  <c r="BA66" i="24" s="1"/>
  <c r="AT91" i="24"/>
  <c r="BA91" i="24" s="1"/>
  <c r="AF97" i="25"/>
  <c r="AJ97" i="25" s="1"/>
  <c r="AT102" i="24"/>
  <c r="BA102" i="24" s="1"/>
  <c r="AT70" i="24"/>
  <c r="BA70" i="24" s="1"/>
  <c r="AT86" i="24"/>
  <c r="BA86" i="24" s="1"/>
  <c r="AE154" i="25"/>
  <c r="AT98" i="24"/>
  <c r="BA98" i="24" s="1"/>
  <c r="AT75" i="24"/>
  <c r="BA75" i="24" s="1"/>
  <c r="AV97" i="24"/>
  <c r="AT79" i="24"/>
  <c r="BA79" i="24" s="1"/>
  <c r="AT88" i="24"/>
  <c r="BA88" i="24" s="1"/>
  <c r="AV74" i="24"/>
  <c r="AV93" i="24"/>
  <c r="AV95" i="24"/>
  <c r="AT87" i="24"/>
  <c r="BA87" i="24" s="1"/>
  <c r="AE104" i="25"/>
  <c r="AJ104" i="25" s="1"/>
  <c r="AV92" i="24"/>
  <c r="AT68" i="24"/>
  <c r="BA68" i="24" s="1"/>
  <c r="AT43" i="24"/>
  <c r="BA43" i="24" s="1"/>
  <c r="AF179" i="25"/>
  <c r="AJ179" i="25" s="1"/>
  <c r="AT65" i="24"/>
  <c r="BA65" i="24" s="1"/>
  <c r="AT104" i="24"/>
  <c r="BA104" i="24" s="1"/>
  <c r="AF265" i="25"/>
  <c r="AJ265" i="25" s="1"/>
  <c r="AT53" i="24"/>
  <c r="BA53" i="24" s="1"/>
  <c r="AT82" i="24"/>
  <c r="BA82" i="24" s="1"/>
  <c r="AT73" i="24"/>
  <c r="BA73" i="24" s="1"/>
  <c r="AT83" i="24"/>
  <c r="BA83" i="24" s="1"/>
  <c r="AF29" i="25"/>
  <c r="AM29" i="25" s="1"/>
  <c r="BG29" i="25" s="1"/>
  <c r="AT78" i="24"/>
  <c r="BA78" i="24" s="1"/>
  <c r="AT23" i="24"/>
  <c r="BA23" i="24" s="1"/>
  <c r="AT61" i="24"/>
  <c r="BA61" i="24" s="1"/>
  <c r="AV39" i="24"/>
  <c r="AF291" i="25"/>
  <c r="AM291" i="25" s="1"/>
  <c r="BG291" i="25" s="1"/>
  <c r="AT77" i="24"/>
  <c r="BA77" i="24" s="1"/>
  <c r="AV49" i="24"/>
  <c r="BW142" i="24"/>
  <c r="AV14" i="24"/>
  <c r="BW22" i="24"/>
  <c r="AT64" i="24"/>
  <c r="BA64" i="24" s="1"/>
  <c r="BH142" i="24"/>
  <c r="AT76" i="24"/>
  <c r="BA76" i="24" s="1"/>
  <c r="AF28" i="25"/>
  <c r="AM28" i="25" s="1"/>
  <c r="BG28" i="25" s="1"/>
  <c r="AT46" i="24"/>
  <c r="BA46" i="24" s="1"/>
  <c r="AT50" i="24"/>
  <c r="BA50" i="24" s="1"/>
  <c r="AT47" i="24"/>
  <c r="BA47" i="24" s="1"/>
  <c r="AT60" i="24"/>
  <c r="BA60" i="24" s="1"/>
  <c r="AT40" i="24"/>
  <c r="BA40" i="24" s="1"/>
  <c r="AT38" i="24"/>
  <c r="BA38" i="24" s="1"/>
  <c r="AT15" i="24"/>
  <c r="BA15" i="24" s="1"/>
  <c r="BH292" i="24"/>
  <c r="AX292" i="24"/>
  <c r="BW292" i="24"/>
  <c r="BW264" i="24"/>
  <c r="AT10" i="24"/>
  <c r="BA10" i="24" s="1"/>
  <c r="AT71" i="24"/>
  <c r="BA71" i="24" s="1"/>
  <c r="AT63" i="24"/>
  <c r="BA63" i="24" s="1"/>
  <c r="AT52" i="24"/>
  <c r="BA52" i="24" s="1"/>
  <c r="AT11" i="24"/>
  <c r="BA11" i="24" s="1"/>
  <c r="AV25" i="24"/>
  <c r="AT13" i="24"/>
  <c r="BA13" i="24" s="1"/>
  <c r="AT16" i="24"/>
  <c r="BA16" i="24" s="1"/>
  <c r="AT29" i="24"/>
  <c r="BA29" i="24" s="1"/>
  <c r="AT36" i="24"/>
  <c r="BA36" i="24" s="1"/>
  <c r="AT27" i="24"/>
  <c r="BA27" i="24" s="1"/>
  <c r="AT31" i="24"/>
  <c r="BA31" i="24" s="1"/>
  <c r="AF237" i="25"/>
  <c r="O212" i="25"/>
  <c r="P212" i="25"/>
  <c r="T212" i="25"/>
  <c r="U212" i="25" s="1"/>
  <c r="BH22" i="24"/>
  <c r="AX77" i="25"/>
  <c r="AF77" i="25"/>
  <c r="AE77" i="25"/>
  <c r="BU264" i="24"/>
  <c r="BH236" i="24"/>
  <c r="BW236" i="24"/>
  <c r="BH264" i="24"/>
  <c r="AX236" i="24"/>
  <c r="AJ131" i="25"/>
  <c r="AM131" i="25"/>
  <c r="BG131" i="25" s="1"/>
  <c r="AN284" i="24"/>
  <c r="BI284" i="24" s="1"/>
  <c r="AK284" i="24"/>
  <c r="AS53" i="25"/>
  <c r="AF40" i="25"/>
  <c r="AE40" i="25"/>
  <c r="AK128" i="24"/>
  <c r="AN128" i="24"/>
  <c r="AN261" i="24"/>
  <c r="CE261" i="24" s="1"/>
  <c r="AK261" i="24"/>
  <c r="BA220" i="24"/>
  <c r="AX31" i="25"/>
  <c r="AW31" i="25"/>
  <c r="BA154" i="24"/>
  <c r="AS202" i="25"/>
  <c r="AS185" i="25"/>
  <c r="AN48" i="24"/>
  <c r="CE48" i="24" s="1"/>
  <c r="AK48" i="24"/>
  <c r="AS269" i="25"/>
  <c r="AT232" i="24"/>
  <c r="BA165" i="24"/>
  <c r="AS120" i="25"/>
  <c r="AJ59" i="25"/>
  <c r="AM59" i="25"/>
  <c r="BG59" i="25" s="1"/>
  <c r="AS58" i="25"/>
  <c r="AX131" i="25"/>
  <c r="AW131" i="25"/>
  <c r="AN235" i="24"/>
  <c r="AK235" i="24"/>
  <c r="AF146" i="25"/>
  <c r="AE146" i="25"/>
  <c r="AT248" i="24"/>
  <c r="AJ257" i="25"/>
  <c r="AM257" i="25"/>
  <c r="AS159" i="25"/>
  <c r="AN224" i="24"/>
  <c r="AK224" i="24"/>
  <c r="AF10" i="25"/>
  <c r="AE10" i="25"/>
  <c r="AN86" i="24"/>
  <c r="AK86" i="24"/>
  <c r="AN193" i="24"/>
  <c r="AK193" i="24"/>
  <c r="BA142" i="24"/>
  <c r="AS12" i="25"/>
  <c r="AK271" i="24"/>
  <c r="AN271" i="24"/>
  <c r="AT253" i="24"/>
  <c r="AS99" i="25"/>
  <c r="AS196" i="25"/>
  <c r="AF236" i="25"/>
  <c r="AE236" i="25"/>
  <c r="AK176" i="24"/>
  <c r="AN176" i="24"/>
  <c r="BI176" i="24" s="1"/>
  <c r="AT155" i="24"/>
  <c r="AT282" i="24"/>
  <c r="AS312" i="25"/>
  <c r="AK199" i="24"/>
  <c r="AN199" i="24"/>
  <c r="AF17" i="25"/>
  <c r="AE17" i="25"/>
  <c r="AT267" i="24"/>
  <c r="BA207" i="24"/>
  <c r="AM92" i="25"/>
  <c r="AJ92" i="25"/>
  <c r="AS254" i="25"/>
  <c r="AS67" i="25"/>
  <c r="BA164" i="24"/>
  <c r="AV9" i="24"/>
  <c r="AT9" i="24"/>
  <c r="AN316" i="24"/>
  <c r="BI316" i="24" s="1"/>
  <c r="AK316" i="24"/>
  <c r="AV17" i="24"/>
  <c r="AT17" i="24"/>
  <c r="AF225" i="25"/>
  <c r="AE225" i="25"/>
  <c r="AT263" i="24"/>
  <c r="AS221" i="25"/>
  <c r="BA272" i="24"/>
  <c r="BA132" i="24"/>
  <c r="BA223" i="24"/>
  <c r="AS116" i="25"/>
  <c r="AK25" i="24"/>
  <c r="AN25" i="24"/>
  <c r="AT145" i="24"/>
  <c r="AJ174" i="25"/>
  <c r="AM174" i="25"/>
  <c r="AT290" i="24"/>
  <c r="AF123" i="25"/>
  <c r="AE123" i="25"/>
  <c r="AT126" i="24"/>
  <c r="AT279" i="24"/>
  <c r="AJ255" i="25"/>
  <c r="AM255" i="25"/>
  <c r="BG255" i="25" s="1"/>
  <c r="AM21" i="25"/>
  <c r="AJ21" i="25"/>
  <c r="AS244" i="25"/>
  <c r="AS33" i="25"/>
  <c r="AF200" i="25"/>
  <c r="AE200" i="25"/>
  <c r="AK275" i="24"/>
  <c r="AN275" i="24"/>
  <c r="AS121" i="25"/>
  <c r="AX155" i="25"/>
  <c r="AW155" i="25"/>
  <c r="AK276" i="24"/>
  <c r="AN276" i="24"/>
  <c r="BI276" i="24" s="1"/>
  <c r="AK104" i="24"/>
  <c r="AN104" i="24"/>
  <c r="AS127" i="25"/>
  <c r="AK29" i="24"/>
  <c r="AN29" i="24"/>
  <c r="AS101" i="24"/>
  <c r="BJ101" i="24"/>
  <c r="AQ101" i="24"/>
  <c r="AX101" i="24"/>
  <c r="BH101" i="24"/>
  <c r="BW101" i="24"/>
  <c r="BA256" i="24"/>
  <c r="AF57" i="25"/>
  <c r="AE57" i="25"/>
  <c r="AN197" i="24"/>
  <c r="BI197" i="24" s="1"/>
  <c r="AK197" i="24"/>
  <c r="BA316" i="24"/>
  <c r="AK230" i="24"/>
  <c r="AN230" i="24"/>
  <c r="BI230" i="24" s="1"/>
  <c r="BA122" i="24"/>
  <c r="AS272" i="25"/>
  <c r="AS300" i="25"/>
  <c r="BA208" i="24"/>
  <c r="AS45" i="25"/>
  <c r="AJ89" i="25"/>
  <c r="AM89" i="25"/>
  <c r="BA204" i="24"/>
  <c r="AN96" i="24"/>
  <c r="AK96" i="24"/>
  <c r="AF220" i="25"/>
  <c r="AE220" i="25"/>
  <c r="BA187" i="24"/>
  <c r="AF79" i="25"/>
  <c r="AE79" i="25"/>
  <c r="BA268" i="24"/>
  <c r="BA116" i="24"/>
  <c r="AM6" i="25"/>
  <c r="AJ6" i="25"/>
  <c r="AS136" i="25"/>
  <c r="AK125" i="24"/>
  <c r="AN125" i="24"/>
  <c r="AN58" i="24"/>
  <c r="AK58" i="24"/>
  <c r="AN83" i="24"/>
  <c r="CE83" i="24" s="1"/>
  <c r="AK83" i="24"/>
  <c r="AF195" i="25"/>
  <c r="AE195" i="25"/>
  <c r="AF137" i="25"/>
  <c r="AE137" i="25"/>
  <c r="AK26" i="24"/>
  <c r="AN26" i="24"/>
  <c r="BA245" i="24"/>
  <c r="AS274" i="25"/>
  <c r="AS289" i="25"/>
  <c r="AW13" i="25"/>
  <c r="AX13" i="25"/>
  <c r="AF39" i="25"/>
  <c r="AE39" i="25"/>
  <c r="AF49" i="25"/>
  <c r="AE49" i="25"/>
  <c r="AS239" i="25"/>
  <c r="AM259" i="25"/>
  <c r="AJ259" i="25"/>
  <c r="BA311" i="24"/>
  <c r="AS9" i="25"/>
  <c r="AS281" i="25"/>
  <c r="AS93" i="25"/>
  <c r="AK234" i="24"/>
  <c r="AN234" i="24"/>
  <c r="BI234" i="24" s="1"/>
  <c r="AN220" i="24"/>
  <c r="AK220" i="24"/>
  <c r="BA241" i="24"/>
  <c r="AK175" i="24"/>
  <c r="AN175" i="24"/>
  <c r="AX29" i="25"/>
  <c r="AW29" i="25"/>
  <c r="AN171" i="24"/>
  <c r="BI171" i="24" s="1"/>
  <c r="AK171" i="24"/>
  <c r="AW198" i="25"/>
  <c r="AX198" i="25"/>
  <c r="AS20" i="25"/>
  <c r="AS233" i="24"/>
  <c r="AQ233" i="24"/>
  <c r="BJ233" i="24"/>
  <c r="BU233" i="24"/>
  <c r="AX233" i="24"/>
  <c r="BH233" i="24"/>
  <c r="BW233" i="24"/>
  <c r="AK79" i="24"/>
  <c r="AN79" i="24"/>
  <c r="AF191" i="25"/>
  <c r="AE191" i="25"/>
  <c r="AF230" i="25"/>
  <c r="AE230" i="25"/>
  <c r="AT121" i="24"/>
  <c r="AS70" i="25"/>
  <c r="AN248" i="24"/>
  <c r="AK248" i="24"/>
  <c r="AS41" i="24"/>
  <c r="AQ41" i="24"/>
  <c r="BJ41" i="24"/>
  <c r="AX41" i="24"/>
  <c r="BH41" i="24"/>
  <c r="BW41" i="24"/>
  <c r="AT301" i="24"/>
  <c r="AF187" i="25"/>
  <c r="AE187" i="25"/>
  <c r="AS277" i="25"/>
  <c r="AF125" i="25"/>
  <c r="AE125" i="25"/>
  <c r="AT135" i="24"/>
  <c r="AK37" i="24"/>
  <c r="AN37" i="24"/>
  <c r="AF111" i="25"/>
  <c r="AE111" i="25"/>
  <c r="AS102" i="25"/>
  <c r="AK209" i="24"/>
  <c r="AN209" i="24"/>
  <c r="AN155" i="24"/>
  <c r="AK155" i="24"/>
  <c r="AX104" i="25"/>
  <c r="AW104" i="25"/>
  <c r="AS46" i="25"/>
  <c r="AJ32" i="25"/>
  <c r="AM32" i="25"/>
  <c r="BG32" i="25" s="1"/>
  <c r="AF53" i="25"/>
  <c r="AE53" i="25"/>
  <c r="AN299" i="24"/>
  <c r="BI299" i="24" s="1"/>
  <c r="AK299" i="24"/>
  <c r="BA184" i="24"/>
  <c r="AN61" i="24"/>
  <c r="BI61" i="24" s="1"/>
  <c r="AK61" i="24"/>
  <c r="AN164" i="24"/>
  <c r="BI164" i="24" s="1"/>
  <c r="AK164" i="24"/>
  <c r="AN167" i="24"/>
  <c r="BI167" i="24" s="1"/>
  <c r="AK167" i="24"/>
  <c r="AK17" i="24"/>
  <c r="AN17" i="24"/>
  <c r="AX204" i="25"/>
  <c r="AW204" i="25"/>
  <c r="AS54" i="25"/>
  <c r="AK56" i="24"/>
  <c r="AN56" i="24"/>
  <c r="AF202" i="25"/>
  <c r="AE202" i="25"/>
  <c r="AF185" i="25"/>
  <c r="AE185" i="25"/>
  <c r="AX28" i="25"/>
  <c r="AW28" i="25"/>
  <c r="AS162" i="25"/>
  <c r="BA226" i="24"/>
  <c r="AF269" i="25"/>
  <c r="AE269" i="25"/>
  <c r="AS251" i="25"/>
  <c r="AK188" i="24"/>
  <c r="AN188" i="24"/>
  <c r="AF120" i="25"/>
  <c r="AE120" i="25"/>
  <c r="AF58" i="25"/>
  <c r="AE58" i="25"/>
  <c r="BA139" i="24"/>
  <c r="AF159" i="25"/>
  <c r="AE159" i="25"/>
  <c r="AN30" i="24"/>
  <c r="BI30" i="24" s="1"/>
  <c r="AK30" i="24"/>
  <c r="BA134" i="24"/>
  <c r="AS307" i="25"/>
  <c r="AN126" i="24"/>
  <c r="BI126" i="24" s="1"/>
  <c r="AK126" i="24"/>
  <c r="AF12" i="25"/>
  <c r="AE12" i="25"/>
  <c r="AF99" i="25"/>
  <c r="AE99" i="25"/>
  <c r="AT295" i="24"/>
  <c r="AF196" i="25"/>
  <c r="AE196" i="25"/>
  <c r="AT242" i="24"/>
  <c r="BA124" i="24"/>
  <c r="AN105" i="24"/>
  <c r="AK105" i="24"/>
  <c r="AF312" i="25"/>
  <c r="AE312" i="25"/>
  <c r="AS287" i="25"/>
  <c r="AS91" i="25"/>
  <c r="AK252" i="24"/>
  <c r="AN252" i="24"/>
  <c r="BI252" i="24" s="1"/>
  <c r="AF254" i="25"/>
  <c r="AE254" i="25"/>
  <c r="AK15" i="24"/>
  <c r="AN15" i="24"/>
  <c r="AF67" i="25"/>
  <c r="AE67" i="25"/>
  <c r="AK300" i="24"/>
  <c r="AN300" i="24"/>
  <c r="BI300" i="24" s="1"/>
  <c r="AS227" i="25"/>
  <c r="BA156" i="24"/>
  <c r="AF221" i="25"/>
  <c r="AE221" i="25"/>
  <c r="AK112" i="24"/>
  <c r="AN112" i="24"/>
  <c r="CE112" i="24" s="1"/>
  <c r="AF116" i="25"/>
  <c r="AE116" i="25"/>
  <c r="AX206" i="25"/>
  <c r="AW206" i="25"/>
  <c r="AJ14" i="25"/>
  <c r="AM14" i="25"/>
  <c r="AS43" i="25"/>
  <c r="AN307" i="24"/>
  <c r="AK307" i="24"/>
  <c r="AN195" i="24"/>
  <c r="BI195" i="24" s="1"/>
  <c r="AK195" i="24"/>
  <c r="AN116" i="24"/>
  <c r="AK116" i="24"/>
  <c r="AT225" i="24"/>
  <c r="AS60" i="25"/>
  <c r="AS266" i="25"/>
  <c r="AT247" i="24"/>
  <c r="AF244" i="25"/>
  <c r="AE244" i="25"/>
  <c r="AK90" i="24"/>
  <c r="AN90" i="24"/>
  <c r="AS26" i="25"/>
  <c r="AF33" i="25"/>
  <c r="AE33" i="25"/>
  <c r="AW179" i="25"/>
  <c r="AX179" i="25"/>
  <c r="BA157" i="24"/>
  <c r="AS124" i="25"/>
  <c r="AS41" i="25"/>
  <c r="AK63" i="24"/>
  <c r="AN63" i="24"/>
  <c r="AF121" i="25"/>
  <c r="AE121" i="25"/>
  <c r="AS294" i="25"/>
  <c r="BA151" i="24"/>
  <c r="AK254" i="24"/>
  <c r="AN254" i="24"/>
  <c r="BI254" i="24" s="1"/>
  <c r="AF127" i="25"/>
  <c r="AE127" i="25"/>
  <c r="BA291" i="24"/>
  <c r="BA252" i="24"/>
  <c r="AX177" i="25"/>
  <c r="AW177" i="25"/>
  <c r="AK274" i="24"/>
  <c r="AN274" i="24"/>
  <c r="AN39" i="24"/>
  <c r="AK39" i="24"/>
  <c r="AF272" i="25"/>
  <c r="AE272" i="25"/>
  <c r="AF300" i="25"/>
  <c r="AE300" i="25"/>
  <c r="AJ190" i="25"/>
  <c r="AM190" i="25"/>
  <c r="AJ293" i="25"/>
  <c r="AM293" i="25"/>
  <c r="BG293" i="25" s="1"/>
  <c r="AK303" i="24"/>
  <c r="AN303" i="24"/>
  <c r="BI303" i="24" s="1"/>
  <c r="AF45" i="25"/>
  <c r="AE45" i="25"/>
  <c r="AN201" i="24"/>
  <c r="AK201" i="24"/>
  <c r="AW89" i="25"/>
  <c r="AX89" i="25"/>
  <c r="AK218" i="24"/>
  <c r="AN218" i="24"/>
  <c r="BI218" i="24" s="1"/>
  <c r="BA161" i="24"/>
  <c r="AX189" i="25"/>
  <c r="AW189" i="25"/>
  <c r="AS86" i="25"/>
  <c r="AK200" i="24"/>
  <c r="AN200" i="24"/>
  <c r="AN183" i="24"/>
  <c r="BI183" i="24" s="1"/>
  <c r="AK183" i="24"/>
  <c r="AF136" i="25"/>
  <c r="AE136" i="25"/>
  <c r="BA239" i="24"/>
  <c r="BA286" i="24"/>
  <c r="AJ305" i="25"/>
  <c r="AM305" i="25"/>
  <c r="AF274" i="25"/>
  <c r="AE274" i="25"/>
  <c r="AX87" i="25"/>
  <c r="AW87" i="25"/>
  <c r="AF289" i="25"/>
  <c r="AE289" i="25"/>
  <c r="AS42" i="25"/>
  <c r="BA264" i="24"/>
  <c r="AK226" i="24"/>
  <c r="AN226" i="24"/>
  <c r="BI226" i="24" s="1"/>
  <c r="AF239" i="25"/>
  <c r="AE239" i="25"/>
  <c r="AS183" i="25"/>
  <c r="AF9" i="25"/>
  <c r="AE9" i="25"/>
  <c r="AN150" i="24"/>
  <c r="AK150" i="24"/>
  <c r="AF281" i="25"/>
  <c r="AE281" i="25"/>
  <c r="AF93" i="25"/>
  <c r="AE93" i="25"/>
  <c r="AM292" i="25"/>
  <c r="AJ292" i="25"/>
  <c r="AN217" i="24"/>
  <c r="AK217" i="24"/>
  <c r="AS100" i="25"/>
  <c r="BA197" i="24"/>
  <c r="AJ62" i="25"/>
  <c r="AM62" i="25"/>
  <c r="AS118" i="25"/>
  <c r="AS226" i="25"/>
  <c r="AS180" i="25"/>
  <c r="AF20" i="25"/>
  <c r="AE20" i="25"/>
  <c r="AT305" i="24"/>
  <c r="AS66" i="25"/>
  <c r="AT218" i="24"/>
  <c r="AS235" i="25"/>
  <c r="BA200" i="24"/>
  <c r="BA189" i="24"/>
  <c r="AF70" i="25"/>
  <c r="AE70" i="25"/>
  <c r="AS44" i="25"/>
  <c r="AN243" i="24"/>
  <c r="AK243" i="24"/>
  <c r="AX6" i="25"/>
  <c r="AW6" i="25"/>
  <c r="AN231" i="24"/>
  <c r="BI231" i="24" s="1"/>
  <c r="AK231" i="24"/>
  <c r="AS63" i="25"/>
  <c r="AS37" i="25"/>
  <c r="AN91" i="24"/>
  <c r="AK91" i="24"/>
  <c r="AK244" i="24"/>
  <c r="AN244" i="24"/>
  <c r="BI244" i="24" s="1"/>
  <c r="AT111" i="24"/>
  <c r="AJ31" i="25"/>
  <c r="AM31" i="25"/>
  <c r="AF277" i="25"/>
  <c r="AE277" i="25"/>
  <c r="AS295" i="25"/>
  <c r="AN253" i="24"/>
  <c r="AK253" i="24"/>
  <c r="AJ199" i="25"/>
  <c r="AM199" i="25"/>
  <c r="BG199" i="25" s="1"/>
  <c r="AS181" i="25"/>
  <c r="AK124" i="24"/>
  <c r="AN124" i="24"/>
  <c r="BI124" i="24" s="1"/>
  <c r="AF102" i="25"/>
  <c r="AE102" i="25"/>
  <c r="AK282" i="24"/>
  <c r="AN282" i="24"/>
  <c r="AS112" i="25"/>
  <c r="AF46" i="25"/>
  <c r="AE46" i="25"/>
  <c r="BA206" i="24"/>
  <c r="BA227" i="24"/>
  <c r="AW170" i="25"/>
  <c r="AX170" i="25"/>
  <c r="AS218" i="25"/>
  <c r="AS290" i="25"/>
  <c r="BA185" i="24"/>
  <c r="AN219" i="24"/>
  <c r="AK219" i="24"/>
  <c r="AF54" i="25"/>
  <c r="AE54" i="25"/>
  <c r="AS90" i="25"/>
  <c r="BA171" i="24"/>
  <c r="BA285" i="24"/>
  <c r="AN156" i="24"/>
  <c r="AK156" i="24"/>
  <c r="BA293" i="24"/>
  <c r="AS138" i="25"/>
  <c r="AF162" i="25"/>
  <c r="AE162" i="25"/>
  <c r="AS18" i="25"/>
  <c r="AF251" i="25"/>
  <c r="AE251" i="25"/>
  <c r="AS132" i="24"/>
  <c r="AU132" i="24" s="1"/>
  <c r="BB132" i="24" s="1"/>
  <c r="BJ132" i="24"/>
  <c r="AQ132" i="24"/>
  <c r="AS169" i="25"/>
  <c r="AK57" i="24"/>
  <c r="AN57" i="24"/>
  <c r="BA192" i="24"/>
  <c r="BA231" i="24"/>
  <c r="AK20" i="24"/>
  <c r="AN20" i="24"/>
  <c r="CE20" i="24" s="1"/>
  <c r="AN33" i="24"/>
  <c r="AK33" i="24"/>
  <c r="AF307" i="25"/>
  <c r="AE307" i="25"/>
  <c r="AS270" i="25"/>
  <c r="AS208" i="25"/>
  <c r="AS135" i="25"/>
  <c r="AK113" i="24"/>
  <c r="AN113" i="24"/>
  <c r="BI113" i="24" s="1"/>
  <c r="AV32" i="24"/>
  <c r="AT32" i="24"/>
  <c r="AT265" i="24"/>
  <c r="AS132" i="25"/>
  <c r="AK288" i="24"/>
  <c r="AN288" i="24"/>
  <c r="BI288" i="24" s="1"/>
  <c r="AF287" i="25"/>
  <c r="AE287" i="25"/>
  <c r="AN11" i="24"/>
  <c r="AK11" i="24"/>
  <c r="AF91" i="25"/>
  <c r="AE91" i="25"/>
  <c r="AS234" i="25"/>
  <c r="AT261" i="24"/>
  <c r="AF227" i="25"/>
  <c r="AE227" i="25"/>
  <c r="AS36" i="25"/>
  <c r="AK229" i="24"/>
  <c r="AN229" i="24"/>
  <c r="BI229" i="24" s="1"/>
  <c r="AN146" i="24"/>
  <c r="AK146" i="24"/>
  <c r="AS55" i="24"/>
  <c r="AQ55" i="24"/>
  <c r="BJ55" i="24"/>
  <c r="AX55" i="24"/>
  <c r="BW55" i="24"/>
  <c r="BH55" i="24"/>
  <c r="AN169" i="24"/>
  <c r="BI169" i="24" s="1"/>
  <c r="AK169" i="24"/>
  <c r="AN62" i="24"/>
  <c r="BI62" i="24" s="1"/>
  <c r="AK62" i="24"/>
  <c r="AS245" i="25"/>
  <c r="AS68" i="25"/>
  <c r="AM240" i="25"/>
  <c r="BG240" i="25" s="1"/>
  <c r="AJ240" i="25"/>
  <c r="BA188" i="24"/>
  <c r="AT240" i="24"/>
  <c r="AJ275" i="25"/>
  <c r="AM275" i="25"/>
  <c r="BG275" i="25" s="1"/>
  <c r="AS231" i="25"/>
  <c r="AX95" i="25"/>
  <c r="AW95" i="25"/>
  <c r="AF43" i="25"/>
  <c r="AE43" i="25"/>
  <c r="AV57" i="24"/>
  <c r="AT57" i="24"/>
  <c r="AT266" i="24"/>
  <c r="AX34" i="25"/>
  <c r="AW34" i="25"/>
  <c r="AF60" i="25"/>
  <c r="AE60" i="25"/>
  <c r="AF266" i="25"/>
  <c r="AE266" i="25"/>
  <c r="BA22" i="24"/>
  <c r="AT224" i="24"/>
  <c r="AJ173" i="25"/>
  <c r="AM173" i="25"/>
  <c r="AM248" i="25"/>
  <c r="AJ248" i="25"/>
  <c r="AK70" i="24"/>
  <c r="AN70" i="24"/>
  <c r="AV8" i="24"/>
  <c r="AT8" i="24"/>
  <c r="AF26" i="25"/>
  <c r="AE26" i="25"/>
  <c r="BA314" i="24"/>
  <c r="AV59" i="24"/>
  <c r="AT59" i="24"/>
  <c r="AF124" i="25"/>
  <c r="AE124" i="25"/>
  <c r="AF41" i="25"/>
  <c r="AE41" i="25"/>
  <c r="AS168" i="25"/>
  <c r="AF294" i="25"/>
  <c r="AE294" i="25"/>
  <c r="BA113" i="24"/>
  <c r="AN179" i="24"/>
  <c r="AK179" i="24"/>
  <c r="AS284" i="25"/>
  <c r="AS19" i="25"/>
  <c r="AK196" i="24"/>
  <c r="AN196" i="24"/>
  <c r="BI196" i="24" s="1"/>
  <c r="AJ113" i="25"/>
  <c r="AM113" i="25"/>
  <c r="AS175" i="25"/>
  <c r="BA236" i="24"/>
  <c r="AK182" i="24"/>
  <c r="AN182" i="24"/>
  <c r="BA177" i="24"/>
  <c r="AM114" i="25"/>
  <c r="AJ114" i="25"/>
  <c r="BL21" i="24"/>
  <c r="AS21" i="24"/>
  <c r="BJ21" i="24"/>
  <c r="AQ21" i="24"/>
  <c r="AX21" i="24"/>
  <c r="BW21" i="24"/>
  <c r="BH21" i="24"/>
  <c r="AK281" i="24"/>
  <c r="AN281" i="24"/>
  <c r="AF86" i="25"/>
  <c r="AE86" i="25"/>
  <c r="AS164" i="25"/>
  <c r="BA140" i="24"/>
  <c r="AS156" i="25"/>
  <c r="AS7" i="25"/>
  <c r="BA195" i="24"/>
  <c r="AW154" i="25"/>
  <c r="AX154" i="25"/>
  <c r="AN54" i="24"/>
  <c r="CE54" i="24" s="1"/>
  <c r="AK54" i="24"/>
  <c r="AS301" i="25"/>
  <c r="AW113" i="25"/>
  <c r="AX113" i="25"/>
  <c r="AN301" i="24"/>
  <c r="AK301" i="24"/>
  <c r="AW201" i="25"/>
  <c r="AX201" i="25"/>
  <c r="AN153" i="24"/>
  <c r="AK153" i="24"/>
  <c r="AS228" i="25"/>
  <c r="AF42" i="25"/>
  <c r="AE42" i="25"/>
  <c r="AK38" i="24"/>
  <c r="AN38" i="24"/>
  <c r="BA131" i="24"/>
  <c r="AF183" i="25"/>
  <c r="AE183" i="25"/>
  <c r="AF100" i="25"/>
  <c r="AE100" i="25"/>
  <c r="BA196" i="24"/>
  <c r="AK185" i="24"/>
  <c r="AN185" i="24"/>
  <c r="AS311" i="25"/>
  <c r="AM247" i="25"/>
  <c r="BG247" i="25" s="1"/>
  <c r="AJ247" i="25"/>
  <c r="AS313" i="25"/>
  <c r="AF118" i="25"/>
  <c r="AE118" i="25"/>
  <c r="BA149" i="24"/>
  <c r="AF226" i="25"/>
  <c r="AE226" i="25"/>
  <c r="BA203" i="24"/>
  <c r="AF180" i="25"/>
  <c r="AE180" i="25"/>
  <c r="AN13" i="24"/>
  <c r="CE13" i="24" s="1"/>
  <c r="AK13" i="24"/>
  <c r="AK27" i="24"/>
  <c r="AN27" i="24"/>
  <c r="AW147" i="25"/>
  <c r="AX147" i="25"/>
  <c r="AS88" i="25"/>
  <c r="AF66" i="25"/>
  <c r="AE66" i="25"/>
  <c r="AS191" i="24"/>
  <c r="BJ191" i="24"/>
  <c r="AQ191" i="24"/>
  <c r="AX191" i="24"/>
  <c r="BH191" i="24"/>
  <c r="BW191" i="24"/>
  <c r="BU191" i="24"/>
  <c r="AT281" i="24"/>
  <c r="AF235" i="25"/>
  <c r="AE235" i="25"/>
  <c r="BA183" i="24"/>
  <c r="AF44" i="25"/>
  <c r="AE44" i="25"/>
  <c r="AT117" i="24"/>
  <c r="AF63" i="25"/>
  <c r="AE63" i="25"/>
  <c r="AF37" i="25"/>
  <c r="AE37" i="25"/>
  <c r="AT133" i="24"/>
  <c r="AS250" i="25"/>
  <c r="AT153" i="24"/>
  <c r="AF295" i="25"/>
  <c r="AE295" i="25"/>
  <c r="BL257" i="24"/>
  <c r="AS257" i="24"/>
  <c r="BJ257" i="24"/>
  <c r="AQ257" i="24"/>
  <c r="BW257" i="24"/>
  <c r="BU257" i="24"/>
  <c r="AX257" i="24"/>
  <c r="BH257" i="24"/>
  <c r="AN295" i="24"/>
  <c r="AK295" i="24"/>
  <c r="AS299" i="25"/>
  <c r="AF181" i="25"/>
  <c r="AE181" i="25"/>
  <c r="AN89" i="24"/>
  <c r="AK89" i="24"/>
  <c r="AJ276" i="25"/>
  <c r="AM276" i="25"/>
  <c r="BG276" i="25" s="1"/>
  <c r="AF290" i="25"/>
  <c r="AE290" i="25"/>
  <c r="AS176" i="25"/>
  <c r="BA175" i="24"/>
  <c r="AF90" i="25"/>
  <c r="AE90" i="25"/>
  <c r="AN263" i="24"/>
  <c r="AK263" i="24"/>
  <c r="AF138" i="25"/>
  <c r="AE138" i="25"/>
  <c r="AX199" i="25"/>
  <c r="AW199" i="25"/>
  <c r="AF18" i="25"/>
  <c r="AE18" i="25"/>
  <c r="AS249" i="25"/>
  <c r="AF169" i="25"/>
  <c r="AE169" i="25"/>
  <c r="AS288" i="25"/>
  <c r="AK240" i="24"/>
  <c r="AN240" i="24"/>
  <c r="AX32" i="25"/>
  <c r="AW32" i="25"/>
  <c r="AK19" i="24"/>
  <c r="AN19" i="24"/>
  <c r="AK72" i="24"/>
  <c r="AN72" i="24"/>
  <c r="AX97" i="25"/>
  <c r="AW97" i="25"/>
  <c r="AT243" i="24"/>
  <c r="AS264" i="25"/>
  <c r="AN290" i="24"/>
  <c r="BI290" i="24" s="1"/>
  <c r="AK290" i="24"/>
  <c r="AS73" i="25"/>
  <c r="AS80" i="25"/>
  <c r="AN279" i="24"/>
  <c r="AK279" i="24"/>
  <c r="AS144" i="25"/>
  <c r="AF270" i="25"/>
  <c r="AE270" i="25"/>
  <c r="AF208" i="25"/>
  <c r="AE208" i="25"/>
  <c r="AF135" i="25"/>
  <c r="AE135" i="25"/>
  <c r="AJ246" i="25"/>
  <c r="AM246" i="25"/>
  <c r="BG246" i="25" s="1"/>
  <c r="AM206" i="25"/>
  <c r="BG206" i="25" s="1"/>
  <c r="AJ206" i="25"/>
  <c r="AX59" i="25"/>
  <c r="AW59" i="25"/>
  <c r="AF132" i="25"/>
  <c r="AE132" i="25"/>
  <c r="AK202" i="24"/>
  <c r="AN202" i="24"/>
  <c r="AS252" i="25"/>
  <c r="AF234" i="25"/>
  <c r="AE234" i="25"/>
  <c r="AM34" i="25"/>
  <c r="BG34" i="25" s="1"/>
  <c r="AJ34" i="25"/>
  <c r="AS163" i="25"/>
  <c r="AM229" i="25"/>
  <c r="BG229" i="25" s="1"/>
  <c r="AJ229" i="25"/>
  <c r="AF36" i="25"/>
  <c r="AE36" i="25"/>
  <c r="AS210" i="25"/>
  <c r="AF245" i="25"/>
  <c r="AE245" i="25"/>
  <c r="AF68" i="25"/>
  <c r="AE68" i="25"/>
  <c r="BW132" i="24"/>
  <c r="AF231" i="25"/>
  <c r="AE231" i="25"/>
  <c r="AV34" i="24"/>
  <c r="AT34" i="24"/>
  <c r="AV6" i="24"/>
  <c r="AT6" i="24"/>
  <c r="AT238" i="24"/>
  <c r="AM177" i="25"/>
  <c r="AJ177" i="25"/>
  <c r="AV33" i="24"/>
  <c r="AT33" i="24"/>
  <c r="AT271" i="24"/>
  <c r="AK239" i="24"/>
  <c r="AN239" i="24"/>
  <c r="BI239" i="24" s="1"/>
  <c r="AK286" i="24"/>
  <c r="AN286" i="24"/>
  <c r="BI286" i="24" s="1"/>
  <c r="AS74" i="25"/>
  <c r="AK194" i="24"/>
  <c r="AN194" i="24"/>
  <c r="BI194" i="24" s="1"/>
  <c r="BA176" i="24"/>
  <c r="AF168" i="25"/>
  <c r="AE168" i="25"/>
  <c r="AM262" i="25"/>
  <c r="BG262" i="25" s="1"/>
  <c r="AJ262" i="25"/>
  <c r="AS15" i="25"/>
  <c r="AX14" i="25"/>
  <c r="AW14" i="25"/>
  <c r="BA289" i="24"/>
  <c r="B158" i="2"/>
  <c r="AS105" i="25"/>
  <c r="AK311" i="24"/>
  <c r="AN311" i="24"/>
  <c r="BI311" i="24" s="1"/>
  <c r="AF284" i="25"/>
  <c r="AE284" i="25"/>
  <c r="BA180" i="24"/>
  <c r="AM243" i="25"/>
  <c r="AJ243" i="25"/>
  <c r="AF19" i="25"/>
  <c r="AE19" i="25"/>
  <c r="AX174" i="25"/>
  <c r="AW174" i="25"/>
  <c r="AS241" i="25"/>
  <c r="AF175" i="25"/>
  <c r="AE175" i="25"/>
  <c r="AK46" i="24"/>
  <c r="AN46" i="24"/>
  <c r="AS65" i="25"/>
  <c r="AK149" i="24"/>
  <c r="AN149" i="24"/>
  <c r="BI149" i="24" s="1"/>
  <c r="AX158" i="25"/>
  <c r="AW158" i="25"/>
  <c r="BA136" i="24"/>
  <c r="AS285" i="25"/>
  <c r="AS44" i="24"/>
  <c r="BJ44" i="24"/>
  <c r="AQ44" i="24"/>
  <c r="AX44" i="24"/>
  <c r="BH44" i="24"/>
  <c r="BW44" i="24"/>
  <c r="AK310" i="24"/>
  <c r="AN310" i="24"/>
  <c r="AS145" i="25"/>
  <c r="AS25" i="25"/>
  <c r="AN298" i="24"/>
  <c r="CE298" i="24" s="1"/>
  <c r="AK298" i="24"/>
  <c r="AW148" i="25"/>
  <c r="AX148" i="25"/>
  <c r="AF164" i="25"/>
  <c r="AE164" i="25"/>
  <c r="AF156" i="25"/>
  <c r="AE156" i="25"/>
  <c r="AF7" i="25"/>
  <c r="AE7" i="25"/>
  <c r="AK117" i="24"/>
  <c r="AN117" i="24"/>
  <c r="BI117" i="24" s="1"/>
  <c r="AS130" i="25"/>
  <c r="AS128" i="25"/>
  <c r="AF301" i="25"/>
  <c r="AE301" i="25"/>
  <c r="AS292" i="24"/>
  <c r="AU292" i="24" s="1"/>
  <c r="BB292" i="24" s="1"/>
  <c r="AQ292" i="24"/>
  <c r="BJ292" i="24"/>
  <c r="AK51" i="24"/>
  <c r="AN51" i="24"/>
  <c r="AF228" i="25"/>
  <c r="AE228" i="25"/>
  <c r="AS193" i="25"/>
  <c r="AN135" i="24"/>
  <c r="AK135" i="24"/>
  <c r="BA186" i="24"/>
  <c r="AK278" i="24"/>
  <c r="AN278" i="24"/>
  <c r="BI278" i="24" s="1"/>
  <c r="AK251" i="24"/>
  <c r="AN251" i="24"/>
  <c r="BI251" i="24" s="1"/>
  <c r="AS197" i="25"/>
  <c r="AW96" i="25"/>
  <c r="AX96" i="25"/>
  <c r="AJ94" i="25"/>
  <c r="AM94" i="25"/>
  <c r="BG94" i="25" s="1"/>
  <c r="AK47" i="24"/>
  <c r="AN47" i="24"/>
  <c r="AN205" i="24"/>
  <c r="AK205" i="24"/>
  <c r="BA313" i="24"/>
  <c r="AS165" i="25"/>
  <c r="AF311" i="25"/>
  <c r="AE311" i="25"/>
  <c r="BA127" i="24"/>
  <c r="BL22" i="24"/>
  <c r="AS22" i="24"/>
  <c r="AU22" i="24" s="1"/>
  <c r="BB22" i="24" s="1"/>
  <c r="BJ22" i="24"/>
  <c r="AQ22" i="24"/>
  <c r="BA230" i="24"/>
  <c r="AF313" i="25"/>
  <c r="AE313" i="25"/>
  <c r="AN43" i="24"/>
  <c r="AK43" i="24"/>
  <c r="BA302" i="24"/>
  <c r="AJ82" i="25"/>
  <c r="AM82" i="25"/>
  <c r="BA310" i="24"/>
  <c r="AS81" i="25"/>
  <c r="AF88" i="25"/>
  <c r="AE88" i="25"/>
  <c r="AK165" i="24"/>
  <c r="AN165" i="24"/>
  <c r="AS141" i="25"/>
  <c r="AT296" i="24"/>
  <c r="AS85" i="25"/>
  <c r="AN23" i="24"/>
  <c r="BI23" i="24" s="1"/>
  <c r="AK23" i="24"/>
  <c r="AM170" i="25"/>
  <c r="AJ170" i="25"/>
  <c r="AT125" i="24"/>
  <c r="AT269" i="24"/>
  <c r="AR129" i="25"/>
  <c r="BJ129" i="25"/>
  <c r="AP129" i="25"/>
  <c r="BH129" i="25"/>
  <c r="BW129" i="25"/>
  <c r="BU129" i="25"/>
  <c r="BF129" i="25"/>
  <c r="AK80" i="24"/>
  <c r="AN80" i="24"/>
  <c r="AF250" i="25"/>
  <c r="AE250" i="25"/>
  <c r="AS298" i="25"/>
  <c r="AK152" i="24"/>
  <c r="AN152" i="24"/>
  <c r="CE152" i="24" s="1"/>
  <c r="AS142" i="24"/>
  <c r="AU142" i="24" s="1"/>
  <c r="BB142" i="24" s="1"/>
  <c r="BJ142" i="24"/>
  <c r="AQ142" i="24"/>
  <c r="AJ314" i="25"/>
  <c r="AM314" i="25"/>
  <c r="BG314" i="25" s="1"/>
  <c r="AF299" i="25"/>
  <c r="AE299" i="25"/>
  <c r="AN312" i="24"/>
  <c r="BI312" i="24" s="1"/>
  <c r="AK312" i="24"/>
  <c r="AS157" i="25"/>
  <c r="AK223" i="24"/>
  <c r="AN223" i="24"/>
  <c r="AF218" i="25"/>
  <c r="AE218" i="25"/>
  <c r="AS61" i="25"/>
  <c r="BA278" i="24"/>
  <c r="AM273" i="25"/>
  <c r="BG273" i="25" s="1"/>
  <c r="AJ273" i="25"/>
  <c r="AS302" i="25"/>
  <c r="BA246" i="24"/>
  <c r="AX178" i="25"/>
  <c r="AW178" i="25"/>
  <c r="AF61" i="25"/>
  <c r="AE61" i="25"/>
  <c r="AM283" i="25"/>
  <c r="AJ283" i="25"/>
  <c r="AF176" i="25"/>
  <c r="AE176" i="25"/>
  <c r="AK123" i="24"/>
  <c r="AN123" i="24"/>
  <c r="CE123" i="24" s="1"/>
  <c r="AK137" i="24"/>
  <c r="AN137" i="24"/>
  <c r="AN272" i="24"/>
  <c r="BI272" i="24" s="1"/>
  <c r="AK272" i="24"/>
  <c r="AF249" i="25"/>
  <c r="AE249" i="25"/>
  <c r="AS279" i="25"/>
  <c r="AF288" i="25"/>
  <c r="AE288" i="25"/>
  <c r="AT273" i="24"/>
  <c r="AN6" i="24"/>
  <c r="BI6" i="24" s="1"/>
  <c r="AK6" i="24"/>
  <c r="AK266" i="24"/>
  <c r="AN266" i="24"/>
  <c r="AN145" i="24"/>
  <c r="AK145" i="24"/>
  <c r="AF264" i="25"/>
  <c r="AE264" i="25"/>
  <c r="AK181" i="24"/>
  <c r="AN181" i="24"/>
  <c r="BI181" i="24" s="1"/>
  <c r="AJ238" i="25"/>
  <c r="AM238" i="25"/>
  <c r="BG238" i="25" s="1"/>
  <c r="BA244" i="24"/>
  <c r="AF73" i="25"/>
  <c r="AE73" i="25"/>
  <c r="AF80" i="25"/>
  <c r="AE80" i="25"/>
  <c r="AS101" i="25"/>
  <c r="AF144" i="25"/>
  <c r="AE144" i="25"/>
  <c r="AN8" i="24"/>
  <c r="AK8" i="24"/>
  <c r="AN94" i="24"/>
  <c r="AK94" i="24"/>
  <c r="AV12" i="24"/>
  <c r="AT12" i="24"/>
  <c r="AV37" i="24"/>
  <c r="AT37" i="24"/>
  <c r="AW167" i="25"/>
  <c r="AX167" i="25"/>
  <c r="AJ306" i="25"/>
  <c r="AM306" i="25"/>
  <c r="AK289" i="24"/>
  <c r="AN289" i="24"/>
  <c r="BI289" i="24" s="1"/>
  <c r="AJ95" i="25"/>
  <c r="AM95" i="25"/>
  <c r="BG95" i="25" s="1"/>
  <c r="AS223" i="25"/>
  <c r="AF252" i="25"/>
  <c r="AE252" i="25"/>
  <c r="AF163" i="25"/>
  <c r="AE163" i="25"/>
  <c r="AK144" i="24"/>
  <c r="AN144" i="24"/>
  <c r="BI144" i="24" s="1"/>
  <c r="AK42" i="24"/>
  <c r="AN42" i="24"/>
  <c r="AN122" i="24"/>
  <c r="BI122" i="24" s="1"/>
  <c r="AK122" i="24"/>
  <c r="AS133" i="25"/>
  <c r="AF210" i="25"/>
  <c r="AE210" i="25"/>
  <c r="BU132" i="24"/>
  <c r="AK198" i="24"/>
  <c r="AN198" i="24"/>
  <c r="BI198" i="24" s="1"/>
  <c r="AK210" i="24"/>
  <c r="AN210" i="24"/>
  <c r="AK161" i="24"/>
  <c r="AN161" i="24"/>
  <c r="AN270" i="24"/>
  <c r="AK270" i="24"/>
  <c r="AN255" i="24"/>
  <c r="BI255" i="24" s="1"/>
  <c r="AK255" i="24"/>
  <c r="AS98" i="25"/>
  <c r="AS209" i="25"/>
  <c r="AT260" i="24"/>
  <c r="AF74" i="25"/>
  <c r="AE74" i="25"/>
  <c r="AS150" i="25"/>
  <c r="AS188" i="25"/>
  <c r="AF15" i="25"/>
  <c r="AE15" i="25"/>
  <c r="AK172" i="24"/>
  <c r="AN172" i="24"/>
  <c r="AJ148" i="25"/>
  <c r="AM148" i="25"/>
  <c r="BG148" i="25" s="1"/>
  <c r="AF105" i="25"/>
  <c r="AE105" i="25"/>
  <c r="AN52" i="24"/>
  <c r="AK52" i="24"/>
  <c r="BA173" i="24"/>
  <c r="BA287" i="24"/>
  <c r="AK258" i="24"/>
  <c r="AN258" i="24"/>
  <c r="BA159" i="24"/>
  <c r="AF241" i="25"/>
  <c r="AE241" i="25"/>
  <c r="AK98" i="24"/>
  <c r="AN98" i="24"/>
  <c r="AN127" i="24"/>
  <c r="AK127" i="24"/>
  <c r="AS47" i="25"/>
  <c r="AF65" i="25"/>
  <c r="AE65" i="25"/>
  <c r="AK10" i="24"/>
  <c r="AN10" i="24"/>
  <c r="AS236" i="24"/>
  <c r="AU236" i="24" s="1"/>
  <c r="BB236" i="24" s="1"/>
  <c r="BJ236" i="24"/>
  <c r="AQ236" i="24"/>
  <c r="AF285" i="25"/>
  <c r="AE285" i="25"/>
  <c r="AF145" i="25"/>
  <c r="AE145" i="25"/>
  <c r="AN177" i="24"/>
  <c r="BI177" i="24" s="1"/>
  <c r="AK177" i="24"/>
  <c r="BA210" i="24"/>
  <c r="AF25" i="25"/>
  <c r="AE25" i="25"/>
  <c r="AS119" i="25"/>
  <c r="AS315" i="25"/>
  <c r="AF130" i="25"/>
  <c r="AE130" i="25"/>
  <c r="AF128" i="25"/>
  <c r="AE128" i="25"/>
  <c r="AN35" i="24"/>
  <c r="AK35" i="24"/>
  <c r="AF193" i="25"/>
  <c r="AE193" i="25"/>
  <c r="AK285" i="24"/>
  <c r="AN285" i="24"/>
  <c r="BI285" i="24" s="1"/>
  <c r="AN228" i="24"/>
  <c r="AK228" i="24"/>
  <c r="BA250" i="24"/>
  <c r="AS162" i="24"/>
  <c r="BJ162" i="24"/>
  <c r="AQ162" i="24"/>
  <c r="BW162" i="24"/>
  <c r="AX162" i="24"/>
  <c r="BH162" i="24"/>
  <c r="BU162" i="24"/>
  <c r="AS260" i="25"/>
  <c r="AF197" i="25"/>
  <c r="AE197" i="25"/>
  <c r="AN227" i="24"/>
  <c r="AK227" i="24"/>
  <c r="AT274" i="24"/>
  <c r="AF165" i="25"/>
  <c r="AE165" i="25"/>
  <c r="AS268" i="25"/>
  <c r="AK134" i="24"/>
  <c r="AN134" i="24"/>
  <c r="BI134" i="24" s="1"/>
  <c r="BA182" i="24"/>
  <c r="AN93" i="24"/>
  <c r="AK93" i="24"/>
  <c r="AJ161" i="25"/>
  <c r="AM161" i="25"/>
  <c r="AX30" i="25"/>
  <c r="AW30" i="25"/>
  <c r="AN74" i="24"/>
  <c r="AK74" i="24"/>
  <c r="AK71" i="24"/>
  <c r="AN71" i="24"/>
  <c r="AF81" i="25"/>
  <c r="AE81" i="25"/>
  <c r="AF141" i="25"/>
  <c r="AE141" i="25"/>
  <c r="AK99" i="24"/>
  <c r="AN99" i="24"/>
  <c r="AF85" i="25"/>
  <c r="AE85" i="25"/>
  <c r="AN103" i="24"/>
  <c r="AK103" i="24"/>
  <c r="AS286" i="25"/>
  <c r="AS271" i="25"/>
  <c r="AN130" i="24"/>
  <c r="AK130" i="24"/>
  <c r="AM178" i="25"/>
  <c r="BG178" i="25" s="1"/>
  <c r="AJ178" i="25"/>
  <c r="BA178" i="24"/>
  <c r="AS278" i="25"/>
  <c r="AV58" i="24"/>
  <c r="AT58" i="24"/>
  <c r="AS166" i="25"/>
  <c r="AX62" i="25"/>
  <c r="AW62" i="25"/>
  <c r="AM204" i="25"/>
  <c r="BG204" i="25" s="1"/>
  <c r="AJ204" i="25"/>
  <c r="AT249" i="24"/>
  <c r="AF298" i="25"/>
  <c r="AE298" i="25"/>
  <c r="AK100" i="24"/>
  <c r="AN100" i="24"/>
  <c r="AS76" i="25"/>
  <c r="AK12" i="24"/>
  <c r="AN12" i="24"/>
  <c r="CE12" i="24" s="1"/>
  <c r="AF157" i="25"/>
  <c r="AE157" i="25"/>
  <c r="AS45" i="24"/>
  <c r="AQ45" i="24"/>
  <c r="BJ45" i="24"/>
  <c r="BH45" i="24"/>
  <c r="BW45" i="24"/>
  <c r="AX45" i="24"/>
  <c r="AJ192" i="25"/>
  <c r="AM192" i="25"/>
  <c r="AF112" i="25"/>
  <c r="AE112" i="25"/>
  <c r="BA251" i="24"/>
  <c r="AK68" i="24"/>
  <c r="AN68" i="24"/>
  <c r="AK225" i="24"/>
  <c r="AN225" i="24"/>
  <c r="BI225" i="24" s="1"/>
  <c r="AS83" i="25"/>
  <c r="AN9" i="24"/>
  <c r="CE9" i="24" s="1"/>
  <c r="AK9" i="24"/>
  <c r="AS69" i="25"/>
  <c r="AK297" i="24"/>
  <c r="AN297" i="24"/>
  <c r="BI297" i="24" s="1"/>
  <c r="AS84" i="25"/>
  <c r="AS184" i="25"/>
  <c r="AM167" i="25"/>
  <c r="BG167" i="25" s="1"/>
  <c r="AJ167" i="25"/>
  <c r="AF279" i="25"/>
  <c r="AE279" i="25"/>
  <c r="AS303" i="25"/>
  <c r="BA168" i="24"/>
  <c r="AS117" i="25"/>
  <c r="AN34" i="24"/>
  <c r="AK34" i="24"/>
  <c r="AT147" i="24"/>
  <c r="AT130" i="24"/>
  <c r="AK64" i="24"/>
  <c r="AN64" i="24"/>
  <c r="AF101" i="25"/>
  <c r="AE101" i="25"/>
  <c r="AS139" i="25"/>
  <c r="AS297" i="25"/>
  <c r="AS216" i="25"/>
  <c r="AN115" i="24"/>
  <c r="BI115" i="24" s="1"/>
  <c r="AK115" i="24"/>
  <c r="AJ261" i="25"/>
  <c r="AM261" i="25"/>
  <c r="AK222" i="24"/>
  <c r="BI222" i="24"/>
  <c r="AK173" i="24"/>
  <c r="AN173" i="24"/>
  <c r="AF223" i="25"/>
  <c r="AE223" i="25"/>
  <c r="AK256" i="24"/>
  <c r="AN256" i="24"/>
  <c r="BI256" i="24" s="1"/>
  <c r="AS103" i="25"/>
  <c r="AS194" i="25"/>
  <c r="AT219" i="24"/>
  <c r="AR143" i="25"/>
  <c r="BJ143" i="25"/>
  <c r="AP143" i="25"/>
  <c r="BH143" i="25"/>
  <c r="BF143" i="25"/>
  <c r="BU143" i="25"/>
  <c r="BW143" i="25"/>
  <c r="AS151" i="25"/>
  <c r="AS203" i="25"/>
  <c r="AF133" i="25"/>
  <c r="AE133" i="25"/>
  <c r="AN143" i="24"/>
  <c r="BI143" i="24" s="1"/>
  <c r="AK143" i="24"/>
  <c r="AV48" i="24"/>
  <c r="AT48" i="24"/>
  <c r="AK136" i="24"/>
  <c r="AN136" i="24"/>
  <c r="BI136" i="24" s="1"/>
  <c r="BH132" i="24"/>
  <c r="AT114" i="24"/>
  <c r="AN118" i="24"/>
  <c r="AK118" i="24"/>
  <c r="AN140" i="24"/>
  <c r="BI140" i="24" s="1"/>
  <c r="AK140" i="24"/>
  <c r="AS233" i="25"/>
  <c r="AN158" i="24"/>
  <c r="BI158" i="24" s="1"/>
  <c r="AK158" i="24"/>
  <c r="AS160" i="25"/>
  <c r="BA167" i="24"/>
  <c r="AF98" i="25"/>
  <c r="AE98" i="25"/>
  <c r="AS16" i="25"/>
  <c r="AF209" i="25"/>
  <c r="AE209" i="25"/>
  <c r="BA193" i="24"/>
  <c r="AJ296" i="25"/>
  <c r="AM296" i="25"/>
  <c r="AN170" i="24"/>
  <c r="AK170" i="24"/>
  <c r="AK304" i="24"/>
  <c r="AN304" i="24"/>
  <c r="AS294" i="24"/>
  <c r="BJ294" i="24"/>
  <c r="AQ294" i="24"/>
  <c r="AX294" i="24"/>
  <c r="BH294" i="24"/>
  <c r="BW294" i="24"/>
  <c r="BU294" i="24"/>
  <c r="AF150" i="25"/>
  <c r="AE150" i="25"/>
  <c r="AS205" i="25"/>
  <c r="AN186" i="24"/>
  <c r="AK186" i="24"/>
  <c r="AF188" i="25"/>
  <c r="AE188" i="25"/>
  <c r="AK250" i="24"/>
  <c r="AN250" i="24"/>
  <c r="AN308" i="24"/>
  <c r="BI308" i="24" s="1"/>
  <c r="AK308" i="24"/>
  <c r="BA166" i="24"/>
  <c r="BA199" i="24"/>
  <c r="BA202" i="24"/>
  <c r="BA222" i="24"/>
  <c r="AS8" i="25"/>
  <c r="AN313" i="24"/>
  <c r="BI313" i="24" s="1"/>
  <c r="AK313" i="24"/>
  <c r="AS219" i="25"/>
  <c r="BA229" i="24"/>
  <c r="AF47" i="25"/>
  <c r="AE47" i="25"/>
  <c r="AN163" i="24"/>
  <c r="AK163" i="24"/>
  <c r="BA146" i="24"/>
  <c r="AS142" i="25"/>
  <c r="AT112" i="24"/>
  <c r="BA198" i="24"/>
  <c r="BA118" i="24"/>
  <c r="AF119" i="25"/>
  <c r="AE119" i="25"/>
  <c r="AF315" i="25"/>
  <c r="AE315" i="25"/>
  <c r="BA158" i="24"/>
  <c r="AK148" i="24"/>
  <c r="AN148" i="24"/>
  <c r="AK24" i="24"/>
  <c r="AN24" i="24"/>
  <c r="AS140" i="25"/>
  <c r="AK133" i="24"/>
  <c r="AN133" i="24"/>
  <c r="BA170" i="24"/>
  <c r="AN97" i="24"/>
  <c r="AK97" i="24"/>
  <c r="BA201" i="24"/>
  <c r="AX114" i="25"/>
  <c r="AW114" i="25"/>
  <c r="AF260" i="25"/>
  <c r="AE260" i="25"/>
  <c r="BA276" i="24"/>
  <c r="BA179" i="24"/>
  <c r="AN141" i="24"/>
  <c r="BI141" i="24" s="1"/>
  <c r="AK141" i="24"/>
  <c r="AK49" i="24"/>
  <c r="AN49" i="24"/>
  <c r="CE49" i="24" s="1"/>
  <c r="AK184" i="24"/>
  <c r="AN184" i="24"/>
  <c r="BI184" i="24" s="1"/>
  <c r="AS256" i="25"/>
  <c r="AF268" i="25"/>
  <c r="AE268" i="25"/>
  <c r="AK50" i="24"/>
  <c r="AN50" i="24"/>
  <c r="AS50" i="25"/>
  <c r="AK40" i="24"/>
  <c r="AN40" i="24"/>
  <c r="CE40" i="24" s="1"/>
  <c r="AN87" i="24"/>
  <c r="AK87" i="24"/>
  <c r="AK293" i="24"/>
  <c r="AN293" i="24"/>
  <c r="BI293" i="24" s="1"/>
  <c r="AS115" i="25"/>
  <c r="AN73" i="24"/>
  <c r="AK73" i="24"/>
  <c r="AM232" i="25"/>
  <c r="BG232" i="25" s="1"/>
  <c r="AJ232" i="25"/>
  <c r="AV28" i="24"/>
  <c r="AT28" i="24"/>
  <c r="AN76" i="24"/>
  <c r="AK76" i="24"/>
  <c r="AS308" i="25"/>
  <c r="AK139" i="24"/>
  <c r="AN139" i="24"/>
  <c r="AF286" i="25"/>
  <c r="AE286" i="25"/>
  <c r="AF271" i="25"/>
  <c r="AE271" i="25"/>
  <c r="AT148" i="24"/>
  <c r="AF278" i="25"/>
  <c r="AE278" i="25"/>
  <c r="AF166" i="25"/>
  <c r="AE166" i="25"/>
  <c r="AN306" i="24"/>
  <c r="AK306" i="24"/>
  <c r="AV35" i="24"/>
  <c r="AT35" i="24"/>
  <c r="AV26" i="24"/>
  <c r="AT26" i="24"/>
  <c r="AS119" i="24"/>
  <c r="AQ119" i="24"/>
  <c r="BJ119" i="24"/>
  <c r="AX119" i="24"/>
  <c r="BH119" i="24"/>
  <c r="BW119" i="24"/>
  <c r="BU119" i="24"/>
  <c r="AF76" i="25"/>
  <c r="AE76" i="25"/>
  <c r="AS134" i="25"/>
  <c r="BA138" i="24"/>
  <c r="AW11" i="25"/>
  <c r="AX11" i="25"/>
  <c r="BL160" i="24"/>
  <c r="AS160" i="24"/>
  <c r="BJ160" i="24"/>
  <c r="AQ160" i="24"/>
  <c r="BW160" i="24"/>
  <c r="BU160" i="24"/>
  <c r="AX160" i="24"/>
  <c r="BH160" i="24"/>
  <c r="AF302" i="25"/>
  <c r="AE302" i="25"/>
  <c r="AN207" i="24"/>
  <c r="BI207" i="24" s="1"/>
  <c r="AK207" i="24"/>
  <c r="BA205" i="24"/>
  <c r="AS122" i="25"/>
  <c r="AS153" i="25"/>
  <c r="AF83" i="25"/>
  <c r="AE83" i="25"/>
  <c r="AS310" i="25"/>
  <c r="AS217" i="25"/>
  <c r="AS171" i="25"/>
  <c r="AF69" i="25"/>
  <c r="AE69" i="25"/>
  <c r="AF84" i="25"/>
  <c r="AE84" i="25"/>
  <c r="AF184" i="25"/>
  <c r="AE184" i="25"/>
  <c r="AS22" i="25"/>
  <c r="AS56" i="25"/>
  <c r="AK114" i="24"/>
  <c r="AN114" i="24"/>
  <c r="CE114" i="24" s="1"/>
  <c r="AS207" i="25"/>
  <c r="AF303" i="25"/>
  <c r="AE303" i="25"/>
  <c r="AS55" i="25"/>
  <c r="AF117" i="25"/>
  <c r="AE117" i="25"/>
  <c r="AJ186" i="25"/>
  <c r="AM186" i="25"/>
  <c r="AN315" i="24"/>
  <c r="BI315" i="24" s="1"/>
  <c r="AK315" i="24"/>
  <c r="BA306" i="24"/>
  <c r="AK259" i="24"/>
  <c r="AN259" i="24"/>
  <c r="AS149" i="25"/>
  <c r="AF139" i="25"/>
  <c r="AE139" i="25"/>
  <c r="AK260" i="24"/>
  <c r="AN260" i="24"/>
  <c r="AF297" i="25"/>
  <c r="AE297" i="25"/>
  <c r="AN84" i="24"/>
  <c r="CE84" i="24" s="1"/>
  <c r="AK84" i="24"/>
  <c r="AK157" i="24"/>
  <c r="AN157" i="24"/>
  <c r="AF216" i="25"/>
  <c r="AE216" i="25"/>
  <c r="AT284" i="24"/>
  <c r="AN166" i="24"/>
  <c r="AK166" i="24"/>
  <c r="AS7" i="24"/>
  <c r="BJ7" i="24"/>
  <c r="AQ7" i="24"/>
  <c r="BW7" i="24"/>
  <c r="AX7" i="24"/>
  <c r="BH7" i="24"/>
  <c r="AK31" i="24"/>
  <c r="AN31" i="24"/>
  <c r="BA209" i="24"/>
  <c r="AK291" i="24"/>
  <c r="AN291" i="24"/>
  <c r="BI291" i="24" s="1"/>
  <c r="AT299" i="24"/>
  <c r="AN180" i="24"/>
  <c r="AK180" i="24"/>
  <c r="AF103" i="25"/>
  <c r="AE103" i="25"/>
  <c r="AF194" i="25"/>
  <c r="AE194" i="25"/>
  <c r="AS38" i="25"/>
  <c r="AS35" i="25"/>
  <c r="AX186" i="25"/>
  <c r="AW186" i="25"/>
  <c r="AK88" i="24"/>
  <c r="AN88" i="24"/>
  <c r="AF151" i="25"/>
  <c r="AE151" i="25"/>
  <c r="AF203" i="25"/>
  <c r="AE203" i="25"/>
  <c r="AT123" i="24"/>
  <c r="AT297" i="24"/>
  <c r="AS27" i="25"/>
  <c r="AN208" i="24"/>
  <c r="AK208" i="24"/>
  <c r="BA137" i="24"/>
  <c r="AW192" i="25"/>
  <c r="AX192" i="25"/>
  <c r="AX132" i="24"/>
  <c r="AK85" i="24"/>
  <c r="AN85" i="24"/>
  <c r="AS64" i="25"/>
  <c r="AV19" i="24"/>
  <c r="AT19" i="24"/>
  <c r="AF233" i="25"/>
  <c r="AE233" i="25"/>
  <c r="AN309" i="24"/>
  <c r="BI309" i="24" s="1"/>
  <c r="AK309" i="24"/>
  <c r="AS172" i="25"/>
  <c r="AN82" i="24"/>
  <c r="AK82" i="24"/>
  <c r="BA174" i="24"/>
  <c r="AF160" i="25"/>
  <c r="AE160" i="25"/>
  <c r="AT237" i="24"/>
  <c r="AF16" i="25"/>
  <c r="AE16" i="25"/>
  <c r="AM158" i="25"/>
  <c r="BG158" i="25" s="1"/>
  <c r="AJ158" i="25"/>
  <c r="AK77" i="24"/>
  <c r="AN77" i="24"/>
  <c r="AK245" i="24"/>
  <c r="AN245" i="24"/>
  <c r="AM13" i="25"/>
  <c r="AJ13" i="25"/>
  <c r="AS51" i="25"/>
  <c r="AS304" i="25"/>
  <c r="AF205" i="25"/>
  <c r="AE205" i="25"/>
  <c r="AN65" i="24"/>
  <c r="CE65" i="24" s="1"/>
  <c r="AK65" i="24"/>
  <c r="AS78" i="25"/>
  <c r="AK14" i="24"/>
  <c r="AN14" i="24"/>
  <c r="BI14" i="24" s="1"/>
  <c r="AF8" i="25"/>
  <c r="AE8" i="25"/>
  <c r="AS52" i="25"/>
  <c r="AS126" i="25"/>
  <c r="BA300" i="24"/>
  <c r="BA144" i="24"/>
  <c r="AS309" i="25"/>
  <c r="AF219" i="25"/>
  <c r="AE219" i="25"/>
  <c r="AK262" i="24"/>
  <c r="AN262" i="24"/>
  <c r="BI262" i="24" s="1"/>
  <c r="AS23" i="25"/>
  <c r="AN241" i="24"/>
  <c r="BI241" i="24" s="1"/>
  <c r="AK241" i="24"/>
  <c r="AN203" i="24"/>
  <c r="AK203" i="24"/>
  <c r="AK302" i="24"/>
  <c r="AN302" i="24"/>
  <c r="AF142" i="25"/>
  <c r="AE142" i="25"/>
  <c r="AK95" i="24"/>
  <c r="AN95" i="24"/>
  <c r="AK53" i="24"/>
  <c r="AN53" i="24"/>
  <c r="AK280" i="24"/>
  <c r="AN280" i="24"/>
  <c r="AN28" i="24"/>
  <c r="AK28" i="24"/>
  <c r="AN296" i="24"/>
  <c r="BI296" i="24" s="1"/>
  <c r="AK296" i="24"/>
  <c r="BA277" i="24"/>
  <c r="BA270" i="24"/>
  <c r="AK121" i="24"/>
  <c r="AN121" i="24"/>
  <c r="AS316" i="25"/>
  <c r="AN189" i="24"/>
  <c r="BI189" i="24" s="1"/>
  <c r="AK189" i="24"/>
  <c r="AN178" i="24"/>
  <c r="AK178" i="24"/>
  <c r="AK269" i="24"/>
  <c r="AN269" i="24"/>
  <c r="CE269" i="24" s="1"/>
  <c r="AF140" i="25"/>
  <c r="AE140" i="25"/>
  <c r="AN111" i="24"/>
  <c r="AK111" i="24"/>
  <c r="AS72" i="25"/>
  <c r="AN249" i="24"/>
  <c r="AK249" i="24"/>
  <c r="BA304" i="24"/>
  <c r="AS75" i="25"/>
  <c r="AW190" i="25"/>
  <c r="AX190" i="25"/>
  <c r="AJ198" i="25"/>
  <c r="AM198" i="25"/>
  <c r="BG198" i="25" s="1"/>
  <c r="AS242" i="25"/>
  <c r="AJ147" i="25"/>
  <c r="AM147" i="25"/>
  <c r="BA308" i="24"/>
  <c r="AK206" i="24"/>
  <c r="AN206" i="24"/>
  <c r="AN36" i="24"/>
  <c r="AK36" i="24"/>
  <c r="AF256" i="25"/>
  <c r="AE256" i="25"/>
  <c r="AS224" i="25"/>
  <c r="AS263" i="25"/>
  <c r="AF50" i="25"/>
  <c r="AE50" i="25"/>
  <c r="AF115" i="25"/>
  <c r="AE115" i="25"/>
  <c r="AK16" i="24"/>
  <c r="AN16" i="24"/>
  <c r="AT298" i="24"/>
  <c r="AF308" i="25"/>
  <c r="AE308" i="25"/>
  <c r="AN102" i="24"/>
  <c r="AK102" i="24"/>
  <c r="AX94" i="25"/>
  <c r="AW94" i="25"/>
  <c r="AJ282" i="25"/>
  <c r="AM282" i="25"/>
  <c r="BG282" i="25" s="1"/>
  <c r="AS24" i="25"/>
  <c r="AV51" i="24"/>
  <c r="AT51" i="24"/>
  <c r="AN66" i="24"/>
  <c r="BI66" i="24" s="1"/>
  <c r="AK66" i="24"/>
  <c r="AS48" i="25"/>
  <c r="AS152" i="25"/>
  <c r="AX161" i="25"/>
  <c r="AW161" i="25"/>
  <c r="AT228" i="24"/>
  <c r="AF134" i="25"/>
  <c r="AE134" i="25"/>
  <c r="AS222" i="25"/>
  <c r="AS253" i="25"/>
  <c r="BA221" i="24"/>
  <c r="AK265" i="24"/>
  <c r="AN265" i="24"/>
  <c r="BI265" i="24" s="1"/>
  <c r="AK32" i="24"/>
  <c r="AN32" i="24"/>
  <c r="CE32" i="24" s="1"/>
  <c r="AK267" i="24"/>
  <c r="AN267" i="24"/>
  <c r="AS182" i="25"/>
  <c r="AK120" i="24"/>
  <c r="AN120" i="24"/>
  <c r="BA141" i="24"/>
  <c r="AF122" i="25"/>
  <c r="AE122" i="25"/>
  <c r="AS40" i="25"/>
  <c r="BA150" i="24"/>
  <c r="AF182" i="25"/>
  <c r="AE182" i="25"/>
  <c r="AN283" i="24"/>
  <c r="AK283" i="24"/>
  <c r="BA217" i="24"/>
  <c r="BA292" i="24"/>
  <c r="AF153" i="25"/>
  <c r="AE153" i="25"/>
  <c r="BA234" i="24"/>
  <c r="AF310" i="25"/>
  <c r="AE310" i="25"/>
  <c r="AF217" i="25"/>
  <c r="AE217" i="25"/>
  <c r="AF171" i="25"/>
  <c r="AE171" i="25"/>
  <c r="AF22" i="25"/>
  <c r="AE22" i="25"/>
  <c r="AF56" i="25"/>
  <c r="AE56" i="25"/>
  <c r="AF207" i="25"/>
  <c r="AE207" i="25"/>
  <c r="AF55" i="25"/>
  <c r="AE55" i="25"/>
  <c r="AK129" i="24"/>
  <c r="AN129" i="24"/>
  <c r="AS146" i="25"/>
  <c r="AN238" i="24"/>
  <c r="BI238" i="24" s="1"/>
  <c r="AK238" i="24"/>
  <c r="AK18" i="24"/>
  <c r="AN18" i="24"/>
  <c r="AN174" i="24"/>
  <c r="AK174" i="24"/>
  <c r="AN237" i="24"/>
  <c r="AK237" i="24"/>
  <c r="AS10" i="25"/>
  <c r="AF149" i="25"/>
  <c r="AE149" i="25"/>
  <c r="AK247" i="24"/>
  <c r="AN247" i="24"/>
  <c r="AT152" i="24"/>
  <c r="AK314" i="24"/>
  <c r="AN314" i="24"/>
  <c r="AN59" i="24"/>
  <c r="AK59" i="24"/>
  <c r="AS236" i="25"/>
  <c r="BA312" i="24"/>
  <c r="AT120" i="24"/>
  <c r="AK151" i="24"/>
  <c r="AN151" i="24"/>
  <c r="AS17" i="25"/>
  <c r="AK287" i="24"/>
  <c r="AN287" i="24"/>
  <c r="AK159" i="24"/>
  <c r="AN159" i="24"/>
  <c r="BI159" i="24" s="1"/>
  <c r="AT283" i="24"/>
  <c r="AT128" i="24"/>
  <c r="AF38" i="25"/>
  <c r="AE38" i="25"/>
  <c r="AF35" i="25"/>
  <c r="AE35" i="25"/>
  <c r="AK92" i="24"/>
  <c r="AN92" i="24"/>
  <c r="AS190" i="24"/>
  <c r="BL190" i="24"/>
  <c r="AQ190" i="24"/>
  <c r="BJ190" i="24"/>
  <c r="BH190" i="24"/>
  <c r="BU190" i="24"/>
  <c r="BW190" i="24"/>
  <c r="AX190" i="24"/>
  <c r="AV56" i="24"/>
  <c r="AT56" i="24"/>
  <c r="AS225" i="25"/>
  <c r="AF27" i="25"/>
  <c r="AE27" i="25"/>
  <c r="AK277" i="24"/>
  <c r="AN277" i="24"/>
  <c r="AF64" i="25"/>
  <c r="AE64" i="25"/>
  <c r="AN187" i="24"/>
  <c r="BI187" i="24" s="1"/>
  <c r="AK187" i="24"/>
  <c r="AX92" i="25"/>
  <c r="AW92" i="25"/>
  <c r="AT129" i="24"/>
  <c r="AT235" i="24"/>
  <c r="AK268" i="24"/>
  <c r="AN268" i="24"/>
  <c r="BI268" i="24" s="1"/>
  <c r="AV18" i="24"/>
  <c r="AT18" i="24"/>
  <c r="AF172" i="25"/>
  <c r="AE172" i="25"/>
  <c r="AV20" i="24"/>
  <c r="AT20" i="24"/>
  <c r="AV30" i="24"/>
  <c r="AT30" i="24"/>
  <c r="BA181" i="24"/>
  <c r="AS123" i="25"/>
  <c r="BA315" i="24"/>
  <c r="AT259" i="24"/>
  <c r="AS200" i="25"/>
  <c r="AF51" i="25"/>
  <c r="AE51" i="25"/>
  <c r="AF304" i="25"/>
  <c r="AE304" i="25"/>
  <c r="AK204" i="24"/>
  <c r="AN204" i="24"/>
  <c r="AK138" i="24"/>
  <c r="AN138" i="24"/>
  <c r="BI138" i="24" s="1"/>
  <c r="AN81" i="24"/>
  <c r="AK81" i="24"/>
  <c r="BA115" i="24"/>
  <c r="AF78" i="25"/>
  <c r="AE78" i="25"/>
  <c r="AN131" i="24"/>
  <c r="BI131" i="24" s="1"/>
  <c r="AK131" i="24"/>
  <c r="BA288" i="24"/>
  <c r="AF52" i="25"/>
  <c r="AE52" i="25"/>
  <c r="AS57" i="25"/>
  <c r="AF126" i="25"/>
  <c r="AE126" i="25"/>
  <c r="AN69" i="24"/>
  <c r="CE69" i="24" s="1"/>
  <c r="AK69" i="24"/>
  <c r="AF309" i="25"/>
  <c r="AE309" i="25"/>
  <c r="AW173" i="25"/>
  <c r="AX173" i="25"/>
  <c r="AF23" i="25"/>
  <c r="AE23" i="25"/>
  <c r="AM201" i="25"/>
  <c r="BG201" i="25" s="1"/>
  <c r="AJ201" i="25"/>
  <c r="AX21" i="25"/>
  <c r="AW21" i="25"/>
  <c r="BA143" i="24"/>
  <c r="BA169" i="24"/>
  <c r="AJ71" i="25"/>
  <c r="AM71" i="25"/>
  <c r="AJ87" i="25"/>
  <c r="AM87" i="25"/>
  <c r="BG87" i="25" s="1"/>
  <c r="AK305" i="24"/>
  <c r="AN305" i="24"/>
  <c r="CE305" i="24" s="1"/>
  <c r="AS220" i="25"/>
  <c r="AF316" i="25"/>
  <c r="AE316" i="25"/>
  <c r="AS79" i="25"/>
  <c r="BA307" i="24"/>
  <c r="BA255" i="24"/>
  <c r="BA309" i="24"/>
  <c r="AN246" i="24"/>
  <c r="BI246" i="24" s="1"/>
  <c r="AK246" i="24"/>
  <c r="AS195" i="25"/>
  <c r="AS137" i="25"/>
  <c r="AF72" i="25"/>
  <c r="AE72" i="25"/>
  <c r="AF75" i="25"/>
  <c r="AE75" i="25"/>
  <c r="AX71" i="25"/>
  <c r="AW71" i="25"/>
  <c r="AJ30" i="25"/>
  <c r="AM30" i="25"/>
  <c r="AF242" i="25"/>
  <c r="AE242" i="25"/>
  <c r="BA275" i="24"/>
  <c r="BA194" i="24"/>
  <c r="AS39" i="25"/>
  <c r="AS49" i="25"/>
  <c r="BA254" i="24"/>
  <c r="BA172" i="24"/>
  <c r="AK221" i="24"/>
  <c r="AN221" i="24"/>
  <c r="BI221" i="24" s="1"/>
  <c r="AS264" i="24"/>
  <c r="AU264" i="24" s="1"/>
  <c r="BB264" i="24" s="1"/>
  <c r="AQ264" i="24"/>
  <c r="BJ264" i="24"/>
  <c r="AT258" i="24"/>
  <c r="AF224" i="25"/>
  <c r="AE224" i="25"/>
  <c r="BA262" i="24"/>
  <c r="AF263" i="25"/>
  <c r="AE263" i="25"/>
  <c r="BA163" i="24"/>
  <c r="AN154" i="24"/>
  <c r="BI154" i="24" s="1"/>
  <c r="AK154" i="24"/>
  <c r="AN75" i="24"/>
  <c r="AK75" i="24"/>
  <c r="BA303" i="24"/>
  <c r="AM267" i="25"/>
  <c r="AJ267" i="25"/>
  <c r="AK232" i="24"/>
  <c r="AN232" i="24"/>
  <c r="CE232" i="24" s="1"/>
  <c r="AT280" i="24"/>
  <c r="AS191" i="25"/>
  <c r="AN273" i="24"/>
  <c r="AK273" i="24"/>
  <c r="AS230" i="25"/>
  <c r="AN168" i="24"/>
  <c r="AK168" i="24"/>
  <c r="AK147" i="24"/>
  <c r="AN147" i="24"/>
  <c r="BI147" i="24" s="1"/>
  <c r="AR110" i="25"/>
  <c r="BJ110" i="25"/>
  <c r="BH110" i="25"/>
  <c r="AP110" i="25"/>
  <c r="BU110" i="25"/>
  <c r="BW110" i="25"/>
  <c r="BF110" i="25"/>
  <c r="AK60" i="24"/>
  <c r="AN60" i="24"/>
  <c r="AN192" i="24"/>
  <c r="BI192" i="24" s="1"/>
  <c r="AK192" i="24"/>
  <c r="AV24" i="24"/>
  <c r="AT24" i="24"/>
  <c r="AV54" i="24"/>
  <c r="AT54" i="24"/>
  <c r="AK67" i="24"/>
  <c r="AN67" i="24"/>
  <c r="AF24" i="25"/>
  <c r="AE24" i="25"/>
  <c r="AS187" i="25"/>
  <c r="AF48" i="25"/>
  <c r="AE48" i="25"/>
  <c r="AF152" i="25"/>
  <c r="AE152" i="25"/>
  <c r="AS125" i="25"/>
  <c r="AK78" i="24"/>
  <c r="AN78" i="24"/>
  <c r="BI78" i="24" s="1"/>
  <c r="AX82" i="25"/>
  <c r="AW82" i="25"/>
  <c r="AN242" i="24"/>
  <c r="AK242" i="24"/>
  <c r="AS111" i="25"/>
  <c r="AF222" i="25"/>
  <c r="AE222" i="25"/>
  <c r="AF253" i="25"/>
  <c r="AE253" i="25"/>
  <c r="BG114" i="25" l="1"/>
  <c r="CE114" i="25"/>
  <c r="BI220" i="24"/>
  <c r="CE220" i="24"/>
  <c r="BI260" i="24"/>
  <c r="CE260" i="24"/>
  <c r="BG259" i="25"/>
  <c r="CE259" i="25"/>
  <c r="BI116" i="24"/>
  <c r="CE116" i="24"/>
  <c r="BG13" i="25"/>
  <c r="BJ13" i="25" s="1"/>
  <c r="CE13" i="25"/>
  <c r="BI227" i="24"/>
  <c r="CE227" i="24"/>
  <c r="BI146" i="24"/>
  <c r="CE146" i="24"/>
  <c r="BG261" i="25"/>
  <c r="CE261" i="25"/>
  <c r="BI223" i="24"/>
  <c r="CE223" i="24"/>
  <c r="BG248" i="25"/>
  <c r="BJ248" i="25" s="1"/>
  <c r="CE248" i="25"/>
  <c r="BI217" i="24"/>
  <c r="CE217" i="24"/>
  <c r="BI314" i="24"/>
  <c r="BL314" i="24" s="1"/>
  <c r="CE314" i="24"/>
  <c r="BG31" i="25"/>
  <c r="CE31" i="25"/>
  <c r="BI245" i="24"/>
  <c r="BL245" i="24" s="1"/>
  <c r="CE245" i="24"/>
  <c r="BG243" i="25"/>
  <c r="CE243" i="25"/>
  <c r="BG296" i="25"/>
  <c r="BJ296" i="25" s="1"/>
  <c r="CE296" i="25"/>
  <c r="AM189" i="25"/>
  <c r="BG189" i="25" s="1"/>
  <c r="BJ189" i="25" s="1"/>
  <c r="BG257" i="25"/>
  <c r="BJ257" i="25" s="1"/>
  <c r="CE257" i="25"/>
  <c r="AM155" i="25"/>
  <c r="BG155" i="25" s="1"/>
  <c r="BJ155" i="25" s="1"/>
  <c r="BI174" i="24"/>
  <c r="BL174" i="24" s="1"/>
  <c r="CE174" i="24"/>
  <c r="BI188" i="24"/>
  <c r="BL188" i="24" s="1"/>
  <c r="CE188" i="24"/>
  <c r="BI172" i="24"/>
  <c r="BL172" i="24" s="1"/>
  <c r="CE172" i="24"/>
  <c r="BI175" i="24"/>
  <c r="BL175" i="24" s="1"/>
  <c r="CE175" i="24"/>
  <c r="BG267" i="25"/>
  <c r="CE267" i="25"/>
  <c r="BI270" i="24"/>
  <c r="BL270" i="24" s="1"/>
  <c r="CE270" i="24"/>
  <c r="BI150" i="24"/>
  <c r="BL150" i="24" s="1"/>
  <c r="CE150" i="24"/>
  <c r="BI118" i="24"/>
  <c r="BL118" i="24" s="1"/>
  <c r="CE118" i="24"/>
  <c r="BG113" i="25"/>
  <c r="BJ113" i="25" s="1"/>
  <c r="CE113" i="25"/>
  <c r="AX155" i="24"/>
  <c r="BI155" i="24"/>
  <c r="BL155" i="24" s="1"/>
  <c r="CE277" i="24"/>
  <c r="BI277" i="24"/>
  <c r="BL277" i="24" s="1"/>
  <c r="CE287" i="24"/>
  <c r="BI287" i="24"/>
  <c r="BL287" i="24" s="1"/>
  <c r="AX267" i="24"/>
  <c r="BI267" i="24"/>
  <c r="BL267" i="24" s="1"/>
  <c r="CE302" i="24"/>
  <c r="BI302" i="24"/>
  <c r="BL302" i="24" s="1"/>
  <c r="BH259" i="24"/>
  <c r="BI259" i="24"/>
  <c r="BL259" i="24" s="1"/>
  <c r="CE139" i="24"/>
  <c r="BI139" i="24"/>
  <c r="BL139" i="24" s="1"/>
  <c r="CE250" i="24"/>
  <c r="BI250" i="24"/>
  <c r="BL250" i="24" s="1"/>
  <c r="CE161" i="25"/>
  <c r="BG161" i="25"/>
  <c r="BJ161" i="25" s="1"/>
  <c r="BU123" i="24"/>
  <c r="BI123" i="24"/>
  <c r="BL123" i="24" s="1"/>
  <c r="CE170" i="25"/>
  <c r="BG170" i="25"/>
  <c r="BJ170" i="25" s="1"/>
  <c r="CE310" i="24"/>
  <c r="BI310" i="24"/>
  <c r="BL310" i="24" s="1"/>
  <c r="BH279" i="24"/>
  <c r="BI279" i="24"/>
  <c r="BL279" i="24" s="1"/>
  <c r="AX282" i="24"/>
  <c r="BI282" i="24"/>
  <c r="BL282" i="24" s="1"/>
  <c r="CE305" i="25"/>
  <c r="BG305" i="25"/>
  <c r="BJ305" i="25" s="1"/>
  <c r="CE174" i="25"/>
  <c r="BG174" i="25"/>
  <c r="BJ174" i="25" s="1"/>
  <c r="AX235" i="24"/>
  <c r="BI235" i="24"/>
  <c r="BL235" i="24" s="1"/>
  <c r="AX129" i="24"/>
  <c r="BI129" i="24"/>
  <c r="BL129" i="24" s="1"/>
  <c r="BU153" i="24"/>
  <c r="BI153" i="24"/>
  <c r="BL153" i="24" s="1"/>
  <c r="BU224" i="24"/>
  <c r="BI224" i="24"/>
  <c r="BL224" i="24" s="1"/>
  <c r="CE168" i="24"/>
  <c r="BI168" i="24"/>
  <c r="BL168" i="24" s="1"/>
  <c r="AX247" i="24"/>
  <c r="BI247" i="24"/>
  <c r="BL247" i="24" s="1"/>
  <c r="BU283" i="24"/>
  <c r="BI283" i="24"/>
  <c r="BL283" i="24" s="1"/>
  <c r="AX269" i="24"/>
  <c r="BI269" i="24"/>
  <c r="BL269" i="24" s="1"/>
  <c r="CE157" i="24"/>
  <c r="BI157" i="24"/>
  <c r="BL157" i="24" s="1"/>
  <c r="BU114" i="24"/>
  <c r="BI114" i="24"/>
  <c r="BL114" i="24" s="1"/>
  <c r="CE185" i="24"/>
  <c r="BI185" i="24"/>
  <c r="BL185" i="24" s="1"/>
  <c r="AX219" i="24"/>
  <c r="BI219" i="24"/>
  <c r="BL219" i="24" s="1"/>
  <c r="BW228" i="24"/>
  <c r="BI228" i="24"/>
  <c r="BL228" i="24" s="1"/>
  <c r="CE292" i="25"/>
  <c r="BG292" i="25"/>
  <c r="BJ292" i="25" s="1"/>
  <c r="CE186" i="25"/>
  <c r="BG186" i="25"/>
  <c r="BJ186" i="25" s="1"/>
  <c r="CE186" i="24"/>
  <c r="BI186" i="24"/>
  <c r="BL186" i="24" s="1"/>
  <c r="CE304" i="24"/>
  <c r="BI304" i="24"/>
  <c r="BL304" i="24" s="1"/>
  <c r="BW130" i="24"/>
  <c r="BI130" i="24"/>
  <c r="BL130" i="24" s="1"/>
  <c r="CE161" i="24"/>
  <c r="BI161" i="24"/>
  <c r="BL161" i="24" s="1"/>
  <c r="CE283" i="25"/>
  <c r="BG283" i="25"/>
  <c r="BJ283" i="25" s="1"/>
  <c r="CE173" i="25"/>
  <c r="BG173" i="25"/>
  <c r="BJ173" i="25" s="1"/>
  <c r="CE209" i="24"/>
  <c r="BI209" i="24"/>
  <c r="BL209" i="24" s="1"/>
  <c r="CE199" i="24"/>
  <c r="BI199" i="24"/>
  <c r="BL199" i="24" s="1"/>
  <c r="BW271" i="24"/>
  <c r="BI271" i="24"/>
  <c r="BL271" i="24" s="1"/>
  <c r="BH248" i="24"/>
  <c r="BI248" i="24"/>
  <c r="BL248" i="24" s="1"/>
  <c r="AX280" i="24"/>
  <c r="BI280" i="24"/>
  <c r="BL280" i="24" s="1"/>
  <c r="BU232" i="24"/>
  <c r="BI232" i="24"/>
  <c r="BL232" i="24" s="1"/>
  <c r="CE306" i="25"/>
  <c r="BG306" i="25"/>
  <c r="BJ306" i="25" s="1"/>
  <c r="CE165" i="24"/>
  <c r="BI165" i="24"/>
  <c r="BL165" i="24" s="1"/>
  <c r="CE205" i="24"/>
  <c r="BI205" i="24"/>
  <c r="BL205" i="24" s="1"/>
  <c r="CE177" i="25"/>
  <c r="BG177" i="25"/>
  <c r="BJ177" i="25" s="1"/>
  <c r="CE202" i="24"/>
  <c r="BI202" i="24"/>
  <c r="BL202" i="24" s="1"/>
  <c r="CE156" i="24"/>
  <c r="BI156" i="24"/>
  <c r="BL156" i="24" s="1"/>
  <c r="CE151" i="24"/>
  <c r="BI151" i="24"/>
  <c r="BL151" i="24" s="1"/>
  <c r="CE173" i="24"/>
  <c r="BI173" i="24"/>
  <c r="BL173" i="24" s="1"/>
  <c r="AX258" i="24"/>
  <c r="BI258" i="24"/>
  <c r="BL258" i="24" s="1"/>
  <c r="AX263" i="24"/>
  <c r="BI263" i="24"/>
  <c r="BL263" i="24" s="1"/>
  <c r="AX243" i="24"/>
  <c r="BI243" i="24"/>
  <c r="BL243" i="24" s="1"/>
  <c r="CE206" i="24"/>
  <c r="BI206" i="24"/>
  <c r="BL206" i="24" s="1"/>
  <c r="CE189" i="25"/>
  <c r="CE180" i="24"/>
  <c r="BI180" i="24"/>
  <c r="BL180" i="24" s="1"/>
  <c r="AX305" i="24"/>
  <c r="BI305" i="24"/>
  <c r="BL305" i="24" s="1"/>
  <c r="BH237" i="24"/>
  <c r="BI237" i="24"/>
  <c r="BL237" i="24" s="1"/>
  <c r="AX249" i="24"/>
  <c r="BI249" i="24"/>
  <c r="BL249" i="24" s="1"/>
  <c r="CE210" i="24"/>
  <c r="BI210" i="24"/>
  <c r="BL210" i="24" s="1"/>
  <c r="AX152" i="24"/>
  <c r="BI152" i="24"/>
  <c r="BL152" i="24" s="1"/>
  <c r="BH295" i="24"/>
  <c r="BI295" i="24"/>
  <c r="BL295" i="24" s="1"/>
  <c r="BU301" i="24"/>
  <c r="BI301" i="24"/>
  <c r="BL301" i="24" s="1"/>
  <c r="CE201" i="24"/>
  <c r="BI201" i="24"/>
  <c r="BL201" i="24" s="1"/>
  <c r="BU112" i="24"/>
  <c r="BI112" i="24"/>
  <c r="BL112" i="24" s="1"/>
  <c r="BW261" i="24"/>
  <c r="BI261" i="24"/>
  <c r="BL261" i="24" s="1"/>
  <c r="CE204" i="24"/>
  <c r="BI204" i="24"/>
  <c r="BL204" i="24" s="1"/>
  <c r="BW121" i="24"/>
  <c r="BI121" i="24"/>
  <c r="BL121" i="24" s="1"/>
  <c r="CE170" i="24"/>
  <c r="BI170" i="24"/>
  <c r="BL170" i="24" s="1"/>
  <c r="CE135" i="24"/>
  <c r="BI135" i="24"/>
  <c r="BL135" i="24" s="1"/>
  <c r="CE200" i="24"/>
  <c r="BI200" i="24"/>
  <c r="BL200" i="24" s="1"/>
  <c r="BW128" i="24"/>
  <c r="BI128" i="24"/>
  <c r="BL128" i="24" s="1"/>
  <c r="CE203" i="24"/>
  <c r="BI203" i="24"/>
  <c r="BL203" i="24" s="1"/>
  <c r="CE166" i="24"/>
  <c r="BI166" i="24"/>
  <c r="BL166" i="24" s="1"/>
  <c r="BH148" i="24"/>
  <c r="BI148" i="24"/>
  <c r="BL148" i="24" s="1"/>
  <c r="AX145" i="24"/>
  <c r="BI145" i="24"/>
  <c r="BL145" i="24" s="1"/>
  <c r="AX298" i="24"/>
  <c r="BI298" i="24"/>
  <c r="BL298" i="24" s="1"/>
  <c r="CE179" i="24"/>
  <c r="BI179" i="24"/>
  <c r="BL179" i="24" s="1"/>
  <c r="CE275" i="24"/>
  <c r="BI275" i="24"/>
  <c r="BL275" i="24" s="1"/>
  <c r="CE190" i="25"/>
  <c r="BG190" i="25"/>
  <c r="BJ190" i="25" s="1"/>
  <c r="AX273" i="24"/>
  <c r="BI273" i="24"/>
  <c r="BL273" i="24" s="1"/>
  <c r="BU133" i="24"/>
  <c r="BI133" i="24"/>
  <c r="BL133" i="24" s="1"/>
  <c r="BU120" i="24"/>
  <c r="BI120" i="24"/>
  <c r="BL120" i="24" s="1"/>
  <c r="CE147" i="25"/>
  <c r="BG147" i="25"/>
  <c r="BJ147" i="25" s="1"/>
  <c r="CE111" i="24"/>
  <c r="BI111" i="24"/>
  <c r="BL111" i="24" s="1"/>
  <c r="CE163" i="24"/>
  <c r="BI163" i="24"/>
  <c r="BL163" i="24" s="1"/>
  <c r="CE192" i="25"/>
  <c r="BG192" i="25"/>
  <c r="BJ192" i="25" s="1"/>
  <c r="CE127" i="24"/>
  <c r="BI127" i="24"/>
  <c r="BL127" i="24" s="1"/>
  <c r="BU266" i="24"/>
  <c r="BI266" i="24"/>
  <c r="BL266" i="24" s="1"/>
  <c r="CE137" i="24"/>
  <c r="BI137" i="24"/>
  <c r="BL137" i="24" s="1"/>
  <c r="AX281" i="24"/>
  <c r="BI281" i="24"/>
  <c r="BL281" i="24" s="1"/>
  <c r="CE182" i="24"/>
  <c r="BI182" i="24"/>
  <c r="BL182" i="24" s="1"/>
  <c r="AX253" i="24"/>
  <c r="BI253" i="24"/>
  <c r="BL253" i="24" s="1"/>
  <c r="BU274" i="24"/>
  <c r="BI274" i="24"/>
  <c r="BL274" i="24" s="1"/>
  <c r="CE193" i="24"/>
  <c r="BI193" i="24"/>
  <c r="BL193" i="24" s="1"/>
  <c r="CE306" i="24"/>
  <c r="BI306" i="24"/>
  <c r="BL306" i="24" s="1"/>
  <c r="CE242" i="24"/>
  <c r="BI242" i="24"/>
  <c r="BL242" i="24" s="1"/>
  <c r="BW240" i="24"/>
  <c r="BI240" i="24"/>
  <c r="BL240" i="24" s="1"/>
  <c r="CE178" i="24"/>
  <c r="BI178" i="24"/>
  <c r="BL178" i="24" s="1"/>
  <c r="CE208" i="24"/>
  <c r="BI208" i="24"/>
  <c r="BL208" i="24" s="1"/>
  <c r="CE307" i="24"/>
  <c r="BI307" i="24"/>
  <c r="BL307" i="24" s="1"/>
  <c r="AX125" i="24"/>
  <c r="BI125" i="24"/>
  <c r="BL125" i="24" s="1"/>
  <c r="BU59" i="24"/>
  <c r="BI59" i="24"/>
  <c r="BL59" i="24" s="1"/>
  <c r="AX12" i="24"/>
  <c r="BI12" i="24"/>
  <c r="BL12" i="24" s="1"/>
  <c r="BU103" i="24"/>
  <c r="BI103" i="24"/>
  <c r="BL103" i="24" s="1"/>
  <c r="CE74" i="24"/>
  <c r="BI74" i="24"/>
  <c r="BL74" i="24" s="1"/>
  <c r="BU52" i="24"/>
  <c r="BI52" i="24"/>
  <c r="BL52" i="24" s="1"/>
  <c r="BU72" i="24"/>
  <c r="BI72" i="24"/>
  <c r="BL72" i="24" s="1"/>
  <c r="BU27" i="24"/>
  <c r="BI27" i="24"/>
  <c r="BL27" i="24" s="1"/>
  <c r="BU38" i="24"/>
  <c r="BI38" i="24"/>
  <c r="BL38" i="24" s="1"/>
  <c r="BU91" i="24"/>
  <c r="BI91" i="24"/>
  <c r="BL91" i="24" s="1"/>
  <c r="BU18" i="24"/>
  <c r="BI18" i="24"/>
  <c r="BL18" i="24" s="1"/>
  <c r="BU73" i="24"/>
  <c r="BI73" i="24"/>
  <c r="BL73" i="24" s="1"/>
  <c r="BU39" i="24"/>
  <c r="BI39" i="24"/>
  <c r="BL39" i="24" s="1"/>
  <c r="AX17" i="24"/>
  <c r="BI17" i="24"/>
  <c r="BL17" i="24" s="1"/>
  <c r="BU83" i="24"/>
  <c r="BI83" i="24"/>
  <c r="BL83" i="24" s="1"/>
  <c r="BU31" i="24"/>
  <c r="BI31" i="24"/>
  <c r="BL31" i="24" s="1"/>
  <c r="BH34" i="24"/>
  <c r="BI34" i="24"/>
  <c r="BL34" i="24" s="1"/>
  <c r="BU98" i="24"/>
  <c r="BI98" i="24"/>
  <c r="BL98" i="24" s="1"/>
  <c r="AX19" i="24"/>
  <c r="BI19" i="24"/>
  <c r="BL19" i="24" s="1"/>
  <c r="BU33" i="24"/>
  <c r="BI33" i="24"/>
  <c r="BL33" i="24" s="1"/>
  <c r="BU90" i="24"/>
  <c r="BI90" i="24"/>
  <c r="BL90" i="24" s="1"/>
  <c r="BW37" i="24"/>
  <c r="BI37" i="24"/>
  <c r="BL37" i="24" s="1"/>
  <c r="CE79" i="24"/>
  <c r="BI79" i="24"/>
  <c r="BL79" i="24" s="1"/>
  <c r="CE71" i="25"/>
  <c r="BG71" i="25"/>
  <c r="BJ71" i="25" s="1"/>
  <c r="BU60" i="24"/>
  <c r="BI60" i="24"/>
  <c r="BL60" i="24" s="1"/>
  <c r="BU75" i="24"/>
  <c r="BI75" i="24"/>
  <c r="BL75" i="24" s="1"/>
  <c r="CE30" i="25"/>
  <c r="BG30" i="25"/>
  <c r="BJ30" i="25" s="1"/>
  <c r="BU100" i="24"/>
  <c r="BI100" i="24"/>
  <c r="BL100" i="24" s="1"/>
  <c r="BU99" i="24"/>
  <c r="BI99" i="24"/>
  <c r="BL99" i="24" s="1"/>
  <c r="BU80" i="24"/>
  <c r="BI80" i="24"/>
  <c r="BL80" i="24" s="1"/>
  <c r="CE82" i="25"/>
  <c r="BG82" i="25"/>
  <c r="BJ82" i="25" s="1"/>
  <c r="BH51" i="24"/>
  <c r="BI51" i="24"/>
  <c r="BL51" i="24" s="1"/>
  <c r="BU13" i="24"/>
  <c r="BI13" i="24"/>
  <c r="BL13" i="24" s="1"/>
  <c r="BW54" i="24"/>
  <c r="BI54" i="24"/>
  <c r="BL54" i="24" s="1"/>
  <c r="BH20" i="24"/>
  <c r="BI20" i="24"/>
  <c r="BL20" i="24" s="1"/>
  <c r="BW58" i="24"/>
  <c r="BI58" i="24"/>
  <c r="BL58" i="24" s="1"/>
  <c r="BW9" i="24"/>
  <c r="BI9" i="24"/>
  <c r="BL9" i="24" s="1"/>
  <c r="BU70" i="24"/>
  <c r="BI70" i="24"/>
  <c r="BL70" i="24" s="1"/>
  <c r="BU63" i="24"/>
  <c r="BI63" i="24"/>
  <c r="BL63" i="24" s="1"/>
  <c r="BU65" i="24"/>
  <c r="BI65" i="24"/>
  <c r="BL65" i="24" s="1"/>
  <c r="BU69" i="24"/>
  <c r="BI69" i="24"/>
  <c r="BL69" i="24" s="1"/>
  <c r="CE92" i="24"/>
  <c r="BI92" i="24"/>
  <c r="BL92" i="24" s="1"/>
  <c r="BH32" i="24"/>
  <c r="BI32" i="24"/>
  <c r="BL32" i="24" s="1"/>
  <c r="CE102" i="24"/>
  <c r="BI102" i="24"/>
  <c r="BL102" i="24" s="1"/>
  <c r="BU49" i="24"/>
  <c r="BI49" i="24"/>
  <c r="BL49" i="24" s="1"/>
  <c r="BU97" i="24"/>
  <c r="BI97" i="24"/>
  <c r="BL97" i="24" s="1"/>
  <c r="BU89" i="24"/>
  <c r="BI89" i="24"/>
  <c r="BL89" i="24" s="1"/>
  <c r="CE14" i="25"/>
  <c r="BG14" i="25"/>
  <c r="BJ14" i="25" s="1"/>
  <c r="BU96" i="24"/>
  <c r="BI96" i="24"/>
  <c r="BL96" i="24" s="1"/>
  <c r="BU29" i="24"/>
  <c r="BI29" i="24"/>
  <c r="BL29" i="24" s="1"/>
  <c r="BU48" i="24"/>
  <c r="BI48" i="24"/>
  <c r="BL48" i="24" s="1"/>
  <c r="BU81" i="24"/>
  <c r="BI81" i="24"/>
  <c r="BL81" i="24" s="1"/>
  <c r="BU28" i="24"/>
  <c r="BI28" i="24"/>
  <c r="BL28" i="24" s="1"/>
  <c r="BU87" i="24"/>
  <c r="BI87" i="24"/>
  <c r="BL87" i="24" s="1"/>
  <c r="BU93" i="24"/>
  <c r="BI93" i="24"/>
  <c r="BL93" i="24" s="1"/>
  <c r="BU94" i="24"/>
  <c r="BI94" i="24"/>
  <c r="BL94" i="24" s="1"/>
  <c r="BW26" i="24"/>
  <c r="BI26" i="24"/>
  <c r="BL26" i="24" s="1"/>
  <c r="CE92" i="25"/>
  <c r="BG92" i="25"/>
  <c r="BJ92" i="25" s="1"/>
  <c r="BU86" i="24"/>
  <c r="BI86" i="24"/>
  <c r="BL86" i="24" s="1"/>
  <c r="BU67" i="24"/>
  <c r="BI67" i="24"/>
  <c r="BL67" i="24" s="1"/>
  <c r="BU85" i="24"/>
  <c r="BI85" i="24"/>
  <c r="BL85" i="24" s="1"/>
  <c r="BU84" i="24"/>
  <c r="BI84" i="24"/>
  <c r="BL84" i="24" s="1"/>
  <c r="BU76" i="24"/>
  <c r="BI76" i="24"/>
  <c r="BL76" i="24" s="1"/>
  <c r="BU40" i="24"/>
  <c r="BI40" i="24"/>
  <c r="BL40" i="24" s="1"/>
  <c r="BU10" i="24"/>
  <c r="BI10" i="24"/>
  <c r="BL10" i="24" s="1"/>
  <c r="BU43" i="24"/>
  <c r="BI43" i="24"/>
  <c r="BL43" i="24" s="1"/>
  <c r="BU46" i="24"/>
  <c r="BI46" i="24"/>
  <c r="BL46" i="24" s="1"/>
  <c r="BW57" i="24"/>
  <c r="BI57" i="24"/>
  <c r="BL57" i="24" s="1"/>
  <c r="CE89" i="25"/>
  <c r="BG89" i="25"/>
  <c r="BJ89" i="25" s="1"/>
  <c r="BU36" i="24"/>
  <c r="BI36" i="24"/>
  <c r="BL36" i="24" s="1"/>
  <c r="BU68" i="24"/>
  <c r="BI68" i="24"/>
  <c r="BL68" i="24" s="1"/>
  <c r="BU42" i="24"/>
  <c r="BI42" i="24"/>
  <c r="BL42" i="24" s="1"/>
  <c r="BW8" i="24"/>
  <c r="BI8" i="24"/>
  <c r="BL8" i="24" s="1"/>
  <c r="BU105" i="24"/>
  <c r="BI105" i="24"/>
  <c r="BL105" i="24" s="1"/>
  <c r="BU56" i="24"/>
  <c r="BI56" i="24"/>
  <c r="BL56" i="24" s="1"/>
  <c r="CE6" i="25"/>
  <c r="BG6" i="25"/>
  <c r="BJ6" i="25" s="1"/>
  <c r="BU104" i="24"/>
  <c r="BI104" i="24"/>
  <c r="BL104" i="24" s="1"/>
  <c r="BU16" i="24"/>
  <c r="BI16" i="24"/>
  <c r="BL16" i="24" s="1"/>
  <c r="BU53" i="24"/>
  <c r="BI53" i="24"/>
  <c r="BL53" i="24" s="1"/>
  <c r="BU64" i="24"/>
  <c r="BI64" i="24"/>
  <c r="BL64" i="24" s="1"/>
  <c r="BU71" i="24"/>
  <c r="BI71" i="24"/>
  <c r="BL71" i="24" s="1"/>
  <c r="BU11" i="24"/>
  <c r="BI11" i="24"/>
  <c r="BL11" i="24" s="1"/>
  <c r="BU15" i="24"/>
  <c r="BI15" i="24"/>
  <c r="BL15" i="24" s="1"/>
  <c r="BU25" i="24"/>
  <c r="BI25" i="24"/>
  <c r="BL25" i="24" s="1"/>
  <c r="BU82" i="24"/>
  <c r="BI82" i="24"/>
  <c r="BL82" i="24" s="1"/>
  <c r="BU88" i="24"/>
  <c r="BI88" i="24"/>
  <c r="BL88" i="24" s="1"/>
  <c r="BU50" i="24"/>
  <c r="BI50" i="24"/>
  <c r="BL50" i="24" s="1"/>
  <c r="BU24" i="24"/>
  <c r="BI24" i="24"/>
  <c r="BL24" i="24" s="1"/>
  <c r="BU47" i="24"/>
  <c r="BI47" i="24"/>
  <c r="BL47" i="24" s="1"/>
  <c r="CE21" i="25"/>
  <c r="BG21" i="25"/>
  <c r="BJ21" i="25" s="1"/>
  <c r="BU95" i="24"/>
  <c r="BI95" i="24"/>
  <c r="BL95" i="24" s="1"/>
  <c r="BU77" i="24"/>
  <c r="BI77" i="24"/>
  <c r="BL77" i="24" s="1"/>
  <c r="AX35" i="24"/>
  <c r="BI35" i="24"/>
  <c r="BL35" i="24" s="1"/>
  <c r="CE62" i="25"/>
  <c r="BG62" i="25"/>
  <c r="BJ62" i="25" s="1"/>
  <c r="BH238" i="24"/>
  <c r="CE238" i="24"/>
  <c r="BU23" i="24"/>
  <c r="CE23" i="24"/>
  <c r="BW30" i="24"/>
  <c r="CE30" i="24"/>
  <c r="AM280" i="25"/>
  <c r="AR280" i="25" s="1"/>
  <c r="AX126" i="24"/>
  <c r="CE126" i="24"/>
  <c r="BU78" i="24"/>
  <c r="CE78" i="24"/>
  <c r="BU62" i="24"/>
  <c r="CE62" i="24"/>
  <c r="BU61" i="24"/>
  <c r="CE61" i="24"/>
  <c r="BU284" i="24"/>
  <c r="CE284" i="24"/>
  <c r="AX117" i="24"/>
  <c r="CE117" i="24"/>
  <c r="BU14" i="24"/>
  <c r="CE14" i="24"/>
  <c r="AX225" i="24"/>
  <c r="CE225" i="24"/>
  <c r="BW297" i="24"/>
  <c r="CE297" i="24"/>
  <c r="BU66" i="24"/>
  <c r="CE66" i="24"/>
  <c r="AX6" i="24"/>
  <c r="CE6" i="24"/>
  <c r="BW218" i="24"/>
  <c r="CE218" i="24"/>
  <c r="BU37" i="24"/>
  <c r="BU30" i="24"/>
  <c r="BU102" i="24"/>
  <c r="BU19" i="24"/>
  <c r="BU79" i="24"/>
  <c r="BU92" i="24"/>
  <c r="BU57" i="24"/>
  <c r="BU74" i="24"/>
  <c r="BU17" i="24"/>
  <c r="BU58" i="24"/>
  <c r="BU9" i="24"/>
  <c r="BU35" i="24"/>
  <c r="BU26" i="24"/>
  <c r="BU34" i="24"/>
  <c r="BU51" i="24"/>
  <c r="BU54" i="24"/>
  <c r="BU20" i="24"/>
  <c r="BU8" i="24"/>
  <c r="BU6" i="24"/>
  <c r="BU12" i="24"/>
  <c r="BU32" i="24"/>
  <c r="AM11" i="25"/>
  <c r="CE87" i="24"/>
  <c r="CE97" i="24"/>
  <c r="AP206" i="25"/>
  <c r="CE206" i="25"/>
  <c r="CE73" i="24"/>
  <c r="AX56" i="24"/>
  <c r="CE56" i="24"/>
  <c r="AP198" i="25"/>
  <c r="CE198" i="25"/>
  <c r="BW299" i="24"/>
  <c r="CE299" i="24"/>
  <c r="CE80" i="24"/>
  <c r="CE88" i="24"/>
  <c r="CE104" i="24"/>
  <c r="AP204" i="25"/>
  <c r="CE204" i="25"/>
  <c r="CE81" i="24"/>
  <c r="CE98" i="24"/>
  <c r="AM96" i="25"/>
  <c r="BG96" i="25" s="1"/>
  <c r="CE103" i="24"/>
  <c r="B48" i="2"/>
  <c r="D48" i="2" s="1"/>
  <c r="AP199" i="25"/>
  <c r="CE199" i="25"/>
  <c r="AP201" i="25"/>
  <c r="CE201" i="25"/>
  <c r="AM104" i="25"/>
  <c r="CE105" i="24"/>
  <c r="BH290" i="24"/>
  <c r="CE290" i="24"/>
  <c r="AM258" i="25"/>
  <c r="CE258" i="25" s="1"/>
  <c r="BW281" i="24"/>
  <c r="AM154" i="25"/>
  <c r="BG154" i="25" s="1"/>
  <c r="AM97" i="25"/>
  <c r="BU125" i="24"/>
  <c r="BW125" i="24"/>
  <c r="BH125" i="24"/>
  <c r="AJ154" i="25"/>
  <c r="BH224" i="24"/>
  <c r="AJ29" i="25"/>
  <c r="AM179" i="25"/>
  <c r="BG179" i="25" s="1"/>
  <c r="AX224" i="24"/>
  <c r="BW224" i="24"/>
  <c r="AM265" i="25"/>
  <c r="AX20" i="24"/>
  <c r="BH123" i="24"/>
  <c r="AX123" i="24"/>
  <c r="BW123" i="24"/>
  <c r="BH112" i="24"/>
  <c r="AX112" i="24"/>
  <c r="BW112" i="24"/>
  <c r="AJ291" i="25"/>
  <c r="BU219" i="24"/>
  <c r="AX51" i="24"/>
  <c r="BW280" i="24"/>
  <c r="AX33" i="24"/>
  <c r="AX58" i="24"/>
  <c r="BH228" i="24"/>
  <c r="BW284" i="24"/>
  <c r="BW235" i="24"/>
  <c r="AX218" i="24"/>
  <c r="BU259" i="24"/>
  <c r="AX259" i="24"/>
  <c r="BW152" i="24"/>
  <c r="BU152" i="24"/>
  <c r="BW20" i="24"/>
  <c r="AJ28" i="25"/>
  <c r="BW51" i="24"/>
  <c r="BH152" i="24"/>
  <c r="BW24" i="24"/>
  <c r="BH24" i="24"/>
  <c r="BH128" i="24"/>
  <c r="AX24" i="24"/>
  <c r="BW56" i="24"/>
  <c r="BH56" i="24"/>
  <c r="BH274" i="24"/>
  <c r="AX274" i="24"/>
  <c r="BW274" i="24"/>
  <c r="BH261" i="24"/>
  <c r="BH284" i="24"/>
  <c r="AX284" i="24"/>
  <c r="BU243" i="24"/>
  <c r="BW219" i="24"/>
  <c r="BH58" i="24"/>
  <c r="BW243" i="24"/>
  <c r="AX261" i="24"/>
  <c r="BU261" i="24"/>
  <c r="BH219" i="24"/>
  <c r="BH243" i="24"/>
  <c r="BW259" i="24"/>
  <c r="AW292" i="24"/>
  <c r="BD292" i="24" s="1"/>
  <c r="BW19" i="24"/>
  <c r="BW48" i="24"/>
  <c r="AX128" i="24"/>
  <c r="AX228" i="24"/>
  <c r="BH26" i="24"/>
  <c r="AX26" i="24"/>
  <c r="BU148" i="24"/>
  <c r="BU128" i="24"/>
  <c r="BU228" i="24"/>
  <c r="BH19" i="24"/>
  <c r="AJ237" i="25"/>
  <c r="AM237" i="25"/>
  <c r="BG237" i="25" s="1"/>
  <c r="BH297" i="24"/>
  <c r="BH33" i="24"/>
  <c r="AX297" i="24"/>
  <c r="BW283" i="24"/>
  <c r="BU297" i="24"/>
  <c r="BW33" i="24"/>
  <c r="BU280" i="24"/>
  <c r="BH30" i="24"/>
  <c r="BW18" i="24"/>
  <c r="BH271" i="24"/>
  <c r="AX30" i="24"/>
  <c r="BH48" i="24"/>
  <c r="AX271" i="24"/>
  <c r="AX48" i="24"/>
  <c r="BH37" i="24"/>
  <c r="BU271" i="24"/>
  <c r="BW153" i="24"/>
  <c r="BH280" i="24"/>
  <c r="BW35" i="24"/>
  <c r="S212" i="25"/>
  <c r="K212" i="25" s="1"/>
  <c r="R212" i="25"/>
  <c r="Q212" i="25"/>
  <c r="BZ212" i="25"/>
  <c r="AO212" i="25"/>
  <c r="BH153" i="24"/>
  <c r="AX153" i="24"/>
  <c r="BU298" i="24"/>
  <c r="BU258" i="24"/>
  <c r="BW298" i="24"/>
  <c r="BU130" i="24"/>
  <c r="BW148" i="24"/>
  <c r="BW129" i="24"/>
  <c r="BH298" i="24"/>
  <c r="BH18" i="24"/>
  <c r="BH218" i="24"/>
  <c r="BU218" i="24"/>
  <c r="AJ77" i="25"/>
  <c r="AM77" i="25"/>
  <c r="BU129" i="24"/>
  <c r="AX283" i="24"/>
  <c r="AX18" i="24"/>
  <c r="BH129" i="24"/>
  <c r="BH35" i="24"/>
  <c r="BH54" i="24"/>
  <c r="BW258" i="24"/>
  <c r="BU235" i="24"/>
  <c r="BH299" i="24"/>
  <c r="BU281" i="24"/>
  <c r="AX37" i="24"/>
  <c r="BH120" i="24"/>
  <c r="BU299" i="24"/>
  <c r="AX54" i="24"/>
  <c r="AX299" i="24"/>
  <c r="BH258" i="24"/>
  <c r="BH235" i="24"/>
  <c r="BW120" i="24"/>
  <c r="BH130" i="24"/>
  <c r="BH281" i="24"/>
  <c r="AX148" i="24"/>
  <c r="BH57" i="24"/>
  <c r="AX57" i="24"/>
  <c r="AS242" i="24"/>
  <c r="AU242" i="24" s="1"/>
  <c r="BB242" i="24" s="1"/>
  <c r="BJ242" i="24"/>
  <c r="AQ242" i="24"/>
  <c r="BL192" i="24"/>
  <c r="AS192" i="24"/>
  <c r="AQ192" i="24"/>
  <c r="BJ192" i="24"/>
  <c r="BH192" i="24"/>
  <c r="BU192" i="24"/>
  <c r="BW192" i="24"/>
  <c r="AX192" i="24"/>
  <c r="AJ48" i="25"/>
  <c r="AM48" i="25"/>
  <c r="AS60" i="24"/>
  <c r="BJ60" i="24"/>
  <c r="AQ60" i="24"/>
  <c r="BW60" i="24"/>
  <c r="AX60" i="24"/>
  <c r="BH60" i="24"/>
  <c r="AT110" i="25"/>
  <c r="AY110" i="25" s="1"/>
  <c r="AU110" i="25"/>
  <c r="AR267" i="25"/>
  <c r="BJ267" i="25"/>
  <c r="AP267" i="25"/>
  <c r="BH267" i="25"/>
  <c r="BU267" i="25"/>
  <c r="BW267" i="25"/>
  <c r="BF267" i="25"/>
  <c r="AM52" i="25"/>
  <c r="AJ52" i="25"/>
  <c r="AW111" i="25"/>
  <c r="AX111" i="25"/>
  <c r="AX125" i="25"/>
  <c r="AW125" i="25"/>
  <c r="AJ24" i="25"/>
  <c r="AM24" i="25"/>
  <c r="BG24" i="25" s="1"/>
  <c r="BL147" i="24"/>
  <c r="AS147" i="24"/>
  <c r="AU147" i="24" s="1"/>
  <c r="BB147" i="24" s="1"/>
  <c r="BJ147" i="24"/>
  <c r="AQ147" i="24"/>
  <c r="AX191" i="25"/>
  <c r="AW191" i="25"/>
  <c r="BL221" i="24"/>
  <c r="AS221" i="24"/>
  <c r="BJ221" i="24"/>
  <c r="AQ221" i="24"/>
  <c r="BU221" i="24"/>
  <c r="BW221" i="24"/>
  <c r="AX221" i="24"/>
  <c r="BH221" i="24"/>
  <c r="AR201" i="25"/>
  <c r="BJ201" i="25"/>
  <c r="BH201" i="25"/>
  <c r="BF201" i="25"/>
  <c r="BW201" i="25"/>
  <c r="BU201" i="25"/>
  <c r="AM309" i="25"/>
  <c r="AJ309" i="25"/>
  <c r="AM304" i="25"/>
  <c r="BG304" i="25" s="1"/>
  <c r="AJ304" i="25"/>
  <c r="BA56" i="24"/>
  <c r="AS287" i="24"/>
  <c r="AQ287" i="24"/>
  <c r="BJ287" i="24"/>
  <c r="BU287" i="24"/>
  <c r="AX287" i="24"/>
  <c r="BH287" i="24"/>
  <c r="BW287" i="24"/>
  <c r="AS174" i="24"/>
  <c r="BJ174" i="24"/>
  <c r="AQ174" i="24"/>
  <c r="AX174" i="24"/>
  <c r="BH174" i="24"/>
  <c r="BW174" i="24"/>
  <c r="BU174" i="24"/>
  <c r="AX146" i="25"/>
  <c r="AW146" i="25"/>
  <c r="AM122" i="25"/>
  <c r="AJ122" i="25"/>
  <c r="AW182" i="25"/>
  <c r="AX182" i="25"/>
  <c r="AS265" i="24"/>
  <c r="AU265" i="24" s="1"/>
  <c r="BB265" i="24" s="1"/>
  <c r="BL265" i="24"/>
  <c r="AQ265" i="24"/>
  <c r="BJ265" i="24"/>
  <c r="AJ50" i="25"/>
  <c r="AM50" i="25"/>
  <c r="BG50" i="25" s="1"/>
  <c r="AJ256" i="25"/>
  <c r="AM256" i="25"/>
  <c r="BG256" i="25" s="1"/>
  <c r="AS111" i="24"/>
  <c r="AU111" i="24" s="1"/>
  <c r="BB111" i="24" s="1"/>
  <c r="AQ111" i="24"/>
  <c r="BJ111" i="24"/>
  <c r="AS95" i="24"/>
  <c r="BJ95" i="24"/>
  <c r="AQ95" i="24"/>
  <c r="BW95" i="24"/>
  <c r="AX95" i="24"/>
  <c r="BH95" i="24"/>
  <c r="AJ205" i="25"/>
  <c r="AM205" i="25"/>
  <c r="BG205" i="25" s="1"/>
  <c r="AR13" i="25"/>
  <c r="AP13" i="25"/>
  <c r="BH13" i="25"/>
  <c r="BF13" i="25"/>
  <c r="BU13" i="25"/>
  <c r="BW13" i="25"/>
  <c r="BA237" i="24"/>
  <c r="AM203" i="25"/>
  <c r="BG203" i="25" s="1"/>
  <c r="AJ203" i="25"/>
  <c r="BL260" i="24"/>
  <c r="AS260" i="24"/>
  <c r="AU260" i="24" s="1"/>
  <c r="BB260" i="24" s="1"/>
  <c r="BJ260" i="24"/>
  <c r="AQ260" i="24"/>
  <c r="BA35" i="24"/>
  <c r="AS139" i="24"/>
  <c r="BJ139" i="24"/>
  <c r="AQ139" i="24"/>
  <c r="BH139" i="24"/>
  <c r="BW139" i="24"/>
  <c r="BU139" i="24"/>
  <c r="AX139" i="24"/>
  <c r="AS50" i="24"/>
  <c r="BJ50" i="24"/>
  <c r="AQ50" i="24"/>
  <c r="AX50" i="24"/>
  <c r="BH50" i="24"/>
  <c r="BW50" i="24"/>
  <c r="AS141" i="24"/>
  <c r="BL141" i="24"/>
  <c r="BJ141" i="24"/>
  <c r="AQ141" i="24"/>
  <c r="AX141" i="24"/>
  <c r="BH141" i="24"/>
  <c r="BU141" i="24"/>
  <c r="BW141" i="24"/>
  <c r="AS97" i="24"/>
  <c r="BJ97" i="24"/>
  <c r="AQ97" i="24"/>
  <c r="AX97" i="24"/>
  <c r="BH97" i="24"/>
  <c r="BW97" i="24"/>
  <c r="AX140" i="25"/>
  <c r="AW140" i="25"/>
  <c r="AW205" i="25"/>
  <c r="AX205" i="25"/>
  <c r="AM98" i="25"/>
  <c r="BG98" i="25" s="1"/>
  <c r="AJ98" i="25"/>
  <c r="AS118" i="24"/>
  <c r="AQ118" i="24"/>
  <c r="BJ118" i="24"/>
  <c r="BU118" i="24"/>
  <c r="BW118" i="24"/>
  <c r="AX118" i="24"/>
  <c r="BH118" i="24"/>
  <c r="AX203" i="25"/>
  <c r="AW203" i="25"/>
  <c r="BL256" i="24"/>
  <c r="AS256" i="24"/>
  <c r="BJ256" i="24"/>
  <c r="AQ256" i="24"/>
  <c r="BH256" i="24"/>
  <c r="BU256" i="24"/>
  <c r="BW256" i="24"/>
  <c r="AX256" i="24"/>
  <c r="AR261" i="25"/>
  <c r="BJ261" i="25"/>
  <c r="BH261" i="25"/>
  <c r="AP261" i="25"/>
  <c r="BF261" i="25"/>
  <c r="BW261" i="25"/>
  <c r="BU261" i="25"/>
  <c r="AS64" i="24"/>
  <c r="BJ64" i="24"/>
  <c r="AQ64" i="24"/>
  <c r="BW64" i="24"/>
  <c r="AX64" i="24"/>
  <c r="BH64" i="24"/>
  <c r="AX76" i="25"/>
  <c r="AW76" i="25"/>
  <c r="BU249" i="24"/>
  <c r="AM165" i="25"/>
  <c r="AJ165" i="25"/>
  <c r="AS98" i="24"/>
  <c r="AQ98" i="24"/>
  <c r="BJ98" i="24"/>
  <c r="AX98" i="24"/>
  <c r="BH98" i="24"/>
  <c r="BW98" i="24"/>
  <c r="AR148" i="25"/>
  <c r="BJ148" i="25"/>
  <c r="AP148" i="25"/>
  <c r="BH148" i="25"/>
  <c r="BF148" i="25"/>
  <c r="BW148" i="25"/>
  <c r="BU148" i="25"/>
  <c r="BH260" i="24"/>
  <c r="BL289" i="24"/>
  <c r="AS289" i="24"/>
  <c r="AQ289" i="24"/>
  <c r="BJ289" i="24"/>
  <c r="BU289" i="24"/>
  <c r="BW289" i="24"/>
  <c r="AX289" i="24"/>
  <c r="BH289" i="24"/>
  <c r="BH12" i="24"/>
  <c r="BH273" i="24"/>
  <c r="BL272" i="24"/>
  <c r="AS272" i="24"/>
  <c r="AQ272" i="24"/>
  <c r="BJ272" i="24"/>
  <c r="AX272" i="24"/>
  <c r="BH272" i="24"/>
  <c r="BU272" i="24"/>
  <c r="BW272" i="24"/>
  <c r="AR283" i="25"/>
  <c r="BH283" i="25"/>
  <c r="AP283" i="25"/>
  <c r="BF283" i="25"/>
  <c r="BW283" i="25"/>
  <c r="BU283" i="25"/>
  <c r="BA125" i="24"/>
  <c r="AR170" i="25"/>
  <c r="AP170" i="25"/>
  <c r="BH170" i="25"/>
  <c r="BF170" i="25"/>
  <c r="BU170" i="25"/>
  <c r="BW170" i="25"/>
  <c r="AX141" i="25"/>
  <c r="AW141" i="25"/>
  <c r="AS135" i="24"/>
  <c r="AU135" i="24" s="1"/>
  <c r="BB135" i="24" s="1"/>
  <c r="BJ135" i="24"/>
  <c r="AQ135" i="24"/>
  <c r="AW130" i="25"/>
  <c r="AX130" i="25"/>
  <c r="AS46" i="24"/>
  <c r="BJ46" i="24"/>
  <c r="AQ46" i="24"/>
  <c r="AX46" i="24"/>
  <c r="BH46" i="24"/>
  <c r="BW46" i="24"/>
  <c r="AX15" i="25"/>
  <c r="AW15" i="25"/>
  <c r="AX74" i="25"/>
  <c r="AW74" i="25"/>
  <c r="BW238" i="24"/>
  <c r="AS89" i="24"/>
  <c r="BJ89" i="24"/>
  <c r="AQ89" i="24"/>
  <c r="AX89" i="24"/>
  <c r="BH89" i="24"/>
  <c r="BW89" i="24"/>
  <c r="BW133" i="24"/>
  <c r="AJ63" i="25"/>
  <c r="AM63" i="25"/>
  <c r="BG63" i="25" s="1"/>
  <c r="BW117" i="24"/>
  <c r="AJ66" i="25"/>
  <c r="AM66" i="25"/>
  <c r="BG66" i="25" s="1"/>
  <c r="AJ180" i="25"/>
  <c r="AM180" i="25"/>
  <c r="AM118" i="25"/>
  <c r="AJ118" i="25"/>
  <c r="AJ42" i="25"/>
  <c r="AM42" i="25"/>
  <c r="BG42" i="25" s="1"/>
  <c r="AS182" i="24"/>
  <c r="BJ182" i="24"/>
  <c r="AQ182" i="24"/>
  <c r="BU182" i="24"/>
  <c r="BW182" i="24"/>
  <c r="AX182" i="24"/>
  <c r="BH182" i="24"/>
  <c r="AS179" i="24"/>
  <c r="AQ179" i="24"/>
  <c r="BJ179" i="24"/>
  <c r="BW179" i="24"/>
  <c r="BU179" i="24"/>
  <c r="AX179" i="24"/>
  <c r="BH179" i="24"/>
  <c r="AX168" i="25"/>
  <c r="AW168" i="25"/>
  <c r="BH59" i="24"/>
  <c r="BA8" i="24"/>
  <c r="BA266" i="24"/>
  <c r="BA57" i="24"/>
  <c r="AU55" i="24"/>
  <c r="BB55" i="24" s="1"/>
  <c r="AW55" i="24"/>
  <c r="BA32" i="24"/>
  <c r="AM307" i="25"/>
  <c r="AJ307" i="25"/>
  <c r="AX169" i="25"/>
  <c r="AW169" i="25"/>
  <c r="AX138" i="25"/>
  <c r="AW138" i="25"/>
  <c r="AS219" i="24"/>
  <c r="AU219" i="24" s="1"/>
  <c r="BB219" i="24" s="1"/>
  <c r="AQ219" i="24"/>
  <c r="BJ219" i="24"/>
  <c r="AS124" i="24"/>
  <c r="BL124" i="24"/>
  <c r="BJ124" i="24"/>
  <c r="AQ124" i="24"/>
  <c r="BH124" i="24"/>
  <c r="BU124" i="24"/>
  <c r="BW124" i="24"/>
  <c r="AX124" i="24"/>
  <c r="AW37" i="25"/>
  <c r="AX37" i="25"/>
  <c r="AJ20" i="25"/>
  <c r="AM20" i="25"/>
  <c r="BG20" i="25" s="1"/>
  <c r="AJ281" i="25"/>
  <c r="AM281" i="25"/>
  <c r="BG281" i="25" s="1"/>
  <c r="BL226" i="24"/>
  <c r="AS226" i="24"/>
  <c r="BJ226" i="24"/>
  <c r="AQ226" i="24"/>
  <c r="BH226" i="24"/>
  <c r="BU226" i="24"/>
  <c r="BW226" i="24"/>
  <c r="AX226" i="24"/>
  <c r="AS200" i="24"/>
  <c r="AQ200" i="24"/>
  <c r="BJ200" i="24"/>
  <c r="BH200" i="24"/>
  <c r="BU200" i="24"/>
  <c r="BW200" i="24"/>
  <c r="AX200" i="24"/>
  <c r="AJ272" i="25"/>
  <c r="AM272" i="25"/>
  <c r="AX26" i="25"/>
  <c r="AW26" i="25"/>
  <c r="BH247" i="24"/>
  <c r="BW225" i="24"/>
  <c r="AM221" i="25"/>
  <c r="AJ221" i="25"/>
  <c r="BH242" i="24"/>
  <c r="BU295" i="24"/>
  <c r="AM58" i="25"/>
  <c r="BG58" i="25" s="1"/>
  <c r="AJ58" i="25"/>
  <c r="AM185" i="25"/>
  <c r="AJ185" i="25"/>
  <c r="AM187" i="25"/>
  <c r="BG187" i="25" s="1"/>
  <c r="AJ187" i="25"/>
  <c r="AU41" i="24"/>
  <c r="BB41" i="24" s="1"/>
  <c r="AW41" i="24"/>
  <c r="AS26" i="24"/>
  <c r="AU26" i="24" s="1"/>
  <c r="BB26" i="24" s="1"/>
  <c r="BJ26" i="24"/>
  <c r="AQ26" i="24"/>
  <c r="AS96" i="24"/>
  <c r="AQ96" i="24"/>
  <c r="BJ96" i="24"/>
  <c r="AX96" i="24"/>
  <c r="BH96" i="24"/>
  <c r="BW96" i="24"/>
  <c r="AX45" i="25"/>
  <c r="AW45" i="25"/>
  <c r="AX121" i="25"/>
  <c r="AW121" i="25"/>
  <c r="AR21" i="25"/>
  <c r="AP21" i="25"/>
  <c r="BH21" i="25"/>
  <c r="BF21" i="25"/>
  <c r="BW21" i="25"/>
  <c r="BU21" i="25"/>
  <c r="BA290" i="24"/>
  <c r="BH263" i="24"/>
  <c r="BA9" i="24"/>
  <c r="BH282" i="24"/>
  <c r="BH155" i="24"/>
  <c r="AS176" i="24"/>
  <c r="BL176" i="24"/>
  <c r="AQ176" i="24"/>
  <c r="BJ176" i="24"/>
  <c r="BW176" i="24"/>
  <c r="BU176" i="24"/>
  <c r="AX176" i="24"/>
  <c r="BH176" i="24"/>
  <c r="AS86" i="24"/>
  <c r="AQ86" i="24"/>
  <c r="BJ86" i="24"/>
  <c r="BH86" i="24"/>
  <c r="BW86" i="24"/>
  <c r="AX86" i="24"/>
  <c r="BU248" i="24"/>
  <c r="AX185" i="25"/>
  <c r="AW185" i="25"/>
  <c r="AX53" i="25"/>
  <c r="AW53" i="25"/>
  <c r="AM263" i="25"/>
  <c r="BG263" i="25" s="1"/>
  <c r="AJ263" i="25"/>
  <c r="AX39" i="25"/>
  <c r="AW39" i="25"/>
  <c r="AJ75" i="25"/>
  <c r="AM75" i="25"/>
  <c r="BG75" i="25" s="1"/>
  <c r="BA235" i="24"/>
  <c r="BA129" i="24"/>
  <c r="AM35" i="25"/>
  <c r="BG35" i="25" s="1"/>
  <c r="AJ35" i="25"/>
  <c r="AS151" i="24"/>
  <c r="BJ151" i="24"/>
  <c r="AQ151" i="24"/>
  <c r="BH151" i="24"/>
  <c r="BU151" i="24"/>
  <c r="BW151" i="24"/>
  <c r="AX151" i="24"/>
  <c r="AX10" i="25"/>
  <c r="AW10" i="25"/>
  <c r="AS18" i="24"/>
  <c r="AU18" i="24" s="1"/>
  <c r="BB18" i="24" s="1"/>
  <c r="BJ18" i="24"/>
  <c r="AQ18" i="24"/>
  <c r="AM310" i="25"/>
  <c r="AJ310" i="25"/>
  <c r="AX40" i="25"/>
  <c r="AW40" i="25"/>
  <c r="AX48" i="25"/>
  <c r="AW48" i="25"/>
  <c r="AM308" i="25"/>
  <c r="BG308" i="25" s="1"/>
  <c r="AJ308" i="25"/>
  <c r="AS296" i="24"/>
  <c r="AU296" i="24" s="1"/>
  <c r="BB296" i="24" s="1"/>
  <c r="BL296" i="24"/>
  <c r="AQ296" i="24"/>
  <c r="BJ296" i="24"/>
  <c r="BL241" i="24"/>
  <c r="AS241" i="24"/>
  <c r="BJ241" i="24"/>
  <c r="AQ241" i="24"/>
  <c r="AX241" i="24"/>
  <c r="BH241" i="24"/>
  <c r="BW241" i="24"/>
  <c r="BU241" i="24"/>
  <c r="AS262" i="24"/>
  <c r="BL262" i="24"/>
  <c r="BJ262" i="24"/>
  <c r="AQ262" i="24"/>
  <c r="AX262" i="24"/>
  <c r="BH262" i="24"/>
  <c r="BW262" i="24"/>
  <c r="BU262" i="24"/>
  <c r="AX78" i="25"/>
  <c r="AW78" i="25"/>
  <c r="AR158" i="25"/>
  <c r="BJ158" i="25"/>
  <c r="BH158" i="25"/>
  <c r="AP158" i="25"/>
  <c r="BW158" i="25"/>
  <c r="BU158" i="25"/>
  <c r="BF158" i="25"/>
  <c r="BU237" i="24"/>
  <c r="BA123" i="24"/>
  <c r="AJ103" i="25"/>
  <c r="AM103" i="25"/>
  <c r="BA284" i="24"/>
  <c r="AJ216" i="25"/>
  <c r="AM216" i="25"/>
  <c r="AS315" i="24"/>
  <c r="BL315" i="24"/>
  <c r="BJ315" i="24"/>
  <c r="AQ315" i="24"/>
  <c r="AX315" i="24"/>
  <c r="BH315" i="24"/>
  <c r="BW315" i="24"/>
  <c r="BU315" i="24"/>
  <c r="AX55" i="25"/>
  <c r="AW55" i="25"/>
  <c r="AX171" i="25"/>
  <c r="AW171" i="25"/>
  <c r="AX122" i="25"/>
  <c r="AW122" i="25"/>
  <c r="AM166" i="25"/>
  <c r="AJ166" i="25"/>
  <c r="AS73" i="24"/>
  <c r="BJ73" i="24"/>
  <c r="AQ73" i="24"/>
  <c r="BH73" i="24"/>
  <c r="BW73" i="24"/>
  <c r="AX73" i="24"/>
  <c r="AX115" i="25"/>
  <c r="AW115" i="25"/>
  <c r="AJ47" i="25"/>
  <c r="AM47" i="25"/>
  <c r="BG47" i="25" s="1"/>
  <c r="AX8" i="25"/>
  <c r="AW8" i="25"/>
  <c r="AS170" i="24"/>
  <c r="BJ170" i="24"/>
  <c r="AQ170" i="24"/>
  <c r="BW170" i="24"/>
  <c r="AX170" i="24"/>
  <c r="BH170" i="24"/>
  <c r="BU170" i="24"/>
  <c r="BH114" i="24"/>
  <c r="AT143" i="25"/>
  <c r="AY143" i="25" s="1"/>
  <c r="AU143" i="25"/>
  <c r="AJ279" i="25"/>
  <c r="AM279" i="25"/>
  <c r="AS68" i="24"/>
  <c r="AQ68" i="24"/>
  <c r="BJ68" i="24"/>
  <c r="AX68" i="24"/>
  <c r="BH68" i="24"/>
  <c r="BW68" i="24"/>
  <c r="AJ298" i="25"/>
  <c r="AM298" i="25"/>
  <c r="BG298" i="25" s="1"/>
  <c r="BA58" i="24"/>
  <c r="AR178" i="25"/>
  <c r="BJ178" i="25"/>
  <c r="AP178" i="25"/>
  <c r="BH178" i="25"/>
  <c r="BW178" i="25"/>
  <c r="BU178" i="25"/>
  <c r="BF178" i="25"/>
  <c r="AJ141" i="25"/>
  <c r="AM141" i="25"/>
  <c r="AS74" i="24"/>
  <c r="BJ74" i="24"/>
  <c r="AQ74" i="24"/>
  <c r="AX74" i="24"/>
  <c r="BH74" i="24"/>
  <c r="BW74" i="24"/>
  <c r="AS93" i="24"/>
  <c r="BJ93" i="24"/>
  <c r="AQ93" i="24"/>
  <c r="BW93" i="24"/>
  <c r="AX93" i="24"/>
  <c r="BH93" i="24"/>
  <c r="AM130" i="25"/>
  <c r="AJ130" i="25"/>
  <c r="AJ145" i="25"/>
  <c r="AM145" i="25"/>
  <c r="BG145" i="25" s="1"/>
  <c r="AX150" i="25"/>
  <c r="AW150" i="25"/>
  <c r="AX260" i="24"/>
  <c r="AS255" i="24"/>
  <c r="BL255" i="24"/>
  <c r="BJ255" i="24"/>
  <c r="AQ255" i="24"/>
  <c r="AX255" i="24"/>
  <c r="BH255" i="24"/>
  <c r="BW255" i="24"/>
  <c r="BU255" i="24"/>
  <c r="BL198" i="24"/>
  <c r="AS198" i="24"/>
  <c r="BJ198" i="24"/>
  <c r="AQ198" i="24"/>
  <c r="BU198" i="24"/>
  <c r="AX198" i="24"/>
  <c r="BH198" i="24"/>
  <c r="BW198" i="24"/>
  <c r="AX133" i="25"/>
  <c r="AW133" i="25"/>
  <c r="AS144" i="24"/>
  <c r="BL144" i="24"/>
  <c r="AQ144" i="24"/>
  <c r="BJ144" i="24"/>
  <c r="AX144" i="24"/>
  <c r="BH144" i="24"/>
  <c r="BU144" i="24"/>
  <c r="BW144" i="24"/>
  <c r="AJ73" i="25"/>
  <c r="AM73" i="25"/>
  <c r="AJ264" i="25"/>
  <c r="AM264" i="25"/>
  <c r="BG264" i="25" s="1"/>
  <c r="AS137" i="24"/>
  <c r="BJ137" i="24"/>
  <c r="AQ137" i="24"/>
  <c r="AX137" i="24"/>
  <c r="BH137" i="24"/>
  <c r="BW137" i="24"/>
  <c r="BU137" i="24"/>
  <c r="CE97" i="25"/>
  <c r="AW61" i="25"/>
  <c r="AX61" i="25"/>
  <c r="AS312" i="24"/>
  <c r="BL312" i="24"/>
  <c r="AQ312" i="24"/>
  <c r="BJ312" i="24"/>
  <c r="AX312" i="24"/>
  <c r="BH312" i="24"/>
  <c r="BU312" i="24"/>
  <c r="BW312" i="24"/>
  <c r="BA269" i="24"/>
  <c r="BW296" i="24"/>
  <c r="AS165" i="24"/>
  <c r="AQ165" i="24"/>
  <c r="BJ165" i="24"/>
  <c r="AX165" i="24"/>
  <c r="BH165" i="24"/>
  <c r="BU165" i="24"/>
  <c r="BW165" i="24"/>
  <c r="BL251" i="24"/>
  <c r="AS251" i="24"/>
  <c r="BJ251" i="24"/>
  <c r="AQ251" i="24"/>
  <c r="BW251" i="24"/>
  <c r="AX251" i="24"/>
  <c r="BH251" i="24"/>
  <c r="BU251" i="24"/>
  <c r="AM228" i="25"/>
  <c r="AJ228" i="25"/>
  <c r="AX128" i="25"/>
  <c r="AW128" i="25"/>
  <c r="AJ156" i="25"/>
  <c r="AM156" i="25"/>
  <c r="AS310" i="24"/>
  <c r="AQ310" i="24"/>
  <c r="BJ310" i="24"/>
  <c r="BW310" i="24"/>
  <c r="BU310" i="24"/>
  <c r="AX310" i="24"/>
  <c r="BH310" i="24"/>
  <c r="AR243" i="25"/>
  <c r="BJ243" i="25"/>
  <c r="AP243" i="25"/>
  <c r="BH243" i="25"/>
  <c r="BF243" i="25"/>
  <c r="BU243" i="25"/>
  <c r="BW243" i="25"/>
  <c r="BU238" i="24"/>
  <c r="BW34" i="24"/>
  <c r="AM68" i="25"/>
  <c r="AJ68" i="25"/>
  <c r="BJ34" i="25"/>
  <c r="AR34" i="25"/>
  <c r="BH34" i="25"/>
  <c r="AP34" i="25"/>
  <c r="BF34" i="25"/>
  <c r="BU34" i="25"/>
  <c r="BW34" i="25"/>
  <c r="AJ208" i="25"/>
  <c r="AM208" i="25"/>
  <c r="BG208" i="25" s="1"/>
  <c r="AX80" i="25"/>
  <c r="AW80" i="25"/>
  <c r="AW73" i="25"/>
  <c r="AX73" i="25"/>
  <c r="BA243" i="24"/>
  <c r="BA153" i="24"/>
  <c r="BH117" i="24"/>
  <c r="AR247" i="25"/>
  <c r="BJ247" i="25"/>
  <c r="AP247" i="25"/>
  <c r="BH247" i="25"/>
  <c r="BF247" i="25"/>
  <c r="BU247" i="25"/>
  <c r="BW247" i="25"/>
  <c r="AS185" i="24"/>
  <c r="BJ185" i="24"/>
  <c r="AQ185" i="24"/>
  <c r="BH185" i="24"/>
  <c r="BW185" i="24"/>
  <c r="BU185" i="24"/>
  <c r="AX185" i="24"/>
  <c r="AS153" i="24"/>
  <c r="AU153" i="24" s="1"/>
  <c r="BB153" i="24" s="1"/>
  <c r="BJ153" i="24"/>
  <c r="AQ153" i="24"/>
  <c r="AM86" i="25"/>
  <c r="AJ86" i="25"/>
  <c r="AW175" i="25"/>
  <c r="AX175" i="25"/>
  <c r="AR248" i="25"/>
  <c r="BH248" i="25"/>
  <c r="AP248" i="25"/>
  <c r="BU248" i="25"/>
  <c r="BF248" i="25"/>
  <c r="BW248" i="25"/>
  <c r="AM60" i="25"/>
  <c r="AJ60" i="25"/>
  <c r="BW266" i="24"/>
  <c r="BU240" i="24"/>
  <c r="AS169" i="24"/>
  <c r="BL169" i="24"/>
  <c r="AQ169" i="24"/>
  <c r="BJ169" i="24"/>
  <c r="AX169" i="24"/>
  <c r="BH169" i="24"/>
  <c r="BW169" i="24"/>
  <c r="BU169" i="24"/>
  <c r="AX36" i="25"/>
  <c r="AW36" i="25"/>
  <c r="AS11" i="24"/>
  <c r="AQ11" i="24"/>
  <c r="BJ11" i="24"/>
  <c r="AX11" i="24"/>
  <c r="BW11" i="24"/>
  <c r="BH11" i="24"/>
  <c r="AW132" i="25"/>
  <c r="AX132" i="25"/>
  <c r="AS57" i="24"/>
  <c r="AU57" i="24" s="1"/>
  <c r="BB57" i="24" s="1"/>
  <c r="BJ57" i="24"/>
  <c r="AQ57" i="24"/>
  <c r="AR199" i="25"/>
  <c r="BJ199" i="25"/>
  <c r="BH199" i="25"/>
  <c r="BU199" i="25"/>
  <c r="BW199" i="25"/>
  <c r="BF199" i="25"/>
  <c r="BH111" i="24"/>
  <c r="BL244" i="24"/>
  <c r="AS244" i="24"/>
  <c r="AQ244" i="24"/>
  <c r="BJ244" i="24"/>
  <c r="BW244" i="24"/>
  <c r="BU244" i="24"/>
  <c r="AX244" i="24"/>
  <c r="BH244" i="24"/>
  <c r="AS243" i="24"/>
  <c r="AU243" i="24" s="1"/>
  <c r="BB243" i="24" s="1"/>
  <c r="AQ243" i="24"/>
  <c r="BJ243" i="24"/>
  <c r="BA218" i="24"/>
  <c r="AX66" i="25"/>
  <c r="AW66" i="25"/>
  <c r="AW183" i="25"/>
  <c r="AX183" i="25"/>
  <c r="BJ293" i="25"/>
  <c r="AR293" i="25"/>
  <c r="BH293" i="25"/>
  <c r="AP293" i="25"/>
  <c r="BF293" i="25"/>
  <c r="BW293" i="25"/>
  <c r="BU293" i="25"/>
  <c r="AM127" i="25"/>
  <c r="BG127" i="25" s="1"/>
  <c r="AJ127" i="25"/>
  <c r="AS254" i="24"/>
  <c r="BL254" i="24"/>
  <c r="AQ254" i="24"/>
  <c r="BJ254" i="24"/>
  <c r="AX254" i="24"/>
  <c r="BH254" i="24"/>
  <c r="BW254" i="24"/>
  <c r="BU254" i="24"/>
  <c r="BH225" i="24"/>
  <c r="AM254" i="25"/>
  <c r="BG254" i="25" s="1"/>
  <c r="AJ254" i="25"/>
  <c r="AJ196" i="25"/>
  <c r="AM196" i="25"/>
  <c r="BG196" i="25" s="1"/>
  <c r="AJ111" i="25"/>
  <c r="AM111" i="25"/>
  <c r="BA135" i="24"/>
  <c r="BH301" i="24"/>
  <c r="BJ259" i="25"/>
  <c r="AR259" i="25"/>
  <c r="AP259" i="25"/>
  <c r="BH259" i="25"/>
  <c r="BF259" i="25"/>
  <c r="BW259" i="25"/>
  <c r="BU259" i="25"/>
  <c r="AS58" i="24"/>
  <c r="AU58" i="24" s="1"/>
  <c r="BB58" i="24" s="1"/>
  <c r="BJ58" i="24"/>
  <c r="AQ58" i="24"/>
  <c r="AU101" i="24"/>
  <c r="BB101" i="24" s="1"/>
  <c r="AW101" i="24"/>
  <c r="AR255" i="25"/>
  <c r="BJ255" i="25"/>
  <c r="BH255" i="25"/>
  <c r="AP255" i="25"/>
  <c r="BW255" i="25"/>
  <c r="BU255" i="25"/>
  <c r="BF255" i="25"/>
  <c r="BW279" i="24"/>
  <c r="BW126" i="24"/>
  <c r="AJ225" i="25"/>
  <c r="AM225" i="25"/>
  <c r="BG225" i="25" s="1"/>
  <c r="AR59" i="25"/>
  <c r="BJ59" i="25"/>
  <c r="BH59" i="25"/>
  <c r="AP59" i="25"/>
  <c r="BW59" i="25"/>
  <c r="BU59" i="25"/>
  <c r="BF59" i="25"/>
  <c r="BW232" i="24"/>
  <c r="AS67" i="24"/>
  <c r="AQ67" i="24"/>
  <c r="BJ67" i="24"/>
  <c r="AX67" i="24"/>
  <c r="BH67" i="24"/>
  <c r="BW67" i="24"/>
  <c r="AJ253" i="25"/>
  <c r="AM253" i="25"/>
  <c r="BG253" i="25" s="1"/>
  <c r="AJ316" i="25"/>
  <c r="AM316" i="25"/>
  <c r="AS305" i="24"/>
  <c r="AU305" i="24" s="1"/>
  <c r="BB305" i="24" s="1"/>
  <c r="AQ305" i="24"/>
  <c r="BJ305" i="24"/>
  <c r="AJ23" i="25"/>
  <c r="AM23" i="25"/>
  <c r="BG23" i="25" s="1"/>
  <c r="AX57" i="25"/>
  <c r="AW57" i="25"/>
  <c r="AS81" i="24"/>
  <c r="AQ81" i="24"/>
  <c r="BJ81" i="24"/>
  <c r="AX81" i="24"/>
  <c r="BW81" i="24"/>
  <c r="BH81" i="24"/>
  <c r="AJ51" i="25"/>
  <c r="AM51" i="25"/>
  <c r="BG51" i="25" s="1"/>
  <c r="BA30" i="24"/>
  <c r="AJ172" i="25"/>
  <c r="AM172" i="25"/>
  <c r="BL187" i="24"/>
  <c r="AS187" i="24"/>
  <c r="BJ187" i="24"/>
  <c r="AQ187" i="24"/>
  <c r="AX187" i="24"/>
  <c r="BH187" i="24"/>
  <c r="BW187" i="24"/>
  <c r="BU187" i="24"/>
  <c r="AS247" i="24"/>
  <c r="AU247" i="24" s="1"/>
  <c r="BB247" i="24" s="1"/>
  <c r="BJ247" i="24"/>
  <c r="AQ247" i="24"/>
  <c r="AM207" i="25"/>
  <c r="BG207" i="25" s="1"/>
  <c r="AJ207" i="25"/>
  <c r="AX152" i="25"/>
  <c r="AW152" i="25"/>
  <c r="BA51" i="24"/>
  <c r="AJ140" i="25"/>
  <c r="AM140" i="25"/>
  <c r="BG140" i="25" s="1"/>
  <c r="BL189" i="24"/>
  <c r="AS189" i="24"/>
  <c r="AQ189" i="24"/>
  <c r="BJ189" i="24"/>
  <c r="BH189" i="24"/>
  <c r="BU189" i="24"/>
  <c r="BW189" i="24"/>
  <c r="AX189" i="24"/>
  <c r="AS121" i="24"/>
  <c r="AU121" i="24" s="1"/>
  <c r="BB121" i="24" s="1"/>
  <c r="AQ121" i="24"/>
  <c r="BJ121" i="24"/>
  <c r="AX52" i="25"/>
  <c r="AW52" i="25"/>
  <c r="AP189" i="25"/>
  <c r="BW237" i="24"/>
  <c r="AS82" i="24"/>
  <c r="BJ82" i="24"/>
  <c r="AQ82" i="24"/>
  <c r="AX82" i="24"/>
  <c r="BH82" i="24"/>
  <c r="BW82" i="24"/>
  <c r="AW64" i="25"/>
  <c r="AX64" i="25"/>
  <c r="BA297" i="24"/>
  <c r="AJ151" i="25"/>
  <c r="AM151" i="25"/>
  <c r="AX38" i="25"/>
  <c r="AW38" i="25"/>
  <c r="AS31" i="24"/>
  <c r="BJ31" i="24"/>
  <c r="AQ31" i="24"/>
  <c r="AX31" i="24"/>
  <c r="BH31" i="24"/>
  <c r="BW31" i="24"/>
  <c r="AS157" i="24"/>
  <c r="BJ157" i="24"/>
  <c r="AQ157" i="24"/>
  <c r="AX157" i="24"/>
  <c r="BH157" i="24"/>
  <c r="BU157" i="24"/>
  <c r="BW157" i="24"/>
  <c r="AR186" i="25"/>
  <c r="BH186" i="25"/>
  <c r="AP186" i="25"/>
  <c r="BF186" i="25"/>
  <c r="BU186" i="25"/>
  <c r="BW186" i="25"/>
  <c r="AW207" i="25"/>
  <c r="AX207" i="25"/>
  <c r="AX22" i="25"/>
  <c r="AW22" i="25"/>
  <c r="AX153" i="25"/>
  <c r="AW153" i="25"/>
  <c r="AS207" i="24"/>
  <c r="BL207" i="24"/>
  <c r="BJ207" i="24"/>
  <c r="AQ207" i="24"/>
  <c r="AX207" i="24"/>
  <c r="BH207" i="24"/>
  <c r="BU207" i="24"/>
  <c r="BW207" i="24"/>
  <c r="AU119" i="24"/>
  <c r="BB119" i="24" s="1"/>
  <c r="AW119" i="24"/>
  <c r="AS76" i="24"/>
  <c r="BJ76" i="24"/>
  <c r="AQ76" i="24"/>
  <c r="BW76" i="24"/>
  <c r="AX76" i="24"/>
  <c r="BH76" i="24"/>
  <c r="AJ188" i="25"/>
  <c r="AM188" i="25"/>
  <c r="BG188" i="25" s="1"/>
  <c r="AR296" i="25"/>
  <c r="AP296" i="25"/>
  <c r="BH296" i="25"/>
  <c r="BF296" i="25"/>
  <c r="BW296" i="25"/>
  <c r="BU296" i="25"/>
  <c r="AX114" i="24"/>
  <c r="BL143" i="24"/>
  <c r="AS143" i="24"/>
  <c r="AQ143" i="24"/>
  <c r="BJ143" i="24"/>
  <c r="AX143" i="24"/>
  <c r="BH143" i="24"/>
  <c r="BW143" i="24"/>
  <c r="BU143" i="24"/>
  <c r="AM101" i="25"/>
  <c r="BG101" i="25" s="1"/>
  <c r="AJ101" i="25"/>
  <c r="BU147" i="24"/>
  <c r="BL297" i="24"/>
  <c r="AS297" i="24"/>
  <c r="AU297" i="24" s="1"/>
  <c r="BB297" i="24" s="1"/>
  <c r="AQ297" i="24"/>
  <c r="BJ297" i="24"/>
  <c r="AX83" i="25"/>
  <c r="AW83" i="25"/>
  <c r="AM157" i="25"/>
  <c r="BG157" i="25" s="1"/>
  <c r="AJ157" i="25"/>
  <c r="BH249" i="24"/>
  <c r="AX166" i="25"/>
  <c r="AW166" i="25"/>
  <c r="AS227" i="24"/>
  <c r="BL227" i="24"/>
  <c r="AQ227" i="24"/>
  <c r="BJ227" i="24"/>
  <c r="BH227" i="24"/>
  <c r="BW227" i="24"/>
  <c r="AX227" i="24"/>
  <c r="BU227" i="24"/>
  <c r="AS10" i="24"/>
  <c r="BJ10" i="24"/>
  <c r="AQ10" i="24"/>
  <c r="AX10" i="24"/>
  <c r="BW10" i="24"/>
  <c r="BH10" i="24"/>
  <c r="AX47" i="25"/>
  <c r="AW47" i="25"/>
  <c r="AR306" i="25"/>
  <c r="BH306" i="25"/>
  <c r="AP306" i="25"/>
  <c r="BU306" i="25"/>
  <c r="BW306" i="25"/>
  <c r="BF306" i="25"/>
  <c r="BA37" i="24"/>
  <c r="AS94" i="24"/>
  <c r="BJ94" i="24"/>
  <c r="AQ94" i="24"/>
  <c r="AX94" i="24"/>
  <c r="BH94" i="24"/>
  <c r="BW94" i="24"/>
  <c r="AX101" i="25"/>
  <c r="AW101" i="25"/>
  <c r="AM61" i="25"/>
  <c r="BG61" i="25" s="1"/>
  <c r="AJ61" i="25"/>
  <c r="AS152" i="24"/>
  <c r="AU152" i="24" s="1"/>
  <c r="BB152" i="24" s="1"/>
  <c r="BJ152" i="24"/>
  <c r="AQ152" i="24"/>
  <c r="AS23" i="24"/>
  <c r="BL23" i="24"/>
  <c r="BJ23" i="24"/>
  <c r="AQ23" i="24"/>
  <c r="AX23" i="24"/>
  <c r="BH23" i="24"/>
  <c r="BW23" i="24"/>
  <c r="BH296" i="24"/>
  <c r="AS205" i="24"/>
  <c r="AQ205" i="24"/>
  <c r="BJ205" i="24"/>
  <c r="BW205" i="24"/>
  <c r="AX205" i="24"/>
  <c r="BH205" i="24"/>
  <c r="BU205" i="24"/>
  <c r="AS298" i="24"/>
  <c r="AU298" i="24" s="1"/>
  <c r="BB298" i="24" s="1"/>
  <c r="BJ298" i="24"/>
  <c r="AQ298" i="24"/>
  <c r="AU44" i="24"/>
  <c r="BB44" i="24" s="1"/>
  <c r="AW44" i="24"/>
  <c r="AR177" i="25"/>
  <c r="BH177" i="25"/>
  <c r="AP177" i="25"/>
  <c r="BF177" i="25"/>
  <c r="BW177" i="25"/>
  <c r="BU177" i="25"/>
  <c r="AS72" i="24"/>
  <c r="AQ72" i="24"/>
  <c r="BJ72" i="24"/>
  <c r="AX72" i="24"/>
  <c r="BH72" i="24"/>
  <c r="BW72" i="24"/>
  <c r="AM181" i="25"/>
  <c r="AJ181" i="25"/>
  <c r="AU257" i="24"/>
  <c r="BB257" i="24" s="1"/>
  <c r="AW257" i="24"/>
  <c r="BA133" i="24"/>
  <c r="AM44" i="25"/>
  <c r="BG44" i="25" s="1"/>
  <c r="AJ44" i="25"/>
  <c r="BA281" i="24"/>
  <c r="AM183" i="25"/>
  <c r="AJ183" i="25"/>
  <c r="AS281" i="24"/>
  <c r="AU281" i="24" s="1"/>
  <c r="BB281" i="24" s="1"/>
  <c r="AQ281" i="24"/>
  <c r="BJ281" i="24"/>
  <c r="AU21" i="24"/>
  <c r="BB21" i="24" s="1"/>
  <c r="AW21" i="24"/>
  <c r="AX59" i="24"/>
  <c r="AR173" i="25"/>
  <c r="BH173" i="25"/>
  <c r="AP173" i="25"/>
  <c r="BF173" i="25"/>
  <c r="BW173" i="25"/>
  <c r="BU173" i="25"/>
  <c r="BJ275" i="25"/>
  <c r="AR275" i="25"/>
  <c r="AP275" i="25"/>
  <c r="BH275" i="25"/>
  <c r="BF275" i="25"/>
  <c r="BU275" i="25"/>
  <c r="BW275" i="25"/>
  <c r="BA261" i="24"/>
  <c r="BW265" i="24"/>
  <c r="AS33" i="24"/>
  <c r="AU33" i="24" s="1"/>
  <c r="BB33" i="24" s="1"/>
  <c r="BJ33" i="24"/>
  <c r="AQ33" i="24"/>
  <c r="AJ70" i="25"/>
  <c r="AM70" i="25"/>
  <c r="BG70" i="25" s="1"/>
  <c r="BA305" i="24"/>
  <c r="AX118" i="25"/>
  <c r="AW118" i="25"/>
  <c r="BL217" i="24"/>
  <c r="AS217" i="24"/>
  <c r="BJ217" i="24"/>
  <c r="AQ217" i="24"/>
  <c r="AX217" i="24"/>
  <c r="BH217" i="24"/>
  <c r="BW217" i="24"/>
  <c r="BU217" i="24"/>
  <c r="AM274" i="25"/>
  <c r="AJ274" i="25"/>
  <c r="AJ136" i="25"/>
  <c r="AM136" i="25"/>
  <c r="BG136" i="25" s="1"/>
  <c r="AW124" i="25"/>
  <c r="AX124" i="25"/>
  <c r="AS116" i="24"/>
  <c r="BL116" i="24"/>
  <c r="AQ116" i="24"/>
  <c r="BJ116" i="24"/>
  <c r="AX116" i="24"/>
  <c r="BH116" i="24"/>
  <c r="BU116" i="24"/>
  <c r="BW116" i="24"/>
  <c r="AX43" i="25"/>
  <c r="AW43" i="25"/>
  <c r="BL300" i="24"/>
  <c r="AS300" i="24"/>
  <c r="BJ300" i="24"/>
  <c r="AQ300" i="24"/>
  <c r="AX300" i="24"/>
  <c r="BH300" i="24"/>
  <c r="BW300" i="24"/>
  <c r="BU300" i="24"/>
  <c r="BL252" i="24"/>
  <c r="AS252" i="24"/>
  <c r="AQ252" i="24"/>
  <c r="BJ252" i="24"/>
  <c r="BH252" i="24"/>
  <c r="BW252" i="24"/>
  <c r="BU252" i="24"/>
  <c r="AX252" i="24"/>
  <c r="BA242" i="24"/>
  <c r="BL30" i="24"/>
  <c r="AS30" i="24"/>
  <c r="AU30" i="24" s="1"/>
  <c r="BB30" i="24" s="1"/>
  <c r="BJ30" i="24"/>
  <c r="AQ30" i="24"/>
  <c r="AJ202" i="25"/>
  <c r="AM202" i="25"/>
  <c r="BG202" i="25" s="1"/>
  <c r="BL167" i="24"/>
  <c r="AS167" i="24"/>
  <c r="AQ167" i="24"/>
  <c r="BJ167" i="24"/>
  <c r="BW167" i="24"/>
  <c r="AX167" i="24"/>
  <c r="BH167" i="24"/>
  <c r="BU167" i="24"/>
  <c r="BL299" i="24"/>
  <c r="AS299" i="24"/>
  <c r="AU299" i="24" s="1"/>
  <c r="BB299" i="24" s="1"/>
  <c r="AQ299" i="24"/>
  <c r="BJ299" i="24"/>
  <c r="AX46" i="25"/>
  <c r="AW46" i="25"/>
  <c r="AX102" i="25"/>
  <c r="AW102" i="25"/>
  <c r="BW135" i="24"/>
  <c r="AS248" i="24"/>
  <c r="AU248" i="24" s="1"/>
  <c r="BB248" i="24" s="1"/>
  <c r="BJ248" i="24"/>
  <c r="AQ248" i="24"/>
  <c r="BH121" i="24"/>
  <c r="AW9" i="25"/>
  <c r="AX9" i="25"/>
  <c r="AM49" i="25"/>
  <c r="BG49" i="25" s="1"/>
  <c r="AJ49" i="25"/>
  <c r="AS125" i="24"/>
  <c r="AU125" i="24" s="1"/>
  <c r="BB125" i="24" s="1"/>
  <c r="AQ125" i="24"/>
  <c r="BJ125" i="24"/>
  <c r="AM79" i="25"/>
  <c r="AJ79" i="25"/>
  <c r="AS29" i="24"/>
  <c r="BJ29" i="24"/>
  <c r="AQ29" i="24"/>
  <c r="BH29" i="24"/>
  <c r="BW29" i="24"/>
  <c r="AX29" i="24"/>
  <c r="BW290" i="24"/>
  <c r="BA145" i="24"/>
  <c r="BH17" i="24"/>
  <c r="BW17" i="24"/>
  <c r="BH267" i="24"/>
  <c r="BH253" i="24"/>
  <c r="AS271" i="24"/>
  <c r="AU271" i="24" s="1"/>
  <c r="BB271" i="24" s="1"/>
  <c r="AQ271" i="24"/>
  <c r="BJ271" i="24"/>
  <c r="AJ146" i="25"/>
  <c r="AM146" i="25"/>
  <c r="BG146" i="25" s="1"/>
  <c r="BL78" i="24"/>
  <c r="AS78" i="24"/>
  <c r="BJ78" i="24"/>
  <c r="AQ78" i="24"/>
  <c r="BH78" i="24"/>
  <c r="BW78" i="24"/>
  <c r="AX78" i="24"/>
  <c r="AJ224" i="25"/>
  <c r="AM224" i="25"/>
  <c r="BG224" i="25" s="1"/>
  <c r="AW49" i="25"/>
  <c r="AX49" i="25"/>
  <c r="AJ242" i="25"/>
  <c r="AM242" i="25"/>
  <c r="AS75" i="24"/>
  <c r="BJ75" i="24"/>
  <c r="AQ75" i="24"/>
  <c r="AX75" i="24"/>
  <c r="BW75" i="24"/>
  <c r="BH75" i="24"/>
  <c r="AR30" i="25"/>
  <c r="AP30" i="25"/>
  <c r="BH30" i="25"/>
  <c r="BU30" i="25"/>
  <c r="BW30" i="25"/>
  <c r="BF30" i="25"/>
  <c r="BL246" i="24"/>
  <c r="AS246" i="24"/>
  <c r="BJ246" i="24"/>
  <c r="AQ246" i="24"/>
  <c r="BH246" i="24"/>
  <c r="BU246" i="24"/>
  <c r="BW246" i="24"/>
  <c r="AX246" i="24"/>
  <c r="BL138" i="24"/>
  <c r="AS138" i="24"/>
  <c r="BJ138" i="24"/>
  <c r="AQ138" i="24"/>
  <c r="BU138" i="24"/>
  <c r="AX138" i="24"/>
  <c r="BH138" i="24"/>
  <c r="BW138" i="24"/>
  <c r="BA20" i="24"/>
  <c r="AM38" i="25"/>
  <c r="AJ38" i="25"/>
  <c r="BA152" i="24"/>
  <c r="AJ171" i="25"/>
  <c r="AM171" i="25"/>
  <c r="AS283" i="24"/>
  <c r="AU283" i="24" s="1"/>
  <c r="BB283" i="24" s="1"/>
  <c r="AQ283" i="24"/>
  <c r="BJ283" i="24"/>
  <c r="AS120" i="24"/>
  <c r="AU120" i="24" s="1"/>
  <c r="BB120" i="24" s="1"/>
  <c r="AQ120" i="24"/>
  <c r="BJ120" i="24"/>
  <c r="AJ134" i="25"/>
  <c r="AM134" i="25"/>
  <c r="AX24" i="25"/>
  <c r="AW24" i="25"/>
  <c r="AS16" i="24"/>
  <c r="BJ16" i="24"/>
  <c r="AQ16" i="24"/>
  <c r="AX16" i="24"/>
  <c r="BH16" i="24"/>
  <c r="BW16" i="24"/>
  <c r="AS36" i="24"/>
  <c r="BJ36" i="24"/>
  <c r="AQ36" i="24"/>
  <c r="BH36" i="24"/>
  <c r="BW36" i="24"/>
  <c r="AX36" i="24"/>
  <c r="AX72" i="25"/>
  <c r="AW72" i="25"/>
  <c r="AS269" i="24"/>
  <c r="AU269" i="24" s="1"/>
  <c r="BB269" i="24" s="1"/>
  <c r="AQ269" i="24"/>
  <c r="BJ269" i="24"/>
  <c r="AS28" i="24"/>
  <c r="AU28" i="24" s="1"/>
  <c r="BB28" i="24" s="1"/>
  <c r="BJ28" i="24"/>
  <c r="AQ28" i="24"/>
  <c r="AJ142" i="25"/>
  <c r="AM142" i="25"/>
  <c r="AX126" i="25"/>
  <c r="AW126" i="25"/>
  <c r="AX51" i="25"/>
  <c r="AW51" i="25"/>
  <c r="BL309" i="24"/>
  <c r="AS309" i="24"/>
  <c r="BJ309" i="24"/>
  <c r="AQ309" i="24"/>
  <c r="AX309" i="24"/>
  <c r="BH309" i="24"/>
  <c r="BU309" i="24"/>
  <c r="BW309" i="24"/>
  <c r="AX27" i="25"/>
  <c r="AW27" i="25"/>
  <c r="AS88" i="24"/>
  <c r="AQ88" i="24"/>
  <c r="BJ88" i="24"/>
  <c r="BW88" i="24"/>
  <c r="AX88" i="24"/>
  <c r="BH88" i="24"/>
  <c r="AX35" i="25"/>
  <c r="AW35" i="25"/>
  <c r="AS180" i="24"/>
  <c r="BJ180" i="24"/>
  <c r="AQ180" i="24"/>
  <c r="BW180" i="24"/>
  <c r="BU180" i="24"/>
  <c r="AX180" i="24"/>
  <c r="BH180" i="24"/>
  <c r="AU7" i="24"/>
  <c r="BB7" i="24" s="1"/>
  <c r="AW7" i="24"/>
  <c r="AM139" i="25"/>
  <c r="BG139" i="25" s="1"/>
  <c r="AJ139" i="25"/>
  <c r="AS259" i="24"/>
  <c r="AU259" i="24" s="1"/>
  <c r="BB259" i="24" s="1"/>
  <c r="BJ259" i="24"/>
  <c r="AQ259" i="24"/>
  <c r="AX56" i="25"/>
  <c r="AW56" i="25"/>
  <c r="AJ84" i="25"/>
  <c r="AM84" i="25"/>
  <c r="BG84" i="25" s="1"/>
  <c r="AU160" i="24"/>
  <c r="BB160" i="24" s="1"/>
  <c r="AW160" i="24"/>
  <c r="AJ76" i="25"/>
  <c r="AM76" i="25"/>
  <c r="BG76" i="25" s="1"/>
  <c r="AJ278" i="25"/>
  <c r="AM278" i="25"/>
  <c r="BG278" i="25" s="1"/>
  <c r="BH28" i="24"/>
  <c r="AS293" i="24"/>
  <c r="BL293" i="24"/>
  <c r="BJ293" i="24"/>
  <c r="AQ293" i="24"/>
  <c r="BH293" i="24"/>
  <c r="BU293" i="24"/>
  <c r="BW293" i="24"/>
  <c r="AX293" i="24"/>
  <c r="AJ268" i="25"/>
  <c r="AM268" i="25"/>
  <c r="AS184" i="24"/>
  <c r="BL184" i="24"/>
  <c r="BJ184" i="24"/>
  <c r="AQ184" i="24"/>
  <c r="AX184" i="24"/>
  <c r="BH184" i="24"/>
  <c r="BU184" i="24"/>
  <c r="BW184" i="24"/>
  <c r="AS133" i="24"/>
  <c r="AU133" i="24" s="1"/>
  <c r="BB133" i="24" s="1"/>
  <c r="AQ133" i="24"/>
  <c r="BJ133" i="24"/>
  <c r="AM315" i="25"/>
  <c r="AJ315" i="25"/>
  <c r="AS313" i="24"/>
  <c r="BL313" i="24"/>
  <c r="BJ313" i="24"/>
  <c r="AQ313" i="24"/>
  <c r="BU313" i="24"/>
  <c r="BW313" i="24"/>
  <c r="AX313" i="24"/>
  <c r="BH313" i="24"/>
  <c r="AW16" i="25"/>
  <c r="AX16" i="25"/>
  <c r="BL158" i="24"/>
  <c r="AS158" i="24"/>
  <c r="BJ158" i="24"/>
  <c r="AQ158" i="24"/>
  <c r="AX158" i="24"/>
  <c r="BH158" i="24"/>
  <c r="BU158" i="24"/>
  <c r="BW158" i="24"/>
  <c r="BA48" i="24"/>
  <c r="AM223" i="25"/>
  <c r="AJ223" i="25"/>
  <c r="AS115" i="24"/>
  <c r="BL115" i="24"/>
  <c r="AQ115" i="24"/>
  <c r="BJ115" i="24"/>
  <c r="AX115" i="24"/>
  <c r="BH115" i="24"/>
  <c r="BU115" i="24"/>
  <c r="BW115" i="24"/>
  <c r="BW147" i="24"/>
  <c r="AX117" i="25"/>
  <c r="AW117" i="25"/>
  <c r="BJ167" i="25"/>
  <c r="AR167" i="25"/>
  <c r="AP167" i="25"/>
  <c r="BH167" i="25"/>
  <c r="BW167" i="25"/>
  <c r="BU167" i="25"/>
  <c r="BF167" i="25"/>
  <c r="AS12" i="24"/>
  <c r="AU12" i="24" s="1"/>
  <c r="BB12" i="24" s="1"/>
  <c r="AQ12" i="24"/>
  <c r="BJ12" i="24"/>
  <c r="AR204" i="25"/>
  <c r="BJ204" i="25"/>
  <c r="BH204" i="25"/>
  <c r="BF204" i="25"/>
  <c r="BW204" i="25"/>
  <c r="BU204" i="25"/>
  <c r="AS130" i="24"/>
  <c r="AU130" i="24" s="1"/>
  <c r="BB130" i="24" s="1"/>
  <c r="AQ130" i="24"/>
  <c r="BJ130" i="24"/>
  <c r="AS103" i="24"/>
  <c r="BJ103" i="24"/>
  <c r="AQ103" i="24"/>
  <c r="AX103" i="24"/>
  <c r="BH103" i="24"/>
  <c r="BW103" i="24"/>
  <c r="AJ81" i="25"/>
  <c r="AM81" i="25"/>
  <c r="AS228" i="24"/>
  <c r="AU228" i="24" s="1"/>
  <c r="BB228" i="24" s="1"/>
  <c r="BJ228" i="24"/>
  <c r="AQ228" i="24"/>
  <c r="AS35" i="24"/>
  <c r="AU35" i="24" s="1"/>
  <c r="BB35" i="24" s="1"/>
  <c r="BJ35" i="24"/>
  <c r="AQ35" i="24"/>
  <c r="AM25" i="25"/>
  <c r="BG25" i="25" s="1"/>
  <c r="AJ25" i="25"/>
  <c r="AJ285" i="25"/>
  <c r="AM285" i="25"/>
  <c r="BG285" i="25" s="1"/>
  <c r="AM241" i="25"/>
  <c r="BG241" i="25" s="1"/>
  <c r="AJ241" i="25"/>
  <c r="AW188" i="25"/>
  <c r="AX188" i="25"/>
  <c r="BA260" i="24"/>
  <c r="AW209" i="25"/>
  <c r="AX209" i="25"/>
  <c r="AS270" i="24"/>
  <c r="AQ270" i="24"/>
  <c r="BJ270" i="24"/>
  <c r="AX270" i="24"/>
  <c r="BH270" i="24"/>
  <c r="BW270" i="24"/>
  <c r="BU270" i="24"/>
  <c r="BA12" i="24"/>
  <c r="AS145" i="24"/>
  <c r="AU145" i="24" s="1"/>
  <c r="BB145" i="24" s="1"/>
  <c r="BJ145" i="24"/>
  <c r="AQ145" i="24"/>
  <c r="BA273" i="24"/>
  <c r="AM288" i="25"/>
  <c r="BG288" i="25" s="1"/>
  <c r="AJ288" i="25"/>
  <c r="AS123" i="24"/>
  <c r="AU123" i="24" s="1"/>
  <c r="BB123" i="24" s="1"/>
  <c r="BJ123" i="24"/>
  <c r="AQ123" i="24"/>
  <c r="AR273" i="25"/>
  <c r="BJ273" i="25"/>
  <c r="AP273" i="25"/>
  <c r="BH273" i="25"/>
  <c r="BF273" i="25"/>
  <c r="BU273" i="25"/>
  <c r="BW273" i="25"/>
  <c r="AJ299" i="25"/>
  <c r="AM299" i="25"/>
  <c r="BU269" i="24"/>
  <c r="AS43" i="24"/>
  <c r="BJ43" i="24"/>
  <c r="AQ43" i="24"/>
  <c r="AX43" i="24"/>
  <c r="BH43" i="24"/>
  <c r="BW43" i="24"/>
  <c r="AW165" i="25"/>
  <c r="AX165" i="25"/>
  <c r="AS47" i="24"/>
  <c r="BJ47" i="24"/>
  <c r="AQ47" i="24"/>
  <c r="AX47" i="24"/>
  <c r="BH47" i="24"/>
  <c r="BW47" i="24"/>
  <c r="AS278" i="24"/>
  <c r="BL278" i="24"/>
  <c r="BJ278" i="24"/>
  <c r="AQ278" i="24"/>
  <c r="BW278" i="24"/>
  <c r="BU278" i="24"/>
  <c r="AX278" i="24"/>
  <c r="BH278" i="24"/>
  <c r="AR29" i="25"/>
  <c r="BJ29" i="25"/>
  <c r="BH29" i="25"/>
  <c r="AP29" i="25"/>
  <c r="BF29" i="25"/>
  <c r="BW29" i="25"/>
  <c r="BU29" i="25"/>
  <c r="AM164" i="25"/>
  <c r="AJ164" i="25"/>
  <c r="AM175" i="25"/>
  <c r="AJ175" i="25"/>
  <c r="AW105" i="25"/>
  <c r="B126" i="2" s="1"/>
  <c r="E33" i="1" s="1"/>
  <c r="AX105" i="25"/>
  <c r="B136" i="2" s="1"/>
  <c r="L33" i="1" s="1"/>
  <c r="BL194" i="24"/>
  <c r="AS194" i="24"/>
  <c r="BJ194" i="24"/>
  <c r="AQ194" i="24"/>
  <c r="AX194" i="24"/>
  <c r="BH194" i="24"/>
  <c r="BW194" i="24"/>
  <c r="BU194" i="24"/>
  <c r="BA271" i="24"/>
  <c r="BA33" i="24"/>
  <c r="BH6" i="24"/>
  <c r="BW6" i="24"/>
  <c r="AJ245" i="25"/>
  <c r="AM245" i="25"/>
  <c r="AJ234" i="25"/>
  <c r="AM234" i="25"/>
  <c r="BG234" i="25" s="1"/>
  <c r="AS202" i="24"/>
  <c r="AQ202" i="24"/>
  <c r="BJ202" i="24"/>
  <c r="BU202" i="24"/>
  <c r="AX202" i="24"/>
  <c r="BH202" i="24"/>
  <c r="BW202" i="24"/>
  <c r="AR206" i="25"/>
  <c r="BJ206" i="25"/>
  <c r="BH206" i="25"/>
  <c r="BF206" i="25"/>
  <c r="BW206" i="25"/>
  <c r="BU206" i="25"/>
  <c r="AM270" i="25"/>
  <c r="AJ270" i="25"/>
  <c r="AS240" i="24"/>
  <c r="AU240" i="24" s="1"/>
  <c r="BB240" i="24" s="1"/>
  <c r="BJ240" i="24"/>
  <c r="AQ240" i="24"/>
  <c r="AM138" i="25"/>
  <c r="AJ138" i="25"/>
  <c r="AS295" i="24"/>
  <c r="AU295" i="24" s="1"/>
  <c r="BB295" i="24" s="1"/>
  <c r="BJ295" i="24"/>
  <c r="AQ295" i="24"/>
  <c r="AS27" i="24"/>
  <c r="BJ27" i="24"/>
  <c r="AQ27" i="24"/>
  <c r="BH27" i="24"/>
  <c r="BW27" i="24"/>
  <c r="AX27" i="24"/>
  <c r="AS54" i="24"/>
  <c r="AU54" i="24" s="1"/>
  <c r="BB54" i="24" s="1"/>
  <c r="BJ54" i="24"/>
  <c r="AQ54" i="24"/>
  <c r="AX7" i="25"/>
  <c r="AW7" i="25"/>
  <c r="AX156" i="25"/>
  <c r="AW156" i="25"/>
  <c r="BA59" i="24"/>
  <c r="AX68" i="25"/>
  <c r="AW68" i="25"/>
  <c r="BL146" i="24"/>
  <c r="AS146" i="24"/>
  <c r="BJ146" i="24"/>
  <c r="AQ146" i="24"/>
  <c r="BW146" i="24"/>
  <c r="AX146" i="24"/>
  <c r="BH146" i="24"/>
  <c r="BU146" i="24"/>
  <c r="AJ287" i="25"/>
  <c r="AM287" i="25"/>
  <c r="BU265" i="24"/>
  <c r="AX135" i="25"/>
  <c r="AW135" i="25"/>
  <c r="AS20" i="24"/>
  <c r="AU20" i="24" s="1"/>
  <c r="BB20" i="24" s="1"/>
  <c r="BJ20" i="24"/>
  <c r="AQ20" i="24"/>
  <c r="AM251" i="25"/>
  <c r="BG251" i="25" s="1"/>
  <c r="AJ251" i="25"/>
  <c r="AM46" i="25"/>
  <c r="BG46" i="25" s="1"/>
  <c r="AJ46" i="25"/>
  <c r="AX111" i="24"/>
  <c r="AW264" i="24"/>
  <c r="AR305" i="25"/>
  <c r="AP305" i="25"/>
  <c r="BH305" i="25"/>
  <c r="BU305" i="25"/>
  <c r="BW305" i="25"/>
  <c r="BF305" i="25"/>
  <c r="AR190" i="25"/>
  <c r="BH190" i="25"/>
  <c r="AP190" i="25"/>
  <c r="BW190" i="25"/>
  <c r="BF190" i="25"/>
  <c r="BU190" i="25"/>
  <c r="AX41" i="25"/>
  <c r="AW41" i="25"/>
  <c r="BA247" i="24"/>
  <c r="AJ312" i="25"/>
  <c r="AM312" i="25"/>
  <c r="AX242" i="24"/>
  <c r="AJ99" i="25"/>
  <c r="AM99" i="25"/>
  <c r="AJ120" i="25"/>
  <c r="AM120" i="25"/>
  <c r="BG120" i="25" s="1"/>
  <c r="AS56" i="24"/>
  <c r="AU56" i="24" s="1"/>
  <c r="BB56" i="24" s="1"/>
  <c r="BJ56" i="24"/>
  <c r="AQ56" i="24"/>
  <c r="BU135" i="24"/>
  <c r="AX301" i="24"/>
  <c r="AM230" i="25"/>
  <c r="BG230" i="25" s="1"/>
  <c r="AJ230" i="25"/>
  <c r="AX20" i="25"/>
  <c r="AW20" i="25"/>
  <c r="AS171" i="24"/>
  <c r="BL171" i="24"/>
  <c r="AQ171" i="24"/>
  <c r="BJ171" i="24"/>
  <c r="BH171" i="24"/>
  <c r="BW171" i="24"/>
  <c r="BU171" i="24"/>
  <c r="AX171" i="24"/>
  <c r="AJ137" i="25"/>
  <c r="AM137" i="25"/>
  <c r="BG137" i="25" s="1"/>
  <c r="AR89" i="25"/>
  <c r="AP89" i="25"/>
  <c r="BH89" i="25"/>
  <c r="BF89" i="25"/>
  <c r="BU89" i="25"/>
  <c r="BW89" i="25"/>
  <c r="BL197" i="24"/>
  <c r="AS197" i="24"/>
  <c r="BJ197" i="24"/>
  <c r="AQ197" i="24"/>
  <c r="BH197" i="24"/>
  <c r="BU197" i="24"/>
  <c r="BW197" i="24"/>
  <c r="AX197" i="24"/>
  <c r="AS104" i="24"/>
  <c r="BJ104" i="24"/>
  <c r="AQ104" i="24"/>
  <c r="AX104" i="24"/>
  <c r="BW104" i="24"/>
  <c r="BH104" i="24"/>
  <c r="AS275" i="24"/>
  <c r="AQ275" i="24"/>
  <c r="BJ275" i="24"/>
  <c r="AX275" i="24"/>
  <c r="BH275" i="24"/>
  <c r="BW275" i="24"/>
  <c r="BU275" i="24"/>
  <c r="BH126" i="24"/>
  <c r="BU290" i="24"/>
  <c r="BW145" i="24"/>
  <c r="BA263" i="24"/>
  <c r="AX67" i="25"/>
  <c r="AW67" i="25"/>
  <c r="AM17" i="25"/>
  <c r="BG17" i="25" s="1"/>
  <c r="AJ17" i="25"/>
  <c r="BA282" i="24"/>
  <c r="BA155" i="24"/>
  <c r="AJ236" i="25"/>
  <c r="AM236" i="25"/>
  <c r="AX248" i="24"/>
  <c r="AW187" i="25"/>
  <c r="AX187" i="25"/>
  <c r="AS168" i="24"/>
  <c r="AQ168" i="24"/>
  <c r="BJ168" i="24"/>
  <c r="BU168" i="24"/>
  <c r="AX168" i="24"/>
  <c r="BH168" i="24"/>
  <c r="BW168" i="24"/>
  <c r="AM72" i="25"/>
  <c r="AJ72" i="25"/>
  <c r="AJ222" i="25"/>
  <c r="AM222" i="25"/>
  <c r="BJ28" i="25"/>
  <c r="AR28" i="25"/>
  <c r="BH28" i="25"/>
  <c r="AP28" i="25"/>
  <c r="BF28" i="25"/>
  <c r="BW28" i="25"/>
  <c r="BU28" i="25"/>
  <c r="AS273" i="24"/>
  <c r="AU273" i="24" s="1"/>
  <c r="BB273" i="24" s="1"/>
  <c r="AQ273" i="24"/>
  <c r="BJ273" i="24"/>
  <c r="AS232" i="24"/>
  <c r="AU232" i="24" s="1"/>
  <c r="BB232" i="24" s="1"/>
  <c r="BJ232" i="24"/>
  <c r="AQ232" i="24"/>
  <c r="AR87" i="25"/>
  <c r="BJ87" i="25"/>
  <c r="BH87" i="25"/>
  <c r="AP87" i="25"/>
  <c r="BF87" i="25"/>
  <c r="BW87" i="25"/>
  <c r="BU87" i="25"/>
  <c r="AS69" i="24"/>
  <c r="BJ69" i="24"/>
  <c r="AQ69" i="24"/>
  <c r="BH69" i="24"/>
  <c r="BW69" i="24"/>
  <c r="AX69" i="24"/>
  <c r="BL131" i="24"/>
  <c r="AS131" i="24"/>
  <c r="BJ131" i="24"/>
  <c r="AQ131" i="24"/>
  <c r="BH131" i="24"/>
  <c r="BW131" i="24"/>
  <c r="BU131" i="24"/>
  <c r="AX131" i="24"/>
  <c r="BL268" i="24"/>
  <c r="AS268" i="24"/>
  <c r="AQ268" i="24"/>
  <c r="BJ268" i="24"/>
  <c r="AX268" i="24"/>
  <c r="BH268" i="24"/>
  <c r="BW268" i="24"/>
  <c r="BU268" i="24"/>
  <c r="AJ64" i="25"/>
  <c r="AM64" i="25"/>
  <c r="BH283" i="24"/>
  <c r="BL159" i="24"/>
  <c r="AS159" i="24"/>
  <c r="AQ159" i="24"/>
  <c r="BJ159" i="24"/>
  <c r="BW159" i="24"/>
  <c r="AX159" i="24"/>
  <c r="BH159" i="24"/>
  <c r="BU159" i="24"/>
  <c r="AX120" i="24"/>
  <c r="BL238" i="24"/>
  <c r="AS238" i="24"/>
  <c r="AU238" i="24" s="1"/>
  <c r="BB238" i="24" s="1"/>
  <c r="AQ238" i="24"/>
  <c r="BJ238" i="24"/>
  <c r="AS129" i="24"/>
  <c r="AU129" i="24" s="1"/>
  <c r="BB129" i="24" s="1"/>
  <c r="AQ129" i="24"/>
  <c r="BJ129" i="24"/>
  <c r="AM56" i="25"/>
  <c r="AJ56" i="25"/>
  <c r="AS267" i="24"/>
  <c r="AU267" i="24" s="1"/>
  <c r="BB267" i="24" s="1"/>
  <c r="AQ267" i="24"/>
  <c r="BJ267" i="24"/>
  <c r="AS206" i="24"/>
  <c r="BJ206" i="24"/>
  <c r="AQ206" i="24"/>
  <c r="BH206" i="24"/>
  <c r="BW206" i="24"/>
  <c r="BU206" i="24"/>
  <c r="AX206" i="24"/>
  <c r="AS280" i="24"/>
  <c r="AU280" i="24" s="1"/>
  <c r="BB280" i="24" s="1"/>
  <c r="BJ280" i="24"/>
  <c r="AQ280" i="24"/>
  <c r="AS302" i="24"/>
  <c r="BJ302" i="24"/>
  <c r="AQ302" i="24"/>
  <c r="BW302" i="24"/>
  <c r="BU302" i="24"/>
  <c r="AX302" i="24"/>
  <c r="BH302" i="24"/>
  <c r="AJ219" i="25"/>
  <c r="AM219" i="25"/>
  <c r="BL14" i="24"/>
  <c r="AS14" i="24"/>
  <c r="BJ14" i="24"/>
  <c r="AQ14" i="24"/>
  <c r="AX14" i="24"/>
  <c r="BH14" i="24"/>
  <c r="BW14" i="24"/>
  <c r="AS245" i="24"/>
  <c r="AQ245" i="24"/>
  <c r="BJ245" i="24"/>
  <c r="AX245" i="24"/>
  <c r="BH245" i="24"/>
  <c r="BW245" i="24"/>
  <c r="BU245" i="24"/>
  <c r="AJ16" i="25"/>
  <c r="AM16" i="25"/>
  <c r="BG16" i="25" s="1"/>
  <c r="AM302" i="25"/>
  <c r="AJ302" i="25"/>
  <c r="AX28" i="24"/>
  <c r="AX50" i="25"/>
  <c r="AW50" i="25"/>
  <c r="AS24" i="24"/>
  <c r="AU24" i="24" s="1"/>
  <c r="BB24" i="24" s="1"/>
  <c r="BJ24" i="24"/>
  <c r="AQ24" i="24"/>
  <c r="AS186" i="24"/>
  <c r="AQ186" i="24"/>
  <c r="BJ186" i="24"/>
  <c r="BW186" i="24"/>
  <c r="BU186" i="24"/>
  <c r="AX186" i="24"/>
  <c r="BH186" i="24"/>
  <c r="BA114" i="24"/>
  <c r="AM133" i="25"/>
  <c r="AJ133" i="25"/>
  <c r="AS173" i="24"/>
  <c r="BJ173" i="24"/>
  <c r="AQ173" i="24"/>
  <c r="BU173" i="24"/>
  <c r="BW173" i="24"/>
  <c r="AX173" i="24"/>
  <c r="BH173" i="24"/>
  <c r="AX130" i="24"/>
  <c r="BH147" i="24"/>
  <c r="BA274" i="24"/>
  <c r="AJ197" i="25"/>
  <c r="AM197" i="25"/>
  <c r="AS285" i="24"/>
  <c r="BL285" i="24"/>
  <c r="AQ285" i="24"/>
  <c r="BJ285" i="24"/>
  <c r="BH285" i="24"/>
  <c r="BU285" i="24"/>
  <c r="BW285" i="24"/>
  <c r="AX285" i="24"/>
  <c r="AS172" i="24"/>
  <c r="AQ172" i="24"/>
  <c r="BJ172" i="24"/>
  <c r="AX172" i="24"/>
  <c r="BH172" i="24"/>
  <c r="BW172" i="24"/>
  <c r="BU172" i="24"/>
  <c r="BW260" i="24"/>
  <c r="AX98" i="25"/>
  <c r="AW98" i="25"/>
  <c r="AS161" i="24"/>
  <c r="BJ161" i="24"/>
  <c r="AQ161" i="24"/>
  <c r="BH161" i="24"/>
  <c r="BW161" i="24"/>
  <c r="BU161" i="24"/>
  <c r="AX161" i="24"/>
  <c r="AM163" i="25"/>
  <c r="AJ163" i="25"/>
  <c r="AS8" i="24"/>
  <c r="AU8" i="24" s="1"/>
  <c r="BB8" i="24" s="1"/>
  <c r="BJ8" i="24"/>
  <c r="AQ8" i="24"/>
  <c r="AR238" i="25"/>
  <c r="BJ238" i="25"/>
  <c r="AP238" i="25"/>
  <c r="BH238" i="25"/>
  <c r="BU238" i="25"/>
  <c r="BW238" i="25"/>
  <c r="BF238" i="25"/>
  <c r="AS266" i="24"/>
  <c r="AU266" i="24" s="1"/>
  <c r="BB266" i="24" s="1"/>
  <c r="BJ266" i="24"/>
  <c r="AQ266" i="24"/>
  <c r="BW273" i="24"/>
  <c r="AW157" i="25"/>
  <c r="AX157" i="25"/>
  <c r="AR314" i="25"/>
  <c r="BJ314" i="25"/>
  <c r="AP314" i="25"/>
  <c r="BH314" i="25"/>
  <c r="BF314" i="25"/>
  <c r="BU314" i="25"/>
  <c r="BW314" i="25"/>
  <c r="AJ250" i="25"/>
  <c r="AM250" i="25"/>
  <c r="BG250" i="25" s="1"/>
  <c r="BW269" i="24"/>
  <c r="AX296" i="24"/>
  <c r="AJ88" i="25"/>
  <c r="AM88" i="25"/>
  <c r="AX193" i="25"/>
  <c r="AW193" i="25"/>
  <c r="BL117" i="24"/>
  <c r="AS117" i="24"/>
  <c r="AU117" i="24" s="1"/>
  <c r="BB117" i="24" s="1"/>
  <c r="BJ117" i="24"/>
  <c r="AQ117" i="24"/>
  <c r="AX65" i="25"/>
  <c r="AW65" i="25"/>
  <c r="BL286" i="24"/>
  <c r="AS286" i="24"/>
  <c r="AQ286" i="24"/>
  <c r="BJ286" i="24"/>
  <c r="AX286" i="24"/>
  <c r="BH286" i="24"/>
  <c r="BU286" i="24"/>
  <c r="BW286" i="24"/>
  <c r="AJ36" i="25"/>
  <c r="AM36" i="25"/>
  <c r="BG36" i="25" s="1"/>
  <c r="AX163" i="25"/>
  <c r="AW163" i="25"/>
  <c r="AR246" i="25"/>
  <c r="BJ246" i="25"/>
  <c r="AP246" i="25"/>
  <c r="BH246" i="25"/>
  <c r="BF246" i="25"/>
  <c r="BW246" i="25"/>
  <c r="BU246" i="25"/>
  <c r="AS279" i="24"/>
  <c r="AU279" i="24" s="1"/>
  <c r="BB279" i="24" s="1"/>
  <c r="BJ279" i="24"/>
  <c r="AQ279" i="24"/>
  <c r="AS19" i="24"/>
  <c r="AU19" i="24" s="1"/>
  <c r="BB19" i="24" s="1"/>
  <c r="BJ19" i="24"/>
  <c r="AQ19" i="24"/>
  <c r="AJ290" i="25"/>
  <c r="AM290" i="25"/>
  <c r="BG290" i="25" s="1"/>
  <c r="BA117" i="24"/>
  <c r="AW88" i="25"/>
  <c r="AX88" i="25"/>
  <c r="AM226" i="25"/>
  <c r="BG226" i="25" s="1"/>
  <c r="AJ226" i="25"/>
  <c r="AX164" i="25"/>
  <c r="AW164" i="25"/>
  <c r="AX19" i="25"/>
  <c r="AW19" i="25"/>
  <c r="AJ294" i="25"/>
  <c r="AM294" i="25"/>
  <c r="AJ26" i="25"/>
  <c r="AM26" i="25"/>
  <c r="BG26" i="25" s="1"/>
  <c r="AX8" i="24"/>
  <c r="BH240" i="24"/>
  <c r="AS229" i="24"/>
  <c r="BL229" i="24"/>
  <c r="BJ229" i="24"/>
  <c r="AQ229" i="24"/>
  <c r="BW229" i="24"/>
  <c r="BU229" i="24"/>
  <c r="AX229" i="24"/>
  <c r="BH229" i="24"/>
  <c r="AS288" i="24"/>
  <c r="BL288" i="24"/>
  <c r="BJ288" i="24"/>
  <c r="AQ288" i="24"/>
  <c r="AX288" i="24"/>
  <c r="BH288" i="24"/>
  <c r="BU288" i="24"/>
  <c r="BW288" i="24"/>
  <c r="BW32" i="24"/>
  <c r="AW208" i="25"/>
  <c r="AX208" i="25"/>
  <c r="AJ162" i="25"/>
  <c r="AM162" i="25"/>
  <c r="AS282" i="24"/>
  <c r="AU282" i="24" s="1"/>
  <c r="BB282" i="24" s="1"/>
  <c r="BJ282" i="24"/>
  <c r="AQ282" i="24"/>
  <c r="AS253" i="24"/>
  <c r="AU253" i="24" s="1"/>
  <c r="BB253" i="24" s="1"/>
  <c r="AQ253" i="24"/>
  <c r="BJ253" i="24"/>
  <c r="BA111" i="24"/>
  <c r="AS91" i="24"/>
  <c r="AQ91" i="24"/>
  <c r="BJ91" i="24"/>
  <c r="AX91" i="24"/>
  <c r="BH91" i="24"/>
  <c r="BW91" i="24"/>
  <c r="AS231" i="24"/>
  <c r="BL231" i="24"/>
  <c r="AQ231" i="24"/>
  <c r="BJ231" i="24"/>
  <c r="BH231" i="24"/>
  <c r="BU231" i="24"/>
  <c r="BW231" i="24"/>
  <c r="AX231" i="24"/>
  <c r="BW305" i="24"/>
  <c r="AX180" i="25"/>
  <c r="AW180" i="25"/>
  <c r="AX100" i="25"/>
  <c r="AW100" i="25"/>
  <c r="AR292" i="25"/>
  <c r="BH292" i="25"/>
  <c r="AP292" i="25"/>
  <c r="BU292" i="25"/>
  <c r="BW292" i="25"/>
  <c r="BF292" i="25"/>
  <c r="AS150" i="24"/>
  <c r="AQ150" i="24"/>
  <c r="BJ150" i="24"/>
  <c r="AX150" i="24"/>
  <c r="BH150" i="24"/>
  <c r="BW150" i="24"/>
  <c r="BU150" i="24"/>
  <c r="AJ289" i="25"/>
  <c r="AM289" i="25"/>
  <c r="AS201" i="24"/>
  <c r="BJ201" i="24"/>
  <c r="AQ201" i="24"/>
  <c r="BW201" i="24"/>
  <c r="AX201" i="24"/>
  <c r="BH201" i="24"/>
  <c r="BU201" i="24"/>
  <c r="AS39" i="24"/>
  <c r="BJ39" i="24"/>
  <c r="AQ39" i="24"/>
  <c r="AX39" i="24"/>
  <c r="BH39" i="24"/>
  <c r="BW39" i="24"/>
  <c r="AJ33" i="25"/>
  <c r="AM33" i="25"/>
  <c r="BG33" i="25" s="1"/>
  <c r="AS90" i="24"/>
  <c r="BJ90" i="24"/>
  <c r="AQ90" i="24"/>
  <c r="AX90" i="24"/>
  <c r="BH90" i="24"/>
  <c r="BW90" i="24"/>
  <c r="BA225" i="24"/>
  <c r="AS195" i="24"/>
  <c r="BL195" i="24"/>
  <c r="BJ195" i="24"/>
  <c r="AQ195" i="24"/>
  <c r="BH195" i="24"/>
  <c r="BU195" i="24"/>
  <c r="BW195" i="24"/>
  <c r="AX195" i="24"/>
  <c r="AJ116" i="25"/>
  <c r="AM116" i="25"/>
  <c r="AX295" i="24"/>
  <c r="AJ159" i="25"/>
  <c r="AM159" i="25"/>
  <c r="AS188" i="24"/>
  <c r="BJ188" i="24"/>
  <c r="AQ188" i="24"/>
  <c r="BH188" i="24"/>
  <c r="BU188" i="24"/>
  <c r="BW188" i="24"/>
  <c r="AX188" i="24"/>
  <c r="BL164" i="24"/>
  <c r="AS164" i="24"/>
  <c r="BJ164" i="24"/>
  <c r="AQ164" i="24"/>
  <c r="AX164" i="24"/>
  <c r="BH164" i="24"/>
  <c r="BW164" i="24"/>
  <c r="BU164" i="24"/>
  <c r="AJ53" i="25"/>
  <c r="AM53" i="25"/>
  <c r="BG53" i="25" s="1"/>
  <c r="AS155" i="24"/>
  <c r="AU155" i="24" s="1"/>
  <c r="BB155" i="24" s="1"/>
  <c r="BJ155" i="24"/>
  <c r="AQ155" i="24"/>
  <c r="AS37" i="24"/>
  <c r="AU37" i="24" s="1"/>
  <c r="BB37" i="24" s="1"/>
  <c r="BJ37" i="24"/>
  <c r="AQ37" i="24"/>
  <c r="BA301" i="24"/>
  <c r="AX121" i="24"/>
  <c r="AX93" i="25"/>
  <c r="AW93" i="25"/>
  <c r="AJ39" i="25"/>
  <c r="AM39" i="25"/>
  <c r="AR6" i="25"/>
  <c r="BH6" i="25"/>
  <c r="AP6" i="25"/>
  <c r="BF6" i="25"/>
  <c r="BW6" i="25"/>
  <c r="BU6" i="25"/>
  <c r="AX33" i="25"/>
  <c r="AW33" i="25"/>
  <c r="AX279" i="24"/>
  <c r="AM123" i="25"/>
  <c r="BG123" i="25" s="1"/>
  <c r="AJ123" i="25"/>
  <c r="BA17" i="24"/>
  <c r="AS316" i="24"/>
  <c r="BL316" i="24"/>
  <c r="BJ316" i="24"/>
  <c r="AQ316" i="24"/>
  <c r="AX316" i="24"/>
  <c r="BH316" i="24"/>
  <c r="BW316" i="24"/>
  <c r="BU316" i="24"/>
  <c r="AS199" i="24"/>
  <c r="AQ199" i="24"/>
  <c r="BJ199" i="24"/>
  <c r="AX199" i="24"/>
  <c r="BH199" i="24"/>
  <c r="BW199" i="24"/>
  <c r="BU199" i="24"/>
  <c r="BU282" i="24"/>
  <c r="AW142" i="24"/>
  <c r="AJ10" i="25"/>
  <c r="AM10" i="25"/>
  <c r="BA248" i="24"/>
  <c r="BH232" i="24"/>
  <c r="AS48" i="24"/>
  <c r="AU48" i="24" s="1"/>
  <c r="BB48" i="24" s="1"/>
  <c r="BJ48" i="24"/>
  <c r="AQ48" i="24"/>
  <c r="AJ40" i="25"/>
  <c r="AM40" i="25"/>
  <c r="BG40" i="25" s="1"/>
  <c r="AS154" i="24"/>
  <c r="BL154" i="24"/>
  <c r="BJ154" i="24"/>
  <c r="AQ154" i="24"/>
  <c r="AX154" i="24"/>
  <c r="BH154" i="24"/>
  <c r="BW154" i="24"/>
  <c r="BU154" i="24"/>
  <c r="AX79" i="25"/>
  <c r="AW79" i="25"/>
  <c r="AS204" i="24"/>
  <c r="BJ204" i="24"/>
  <c r="AQ204" i="24"/>
  <c r="AX204" i="24"/>
  <c r="BH204" i="24"/>
  <c r="BU204" i="24"/>
  <c r="BW204" i="24"/>
  <c r="BA259" i="24"/>
  <c r="AS277" i="24"/>
  <c r="BJ277" i="24"/>
  <c r="AQ277" i="24"/>
  <c r="AX277" i="24"/>
  <c r="BH277" i="24"/>
  <c r="BU277" i="24"/>
  <c r="BW277" i="24"/>
  <c r="AM27" i="25"/>
  <c r="AJ27" i="25"/>
  <c r="AU190" i="24"/>
  <c r="BB190" i="24" s="1"/>
  <c r="AW190" i="24"/>
  <c r="AW17" i="25"/>
  <c r="AX17" i="25"/>
  <c r="AS59" i="24"/>
  <c r="AU59" i="24" s="1"/>
  <c r="BB59" i="24" s="1"/>
  <c r="BJ59" i="24"/>
  <c r="AQ59" i="24"/>
  <c r="AJ149" i="25"/>
  <c r="AM149" i="25"/>
  <c r="AM153" i="25"/>
  <c r="AJ153" i="25"/>
  <c r="AJ182" i="25"/>
  <c r="AM182" i="25"/>
  <c r="AR147" i="25"/>
  <c r="AP147" i="25"/>
  <c r="BH147" i="25"/>
  <c r="BW147" i="25"/>
  <c r="BU147" i="25"/>
  <c r="BF147" i="25"/>
  <c r="AW23" i="25"/>
  <c r="AX23" i="25"/>
  <c r="AM233" i="25"/>
  <c r="BG233" i="25" s="1"/>
  <c r="AJ233" i="25"/>
  <c r="AS166" i="24"/>
  <c r="AQ166" i="24"/>
  <c r="BJ166" i="24"/>
  <c r="BW166" i="24"/>
  <c r="BU166" i="24"/>
  <c r="AX166" i="24"/>
  <c r="BH166" i="24"/>
  <c r="AS84" i="24"/>
  <c r="AQ84" i="24"/>
  <c r="BJ84" i="24"/>
  <c r="BW84" i="24"/>
  <c r="AX84" i="24"/>
  <c r="BH84" i="24"/>
  <c r="AM117" i="25"/>
  <c r="AJ117" i="25"/>
  <c r="AM69" i="25"/>
  <c r="BG69" i="25" s="1"/>
  <c r="AJ69" i="25"/>
  <c r="AW134" i="25"/>
  <c r="AX134" i="25"/>
  <c r="AJ271" i="25"/>
  <c r="AM271" i="25"/>
  <c r="BG271" i="25" s="1"/>
  <c r="BJ232" i="25"/>
  <c r="AR232" i="25"/>
  <c r="AP232" i="25"/>
  <c r="BH232" i="25"/>
  <c r="BF232" i="25"/>
  <c r="BW232" i="25"/>
  <c r="BU232" i="25"/>
  <c r="AS49" i="24"/>
  <c r="BJ49" i="24"/>
  <c r="AQ49" i="24"/>
  <c r="AX49" i="24"/>
  <c r="BH49" i="24"/>
  <c r="BW49" i="24"/>
  <c r="AM119" i="25"/>
  <c r="BG119" i="25" s="1"/>
  <c r="AJ119" i="25"/>
  <c r="AJ150" i="25"/>
  <c r="AM150" i="25"/>
  <c r="BG150" i="25" s="1"/>
  <c r="AU294" i="24"/>
  <c r="BB294" i="24" s="1"/>
  <c r="AW294" i="24"/>
  <c r="BA219" i="24"/>
  <c r="AX194" i="25"/>
  <c r="AW194" i="25"/>
  <c r="AX103" i="25"/>
  <c r="AW103" i="25"/>
  <c r="AX139" i="25"/>
  <c r="AW139" i="25"/>
  <c r="BA130" i="24"/>
  <c r="AX147" i="24"/>
  <c r="AS34" i="24"/>
  <c r="AU34" i="24" s="1"/>
  <c r="BB34" i="24" s="1"/>
  <c r="BJ34" i="24"/>
  <c r="AQ34" i="24"/>
  <c r="BA249" i="24"/>
  <c r="AM85" i="25"/>
  <c r="BG85" i="25" s="1"/>
  <c r="AJ85" i="25"/>
  <c r="AR161" i="25"/>
  <c r="BH161" i="25"/>
  <c r="AP161" i="25"/>
  <c r="BF161" i="25"/>
  <c r="BW161" i="25"/>
  <c r="BU161" i="25"/>
  <c r="AU162" i="24"/>
  <c r="BB162" i="24" s="1"/>
  <c r="AW162" i="24"/>
  <c r="AS52" i="24"/>
  <c r="AQ52" i="24"/>
  <c r="BJ52" i="24"/>
  <c r="AX52" i="24"/>
  <c r="BH52" i="24"/>
  <c r="BW52" i="24"/>
  <c r="BU260" i="24"/>
  <c r="AM210" i="25"/>
  <c r="BG210" i="25" s="1"/>
  <c r="AJ210" i="25"/>
  <c r="AS80" i="24"/>
  <c r="BJ80" i="24"/>
  <c r="AQ80" i="24"/>
  <c r="BW80" i="24"/>
  <c r="AX80" i="24"/>
  <c r="BH80" i="24"/>
  <c r="AT129" i="25"/>
  <c r="AY129" i="25" s="1"/>
  <c r="AU129" i="25"/>
  <c r="BA296" i="24"/>
  <c r="AM313" i="25"/>
  <c r="AJ313" i="25"/>
  <c r="AR94" i="25"/>
  <c r="BJ94" i="25"/>
  <c r="BH94" i="25"/>
  <c r="AP94" i="25"/>
  <c r="BU94" i="25"/>
  <c r="BF94" i="25"/>
  <c r="BW94" i="25"/>
  <c r="AX197" i="25"/>
  <c r="AW197" i="25"/>
  <c r="AJ301" i="25"/>
  <c r="AM301" i="25"/>
  <c r="BG301" i="25" s="1"/>
  <c r="AW145" i="25"/>
  <c r="AX145" i="25"/>
  <c r="AJ284" i="25"/>
  <c r="AM284" i="25"/>
  <c r="BJ262" i="25"/>
  <c r="AR262" i="25"/>
  <c r="BH262" i="25"/>
  <c r="AP262" i="25"/>
  <c r="BW262" i="25"/>
  <c r="BU262" i="25"/>
  <c r="BF262" i="25"/>
  <c r="AX238" i="24"/>
  <c r="AJ169" i="25"/>
  <c r="AM169" i="25"/>
  <c r="AS263" i="24"/>
  <c r="AU263" i="24" s="1"/>
  <c r="BB263" i="24" s="1"/>
  <c r="BJ263" i="24"/>
  <c r="AQ263" i="24"/>
  <c r="BJ276" i="25"/>
  <c r="AR276" i="25"/>
  <c r="BH276" i="25"/>
  <c r="AP276" i="25"/>
  <c r="BW276" i="25"/>
  <c r="BU276" i="25"/>
  <c r="BF276" i="25"/>
  <c r="AJ295" i="25"/>
  <c r="AM295" i="25"/>
  <c r="BH133" i="24"/>
  <c r="AU191" i="24"/>
  <c r="BB191" i="24" s="1"/>
  <c r="AW191" i="24"/>
  <c r="AS38" i="24"/>
  <c r="BJ38" i="24"/>
  <c r="AQ38" i="24"/>
  <c r="AX38" i="24"/>
  <c r="BW38" i="24"/>
  <c r="BH38" i="24"/>
  <c r="AR114" i="25"/>
  <c r="BJ114" i="25"/>
  <c r="BH114" i="25"/>
  <c r="AP114" i="25"/>
  <c r="BW114" i="25"/>
  <c r="BU114" i="25"/>
  <c r="BF114" i="25"/>
  <c r="AW236" i="24"/>
  <c r="AR113" i="25"/>
  <c r="AP113" i="25"/>
  <c r="BH113" i="25"/>
  <c r="BF113" i="25"/>
  <c r="BW113" i="25"/>
  <c r="BU113" i="25"/>
  <c r="AM41" i="25"/>
  <c r="BG41" i="25" s="1"/>
  <c r="AJ41" i="25"/>
  <c r="BH8" i="24"/>
  <c r="AW22" i="24"/>
  <c r="BH266" i="24"/>
  <c r="BH265" i="24"/>
  <c r="AX181" i="25"/>
  <c r="AW181" i="25"/>
  <c r="AJ277" i="25"/>
  <c r="AM277" i="25"/>
  <c r="BG277" i="25" s="1"/>
  <c r="AX44" i="25"/>
  <c r="AW44" i="25"/>
  <c r="BU305" i="24"/>
  <c r="AW86" i="25"/>
  <c r="AX86" i="25"/>
  <c r="AJ121" i="25"/>
  <c r="AM121" i="25"/>
  <c r="BU247" i="24"/>
  <c r="AW60" i="25"/>
  <c r="AX60" i="25"/>
  <c r="AS112" i="24"/>
  <c r="AU112" i="24" s="1"/>
  <c r="BB112" i="24" s="1"/>
  <c r="AQ112" i="24"/>
  <c r="BJ112" i="24"/>
  <c r="AM67" i="25"/>
  <c r="BG67" i="25" s="1"/>
  <c r="AJ67" i="25"/>
  <c r="AX91" i="25"/>
  <c r="AW91" i="25"/>
  <c r="AS105" i="24"/>
  <c r="BJ105" i="24"/>
  <c r="AQ105" i="24"/>
  <c r="AX105" i="24"/>
  <c r="BH105" i="24"/>
  <c r="BW105" i="24"/>
  <c r="BW242" i="24"/>
  <c r="BA295" i="24"/>
  <c r="AJ12" i="25"/>
  <c r="AM12" i="25"/>
  <c r="AR32" i="25"/>
  <c r="BJ32" i="25"/>
  <c r="AP32" i="25"/>
  <c r="BH32" i="25"/>
  <c r="BW32" i="25"/>
  <c r="BU32" i="25"/>
  <c r="BF32" i="25"/>
  <c r="AS209" i="24"/>
  <c r="BJ209" i="24"/>
  <c r="AQ209" i="24"/>
  <c r="AX209" i="24"/>
  <c r="BH209" i="24"/>
  <c r="BU209" i="24"/>
  <c r="BW209" i="24"/>
  <c r="BW301" i="24"/>
  <c r="BA121" i="24"/>
  <c r="AM191" i="25"/>
  <c r="AJ191" i="25"/>
  <c r="AJ195" i="25"/>
  <c r="AM195" i="25"/>
  <c r="BL276" i="24"/>
  <c r="AS276" i="24"/>
  <c r="AQ276" i="24"/>
  <c r="BJ276" i="24"/>
  <c r="BU276" i="24"/>
  <c r="BW276" i="24"/>
  <c r="AX276" i="24"/>
  <c r="BH276" i="24"/>
  <c r="AR174" i="25"/>
  <c r="AP174" i="25"/>
  <c r="BH174" i="25"/>
  <c r="BW174" i="25"/>
  <c r="BU174" i="25"/>
  <c r="BF174" i="25"/>
  <c r="BU145" i="24"/>
  <c r="AW132" i="24"/>
  <c r="BW263" i="24"/>
  <c r="BH9" i="24"/>
  <c r="BA267" i="24"/>
  <c r="BA253" i="24"/>
  <c r="AX58" i="25"/>
  <c r="AW58" i="25"/>
  <c r="AX232" i="24"/>
  <c r="AS284" i="24"/>
  <c r="AU284" i="24" s="1"/>
  <c r="BB284" i="24" s="1"/>
  <c r="BL284" i="24"/>
  <c r="AQ284" i="24"/>
  <c r="BJ284" i="24"/>
  <c r="AJ152" i="25"/>
  <c r="AM152" i="25"/>
  <c r="AX195" i="25"/>
  <c r="AW195" i="25"/>
  <c r="AR71" i="25"/>
  <c r="BH71" i="25"/>
  <c r="AP71" i="25"/>
  <c r="BF71" i="25"/>
  <c r="BW71" i="25"/>
  <c r="BU71" i="25"/>
  <c r="AJ126" i="25"/>
  <c r="AM126" i="25"/>
  <c r="BG126" i="25" s="1"/>
  <c r="AM78" i="25"/>
  <c r="BG78" i="25" s="1"/>
  <c r="AJ78" i="25"/>
  <c r="AW200" i="25"/>
  <c r="AX200" i="25"/>
  <c r="AX123" i="25"/>
  <c r="AW123" i="25"/>
  <c r="BA18" i="24"/>
  <c r="AS92" i="24"/>
  <c r="BJ92" i="24"/>
  <c r="AQ92" i="24"/>
  <c r="BH92" i="24"/>
  <c r="BW92" i="24"/>
  <c r="AX92" i="24"/>
  <c r="BA120" i="24"/>
  <c r="AS314" i="24"/>
  <c r="AQ314" i="24"/>
  <c r="BJ314" i="24"/>
  <c r="BH314" i="24"/>
  <c r="BW314" i="24"/>
  <c r="BU314" i="24"/>
  <c r="AX314" i="24"/>
  <c r="AS237" i="24"/>
  <c r="AU237" i="24" s="1"/>
  <c r="BB237" i="24" s="1"/>
  <c r="BJ237" i="24"/>
  <c r="AQ237" i="24"/>
  <c r="AM22" i="25"/>
  <c r="AJ22" i="25"/>
  <c r="AS32" i="24"/>
  <c r="AU32" i="24" s="1"/>
  <c r="BB32" i="24" s="1"/>
  <c r="AQ32" i="24"/>
  <c r="BJ32" i="24"/>
  <c r="AS66" i="24"/>
  <c r="BL66" i="24"/>
  <c r="AQ66" i="24"/>
  <c r="BJ66" i="24"/>
  <c r="BW66" i="24"/>
  <c r="AX66" i="24"/>
  <c r="BH66" i="24"/>
  <c r="BA298" i="24"/>
  <c r="AJ115" i="25"/>
  <c r="AM115" i="25"/>
  <c r="AR198" i="25"/>
  <c r="BJ198" i="25"/>
  <c r="BH198" i="25"/>
  <c r="BF198" i="25"/>
  <c r="BW198" i="25"/>
  <c r="BU198" i="25"/>
  <c r="AW75" i="25"/>
  <c r="AX75" i="25"/>
  <c r="AS178" i="24"/>
  <c r="AQ178" i="24"/>
  <c r="BJ178" i="24"/>
  <c r="BW178" i="24"/>
  <c r="BU178" i="24"/>
  <c r="AX178" i="24"/>
  <c r="BH178" i="24"/>
  <c r="AS53" i="24"/>
  <c r="AQ53" i="24"/>
  <c r="BJ53" i="24"/>
  <c r="AX53" i="24"/>
  <c r="BH53" i="24"/>
  <c r="BW53" i="24"/>
  <c r="AS65" i="24"/>
  <c r="AQ65" i="24"/>
  <c r="BJ65" i="24"/>
  <c r="BW65" i="24"/>
  <c r="AX65" i="24"/>
  <c r="BH65" i="24"/>
  <c r="AS77" i="24"/>
  <c r="BJ77" i="24"/>
  <c r="AQ77" i="24"/>
  <c r="AX77" i="24"/>
  <c r="BW77" i="24"/>
  <c r="BH77" i="24"/>
  <c r="AX237" i="24"/>
  <c r="AJ160" i="25"/>
  <c r="AM160" i="25"/>
  <c r="AX172" i="25"/>
  <c r="AW172" i="25"/>
  <c r="AS85" i="24"/>
  <c r="BJ85" i="24"/>
  <c r="AQ85" i="24"/>
  <c r="AX85" i="24"/>
  <c r="BW85" i="24"/>
  <c r="BH85" i="24"/>
  <c r="AS291" i="24"/>
  <c r="BL291" i="24"/>
  <c r="BJ291" i="24"/>
  <c r="AQ291" i="24"/>
  <c r="BU291" i="24"/>
  <c r="BW291" i="24"/>
  <c r="AX291" i="24"/>
  <c r="BH291" i="24"/>
  <c r="AJ303" i="25"/>
  <c r="AM303" i="25"/>
  <c r="AS114" i="24"/>
  <c r="AU114" i="24" s="1"/>
  <c r="BB114" i="24" s="1"/>
  <c r="BJ114" i="24"/>
  <c r="AQ114" i="24"/>
  <c r="AJ83" i="25"/>
  <c r="AM83" i="25"/>
  <c r="BA28" i="24"/>
  <c r="AS87" i="24"/>
  <c r="AQ87" i="24"/>
  <c r="BJ87" i="24"/>
  <c r="BH87" i="24"/>
  <c r="BW87" i="24"/>
  <c r="AX87" i="24"/>
  <c r="AM260" i="25"/>
  <c r="AJ260" i="25"/>
  <c r="AS148" i="24"/>
  <c r="AU148" i="24" s="1"/>
  <c r="BB148" i="24" s="1"/>
  <c r="BJ148" i="24"/>
  <c r="AQ148" i="24"/>
  <c r="AS163" i="24"/>
  <c r="AQ163" i="24"/>
  <c r="BJ163" i="24"/>
  <c r="AX163" i="24"/>
  <c r="BH163" i="24"/>
  <c r="BU163" i="24"/>
  <c r="BW163" i="24"/>
  <c r="AS308" i="24"/>
  <c r="BL308" i="24"/>
  <c r="BJ308" i="24"/>
  <c r="AQ308" i="24"/>
  <c r="BU308" i="24"/>
  <c r="AX308" i="24"/>
  <c r="BH308" i="24"/>
  <c r="BW308" i="24"/>
  <c r="AS304" i="24"/>
  <c r="BJ304" i="24"/>
  <c r="AQ304" i="24"/>
  <c r="AX304" i="24"/>
  <c r="BH304" i="24"/>
  <c r="BU304" i="24"/>
  <c r="BW304" i="24"/>
  <c r="AX160" i="25"/>
  <c r="AW160" i="25"/>
  <c r="BL140" i="24"/>
  <c r="AS140" i="24"/>
  <c r="BJ140" i="24"/>
  <c r="AQ140" i="24"/>
  <c r="BU140" i="24"/>
  <c r="BW140" i="24"/>
  <c r="AX140" i="24"/>
  <c r="BH140" i="24"/>
  <c r="BW114" i="24"/>
  <c r="BL136" i="24"/>
  <c r="AS136" i="24"/>
  <c r="BJ136" i="24"/>
  <c r="AQ136" i="24"/>
  <c r="BW136" i="24"/>
  <c r="BU136" i="24"/>
  <c r="AX136" i="24"/>
  <c r="BH136" i="24"/>
  <c r="AS222" i="24"/>
  <c r="BL222" i="24"/>
  <c r="AQ222" i="24"/>
  <c r="BJ222" i="24"/>
  <c r="BW222" i="24"/>
  <c r="BU222" i="24"/>
  <c r="AX222" i="24"/>
  <c r="BH222" i="24"/>
  <c r="AX84" i="25"/>
  <c r="AW84" i="25"/>
  <c r="AS9" i="24"/>
  <c r="AU9" i="24" s="1"/>
  <c r="BB9" i="24" s="1"/>
  <c r="BJ9" i="24"/>
  <c r="AQ9" i="24"/>
  <c r="AJ112" i="25"/>
  <c r="AM112" i="25"/>
  <c r="AS100" i="24"/>
  <c r="BJ100" i="24"/>
  <c r="AQ100" i="24"/>
  <c r="AX100" i="24"/>
  <c r="BW100" i="24"/>
  <c r="BH100" i="24"/>
  <c r="AS99" i="24"/>
  <c r="AQ99" i="24"/>
  <c r="BJ99" i="24"/>
  <c r="BH99" i="24"/>
  <c r="BW99" i="24"/>
  <c r="AX99" i="24"/>
  <c r="AS71" i="24"/>
  <c r="BJ71" i="24"/>
  <c r="AQ71" i="24"/>
  <c r="AX71" i="24"/>
  <c r="BH71" i="24"/>
  <c r="BW71" i="24"/>
  <c r="BL134" i="24"/>
  <c r="AS134" i="24"/>
  <c r="BJ134" i="24"/>
  <c r="AQ134" i="24"/>
  <c r="AX134" i="24"/>
  <c r="BH134" i="24"/>
  <c r="BW134" i="24"/>
  <c r="BU134" i="24"/>
  <c r="AX119" i="25"/>
  <c r="AW119" i="25"/>
  <c r="AJ65" i="25"/>
  <c r="AM65" i="25"/>
  <c r="AS258" i="24"/>
  <c r="AU258" i="24" s="1"/>
  <c r="BB258" i="24" s="1"/>
  <c r="AQ258" i="24"/>
  <c r="BJ258" i="24"/>
  <c r="BL122" i="24"/>
  <c r="AS122" i="24"/>
  <c r="BJ122" i="24"/>
  <c r="AQ122" i="24"/>
  <c r="AX122" i="24"/>
  <c r="BH122" i="24"/>
  <c r="BW122" i="24"/>
  <c r="BU122" i="24"/>
  <c r="AJ252" i="25"/>
  <c r="AM252" i="25"/>
  <c r="BG252" i="25" s="1"/>
  <c r="BJ95" i="25"/>
  <c r="AR95" i="25"/>
  <c r="BH95" i="25"/>
  <c r="AP95" i="25"/>
  <c r="BF95" i="25"/>
  <c r="BU95" i="25"/>
  <c r="BW95" i="25"/>
  <c r="AM144" i="25"/>
  <c r="BG144" i="25" s="1"/>
  <c r="AJ144" i="25"/>
  <c r="BL181" i="24"/>
  <c r="AS181" i="24"/>
  <c r="AQ181" i="24"/>
  <c r="BJ181" i="24"/>
  <c r="AX181" i="24"/>
  <c r="BH181" i="24"/>
  <c r="BW181" i="24"/>
  <c r="BU181" i="24"/>
  <c r="BU273" i="24"/>
  <c r="AJ249" i="25"/>
  <c r="AM249" i="25"/>
  <c r="BG249" i="25" s="1"/>
  <c r="AM176" i="25"/>
  <c r="AJ176" i="25"/>
  <c r="AJ218" i="25"/>
  <c r="AM218" i="25"/>
  <c r="BH269" i="24"/>
  <c r="AX85" i="25"/>
  <c r="AW85" i="25"/>
  <c r="AR82" i="25"/>
  <c r="AP82" i="25"/>
  <c r="BH82" i="25"/>
  <c r="BF82" i="25"/>
  <c r="BU82" i="25"/>
  <c r="BW82" i="25"/>
  <c r="AS51" i="24"/>
  <c r="AU51" i="24" s="1"/>
  <c r="BB51" i="24" s="1"/>
  <c r="BJ51" i="24"/>
  <c r="AQ51" i="24"/>
  <c r="AX25" i="25"/>
  <c r="AW25" i="25"/>
  <c r="AS311" i="24"/>
  <c r="BL311" i="24"/>
  <c r="BJ311" i="24"/>
  <c r="AQ311" i="24"/>
  <c r="AX311" i="24"/>
  <c r="BH311" i="24"/>
  <c r="BU311" i="24"/>
  <c r="BW311" i="24"/>
  <c r="AS239" i="24"/>
  <c r="BL239" i="24"/>
  <c r="BJ239" i="24"/>
  <c r="AQ239" i="24"/>
  <c r="AX239" i="24"/>
  <c r="BH239" i="24"/>
  <c r="BW239" i="24"/>
  <c r="BU239" i="24"/>
  <c r="BA238" i="24"/>
  <c r="BA6" i="24"/>
  <c r="AX34" i="24"/>
  <c r="AM231" i="25"/>
  <c r="AJ231" i="25"/>
  <c r="AJ132" i="25"/>
  <c r="AM132" i="25"/>
  <c r="BL290" i="24"/>
  <c r="AS290" i="24"/>
  <c r="AU290" i="24" s="1"/>
  <c r="BB290" i="24" s="1"/>
  <c r="BJ290" i="24"/>
  <c r="AQ290" i="24"/>
  <c r="AM18" i="25"/>
  <c r="BG18" i="25" s="1"/>
  <c r="AJ18" i="25"/>
  <c r="AM37" i="25"/>
  <c r="BG37" i="25" s="1"/>
  <c r="AJ37" i="25"/>
  <c r="AM235" i="25"/>
  <c r="AJ235" i="25"/>
  <c r="AS13" i="24"/>
  <c r="BJ13" i="24"/>
  <c r="AQ13" i="24"/>
  <c r="AX13" i="24"/>
  <c r="BH13" i="24"/>
  <c r="BW13" i="24"/>
  <c r="AJ100" i="25"/>
  <c r="AM100" i="25"/>
  <c r="BW59" i="24"/>
  <c r="AS70" i="24"/>
  <c r="BJ70" i="24"/>
  <c r="AQ70" i="24"/>
  <c r="BW70" i="24"/>
  <c r="AX70" i="24"/>
  <c r="BH70" i="24"/>
  <c r="AX240" i="24"/>
  <c r="AM227" i="25"/>
  <c r="AJ227" i="25"/>
  <c r="AX265" i="24"/>
  <c r="AX32" i="24"/>
  <c r="BL113" i="24"/>
  <c r="AS113" i="24"/>
  <c r="BJ113" i="24"/>
  <c r="AQ113" i="24"/>
  <c r="BH113" i="24"/>
  <c r="BW113" i="24"/>
  <c r="BU113" i="24"/>
  <c r="AX113" i="24"/>
  <c r="AM54" i="25"/>
  <c r="AJ54" i="25"/>
  <c r="AR31" i="25"/>
  <c r="BJ31" i="25"/>
  <c r="AP31" i="25"/>
  <c r="BH31" i="25"/>
  <c r="BF31" i="25"/>
  <c r="BW31" i="25"/>
  <c r="BU31" i="25"/>
  <c r="BU111" i="24"/>
  <c r="AR291" i="25"/>
  <c r="BJ291" i="25"/>
  <c r="BH291" i="25"/>
  <c r="AP291" i="25"/>
  <c r="BF291" i="25"/>
  <c r="BU291" i="25"/>
  <c r="BW291" i="25"/>
  <c r="AR62" i="25"/>
  <c r="AP62" i="25"/>
  <c r="BH62" i="25"/>
  <c r="BW62" i="25"/>
  <c r="BU62" i="25"/>
  <c r="BF62" i="25"/>
  <c r="AJ93" i="25"/>
  <c r="AM93" i="25"/>
  <c r="BG93" i="25" s="1"/>
  <c r="AM9" i="25"/>
  <c r="AJ9" i="25"/>
  <c r="BL183" i="24"/>
  <c r="AS183" i="24"/>
  <c r="BJ183" i="24"/>
  <c r="AQ183" i="24"/>
  <c r="BH183" i="24"/>
  <c r="BU183" i="24"/>
  <c r="BW183" i="24"/>
  <c r="AX183" i="24"/>
  <c r="BL218" i="24"/>
  <c r="AS218" i="24"/>
  <c r="AU218" i="24" s="1"/>
  <c r="BB218" i="24" s="1"/>
  <c r="BJ218" i="24"/>
  <c r="AQ218" i="24"/>
  <c r="AM45" i="25"/>
  <c r="AJ45" i="25"/>
  <c r="AM300" i="25"/>
  <c r="AJ300" i="25"/>
  <c r="AS63" i="24"/>
  <c r="BJ63" i="24"/>
  <c r="AQ63" i="24"/>
  <c r="AX63" i="24"/>
  <c r="BH63" i="24"/>
  <c r="BW63" i="24"/>
  <c r="BW247" i="24"/>
  <c r="AS307" i="24"/>
  <c r="AQ307" i="24"/>
  <c r="BJ307" i="24"/>
  <c r="AX307" i="24"/>
  <c r="BH307" i="24"/>
  <c r="BU307" i="24"/>
  <c r="BW307" i="24"/>
  <c r="AR14" i="25"/>
  <c r="BH14" i="25"/>
  <c r="AP14" i="25"/>
  <c r="BW14" i="25"/>
  <c r="BU14" i="25"/>
  <c r="BF14" i="25"/>
  <c r="AS15" i="24"/>
  <c r="BJ15" i="24"/>
  <c r="AQ15" i="24"/>
  <c r="AX15" i="24"/>
  <c r="BH15" i="24"/>
  <c r="BW15" i="24"/>
  <c r="BU242" i="24"/>
  <c r="AJ269" i="25"/>
  <c r="AM269" i="25"/>
  <c r="AX162" i="25"/>
  <c r="AW162" i="25"/>
  <c r="AS61" i="24"/>
  <c r="BL61" i="24"/>
  <c r="AQ61" i="24"/>
  <c r="BJ61" i="24"/>
  <c r="AX61" i="24"/>
  <c r="BW61" i="24"/>
  <c r="BH61" i="24"/>
  <c r="BH135" i="24"/>
  <c r="AX70" i="25"/>
  <c r="AW70" i="25"/>
  <c r="AS79" i="24"/>
  <c r="AQ79" i="24"/>
  <c r="BJ79" i="24"/>
  <c r="BW79" i="24"/>
  <c r="AX79" i="24"/>
  <c r="BH79" i="24"/>
  <c r="AU233" i="24"/>
  <c r="BB233" i="24" s="1"/>
  <c r="AW233" i="24"/>
  <c r="AS220" i="24"/>
  <c r="BL220" i="24"/>
  <c r="BJ220" i="24"/>
  <c r="AQ220" i="24"/>
  <c r="AX220" i="24"/>
  <c r="BH220" i="24"/>
  <c r="BW220" i="24"/>
  <c r="BU220" i="24"/>
  <c r="AJ220" i="25"/>
  <c r="AM220" i="25"/>
  <c r="BL230" i="24"/>
  <c r="AS230" i="24"/>
  <c r="BJ230" i="24"/>
  <c r="AQ230" i="24"/>
  <c r="BW230" i="24"/>
  <c r="BU230" i="24"/>
  <c r="AX230" i="24"/>
  <c r="BH230" i="24"/>
  <c r="AJ200" i="25"/>
  <c r="AM200" i="25"/>
  <c r="BG200" i="25" s="1"/>
  <c r="BA279" i="24"/>
  <c r="BA126" i="24"/>
  <c r="AX290" i="24"/>
  <c r="AW116" i="25"/>
  <c r="AX116" i="25"/>
  <c r="BU263" i="24"/>
  <c r="BU267" i="24"/>
  <c r="BU155" i="24"/>
  <c r="AX99" i="25"/>
  <c r="AW99" i="25"/>
  <c r="BW253" i="24"/>
  <c r="AS193" i="24"/>
  <c r="AQ193" i="24"/>
  <c r="BJ193" i="24"/>
  <c r="AX193" i="24"/>
  <c r="BH193" i="24"/>
  <c r="BW193" i="24"/>
  <c r="BU193" i="24"/>
  <c r="AS224" i="24"/>
  <c r="AU224" i="24" s="1"/>
  <c r="BB224" i="24" s="1"/>
  <c r="AQ224" i="24"/>
  <c r="BJ224" i="24"/>
  <c r="AX159" i="25"/>
  <c r="AW159" i="25"/>
  <c r="BW248" i="24"/>
  <c r="AS235" i="24"/>
  <c r="AU235" i="24" s="1"/>
  <c r="BB235" i="24" s="1"/>
  <c r="AQ235" i="24"/>
  <c r="BJ235" i="24"/>
  <c r="AW120" i="25"/>
  <c r="AX120" i="25"/>
  <c r="AS261" i="24"/>
  <c r="AU261" i="24" s="1"/>
  <c r="BB261" i="24" s="1"/>
  <c r="AQ261" i="24"/>
  <c r="BJ261" i="24"/>
  <c r="BJ131" i="25"/>
  <c r="AR131" i="25"/>
  <c r="BH131" i="25"/>
  <c r="AP131" i="25"/>
  <c r="BF131" i="25"/>
  <c r="BW131" i="25"/>
  <c r="BU131" i="25"/>
  <c r="BA258" i="24"/>
  <c r="BA54" i="24"/>
  <c r="BA24" i="24"/>
  <c r="BA280" i="24"/>
  <c r="AW137" i="25"/>
  <c r="AX137" i="25"/>
  <c r="BA128" i="24"/>
  <c r="BA283" i="24"/>
  <c r="AJ55" i="25"/>
  <c r="AM55" i="25"/>
  <c r="AJ217" i="25"/>
  <c r="AM217" i="25"/>
  <c r="BA228" i="24"/>
  <c r="AR282" i="25"/>
  <c r="BJ282" i="25"/>
  <c r="AP282" i="25"/>
  <c r="BH282" i="25"/>
  <c r="BF282" i="25"/>
  <c r="BW282" i="25"/>
  <c r="BU282" i="25"/>
  <c r="AS102" i="24"/>
  <c r="BJ102" i="24"/>
  <c r="AQ102" i="24"/>
  <c r="AX102" i="24"/>
  <c r="BW102" i="24"/>
  <c r="BH102" i="24"/>
  <c r="AS249" i="24"/>
  <c r="AU249" i="24" s="1"/>
  <c r="BB249" i="24" s="1"/>
  <c r="BJ249" i="24"/>
  <c r="AQ249" i="24"/>
  <c r="AS203" i="24"/>
  <c r="BJ203" i="24"/>
  <c r="AQ203" i="24"/>
  <c r="BU203" i="24"/>
  <c r="BW203" i="24"/>
  <c r="AX203" i="24"/>
  <c r="BH203" i="24"/>
  <c r="AJ8" i="25"/>
  <c r="AM8" i="25"/>
  <c r="BG8" i="25" s="1"/>
  <c r="BA19" i="24"/>
  <c r="AS208" i="24"/>
  <c r="AQ208" i="24"/>
  <c r="BJ208" i="24"/>
  <c r="AX208" i="24"/>
  <c r="BH208" i="24"/>
  <c r="BW208" i="24"/>
  <c r="BU208" i="24"/>
  <c r="AM194" i="25"/>
  <c r="AJ194" i="25"/>
  <c r="BA299" i="24"/>
  <c r="AJ297" i="25"/>
  <c r="AM297" i="25"/>
  <c r="BG297" i="25" s="1"/>
  <c r="AX149" i="25"/>
  <c r="AW149" i="25"/>
  <c r="AM184" i="25"/>
  <c r="AJ184" i="25"/>
  <c r="BA26" i="24"/>
  <c r="AS306" i="24"/>
  <c r="BJ306" i="24"/>
  <c r="AQ306" i="24"/>
  <c r="AX306" i="24"/>
  <c r="BH306" i="24"/>
  <c r="BU306" i="24"/>
  <c r="BW306" i="24"/>
  <c r="BA148" i="24"/>
  <c r="AJ286" i="25"/>
  <c r="AM286" i="25"/>
  <c r="BW28" i="24"/>
  <c r="AS40" i="24"/>
  <c r="BJ40" i="24"/>
  <c r="AQ40" i="24"/>
  <c r="AX40" i="24"/>
  <c r="BH40" i="24"/>
  <c r="BW40" i="24"/>
  <c r="BA112" i="24"/>
  <c r="AX142" i="25"/>
  <c r="AW142" i="25"/>
  <c r="AS250" i="24"/>
  <c r="AQ250" i="24"/>
  <c r="BJ250" i="24"/>
  <c r="BW250" i="24"/>
  <c r="AX250" i="24"/>
  <c r="BH250" i="24"/>
  <c r="BU250" i="24"/>
  <c r="AM209" i="25"/>
  <c r="BG209" i="25" s="1"/>
  <c r="AJ209" i="25"/>
  <c r="AX151" i="25"/>
  <c r="AW151" i="25"/>
  <c r="BA147" i="24"/>
  <c r="AX184" i="25"/>
  <c r="AW184" i="25"/>
  <c r="AX69" i="25"/>
  <c r="AW69" i="25"/>
  <c r="BL225" i="24"/>
  <c r="AS225" i="24"/>
  <c r="AU225" i="24" s="1"/>
  <c r="BB225" i="24" s="1"/>
  <c r="AQ225" i="24"/>
  <c r="BJ225" i="24"/>
  <c r="AR192" i="25"/>
  <c r="AP192" i="25"/>
  <c r="BH192" i="25"/>
  <c r="BF192" i="25"/>
  <c r="BW192" i="25"/>
  <c r="BU192" i="25"/>
  <c r="AU45" i="24"/>
  <c r="BB45" i="24" s="1"/>
  <c r="AW45" i="24"/>
  <c r="BW249" i="24"/>
  <c r="AJ193" i="25"/>
  <c r="AM193" i="25"/>
  <c r="BG193" i="25" s="1"/>
  <c r="AJ128" i="25"/>
  <c r="AM128" i="25"/>
  <c r="BG128" i="25" s="1"/>
  <c r="BL177" i="24"/>
  <c r="AS177" i="24"/>
  <c r="BJ177" i="24"/>
  <c r="AQ177" i="24"/>
  <c r="BH177" i="24"/>
  <c r="BU177" i="24"/>
  <c r="BW177" i="24"/>
  <c r="AX177" i="24"/>
  <c r="AS127" i="24"/>
  <c r="BJ127" i="24"/>
  <c r="AQ127" i="24"/>
  <c r="BW127" i="24"/>
  <c r="BU127" i="24"/>
  <c r="AX127" i="24"/>
  <c r="BH127" i="24"/>
  <c r="AM105" i="25"/>
  <c r="BG105" i="25" s="1"/>
  <c r="AJ105" i="25"/>
  <c r="AJ15" i="25"/>
  <c r="AM15" i="25"/>
  <c r="BG15" i="25" s="1"/>
  <c r="AJ74" i="25"/>
  <c r="AM74" i="25"/>
  <c r="AS210" i="24"/>
  <c r="BJ210" i="24"/>
  <c r="AQ210" i="24"/>
  <c r="BU210" i="24"/>
  <c r="AX210" i="24"/>
  <c r="BH210" i="24"/>
  <c r="BW210" i="24"/>
  <c r="AS42" i="24"/>
  <c r="BJ42" i="24"/>
  <c r="AQ42" i="24"/>
  <c r="AX42" i="24"/>
  <c r="BH42" i="24"/>
  <c r="BW42" i="24"/>
  <c r="BW12" i="24"/>
  <c r="AM80" i="25"/>
  <c r="AJ80" i="25"/>
  <c r="AS6" i="24"/>
  <c r="AU6" i="24" s="1"/>
  <c r="BB6" i="24" s="1"/>
  <c r="BL6" i="24"/>
  <c r="BJ6" i="24"/>
  <c r="AQ6" i="24"/>
  <c r="AS223" i="24"/>
  <c r="BL223" i="24"/>
  <c r="BJ223" i="24"/>
  <c r="AQ223" i="24"/>
  <c r="AX223" i="24"/>
  <c r="BH223" i="24"/>
  <c r="BW223" i="24"/>
  <c r="BU223" i="24"/>
  <c r="BU296" i="24"/>
  <c r="AX81" i="25"/>
  <c r="AW81" i="25"/>
  <c r="AM311" i="25"/>
  <c r="AJ311" i="25"/>
  <c r="AJ7" i="25"/>
  <c r="AM7" i="25"/>
  <c r="BL149" i="24"/>
  <c r="AS149" i="24"/>
  <c r="BJ149" i="24"/>
  <c r="AQ149" i="24"/>
  <c r="BH149" i="24"/>
  <c r="BU149" i="24"/>
  <c r="BW149" i="24"/>
  <c r="AX149" i="24"/>
  <c r="AM19" i="25"/>
  <c r="AJ19" i="25"/>
  <c r="AM168" i="25"/>
  <c r="AJ168" i="25"/>
  <c r="BA34" i="24"/>
  <c r="AX210" i="25"/>
  <c r="AW210" i="25"/>
  <c r="AR229" i="25"/>
  <c r="BJ229" i="25"/>
  <c r="BH229" i="25"/>
  <c r="AP229" i="25"/>
  <c r="BF229" i="25"/>
  <c r="BU229" i="25"/>
  <c r="BW229" i="25"/>
  <c r="AJ135" i="25"/>
  <c r="AM135" i="25"/>
  <c r="AX144" i="25"/>
  <c r="AW144" i="25"/>
  <c r="AM90" i="25"/>
  <c r="AJ90" i="25"/>
  <c r="AX176" i="25"/>
  <c r="AW176" i="25"/>
  <c r="AX133" i="24"/>
  <c r="BU117" i="24"/>
  <c r="AS301" i="24"/>
  <c r="AU301" i="24" s="1"/>
  <c r="BB301" i="24" s="1"/>
  <c r="AQ301" i="24"/>
  <c r="BJ301" i="24"/>
  <c r="AS196" i="24"/>
  <c r="BL196" i="24"/>
  <c r="BJ196" i="24"/>
  <c r="AQ196" i="24"/>
  <c r="BH196" i="24"/>
  <c r="BU196" i="24"/>
  <c r="BW196" i="24"/>
  <c r="AX196" i="24"/>
  <c r="AJ124" i="25"/>
  <c r="AM124" i="25"/>
  <c r="BG124" i="25" s="1"/>
  <c r="BA224" i="24"/>
  <c r="AJ266" i="25"/>
  <c r="AM266" i="25"/>
  <c r="BG266" i="25" s="1"/>
  <c r="AX266" i="24"/>
  <c r="AJ43" i="25"/>
  <c r="AM43" i="25"/>
  <c r="BG43" i="25" s="1"/>
  <c r="BA240" i="24"/>
  <c r="AR240" i="25"/>
  <c r="BJ240" i="25"/>
  <c r="BH240" i="25"/>
  <c r="AP240" i="25"/>
  <c r="BF240" i="25"/>
  <c r="BW240" i="25"/>
  <c r="BU240" i="25"/>
  <c r="BL62" i="24"/>
  <c r="AS62" i="24"/>
  <c r="AQ62" i="24"/>
  <c r="BJ62" i="24"/>
  <c r="AX62" i="24"/>
  <c r="BW62" i="24"/>
  <c r="BH62" i="24"/>
  <c r="AJ91" i="25"/>
  <c r="AM91" i="25"/>
  <c r="BG91" i="25" s="1"/>
  <c r="BA265" i="24"/>
  <c r="AX18" i="25"/>
  <c r="AW18" i="25"/>
  <c r="AS156" i="24"/>
  <c r="BJ156" i="24"/>
  <c r="AQ156" i="24"/>
  <c r="BH156" i="24"/>
  <c r="BU156" i="24"/>
  <c r="BW156" i="24"/>
  <c r="AX156" i="24"/>
  <c r="AW90" i="25"/>
  <c r="AX90" i="25"/>
  <c r="AW112" i="25"/>
  <c r="AX112" i="25"/>
  <c r="AJ102" i="25"/>
  <c r="AM102" i="25"/>
  <c r="BG102" i="25" s="1"/>
  <c r="BW111" i="24"/>
  <c r="AW63" i="25"/>
  <c r="AX63" i="25"/>
  <c r="BH305" i="24"/>
  <c r="AJ239" i="25"/>
  <c r="AM239" i="25"/>
  <c r="BG239" i="25" s="1"/>
  <c r="AW42" i="25"/>
  <c r="AX42" i="25"/>
  <c r="BL303" i="24"/>
  <c r="AS303" i="24"/>
  <c r="BJ303" i="24"/>
  <c r="AQ303" i="24"/>
  <c r="AX303" i="24"/>
  <c r="BH303" i="24"/>
  <c r="BW303" i="24"/>
  <c r="BU303" i="24"/>
  <c r="AS274" i="24"/>
  <c r="AU274" i="24" s="1"/>
  <c r="BB274" i="24" s="1"/>
  <c r="AQ274" i="24"/>
  <c r="BJ274" i="24"/>
  <c r="AJ244" i="25"/>
  <c r="AM244" i="25"/>
  <c r="BG244" i="25" s="1"/>
  <c r="BU225" i="24"/>
  <c r="BW295" i="24"/>
  <c r="AS126" i="24"/>
  <c r="AU126" i="24" s="1"/>
  <c r="BB126" i="24" s="1"/>
  <c r="BL126" i="24"/>
  <c r="BJ126" i="24"/>
  <c r="AQ126" i="24"/>
  <c r="AX54" i="25"/>
  <c r="AW54" i="25"/>
  <c r="AS17" i="24"/>
  <c r="AU17" i="24" s="1"/>
  <c r="BB17" i="24" s="1"/>
  <c r="BJ17" i="24"/>
  <c r="AQ17" i="24"/>
  <c r="AX135" i="24"/>
  <c r="AJ125" i="25"/>
  <c r="AM125" i="25"/>
  <c r="BU121" i="24"/>
  <c r="AS175" i="24"/>
  <c r="AQ175" i="24"/>
  <c r="BJ175" i="24"/>
  <c r="BW175" i="24"/>
  <c r="BU175" i="24"/>
  <c r="AX175" i="24"/>
  <c r="BH175" i="24"/>
  <c r="BL234" i="24"/>
  <c r="AS234" i="24"/>
  <c r="AQ234" i="24"/>
  <c r="BJ234" i="24"/>
  <c r="AX234" i="24"/>
  <c r="BH234" i="24"/>
  <c r="BU234" i="24"/>
  <c r="BW234" i="24"/>
  <c r="AS83" i="24"/>
  <c r="BJ83" i="24"/>
  <c r="AQ83" i="24"/>
  <c r="AX83" i="24"/>
  <c r="BW83" i="24"/>
  <c r="BH83" i="24"/>
  <c r="AX136" i="25"/>
  <c r="AW136" i="25"/>
  <c r="AM57" i="25"/>
  <c r="AJ57" i="25"/>
  <c r="AX127" i="25"/>
  <c r="AW127" i="25"/>
  <c r="BU279" i="24"/>
  <c r="BU126" i="24"/>
  <c r="BH145" i="24"/>
  <c r="AS25" i="24"/>
  <c r="AQ25" i="24"/>
  <c r="BJ25" i="24"/>
  <c r="BW25" i="24"/>
  <c r="AX25" i="24"/>
  <c r="BH25" i="24"/>
  <c r="AX9" i="24"/>
  <c r="AR92" i="25"/>
  <c r="AP92" i="25"/>
  <c r="BH92" i="25"/>
  <c r="BF92" i="25"/>
  <c r="BU92" i="25"/>
  <c r="BW92" i="25"/>
  <c r="BW267" i="24"/>
  <c r="BW282" i="24"/>
  <c r="BW155" i="24"/>
  <c r="AX196" i="25"/>
  <c r="AW196" i="25"/>
  <c r="BU253" i="24"/>
  <c r="AW12" i="25"/>
  <c r="AX12" i="25"/>
  <c r="AR257" i="25"/>
  <c r="BH257" i="25"/>
  <c r="AP257" i="25"/>
  <c r="BW257" i="25"/>
  <c r="BU257" i="25"/>
  <c r="BF257" i="25"/>
  <c r="BA232" i="24"/>
  <c r="AX202" i="25"/>
  <c r="AW202" i="25"/>
  <c r="AS128" i="24"/>
  <c r="AU128" i="24" s="1"/>
  <c r="BB128" i="24" s="1"/>
  <c r="AQ128" i="24"/>
  <c r="BJ128" i="24"/>
  <c r="BU189" i="25" l="1"/>
  <c r="BW189" i="25"/>
  <c r="BF189" i="25"/>
  <c r="BH189" i="25"/>
  <c r="AR189" i="25"/>
  <c r="BG122" i="25"/>
  <c r="CE122" i="25"/>
  <c r="BG231" i="25"/>
  <c r="BJ231" i="25" s="1"/>
  <c r="CE231" i="25"/>
  <c r="BG19" i="25"/>
  <c r="CE19" i="25"/>
  <c r="BG9" i="25"/>
  <c r="CE9" i="25"/>
  <c r="BG220" i="25"/>
  <c r="CE220" i="25"/>
  <c r="BG134" i="25"/>
  <c r="BJ134" i="25" s="1"/>
  <c r="CE134" i="25"/>
  <c r="BG38" i="25"/>
  <c r="CE38" i="25"/>
  <c r="BG260" i="25"/>
  <c r="CE260" i="25"/>
  <c r="BG39" i="25"/>
  <c r="CE39" i="25"/>
  <c r="BG227" i="25"/>
  <c r="BJ227" i="25" s="1"/>
  <c r="CE227" i="25"/>
  <c r="BG141" i="25"/>
  <c r="CE141" i="25"/>
  <c r="BG54" i="25"/>
  <c r="CE54" i="25"/>
  <c r="BG12" i="25"/>
  <c r="BJ12" i="25" s="1"/>
  <c r="CE12" i="25"/>
  <c r="BG222" i="25"/>
  <c r="BJ222" i="25" s="1"/>
  <c r="CE222" i="25"/>
  <c r="BG142" i="25"/>
  <c r="CE142" i="25"/>
  <c r="BG217" i="25"/>
  <c r="CE217" i="25"/>
  <c r="BG216" i="25"/>
  <c r="BJ216" i="25" s="1"/>
  <c r="CE216" i="25"/>
  <c r="BG133" i="25"/>
  <c r="BJ133" i="25" s="1"/>
  <c r="CE133" i="25"/>
  <c r="BW280" i="25"/>
  <c r="BU155" i="25"/>
  <c r="BU280" i="25"/>
  <c r="BF280" i="25"/>
  <c r="BH280" i="25"/>
  <c r="BW155" i="25"/>
  <c r="BF155" i="25"/>
  <c r="BH155" i="25"/>
  <c r="AP155" i="25"/>
  <c r="AR155" i="25"/>
  <c r="AU155" i="25" s="1"/>
  <c r="BG7" i="25"/>
  <c r="BJ7" i="25" s="1"/>
  <c r="CE7" i="25"/>
  <c r="BG83" i="25"/>
  <c r="BJ83" i="25" s="1"/>
  <c r="CE83" i="25"/>
  <c r="BG289" i="25"/>
  <c r="BJ289" i="25" s="1"/>
  <c r="CE289" i="25"/>
  <c r="BG315" i="25"/>
  <c r="BJ315" i="25" s="1"/>
  <c r="CE315" i="25"/>
  <c r="BG118" i="25"/>
  <c r="BJ118" i="25" s="1"/>
  <c r="CE118" i="25"/>
  <c r="BG236" i="25"/>
  <c r="BJ236" i="25" s="1"/>
  <c r="CE236" i="25"/>
  <c r="BG149" i="25"/>
  <c r="BJ149" i="25" s="1"/>
  <c r="CE149" i="25"/>
  <c r="BG48" i="25"/>
  <c r="BJ48" i="25" s="1"/>
  <c r="CE48" i="25"/>
  <c r="BG68" i="25"/>
  <c r="BJ68" i="25" s="1"/>
  <c r="CE68" i="25"/>
  <c r="BG73" i="25"/>
  <c r="BJ73" i="25" s="1"/>
  <c r="CE73" i="25"/>
  <c r="BG299" i="25"/>
  <c r="BJ299" i="25" s="1"/>
  <c r="CE299" i="25"/>
  <c r="BG312" i="25"/>
  <c r="BJ312" i="25" s="1"/>
  <c r="CE312" i="25"/>
  <c r="AP280" i="25"/>
  <c r="BG57" i="25"/>
  <c r="BJ57" i="25" s="1"/>
  <c r="CE57" i="25"/>
  <c r="BG112" i="25"/>
  <c r="BJ112" i="25" s="1"/>
  <c r="CE112" i="25"/>
  <c r="BG219" i="25"/>
  <c r="BJ219" i="25" s="1"/>
  <c r="CE219" i="25"/>
  <c r="CE270" i="25"/>
  <c r="BG270" i="25"/>
  <c r="BJ270" i="25" s="1"/>
  <c r="CE274" i="25"/>
  <c r="BG274" i="25"/>
  <c r="BJ274" i="25" s="1"/>
  <c r="AP194" i="25"/>
  <c r="BG194" i="25"/>
  <c r="BJ194" i="25" s="1"/>
  <c r="CE313" i="25"/>
  <c r="BG313" i="25"/>
  <c r="BJ313" i="25" s="1"/>
  <c r="CE116" i="25"/>
  <c r="BG116" i="25"/>
  <c r="BJ116" i="25" s="1"/>
  <c r="CE287" i="25"/>
  <c r="BG287" i="25"/>
  <c r="BJ287" i="25" s="1"/>
  <c r="CE228" i="25"/>
  <c r="BG228" i="25"/>
  <c r="BJ228" i="25" s="1"/>
  <c r="CE307" i="25"/>
  <c r="BG307" i="25"/>
  <c r="BJ307" i="25" s="1"/>
  <c r="CE316" i="25"/>
  <c r="BG316" i="25"/>
  <c r="BJ316" i="25" s="1"/>
  <c r="CE184" i="25"/>
  <c r="BG184" i="25"/>
  <c r="BJ184" i="25" s="1"/>
  <c r="CE182" i="25"/>
  <c r="BG182" i="25"/>
  <c r="BJ182" i="25" s="1"/>
  <c r="CE175" i="25"/>
  <c r="BG175" i="25"/>
  <c r="BJ175" i="25" s="1"/>
  <c r="CE152" i="25"/>
  <c r="BG152" i="25"/>
  <c r="BJ152" i="25" s="1"/>
  <c r="CE164" i="25"/>
  <c r="BG164" i="25"/>
  <c r="BJ164" i="25" s="1"/>
  <c r="CE221" i="25"/>
  <c r="BG221" i="25"/>
  <c r="BJ221" i="25" s="1"/>
  <c r="BH265" i="25"/>
  <c r="BG265" i="25"/>
  <c r="BJ265" i="25" s="1"/>
  <c r="CE125" i="25"/>
  <c r="BG125" i="25"/>
  <c r="BJ125" i="25" s="1"/>
  <c r="CE300" i="25"/>
  <c r="BG300" i="25"/>
  <c r="BJ300" i="25" s="1"/>
  <c r="CE160" i="25"/>
  <c r="BG160" i="25"/>
  <c r="BJ160" i="25" s="1"/>
  <c r="CE163" i="25"/>
  <c r="BG163" i="25"/>
  <c r="BJ163" i="25" s="1"/>
  <c r="CE302" i="25"/>
  <c r="BG302" i="25"/>
  <c r="BJ302" i="25" s="1"/>
  <c r="CE309" i="25"/>
  <c r="BG309" i="25"/>
  <c r="BJ309" i="25" s="1"/>
  <c r="CE153" i="25"/>
  <c r="BG153" i="25"/>
  <c r="BJ153" i="25" s="1"/>
  <c r="CE235" i="25"/>
  <c r="BG235" i="25"/>
  <c r="BJ235" i="25" s="1"/>
  <c r="CE218" i="25"/>
  <c r="BG218" i="25"/>
  <c r="BJ218" i="25" s="1"/>
  <c r="CE156" i="25"/>
  <c r="BG156" i="25"/>
  <c r="BJ156" i="25" s="1"/>
  <c r="CE135" i="25"/>
  <c r="BG135" i="25"/>
  <c r="BJ135" i="25" s="1"/>
  <c r="AP195" i="25"/>
  <c r="BG195" i="25"/>
  <c r="BJ195" i="25" s="1"/>
  <c r="CE284" i="25"/>
  <c r="BG284" i="25"/>
  <c r="BJ284" i="25" s="1"/>
  <c r="CE245" i="25"/>
  <c r="BG245" i="25"/>
  <c r="BJ245" i="25" s="1"/>
  <c r="CE172" i="25"/>
  <c r="BG172" i="25"/>
  <c r="BJ172" i="25" s="1"/>
  <c r="CE180" i="25"/>
  <c r="BG180" i="25"/>
  <c r="BJ180" i="25" s="1"/>
  <c r="CE130" i="25"/>
  <c r="BG130" i="25"/>
  <c r="BJ130" i="25" s="1"/>
  <c r="CE151" i="25"/>
  <c r="BG151" i="25"/>
  <c r="BJ151" i="25" s="1"/>
  <c r="CE168" i="25"/>
  <c r="BG168" i="25"/>
  <c r="BJ168" i="25" s="1"/>
  <c r="CE269" i="25"/>
  <c r="BG269" i="25"/>
  <c r="BJ269" i="25" s="1"/>
  <c r="CE295" i="25"/>
  <c r="BG295" i="25"/>
  <c r="BJ295" i="25" s="1"/>
  <c r="CE159" i="25"/>
  <c r="BG159" i="25"/>
  <c r="BJ159" i="25" s="1"/>
  <c r="CE162" i="25"/>
  <c r="BG162" i="25"/>
  <c r="BJ162" i="25" s="1"/>
  <c r="CE138" i="25"/>
  <c r="BG138" i="25"/>
  <c r="BJ138" i="25" s="1"/>
  <c r="CE183" i="25"/>
  <c r="BG183" i="25"/>
  <c r="BJ183" i="25" s="1"/>
  <c r="CE279" i="25"/>
  <c r="BG279" i="25"/>
  <c r="BJ279" i="25" s="1"/>
  <c r="CE310" i="25"/>
  <c r="BG310" i="25"/>
  <c r="BJ310" i="25" s="1"/>
  <c r="CE272" i="25"/>
  <c r="BG272" i="25"/>
  <c r="BJ272" i="25" s="1"/>
  <c r="CE280" i="25"/>
  <c r="BG280" i="25"/>
  <c r="BJ280" i="25" s="1"/>
  <c r="CE268" i="25"/>
  <c r="BG268" i="25"/>
  <c r="BJ268" i="25" s="1"/>
  <c r="CE242" i="25"/>
  <c r="BG242" i="25"/>
  <c r="BJ242" i="25" s="1"/>
  <c r="CE286" i="25"/>
  <c r="BG286" i="25"/>
  <c r="BJ286" i="25" s="1"/>
  <c r="CE223" i="25"/>
  <c r="BG223" i="25"/>
  <c r="BJ223" i="25" s="1"/>
  <c r="CE165" i="25"/>
  <c r="BG165" i="25"/>
  <c r="BJ165" i="25" s="1"/>
  <c r="BF258" i="25"/>
  <c r="BG258" i="25"/>
  <c r="BJ258" i="25" s="1"/>
  <c r="CE176" i="25"/>
  <c r="BG176" i="25"/>
  <c r="BJ176" i="25" s="1"/>
  <c r="CE115" i="25"/>
  <c r="BG115" i="25"/>
  <c r="BJ115" i="25" s="1"/>
  <c r="CE169" i="25"/>
  <c r="BG169" i="25"/>
  <c r="BJ169" i="25" s="1"/>
  <c r="CE117" i="25"/>
  <c r="BG117" i="25"/>
  <c r="BJ117" i="25" s="1"/>
  <c r="CE294" i="25"/>
  <c r="BG294" i="25"/>
  <c r="BJ294" i="25" s="1"/>
  <c r="AP197" i="25"/>
  <c r="BG197" i="25"/>
  <c r="BJ197" i="25" s="1"/>
  <c r="CE185" i="25"/>
  <c r="BG185" i="25"/>
  <c r="BJ185" i="25" s="1"/>
  <c r="CE171" i="25"/>
  <c r="BG171" i="25"/>
  <c r="BJ171" i="25" s="1"/>
  <c r="CE121" i="25"/>
  <c r="BG121" i="25"/>
  <c r="BJ121" i="25" s="1"/>
  <c r="CE132" i="25"/>
  <c r="BG132" i="25"/>
  <c r="BJ132" i="25" s="1"/>
  <c r="CE181" i="25"/>
  <c r="BG181" i="25"/>
  <c r="BJ181" i="25" s="1"/>
  <c r="CE311" i="25"/>
  <c r="BG311" i="25"/>
  <c r="BJ311" i="25" s="1"/>
  <c r="CE303" i="25"/>
  <c r="BG303" i="25"/>
  <c r="BJ303" i="25" s="1"/>
  <c r="CE191" i="25"/>
  <c r="BG191" i="25"/>
  <c r="BJ191" i="25" s="1"/>
  <c r="CE111" i="25"/>
  <c r="BG111" i="25"/>
  <c r="BJ111" i="25" s="1"/>
  <c r="CE166" i="25"/>
  <c r="BG166" i="25"/>
  <c r="BJ166" i="25" s="1"/>
  <c r="CE74" i="25"/>
  <c r="BG74" i="25"/>
  <c r="BJ74" i="25" s="1"/>
  <c r="CE88" i="25"/>
  <c r="BG88" i="25"/>
  <c r="BJ88" i="25" s="1"/>
  <c r="CE64" i="25"/>
  <c r="BG64" i="25"/>
  <c r="BJ64" i="25" s="1"/>
  <c r="CE86" i="25"/>
  <c r="BG86" i="25"/>
  <c r="BJ86" i="25" s="1"/>
  <c r="BU11" i="25"/>
  <c r="BG11" i="25"/>
  <c r="BJ11" i="25" s="1"/>
  <c r="CE45" i="25"/>
  <c r="BG45" i="25"/>
  <c r="BJ45" i="25" s="1"/>
  <c r="CE72" i="25"/>
  <c r="BG72" i="25"/>
  <c r="BJ72" i="25" s="1"/>
  <c r="CE60" i="25"/>
  <c r="BG60" i="25"/>
  <c r="BJ60" i="25" s="1"/>
  <c r="CE79" i="25"/>
  <c r="BG79" i="25"/>
  <c r="BJ79" i="25" s="1"/>
  <c r="CE55" i="25"/>
  <c r="BG55" i="25"/>
  <c r="BJ55" i="25" s="1"/>
  <c r="AP100" i="25"/>
  <c r="BG100" i="25"/>
  <c r="BJ100" i="25" s="1"/>
  <c r="CE65" i="25"/>
  <c r="BG65" i="25"/>
  <c r="BJ65" i="25" s="1"/>
  <c r="AP97" i="25"/>
  <c r="BG97" i="25"/>
  <c r="BJ97" i="25" s="1"/>
  <c r="CE56" i="25"/>
  <c r="BG56" i="25"/>
  <c r="BJ56" i="25" s="1"/>
  <c r="CE81" i="25"/>
  <c r="BG81" i="25"/>
  <c r="BJ81" i="25" s="1"/>
  <c r="CE77" i="25"/>
  <c r="BG77" i="25"/>
  <c r="BJ77" i="25" s="1"/>
  <c r="CE27" i="25"/>
  <c r="BG27" i="25"/>
  <c r="BJ27" i="25" s="1"/>
  <c r="CE10" i="25"/>
  <c r="BG10" i="25"/>
  <c r="BJ10" i="25" s="1"/>
  <c r="AP99" i="25"/>
  <c r="BG99" i="25"/>
  <c r="BJ99" i="25" s="1"/>
  <c r="CE80" i="25"/>
  <c r="BG80" i="25"/>
  <c r="BJ80" i="25" s="1"/>
  <c r="CE90" i="25"/>
  <c r="BG90" i="25"/>
  <c r="BJ90" i="25" s="1"/>
  <c r="CE22" i="25"/>
  <c r="BG22" i="25"/>
  <c r="BJ22" i="25" s="1"/>
  <c r="AP103" i="25"/>
  <c r="BG103" i="25"/>
  <c r="BJ103" i="25" s="1"/>
  <c r="CE52" i="25"/>
  <c r="BG52" i="25"/>
  <c r="BJ52" i="25" s="1"/>
  <c r="BG104" i="25"/>
  <c r="BJ104" i="25" s="1"/>
  <c r="BH11" i="25"/>
  <c r="AP11" i="25"/>
  <c r="AR11" i="25"/>
  <c r="AT11" i="25" s="1"/>
  <c r="AY11" i="25" s="1"/>
  <c r="BW11" i="25"/>
  <c r="BF11" i="25"/>
  <c r="BW96" i="25"/>
  <c r="CE96" i="25"/>
  <c r="AP205" i="25"/>
  <c r="CE205" i="25"/>
  <c r="AP200" i="25"/>
  <c r="CE200" i="25"/>
  <c r="AP193" i="25"/>
  <c r="CE193" i="25"/>
  <c r="BU96" i="25"/>
  <c r="AP96" i="25"/>
  <c r="BH96" i="25"/>
  <c r="BJ96" i="25"/>
  <c r="AR96" i="25"/>
  <c r="AU96" i="25" s="1"/>
  <c r="BF96" i="25"/>
  <c r="AP101" i="25"/>
  <c r="CE101" i="25"/>
  <c r="AP98" i="25"/>
  <c r="CE98" i="25"/>
  <c r="AP179" i="25"/>
  <c r="CE179" i="25"/>
  <c r="AP203" i="25"/>
  <c r="CE203" i="25"/>
  <c r="AP104" i="25"/>
  <c r="CE104" i="25"/>
  <c r="AP202" i="25"/>
  <c r="CE202" i="25"/>
  <c r="BF104" i="25"/>
  <c r="BH104" i="25"/>
  <c r="AR104" i="25"/>
  <c r="AU104" i="25" s="1"/>
  <c r="BW104" i="25"/>
  <c r="BU104" i="25"/>
  <c r="BW154" i="25"/>
  <c r="CE154" i="25"/>
  <c r="BU258" i="25"/>
  <c r="AP258" i="25"/>
  <c r="AP196" i="25"/>
  <c r="CE196" i="25"/>
  <c r="BU97" i="25"/>
  <c r="BW97" i="25"/>
  <c r="BH97" i="25"/>
  <c r="AP105" i="25"/>
  <c r="B19" i="29" s="1"/>
  <c r="CE105" i="25"/>
  <c r="AR97" i="25"/>
  <c r="AT97" i="25" s="1"/>
  <c r="AY97" i="25" s="1"/>
  <c r="BF97" i="25"/>
  <c r="BW258" i="25"/>
  <c r="BH258" i="25"/>
  <c r="AR258" i="25"/>
  <c r="AU258" i="25" s="1"/>
  <c r="AP207" i="25"/>
  <c r="CE207" i="25"/>
  <c r="AP209" i="25"/>
  <c r="CE209" i="25"/>
  <c r="BF154" i="25"/>
  <c r="BH179" i="25"/>
  <c r="BH154" i="25"/>
  <c r="BJ179" i="25"/>
  <c r="AP154" i="25"/>
  <c r="AR179" i="25"/>
  <c r="AU179" i="25" s="1"/>
  <c r="BJ154" i="25"/>
  <c r="AR154" i="25"/>
  <c r="AT154" i="25" s="1"/>
  <c r="AY154" i="25" s="1"/>
  <c r="BU179" i="25"/>
  <c r="BW179" i="25"/>
  <c r="BU154" i="25"/>
  <c r="BF179" i="25"/>
  <c r="BE292" i="24"/>
  <c r="BT292" i="24" s="1"/>
  <c r="AW147" i="24"/>
  <c r="BE147" i="24" s="1"/>
  <c r="BT147" i="24" s="1"/>
  <c r="AW219" i="24"/>
  <c r="AY219" i="24" s="1"/>
  <c r="AZ219" i="24" s="1"/>
  <c r="AP208" i="25"/>
  <c r="CE208" i="25"/>
  <c r="BW265" i="25"/>
  <c r="AW283" i="24"/>
  <c r="AY283" i="24" s="1"/>
  <c r="AZ283" i="24" s="1"/>
  <c r="AW260" i="24"/>
  <c r="BD260" i="24" s="1"/>
  <c r="AW240" i="24"/>
  <c r="BD240" i="24" s="1"/>
  <c r="AR265" i="25"/>
  <c r="AT265" i="25" s="1"/>
  <c r="AW18" i="24"/>
  <c r="BE18" i="24" s="1"/>
  <c r="BT18" i="24" s="1"/>
  <c r="BU265" i="25"/>
  <c r="AW242" i="24"/>
  <c r="AY242" i="24" s="1"/>
  <c r="AZ242" i="24" s="1"/>
  <c r="BF265" i="25"/>
  <c r="AP265" i="25"/>
  <c r="AW19" i="24"/>
  <c r="BD19" i="24" s="1"/>
  <c r="AW135" i="24"/>
  <c r="BD135" i="24" s="1"/>
  <c r="AW120" i="24"/>
  <c r="AY120" i="24" s="1"/>
  <c r="AZ120" i="24" s="1"/>
  <c r="AW259" i="24"/>
  <c r="BD259" i="24" s="1"/>
  <c r="AY292" i="24"/>
  <c r="AZ292" i="24" s="1"/>
  <c r="AP102" i="25"/>
  <c r="CE102" i="25"/>
  <c r="AW121" i="24"/>
  <c r="AY121" i="24" s="1"/>
  <c r="AZ121" i="24" s="1"/>
  <c r="AW265" i="24"/>
  <c r="AY265" i="24" s="1"/>
  <c r="AZ265" i="24" s="1"/>
  <c r="AW279" i="24"/>
  <c r="BE279" i="24" s="1"/>
  <c r="BT279" i="24" s="1"/>
  <c r="AW111" i="24"/>
  <c r="BD111" i="24" s="1"/>
  <c r="AW296" i="24"/>
  <c r="AY296" i="24" s="1"/>
  <c r="AZ296" i="24" s="1"/>
  <c r="AW26" i="24"/>
  <c r="AY26" i="24" s="1"/>
  <c r="AZ26" i="24" s="1"/>
  <c r="BF237" i="25"/>
  <c r="AR237" i="25"/>
  <c r="BJ237" i="25"/>
  <c r="AP237" i="25"/>
  <c r="BH237" i="25"/>
  <c r="BU237" i="25"/>
  <c r="BW237" i="25"/>
  <c r="V212" i="25"/>
  <c r="X212" i="25" s="1"/>
  <c r="AD212" i="25"/>
  <c r="W212" i="25"/>
  <c r="Z212" i="25" s="1"/>
  <c r="AA212" i="25" s="1"/>
  <c r="AB212" i="25" s="1"/>
  <c r="AI212" i="25" s="1"/>
  <c r="AW34" i="24"/>
  <c r="AY34" i="24" s="1"/>
  <c r="AZ34" i="24" s="1"/>
  <c r="AW152" i="24"/>
  <c r="AY152" i="24" s="1"/>
  <c r="AZ152" i="24" s="1"/>
  <c r="AP210" i="25"/>
  <c r="CE210" i="25"/>
  <c r="BH77" i="25"/>
  <c r="AP77" i="25"/>
  <c r="BF77" i="25"/>
  <c r="BW77" i="25"/>
  <c r="BU77" i="25"/>
  <c r="AR77" i="25"/>
  <c r="AW112" i="24"/>
  <c r="AY112" i="24" s="1"/>
  <c r="AZ112" i="24" s="1"/>
  <c r="AW253" i="24"/>
  <c r="BE253" i="24" s="1"/>
  <c r="BT253" i="24" s="1"/>
  <c r="AW224" i="24"/>
  <c r="BE224" i="24" s="1"/>
  <c r="BT224" i="24" s="1"/>
  <c r="AW247" i="24"/>
  <c r="AY247" i="24" s="1"/>
  <c r="AZ247" i="24" s="1"/>
  <c r="AW28" i="24"/>
  <c r="BE28" i="24" s="1"/>
  <c r="BT28" i="24" s="1"/>
  <c r="AW33" i="24"/>
  <c r="BD33" i="24" s="1"/>
  <c r="L15" i="1"/>
  <c r="AW117" i="24"/>
  <c r="AY117" i="24" s="1"/>
  <c r="AZ117" i="24" s="1"/>
  <c r="AW248" i="24"/>
  <c r="BD248" i="24" s="1"/>
  <c r="AW299" i="24"/>
  <c r="AY299" i="24" s="1"/>
  <c r="AZ299" i="24" s="1"/>
  <c r="AW298" i="24"/>
  <c r="BE298" i="24" s="1"/>
  <c r="BT298" i="24" s="1"/>
  <c r="AW232" i="24"/>
  <c r="BE232" i="24" s="1"/>
  <c r="BT232" i="24" s="1"/>
  <c r="AW228" i="24"/>
  <c r="BE228" i="24" s="1"/>
  <c r="BT228" i="24" s="1"/>
  <c r="AW280" i="24"/>
  <c r="BE280" i="24" s="1"/>
  <c r="BT280" i="24" s="1"/>
  <c r="AW54" i="24"/>
  <c r="BE54" i="24" s="1"/>
  <c r="BT54" i="24" s="1"/>
  <c r="AW6" i="24"/>
  <c r="BD6" i="24" s="1"/>
  <c r="AW12" i="24"/>
  <c r="BE12" i="24" s="1"/>
  <c r="BT12" i="24" s="1"/>
  <c r="AW148" i="24"/>
  <c r="BE148" i="24" s="1"/>
  <c r="BT148" i="24" s="1"/>
  <c r="AW295" i="24"/>
  <c r="AY295" i="24" s="1"/>
  <c r="AZ295" i="24" s="1"/>
  <c r="AW20" i="24"/>
  <c r="BE20" i="24" s="1"/>
  <c r="BT20" i="24" s="1"/>
  <c r="AW238" i="24"/>
  <c r="AY238" i="24" s="1"/>
  <c r="AZ238" i="24" s="1"/>
  <c r="AW130" i="24"/>
  <c r="AY130" i="24" s="1"/>
  <c r="AZ130" i="24" s="1"/>
  <c r="AW24" i="24"/>
  <c r="BE24" i="24" s="1"/>
  <c r="BT24" i="24" s="1"/>
  <c r="AW282" i="24"/>
  <c r="BE282" i="24" s="1"/>
  <c r="BT282" i="24" s="1"/>
  <c r="AW305" i="24"/>
  <c r="BE305" i="24" s="1"/>
  <c r="BT305" i="24" s="1"/>
  <c r="AW58" i="24"/>
  <c r="BD58" i="24" s="1"/>
  <c r="AR193" i="25"/>
  <c r="BJ193" i="25"/>
  <c r="BH193" i="25"/>
  <c r="BW193" i="25"/>
  <c r="BU193" i="25"/>
  <c r="BF193" i="25"/>
  <c r="AU25" i="24"/>
  <c r="BB25" i="24" s="1"/>
  <c r="AW25" i="24"/>
  <c r="BJ239" i="25"/>
  <c r="AR239" i="25"/>
  <c r="BH239" i="25"/>
  <c r="AP239" i="25"/>
  <c r="BW239" i="25"/>
  <c r="BU239" i="25"/>
  <c r="BF239" i="25"/>
  <c r="AR102" i="25"/>
  <c r="BJ102" i="25"/>
  <c r="BH102" i="25"/>
  <c r="BF102" i="25"/>
  <c r="BW102" i="25"/>
  <c r="BU102" i="25"/>
  <c r="AR90" i="25"/>
  <c r="BH90" i="25"/>
  <c r="AP90" i="25"/>
  <c r="BF90" i="25"/>
  <c r="BW90" i="25"/>
  <c r="BU90" i="25"/>
  <c r="AR19" i="25"/>
  <c r="BJ19" i="25"/>
  <c r="BH19" i="25"/>
  <c r="AP19" i="25"/>
  <c r="BW19" i="25"/>
  <c r="BU19" i="25"/>
  <c r="BF19" i="25"/>
  <c r="AR15" i="25"/>
  <c r="BJ15" i="25"/>
  <c r="BH15" i="25"/>
  <c r="AP15" i="25"/>
  <c r="BF15" i="25"/>
  <c r="BU15" i="25"/>
  <c r="BW15" i="25"/>
  <c r="AU63" i="24"/>
  <c r="BB63" i="24" s="1"/>
  <c r="AW63" i="24"/>
  <c r="AR18" i="25"/>
  <c r="BJ18" i="25"/>
  <c r="BH18" i="25"/>
  <c r="AP18" i="25"/>
  <c r="BF18" i="25"/>
  <c r="BW18" i="25"/>
  <c r="BU18" i="25"/>
  <c r="AR231" i="25"/>
  <c r="BH231" i="25"/>
  <c r="AP231" i="25"/>
  <c r="BF231" i="25"/>
  <c r="BU231" i="25"/>
  <c r="BW231" i="25"/>
  <c r="AR249" i="25"/>
  <c r="BJ249" i="25"/>
  <c r="BH249" i="25"/>
  <c r="AP249" i="25"/>
  <c r="BF249" i="25"/>
  <c r="BU249" i="25"/>
  <c r="BW249" i="25"/>
  <c r="BJ43" i="25"/>
  <c r="AR43" i="25"/>
  <c r="BH43" i="25"/>
  <c r="AP43" i="25"/>
  <c r="BF43" i="25"/>
  <c r="BW43" i="25"/>
  <c r="BU43" i="25"/>
  <c r="AR124" i="25"/>
  <c r="BJ124" i="25"/>
  <c r="BH124" i="25"/>
  <c r="AP124" i="25"/>
  <c r="BF124" i="25"/>
  <c r="BW124" i="25"/>
  <c r="BU124" i="25"/>
  <c r="AR8" i="25"/>
  <c r="BJ8" i="25"/>
  <c r="BH8" i="25"/>
  <c r="AP8" i="25"/>
  <c r="BF8" i="25"/>
  <c r="BW8" i="25"/>
  <c r="BU8" i="25"/>
  <c r="AU203" i="24"/>
  <c r="BB203" i="24" s="1"/>
  <c r="AW203" i="24"/>
  <c r="AT280" i="25"/>
  <c r="AU280" i="25"/>
  <c r="AW258" i="24"/>
  <c r="AT131" i="25"/>
  <c r="AY131" i="25" s="1"/>
  <c r="AU131" i="25"/>
  <c r="AU220" i="24"/>
  <c r="BB220" i="24" s="1"/>
  <c r="AW220" i="24"/>
  <c r="AU181" i="24"/>
  <c r="BB181" i="24" s="1"/>
  <c r="AW181" i="24"/>
  <c r="AU100" i="24"/>
  <c r="BB100" i="24" s="1"/>
  <c r="AW100" i="24"/>
  <c r="AR22" i="25"/>
  <c r="BH22" i="25"/>
  <c r="AP22" i="25"/>
  <c r="BF22" i="25"/>
  <c r="BW22" i="25"/>
  <c r="BU22" i="25"/>
  <c r="AU92" i="24"/>
  <c r="BB92" i="24" s="1"/>
  <c r="AW92" i="24"/>
  <c r="AU209" i="24"/>
  <c r="BB209" i="24" s="1"/>
  <c r="AW209" i="24"/>
  <c r="AR12" i="25"/>
  <c r="BH12" i="25"/>
  <c r="AP12" i="25"/>
  <c r="BF12" i="25"/>
  <c r="BW12" i="25"/>
  <c r="BU12" i="25"/>
  <c r="AT113" i="25"/>
  <c r="AY113" i="25" s="1"/>
  <c r="AU113" i="25"/>
  <c r="AT114" i="25"/>
  <c r="AY114" i="25" s="1"/>
  <c r="AU114" i="25"/>
  <c r="AU38" i="24"/>
  <c r="BB38" i="24" s="1"/>
  <c r="AW38" i="24"/>
  <c r="AU52" i="24"/>
  <c r="BB52" i="24" s="1"/>
  <c r="AW52" i="24"/>
  <c r="AR119" i="25"/>
  <c r="BJ119" i="25"/>
  <c r="BH119" i="25"/>
  <c r="AP119" i="25"/>
  <c r="BU119" i="25"/>
  <c r="BF119" i="25"/>
  <c r="BW119" i="25"/>
  <c r="AT232" i="25"/>
  <c r="AU232" i="25"/>
  <c r="AR27" i="25"/>
  <c r="BH27" i="25"/>
  <c r="AP27" i="25"/>
  <c r="BW27" i="25"/>
  <c r="BU27" i="25"/>
  <c r="BF27" i="25"/>
  <c r="AR53" i="25"/>
  <c r="BJ53" i="25"/>
  <c r="BH53" i="25"/>
  <c r="AP53" i="25"/>
  <c r="BF53" i="25"/>
  <c r="BU53" i="25"/>
  <c r="BW53" i="25"/>
  <c r="AU164" i="24"/>
  <c r="BB164" i="24" s="1"/>
  <c r="AW164" i="24"/>
  <c r="AW225" i="24"/>
  <c r="AU90" i="24"/>
  <c r="BB90" i="24" s="1"/>
  <c r="AW90" i="24"/>
  <c r="AR36" i="25"/>
  <c r="BJ36" i="25"/>
  <c r="BH36" i="25"/>
  <c r="AP36" i="25"/>
  <c r="BF36" i="25"/>
  <c r="BW36" i="25"/>
  <c r="BU36" i="25"/>
  <c r="AU286" i="24"/>
  <c r="BB286" i="24" s="1"/>
  <c r="AW286" i="24"/>
  <c r="AT238" i="25"/>
  <c r="AU238" i="25"/>
  <c r="AR16" i="25"/>
  <c r="BJ16" i="25"/>
  <c r="BH16" i="25"/>
  <c r="AP16" i="25"/>
  <c r="BW16" i="25"/>
  <c r="BU16" i="25"/>
  <c r="BF16" i="25"/>
  <c r="AU245" i="24"/>
  <c r="BB245" i="24" s="1"/>
  <c r="AW245" i="24"/>
  <c r="AR222" i="25"/>
  <c r="BH222" i="25"/>
  <c r="AP222" i="25"/>
  <c r="BU222" i="25"/>
  <c r="BF222" i="25"/>
  <c r="BW222" i="25"/>
  <c r="AR241" i="25"/>
  <c r="BJ241" i="25"/>
  <c r="BH241" i="25"/>
  <c r="AP241" i="25"/>
  <c r="BF241" i="25"/>
  <c r="BU241" i="25"/>
  <c r="BW241" i="25"/>
  <c r="AU103" i="24"/>
  <c r="BB103" i="24" s="1"/>
  <c r="AW103" i="24"/>
  <c r="AU36" i="24"/>
  <c r="BB36" i="24" s="1"/>
  <c r="AW36" i="24"/>
  <c r="AU138" i="24"/>
  <c r="BB138" i="24" s="1"/>
  <c r="AW138" i="24"/>
  <c r="AU246" i="24"/>
  <c r="BB246" i="24" s="1"/>
  <c r="AW246" i="24"/>
  <c r="AT30" i="25"/>
  <c r="AY30" i="25" s="1"/>
  <c r="AU30" i="25"/>
  <c r="AU78" i="24"/>
  <c r="BB78" i="24" s="1"/>
  <c r="AW78" i="24"/>
  <c r="AU116" i="24"/>
  <c r="BB116" i="24" s="1"/>
  <c r="AW116" i="24"/>
  <c r="AR274" i="25"/>
  <c r="BH274" i="25"/>
  <c r="AP274" i="25"/>
  <c r="BF274" i="25"/>
  <c r="BU274" i="25"/>
  <c r="BW274" i="25"/>
  <c r="AW261" i="24"/>
  <c r="AT275" i="25"/>
  <c r="AU275" i="25"/>
  <c r="AT173" i="25"/>
  <c r="AY173" i="25" s="1"/>
  <c r="AU173" i="25"/>
  <c r="AW133" i="24"/>
  <c r="AW37" i="24"/>
  <c r="AR188" i="25"/>
  <c r="BJ188" i="25"/>
  <c r="BH188" i="25"/>
  <c r="AP188" i="25"/>
  <c r="BU188" i="25"/>
  <c r="BW188" i="25"/>
  <c r="BF188" i="25"/>
  <c r="AR207" i="25"/>
  <c r="BJ207" i="25"/>
  <c r="BH207" i="25"/>
  <c r="BF207" i="25"/>
  <c r="BW207" i="25"/>
  <c r="BU207" i="25"/>
  <c r="AR23" i="25"/>
  <c r="BJ23" i="25"/>
  <c r="BH23" i="25"/>
  <c r="AP23" i="25"/>
  <c r="BW23" i="25"/>
  <c r="BU23" i="25"/>
  <c r="BF23" i="25"/>
  <c r="AU254" i="24"/>
  <c r="BB254" i="24" s="1"/>
  <c r="AW254" i="24"/>
  <c r="AW218" i="24"/>
  <c r="AR86" i="25"/>
  <c r="BH86" i="25"/>
  <c r="AP86" i="25"/>
  <c r="BU86" i="25"/>
  <c r="BF86" i="25"/>
  <c r="BW86" i="25"/>
  <c r="AW153" i="24"/>
  <c r="AU255" i="24"/>
  <c r="BB255" i="24" s="1"/>
  <c r="AW255" i="24"/>
  <c r="AU93" i="24"/>
  <c r="BB93" i="24" s="1"/>
  <c r="AW93" i="24"/>
  <c r="AU74" i="24"/>
  <c r="BB74" i="24" s="1"/>
  <c r="AW74" i="24"/>
  <c r="AU73" i="24"/>
  <c r="BB73" i="24" s="1"/>
  <c r="AW73" i="24"/>
  <c r="AU241" i="24"/>
  <c r="BB241" i="24" s="1"/>
  <c r="AW241" i="24"/>
  <c r="AR310" i="25"/>
  <c r="BH310" i="25"/>
  <c r="AP310" i="25"/>
  <c r="BF310" i="25"/>
  <c r="BW310" i="25"/>
  <c r="BU310" i="25"/>
  <c r="AW235" i="24"/>
  <c r="AR263" i="25"/>
  <c r="BJ263" i="25"/>
  <c r="BH263" i="25"/>
  <c r="AP263" i="25"/>
  <c r="BW263" i="25"/>
  <c r="BU263" i="25"/>
  <c r="BF263" i="25"/>
  <c r="AR20" i="25"/>
  <c r="BJ20" i="25"/>
  <c r="BH20" i="25"/>
  <c r="AP20" i="25"/>
  <c r="BU20" i="25"/>
  <c r="BW20" i="25"/>
  <c r="BF20" i="25"/>
  <c r="AW57" i="24"/>
  <c r="AU179" i="24"/>
  <c r="BB179" i="24" s="1"/>
  <c r="AW179" i="24"/>
  <c r="AT13" i="25"/>
  <c r="AY13" i="25" s="1"/>
  <c r="AU13" i="25"/>
  <c r="AR256" i="25"/>
  <c r="BJ256" i="25"/>
  <c r="BH256" i="25"/>
  <c r="AP256" i="25"/>
  <c r="BF256" i="25"/>
  <c r="BW256" i="25"/>
  <c r="BU256" i="25"/>
  <c r="AR24" i="25"/>
  <c r="BJ24" i="25"/>
  <c r="BH24" i="25"/>
  <c r="AP24" i="25"/>
  <c r="BW24" i="25"/>
  <c r="BU24" i="25"/>
  <c r="BF24" i="25"/>
  <c r="AU234" i="24"/>
  <c r="BB234" i="24" s="1"/>
  <c r="AW234" i="24"/>
  <c r="AR7" i="25"/>
  <c r="BH7" i="25"/>
  <c r="AP7" i="25"/>
  <c r="BW7" i="25"/>
  <c r="BU7" i="25"/>
  <c r="BF7" i="25"/>
  <c r="AU177" i="24"/>
  <c r="BB177" i="24" s="1"/>
  <c r="AW177" i="24"/>
  <c r="AU40" i="24"/>
  <c r="BB40" i="24" s="1"/>
  <c r="AW40" i="24"/>
  <c r="BG292" i="24"/>
  <c r="BS292" i="24"/>
  <c r="BE233" i="24"/>
  <c r="BT233" i="24" s="1"/>
  <c r="BD233" i="24"/>
  <c r="AY233" i="24"/>
  <c r="AZ233" i="24" s="1"/>
  <c r="AU79" i="24"/>
  <c r="BB79" i="24" s="1"/>
  <c r="AW79" i="24"/>
  <c r="AR300" i="25"/>
  <c r="BH300" i="25"/>
  <c r="AP300" i="25"/>
  <c r="BF300" i="25"/>
  <c r="BW300" i="25"/>
  <c r="BU300" i="25"/>
  <c r="AR9" i="25"/>
  <c r="BJ9" i="25"/>
  <c r="BH9" i="25"/>
  <c r="AP9" i="25"/>
  <c r="BF9" i="25"/>
  <c r="BU9" i="25"/>
  <c r="BW9" i="25"/>
  <c r="AT291" i="25"/>
  <c r="AU291" i="25"/>
  <c r="AR227" i="25"/>
  <c r="BH227" i="25"/>
  <c r="AP227" i="25"/>
  <c r="BW227" i="25"/>
  <c r="BF227" i="25"/>
  <c r="BU227" i="25"/>
  <c r="AR235" i="25"/>
  <c r="BH235" i="25"/>
  <c r="AP235" i="25"/>
  <c r="BF235" i="25"/>
  <c r="BW235" i="25"/>
  <c r="BU235" i="25"/>
  <c r="AT95" i="25"/>
  <c r="AY95" i="25" s="1"/>
  <c r="AU95" i="25"/>
  <c r="AR65" i="25"/>
  <c r="BH65" i="25"/>
  <c r="AP65" i="25"/>
  <c r="BW65" i="25"/>
  <c r="BU65" i="25"/>
  <c r="BF65" i="25"/>
  <c r="AR112" i="25"/>
  <c r="BH112" i="25"/>
  <c r="AP112" i="25"/>
  <c r="BF112" i="25"/>
  <c r="BW112" i="25"/>
  <c r="BU112" i="25"/>
  <c r="AU136" i="24"/>
  <c r="BB136" i="24" s="1"/>
  <c r="AW136" i="24"/>
  <c r="AR303" i="25"/>
  <c r="BH303" i="25"/>
  <c r="AP303" i="25"/>
  <c r="BW303" i="25"/>
  <c r="BU303" i="25"/>
  <c r="BF303" i="25"/>
  <c r="AR160" i="25"/>
  <c r="BH160" i="25"/>
  <c r="AP160" i="25"/>
  <c r="BF160" i="25"/>
  <c r="BU160" i="25"/>
  <c r="BW160" i="25"/>
  <c r="AU66" i="24"/>
  <c r="BB66" i="24" s="1"/>
  <c r="AW66" i="24"/>
  <c r="AR195" i="25"/>
  <c r="BH195" i="25"/>
  <c r="BF195" i="25"/>
  <c r="BW195" i="25"/>
  <c r="BU195" i="25"/>
  <c r="Y12" i="2"/>
  <c r="Y15" i="2" s="1"/>
  <c r="Y16" i="2" s="1"/>
  <c r="Y17" i="2" s="1"/>
  <c r="B4" i="29" s="1"/>
  <c r="AR67" i="25"/>
  <c r="BJ67" i="25"/>
  <c r="BH67" i="25"/>
  <c r="AP67" i="25"/>
  <c r="BW67" i="25"/>
  <c r="BU67" i="25"/>
  <c r="BF67" i="25"/>
  <c r="AR41" i="25"/>
  <c r="BJ41" i="25"/>
  <c r="BH41" i="25"/>
  <c r="AP41" i="25"/>
  <c r="BU41" i="25"/>
  <c r="BW41" i="25"/>
  <c r="BF41" i="25"/>
  <c r="BD236" i="24"/>
  <c r="AY236" i="24"/>
  <c r="AZ236" i="24" s="1"/>
  <c r="BE236" i="24"/>
  <c r="BT236" i="24" s="1"/>
  <c r="AR313" i="25"/>
  <c r="BH313" i="25"/>
  <c r="AP313" i="25"/>
  <c r="BU313" i="25"/>
  <c r="BW313" i="25"/>
  <c r="BF313" i="25"/>
  <c r="AR40" i="25"/>
  <c r="BJ40" i="25"/>
  <c r="BH40" i="25"/>
  <c r="AP40" i="25"/>
  <c r="BU40" i="25"/>
  <c r="BW40" i="25"/>
  <c r="BF40" i="25"/>
  <c r="AU188" i="24"/>
  <c r="BB188" i="24" s="1"/>
  <c r="AW188" i="24"/>
  <c r="AR33" i="25"/>
  <c r="BJ33" i="25"/>
  <c r="BH33" i="25"/>
  <c r="AP33" i="25"/>
  <c r="BU33" i="25"/>
  <c r="BW33" i="25"/>
  <c r="BF33" i="25"/>
  <c r="AR294" i="25"/>
  <c r="BH294" i="25"/>
  <c r="AP294" i="25"/>
  <c r="BF294" i="25"/>
  <c r="BW294" i="25"/>
  <c r="BU294" i="25"/>
  <c r="BJ250" i="25"/>
  <c r="AR250" i="25"/>
  <c r="BH250" i="25"/>
  <c r="AP250" i="25"/>
  <c r="BF250" i="25"/>
  <c r="BU250" i="25"/>
  <c r="BW250" i="25"/>
  <c r="AT314" i="25"/>
  <c r="AU314" i="25"/>
  <c r="AW114" i="24"/>
  <c r="AU186" i="24"/>
  <c r="BB186" i="24" s="1"/>
  <c r="AW186" i="24"/>
  <c r="AU14" i="24"/>
  <c r="BB14" i="24" s="1"/>
  <c r="AW14" i="24"/>
  <c r="AU206" i="24"/>
  <c r="BB206" i="24" s="1"/>
  <c r="AW206" i="24"/>
  <c r="AR56" i="25"/>
  <c r="BH56" i="25"/>
  <c r="AP56" i="25"/>
  <c r="BW56" i="25"/>
  <c r="BU56" i="25"/>
  <c r="BF56" i="25"/>
  <c r="AU159" i="24"/>
  <c r="BB159" i="24" s="1"/>
  <c r="AW159" i="24"/>
  <c r="AR17" i="25"/>
  <c r="BJ17" i="25"/>
  <c r="BH17" i="25"/>
  <c r="AP17" i="25"/>
  <c r="BU17" i="25"/>
  <c r="BF17" i="25"/>
  <c r="BW17" i="25"/>
  <c r="AU104" i="24"/>
  <c r="BB104" i="24" s="1"/>
  <c r="AW104" i="24"/>
  <c r="AU197" i="24"/>
  <c r="BB197" i="24" s="1"/>
  <c r="AW197" i="24"/>
  <c r="AT89" i="25"/>
  <c r="AY89" i="25" s="1"/>
  <c r="AU89" i="25"/>
  <c r="AR312" i="25"/>
  <c r="BH312" i="25"/>
  <c r="AP312" i="25"/>
  <c r="BF312" i="25"/>
  <c r="BW312" i="25"/>
  <c r="BU312" i="25"/>
  <c r="AU202" i="24"/>
  <c r="BB202" i="24" s="1"/>
  <c r="AW202" i="24"/>
  <c r="AR175" i="25"/>
  <c r="BH175" i="25"/>
  <c r="AP175" i="25"/>
  <c r="BF175" i="25"/>
  <c r="BU175" i="25"/>
  <c r="BW175" i="25"/>
  <c r="AU47" i="24"/>
  <c r="BB47" i="24" s="1"/>
  <c r="AW47" i="24"/>
  <c r="AR285" i="25"/>
  <c r="BJ285" i="25"/>
  <c r="BH285" i="25"/>
  <c r="AP285" i="25"/>
  <c r="BF285" i="25"/>
  <c r="BW285" i="25"/>
  <c r="BU285" i="25"/>
  <c r="AU184" i="24"/>
  <c r="BB184" i="24" s="1"/>
  <c r="AW184" i="24"/>
  <c r="AY160" i="24"/>
  <c r="AZ160" i="24" s="1"/>
  <c r="BD160" i="24"/>
  <c r="BE160" i="24"/>
  <c r="BT160" i="24" s="1"/>
  <c r="AU88" i="24"/>
  <c r="BB88" i="24" s="1"/>
  <c r="AW88" i="24"/>
  <c r="AU16" i="24"/>
  <c r="BB16" i="24" s="1"/>
  <c r="AW16" i="24"/>
  <c r="AR171" i="25"/>
  <c r="BH171" i="25"/>
  <c r="AP171" i="25"/>
  <c r="BF171" i="25"/>
  <c r="BW171" i="25"/>
  <c r="BU171" i="25"/>
  <c r="AR49" i="25"/>
  <c r="BJ49" i="25"/>
  <c r="BH49" i="25"/>
  <c r="AP49" i="25"/>
  <c r="BF49" i="25"/>
  <c r="BW49" i="25"/>
  <c r="BU49" i="25"/>
  <c r="AR183" i="25"/>
  <c r="BH183" i="25"/>
  <c r="AP183" i="25"/>
  <c r="BF183" i="25"/>
  <c r="BW183" i="25"/>
  <c r="BU183" i="25"/>
  <c r="AY257" i="24"/>
  <c r="AZ257" i="24" s="1"/>
  <c r="BD257" i="24"/>
  <c r="BE257" i="24"/>
  <c r="BT257" i="24" s="1"/>
  <c r="BE119" i="24"/>
  <c r="BT119" i="24" s="1"/>
  <c r="AY119" i="24"/>
  <c r="AZ119" i="24" s="1"/>
  <c r="BD119" i="24"/>
  <c r="AW30" i="24"/>
  <c r="AR253" i="25"/>
  <c r="BJ253" i="25"/>
  <c r="BH253" i="25"/>
  <c r="AP253" i="25"/>
  <c r="BF253" i="25"/>
  <c r="BW253" i="25"/>
  <c r="BU253" i="25"/>
  <c r="AU67" i="24"/>
  <c r="BB67" i="24" s="1"/>
  <c r="AW67" i="24"/>
  <c r="AT34" i="25"/>
  <c r="AY34" i="25" s="1"/>
  <c r="AU34" i="25"/>
  <c r="AU137" i="24"/>
  <c r="BB137" i="24" s="1"/>
  <c r="AW137" i="24"/>
  <c r="AR141" i="25"/>
  <c r="BJ141" i="25"/>
  <c r="BH141" i="25"/>
  <c r="AP141" i="25"/>
  <c r="BW141" i="25"/>
  <c r="BU141" i="25"/>
  <c r="BF141" i="25"/>
  <c r="AT178" i="25"/>
  <c r="AY178" i="25" s="1"/>
  <c r="AU178" i="25"/>
  <c r="BB143" i="25"/>
  <c r="BS143" i="25" s="1"/>
  <c r="BC143" i="25"/>
  <c r="BT143" i="25" s="1"/>
  <c r="BA143" i="25"/>
  <c r="AW284" i="24"/>
  <c r="AU262" i="24"/>
  <c r="BB262" i="24" s="1"/>
  <c r="AW262" i="24"/>
  <c r="BE41" i="24"/>
  <c r="BT41" i="24" s="1"/>
  <c r="AY41" i="24"/>
  <c r="AZ41" i="24" s="1"/>
  <c r="BD41" i="24"/>
  <c r="BJ58" i="25"/>
  <c r="AR58" i="25"/>
  <c r="BH58" i="25"/>
  <c r="AP58" i="25"/>
  <c r="BW58" i="25"/>
  <c r="BF58" i="25"/>
  <c r="BU58" i="25"/>
  <c r="AR307" i="25"/>
  <c r="BH307" i="25"/>
  <c r="AP307" i="25"/>
  <c r="BU307" i="25"/>
  <c r="BW307" i="25"/>
  <c r="BF307" i="25"/>
  <c r="AR42" i="25"/>
  <c r="BJ42" i="25"/>
  <c r="BH42" i="25"/>
  <c r="AP42" i="25"/>
  <c r="BF42" i="25"/>
  <c r="BW42" i="25"/>
  <c r="BU42" i="25"/>
  <c r="AU46" i="24"/>
  <c r="BB46" i="24" s="1"/>
  <c r="AW46" i="24"/>
  <c r="AW237" i="24"/>
  <c r="AR205" i="25"/>
  <c r="BJ205" i="25"/>
  <c r="BH205" i="25"/>
  <c r="BF205" i="25"/>
  <c r="BW205" i="25"/>
  <c r="BU205" i="25"/>
  <c r="AR309" i="25"/>
  <c r="BH309" i="25"/>
  <c r="AP309" i="25"/>
  <c r="BF309" i="25"/>
  <c r="BU309" i="25"/>
  <c r="BW309" i="25"/>
  <c r="AU196" i="24"/>
  <c r="BB196" i="24" s="1"/>
  <c r="AW196" i="24"/>
  <c r="AU83" i="24"/>
  <c r="BB83" i="24" s="1"/>
  <c r="AW83" i="24"/>
  <c r="AU175" i="24"/>
  <c r="BB175" i="24" s="1"/>
  <c r="AW175" i="24"/>
  <c r="AR80" i="25"/>
  <c r="BH80" i="25"/>
  <c r="AP80" i="25"/>
  <c r="BF80" i="25"/>
  <c r="BU80" i="25"/>
  <c r="BW80" i="25"/>
  <c r="AR105" i="25"/>
  <c r="BJ105" i="25"/>
  <c r="BH105" i="25"/>
  <c r="BW105" i="25"/>
  <c r="BU105" i="25"/>
  <c r="BF105" i="25"/>
  <c r="BE45" i="24"/>
  <c r="BT45" i="24" s="1"/>
  <c r="BD45" i="24"/>
  <c r="AY45" i="24"/>
  <c r="AZ45" i="24" s="1"/>
  <c r="AR184" i="25"/>
  <c r="BH184" i="25"/>
  <c r="AP184" i="25"/>
  <c r="BF184" i="25"/>
  <c r="BU184" i="25"/>
  <c r="BW184" i="25"/>
  <c r="AW126" i="24"/>
  <c r="AR269" i="25"/>
  <c r="BH269" i="25"/>
  <c r="AP269" i="25"/>
  <c r="BF269" i="25"/>
  <c r="BW269" i="25"/>
  <c r="BU269" i="25"/>
  <c r="AR93" i="25"/>
  <c r="BJ93" i="25"/>
  <c r="BH93" i="25"/>
  <c r="AP93" i="25"/>
  <c r="BU93" i="25"/>
  <c r="BW93" i="25"/>
  <c r="BF93" i="25"/>
  <c r="AT62" i="25"/>
  <c r="AY62" i="25" s="1"/>
  <c r="AU62" i="25"/>
  <c r="AT31" i="25"/>
  <c r="AY31" i="25" s="1"/>
  <c r="AU31" i="25"/>
  <c r="AR218" i="25"/>
  <c r="BH218" i="25"/>
  <c r="AP218" i="25"/>
  <c r="BW218" i="25"/>
  <c r="BF218" i="25"/>
  <c r="BU218" i="25"/>
  <c r="AU222" i="24"/>
  <c r="BB222" i="24" s="1"/>
  <c r="AW222" i="24"/>
  <c r="AU140" i="24"/>
  <c r="BB140" i="24" s="1"/>
  <c r="AW140" i="24"/>
  <c r="AU77" i="24"/>
  <c r="BB77" i="24" s="1"/>
  <c r="AW77" i="24"/>
  <c r="AU53" i="24"/>
  <c r="BB53" i="24" s="1"/>
  <c r="AW53" i="24"/>
  <c r="AR121" i="25"/>
  <c r="BH121" i="25"/>
  <c r="AP121" i="25"/>
  <c r="BF121" i="25"/>
  <c r="BU121" i="25"/>
  <c r="BW121" i="25"/>
  <c r="AY162" i="24"/>
  <c r="AZ162" i="24" s="1"/>
  <c r="BD162" i="24"/>
  <c r="BE162" i="24"/>
  <c r="BT162" i="24" s="1"/>
  <c r="AT161" i="25"/>
  <c r="AY161" i="25" s="1"/>
  <c r="AU161" i="25"/>
  <c r="AU49" i="24"/>
  <c r="BB49" i="24" s="1"/>
  <c r="AW49" i="24"/>
  <c r="AR233" i="25"/>
  <c r="BJ233" i="25"/>
  <c r="BH233" i="25"/>
  <c r="AP233" i="25"/>
  <c r="BF233" i="25"/>
  <c r="BU233" i="25"/>
  <c r="BW233" i="25"/>
  <c r="AR153" i="25"/>
  <c r="BH153" i="25"/>
  <c r="AP153" i="25"/>
  <c r="BF153" i="25"/>
  <c r="BW153" i="25"/>
  <c r="BU153" i="25"/>
  <c r="AR10" i="25"/>
  <c r="BH10" i="25"/>
  <c r="AP10" i="25"/>
  <c r="BF10" i="25"/>
  <c r="BU10" i="25"/>
  <c r="BW10" i="25"/>
  <c r="AR123" i="25"/>
  <c r="BJ123" i="25"/>
  <c r="BH123" i="25"/>
  <c r="AP123" i="25"/>
  <c r="BF123" i="25"/>
  <c r="BU123" i="25"/>
  <c r="BW123" i="25"/>
  <c r="AR159" i="25"/>
  <c r="BH159" i="25"/>
  <c r="AP159" i="25"/>
  <c r="BU159" i="25"/>
  <c r="BW159" i="25"/>
  <c r="BF159" i="25"/>
  <c r="AU39" i="24"/>
  <c r="BB39" i="24" s="1"/>
  <c r="AW39" i="24"/>
  <c r="AU173" i="24"/>
  <c r="BB173" i="24" s="1"/>
  <c r="AW173" i="24"/>
  <c r="AR236" i="25"/>
  <c r="BH236" i="25"/>
  <c r="AP236" i="25"/>
  <c r="BF236" i="25"/>
  <c r="BU236" i="25"/>
  <c r="BW236" i="25"/>
  <c r="AU275" i="24"/>
  <c r="BB275" i="24" s="1"/>
  <c r="AW275" i="24"/>
  <c r="AR137" i="25"/>
  <c r="BJ137" i="25"/>
  <c r="BH137" i="25"/>
  <c r="AP137" i="25"/>
  <c r="BF137" i="25"/>
  <c r="BW137" i="25"/>
  <c r="BU137" i="25"/>
  <c r="AR230" i="25"/>
  <c r="BJ230" i="25"/>
  <c r="BH230" i="25"/>
  <c r="AP230" i="25"/>
  <c r="BF230" i="25"/>
  <c r="BW230" i="25"/>
  <c r="BU230" i="25"/>
  <c r="AR46" i="25"/>
  <c r="BJ46" i="25"/>
  <c r="BH46" i="25"/>
  <c r="AP46" i="25"/>
  <c r="BF46" i="25"/>
  <c r="BW46" i="25"/>
  <c r="BU46" i="25"/>
  <c r="AT206" i="25"/>
  <c r="AY206" i="25" s="1"/>
  <c r="AU206" i="25"/>
  <c r="AT29" i="25"/>
  <c r="AY29" i="25" s="1"/>
  <c r="AU29" i="25"/>
  <c r="AU278" i="24"/>
  <c r="BB278" i="24" s="1"/>
  <c r="AW278" i="24"/>
  <c r="AU313" i="24"/>
  <c r="BB313" i="24" s="1"/>
  <c r="AW313" i="24"/>
  <c r="AR268" i="25"/>
  <c r="BH268" i="25"/>
  <c r="AP268" i="25"/>
  <c r="BW268" i="25"/>
  <c r="BU268" i="25"/>
  <c r="BF268" i="25"/>
  <c r="AR242" i="25"/>
  <c r="BH242" i="25"/>
  <c r="AP242" i="25"/>
  <c r="BF242" i="25"/>
  <c r="BU242" i="25"/>
  <c r="BW242" i="25"/>
  <c r="AR146" i="25"/>
  <c r="BJ146" i="25"/>
  <c r="BH146" i="25"/>
  <c r="AP146" i="25"/>
  <c r="BF146" i="25"/>
  <c r="BU146" i="25"/>
  <c r="BW146" i="25"/>
  <c r="AR79" i="25"/>
  <c r="BH79" i="25"/>
  <c r="AP79" i="25"/>
  <c r="BW79" i="25"/>
  <c r="BU79" i="25"/>
  <c r="BF79" i="25"/>
  <c r="BE21" i="24"/>
  <c r="BT21" i="24" s="1"/>
  <c r="AY21" i="24"/>
  <c r="AZ21" i="24" s="1"/>
  <c r="BD21" i="24"/>
  <c r="AU10" i="24"/>
  <c r="BB10" i="24" s="1"/>
  <c r="AW10" i="24"/>
  <c r="AU207" i="24"/>
  <c r="BB207" i="24" s="1"/>
  <c r="AW207" i="24"/>
  <c r="AU157" i="24"/>
  <c r="BB157" i="24" s="1"/>
  <c r="AW157" i="24"/>
  <c r="AU31" i="24"/>
  <c r="BB31" i="24" s="1"/>
  <c r="AW31" i="24"/>
  <c r="AT59" i="25"/>
  <c r="AY59" i="25" s="1"/>
  <c r="AU59" i="25"/>
  <c r="AR111" i="25"/>
  <c r="BH111" i="25"/>
  <c r="AP111" i="25"/>
  <c r="BF111" i="25"/>
  <c r="BU111" i="25"/>
  <c r="BW111" i="25"/>
  <c r="AR127" i="25"/>
  <c r="BJ127" i="25"/>
  <c r="BH127" i="25"/>
  <c r="AP127" i="25"/>
  <c r="BF127" i="25"/>
  <c r="BW127" i="25"/>
  <c r="BU127" i="25"/>
  <c r="AU11" i="24"/>
  <c r="BB11" i="24" s="1"/>
  <c r="AW11" i="24"/>
  <c r="AT248" i="25"/>
  <c r="AU248" i="25"/>
  <c r="AR208" i="25"/>
  <c r="BJ208" i="25"/>
  <c r="BH208" i="25"/>
  <c r="BU208" i="25"/>
  <c r="BW208" i="25"/>
  <c r="BF208" i="25"/>
  <c r="AR264" i="25"/>
  <c r="BJ264" i="25"/>
  <c r="BH264" i="25"/>
  <c r="AP264" i="25"/>
  <c r="BF264" i="25"/>
  <c r="BU264" i="25"/>
  <c r="BW264" i="25"/>
  <c r="AR166" i="25"/>
  <c r="BH166" i="25"/>
  <c r="AP166" i="25"/>
  <c r="BF166" i="25"/>
  <c r="BW166" i="25"/>
  <c r="BU166" i="25"/>
  <c r="AR103" i="25"/>
  <c r="BH103" i="25"/>
  <c r="BW103" i="25"/>
  <c r="BU103" i="25"/>
  <c r="BF103" i="25"/>
  <c r="AR35" i="25"/>
  <c r="BJ35" i="25"/>
  <c r="BH35" i="25"/>
  <c r="AP35" i="25"/>
  <c r="BW35" i="25"/>
  <c r="BU35" i="25"/>
  <c r="BF35" i="25"/>
  <c r="AR75" i="25"/>
  <c r="BJ75" i="25"/>
  <c r="BH75" i="25"/>
  <c r="AP75" i="25"/>
  <c r="BU75" i="25"/>
  <c r="BF75" i="25"/>
  <c r="BW75" i="25"/>
  <c r="AW266" i="24"/>
  <c r="AR63" i="25"/>
  <c r="BJ63" i="25"/>
  <c r="BH63" i="25"/>
  <c r="AP63" i="25"/>
  <c r="BF63" i="25"/>
  <c r="BW63" i="25"/>
  <c r="BU63" i="25"/>
  <c r="AT170" i="25"/>
  <c r="AY170" i="25" s="1"/>
  <c r="AU170" i="25"/>
  <c r="AR165" i="25"/>
  <c r="BH165" i="25"/>
  <c r="AP165" i="25"/>
  <c r="BU165" i="25"/>
  <c r="BW165" i="25"/>
  <c r="BF165" i="25"/>
  <c r="AU118" i="24"/>
  <c r="BB118" i="24" s="1"/>
  <c r="AW118" i="24"/>
  <c r="AU139" i="24"/>
  <c r="BB139" i="24" s="1"/>
  <c r="AW139" i="24"/>
  <c r="AU95" i="24"/>
  <c r="BB95" i="24" s="1"/>
  <c r="AW95" i="24"/>
  <c r="AR50" i="25"/>
  <c r="BJ50" i="25"/>
  <c r="BH50" i="25"/>
  <c r="AP50" i="25"/>
  <c r="BW50" i="25"/>
  <c r="BU50" i="25"/>
  <c r="BF50" i="25"/>
  <c r="AW56" i="24"/>
  <c r="AT267" i="25"/>
  <c r="AU267" i="25"/>
  <c r="AU303" i="24"/>
  <c r="BB303" i="24" s="1"/>
  <c r="AW303" i="24"/>
  <c r="AU127" i="24"/>
  <c r="BB127" i="24" s="1"/>
  <c r="AW127" i="24"/>
  <c r="AU250" i="24"/>
  <c r="BB250" i="24" s="1"/>
  <c r="AW250" i="24"/>
  <c r="AR286" i="25"/>
  <c r="BH286" i="25"/>
  <c r="AP286" i="25"/>
  <c r="BU286" i="25"/>
  <c r="BF286" i="25"/>
  <c r="BW286" i="25"/>
  <c r="AT257" i="25"/>
  <c r="AU257" i="25"/>
  <c r="AU42" i="24"/>
  <c r="BB42" i="24" s="1"/>
  <c r="AW42" i="24"/>
  <c r="BJ128" i="25"/>
  <c r="AR128" i="25"/>
  <c r="BH128" i="25"/>
  <c r="AP128" i="25"/>
  <c r="BF128" i="25"/>
  <c r="BU128" i="25"/>
  <c r="BW128" i="25"/>
  <c r="AR209" i="25"/>
  <c r="BJ209" i="25"/>
  <c r="BH209" i="25"/>
  <c r="BU209" i="25"/>
  <c r="BW209" i="25"/>
  <c r="BF209" i="25"/>
  <c r="AR217" i="25"/>
  <c r="BJ217" i="25"/>
  <c r="BH217" i="25"/>
  <c r="AP217" i="25"/>
  <c r="BF217" i="25"/>
  <c r="BW217" i="25"/>
  <c r="BU217" i="25"/>
  <c r="AU70" i="24"/>
  <c r="BB70" i="24" s="1"/>
  <c r="AW70" i="24"/>
  <c r="AR252" i="25"/>
  <c r="BJ252" i="25"/>
  <c r="BH252" i="25"/>
  <c r="AP252" i="25"/>
  <c r="BF252" i="25"/>
  <c r="BU252" i="25"/>
  <c r="BW252" i="25"/>
  <c r="AU122" i="24"/>
  <c r="BB122" i="24" s="1"/>
  <c r="AW122" i="24"/>
  <c r="AU87" i="24"/>
  <c r="BB87" i="24" s="1"/>
  <c r="AW87" i="24"/>
  <c r="AR83" i="25"/>
  <c r="BH83" i="25"/>
  <c r="AP83" i="25"/>
  <c r="BF83" i="25"/>
  <c r="BW83" i="25"/>
  <c r="BU83" i="25"/>
  <c r="AU314" i="24"/>
  <c r="BB314" i="24" s="1"/>
  <c r="AW314" i="24"/>
  <c r="AR152" i="25"/>
  <c r="BH152" i="25"/>
  <c r="AP152" i="25"/>
  <c r="BF152" i="25"/>
  <c r="BU152" i="25"/>
  <c r="BW152" i="25"/>
  <c r="AR277" i="25"/>
  <c r="BJ277" i="25"/>
  <c r="BH277" i="25"/>
  <c r="AP277" i="25"/>
  <c r="BW277" i="25"/>
  <c r="BU277" i="25"/>
  <c r="BF277" i="25"/>
  <c r="AY191" i="24"/>
  <c r="AZ191" i="24" s="1"/>
  <c r="BE191" i="24"/>
  <c r="BT191" i="24" s="1"/>
  <c r="BD191" i="24"/>
  <c r="BD294" i="24"/>
  <c r="AY294" i="24"/>
  <c r="AZ294" i="24" s="1"/>
  <c r="BE294" i="24"/>
  <c r="BT294" i="24" s="1"/>
  <c r="BJ271" i="25"/>
  <c r="AR271" i="25"/>
  <c r="BH271" i="25"/>
  <c r="AP271" i="25"/>
  <c r="BF271" i="25"/>
  <c r="BU271" i="25"/>
  <c r="BW271" i="25"/>
  <c r="AT147" i="25"/>
  <c r="AY147" i="25" s="1"/>
  <c r="AU147" i="25"/>
  <c r="AR149" i="25"/>
  <c r="BH149" i="25"/>
  <c r="AP149" i="25"/>
  <c r="BF149" i="25"/>
  <c r="BW149" i="25"/>
  <c r="BU149" i="25"/>
  <c r="AU201" i="24"/>
  <c r="BB201" i="24" s="1"/>
  <c r="AW201" i="24"/>
  <c r="AU231" i="24"/>
  <c r="BB231" i="24" s="1"/>
  <c r="AW231" i="24"/>
  <c r="AU91" i="24"/>
  <c r="BB91" i="24" s="1"/>
  <c r="AW91" i="24"/>
  <c r="AU288" i="24"/>
  <c r="BB288" i="24" s="1"/>
  <c r="AW288" i="24"/>
  <c r="AU229" i="24"/>
  <c r="BB229" i="24" s="1"/>
  <c r="AW229" i="24"/>
  <c r="AU172" i="24"/>
  <c r="BB172" i="24" s="1"/>
  <c r="AW172" i="24"/>
  <c r="AU285" i="24"/>
  <c r="BB285" i="24" s="1"/>
  <c r="AW285" i="24"/>
  <c r="AR219" i="25"/>
  <c r="BH219" i="25"/>
  <c r="AP219" i="25"/>
  <c r="BF219" i="25"/>
  <c r="BW219" i="25"/>
  <c r="BU219" i="25"/>
  <c r="AU302" i="24"/>
  <c r="BB302" i="24" s="1"/>
  <c r="AW302" i="24"/>
  <c r="AR120" i="25"/>
  <c r="BJ120" i="25"/>
  <c r="BH120" i="25"/>
  <c r="AP120" i="25"/>
  <c r="BW120" i="25"/>
  <c r="BF120" i="25"/>
  <c r="BU120" i="25"/>
  <c r="AR234" i="25"/>
  <c r="BJ234" i="25"/>
  <c r="BH234" i="25"/>
  <c r="AP234" i="25"/>
  <c r="BF234" i="25"/>
  <c r="BW234" i="25"/>
  <c r="BU234" i="25"/>
  <c r="AU194" i="24"/>
  <c r="BB194" i="24" s="1"/>
  <c r="AW194" i="24"/>
  <c r="AR164" i="25"/>
  <c r="BH164" i="25"/>
  <c r="AP164" i="25"/>
  <c r="BW164" i="25"/>
  <c r="BU164" i="25"/>
  <c r="BF164" i="25"/>
  <c r="AT204" i="25"/>
  <c r="AY204" i="25" s="1"/>
  <c r="AU204" i="25"/>
  <c r="AU115" i="24"/>
  <c r="BB115" i="24" s="1"/>
  <c r="AW115" i="24"/>
  <c r="AU293" i="24"/>
  <c r="BB293" i="24" s="1"/>
  <c r="AW293" i="24"/>
  <c r="BJ84" i="25"/>
  <c r="AR84" i="25"/>
  <c r="BH84" i="25"/>
  <c r="AP84" i="25"/>
  <c r="BU84" i="25"/>
  <c r="BF84" i="25"/>
  <c r="BW84" i="25"/>
  <c r="AR61" i="25"/>
  <c r="BJ61" i="25"/>
  <c r="BH61" i="25"/>
  <c r="AP61" i="25"/>
  <c r="BF61" i="25"/>
  <c r="BU61" i="25"/>
  <c r="BW61" i="25"/>
  <c r="AR157" i="25"/>
  <c r="BJ157" i="25"/>
  <c r="BH157" i="25"/>
  <c r="AP157" i="25"/>
  <c r="BU157" i="25"/>
  <c r="BW157" i="25"/>
  <c r="BF157" i="25"/>
  <c r="AT186" i="25"/>
  <c r="AY186" i="25" s="1"/>
  <c r="AU186" i="25"/>
  <c r="AW297" i="24"/>
  <c r="AW51" i="24"/>
  <c r="AR51" i="25"/>
  <c r="BJ51" i="25"/>
  <c r="BH51" i="25"/>
  <c r="AP51" i="25"/>
  <c r="BU51" i="25"/>
  <c r="BW51" i="25"/>
  <c r="BF51" i="25"/>
  <c r="AT259" i="25"/>
  <c r="AU259" i="25"/>
  <c r="AU244" i="24"/>
  <c r="BB244" i="24" s="1"/>
  <c r="AW244" i="24"/>
  <c r="AT199" i="25"/>
  <c r="AY199" i="25" s="1"/>
  <c r="AU199" i="25"/>
  <c r="AR60" i="25"/>
  <c r="BH60" i="25"/>
  <c r="AP60" i="25"/>
  <c r="BU60" i="25"/>
  <c r="BF60" i="25"/>
  <c r="BW60" i="25"/>
  <c r="AT247" i="25"/>
  <c r="AU247" i="25"/>
  <c r="AW243" i="24"/>
  <c r="AU251" i="24"/>
  <c r="BB251" i="24" s="1"/>
  <c r="AW251" i="24"/>
  <c r="AU165" i="24"/>
  <c r="BB165" i="24" s="1"/>
  <c r="AW165" i="24"/>
  <c r="AW9" i="24"/>
  <c r="AU96" i="24"/>
  <c r="BB96" i="24" s="1"/>
  <c r="AW96" i="24"/>
  <c r="AW32" i="24"/>
  <c r="AT283" i="25"/>
  <c r="AU283" i="25"/>
  <c r="AU272" i="24"/>
  <c r="BB272" i="24" s="1"/>
  <c r="AW272" i="24"/>
  <c r="AU97" i="24"/>
  <c r="BB97" i="24" s="1"/>
  <c r="AW97" i="24"/>
  <c r="AU141" i="24"/>
  <c r="BB141" i="24" s="1"/>
  <c r="AW141" i="24"/>
  <c r="AU50" i="24"/>
  <c r="BB50" i="24" s="1"/>
  <c r="AW50" i="24"/>
  <c r="AR52" i="25"/>
  <c r="BH52" i="25"/>
  <c r="AP52" i="25"/>
  <c r="BF52" i="25"/>
  <c r="BW52" i="25"/>
  <c r="BU52" i="25"/>
  <c r="BA110" i="25"/>
  <c r="BC110" i="25"/>
  <c r="BT110" i="25" s="1"/>
  <c r="BB110" i="25"/>
  <c r="BS110" i="25" s="1"/>
  <c r="AT192" i="25"/>
  <c r="AY192" i="25" s="1"/>
  <c r="AU192" i="25"/>
  <c r="AU223" i="24"/>
  <c r="BB223" i="24" s="1"/>
  <c r="AW223" i="24"/>
  <c r="AR194" i="25"/>
  <c r="BH194" i="25"/>
  <c r="CE194" i="25"/>
  <c r="BW194" i="25"/>
  <c r="BU194" i="25"/>
  <c r="BF194" i="25"/>
  <c r="AT282" i="25"/>
  <c r="AU282" i="25"/>
  <c r="AW128" i="24"/>
  <c r="AR45" i="25"/>
  <c r="BH45" i="25"/>
  <c r="AP45" i="25"/>
  <c r="BF45" i="25"/>
  <c r="BW45" i="25"/>
  <c r="BU45" i="25"/>
  <c r="AR37" i="25"/>
  <c r="BJ37" i="25"/>
  <c r="BH37" i="25"/>
  <c r="AP37" i="25"/>
  <c r="BF37" i="25"/>
  <c r="BU37" i="25"/>
  <c r="BW37" i="25"/>
  <c r="AR144" i="25"/>
  <c r="BJ144" i="25"/>
  <c r="BH144" i="25"/>
  <c r="AP144" i="25"/>
  <c r="BF144" i="25"/>
  <c r="BW144" i="25"/>
  <c r="BU144" i="25"/>
  <c r="AU65" i="24"/>
  <c r="BB65" i="24" s="1"/>
  <c r="AW65" i="24"/>
  <c r="AT92" i="25"/>
  <c r="AY92" i="25" s="1"/>
  <c r="AU92" i="25"/>
  <c r="AR125" i="25"/>
  <c r="BH125" i="25"/>
  <c r="AP125" i="25"/>
  <c r="BF125" i="25"/>
  <c r="BU125" i="25"/>
  <c r="BW125" i="25"/>
  <c r="AR244" i="25"/>
  <c r="BJ244" i="25"/>
  <c r="BH244" i="25"/>
  <c r="AP244" i="25"/>
  <c r="BU244" i="25"/>
  <c r="BW244" i="25"/>
  <c r="BF244" i="25"/>
  <c r="AR91" i="25"/>
  <c r="BJ91" i="25"/>
  <c r="BH91" i="25"/>
  <c r="AP91" i="25"/>
  <c r="BF91" i="25"/>
  <c r="BW91" i="25"/>
  <c r="BU91" i="25"/>
  <c r="BJ266" i="25"/>
  <c r="AR266" i="25"/>
  <c r="BH266" i="25"/>
  <c r="AP266" i="25"/>
  <c r="BU266" i="25"/>
  <c r="BF266" i="25"/>
  <c r="BW266" i="25"/>
  <c r="AR135" i="25"/>
  <c r="BH135" i="25"/>
  <c r="AP135" i="25"/>
  <c r="BU135" i="25"/>
  <c r="BW135" i="25"/>
  <c r="BF135" i="25"/>
  <c r="AR311" i="25"/>
  <c r="BH311" i="25"/>
  <c r="AP311" i="25"/>
  <c r="BW311" i="25"/>
  <c r="BU311" i="25"/>
  <c r="BF311" i="25"/>
  <c r="AU210" i="24"/>
  <c r="BB210" i="24" s="1"/>
  <c r="AW210" i="24"/>
  <c r="AU208" i="24"/>
  <c r="BB208" i="24" s="1"/>
  <c r="AW208" i="24"/>
  <c r="AU102" i="24"/>
  <c r="BB102" i="24" s="1"/>
  <c r="AW102" i="24"/>
  <c r="AU193" i="24"/>
  <c r="BB193" i="24" s="1"/>
  <c r="AW193" i="24"/>
  <c r="AU15" i="24"/>
  <c r="BB15" i="24" s="1"/>
  <c r="AW15" i="24"/>
  <c r="AT14" i="25"/>
  <c r="AY14" i="25" s="1"/>
  <c r="AU14" i="25"/>
  <c r="AU307" i="24"/>
  <c r="BB307" i="24" s="1"/>
  <c r="AW307" i="24"/>
  <c r="AU113" i="24"/>
  <c r="BB113" i="24" s="1"/>
  <c r="AW113" i="24"/>
  <c r="AR132" i="25"/>
  <c r="BH132" i="25"/>
  <c r="AP132" i="25"/>
  <c r="BF132" i="25"/>
  <c r="BW132" i="25"/>
  <c r="BU132" i="25"/>
  <c r="AU239" i="24"/>
  <c r="BB239" i="24" s="1"/>
  <c r="AW239" i="24"/>
  <c r="AU311" i="24"/>
  <c r="BB311" i="24" s="1"/>
  <c r="AW311" i="24"/>
  <c r="AT82" i="25"/>
  <c r="AY82" i="25" s="1"/>
  <c r="AU82" i="25"/>
  <c r="AU134" i="24"/>
  <c r="BB134" i="24" s="1"/>
  <c r="AW134" i="24"/>
  <c r="AU71" i="24"/>
  <c r="BB71" i="24" s="1"/>
  <c r="AW71" i="24"/>
  <c r="AR260" i="25"/>
  <c r="BJ260" i="25"/>
  <c r="BH260" i="25"/>
  <c r="AP260" i="25"/>
  <c r="BF260" i="25"/>
  <c r="BU260" i="25"/>
  <c r="BW260" i="25"/>
  <c r="AU291" i="24"/>
  <c r="BB291" i="24" s="1"/>
  <c r="AW291" i="24"/>
  <c r="AU85" i="24"/>
  <c r="BB85" i="24" s="1"/>
  <c r="AW85" i="24"/>
  <c r="AU178" i="24"/>
  <c r="BB178" i="24" s="1"/>
  <c r="AW178" i="24"/>
  <c r="AW267" i="24"/>
  <c r="AU105" i="24"/>
  <c r="BB105" i="24" s="1"/>
  <c r="B150" i="2" s="1"/>
  <c r="B151" i="2" s="1"/>
  <c r="E29" i="1" s="1"/>
  <c r="AW105" i="24"/>
  <c r="AR169" i="25"/>
  <c r="BH169" i="25"/>
  <c r="AP169" i="25"/>
  <c r="BF169" i="25"/>
  <c r="BW169" i="25"/>
  <c r="BU169" i="25"/>
  <c r="AT262" i="25"/>
  <c r="AU262" i="25"/>
  <c r="AR301" i="25"/>
  <c r="BJ301" i="25"/>
  <c r="BH301" i="25"/>
  <c r="AP301" i="25"/>
  <c r="BF301" i="25"/>
  <c r="BW301" i="25"/>
  <c r="BU301" i="25"/>
  <c r="BC129" i="25"/>
  <c r="BT129" i="25" s="1"/>
  <c r="BB129" i="25"/>
  <c r="BS129" i="25" s="1"/>
  <c r="BA129" i="25"/>
  <c r="AR85" i="25"/>
  <c r="BJ85" i="25"/>
  <c r="BH85" i="25"/>
  <c r="AP85" i="25"/>
  <c r="BU85" i="25"/>
  <c r="BF85" i="25"/>
  <c r="BW85" i="25"/>
  <c r="AR69" i="25"/>
  <c r="BJ69" i="25"/>
  <c r="BH69" i="25"/>
  <c r="AP69" i="25"/>
  <c r="BF69" i="25"/>
  <c r="BW69" i="25"/>
  <c r="BU69" i="25"/>
  <c r="BE190" i="24"/>
  <c r="BT190" i="24" s="1"/>
  <c r="BD190" i="24"/>
  <c r="AY190" i="24"/>
  <c r="AZ190" i="24" s="1"/>
  <c r="AU204" i="24"/>
  <c r="BB204" i="24" s="1"/>
  <c r="AW204" i="24"/>
  <c r="BE142" i="24"/>
  <c r="BT142" i="24" s="1"/>
  <c r="BD142" i="24"/>
  <c r="AY142" i="24"/>
  <c r="AZ142" i="24" s="1"/>
  <c r="AU199" i="24"/>
  <c r="BB199" i="24" s="1"/>
  <c r="AW199" i="24"/>
  <c r="AR289" i="25"/>
  <c r="BH289" i="25"/>
  <c r="AP289" i="25"/>
  <c r="BW289" i="25"/>
  <c r="BU289" i="25"/>
  <c r="BF289" i="25"/>
  <c r="AT292" i="25"/>
  <c r="AU292" i="25"/>
  <c r="AR290" i="25"/>
  <c r="BJ290" i="25"/>
  <c r="BH290" i="25"/>
  <c r="AP290" i="25"/>
  <c r="BU290" i="25"/>
  <c r="BF290" i="25"/>
  <c r="BW290" i="25"/>
  <c r="AT246" i="25"/>
  <c r="AU246" i="25"/>
  <c r="AR197" i="25"/>
  <c r="BH197" i="25"/>
  <c r="BW197" i="25"/>
  <c r="BU197" i="25"/>
  <c r="BF197" i="25"/>
  <c r="AR72" i="25"/>
  <c r="BH72" i="25"/>
  <c r="AP72" i="25"/>
  <c r="BW72" i="25"/>
  <c r="BU72" i="25"/>
  <c r="BF72" i="25"/>
  <c r="AU168" i="24"/>
  <c r="BB168" i="24" s="1"/>
  <c r="AW168" i="24"/>
  <c r="AR251" i="25"/>
  <c r="BJ251" i="25"/>
  <c r="BH251" i="25"/>
  <c r="AP251" i="25"/>
  <c r="BF251" i="25"/>
  <c r="BW251" i="25"/>
  <c r="BU251" i="25"/>
  <c r="AR270" i="25"/>
  <c r="BH270" i="25"/>
  <c r="AP270" i="25"/>
  <c r="BU270" i="25"/>
  <c r="BW270" i="25"/>
  <c r="BF270" i="25"/>
  <c r="AW271" i="24"/>
  <c r="AU43" i="24"/>
  <c r="BB43" i="24" s="1"/>
  <c r="AW43" i="24"/>
  <c r="AR25" i="25"/>
  <c r="BJ25" i="25"/>
  <c r="BH25" i="25"/>
  <c r="AP25" i="25"/>
  <c r="BW25" i="25"/>
  <c r="BF25" i="25"/>
  <c r="BU25" i="25"/>
  <c r="AU309" i="24"/>
  <c r="BB309" i="24" s="1"/>
  <c r="AW309" i="24"/>
  <c r="AR142" i="25"/>
  <c r="BJ142" i="25"/>
  <c r="BH142" i="25"/>
  <c r="AP142" i="25"/>
  <c r="BF142" i="25"/>
  <c r="BU142" i="25"/>
  <c r="BW142" i="25"/>
  <c r="AU167" i="24"/>
  <c r="BB167" i="24" s="1"/>
  <c r="AW167" i="24"/>
  <c r="AU252" i="24"/>
  <c r="BB252" i="24" s="1"/>
  <c r="AW252" i="24"/>
  <c r="AU300" i="24"/>
  <c r="BB300" i="24" s="1"/>
  <c r="AW300" i="24"/>
  <c r="AW281" i="24"/>
  <c r="AR181" i="25"/>
  <c r="BH181" i="25"/>
  <c r="AP181" i="25"/>
  <c r="BU181" i="25"/>
  <c r="BW181" i="25"/>
  <c r="BF181" i="25"/>
  <c r="AU72" i="24"/>
  <c r="BB72" i="24" s="1"/>
  <c r="AW72" i="24"/>
  <c r="AT177" i="25"/>
  <c r="AY177" i="25" s="1"/>
  <c r="AU177" i="25"/>
  <c r="AU205" i="24"/>
  <c r="BB205" i="24" s="1"/>
  <c r="AW205" i="24"/>
  <c r="AU227" i="24"/>
  <c r="BB227" i="24" s="1"/>
  <c r="AW227" i="24"/>
  <c r="AU187" i="24"/>
  <c r="BB187" i="24" s="1"/>
  <c r="AW187" i="24"/>
  <c r="AU81" i="24"/>
  <c r="BB81" i="24" s="1"/>
  <c r="AW81" i="24"/>
  <c r="BJ225" i="25"/>
  <c r="AR225" i="25"/>
  <c r="BH225" i="25"/>
  <c r="AP225" i="25"/>
  <c r="BF225" i="25"/>
  <c r="BW225" i="25"/>
  <c r="BU225" i="25"/>
  <c r="AR196" i="25"/>
  <c r="BJ196" i="25"/>
  <c r="BH196" i="25"/>
  <c r="BF196" i="25"/>
  <c r="BW196" i="25"/>
  <c r="BU196" i="25"/>
  <c r="AU185" i="24"/>
  <c r="BB185" i="24" s="1"/>
  <c r="AW185" i="24"/>
  <c r="AR68" i="25"/>
  <c r="BH68" i="25"/>
  <c r="AP68" i="25"/>
  <c r="BW68" i="25"/>
  <c r="BU68" i="25"/>
  <c r="BF68" i="25"/>
  <c r="AU310" i="24"/>
  <c r="BB310" i="24" s="1"/>
  <c r="AW310" i="24"/>
  <c r="AR228" i="25"/>
  <c r="BH228" i="25"/>
  <c r="AP228" i="25"/>
  <c r="BU228" i="25"/>
  <c r="BW228" i="25"/>
  <c r="BF228" i="25"/>
  <c r="AR73" i="25"/>
  <c r="BH73" i="25"/>
  <c r="AP73" i="25"/>
  <c r="BF73" i="25"/>
  <c r="BW73" i="25"/>
  <c r="BU73" i="25"/>
  <c r="AR298" i="25"/>
  <c r="BJ298" i="25"/>
  <c r="BH298" i="25"/>
  <c r="AP298" i="25"/>
  <c r="BF298" i="25"/>
  <c r="BU298" i="25"/>
  <c r="BW298" i="25"/>
  <c r="AR47" i="25"/>
  <c r="BJ47" i="25"/>
  <c r="BH47" i="25"/>
  <c r="AP47" i="25"/>
  <c r="BF47" i="25"/>
  <c r="BU47" i="25"/>
  <c r="BW47" i="25"/>
  <c r="AR187" i="25"/>
  <c r="BJ187" i="25"/>
  <c r="BH187" i="25"/>
  <c r="AP187" i="25"/>
  <c r="BW187" i="25"/>
  <c r="BF187" i="25"/>
  <c r="BU187" i="25"/>
  <c r="AR272" i="25"/>
  <c r="BH272" i="25"/>
  <c r="AP272" i="25"/>
  <c r="BF272" i="25"/>
  <c r="BW272" i="25"/>
  <c r="BU272" i="25"/>
  <c r="AU226" i="24"/>
  <c r="BB226" i="24" s="1"/>
  <c r="AW226" i="24"/>
  <c r="AW8" i="24"/>
  <c r="AR118" i="25"/>
  <c r="BH118" i="25"/>
  <c r="AP118" i="25"/>
  <c r="BF118" i="25"/>
  <c r="BW118" i="25"/>
  <c r="BU118" i="25"/>
  <c r="AR98" i="25"/>
  <c r="BJ98" i="25"/>
  <c r="BH98" i="25"/>
  <c r="BW98" i="25"/>
  <c r="BU98" i="25"/>
  <c r="BF98" i="25"/>
  <c r="AR122" i="25"/>
  <c r="BJ122" i="25"/>
  <c r="BH122" i="25"/>
  <c r="AP122" i="25"/>
  <c r="BF122" i="25"/>
  <c r="BU122" i="25"/>
  <c r="BW122" i="25"/>
  <c r="AU60" i="24"/>
  <c r="BB60" i="24" s="1"/>
  <c r="AW60" i="24"/>
  <c r="AT240" i="25"/>
  <c r="AU240" i="25"/>
  <c r="AR74" i="25"/>
  <c r="BH74" i="25"/>
  <c r="AP74" i="25"/>
  <c r="BF74" i="25"/>
  <c r="BU74" i="25"/>
  <c r="BW74" i="25"/>
  <c r="AU306" i="24"/>
  <c r="BB306" i="24" s="1"/>
  <c r="AW306" i="24"/>
  <c r="AR55" i="25"/>
  <c r="BH55" i="25"/>
  <c r="AP55" i="25"/>
  <c r="BF55" i="25"/>
  <c r="BW55" i="25"/>
  <c r="BU55" i="25"/>
  <c r="AR200" i="25"/>
  <c r="BJ200" i="25"/>
  <c r="BH200" i="25"/>
  <c r="BF200" i="25"/>
  <c r="BU200" i="25"/>
  <c r="BW200" i="25"/>
  <c r="AU230" i="24"/>
  <c r="BB230" i="24" s="1"/>
  <c r="AW230" i="24"/>
  <c r="AR54" i="25"/>
  <c r="BJ54" i="25"/>
  <c r="BH54" i="25"/>
  <c r="AP54" i="25"/>
  <c r="BF54" i="25"/>
  <c r="BW54" i="25"/>
  <c r="BU54" i="25"/>
  <c r="AU99" i="24"/>
  <c r="BB99" i="24" s="1"/>
  <c r="AW99" i="24"/>
  <c r="AT198" i="25"/>
  <c r="AY198" i="25" s="1"/>
  <c r="AU198" i="25"/>
  <c r="AR78" i="25"/>
  <c r="BJ78" i="25"/>
  <c r="BH78" i="25"/>
  <c r="AP78" i="25"/>
  <c r="BF78" i="25"/>
  <c r="BW78" i="25"/>
  <c r="BU78" i="25"/>
  <c r="AR191" i="25"/>
  <c r="BH191" i="25"/>
  <c r="AP191" i="25"/>
  <c r="BF191" i="25"/>
  <c r="BU191" i="25"/>
  <c r="BW191" i="25"/>
  <c r="BD22" i="24"/>
  <c r="AY22" i="24"/>
  <c r="AZ22" i="24" s="1"/>
  <c r="BE22" i="24"/>
  <c r="BT22" i="24" s="1"/>
  <c r="AU80" i="24"/>
  <c r="BB80" i="24" s="1"/>
  <c r="AW80" i="24"/>
  <c r="BJ150" i="25"/>
  <c r="AR150" i="25"/>
  <c r="BH150" i="25"/>
  <c r="AP150" i="25"/>
  <c r="BF150" i="25"/>
  <c r="BU150" i="25"/>
  <c r="BW150" i="25"/>
  <c r="AU84" i="24"/>
  <c r="BB84" i="24" s="1"/>
  <c r="AW84" i="24"/>
  <c r="AU166" i="24"/>
  <c r="BB166" i="24" s="1"/>
  <c r="AW166" i="24"/>
  <c r="AU316" i="24"/>
  <c r="BB316" i="24" s="1"/>
  <c r="AW316" i="24"/>
  <c r="AR116" i="25"/>
  <c r="BH116" i="25"/>
  <c r="AP116" i="25"/>
  <c r="BW116" i="25"/>
  <c r="BF116" i="25"/>
  <c r="BU116" i="25"/>
  <c r="AU150" i="24"/>
  <c r="BB150" i="24" s="1"/>
  <c r="AW150" i="24"/>
  <c r="AR226" i="25"/>
  <c r="BJ226" i="25"/>
  <c r="BH226" i="25"/>
  <c r="AP226" i="25"/>
  <c r="BU226" i="25"/>
  <c r="BW226" i="25"/>
  <c r="BF226" i="25"/>
  <c r="AR88" i="25"/>
  <c r="BH88" i="25"/>
  <c r="AP88" i="25"/>
  <c r="BW88" i="25"/>
  <c r="BU88" i="25"/>
  <c r="BF88" i="25"/>
  <c r="AR302" i="25"/>
  <c r="BH302" i="25"/>
  <c r="AP302" i="25"/>
  <c r="BW302" i="25"/>
  <c r="BF302" i="25"/>
  <c r="BU302" i="25"/>
  <c r="AR64" i="25"/>
  <c r="BH64" i="25"/>
  <c r="AP64" i="25"/>
  <c r="BF64" i="25"/>
  <c r="BW64" i="25"/>
  <c r="BU64" i="25"/>
  <c r="AU268" i="24"/>
  <c r="BB268" i="24" s="1"/>
  <c r="AW268" i="24"/>
  <c r="AW155" i="24"/>
  <c r="AU171" i="24"/>
  <c r="BB171" i="24" s="1"/>
  <c r="AW171" i="24"/>
  <c r="AT190" i="25"/>
  <c r="AY190" i="25" s="1"/>
  <c r="AU190" i="25"/>
  <c r="AT305" i="25"/>
  <c r="AU305" i="25"/>
  <c r="AW59" i="24"/>
  <c r="AR245" i="25"/>
  <c r="BH245" i="25"/>
  <c r="AP245" i="25"/>
  <c r="BF245" i="25"/>
  <c r="BW245" i="25"/>
  <c r="BU245" i="25"/>
  <c r="AR288" i="25"/>
  <c r="BJ288" i="25"/>
  <c r="BH288" i="25"/>
  <c r="AP288" i="25"/>
  <c r="BF288" i="25"/>
  <c r="BW288" i="25"/>
  <c r="BU288" i="25"/>
  <c r="AR223" i="25"/>
  <c r="BH223" i="25"/>
  <c r="AP223" i="25"/>
  <c r="BF223" i="25"/>
  <c r="BW223" i="25"/>
  <c r="BU223" i="25"/>
  <c r="AR315" i="25"/>
  <c r="BH315" i="25"/>
  <c r="AP315" i="25"/>
  <c r="BU315" i="25"/>
  <c r="BW315" i="25"/>
  <c r="BF315" i="25"/>
  <c r="AR278" i="25"/>
  <c r="BJ278" i="25"/>
  <c r="BH278" i="25"/>
  <c r="AP278" i="25"/>
  <c r="BF278" i="25"/>
  <c r="BW278" i="25"/>
  <c r="BU278" i="25"/>
  <c r="BJ139" i="25"/>
  <c r="AR139" i="25"/>
  <c r="BH139" i="25"/>
  <c r="AP139" i="25"/>
  <c r="BU139" i="25"/>
  <c r="BW139" i="25"/>
  <c r="BF139" i="25"/>
  <c r="AR136" i="25"/>
  <c r="BJ136" i="25"/>
  <c r="BH136" i="25"/>
  <c r="AP136" i="25"/>
  <c r="BF136" i="25"/>
  <c r="BW136" i="25"/>
  <c r="BU136" i="25"/>
  <c r="AU23" i="24"/>
  <c r="BB23" i="24" s="1"/>
  <c r="AW23" i="24"/>
  <c r="AU94" i="24"/>
  <c r="BB94" i="24" s="1"/>
  <c r="AW94" i="24"/>
  <c r="AU189" i="24"/>
  <c r="BB189" i="24" s="1"/>
  <c r="AW189" i="24"/>
  <c r="AT243" i="25"/>
  <c r="AU243" i="25"/>
  <c r="AU144" i="24"/>
  <c r="BB144" i="24" s="1"/>
  <c r="AW144" i="24"/>
  <c r="AR145" i="25"/>
  <c r="BJ145" i="25"/>
  <c r="BH145" i="25"/>
  <c r="AP145" i="25"/>
  <c r="BW145" i="25"/>
  <c r="BU145" i="25"/>
  <c r="BF145" i="25"/>
  <c r="AU170" i="24"/>
  <c r="BB170" i="24" s="1"/>
  <c r="AW170" i="24"/>
  <c r="AU315" i="24"/>
  <c r="BB315" i="24" s="1"/>
  <c r="AW315" i="24"/>
  <c r="AW123" i="24"/>
  <c r="AT21" i="25"/>
  <c r="AY21" i="25" s="1"/>
  <c r="AU21" i="25"/>
  <c r="AR221" i="25"/>
  <c r="BH221" i="25"/>
  <c r="AP221" i="25"/>
  <c r="BU221" i="25"/>
  <c r="BW221" i="25"/>
  <c r="BF221" i="25"/>
  <c r="AU200" i="24"/>
  <c r="BB200" i="24" s="1"/>
  <c r="AW200" i="24"/>
  <c r="AU124" i="24"/>
  <c r="BB124" i="24" s="1"/>
  <c r="AW124" i="24"/>
  <c r="BE55" i="24"/>
  <c r="BT55" i="24" s="1"/>
  <c r="BD55" i="24"/>
  <c r="AY55" i="24"/>
  <c r="AZ55" i="24" s="1"/>
  <c r="AR180" i="25"/>
  <c r="BH180" i="25"/>
  <c r="AP180" i="25"/>
  <c r="BU180" i="25"/>
  <c r="BW180" i="25"/>
  <c r="BF180" i="25"/>
  <c r="AU89" i="24"/>
  <c r="BB89" i="24" s="1"/>
  <c r="AW89" i="24"/>
  <c r="AW125" i="24"/>
  <c r="AU256" i="24"/>
  <c r="BB256" i="24" s="1"/>
  <c r="AW256" i="24"/>
  <c r="AW35" i="24"/>
  <c r="AR203" i="25"/>
  <c r="BJ203" i="25"/>
  <c r="BH203" i="25"/>
  <c r="BF203" i="25"/>
  <c r="BW203" i="25"/>
  <c r="BU203" i="25"/>
  <c r="AU62" i="24"/>
  <c r="BB62" i="24" s="1"/>
  <c r="AW62" i="24"/>
  <c r="AR168" i="25"/>
  <c r="BH168" i="25"/>
  <c r="AP168" i="25"/>
  <c r="BF168" i="25"/>
  <c r="BW168" i="25"/>
  <c r="BU168" i="25"/>
  <c r="AR297" i="25"/>
  <c r="BJ297" i="25"/>
  <c r="BH297" i="25"/>
  <c r="AP297" i="25"/>
  <c r="BW297" i="25"/>
  <c r="BF297" i="25"/>
  <c r="BU297" i="25"/>
  <c r="AU61" i="24"/>
  <c r="BB61" i="24" s="1"/>
  <c r="AW61" i="24"/>
  <c r="AU183" i="24"/>
  <c r="BB183" i="24" s="1"/>
  <c r="AW183" i="24"/>
  <c r="AR100" i="25"/>
  <c r="BH100" i="25"/>
  <c r="BW100" i="25"/>
  <c r="BF100" i="25"/>
  <c r="BU100" i="25"/>
  <c r="AU13" i="24"/>
  <c r="BB13" i="24" s="1"/>
  <c r="AW13" i="24"/>
  <c r="AR176" i="25"/>
  <c r="BH176" i="25"/>
  <c r="AP176" i="25"/>
  <c r="BF176" i="25"/>
  <c r="BU176" i="25"/>
  <c r="BW176" i="25"/>
  <c r="AU304" i="24"/>
  <c r="BB304" i="24" s="1"/>
  <c r="AW304" i="24"/>
  <c r="AU308" i="24"/>
  <c r="BB308" i="24" s="1"/>
  <c r="AW308" i="24"/>
  <c r="AU163" i="24"/>
  <c r="BB163" i="24" s="1"/>
  <c r="AW163" i="24"/>
  <c r="AR115" i="25"/>
  <c r="BH115" i="25"/>
  <c r="AP115" i="25"/>
  <c r="BW115" i="25"/>
  <c r="BF115" i="25"/>
  <c r="BU115" i="25"/>
  <c r="AR126" i="25"/>
  <c r="BJ126" i="25"/>
  <c r="BH126" i="25"/>
  <c r="AP126" i="25"/>
  <c r="BU126" i="25"/>
  <c r="BW126" i="25"/>
  <c r="BF126" i="25"/>
  <c r="AT71" i="25"/>
  <c r="AY71" i="25" s="1"/>
  <c r="AU71" i="25"/>
  <c r="AU276" i="24"/>
  <c r="BB276" i="24" s="1"/>
  <c r="AW276" i="24"/>
  <c r="AR295" i="25"/>
  <c r="BH295" i="25"/>
  <c r="AP295" i="25"/>
  <c r="BF295" i="25"/>
  <c r="BW295" i="25"/>
  <c r="BU295" i="25"/>
  <c r="AT276" i="25"/>
  <c r="AU276" i="25"/>
  <c r="AR284" i="25"/>
  <c r="BH284" i="25"/>
  <c r="AP284" i="25"/>
  <c r="BW284" i="25"/>
  <c r="BU284" i="25"/>
  <c r="BF284" i="25"/>
  <c r="AW249" i="24"/>
  <c r="AR117" i="25"/>
  <c r="BH117" i="25"/>
  <c r="AP117" i="25"/>
  <c r="BW117" i="25"/>
  <c r="BU117" i="25"/>
  <c r="BF117" i="25"/>
  <c r="AT6" i="25"/>
  <c r="AY6" i="25" s="1"/>
  <c r="AU6" i="25"/>
  <c r="AU195" i="24"/>
  <c r="BB195" i="24" s="1"/>
  <c r="AW195" i="24"/>
  <c r="AR162" i="25"/>
  <c r="BH162" i="25"/>
  <c r="AP162" i="25"/>
  <c r="BU162" i="25"/>
  <c r="BF162" i="25"/>
  <c r="BW162" i="25"/>
  <c r="AU161" i="24"/>
  <c r="BB161" i="24" s="1"/>
  <c r="AW161" i="24"/>
  <c r="AR133" i="25"/>
  <c r="BH133" i="25"/>
  <c r="AP133" i="25"/>
  <c r="BF133" i="25"/>
  <c r="BU133" i="25"/>
  <c r="BW133" i="25"/>
  <c r="AU131" i="24"/>
  <c r="BB131" i="24" s="1"/>
  <c r="AW131" i="24"/>
  <c r="AT87" i="25"/>
  <c r="AY87" i="25" s="1"/>
  <c r="AU87" i="25"/>
  <c r="AT28" i="25"/>
  <c r="AY28" i="25" s="1"/>
  <c r="AU28" i="25"/>
  <c r="AW263" i="24"/>
  <c r="AR99" i="25"/>
  <c r="BH99" i="25"/>
  <c r="BU99" i="25"/>
  <c r="BF99" i="25"/>
  <c r="BW99" i="25"/>
  <c r="AY264" i="24"/>
  <c r="AZ264" i="24" s="1"/>
  <c r="BD264" i="24"/>
  <c r="BE264" i="24"/>
  <c r="BT264" i="24" s="1"/>
  <c r="AR287" i="25"/>
  <c r="BH287" i="25"/>
  <c r="AP287" i="25"/>
  <c r="BU287" i="25"/>
  <c r="BF287" i="25"/>
  <c r="BW287" i="25"/>
  <c r="AU146" i="24"/>
  <c r="BB146" i="24" s="1"/>
  <c r="AW146" i="24"/>
  <c r="AR138" i="25"/>
  <c r="BH138" i="25"/>
  <c r="AP138" i="25"/>
  <c r="BF138" i="25"/>
  <c r="BW138" i="25"/>
  <c r="BU138" i="25"/>
  <c r="AU270" i="24"/>
  <c r="BB270" i="24" s="1"/>
  <c r="AW270" i="24"/>
  <c r="AT167" i="25"/>
  <c r="AY167" i="25" s="1"/>
  <c r="AU167" i="25"/>
  <c r="AU158" i="24"/>
  <c r="BB158" i="24" s="1"/>
  <c r="AW158" i="24"/>
  <c r="AY7" i="24"/>
  <c r="AZ7" i="24" s="1"/>
  <c r="BE7" i="24"/>
  <c r="BT7" i="24" s="1"/>
  <c r="BD7" i="24"/>
  <c r="AU180" i="24"/>
  <c r="BB180" i="24" s="1"/>
  <c r="AW180" i="24"/>
  <c r="AW145" i="24"/>
  <c r="AU29" i="24"/>
  <c r="BB29" i="24" s="1"/>
  <c r="AW29" i="24"/>
  <c r="AR202" i="25"/>
  <c r="BJ202" i="25"/>
  <c r="BH202" i="25"/>
  <c r="BF202" i="25"/>
  <c r="BW202" i="25"/>
  <c r="BU202" i="25"/>
  <c r="AR44" i="25"/>
  <c r="BJ44" i="25"/>
  <c r="BH44" i="25"/>
  <c r="AP44" i="25"/>
  <c r="BW44" i="25"/>
  <c r="BU44" i="25"/>
  <c r="BF44" i="25"/>
  <c r="AT306" i="25"/>
  <c r="AU306" i="25"/>
  <c r="BJ101" i="25"/>
  <c r="AR101" i="25"/>
  <c r="BH101" i="25"/>
  <c r="BF101" i="25"/>
  <c r="BW101" i="25"/>
  <c r="BU101" i="25"/>
  <c r="AU143" i="24"/>
  <c r="BB143" i="24" s="1"/>
  <c r="AW143" i="24"/>
  <c r="AU82" i="24"/>
  <c r="BB82" i="24" s="1"/>
  <c r="AW82" i="24"/>
  <c r="AR172" i="25"/>
  <c r="BH172" i="25"/>
  <c r="AP172" i="25"/>
  <c r="BF172" i="25"/>
  <c r="BW172" i="25"/>
  <c r="BU172" i="25"/>
  <c r="AR316" i="25"/>
  <c r="BH316" i="25"/>
  <c r="AP316" i="25"/>
  <c r="BF316" i="25"/>
  <c r="BU316" i="25"/>
  <c r="BW316" i="25"/>
  <c r="AT255" i="25"/>
  <c r="AU255" i="25"/>
  <c r="AU169" i="24"/>
  <c r="BB169" i="24" s="1"/>
  <c r="AW169" i="24"/>
  <c r="AR156" i="25"/>
  <c r="BH156" i="25"/>
  <c r="AP156" i="25"/>
  <c r="BU156" i="25"/>
  <c r="BW156" i="25"/>
  <c r="BF156" i="25"/>
  <c r="AU68" i="24"/>
  <c r="BB68" i="24" s="1"/>
  <c r="AW68" i="24"/>
  <c r="AR216" i="25"/>
  <c r="BH216" i="25"/>
  <c r="AP216" i="25"/>
  <c r="BF216" i="25"/>
  <c r="BW216" i="25"/>
  <c r="BU216" i="25"/>
  <c r="AT158" i="25"/>
  <c r="AY158" i="25" s="1"/>
  <c r="AU158" i="25"/>
  <c r="AW129" i="24"/>
  <c r="AU86" i="24"/>
  <c r="BB86" i="24" s="1"/>
  <c r="AW86" i="24"/>
  <c r="AW290" i="24"/>
  <c r="AR185" i="25"/>
  <c r="BH185" i="25"/>
  <c r="AP185" i="25"/>
  <c r="BF185" i="25"/>
  <c r="BW185" i="25"/>
  <c r="BU185" i="25"/>
  <c r="AR281" i="25"/>
  <c r="BJ281" i="25"/>
  <c r="BH281" i="25"/>
  <c r="AP281" i="25"/>
  <c r="BU281" i="25"/>
  <c r="BW281" i="25"/>
  <c r="BF281" i="25"/>
  <c r="AU289" i="24"/>
  <c r="BB289" i="24" s="1"/>
  <c r="AW289" i="24"/>
  <c r="AU64" i="24"/>
  <c r="BB64" i="24" s="1"/>
  <c r="AW64" i="24"/>
  <c r="AT261" i="25"/>
  <c r="AU261" i="25"/>
  <c r="AU174" i="24"/>
  <c r="BB174" i="24" s="1"/>
  <c r="AW174" i="24"/>
  <c r="AU221" i="24"/>
  <c r="BB221" i="24" s="1"/>
  <c r="AW221" i="24"/>
  <c r="AR48" i="25"/>
  <c r="BH48" i="25"/>
  <c r="AP48" i="25"/>
  <c r="BF48" i="25"/>
  <c r="BU48" i="25"/>
  <c r="BW48" i="25"/>
  <c r="AU192" i="24"/>
  <c r="BB192" i="24" s="1"/>
  <c r="AW192" i="24"/>
  <c r="AT229" i="25"/>
  <c r="AU229" i="25"/>
  <c r="AU156" i="24"/>
  <c r="BB156" i="24" s="1"/>
  <c r="AW156" i="24"/>
  <c r="AR57" i="25"/>
  <c r="BH57" i="25"/>
  <c r="AP57" i="25"/>
  <c r="BF57" i="25"/>
  <c r="BU57" i="25"/>
  <c r="BW57" i="25"/>
  <c r="AU149" i="24"/>
  <c r="BB149" i="24" s="1"/>
  <c r="AW149" i="24"/>
  <c r="AR220" i="25"/>
  <c r="BJ220" i="25"/>
  <c r="BH220" i="25"/>
  <c r="AP220" i="25"/>
  <c r="BF220" i="25"/>
  <c r="BW220" i="25"/>
  <c r="BU220" i="25"/>
  <c r="BE132" i="24"/>
  <c r="BT132" i="24" s="1"/>
  <c r="BD132" i="24"/>
  <c r="AY132" i="24"/>
  <c r="AZ132" i="24" s="1"/>
  <c r="AT174" i="25"/>
  <c r="AY174" i="25" s="1"/>
  <c r="AU174" i="25"/>
  <c r="AT32" i="25"/>
  <c r="AY32" i="25" s="1"/>
  <c r="AU32" i="25"/>
  <c r="AT94" i="25"/>
  <c r="AY94" i="25" s="1"/>
  <c r="AU94" i="25"/>
  <c r="AR210" i="25"/>
  <c r="BJ210" i="25"/>
  <c r="BH210" i="25"/>
  <c r="BF210" i="25"/>
  <c r="BU210" i="25"/>
  <c r="BW210" i="25"/>
  <c r="AR182" i="25"/>
  <c r="BH182" i="25"/>
  <c r="AP182" i="25"/>
  <c r="BF182" i="25"/>
  <c r="BW182" i="25"/>
  <c r="BU182" i="25"/>
  <c r="AU277" i="24"/>
  <c r="BB277" i="24" s="1"/>
  <c r="AW277" i="24"/>
  <c r="AU154" i="24"/>
  <c r="BB154" i="24" s="1"/>
  <c r="AW154" i="24"/>
  <c r="AW17" i="24"/>
  <c r="BJ39" i="25"/>
  <c r="AR39" i="25"/>
  <c r="BH39" i="25"/>
  <c r="AP39" i="25"/>
  <c r="BF39" i="25"/>
  <c r="BU39" i="25"/>
  <c r="BW39" i="25"/>
  <c r="AW301" i="24"/>
  <c r="AR26" i="25"/>
  <c r="BJ26" i="25"/>
  <c r="BH26" i="25"/>
  <c r="AP26" i="25"/>
  <c r="BF26" i="25"/>
  <c r="BW26" i="25"/>
  <c r="BU26" i="25"/>
  <c r="AR163" i="25"/>
  <c r="BH163" i="25"/>
  <c r="AP163" i="25"/>
  <c r="BU163" i="25"/>
  <c r="BW163" i="25"/>
  <c r="BF163" i="25"/>
  <c r="AW274" i="24"/>
  <c r="AU69" i="24"/>
  <c r="BB69" i="24" s="1"/>
  <c r="AW69" i="24"/>
  <c r="AU27" i="24"/>
  <c r="BB27" i="24" s="1"/>
  <c r="AW27" i="24"/>
  <c r="AR299" i="25"/>
  <c r="BH299" i="25"/>
  <c r="AP299" i="25"/>
  <c r="BU299" i="25"/>
  <c r="BF299" i="25"/>
  <c r="BW299" i="25"/>
  <c r="AT273" i="25"/>
  <c r="AU273" i="25"/>
  <c r="AW273" i="24"/>
  <c r="AR81" i="25"/>
  <c r="BH81" i="25"/>
  <c r="AP81" i="25"/>
  <c r="BF81" i="25"/>
  <c r="BW81" i="25"/>
  <c r="BU81" i="25"/>
  <c r="AW48" i="24"/>
  <c r="BJ76" i="25"/>
  <c r="AR76" i="25"/>
  <c r="BH76" i="25"/>
  <c r="AP76" i="25"/>
  <c r="BF76" i="25"/>
  <c r="BU76" i="25"/>
  <c r="BW76" i="25"/>
  <c r="AR134" i="25"/>
  <c r="BH134" i="25"/>
  <c r="AP134" i="25"/>
  <c r="BW134" i="25"/>
  <c r="BU134" i="25"/>
  <c r="BF134" i="25"/>
  <c r="AR38" i="25"/>
  <c r="BJ38" i="25"/>
  <c r="BH38" i="25"/>
  <c r="AP38" i="25"/>
  <c r="BF38" i="25"/>
  <c r="BW38" i="25"/>
  <c r="BU38" i="25"/>
  <c r="AU75" i="24"/>
  <c r="BB75" i="24" s="1"/>
  <c r="AW75" i="24"/>
  <c r="AR224" i="25"/>
  <c r="BJ224" i="25"/>
  <c r="BH224" i="25"/>
  <c r="AP224" i="25"/>
  <c r="BU224" i="25"/>
  <c r="BW224" i="25"/>
  <c r="BF224" i="25"/>
  <c r="AU217" i="24"/>
  <c r="BB217" i="24" s="1"/>
  <c r="AW217" i="24"/>
  <c r="AR70" i="25"/>
  <c r="BJ70" i="25"/>
  <c r="BH70" i="25"/>
  <c r="AP70" i="25"/>
  <c r="BF70" i="25"/>
  <c r="BW70" i="25"/>
  <c r="BU70" i="25"/>
  <c r="BD44" i="24"/>
  <c r="BE44" i="24"/>
  <c r="BT44" i="24" s="1"/>
  <c r="AY44" i="24"/>
  <c r="AZ44" i="24" s="1"/>
  <c r="AT296" i="25"/>
  <c r="AU296" i="25"/>
  <c r="AU76" i="24"/>
  <c r="BB76" i="24" s="1"/>
  <c r="AW76" i="24"/>
  <c r="AR151" i="25"/>
  <c r="BH151" i="25"/>
  <c r="AP151" i="25"/>
  <c r="BF151" i="25"/>
  <c r="BU151" i="25"/>
  <c r="BW151" i="25"/>
  <c r="AT189" i="25"/>
  <c r="AY189" i="25" s="1"/>
  <c r="AU189" i="25"/>
  <c r="AR140" i="25"/>
  <c r="BJ140" i="25"/>
  <c r="BH140" i="25"/>
  <c r="AP140" i="25"/>
  <c r="BF140" i="25"/>
  <c r="BU140" i="25"/>
  <c r="BW140" i="25"/>
  <c r="BE101" i="24"/>
  <c r="BT101" i="24" s="1"/>
  <c r="BD101" i="24"/>
  <c r="AY101" i="24"/>
  <c r="AZ101" i="24" s="1"/>
  <c r="AR254" i="25"/>
  <c r="BJ254" i="25"/>
  <c r="BH254" i="25"/>
  <c r="AP254" i="25"/>
  <c r="BF254" i="25"/>
  <c r="BW254" i="25"/>
  <c r="BU254" i="25"/>
  <c r="AT293" i="25"/>
  <c r="AU293" i="25"/>
  <c r="AW269" i="24"/>
  <c r="AU312" i="24"/>
  <c r="BB312" i="24" s="1"/>
  <c r="AW312" i="24"/>
  <c r="AU198" i="24"/>
  <c r="BB198" i="24" s="1"/>
  <c r="AW198" i="24"/>
  <c r="AR130" i="25"/>
  <c r="BH130" i="25"/>
  <c r="AP130" i="25"/>
  <c r="BF130" i="25"/>
  <c r="BU130" i="25"/>
  <c r="BW130" i="25"/>
  <c r="AR279" i="25"/>
  <c r="BH279" i="25"/>
  <c r="AP279" i="25"/>
  <c r="BF279" i="25"/>
  <c r="BU279" i="25"/>
  <c r="BW279" i="25"/>
  <c r="AR308" i="25"/>
  <c r="BJ308" i="25"/>
  <c r="BH308" i="25"/>
  <c r="AP308" i="25"/>
  <c r="BW308" i="25"/>
  <c r="BU308" i="25"/>
  <c r="BF308" i="25"/>
  <c r="AU151" i="24"/>
  <c r="BB151" i="24" s="1"/>
  <c r="AW151" i="24"/>
  <c r="AU176" i="24"/>
  <c r="BB176" i="24" s="1"/>
  <c r="AW176" i="24"/>
  <c r="AU182" i="24"/>
  <c r="BB182" i="24" s="1"/>
  <c r="AW182" i="24"/>
  <c r="BJ66" i="25"/>
  <c r="AR66" i="25"/>
  <c r="BH66" i="25"/>
  <c r="AP66" i="25"/>
  <c r="BF66" i="25"/>
  <c r="BU66" i="25"/>
  <c r="BW66" i="25"/>
  <c r="AT148" i="25"/>
  <c r="AY148" i="25" s="1"/>
  <c r="AU148" i="25"/>
  <c r="AU98" i="24"/>
  <c r="BB98" i="24" s="1"/>
  <c r="AW98" i="24"/>
  <c r="AU287" i="24"/>
  <c r="BB287" i="24" s="1"/>
  <c r="AW287" i="24"/>
  <c r="AR304" i="25"/>
  <c r="BJ304" i="25"/>
  <c r="BH304" i="25"/>
  <c r="AP304" i="25"/>
  <c r="BW304" i="25"/>
  <c r="BU304" i="25"/>
  <c r="BF304" i="25"/>
  <c r="AT201" i="25"/>
  <c r="AY201" i="25" s="1"/>
  <c r="AU201" i="25"/>
  <c r="AT155" i="25" l="1"/>
  <c r="AY155" i="25" s="1"/>
  <c r="E84" i="1"/>
  <c r="E85" i="1" s="1"/>
  <c r="AU11" i="25"/>
  <c r="BC11" i="25" s="1"/>
  <c r="BT11" i="25" s="1"/>
  <c r="AT104" i="25"/>
  <c r="AY104" i="25" s="1"/>
  <c r="AT96" i="25"/>
  <c r="AY96" i="25" s="1"/>
  <c r="AT258" i="25"/>
  <c r="BD12" i="24"/>
  <c r="BG12" i="24" s="1"/>
  <c r="BM12" i="24" s="1"/>
  <c r="AU97" i="25"/>
  <c r="BB97" i="25" s="1"/>
  <c r="BS97" i="25" s="1"/>
  <c r="BE240" i="24"/>
  <c r="BT240" i="24" s="1"/>
  <c r="BD283" i="24"/>
  <c r="BS283" i="24" s="1"/>
  <c r="BD147" i="24"/>
  <c r="BG147" i="24" s="1"/>
  <c r="AY147" i="24"/>
  <c r="AZ147" i="24" s="1"/>
  <c r="BX292" i="24"/>
  <c r="AT179" i="25"/>
  <c r="AY179" i="25" s="1"/>
  <c r="AU265" i="25"/>
  <c r="BB265" i="25" s="1"/>
  <c r="BS265" i="25" s="1"/>
  <c r="BD18" i="24"/>
  <c r="BS18" i="24" s="1"/>
  <c r="BV18" i="24" s="1"/>
  <c r="BX18" i="24" s="1"/>
  <c r="AU154" i="25"/>
  <c r="BB154" i="25" s="1"/>
  <c r="BS154" i="25" s="1"/>
  <c r="BE259" i="24"/>
  <c r="BT259" i="24" s="1"/>
  <c r="BE283" i="24"/>
  <c r="BT283" i="24" s="1"/>
  <c r="BD219" i="24"/>
  <c r="BG219" i="24" s="1"/>
  <c r="BE219" i="24"/>
  <c r="BT219" i="24" s="1"/>
  <c r="BE260" i="24"/>
  <c r="BT260" i="24" s="1"/>
  <c r="BE265" i="24"/>
  <c r="BT265" i="24" s="1"/>
  <c r="AY260" i="24"/>
  <c r="AZ260" i="24" s="1"/>
  <c r="BD265" i="24"/>
  <c r="BG265" i="24" s="1"/>
  <c r="AY12" i="24"/>
  <c r="AZ12" i="24" s="1"/>
  <c r="BE111" i="24"/>
  <c r="BT111" i="24" s="1"/>
  <c r="AY111" i="24"/>
  <c r="AZ111" i="24" s="1"/>
  <c r="BE120" i="24"/>
  <c r="BT120" i="24" s="1"/>
  <c r="AY305" i="24"/>
  <c r="AZ305" i="24" s="1"/>
  <c r="BD120" i="24"/>
  <c r="BS120" i="24" s="1"/>
  <c r="AY18" i="24"/>
  <c r="AZ18" i="24" s="1"/>
  <c r="AY259" i="24"/>
  <c r="AZ259" i="24" s="1"/>
  <c r="AY240" i="24"/>
  <c r="AZ240" i="24" s="1"/>
  <c r="BE242" i="24"/>
  <c r="BT242" i="24" s="1"/>
  <c r="BD242" i="24"/>
  <c r="BG242" i="24" s="1"/>
  <c r="BE135" i="24"/>
  <c r="BT135" i="24" s="1"/>
  <c r="AY135" i="24"/>
  <c r="AZ135" i="24" s="1"/>
  <c r="BD295" i="24"/>
  <c r="BG295" i="24" s="1"/>
  <c r="BE295" i="24"/>
  <c r="BT295" i="24" s="1"/>
  <c r="BD298" i="24"/>
  <c r="BG298" i="24" s="1"/>
  <c r="AY298" i="24"/>
  <c r="AZ298" i="24" s="1"/>
  <c r="BE26" i="24"/>
  <c r="BT26" i="24" s="1"/>
  <c r="BD112" i="24"/>
  <c r="BG112" i="24" s="1"/>
  <c r="AY248" i="24"/>
  <c r="AZ248" i="24" s="1"/>
  <c r="BD121" i="24"/>
  <c r="BS121" i="24" s="1"/>
  <c r="BE121" i="24"/>
  <c r="BT121" i="24" s="1"/>
  <c r="BD34" i="24"/>
  <c r="BG34" i="24" s="1"/>
  <c r="BM34" i="24" s="1"/>
  <c r="AY19" i="24"/>
  <c r="AZ19" i="24" s="1"/>
  <c r="BE247" i="24"/>
  <c r="BT247" i="24" s="1"/>
  <c r="BE19" i="24"/>
  <c r="BT19" i="24" s="1"/>
  <c r="AY279" i="24"/>
  <c r="AZ279" i="24" s="1"/>
  <c r="BD279" i="24"/>
  <c r="BG279" i="24" s="1"/>
  <c r="BE117" i="24"/>
  <c r="BT117" i="24" s="1"/>
  <c r="BD253" i="24"/>
  <c r="BG253" i="24" s="1"/>
  <c r="AY253" i="24"/>
  <c r="AZ253" i="24" s="1"/>
  <c r="BE296" i="24"/>
  <c r="BT296" i="24" s="1"/>
  <c r="BD296" i="24"/>
  <c r="BG296" i="24" s="1"/>
  <c r="BD26" i="24"/>
  <c r="BS26" i="24" s="1"/>
  <c r="AY228" i="24"/>
  <c r="AZ228" i="24" s="1"/>
  <c r="BD20" i="24"/>
  <c r="BG20" i="24" s="1"/>
  <c r="BM20" i="24" s="1"/>
  <c r="BD247" i="24"/>
  <c r="BG247" i="24" s="1"/>
  <c r="BD232" i="24"/>
  <c r="BG232" i="24" s="1"/>
  <c r="AY232" i="24"/>
  <c r="AZ232" i="24" s="1"/>
  <c r="AY20" i="24"/>
  <c r="AZ20" i="24" s="1"/>
  <c r="BE34" i="24"/>
  <c r="BT34" i="24" s="1"/>
  <c r="BD228" i="24"/>
  <c r="BS228" i="24" s="1"/>
  <c r="BX228" i="24" s="1"/>
  <c r="BE130" i="24"/>
  <c r="BT130" i="24" s="1"/>
  <c r="BD130" i="24"/>
  <c r="BG130" i="24" s="1"/>
  <c r="BD28" i="24"/>
  <c r="BS28" i="24" s="1"/>
  <c r="BV28" i="24" s="1"/>
  <c r="BX28" i="24" s="1"/>
  <c r="BD238" i="24"/>
  <c r="BG238" i="24" s="1"/>
  <c r="AY280" i="24"/>
  <c r="AZ280" i="24" s="1"/>
  <c r="AY28" i="24"/>
  <c r="AZ28" i="24" s="1"/>
  <c r="BE238" i="24"/>
  <c r="BT238" i="24" s="1"/>
  <c r="AY33" i="24"/>
  <c r="AZ33" i="24" s="1"/>
  <c r="BD280" i="24"/>
  <c r="BG280" i="24" s="1"/>
  <c r="AY6" i="24"/>
  <c r="AZ6" i="24" s="1"/>
  <c r="BE152" i="24"/>
  <c r="BT152" i="24" s="1"/>
  <c r="BD152" i="24"/>
  <c r="BS152" i="24" s="1"/>
  <c r="AY282" i="24"/>
  <c r="AZ282" i="24" s="1"/>
  <c r="AT237" i="25"/>
  <c r="AU237" i="25"/>
  <c r="AS212" i="25"/>
  <c r="AF212" i="25"/>
  <c r="AE212" i="25"/>
  <c r="BD282" i="24"/>
  <c r="BG282" i="24" s="1"/>
  <c r="BE6" i="24"/>
  <c r="BT6" i="24" s="1"/>
  <c r="BE112" i="24"/>
  <c r="BT112" i="24" s="1"/>
  <c r="AY224" i="24"/>
  <c r="AZ224" i="24" s="1"/>
  <c r="BD117" i="24"/>
  <c r="BG117" i="24" s="1"/>
  <c r="BD224" i="24"/>
  <c r="BS224" i="24" s="1"/>
  <c r="BX224" i="24" s="1"/>
  <c r="BE58" i="24"/>
  <c r="BT58" i="24" s="1"/>
  <c r="BD299" i="24"/>
  <c r="BG299" i="24" s="1"/>
  <c r="BD148" i="24"/>
  <c r="BG148" i="24" s="1"/>
  <c r="AY58" i="24"/>
  <c r="AZ58" i="24" s="1"/>
  <c r="AY148" i="24"/>
  <c r="AZ148" i="24" s="1"/>
  <c r="BE33" i="24"/>
  <c r="BT33" i="24" s="1"/>
  <c r="BE248" i="24"/>
  <c r="BT248" i="24" s="1"/>
  <c r="AT77" i="25"/>
  <c r="AY77" i="25" s="1"/>
  <c r="AU77" i="25"/>
  <c r="BE299" i="24"/>
  <c r="BT299" i="24" s="1"/>
  <c r="BD54" i="24"/>
  <c r="BG54" i="24" s="1"/>
  <c r="BM54" i="24" s="1"/>
  <c r="AY24" i="24"/>
  <c r="AZ24" i="24" s="1"/>
  <c r="AY54" i="24"/>
  <c r="AZ54" i="24" s="1"/>
  <c r="BD24" i="24"/>
  <c r="BG24" i="24" s="1"/>
  <c r="BM24" i="24" s="1"/>
  <c r="BD305" i="24"/>
  <c r="BG305" i="24" s="1"/>
  <c r="BE269" i="24"/>
  <c r="BT269" i="24" s="1"/>
  <c r="AY269" i="24"/>
  <c r="AZ269" i="24" s="1"/>
  <c r="BD269" i="24"/>
  <c r="AT163" i="25"/>
  <c r="AY163" i="25" s="1"/>
  <c r="AU163" i="25"/>
  <c r="AT66" i="25"/>
  <c r="AY66" i="25" s="1"/>
  <c r="AU66" i="25"/>
  <c r="AT130" i="25"/>
  <c r="AY130" i="25" s="1"/>
  <c r="AU130" i="25"/>
  <c r="AT140" i="25"/>
  <c r="AY140" i="25" s="1"/>
  <c r="AU140" i="25"/>
  <c r="BB296" i="25"/>
  <c r="BS296" i="25" s="1"/>
  <c r="BA296" i="25"/>
  <c r="BC296" i="25"/>
  <c r="BT296" i="25" s="1"/>
  <c r="AT224" i="25"/>
  <c r="AU224" i="25"/>
  <c r="AT134" i="25"/>
  <c r="AY134" i="25" s="1"/>
  <c r="AU134" i="25"/>
  <c r="AT26" i="25"/>
  <c r="AY26" i="25" s="1"/>
  <c r="AU26" i="25"/>
  <c r="BE154" i="24"/>
  <c r="BT154" i="24" s="1"/>
  <c r="AY154" i="24"/>
  <c r="AZ154" i="24" s="1"/>
  <c r="BD154" i="24"/>
  <c r="AT220" i="25"/>
  <c r="AU220" i="25"/>
  <c r="L16" i="1"/>
  <c r="BE169" i="24"/>
  <c r="BT169" i="24" s="1"/>
  <c r="BD169" i="24"/>
  <c r="AY169" i="24"/>
  <c r="AZ169" i="24" s="1"/>
  <c r="AT101" i="25"/>
  <c r="AY101" i="25" s="1"/>
  <c r="AU101" i="25"/>
  <c r="AY29" i="24"/>
  <c r="AZ29" i="24" s="1"/>
  <c r="BD29" i="24"/>
  <c r="BE29" i="24"/>
  <c r="BT29" i="24" s="1"/>
  <c r="AT133" i="25"/>
  <c r="AY133" i="25" s="1"/>
  <c r="AU133" i="25"/>
  <c r="AT297" i="25"/>
  <c r="AU297" i="25"/>
  <c r="BD144" i="24"/>
  <c r="BE144" i="24"/>
  <c r="BT144" i="24" s="1"/>
  <c r="AY144" i="24"/>
  <c r="AZ144" i="24" s="1"/>
  <c r="AT139" i="25"/>
  <c r="AY139" i="25" s="1"/>
  <c r="AU139" i="25"/>
  <c r="AT278" i="25"/>
  <c r="AU278" i="25"/>
  <c r="AT315" i="25"/>
  <c r="AU315" i="25"/>
  <c r="BD171" i="24"/>
  <c r="AY171" i="24"/>
  <c r="AZ171" i="24" s="1"/>
  <c r="BE171" i="24"/>
  <c r="BT171" i="24" s="1"/>
  <c r="BD316" i="24"/>
  <c r="BE316" i="24"/>
  <c r="BT316" i="24" s="1"/>
  <c r="AY316" i="24"/>
  <c r="AZ316" i="24" s="1"/>
  <c r="BB198" i="25"/>
  <c r="BS198" i="25" s="1"/>
  <c r="BC198" i="25"/>
  <c r="BT198" i="25" s="1"/>
  <c r="BA198" i="25"/>
  <c r="BD99" i="24"/>
  <c r="AY99" i="24"/>
  <c r="AZ99" i="24" s="1"/>
  <c r="BE99" i="24"/>
  <c r="BT99" i="24" s="1"/>
  <c r="BD306" i="24"/>
  <c r="BE306" i="24"/>
  <c r="BT306" i="24" s="1"/>
  <c r="AY306" i="24"/>
  <c r="AZ306" i="24" s="1"/>
  <c r="AT118" i="25"/>
  <c r="AY118" i="25" s="1"/>
  <c r="AU118" i="25"/>
  <c r="BD310" i="24"/>
  <c r="AY310" i="24"/>
  <c r="AZ310" i="24" s="1"/>
  <c r="BE310" i="24"/>
  <c r="BT310" i="24" s="1"/>
  <c r="AT68" i="25"/>
  <c r="AY68" i="25" s="1"/>
  <c r="AU68" i="25"/>
  <c r="BC177" i="25"/>
  <c r="BT177" i="25" s="1"/>
  <c r="BA177" i="25"/>
  <c r="BB177" i="25"/>
  <c r="BS177" i="25" s="1"/>
  <c r="BA292" i="25"/>
  <c r="BC292" i="25"/>
  <c r="BT292" i="25" s="1"/>
  <c r="BB292" i="25"/>
  <c r="BS292" i="25" s="1"/>
  <c r="AT289" i="25"/>
  <c r="AU289" i="25"/>
  <c r="BG142" i="24"/>
  <c r="BS142" i="24"/>
  <c r="BX142" i="24" s="1"/>
  <c r="AT85" i="25"/>
  <c r="AY85" i="25" s="1"/>
  <c r="AU85" i="25"/>
  <c r="BE105" i="24"/>
  <c r="BT105" i="24" s="1"/>
  <c r="AY105" i="24"/>
  <c r="AZ105" i="24" s="1"/>
  <c r="BD105" i="24"/>
  <c r="BE311" i="24"/>
  <c r="BT311" i="24" s="1"/>
  <c r="AY311" i="24"/>
  <c r="AZ311" i="24" s="1"/>
  <c r="BD311" i="24"/>
  <c r="AT244" i="25"/>
  <c r="AU244" i="25"/>
  <c r="AT60" i="25"/>
  <c r="AY60" i="25" s="1"/>
  <c r="AU60" i="25"/>
  <c r="BD51" i="24"/>
  <c r="AY51" i="24"/>
  <c r="AZ51" i="24" s="1"/>
  <c r="BE51" i="24"/>
  <c r="BT51" i="24" s="1"/>
  <c r="AT157" i="25"/>
  <c r="AY157" i="25" s="1"/>
  <c r="AU157" i="25"/>
  <c r="BD285" i="24"/>
  <c r="AY285" i="24"/>
  <c r="AZ285" i="24" s="1"/>
  <c r="BE285" i="24"/>
  <c r="BT285" i="24" s="1"/>
  <c r="BA257" i="25"/>
  <c r="BC257" i="25"/>
  <c r="BT257" i="25" s="1"/>
  <c r="BB257" i="25"/>
  <c r="BS257" i="25" s="1"/>
  <c r="AT286" i="25"/>
  <c r="AU286" i="25"/>
  <c r="AT264" i="25"/>
  <c r="AU264" i="25"/>
  <c r="BA248" i="25"/>
  <c r="BC248" i="25"/>
  <c r="BT248" i="25" s="1"/>
  <c r="BB248" i="25"/>
  <c r="BS248" i="25" s="1"/>
  <c r="AY31" i="24"/>
  <c r="AZ31" i="24" s="1"/>
  <c r="BE31" i="24"/>
  <c r="BT31" i="24" s="1"/>
  <c r="BD31" i="24"/>
  <c r="AY10" i="24"/>
  <c r="AZ10" i="24" s="1"/>
  <c r="BD10" i="24"/>
  <c r="BE10" i="24"/>
  <c r="BT10" i="24" s="1"/>
  <c r="AY313" i="24"/>
  <c r="AZ313" i="24" s="1"/>
  <c r="BD313" i="24"/>
  <c r="BE313" i="24"/>
  <c r="BT313" i="24" s="1"/>
  <c r="BD140" i="24"/>
  <c r="AY140" i="24"/>
  <c r="AZ140" i="24" s="1"/>
  <c r="BE140" i="24"/>
  <c r="BT140" i="24" s="1"/>
  <c r="BS45" i="24"/>
  <c r="BV45" i="24" s="1"/>
  <c r="BX45" i="24" s="1"/>
  <c r="BG45" i="24"/>
  <c r="BM45" i="24" s="1"/>
  <c r="AT307" i="25"/>
  <c r="AU307" i="25"/>
  <c r="BE143" i="25"/>
  <c r="BR143" i="25"/>
  <c r="BX143" i="25" s="1"/>
  <c r="BG119" i="24"/>
  <c r="BS119" i="24"/>
  <c r="BX119" i="24" s="1"/>
  <c r="AT183" i="25"/>
  <c r="AY183" i="25" s="1"/>
  <c r="AU183" i="25"/>
  <c r="BE16" i="24"/>
  <c r="BT16" i="24" s="1"/>
  <c r="BD16" i="24"/>
  <c r="AY16" i="24"/>
  <c r="AZ16" i="24" s="1"/>
  <c r="BG160" i="24"/>
  <c r="BS160" i="24"/>
  <c r="BX160" i="24" s="1"/>
  <c r="AY104" i="24"/>
  <c r="AZ104" i="24" s="1"/>
  <c r="BD104" i="24"/>
  <c r="BE104" i="24"/>
  <c r="BT104" i="24" s="1"/>
  <c r="AT65" i="25"/>
  <c r="AY65" i="25" s="1"/>
  <c r="AU65" i="25"/>
  <c r="BE40" i="24"/>
  <c r="BT40" i="24" s="1"/>
  <c r="AY40" i="24"/>
  <c r="AZ40" i="24" s="1"/>
  <c r="BD40" i="24"/>
  <c r="BE234" i="24"/>
  <c r="BT234" i="24" s="1"/>
  <c r="BD234" i="24"/>
  <c r="AY234" i="24"/>
  <c r="AZ234" i="24" s="1"/>
  <c r="AT20" i="25"/>
  <c r="AY20" i="25" s="1"/>
  <c r="AU20" i="25"/>
  <c r="BD73" i="24"/>
  <c r="AY73" i="24"/>
  <c r="AZ73" i="24" s="1"/>
  <c r="BE73" i="24"/>
  <c r="BT73" i="24" s="1"/>
  <c r="BC173" i="25"/>
  <c r="BT173" i="25" s="1"/>
  <c r="BB173" i="25"/>
  <c r="BS173" i="25" s="1"/>
  <c r="BA173" i="25"/>
  <c r="BE103" i="24"/>
  <c r="BT103" i="24" s="1"/>
  <c r="BD103" i="24"/>
  <c r="AY103" i="24"/>
  <c r="AZ103" i="24" s="1"/>
  <c r="AT241" i="25"/>
  <c r="AU241" i="25"/>
  <c r="BE100" i="24"/>
  <c r="BT100" i="24" s="1"/>
  <c r="BD100" i="24"/>
  <c r="AY100" i="24"/>
  <c r="AZ100" i="24" s="1"/>
  <c r="BC104" i="25"/>
  <c r="BT104" i="25" s="1"/>
  <c r="BA104" i="25"/>
  <c r="BB104" i="25"/>
  <c r="BS104" i="25" s="1"/>
  <c r="BE151" i="24"/>
  <c r="BT151" i="24" s="1"/>
  <c r="BD151" i="24"/>
  <c r="AY151" i="24"/>
  <c r="AZ151" i="24" s="1"/>
  <c r="AT308" i="25"/>
  <c r="AU308" i="25"/>
  <c r="AT279" i="25"/>
  <c r="AU279" i="25"/>
  <c r="BD75" i="24"/>
  <c r="AY75" i="24"/>
  <c r="AZ75" i="24" s="1"/>
  <c r="BE75" i="24"/>
  <c r="BT75" i="24" s="1"/>
  <c r="AT38" i="25"/>
  <c r="AY38" i="25" s="1"/>
  <c r="AU38" i="25"/>
  <c r="AY48" i="24"/>
  <c r="AZ48" i="24" s="1"/>
  <c r="BE48" i="24"/>
  <c r="BT48" i="24" s="1"/>
  <c r="BD48" i="24"/>
  <c r="AT81" i="25"/>
  <c r="AY81" i="25" s="1"/>
  <c r="AU81" i="25"/>
  <c r="BE129" i="24"/>
  <c r="BT129" i="24" s="1"/>
  <c r="BD129" i="24"/>
  <c r="AY129" i="24"/>
  <c r="AZ129" i="24" s="1"/>
  <c r="BD263" i="24"/>
  <c r="AY263" i="24"/>
  <c r="AZ263" i="24" s="1"/>
  <c r="BE263" i="24"/>
  <c r="BT263" i="24" s="1"/>
  <c r="BD195" i="24"/>
  <c r="AY195" i="24"/>
  <c r="AZ195" i="24" s="1"/>
  <c r="BE195" i="24"/>
  <c r="BT195" i="24" s="1"/>
  <c r="BA276" i="25"/>
  <c r="BB276" i="25"/>
  <c r="BS276" i="25" s="1"/>
  <c r="BC276" i="25"/>
  <c r="BT276" i="25" s="1"/>
  <c r="AT295" i="25"/>
  <c r="AU295" i="25"/>
  <c r="AT115" i="25"/>
  <c r="AY115" i="25" s="1"/>
  <c r="AU115" i="25"/>
  <c r="BE61" i="24"/>
  <c r="BT61" i="24" s="1"/>
  <c r="BD61" i="24"/>
  <c r="AY61" i="24"/>
  <c r="AZ61" i="24" s="1"/>
  <c r="AY62" i="24"/>
  <c r="AZ62" i="24" s="1"/>
  <c r="BE62" i="24"/>
  <c r="BT62" i="24" s="1"/>
  <c r="BD62" i="24"/>
  <c r="BE256" i="24"/>
  <c r="BT256" i="24" s="1"/>
  <c r="AY256" i="24"/>
  <c r="AZ256" i="24" s="1"/>
  <c r="BD256" i="24"/>
  <c r="BS55" i="24"/>
  <c r="BV55" i="24" s="1"/>
  <c r="BX55" i="24" s="1"/>
  <c r="BG55" i="24"/>
  <c r="BM55" i="24" s="1"/>
  <c r="AT288" i="25"/>
  <c r="AU288" i="25"/>
  <c r="AT245" i="25"/>
  <c r="AU245" i="25"/>
  <c r="BG111" i="24"/>
  <c r="BS111" i="24"/>
  <c r="BD8" i="24"/>
  <c r="BE8" i="24"/>
  <c r="BT8" i="24" s="1"/>
  <c r="AY8" i="24"/>
  <c r="AZ8" i="24" s="1"/>
  <c r="AT187" i="25"/>
  <c r="AY187" i="25" s="1"/>
  <c r="AU187" i="25"/>
  <c r="BD185" i="24"/>
  <c r="AY185" i="24"/>
  <c r="AZ185" i="24" s="1"/>
  <c r="BE185" i="24"/>
  <c r="BT185" i="24" s="1"/>
  <c r="AT225" i="25"/>
  <c r="AU225" i="25"/>
  <c r="BE252" i="24"/>
  <c r="BT252" i="24" s="1"/>
  <c r="AY252" i="24"/>
  <c r="AZ252" i="24" s="1"/>
  <c r="BD252" i="24"/>
  <c r="AY271" i="24"/>
  <c r="AZ271" i="24" s="1"/>
  <c r="BD271" i="24"/>
  <c r="BE271" i="24"/>
  <c r="BT271" i="24" s="1"/>
  <c r="AT270" i="25"/>
  <c r="AU270" i="25"/>
  <c r="AT251" i="25"/>
  <c r="AU251" i="25"/>
  <c r="AT197" i="25"/>
  <c r="AY197" i="25" s="1"/>
  <c r="AU197" i="25"/>
  <c r="BG190" i="24"/>
  <c r="BS190" i="24"/>
  <c r="BX190" i="24" s="1"/>
  <c r="AT69" i="25"/>
  <c r="AY69" i="25" s="1"/>
  <c r="AU69" i="25"/>
  <c r="BE71" i="24"/>
  <c r="BT71" i="24" s="1"/>
  <c r="AY71" i="24"/>
  <c r="AZ71" i="24" s="1"/>
  <c r="BD71" i="24"/>
  <c r="AT266" i="25"/>
  <c r="AU266" i="25"/>
  <c r="AT91" i="25"/>
  <c r="AY91" i="25" s="1"/>
  <c r="AU91" i="25"/>
  <c r="BC92" i="25"/>
  <c r="BT92" i="25" s="1"/>
  <c r="BB92" i="25"/>
  <c r="BS92" i="25" s="1"/>
  <c r="BA92" i="25"/>
  <c r="BE128" i="24"/>
  <c r="BT128" i="24" s="1"/>
  <c r="BD128" i="24"/>
  <c r="AY128" i="24"/>
  <c r="AZ128" i="24" s="1"/>
  <c r="BE32" i="24"/>
  <c r="BT32" i="24" s="1"/>
  <c r="BD32" i="24"/>
  <c r="AY32" i="24"/>
  <c r="AZ32" i="24" s="1"/>
  <c r="BA199" i="25"/>
  <c r="BB199" i="25"/>
  <c r="BS199" i="25" s="1"/>
  <c r="BC199" i="25"/>
  <c r="BT199" i="25" s="1"/>
  <c r="BE91" i="24"/>
  <c r="BT91" i="24" s="1"/>
  <c r="BD91" i="24"/>
  <c r="AY91" i="24"/>
  <c r="AZ91" i="24" s="1"/>
  <c r="AT149" i="25"/>
  <c r="AY149" i="25" s="1"/>
  <c r="AU149" i="25"/>
  <c r="AT271" i="25"/>
  <c r="AU271" i="25"/>
  <c r="AT152" i="25"/>
  <c r="AY152" i="25" s="1"/>
  <c r="AU152" i="25"/>
  <c r="BE122" i="24"/>
  <c r="BT122" i="24" s="1"/>
  <c r="BD122" i="24"/>
  <c r="AY122" i="24"/>
  <c r="AZ122" i="24" s="1"/>
  <c r="AT252" i="25"/>
  <c r="AU252" i="25"/>
  <c r="BE56" i="24"/>
  <c r="BT56" i="24" s="1"/>
  <c r="AY56" i="24"/>
  <c r="AZ56" i="24" s="1"/>
  <c r="BD56" i="24"/>
  <c r="AT166" i="25"/>
  <c r="AY166" i="25" s="1"/>
  <c r="AU166" i="25"/>
  <c r="BG162" i="24"/>
  <c r="BS162" i="24"/>
  <c r="BX162" i="24" s="1"/>
  <c r="BC31" i="25"/>
  <c r="BT31" i="25" s="1"/>
  <c r="BB31" i="25"/>
  <c r="BS31" i="25" s="1"/>
  <c r="BA31" i="25"/>
  <c r="BE83" i="24"/>
  <c r="BT83" i="24" s="1"/>
  <c r="BD83" i="24"/>
  <c r="AY83" i="24"/>
  <c r="AZ83" i="24" s="1"/>
  <c r="AT309" i="25"/>
  <c r="AU309" i="25"/>
  <c r="AT205" i="25"/>
  <c r="AY205" i="25" s="1"/>
  <c r="AU205" i="25"/>
  <c r="AT58" i="25"/>
  <c r="AY58" i="25" s="1"/>
  <c r="AU58" i="25"/>
  <c r="BD137" i="24"/>
  <c r="BE137" i="24"/>
  <c r="BT137" i="24" s="1"/>
  <c r="AY137" i="24"/>
  <c r="AZ137" i="24" s="1"/>
  <c r="BG257" i="24"/>
  <c r="BS257" i="24"/>
  <c r="BX257" i="24" s="1"/>
  <c r="AT17" i="25"/>
  <c r="AY17" i="25" s="1"/>
  <c r="AU17" i="25"/>
  <c r="BD14" i="24"/>
  <c r="BE14" i="24"/>
  <c r="BT14" i="24" s="1"/>
  <c r="AY14" i="24"/>
  <c r="AZ14" i="24" s="1"/>
  <c r="AT41" i="25"/>
  <c r="AY41" i="25" s="1"/>
  <c r="AU41" i="25"/>
  <c r="AT67" i="25"/>
  <c r="AY67" i="25" s="1"/>
  <c r="AU67" i="25"/>
  <c r="AT303" i="25"/>
  <c r="AU303" i="25"/>
  <c r="BA95" i="25"/>
  <c r="BC95" i="25"/>
  <c r="BT95" i="25" s="1"/>
  <c r="BB95" i="25"/>
  <c r="BS95" i="25" s="1"/>
  <c r="AT235" i="25"/>
  <c r="AU235" i="25"/>
  <c r="BG233" i="24"/>
  <c r="BS233" i="24"/>
  <c r="BX233" i="24" s="1"/>
  <c r="BE57" i="24"/>
  <c r="BT57" i="24" s="1"/>
  <c r="BD57" i="24"/>
  <c r="AY57" i="24"/>
  <c r="AZ57" i="24" s="1"/>
  <c r="BE255" i="24"/>
  <c r="BT255" i="24" s="1"/>
  <c r="BD255" i="24"/>
  <c r="AY255" i="24"/>
  <c r="AZ255" i="24" s="1"/>
  <c r="AY218" i="24"/>
  <c r="AZ218" i="24" s="1"/>
  <c r="BD218" i="24"/>
  <c r="BE218" i="24"/>
  <c r="BT218" i="24" s="1"/>
  <c r="AY138" i="24"/>
  <c r="AZ138" i="24" s="1"/>
  <c r="BE138" i="24"/>
  <c r="BT138" i="24" s="1"/>
  <c r="BD138" i="24"/>
  <c r="BE90" i="24"/>
  <c r="BT90" i="24" s="1"/>
  <c r="AY90" i="24"/>
  <c r="AZ90" i="24" s="1"/>
  <c r="BD90" i="24"/>
  <c r="BD38" i="24"/>
  <c r="BE38" i="24"/>
  <c r="BT38" i="24" s="1"/>
  <c r="AY38" i="24"/>
  <c r="AZ38" i="24" s="1"/>
  <c r="BE258" i="24"/>
  <c r="BT258" i="24" s="1"/>
  <c r="BD258" i="24"/>
  <c r="AY258" i="24"/>
  <c r="AZ258" i="24" s="1"/>
  <c r="AT124" i="25"/>
  <c r="AY124" i="25" s="1"/>
  <c r="AU124" i="25"/>
  <c r="AT193" i="25"/>
  <c r="AY193" i="25" s="1"/>
  <c r="AU193" i="25"/>
  <c r="BA201" i="25"/>
  <c r="BB201" i="25"/>
  <c r="BS201" i="25" s="1"/>
  <c r="BC201" i="25"/>
  <c r="BT201" i="25" s="1"/>
  <c r="AY182" i="24"/>
  <c r="AZ182" i="24" s="1"/>
  <c r="BE182" i="24"/>
  <c r="BT182" i="24" s="1"/>
  <c r="BD182" i="24"/>
  <c r="BD198" i="24"/>
  <c r="BE198" i="24"/>
  <c r="BT198" i="24" s="1"/>
  <c r="AY198" i="24"/>
  <c r="AZ198" i="24" s="1"/>
  <c r="BC189" i="25"/>
  <c r="BT189" i="25" s="1"/>
  <c r="BA189" i="25"/>
  <c r="BB189" i="25"/>
  <c r="BS189" i="25" s="1"/>
  <c r="AT151" i="25"/>
  <c r="AY151" i="25" s="1"/>
  <c r="AU151" i="25"/>
  <c r="BD273" i="24"/>
  <c r="AY273" i="24"/>
  <c r="AZ273" i="24" s="1"/>
  <c r="BE273" i="24"/>
  <c r="BT273" i="24" s="1"/>
  <c r="BA32" i="25"/>
  <c r="BB32" i="25"/>
  <c r="BS32" i="25" s="1"/>
  <c r="BC32" i="25"/>
  <c r="BT32" i="25" s="1"/>
  <c r="BG132" i="24"/>
  <c r="BS132" i="24"/>
  <c r="BX132" i="24" s="1"/>
  <c r="AT57" i="25"/>
  <c r="AY57" i="25" s="1"/>
  <c r="AU57" i="25"/>
  <c r="AY192" i="24"/>
  <c r="AZ192" i="24" s="1"/>
  <c r="BD192" i="24"/>
  <c r="BE192" i="24"/>
  <c r="BT192" i="24" s="1"/>
  <c r="AT48" i="25"/>
  <c r="AY48" i="25" s="1"/>
  <c r="AU48" i="25"/>
  <c r="BA158" i="25"/>
  <c r="BB158" i="25"/>
  <c r="BS158" i="25" s="1"/>
  <c r="BC158" i="25"/>
  <c r="BT158" i="25" s="1"/>
  <c r="AT216" i="25"/>
  <c r="AU216" i="25"/>
  <c r="BE143" i="24"/>
  <c r="BT143" i="24" s="1"/>
  <c r="BD143" i="24"/>
  <c r="AY143" i="24"/>
  <c r="AZ143" i="24" s="1"/>
  <c r="BD145" i="24"/>
  <c r="AY145" i="24"/>
  <c r="AZ145" i="24" s="1"/>
  <c r="BE145" i="24"/>
  <c r="BT145" i="24" s="1"/>
  <c r="AY158" i="24"/>
  <c r="AZ158" i="24" s="1"/>
  <c r="BD158" i="24"/>
  <c r="BE158" i="24"/>
  <c r="BT158" i="24" s="1"/>
  <c r="AT138" i="25"/>
  <c r="AY138" i="25" s="1"/>
  <c r="AU138" i="25"/>
  <c r="AT287" i="25"/>
  <c r="AU287" i="25"/>
  <c r="BC28" i="25"/>
  <c r="BT28" i="25" s="1"/>
  <c r="BA28" i="25"/>
  <c r="BB28" i="25"/>
  <c r="BS28" i="25" s="1"/>
  <c r="BE161" i="24"/>
  <c r="BT161" i="24" s="1"/>
  <c r="BD161" i="24"/>
  <c r="AY161" i="24"/>
  <c r="AZ161" i="24" s="1"/>
  <c r="BE276" i="24"/>
  <c r="BT276" i="24" s="1"/>
  <c r="BD276" i="24"/>
  <c r="AY276" i="24"/>
  <c r="AZ276" i="24" s="1"/>
  <c r="AT176" i="25"/>
  <c r="AY176" i="25" s="1"/>
  <c r="AU176" i="25"/>
  <c r="AT100" i="25"/>
  <c r="AY100" i="25" s="1"/>
  <c r="AU100" i="25"/>
  <c r="BD123" i="24"/>
  <c r="AY123" i="24"/>
  <c r="AZ123" i="24" s="1"/>
  <c r="BE123" i="24"/>
  <c r="BT123" i="24" s="1"/>
  <c r="AT136" i="25"/>
  <c r="AY136" i="25" s="1"/>
  <c r="AU136" i="25"/>
  <c r="AT302" i="25"/>
  <c r="AU302" i="25"/>
  <c r="BE166" i="24"/>
  <c r="BT166" i="24" s="1"/>
  <c r="BD166" i="24"/>
  <c r="AY166" i="24"/>
  <c r="AZ166" i="24" s="1"/>
  <c r="BG22" i="24"/>
  <c r="BM22" i="24" s="1"/>
  <c r="BS22" i="24"/>
  <c r="BV22" i="24" s="1"/>
  <c r="BX22" i="24" s="1"/>
  <c r="AT191" i="25"/>
  <c r="AY191" i="25" s="1"/>
  <c r="AU191" i="25"/>
  <c r="AT78" i="25"/>
  <c r="AY78" i="25" s="1"/>
  <c r="AU78" i="25"/>
  <c r="BE226" i="24"/>
  <c r="BT226" i="24" s="1"/>
  <c r="BD226" i="24"/>
  <c r="AY226" i="24"/>
  <c r="AZ226" i="24" s="1"/>
  <c r="AT272" i="25"/>
  <c r="AU272" i="25"/>
  <c r="BD72" i="24"/>
  <c r="BE72" i="24"/>
  <c r="BT72" i="24" s="1"/>
  <c r="AY72" i="24"/>
  <c r="AZ72" i="24" s="1"/>
  <c r="AT181" i="25"/>
  <c r="AY181" i="25" s="1"/>
  <c r="AU181" i="25"/>
  <c r="BE204" i="24"/>
  <c r="BT204" i="24" s="1"/>
  <c r="AY204" i="24"/>
  <c r="AZ204" i="24" s="1"/>
  <c r="BD204" i="24"/>
  <c r="BE129" i="25"/>
  <c r="BR129" i="25"/>
  <c r="BX129" i="25" s="1"/>
  <c r="BD85" i="24"/>
  <c r="BE85" i="24"/>
  <c r="BT85" i="24" s="1"/>
  <c r="AY85" i="24"/>
  <c r="AZ85" i="24" s="1"/>
  <c r="AY239" i="24"/>
  <c r="AZ239" i="24" s="1"/>
  <c r="BD239" i="24"/>
  <c r="BE239" i="24"/>
  <c r="BT239" i="24" s="1"/>
  <c r="BB282" i="25"/>
  <c r="BS282" i="25" s="1"/>
  <c r="BC282" i="25"/>
  <c r="BT282" i="25" s="1"/>
  <c r="BA282" i="25"/>
  <c r="AT194" i="25"/>
  <c r="AY194" i="25" s="1"/>
  <c r="AU194" i="25"/>
  <c r="BE50" i="24"/>
  <c r="BT50" i="24" s="1"/>
  <c r="BD50" i="24"/>
  <c r="AY50" i="24"/>
  <c r="AZ50" i="24" s="1"/>
  <c r="BG58" i="24"/>
  <c r="BM58" i="24" s="1"/>
  <c r="BS58" i="24"/>
  <c r="BE165" i="24"/>
  <c r="BT165" i="24" s="1"/>
  <c r="BD165" i="24"/>
  <c r="AY165" i="24"/>
  <c r="AZ165" i="24" s="1"/>
  <c r="BG260" i="24"/>
  <c r="BS260" i="24"/>
  <c r="BE172" i="24"/>
  <c r="BT172" i="24" s="1"/>
  <c r="BD172" i="24"/>
  <c r="AY172" i="24"/>
  <c r="AZ172" i="24" s="1"/>
  <c r="BA147" i="25"/>
  <c r="BC147" i="25"/>
  <c r="BT147" i="25" s="1"/>
  <c r="BB147" i="25"/>
  <c r="BS147" i="25" s="1"/>
  <c r="AY70" i="24"/>
  <c r="AZ70" i="24" s="1"/>
  <c r="BE70" i="24"/>
  <c r="BT70" i="24" s="1"/>
  <c r="BD70" i="24"/>
  <c r="AT128" i="25"/>
  <c r="AY128" i="25" s="1"/>
  <c r="AU128" i="25"/>
  <c r="AY250" i="24"/>
  <c r="AZ250" i="24" s="1"/>
  <c r="BD250" i="24"/>
  <c r="BE250" i="24"/>
  <c r="BT250" i="24" s="1"/>
  <c r="AT50" i="25"/>
  <c r="AY50" i="25" s="1"/>
  <c r="AU50" i="25"/>
  <c r="AT165" i="25"/>
  <c r="AY165" i="25" s="1"/>
  <c r="AU165" i="25"/>
  <c r="AT111" i="25"/>
  <c r="AY111" i="25" s="1"/>
  <c r="AU111" i="25"/>
  <c r="BD157" i="24"/>
  <c r="AY157" i="24"/>
  <c r="AZ157" i="24" s="1"/>
  <c r="BE157" i="24"/>
  <c r="BT157" i="24" s="1"/>
  <c r="BS33" i="24"/>
  <c r="BG33" i="24"/>
  <c r="BM33" i="24" s="1"/>
  <c r="AY53" i="24"/>
  <c r="AZ53" i="24" s="1"/>
  <c r="BD53" i="24"/>
  <c r="BE53" i="24"/>
  <c r="BT53" i="24" s="1"/>
  <c r="BE222" i="24"/>
  <c r="BT222" i="24" s="1"/>
  <c r="BD222" i="24"/>
  <c r="AY222" i="24"/>
  <c r="AZ222" i="24" s="1"/>
  <c r="AT269" i="25"/>
  <c r="AU269" i="25"/>
  <c r="BA258" i="25"/>
  <c r="BC258" i="25"/>
  <c r="BT258" i="25" s="1"/>
  <c r="BB258" i="25"/>
  <c r="BS258" i="25" s="1"/>
  <c r="BE237" i="24"/>
  <c r="BT237" i="24" s="1"/>
  <c r="BD237" i="24"/>
  <c r="AY237" i="24"/>
  <c r="AZ237" i="24" s="1"/>
  <c r="BD184" i="24"/>
  <c r="AY184" i="24"/>
  <c r="AZ184" i="24" s="1"/>
  <c r="BE184" i="24"/>
  <c r="BT184" i="24" s="1"/>
  <c r="AT312" i="25"/>
  <c r="AU312" i="25"/>
  <c r="BG236" i="24"/>
  <c r="BS236" i="24"/>
  <c r="BX236" i="24" s="1"/>
  <c r="AN110" i="29"/>
  <c r="AN84" i="29"/>
  <c r="AN340" i="29"/>
  <c r="AN42" i="29"/>
  <c r="AN412" i="29"/>
  <c r="AN567" i="29"/>
  <c r="AN341" i="29"/>
  <c r="AN140" i="29"/>
  <c r="AN80" i="29"/>
  <c r="AN105" i="29"/>
  <c r="AN22" i="29"/>
  <c r="AN211" i="29"/>
  <c r="AN370" i="29"/>
  <c r="AN69" i="29"/>
  <c r="AN429" i="29"/>
  <c r="AN147" i="29"/>
  <c r="AN363" i="29"/>
  <c r="AN210" i="29"/>
  <c r="AN400" i="29"/>
  <c r="AN307" i="29"/>
  <c r="AN338" i="29"/>
  <c r="AN372" i="29"/>
  <c r="AN364" i="29"/>
  <c r="AN230" i="29"/>
  <c r="AN458" i="29"/>
  <c r="AN117" i="29"/>
  <c r="AN127" i="29"/>
  <c r="AN179" i="29"/>
  <c r="AN104" i="29"/>
  <c r="AN474" i="29"/>
  <c r="AN506" i="29"/>
  <c r="AN337" i="29"/>
  <c r="AN570" i="29"/>
  <c r="AN376" i="29"/>
  <c r="AN598" i="29"/>
  <c r="AN142" i="29"/>
  <c r="AN390" i="29"/>
  <c r="AN182" i="29"/>
  <c r="AN449" i="29"/>
  <c r="AN468" i="29"/>
  <c r="AN382" i="29"/>
  <c r="AN378" i="29"/>
  <c r="AN298" i="29"/>
  <c r="AN260" i="29"/>
  <c r="AN208" i="29"/>
  <c r="AN18" i="29"/>
  <c r="AN490" i="29"/>
  <c r="AN202" i="29"/>
  <c r="AN295" i="29"/>
  <c r="AN52" i="29"/>
  <c r="AN242" i="29"/>
  <c r="AN134" i="29"/>
  <c r="AN359" i="29"/>
  <c r="AN160" i="29"/>
  <c r="AN143" i="29"/>
  <c r="AN346" i="29"/>
  <c r="AN539" i="29"/>
  <c r="AN92" i="29"/>
  <c r="AN233" i="29"/>
  <c r="AN173" i="29"/>
  <c r="AN309" i="29"/>
  <c r="AN314" i="29"/>
  <c r="AN188" i="29"/>
  <c r="AN377" i="29"/>
  <c r="AN484" i="29"/>
  <c r="AN83" i="29"/>
  <c r="AN284" i="29"/>
  <c r="AN47" i="29"/>
  <c r="AN120" i="29"/>
  <c r="AN281" i="29"/>
  <c r="AN574" i="29"/>
  <c r="AN78" i="29"/>
  <c r="AN247" i="29"/>
  <c r="AN183" i="29"/>
  <c r="AN322" i="29"/>
  <c r="AN456" i="29"/>
  <c r="AN555" i="29"/>
  <c r="AN129" i="29"/>
  <c r="AN518" i="29"/>
  <c r="AN315" i="29"/>
  <c r="AN251" i="29"/>
  <c r="AN166" i="29"/>
  <c r="AN493" i="29"/>
  <c r="AN496" i="29"/>
  <c r="AN556" i="29"/>
  <c r="AN375" i="29"/>
  <c r="AN583" i="29"/>
  <c r="AN389" i="29"/>
  <c r="AN392" i="29"/>
  <c r="AN273" i="29"/>
  <c r="AN24" i="29"/>
  <c r="AN286" i="29"/>
  <c r="AN514" i="29"/>
  <c r="AN157" i="29"/>
  <c r="AN20" i="29"/>
  <c r="AN422" i="29"/>
  <c r="AN145" i="29"/>
  <c r="AN297" i="29"/>
  <c r="AN584" i="29"/>
  <c r="AN523" i="29"/>
  <c r="AN151" i="29"/>
  <c r="AN99" i="29"/>
  <c r="AN536" i="29"/>
  <c r="AN332" i="29"/>
  <c r="AN531" i="29"/>
  <c r="AN321" i="29"/>
  <c r="AN229" i="29"/>
  <c r="AN215" i="29"/>
  <c r="AN339" i="29"/>
  <c r="AN218" i="29"/>
  <c r="AN398" i="29"/>
  <c r="AN141" i="29"/>
  <c r="AN528" i="29"/>
  <c r="AN582" i="29"/>
  <c r="AN111" i="29"/>
  <c r="AN473" i="29"/>
  <c r="AN571" i="29"/>
  <c r="AN303" i="29"/>
  <c r="AN479" i="29"/>
  <c r="AN256" i="29"/>
  <c r="AN14" i="29"/>
  <c r="AN154" i="29"/>
  <c r="AN373" i="29"/>
  <c r="AN228" i="29"/>
  <c r="AN35" i="29"/>
  <c r="AN121" i="29"/>
  <c r="AN472" i="29"/>
  <c r="AN445" i="29"/>
  <c r="AN77" i="29"/>
  <c r="AN452" i="29"/>
  <c r="AN194" i="29"/>
  <c r="AN601" i="29"/>
  <c r="AN447" i="29"/>
  <c r="D53" i="29"/>
  <c r="AN552" i="29"/>
  <c r="AN465" i="29"/>
  <c r="AN500" i="29"/>
  <c r="AN395" i="29"/>
  <c r="AN53" i="29"/>
  <c r="AN437" i="29"/>
  <c r="AN236" i="29"/>
  <c r="AN90" i="29"/>
  <c r="AN521" i="29"/>
  <c r="AN100" i="29"/>
  <c r="AN426" i="29"/>
  <c r="AN214" i="29"/>
  <c r="AN257" i="29"/>
  <c r="AN595" i="29"/>
  <c r="AN207" i="29"/>
  <c r="AN65" i="29"/>
  <c r="AN439" i="29"/>
  <c r="AN393" i="29"/>
  <c r="AN149" i="29"/>
  <c r="AN51" i="29"/>
  <c r="AN608" i="29"/>
  <c r="AN109" i="29"/>
  <c r="AN540" i="29"/>
  <c r="AN312" i="29"/>
  <c r="AN119" i="29"/>
  <c r="AN324" i="29"/>
  <c r="AN171" i="29"/>
  <c r="AN313" i="29"/>
  <c r="AN510" i="29"/>
  <c r="AN88" i="29"/>
  <c r="AN448" i="29"/>
  <c r="AN199" i="29"/>
  <c r="AN204" i="29"/>
  <c r="AN195" i="29"/>
  <c r="AN290" i="29"/>
  <c r="AN58" i="29"/>
  <c r="AN471" i="29"/>
  <c r="AN124" i="29"/>
  <c r="AN71" i="29"/>
  <c r="AN593" i="29"/>
  <c r="AN212" i="29"/>
  <c r="AN351" i="29"/>
  <c r="AN287" i="29"/>
  <c r="AN130" i="29"/>
  <c r="AN326" i="29"/>
  <c r="AN282" i="29"/>
  <c r="AN40" i="29"/>
  <c r="AN79" i="29"/>
  <c r="AN75" i="29"/>
  <c r="AN562" i="29"/>
  <c r="AN483" i="29"/>
  <c r="AN244" i="29"/>
  <c r="AN74" i="29"/>
  <c r="AN348" i="29"/>
  <c r="AN402" i="29"/>
  <c r="AN453" i="29"/>
  <c r="AN544" i="29"/>
  <c r="AN423" i="29"/>
  <c r="AN133" i="29"/>
  <c r="AN275" i="29"/>
  <c r="AN161" i="29"/>
  <c r="AN522" i="29"/>
  <c r="AN362" i="29"/>
  <c r="AN153" i="29"/>
  <c r="AN385" i="29"/>
  <c r="AN569" i="29"/>
  <c r="AN425" i="29"/>
  <c r="AN308" i="29"/>
  <c r="AN168" i="29"/>
  <c r="AN401" i="29"/>
  <c r="AN512" i="29"/>
  <c r="AN611" i="29"/>
  <c r="AN489" i="29"/>
  <c r="AN146" i="29"/>
  <c r="AN155" i="29"/>
  <c r="AN97" i="29"/>
  <c r="AN397" i="29"/>
  <c r="AN366" i="29"/>
  <c r="AN499" i="29"/>
  <c r="AN566" i="29"/>
  <c r="AN356" i="29"/>
  <c r="AN114" i="29"/>
  <c r="AN561" i="29"/>
  <c r="AN37" i="29"/>
  <c r="AN361" i="29"/>
  <c r="AN158" i="29"/>
  <c r="AN461" i="29"/>
  <c r="AN463" i="29"/>
  <c r="AN277" i="29"/>
  <c r="AN421" i="29"/>
  <c r="AN477" i="29"/>
  <c r="AN217" i="29"/>
  <c r="AN379" i="29"/>
  <c r="AN311" i="29"/>
  <c r="AN543" i="29"/>
  <c r="AN403" i="29"/>
  <c r="AN513" i="29"/>
  <c r="AN600" i="29"/>
  <c r="AN538" i="29"/>
  <c r="AN252" i="29"/>
  <c r="AN466" i="29"/>
  <c r="AN305" i="29"/>
  <c r="AN118" i="29"/>
  <c r="AN219" i="29"/>
  <c r="AN156" i="29"/>
  <c r="AN504" i="29"/>
  <c r="AN176" i="29"/>
  <c r="AN554" i="29"/>
  <c r="AN443" i="29"/>
  <c r="AN93" i="29"/>
  <c r="AN516" i="29"/>
  <c r="AN594" i="29"/>
  <c r="AN102" i="29"/>
  <c r="AN301" i="29"/>
  <c r="AN581" i="29"/>
  <c r="AN193" i="29"/>
  <c r="AN138" i="29"/>
  <c r="AN509" i="29"/>
  <c r="AN368" i="29"/>
  <c r="AN492" i="29"/>
  <c r="AN591" i="29"/>
  <c r="AN547" i="29"/>
  <c r="AN497" i="29"/>
  <c r="AN272" i="29"/>
  <c r="AN98" i="29"/>
  <c r="AN405" i="29"/>
  <c r="AN316" i="29"/>
  <c r="AN450" i="29"/>
  <c r="AN533" i="29"/>
  <c r="AN592" i="29"/>
  <c r="AN196" i="29"/>
  <c r="AN502" i="29"/>
  <c r="AN613" i="29"/>
  <c r="AN565" i="29"/>
  <c r="AN165" i="29"/>
  <c r="AN68" i="29"/>
  <c r="AN442" i="29"/>
  <c r="AN299" i="29"/>
  <c r="AN276" i="29"/>
  <c r="AN407" i="29"/>
  <c r="AN384" i="29"/>
  <c r="AN498" i="29"/>
  <c r="AN529" i="29"/>
  <c r="AN525" i="29"/>
  <c r="AN292" i="29"/>
  <c r="AN328" i="29"/>
  <c r="AN419" i="29"/>
  <c r="AN285" i="29"/>
  <c r="AN144" i="29"/>
  <c r="AN269" i="29"/>
  <c r="AN136" i="29"/>
  <c r="AN60" i="29"/>
  <c r="AN191" i="29"/>
  <c r="AN122" i="29"/>
  <c r="AN441" i="29"/>
  <c r="AN446" i="29"/>
  <c r="AN475" i="29"/>
  <c r="AN187" i="29"/>
  <c r="AN225" i="29"/>
  <c r="AN383" i="29"/>
  <c r="AN94" i="29"/>
  <c r="AN221" i="29"/>
  <c r="AN245" i="29"/>
  <c r="AN125" i="29"/>
  <c r="AN414" i="29"/>
  <c r="AN262" i="29"/>
  <c r="AN507" i="29"/>
  <c r="AN15" i="29"/>
  <c r="AN576" i="29"/>
  <c r="AN95" i="29"/>
  <c r="AN310" i="29"/>
  <c r="AN81" i="29"/>
  <c r="AN289" i="29"/>
  <c r="AN551" i="29"/>
  <c r="AN39" i="29"/>
  <c r="AN455" i="29"/>
  <c r="AN335" i="29"/>
  <c r="AN517" i="29"/>
  <c r="AN226" i="29"/>
  <c r="AN478" i="29"/>
  <c r="AN91" i="29"/>
  <c r="AN573" i="29"/>
  <c r="AN17" i="29"/>
  <c r="AN135" i="29"/>
  <c r="AN530" i="29"/>
  <c r="AN381" i="29"/>
  <c r="AN255" i="29"/>
  <c r="AN550" i="29"/>
  <c r="AN541" i="29"/>
  <c r="AN469" i="29"/>
  <c r="AN388" i="29"/>
  <c r="AN190" i="29"/>
  <c r="AN482" i="29"/>
  <c r="AN588" i="29"/>
  <c r="AN411" i="29"/>
  <c r="AN67" i="29"/>
  <c r="AN563" i="29"/>
  <c r="AN444" i="29"/>
  <c r="AN612" i="29"/>
  <c r="AN462" i="29"/>
  <c r="AN416" i="29"/>
  <c r="AN163" i="29"/>
  <c r="AN329" i="29"/>
  <c r="AN511" i="29"/>
  <c r="AN49" i="29"/>
  <c r="AN181" i="29"/>
  <c r="AN334" i="29"/>
  <c r="AN336" i="29"/>
  <c r="AN535" i="29"/>
  <c r="AN410" i="29"/>
  <c r="AN568" i="29"/>
  <c r="AN440" i="29"/>
  <c r="AN123" i="29"/>
  <c r="AN607" i="29"/>
  <c r="AN220" i="29"/>
  <c r="AN86" i="29"/>
  <c r="AN380" i="29"/>
  <c r="AN265" i="29"/>
  <c r="AN150" i="29"/>
  <c r="AN70" i="29"/>
  <c r="AN586" i="29"/>
  <c r="AN31" i="29"/>
  <c r="AN50" i="29"/>
  <c r="AN451" i="29"/>
  <c r="AN13" i="29"/>
  <c r="AN243" i="29"/>
  <c r="AN231" i="29"/>
  <c r="AN198" i="29"/>
  <c r="AN596" i="29"/>
  <c r="AN355" i="29"/>
  <c r="AN250" i="29"/>
  <c r="AN476" i="29"/>
  <c r="AN209" i="29"/>
  <c r="AN253" i="29"/>
  <c r="AN302" i="29"/>
  <c r="AN103" i="29"/>
  <c r="AN327" i="29"/>
  <c r="AN280" i="29"/>
  <c r="AN494" i="29"/>
  <c r="AN542" i="29"/>
  <c r="AN527" i="29"/>
  <c r="AN44" i="29"/>
  <c r="AN491" i="29"/>
  <c r="AN294" i="29"/>
  <c r="AN557" i="29"/>
  <c r="AN213" i="29"/>
  <c r="AN330" i="29"/>
  <c r="AN467" i="29"/>
  <c r="AN16" i="29"/>
  <c r="AN116" i="29"/>
  <c r="AN128" i="29"/>
  <c r="AN259" i="29"/>
  <c r="AN152" i="29"/>
  <c r="AN386" i="29"/>
  <c r="AN246" i="29"/>
  <c r="AN267" i="29"/>
  <c r="AN200" i="29"/>
  <c r="AN434" i="29"/>
  <c r="AN464" i="29"/>
  <c r="AN216" i="29"/>
  <c r="AN61" i="29"/>
  <c r="AN201" i="29"/>
  <c r="AN89" i="29"/>
  <c r="AN409" i="29"/>
  <c r="AN63" i="29"/>
  <c r="AN283" i="29"/>
  <c r="AN33" i="29"/>
  <c r="AN353" i="29"/>
  <c r="AN43" i="29"/>
  <c r="AN258" i="29"/>
  <c r="AN488" i="29"/>
  <c r="AN180" i="29"/>
  <c r="AN534" i="29"/>
  <c r="AN345" i="29"/>
  <c r="AN432" i="29"/>
  <c r="AN358" i="29"/>
  <c r="AN577" i="29"/>
  <c r="AN532" i="29"/>
  <c r="AN609" i="29"/>
  <c r="AN278" i="29"/>
  <c r="AN46" i="29"/>
  <c r="AN501" i="29"/>
  <c r="AN170" i="29"/>
  <c r="AN599" i="29"/>
  <c r="AN205" i="29"/>
  <c r="AN288" i="29"/>
  <c r="AN323" i="29"/>
  <c r="AN519" i="29"/>
  <c r="AN408" i="29"/>
  <c r="AN343" i="29"/>
  <c r="AN487" i="29"/>
  <c r="AN264" i="29"/>
  <c r="AN604" i="29"/>
  <c r="AN537" i="29"/>
  <c r="AN418" i="29"/>
  <c r="AN238" i="29"/>
  <c r="AN430" i="29"/>
  <c r="AN106" i="29"/>
  <c r="AN406" i="29"/>
  <c r="AN549" i="29"/>
  <c r="AN606" i="29"/>
  <c r="AN605" i="29"/>
  <c r="AN428" i="29"/>
  <c r="AN223" i="29"/>
  <c r="AN300" i="29"/>
  <c r="AN174" i="29"/>
  <c r="AN126" i="29"/>
  <c r="AN271" i="29"/>
  <c r="AN508" i="29"/>
  <c r="AN460" i="29"/>
  <c r="AN32" i="29"/>
  <c r="AN178" i="29"/>
  <c r="AN177" i="29"/>
  <c r="AN270" i="29"/>
  <c r="AN113" i="29"/>
  <c r="AN480" i="29"/>
  <c r="AN222" i="29"/>
  <c r="AN64" i="29"/>
  <c r="AN505" i="29"/>
  <c r="AN189" i="29"/>
  <c r="AN26" i="29"/>
  <c r="AN331" i="29"/>
  <c r="AN572" i="29"/>
  <c r="AN268" i="29"/>
  <c r="AN107" i="29"/>
  <c r="AN55" i="29"/>
  <c r="AN587" i="29"/>
  <c r="AN62" i="29"/>
  <c r="AN21" i="29"/>
  <c r="AN325" i="29"/>
  <c r="AN431" i="29"/>
  <c r="AN354" i="29"/>
  <c r="AN585" i="29"/>
  <c r="AN28" i="29"/>
  <c r="AN48" i="29"/>
  <c r="AN357" i="29"/>
  <c r="AN317" i="29"/>
  <c r="AN559" i="29"/>
  <c r="AN224" i="29"/>
  <c r="AN342" i="29"/>
  <c r="AN578" i="29"/>
  <c r="AN296" i="29"/>
  <c r="AN319" i="29"/>
  <c r="AN396" i="29"/>
  <c r="AN76" i="29"/>
  <c r="AN548" i="29"/>
  <c r="AN234" i="29"/>
  <c r="AN304" i="29"/>
  <c r="AN391" i="29"/>
  <c r="AN115" i="29"/>
  <c r="AN371" i="29"/>
  <c r="AN318" i="29"/>
  <c r="AN87" i="29"/>
  <c r="AN427" i="29"/>
  <c r="AN436" i="29"/>
  <c r="AN503" i="29"/>
  <c r="AN352" i="29"/>
  <c r="AN85" i="29"/>
  <c r="AN349" i="29"/>
  <c r="AN185" i="29"/>
  <c r="AN415" i="29"/>
  <c r="AN424" i="29"/>
  <c r="AN545" i="29"/>
  <c r="AN404" i="29"/>
  <c r="AN203" i="29"/>
  <c r="AN263" i="29"/>
  <c r="AN186" i="29"/>
  <c r="AN344" i="29"/>
  <c r="AN481" i="29"/>
  <c r="AN306" i="29"/>
  <c r="AN589" i="29"/>
  <c r="AN112" i="29"/>
  <c r="AN293" i="29"/>
  <c r="AN36" i="29"/>
  <c r="AN365" i="29"/>
  <c r="AN131" i="29"/>
  <c r="AN45" i="29"/>
  <c r="AN164" i="29"/>
  <c r="AN29" i="29"/>
  <c r="AN526" i="29"/>
  <c r="AN417" i="29"/>
  <c r="AN30" i="29"/>
  <c r="AN239" i="29"/>
  <c r="AN546" i="29"/>
  <c r="AN240" i="29"/>
  <c r="AN132" i="29"/>
  <c r="AN162" i="29"/>
  <c r="AN347" i="29"/>
  <c r="AN248" i="29"/>
  <c r="AN394" i="29"/>
  <c r="AN387" i="29"/>
  <c r="AN575" i="29"/>
  <c r="AN82" i="29"/>
  <c r="AN27" i="29"/>
  <c r="AN369" i="29"/>
  <c r="AN435" i="29"/>
  <c r="AN515" i="29"/>
  <c r="AN520" i="29"/>
  <c r="AN597" i="29"/>
  <c r="AN232" i="29"/>
  <c r="AM601" i="29"/>
  <c r="AN274" i="29"/>
  <c r="AN41" i="29"/>
  <c r="AN254" i="29"/>
  <c r="AN603" i="29"/>
  <c r="AN192" i="29"/>
  <c r="AN580" i="29"/>
  <c r="AN56" i="29"/>
  <c r="AN227" i="29"/>
  <c r="AN108" i="29"/>
  <c r="AN249" i="29"/>
  <c r="AN25" i="29"/>
  <c r="AN470" i="29"/>
  <c r="AN175" i="29"/>
  <c r="AN438" i="29"/>
  <c r="AN374" i="29"/>
  <c r="AN139" i="29"/>
  <c r="AN167" i="29"/>
  <c r="AN495" i="29"/>
  <c r="AN485" i="29"/>
  <c r="AN558" i="29"/>
  <c r="AN241" i="29"/>
  <c r="AN413" i="29"/>
  <c r="AN360" i="29"/>
  <c r="AN524" i="29"/>
  <c r="AN59" i="29"/>
  <c r="AN197" i="29"/>
  <c r="AN159" i="29"/>
  <c r="AN454" i="29"/>
  <c r="AN610" i="29"/>
  <c r="AN486" i="29"/>
  <c r="AN459" i="29"/>
  <c r="AN457" i="29"/>
  <c r="AN261" i="29"/>
  <c r="AN399" i="29"/>
  <c r="AN433" i="29"/>
  <c r="AN73" i="29"/>
  <c r="AN66" i="29"/>
  <c r="AN169" i="29"/>
  <c r="AN564" i="29"/>
  <c r="AN23" i="29"/>
  <c r="AN206" i="29"/>
  <c r="AN279" i="29"/>
  <c r="AN320" i="29"/>
  <c r="AN367" i="29"/>
  <c r="AN560" i="29"/>
  <c r="AN57" i="29"/>
  <c r="AN137" i="29"/>
  <c r="AN172" i="29"/>
  <c r="AN291" i="29"/>
  <c r="AN72" i="29"/>
  <c r="AN350" i="29"/>
  <c r="AM24" i="29"/>
  <c r="AN420" i="29"/>
  <c r="AN553" i="29"/>
  <c r="AM456" i="29"/>
  <c r="AN96" i="29"/>
  <c r="AN38" i="29"/>
  <c r="AN602" i="29"/>
  <c r="AN34" i="29"/>
  <c r="AN590" i="29"/>
  <c r="AN101" i="29"/>
  <c r="AM138" i="29"/>
  <c r="AM87" i="29"/>
  <c r="AM79" i="29"/>
  <c r="AM594" i="29"/>
  <c r="AN184" i="29"/>
  <c r="AN266" i="29"/>
  <c r="AN54" i="29"/>
  <c r="AM169" i="29"/>
  <c r="AM38" i="29"/>
  <c r="AN333" i="29"/>
  <c r="AN148" i="29"/>
  <c r="AN235" i="29"/>
  <c r="AN579" i="29"/>
  <c r="AN237" i="29"/>
  <c r="AN19" i="29"/>
  <c r="AM257" i="29"/>
  <c r="AM183" i="29"/>
  <c r="AM414" i="29"/>
  <c r="AM245" i="29"/>
  <c r="AM253" i="29"/>
  <c r="AM262" i="29"/>
  <c r="AM348" i="29"/>
  <c r="AM325" i="29"/>
  <c r="AM80" i="29"/>
  <c r="AM260" i="29"/>
  <c r="AM600" i="29"/>
  <c r="AM402" i="29"/>
  <c r="AM337" i="29"/>
  <c r="AM37" i="29"/>
  <c r="AM585" i="29"/>
  <c r="AM455" i="29"/>
  <c r="AM91" i="29"/>
  <c r="AM565" i="29"/>
  <c r="AM341" i="29"/>
  <c r="AM267" i="29"/>
  <c r="AM206" i="29"/>
  <c r="AM373" i="29"/>
  <c r="AM336" i="29"/>
  <c r="AM514" i="29"/>
  <c r="AM167" i="29"/>
  <c r="AM581" i="29"/>
  <c r="AM294" i="29"/>
  <c r="AM593" i="29"/>
  <c r="AM582" i="29"/>
  <c r="AM207" i="29"/>
  <c r="AM295" i="29"/>
  <c r="AM88" i="29"/>
  <c r="AM118" i="29"/>
  <c r="AM200" i="29"/>
  <c r="AM518" i="29"/>
  <c r="AM381" i="29"/>
  <c r="AM292" i="29"/>
  <c r="AM17" i="29"/>
  <c r="AM307" i="29"/>
  <c r="AM469" i="29"/>
  <c r="AM85" i="29"/>
  <c r="AM235" i="29"/>
  <c r="AM353" i="29"/>
  <c r="AM544" i="29"/>
  <c r="AM357" i="29"/>
  <c r="AM483" i="29"/>
  <c r="AM149" i="29"/>
  <c r="AM606" i="29"/>
  <c r="AM501" i="29"/>
  <c r="AM371" i="29"/>
  <c r="AM50" i="29"/>
  <c r="AM250" i="29"/>
  <c r="AM51" i="29"/>
  <c r="AM26" i="29"/>
  <c r="AM145" i="29"/>
  <c r="AM258" i="29"/>
  <c r="AM537" i="29"/>
  <c r="AO537" i="29" s="1"/>
  <c r="AM435" i="29"/>
  <c r="AM33" i="29"/>
  <c r="AM443" i="29"/>
  <c r="AM82" i="29"/>
  <c r="AM338" i="29"/>
  <c r="AM468" i="29"/>
  <c r="AM81" i="29"/>
  <c r="AM135" i="29"/>
  <c r="AM173" i="29"/>
  <c r="AM179" i="29"/>
  <c r="AM302" i="29"/>
  <c r="AM403" i="29"/>
  <c r="AM549" i="29"/>
  <c r="AM573" i="29"/>
  <c r="AM444" i="29"/>
  <c r="AM157" i="29"/>
  <c r="AM531" i="29"/>
  <c r="AM566" i="29"/>
  <c r="AM313" i="29"/>
  <c r="AM163" i="29"/>
  <c r="AM155" i="29"/>
  <c r="AO155" i="29" s="1"/>
  <c r="AM119" i="29"/>
  <c r="AM584" i="29"/>
  <c r="AM524" i="29"/>
  <c r="AM147" i="29"/>
  <c r="AM252" i="29"/>
  <c r="AM528" i="29"/>
  <c r="AM533" i="29"/>
  <c r="AM596" i="29"/>
  <c r="AM416" i="29"/>
  <c r="AM309" i="29"/>
  <c r="AM297" i="29"/>
  <c r="AM199" i="29"/>
  <c r="AM407" i="29"/>
  <c r="AM28" i="29"/>
  <c r="AM370" i="29"/>
  <c r="AM327" i="29"/>
  <c r="AM507" i="29"/>
  <c r="AM568" i="29"/>
  <c r="AM406" i="29"/>
  <c r="AM420" i="29"/>
  <c r="AM264" i="29"/>
  <c r="AM521" i="29"/>
  <c r="AM117" i="29"/>
  <c r="AM233" i="29"/>
  <c r="AM525" i="29"/>
  <c r="AM542" i="29"/>
  <c r="AM426" i="29"/>
  <c r="AM410" i="29"/>
  <c r="AM612" i="29"/>
  <c r="AM89" i="29"/>
  <c r="AM43" i="29"/>
  <c r="AM256" i="29"/>
  <c r="AM58" i="29"/>
  <c r="AO58" i="29" s="1"/>
  <c r="AM355" i="29"/>
  <c r="AM432" i="29"/>
  <c r="AM449" i="29"/>
  <c r="AM436" i="29"/>
  <c r="AM369" i="29"/>
  <c r="AM174" i="29"/>
  <c r="AO174" i="29" s="1"/>
  <c r="AM324" i="29"/>
  <c r="AM471" i="29"/>
  <c r="AM62" i="29"/>
  <c r="AM75" i="29"/>
  <c r="AM527" i="29"/>
  <c r="AM137" i="29"/>
  <c r="AM496" i="29"/>
  <c r="AM570" i="29"/>
  <c r="AM221" i="29"/>
  <c r="AM447" i="29"/>
  <c r="AM474" i="29"/>
  <c r="AM195" i="29"/>
  <c r="AM121" i="29"/>
  <c r="AM18" i="29"/>
  <c r="AO18" i="29" s="1"/>
  <c r="AM576" i="29"/>
  <c r="AM396" i="29"/>
  <c r="AM178" i="29"/>
  <c r="AM319" i="29"/>
  <c r="AM554" i="29"/>
  <c r="AM434" i="29"/>
  <c r="AM289" i="29"/>
  <c r="AM220" i="29"/>
  <c r="AM442" i="29"/>
  <c r="AM288" i="29"/>
  <c r="AM486" i="29"/>
  <c r="AM42" i="29"/>
  <c r="AM405" i="29"/>
  <c r="AM298" i="29"/>
  <c r="AM67" i="29"/>
  <c r="AM40" i="29"/>
  <c r="AM413" i="29"/>
  <c r="AM128" i="29"/>
  <c r="AM315" i="29"/>
  <c r="AM346" i="29"/>
  <c r="AM422" i="29"/>
  <c r="AM504" i="29"/>
  <c r="AM70" i="29"/>
  <c r="AM588" i="29"/>
  <c r="AM401" i="29"/>
  <c r="AM239" i="29"/>
  <c r="AM113" i="29"/>
  <c r="AM209" i="29"/>
  <c r="AM532" i="29"/>
  <c r="AM124" i="29"/>
  <c r="AO124" i="29" s="1"/>
  <c r="AM605" i="29"/>
  <c r="AM237" i="29"/>
  <c r="AM388" i="29"/>
  <c r="AM564" i="29"/>
  <c r="AM386" i="29"/>
  <c r="AM229" i="29"/>
  <c r="AM34" i="29"/>
  <c r="AM509" i="29"/>
  <c r="AO509" i="29" s="1"/>
  <c r="AM127" i="29"/>
  <c r="AM299" i="29"/>
  <c r="AM598" i="29"/>
  <c r="AM59" i="29"/>
  <c r="AM515" i="29"/>
  <c r="AM31" i="29"/>
  <c r="AM270" i="29"/>
  <c r="AM526" i="29"/>
  <c r="AM142" i="29"/>
  <c r="AM177" i="29"/>
  <c r="AM150" i="29"/>
  <c r="AM383" i="29"/>
  <c r="AM130" i="29"/>
  <c r="AM55" i="29"/>
  <c r="AM74" i="29"/>
  <c r="AM552" i="29"/>
  <c r="AM83" i="29"/>
  <c r="AM326" i="29"/>
  <c r="AM441" i="29"/>
  <c r="AM78" i="29"/>
  <c r="AO78" i="29" s="1"/>
  <c r="AM517" i="29"/>
  <c r="AM30" i="29"/>
  <c r="AM428" i="29"/>
  <c r="AM66" i="29"/>
  <c r="AM273" i="29"/>
  <c r="AM387" i="29"/>
  <c r="AM345" i="29"/>
  <c r="AM433" i="29"/>
  <c r="AM361" i="29"/>
  <c r="AM478" i="29"/>
  <c r="AM571" i="29"/>
  <c r="AM84" i="29"/>
  <c r="AM546" i="29"/>
  <c r="AM359" i="29"/>
  <c r="AM409" i="29"/>
  <c r="AM144" i="29"/>
  <c r="AM92" i="29"/>
  <c r="AM574" i="29"/>
  <c r="AM248" i="29"/>
  <c r="AM379" i="29"/>
  <c r="AM21" i="29"/>
  <c r="AM57" i="29"/>
  <c r="AM440" i="29"/>
  <c r="AM586" i="29"/>
  <c r="AM363" i="29"/>
  <c r="AM201" i="29"/>
  <c r="AM166" i="29"/>
  <c r="AM153" i="29"/>
  <c r="AM109" i="29"/>
  <c r="AM247" i="29"/>
  <c r="AM214" i="29"/>
  <c r="AM103" i="29"/>
  <c r="AM421" i="29"/>
  <c r="AM193" i="29"/>
  <c r="AO193" i="29" s="1"/>
  <c r="AM96" i="29"/>
  <c r="AM535" i="29"/>
  <c r="AM107" i="29"/>
  <c r="AM204" i="29"/>
  <c r="AM219" i="29"/>
  <c r="AM610" i="29"/>
  <c r="AM602" i="29"/>
  <c r="AM251" i="29"/>
  <c r="AM491" i="29"/>
  <c r="AM222" i="29"/>
  <c r="AM98" i="29"/>
  <c r="AM226" i="29"/>
  <c r="AM587" i="29"/>
  <c r="AM259" i="29"/>
  <c r="AM331" i="29"/>
  <c r="AM304" i="29"/>
  <c r="AM133" i="29"/>
  <c r="AM424" i="29"/>
  <c r="AM249" i="29"/>
  <c r="AM378" i="29"/>
  <c r="AM301" i="29"/>
  <c r="AM29" i="29"/>
  <c r="AM213" i="29"/>
  <c r="AM599" i="29"/>
  <c r="AO599" i="29" s="1"/>
  <c r="AM477" i="29"/>
  <c r="AM172" i="29"/>
  <c r="AM340" i="29"/>
  <c r="AM461" i="29"/>
  <c r="AM241" i="29"/>
  <c r="AM347" i="29"/>
  <c r="AM557" i="29"/>
  <c r="AM140" i="29"/>
  <c r="AM108" i="29"/>
  <c r="AM583" i="29"/>
  <c r="AM384" i="29"/>
  <c r="AM165" i="29"/>
  <c r="AM100" i="29"/>
  <c r="AM349" i="29"/>
  <c r="AM16" i="29"/>
  <c r="AM69" i="29"/>
  <c r="AM61" i="29"/>
  <c r="AO61" i="29" s="1"/>
  <c r="AM52" i="29"/>
  <c r="AM454" i="29"/>
  <c r="AM282" i="29"/>
  <c r="AM577" i="29"/>
  <c r="AM342" i="29"/>
  <c r="AM321" i="29"/>
  <c r="AM255" i="29"/>
  <c r="AM408" i="29"/>
  <c r="AM437" i="29"/>
  <c r="AO437" i="29" s="1"/>
  <c r="AM306" i="29"/>
  <c r="AM272" i="29"/>
  <c r="AM39" i="29"/>
  <c r="AM448" i="29"/>
  <c r="AM364" i="29"/>
  <c r="AM65" i="29"/>
  <c r="AM508" i="29"/>
  <c r="AM71" i="29"/>
  <c r="AM122" i="29"/>
  <c r="AM366" i="29"/>
  <c r="AM446" i="29"/>
  <c r="AM139" i="29"/>
  <c r="AM350" i="29"/>
  <c r="AM333" i="29"/>
  <c r="AM329" i="29"/>
  <c r="AM277" i="29"/>
  <c r="AM607" i="29"/>
  <c r="AM330" i="29"/>
  <c r="AM368" i="29"/>
  <c r="AM305" i="29"/>
  <c r="AM529" i="29"/>
  <c r="AM48" i="29"/>
  <c r="AM317" i="29"/>
  <c r="AM360" i="29"/>
  <c r="AM498" i="29"/>
  <c r="AM102" i="29"/>
  <c r="AM591" i="29"/>
  <c r="AM466" i="29"/>
  <c r="AM300" i="29"/>
  <c r="AM271" i="29"/>
  <c r="AM392" i="29"/>
  <c r="AM161" i="29"/>
  <c r="AM284" i="29"/>
  <c r="AM398" i="29"/>
  <c r="AM320" i="29"/>
  <c r="AM19" i="29"/>
  <c r="AM372" i="29"/>
  <c r="AM460" i="29"/>
  <c r="AM41" i="29"/>
  <c r="AM534" i="29"/>
  <c r="AM194" i="29"/>
  <c r="AM223" i="29"/>
  <c r="AM563" i="29"/>
  <c r="AM513" i="29"/>
  <c r="AM427" i="29"/>
  <c r="AM285" i="29"/>
  <c r="AO285" i="29" s="1"/>
  <c r="AM356" i="29"/>
  <c r="AM208" i="29"/>
  <c r="AM323" i="29"/>
  <c r="AM597" i="29"/>
  <c r="AM389" i="29"/>
  <c r="AM411" i="29"/>
  <c r="AM519" i="29"/>
  <c r="AM603" i="29"/>
  <c r="AM211" i="29"/>
  <c r="AM90" i="29"/>
  <c r="AM510" i="29"/>
  <c r="AM203" i="29"/>
  <c r="AM185" i="29"/>
  <c r="AM192" i="29"/>
  <c r="AM198" i="29"/>
  <c r="AM592" i="29"/>
  <c r="AM290" i="29"/>
  <c r="AM125" i="29"/>
  <c r="AM225" i="29"/>
  <c r="AM114" i="29"/>
  <c r="AM431" i="29"/>
  <c r="AM328" i="29"/>
  <c r="AO328" i="29" s="1"/>
  <c r="AM246" i="29"/>
  <c r="AM425" i="29"/>
  <c r="AM286" i="29"/>
  <c r="AM429" i="29"/>
  <c r="AM358" i="29"/>
  <c r="AM291" i="29"/>
  <c r="AM473" i="29"/>
  <c r="AM261" i="29"/>
  <c r="AM27" i="29"/>
  <c r="AM562" i="29"/>
  <c r="AM126" i="29"/>
  <c r="AM457" i="29"/>
  <c r="AM269" i="29"/>
  <c r="AM93" i="29"/>
  <c r="AM63" i="29"/>
  <c r="AM106" i="29"/>
  <c r="AM391" i="29"/>
  <c r="AM287" i="29"/>
  <c r="AM548" i="29"/>
  <c r="AM216" i="29"/>
  <c r="AM20" i="29"/>
  <c r="AM604" i="29"/>
  <c r="AM268" i="29"/>
  <c r="AM472" i="29"/>
  <c r="AM45" i="29"/>
  <c r="AM215" i="29"/>
  <c r="AM116" i="29"/>
  <c r="AM160" i="29"/>
  <c r="AM72" i="29"/>
  <c r="AM112" i="29"/>
  <c r="AM380" i="29"/>
  <c r="AM276" i="29"/>
  <c r="AM111" i="29"/>
  <c r="AM575" i="29"/>
  <c r="AM495" i="29"/>
  <c r="AM240" i="29"/>
  <c r="AM23" i="29"/>
  <c r="AM311" i="29"/>
  <c r="AM234" i="29"/>
  <c r="AM205" i="29"/>
  <c r="AM217" i="29"/>
  <c r="AM202" i="29"/>
  <c r="AM430" i="29"/>
  <c r="AM499" i="29"/>
  <c r="AM68" i="29"/>
  <c r="AM191" i="29"/>
  <c r="AM190" i="29"/>
  <c r="AM503" i="29"/>
  <c r="AM56" i="29"/>
  <c r="AM485" i="29"/>
  <c r="AM385" i="29"/>
  <c r="AM458" i="29"/>
  <c r="AM451" i="29"/>
  <c r="AM488" i="29"/>
  <c r="AM608" i="29"/>
  <c r="AM556" i="29"/>
  <c r="AM154" i="29"/>
  <c r="AM32" i="29"/>
  <c r="AM210" i="29"/>
  <c r="AM555" i="29"/>
  <c r="AM15" i="29"/>
  <c r="AM578" i="29"/>
  <c r="AM572" i="29"/>
  <c r="AM450" i="29"/>
  <c r="AM558" i="29"/>
  <c r="AM171" i="29"/>
  <c r="AM335" i="29"/>
  <c r="AM376" i="29"/>
  <c r="AM312" i="29"/>
  <c r="AM162" i="29"/>
  <c r="AM580" i="29"/>
  <c r="AM77" i="29"/>
  <c r="AM522" i="29"/>
  <c r="AM569" i="29"/>
  <c r="AM115" i="29"/>
  <c r="AM278" i="29"/>
  <c r="AM439" i="29"/>
  <c r="AM101" i="29"/>
  <c r="AM540" i="29"/>
  <c r="AM232" i="29"/>
  <c r="AM344" i="29"/>
  <c r="AM417" i="29"/>
  <c r="AM352" i="29"/>
  <c r="AM470" i="29"/>
  <c r="AM561" i="29"/>
  <c r="AM547" i="29"/>
  <c r="AM86" i="29"/>
  <c r="AM242" i="29"/>
  <c r="AM502" i="29"/>
  <c r="AM375" i="29"/>
  <c r="AM143" i="29"/>
  <c r="AM551" i="29"/>
  <c r="AM156" i="29"/>
  <c r="AM334" i="29"/>
  <c r="AM197" i="29"/>
  <c r="AM281" i="29"/>
  <c r="AM279" i="29"/>
  <c r="AM438" i="29"/>
  <c r="AM560" i="29"/>
  <c r="AM354" i="29"/>
  <c r="AM467" i="29"/>
  <c r="AM164" i="29"/>
  <c r="AM332" i="29"/>
  <c r="AM459" i="29"/>
  <c r="AM318" i="29"/>
  <c r="AM182" i="29"/>
  <c r="AM158" i="29"/>
  <c r="AM482" i="29"/>
  <c r="AM545" i="29"/>
  <c r="AM516" i="29"/>
  <c r="AM280" i="29"/>
  <c r="AM339" i="29"/>
  <c r="AM76" i="29"/>
  <c r="AM14" i="29"/>
  <c r="AM224" i="29"/>
  <c r="AM196" i="29"/>
  <c r="AM94" i="29"/>
  <c r="AM399" i="29"/>
  <c r="AM543" i="29"/>
  <c r="AM129" i="29"/>
  <c r="AM283" i="29"/>
  <c r="AM539" i="29"/>
  <c r="AM404" i="29"/>
  <c r="AM343" i="29"/>
  <c r="AM296" i="29"/>
  <c r="AM490" i="29"/>
  <c r="AM308" i="29"/>
  <c r="AM322" i="29"/>
  <c r="AM275" i="29"/>
  <c r="AM99" i="29"/>
  <c r="AM25" i="29"/>
  <c r="AM132" i="29"/>
  <c r="AM188" i="29"/>
  <c r="AM238" i="29"/>
  <c r="AO238" i="29" s="1"/>
  <c r="AM134" i="29"/>
  <c r="AM494" i="29"/>
  <c r="AM227" i="29"/>
  <c r="AM419" i="29"/>
  <c r="AM266" i="29"/>
  <c r="AM487" i="29"/>
  <c r="AM303" i="29"/>
  <c r="AM189" i="29"/>
  <c r="AO189" i="29" s="1"/>
  <c r="AM595" i="29"/>
  <c r="AM512" i="29"/>
  <c r="AM505" i="29"/>
  <c r="AM362" i="29"/>
  <c r="AM541" i="29"/>
  <c r="AM351" i="29"/>
  <c r="AM462" i="29"/>
  <c r="AM520" i="29"/>
  <c r="AM148" i="29"/>
  <c r="AM445" i="29"/>
  <c r="AM131" i="29"/>
  <c r="AM13" i="29"/>
  <c r="AM35" i="29"/>
  <c r="AM184" i="29"/>
  <c r="AM274" i="29"/>
  <c r="AM365" i="29"/>
  <c r="AM44" i="29"/>
  <c r="AM53" i="29"/>
  <c r="AM236" i="29"/>
  <c r="AM530" i="29"/>
  <c r="AM479" i="29"/>
  <c r="AM64" i="29"/>
  <c r="AM314" i="29"/>
  <c r="AM400" i="29"/>
  <c r="AM484" i="29"/>
  <c r="AM151" i="29"/>
  <c r="AM590" i="29"/>
  <c r="AM228" i="29"/>
  <c r="AM104" i="29"/>
  <c r="AM123" i="29"/>
  <c r="AM170" i="29"/>
  <c r="AM60" i="29"/>
  <c r="AO60" i="29" s="1"/>
  <c r="AM212" i="29"/>
  <c r="AM475" i="29"/>
  <c r="AM175" i="29"/>
  <c r="AM481" i="29"/>
  <c r="AM254" i="29"/>
  <c r="AM367" i="29"/>
  <c r="AM382" i="29"/>
  <c r="AM243" i="29"/>
  <c r="AM230" i="29"/>
  <c r="AM493" i="29"/>
  <c r="AM464" i="29"/>
  <c r="AO464" i="29" s="1"/>
  <c r="AM310" i="29"/>
  <c r="AM423" i="29"/>
  <c r="AM589" i="29"/>
  <c r="AM397" i="29"/>
  <c r="AM293" i="29"/>
  <c r="AM538" i="29"/>
  <c r="AM47" i="29"/>
  <c r="AM231" i="29"/>
  <c r="AM176" i="29"/>
  <c r="AM550" i="29"/>
  <c r="AM22" i="29"/>
  <c r="AM567" i="29"/>
  <c r="AM480" i="29"/>
  <c r="AM46" i="29"/>
  <c r="AM613" i="29"/>
  <c r="AM95" i="29"/>
  <c r="AM159" i="29"/>
  <c r="AM316" i="29"/>
  <c r="AM412" i="29"/>
  <c r="AM465" i="29"/>
  <c r="AM374" i="29"/>
  <c r="AM168" i="29"/>
  <c r="AM390" i="29"/>
  <c r="AM553" i="29"/>
  <c r="AM263" i="29"/>
  <c r="AM186" i="29"/>
  <c r="AM146" i="29"/>
  <c r="AM506" i="29"/>
  <c r="AM136" i="29"/>
  <c r="AM609" i="29"/>
  <c r="AM500" i="29"/>
  <c r="AM110" i="29"/>
  <c r="AM97" i="29"/>
  <c r="AO97" i="29" s="1"/>
  <c r="AM395" i="29"/>
  <c r="AM180" i="29"/>
  <c r="AM453" i="29"/>
  <c r="AM187" i="29"/>
  <c r="AM418" i="29"/>
  <c r="AM393" i="29"/>
  <c r="AM120" i="29"/>
  <c r="AM476" i="29"/>
  <c r="AM559" i="29"/>
  <c r="AM73" i="29"/>
  <c r="AM492" i="29"/>
  <c r="AM489" i="29"/>
  <c r="AM579" i="29"/>
  <c r="AM218" i="29"/>
  <c r="AM152" i="29"/>
  <c r="AM265" i="29"/>
  <c r="AM244" i="29"/>
  <c r="AM415" i="29"/>
  <c r="AM49" i="29"/>
  <c r="AM497" i="29"/>
  <c r="AM141" i="29"/>
  <c r="AM54" i="29"/>
  <c r="AM463" i="29"/>
  <c r="AM394" i="29"/>
  <c r="AM105" i="29"/>
  <c r="AM377" i="29"/>
  <c r="AP114" i="29"/>
  <c r="AQ114" i="29" s="1"/>
  <c r="AR114" i="29" s="1"/>
  <c r="AP204" i="29"/>
  <c r="AQ204" i="29" s="1"/>
  <c r="AR204" i="29" s="1"/>
  <c r="AP132" i="29"/>
  <c r="AQ132" i="29" s="1"/>
  <c r="AR132" i="29" s="1"/>
  <c r="AP255" i="29"/>
  <c r="AQ255" i="29" s="1"/>
  <c r="AR255" i="29" s="1"/>
  <c r="AP290" i="29"/>
  <c r="AQ290" i="29" s="1"/>
  <c r="AR290" i="29" s="1"/>
  <c r="AP330" i="29"/>
  <c r="AQ330" i="29" s="1"/>
  <c r="AR330" i="29" s="1"/>
  <c r="AP306" i="29"/>
  <c r="AQ306" i="29" s="1"/>
  <c r="AR306" i="29" s="1"/>
  <c r="AP84" i="29"/>
  <c r="AQ84" i="29" s="1"/>
  <c r="AR84" i="29" s="1"/>
  <c r="AP167" i="29"/>
  <c r="AQ167" i="29" s="1"/>
  <c r="AR167" i="29" s="1"/>
  <c r="AP459" i="29"/>
  <c r="AQ459" i="29" s="1"/>
  <c r="AR459" i="29" s="1"/>
  <c r="AP599" i="29"/>
  <c r="AQ599" i="29" s="1"/>
  <c r="AR599" i="29" s="1"/>
  <c r="AP520" i="29"/>
  <c r="AQ520" i="29" s="1"/>
  <c r="AR520" i="29" s="1"/>
  <c r="AP237" i="29"/>
  <c r="AQ237" i="29" s="1"/>
  <c r="AR237" i="29" s="1"/>
  <c r="AP175" i="29"/>
  <c r="AQ175" i="29" s="1"/>
  <c r="AR175" i="29" s="1"/>
  <c r="AP311" i="29"/>
  <c r="AQ311" i="29" s="1"/>
  <c r="AR311" i="29" s="1"/>
  <c r="AP557" i="29"/>
  <c r="AQ557" i="29" s="1"/>
  <c r="AR557" i="29" s="1"/>
  <c r="AP293" i="29"/>
  <c r="AQ293" i="29" s="1"/>
  <c r="AR293" i="29" s="1"/>
  <c r="AP450" i="29"/>
  <c r="AQ450" i="29" s="1"/>
  <c r="AR450" i="29" s="1"/>
  <c r="AP308" i="29"/>
  <c r="AQ308" i="29" s="1"/>
  <c r="AR308" i="29" s="1"/>
  <c r="AP417" i="29"/>
  <c r="AQ417" i="29" s="1"/>
  <c r="AR417" i="29" s="1"/>
  <c r="AP586" i="29"/>
  <c r="AQ586" i="29" s="1"/>
  <c r="AR586" i="29" s="1"/>
  <c r="AP488" i="29"/>
  <c r="AQ488" i="29" s="1"/>
  <c r="AR488" i="29" s="1"/>
  <c r="AM611" i="29"/>
  <c r="AP86" i="29"/>
  <c r="AQ86" i="29" s="1"/>
  <c r="AR86" i="29" s="1"/>
  <c r="AP213" i="29"/>
  <c r="AQ213" i="29" s="1"/>
  <c r="AR213" i="29" s="1"/>
  <c r="AP54" i="29"/>
  <c r="AQ54" i="29" s="1"/>
  <c r="AR54" i="29" s="1"/>
  <c r="AP233" i="29"/>
  <c r="AQ233" i="29" s="1"/>
  <c r="AR233" i="29" s="1"/>
  <c r="AP593" i="29"/>
  <c r="AQ593" i="29" s="1"/>
  <c r="AR593" i="29" s="1"/>
  <c r="AP502" i="29"/>
  <c r="AQ502" i="29" s="1"/>
  <c r="AR502" i="29" s="1"/>
  <c r="AP195" i="29"/>
  <c r="AQ195" i="29" s="1"/>
  <c r="AR195" i="29" s="1"/>
  <c r="AP168" i="29"/>
  <c r="AQ168" i="29" s="1"/>
  <c r="AR168" i="29" s="1"/>
  <c r="AP82" i="29"/>
  <c r="AQ82" i="29" s="1"/>
  <c r="AR82" i="29" s="1"/>
  <c r="AP321" i="29"/>
  <c r="AQ321" i="29" s="1"/>
  <c r="AR321" i="29" s="1"/>
  <c r="AP382" i="29"/>
  <c r="AQ382" i="29" s="1"/>
  <c r="AR382" i="29" s="1"/>
  <c r="AP253" i="29"/>
  <c r="AQ253" i="29" s="1"/>
  <c r="AR253" i="29" s="1"/>
  <c r="AP294" i="29"/>
  <c r="AQ294" i="29" s="1"/>
  <c r="AR294" i="29" s="1"/>
  <c r="AP567" i="29"/>
  <c r="AQ567" i="29" s="1"/>
  <c r="AR567" i="29" s="1"/>
  <c r="AP236" i="29"/>
  <c r="AQ236" i="29" s="1"/>
  <c r="AR236" i="29" s="1"/>
  <c r="AP507" i="29"/>
  <c r="AQ507" i="29" s="1"/>
  <c r="AR507" i="29" s="1"/>
  <c r="AP198" i="29"/>
  <c r="AQ198" i="29" s="1"/>
  <c r="AR198" i="29" s="1"/>
  <c r="AP367" i="29"/>
  <c r="AQ367" i="29" s="1"/>
  <c r="AR367" i="29" s="1"/>
  <c r="AP98" i="29"/>
  <c r="AQ98" i="29" s="1"/>
  <c r="AR98" i="29" s="1"/>
  <c r="AP383" i="29"/>
  <c r="AQ383" i="29" s="1"/>
  <c r="AR383" i="29" s="1"/>
  <c r="AP454" i="29"/>
  <c r="AQ454" i="29" s="1"/>
  <c r="AR454" i="29" s="1"/>
  <c r="AP379" i="29"/>
  <c r="AQ379" i="29" s="1"/>
  <c r="AR379" i="29" s="1"/>
  <c r="AM452" i="29"/>
  <c r="AO452" i="29" s="1"/>
  <c r="AP349" i="29"/>
  <c r="AQ349" i="29" s="1"/>
  <c r="AR349" i="29" s="1"/>
  <c r="AP248" i="29"/>
  <c r="AQ248" i="29" s="1"/>
  <c r="AR248" i="29" s="1"/>
  <c r="AP577" i="29"/>
  <c r="AQ577" i="29" s="1"/>
  <c r="AR577" i="29" s="1"/>
  <c r="AP281" i="29"/>
  <c r="AQ281" i="29" s="1"/>
  <c r="AR281" i="29" s="1"/>
  <c r="AP485" i="29"/>
  <c r="AQ485" i="29" s="1"/>
  <c r="AR485" i="29" s="1"/>
  <c r="AP572" i="29"/>
  <c r="AQ572" i="29" s="1"/>
  <c r="AR572" i="29" s="1"/>
  <c r="AP201" i="29"/>
  <c r="AQ201" i="29" s="1"/>
  <c r="AR201" i="29" s="1"/>
  <c r="AM36" i="29"/>
  <c r="AP282" i="29"/>
  <c r="AQ282" i="29" s="1"/>
  <c r="AR282" i="29" s="1"/>
  <c r="AP468" i="29"/>
  <c r="AQ468" i="29" s="1"/>
  <c r="AR468" i="29" s="1"/>
  <c r="AP476" i="29"/>
  <c r="AQ476" i="29" s="1"/>
  <c r="AR476" i="29" s="1"/>
  <c r="AP340" i="29"/>
  <c r="AQ340" i="29" s="1"/>
  <c r="AR340" i="29" s="1"/>
  <c r="AP522" i="29"/>
  <c r="AQ522" i="29" s="1"/>
  <c r="AR522" i="29" s="1"/>
  <c r="AP243" i="29"/>
  <c r="AQ243" i="29" s="1"/>
  <c r="AR243" i="29" s="1"/>
  <c r="AP221" i="29"/>
  <c r="AQ221" i="29" s="1"/>
  <c r="AR221" i="29" s="1"/>
  <c r="AP176" i="29"/>
  <c r="AQ176" i="29" s="1"/>
  <c r="AR176" i="29" s="1"/>
  <c r="AP75" i="29"/>
  <c r="AQ75" i="29" s="1"/>
  <c r="AR75" i="29" s="1"/>
  <c r="AP527" i="29"/>
  <c r="AQ527" i="29" s="1"/>
  <c r="AR527" i="29" s="1"/>
  <c r="AP52" i="29"/>
  <c r="AQ52" i="29" s="1"/>
  <c r="AR52" i="29" s="1"/>
  <c r="AP24" i="29"/>
  <c r="AQ24" i="29" s="1"/>
  <c r="AR24" i="29" s="1"/>
  <c r="AP418" i="29"/>
  <c r="AQ418" i="29" s="1"/>
  <c r="AR418" i="29" s="1"/>
  <c r="AP179" i="29"/>
  <c r="AQ179" i="29" s="1"/>
  <c r="AR179" i="29" s="1"/>
  <c r="AP324" i="29"/>
  <c r="AQ324" i="29" s="1"/>
  <c r="AR324" i="29" s="1"/>
  <c r="AP590" i="29"/>
  <c r="AQ590" i="29" s="1"/>
  <c r="AR590" i="29" s="1"/>
  <c r="AP85" i="29"/>
  <c r="AQ85" i="29" s="1"/>
  <c r="AR85" i="29" s="1"/>
  <c r="AP223" i="29"/>
  <c r="AQ223" i="29" s="1"/>
  <c r="AR223" i="29" s="1"/>
  <c r="AP436" i="29"/>
  <c r="AQ436" i="29" s="1"/>
  <c r="AR436" i="29" s="1"/>
  <c r="AP441" i="29"/>
  <c r="AQ441" i="29" s="1"/>
  <c r="AR441" i="29" s="1"/>
  <c r="AP414" i="29"/>
  <c r="AQ414" i="29" s="1"/>
  <c r="AR414" i="29" s="1"/>
  <c r="AP26" i="29"/>
  <c r="AQ26" i="29" s="1"/>
  <c r="AR26" i="29" s="1"/>
  <c r="AP581" i="29"/>
  <c r="AQ581" i="29" s="1"/>
  <c r="AR581" i="29" s="1"/>
  <c r="AP105" i="29"/>
  <c r="AQ105" i="29" s="1"/>
  <c r="AR105" i="29" s="1"/>
  <c r="AP53" i="29"/>
  <c r="AQ53" i="29" s="1"/>
  <c r="AR53" i="29" s="1"/>
  <c r="AP451" i="29"/>
  <c r="AQ451" i="29" s="1"/>
  <c r="AR451" i="29" s="1"/>
  <c r="AP541" i="29"/>
  <c r="AQ541" i="29" s="1"/>
  <c r="AR541" i="29" s="1"/>
  <c r="AP58" i="29"/>
  <c r="AQ58" i="29" s="1"/>
  <c r="AR58" i="29" s="1"/>
  <c r="AP474" i="29"/>
  <c r="AQ474" i="29" s="1"/>
  <c r="AR474" i="29" s="1"/>
  <c r="AP192" i="29"/>
  <c r="AQ192" i="29" s="1"/>
  <c r="AR192" i="29" s="1"/>
  <c r="AP299" i="29"/>
  <c r="AQ299" i="29" s="1"/>
  <c r="AR299" i="29" s="1"/>
  <c r="AP466" i="29"/>
  <c r="AQ466" i="29" s="1"/>
  <c r="AR466" i="29" s="1"/>
  <c r="AP111" i="29"/>
  <c r="AQ111" i="29" s="1"/>
  <c r="AR111" i="29" s="1"/>
  <c r="AP524" i="29"/>
  <c r="AQ524" i="29" s="1"/>
  <c r="AR524" i="29" s="1"/>
  <c r="AP160" i="29"/>
  <c r="AQ160" i="29" s="1"/>
  <c r="AR160" i="29" s="1"/>
  <c r="AP226" i="29"/>
  <c r="AQ226" i="29" s="1"/>
  <c r="AR226" i="29" s="1"/>
  <c r="AM511" i="29"/>
  <c r="AP554" i="29"/>
  <c r="AQ554" i="29" s="1"/>
  <c r="AR554" i="29" s="1"/>
  <c r="AP212" i="29"/>
  <c r="AQ212" i="29" s="1"/>
  <c r="AR212" i="29" s="1"/>
  <c r="AP467" i="29"/>
  <c r="AQ467" i="29" s="1"/>
  <c r="AR467" i="29" s="1"/>
  <c r="AP180" i="29"/>
  <c r="AQ180" i="29" s="1"/>
  <c r="AR180" i="29" s="1"/>
  <c r="AP309" i="29"/>
  <c r="AQ309" i="29" s="1"/>
  <c r="AR309" i="29" s="1"/>
  <c r="AP410" i="29"/>
  <c r="AQ410" i="29" s="1"/>
  <c r="AR410" i="29" s="1"/>
  <c r="AP288" i="29"/>
  <c r="AQ288" i="29" s="1"/>
  <c r="AR288" i="29" s="1"/>
  <c r="AP380" i="29"/>
  <c r="AQ380" i="29" s="1"/>
  <c r="AR380" i="29" s="1"/>
  <c r="AP603" i="29"/>
  <c r="AQ603" i="29" s="1"/>
  <c r="AR603" i="29" s="1"/>
  <c r="AP206" i="29"/>
  <c r="AQ206" i="29" s="1"/>
  <c r="AR206" i="29" s="1"/>
  <c r="AP392" i="29"/>
  <c r="AQ392" i="29" s="1"/>
  <c r="AR392" i="29" s="1"/>
  <c r="AP481" i="29"/>
  <c r="AQ481" i="29" s="1"/>
  <c r="AR481" i="29" s="1"/>
  <c r="AP109" i="29"/>
  <c r="AQ109" i="29" s="1"/>
  <c r="AR109" i="29" s="1"/>
  <c r="AP208" i="29"/>
  <c r="AQ208" i="29" s="1"/>
  <c r="AR208" i="29" s="1"/>
  <c r="AP218" i="29"/>
  <c r="AQ218" i="29" s="1"/>
  <c r="AR218" i="29" s="1"/>
  <c r="AP222" i="29"/>
  <c r="AQ222" i="29" s="1"/>
  <c r="AR222" i="29" s="1"/>
  <c r="AP352" i="29"/>
  <c r="AQ352" i="29" s="1"/>
  <c r="AR352" i="29" s="1"/>
  <c r="AP302" i="29"/>
  <c r="AQ302" i="29" s="1"/>
  <c r="AR302" i="29" s="1"/>
  <c r="AP122" i="29"/>
  <c r="AQ122" i="29" s="1"/>
  <c r="AR122" i="29" s="1"/>
  <c r="AP35" i="29"/>
  <c r="AQ35" i="29" s="1"/>
  <c r="AR35" i="29" s="1"/>
  <c r="AP545" i="29"/>
  <c r="AQ545" i="29" s="1"/>
  <c r="AR545" i="29" s="1"/>
  <c r="AP36" i="29"/>
  <c r="AQ36" i="29" s="1"/>
  <c r="AR36" i="29" s="1"/>
  <c r="D52" i="29"/>
  <c r="D54" i="29" s="1"/>
  <c r="AM536" i="29"/>
  <c r="AP153" i="29"/>
  <c r="AQ153" i="29" s="1"/>
  <c r="AR153" i="29" s="1"/>
  <c r="AP187" i="29"/>
  <c r="AQ187" i="29" s="1"/>
  <c r="AR187" i="29" s="1"/>
  <c r="AP144" i="29"/>
  <c r="AQ144" i="29" s="1"/>
  <c r="AR144" i="29" s="1"/>
  <c r="AP210" i="29"/>
  <c r="AQ210" i="29" s="1"/>
  <c r="AR210" i="29" s="1"/>
  <c r="AP214" i="29"/>
  <c r="AQ214" i="29" s="1"/>
  <c r="AR214" i="29" s="1"/>
  <c r="AP518" i="29"/>
  <c r="AQ518" i="29" s="1"/>
  <c r="AR518" i="29" s="1"/>
  <c r="AP351" i="29"/>
  <c r="AQ351" i="29" s="1"/>
  <c r="AR351" i="29" s="1"/>
  <c r="AP194" i="29"/>
  <c r="AQ194" i="29" s="1"/>
  <c r="AR194" i="29" s="1"/>
  <c r="AP163" i="29"/>
  <c r="AQ163" i="29" s="1"/>
  <c r="AR163" i="29" s="1"/>
  <c r="AP61" i="29"/>
  <c r="AQ61" i="29" s="1"/>
  <c r="AR61" i="29" s="1"/>
  <c r="AP430" i="29"/>
  <c r="AQ430" i="29" s="1"/>
  <c r="AR430" i="29" s="1"/>
  <c r="AP139" i="29"/>
  <c r="AQ139" i="29" s="1"/>
  <c r="AR139" i="29" s="1"/>
  <c r="AP182" i="29"/>
  <c r="AQ182" i="29" s="1"/>
  <c r="AR182" i="29" s="1"/>
  <c r="AP534" i="29"/>
  <c r="AQ534" i="29" s="1"/>
  <c r="AR534" i="29" s="1"/>
  <c r="AP137" i="29"/>
  <c r="AQ137" i="29" s="1"/>
  <c r="AR137" i="29" s="1"/>
  <c r="AP536" i="29"/>
  <c r="AQ536" i="29" s="1"/>
  <c r="AR536" i="29" s="1"/>
  <c r="AP186" i="29"/>
  <c r="AQ186" i="29" s="1"/>
  <c r="AR186" i="29" s="1"/>
  <c r="AP568" i="29"/>
  <c r="AQ568" i="29" s="1"/>
  <c r="AR568" i="29" s="1"/>
  <c r="AP583" i="29"/>
  <c r="AQ583" i="29" s="1"/>
  <c r="AR583" i="29" s="1"/>
  <c r="AP66" i="29"/>
  <c r="AQ66" i="29" s="1"/>
  <c r="AR66" i="29" s="1"/>
  <c r="AP125" i="29"/>
  <c r="AQ125" i="29" s="1"/>
  <c r="AR125" i="29" s="1"/>
  <c r="AP147" i="29"/>
  <c r="AQ147" i="29" s="1"/>
  <c r="AR147" i="29" s="1"/>
  <c r="AP197" i="29"/>
  <c r="AQ197" i="29" s="1"/>
  <c r="AR197" i="29" s="1"/>
  <c r="AP291" i="29"/>
  <c r="AQ291" i="29" s="1"/>
  <c r="AR291" i="29" s="1"/>
  <c r="AP491" i="29"/>
  <c r="AQ491" i="29" s="1"/>
  <c r="AR491" i="29" s="1"/>
  <c r="AP217" i="29"/>
  <c r="AQ217" i="29" s="1"/>
  <c r="AR217" i="29" s="1"/>
  <c r="AP32" i="29"/>
  <c r="AQ32" i="29" s="1"/>
  <c r="AR32" i="29" s="1"/>
  <c r="AP56" i="29"/>
  <c r="AQ56" i="29" s="1"/>
  <c r="AR56" i="29" s="1"/>
  <c r="AP134" i="29"/>
  <c r="AQ134" i="29" s="1"/>
  <c r="AR134" i="29" s="1"/>
  <c r="AP13" i="29"/>
  <c r="AQ13" i="29" s="1"/>
  <c r="AR13" i="29" s="1"/>
  <c r="AP356" i="29"/>
  <c r="AQ356" i="29" s="1"/>
  <c r="AR356" i="29" s="1"/>
  <c r="AP34" i="29"/>
  <c r="AQ34" i="29" s="1"/>
  <c r="AR34" i="29" s="1"/>
  <c r="AP475" i="29"/>
  <c r="AQ475" i="29" s="1"/>
  <c r="AR475" i="29" s="1"/>
  <c r="AP270" i="29"/>
  <c r="AQ270" i="29" s="1"/>
  <c r="AR270" i="29" s="1"/>
  <c r="AP357" i="29"/>
  <c r="AQ357" i="29" s="1"/>
  <c r="AR357" i="29" s="1"/>
  <c r="AP50" i="29"/>
  <c r="AQ50" i="29" s="1"/>
  <c r="AR50" i="29" s="1"/>
  <c r="AP447" i="29"/>
  <c r="AQ447" i="29" s="1"/>
  <c r="AR447" i="29" s="1"/>
  <c r="AP483" i="29"/>
  <c r="AQ483" i="29" s="1"/>
  <c r="AR483" i="29" s="1"/>
  <c r="AP533" i="29"/>
  <c r="AQ533" i="29" s="1"/>
  <c r="AR533" i="29" s="1"/>
  <c r="AP136" i="29"/>
  <c r="AQ136" i="29" s="1"/>
  <c r="AR136" i="29" s="1"/>
  <c r="AP15" i="29"/>
  <c r="AQ15" i="29" s="1"/>
  <c r="AR15" i="29" s="1"/>
  <c r="AP543" i="29"/>
  <c r="AQ543" i="29" s="1"/>
  <c r="AR543" i="29" s="1"/>
  <c r="AP78" i="29"/>
  <c r="AQ78" i="29" s="1"/>
  <c r="AR78" i="29" s="1"/>
  <c r="AP336" i="29"/>
  <c r="AQ336" i="29" s="1"/>
  <c r="AR336" i="29" s="1"/>
  <c r="AM181" i="29"/>
  <c r="AM523" i="29"/>
  <c r="AP347" i="29"/>
  <c r="AQ347" i="29" s="1"/>
  <c r="AR347" i="29" s="1"/>
  <c r="AP610" i="29"/>
  <c r="AQ610" i="29" s="1"/>
  <c r="AR610" i="29" s="1"/>
  <c r="AP241" i="29"/>
  <c r="AQ241" i="29" s="1"/>
  <c r="AR241" i="29" s="1"/>
  <c r="AP96" i="29"/>
  <c r="AQ96" i="29" s="1"/>
  <c r="AR96" i="29" s="1"/>
  <c r="AP280" i="29"/>
  <c r="AQ280" i="29" s="1"/>
  <c r="AR280" i="29" s="1"/>
  <c r="AP440" i="29"/>
  <c r="AQ440" i="29" s="1"/>
  <c r="AR440" i="29" s="1"/>
  <c r="AP33" i="29"/>
  <c r="AQ33" i="29" s="1"/>
  <c r="AR33" i="29" s="1"/>
  <c r="AP434" i="29"/>
  <c r="AQ434" i="29" s="1"/>
  <c r="AR434" i="29" s="1"/>
  <c r="AP276" i="29"/>
  <c r="AQ276" i="29" s="1"/>
  <c r="AR276" i="29" s="1"/>
  <c r="AP322" i="29"/>
  <c r="AQ322" i="29" s="1"/>
  <c r="AR322" i="29" s="1"/>
  <c r="AP133" i="29"/>
  <c r="AQ133" i="29" s="1"/>
  <c r="AR133" i="29" s="1"/>
  <c r="AP227" i="29"/>
  <c r="AQ227" i="29" s="1"/>
  <c r="AR227" i="29" s="1"/>
  <c r="AP516" i="29"/>
  <c r="AQ516" i="29" s="1"/>
  <c r="AR516" i="29" s="1"/>
  <c r="AP360" i="29"/>
  <c r="AQ360" i="29" s="1"/>
  <c r="AR360" i="29" s="1"/>
  <c r="AP131" i="29"/>
  <c r="AQ131" i="29" s="1"/>
  <c r="AR131" i="29" s="1"/>
  <c r="AP44" i="29"/>
  <c r="AQ44" i="29" s="1"/>
  <c r="AR44" i="29" s="1"/>
  <c r="AP224" i="29"/>
  <c r="AQ224" i="29" s="1"/>
  <c r="AR224" i="29" s="1"/>
  <c r="AP539" i="29"/>
  <c r="AQ539" i="29" s="1"/>
  <c r="AR539" i="29" s="1"/>
  <c r="AP207" i="29"/>
  <c r="AQ207" i="29" s="1"/>
  <c r="AR207" i="29" s="1"/>
  <c r="AP424" i="29"/>
  <c r="AQ424" i="29" s="1"/>
  <c r="AR424" i="29" s="1"/>
  <c r="AP529" i="29"/>
  <c r="AQ529" i="29" s="1"/>
  <c r="AR529" i="29" s="1"/>
  <c r="AP129" i="29"/>
  <c r="AQ129" i="29" s="1"/>
  <c r="AR129" i="29" s="1"/>
  <c r="AP613" i="29"/>
  <c r="AQ613" i="29" s="1"/>
  <c r="AR613" i="29" s="1"/>
  <c r="AP265" i="29"/>
  <c r="AQ265" i="29" s="1"/>
  <c r="AR265" i="29" s="1"/>
  <c r="AP433" i="29"/>
  <c r="AQ433" i="29" s="1"/>
  <c r="AR433" i="29" s="1"/>
  <c r="AP505" i="29"/>
  <c r="AQ505" i="29" s="1"/>
  <c r="AR505" i="29" s="1"/>
  <c r="AP57" i="29"/>
  <c r="AQ57" i="29" s="1"/>
  <c r="AR57" i="29" s="1"/>
  <c r="AP178" i="29"/>
  <c r="AQ178" i="29" s="1"/>
  <c r="AR178" i="29" s="1"/>
  <c r="AP277" i="29"/>
  <c r="AQ277" i="29" s="1"/>
  <c r="AR277" i="29" s="1"/>
  <c r="AP200" i="29"/>
  <c r="AQ200" i="29" s="1"/>
  <c r="AR200" i="29" s="1"/>
  <c r="AP449" i="29"/>
  <c r="AQ449" i="29" s="1"/>
  <c r="AR449" i="29" s="1"/>
  <c r="AP113" i="29"/>
  <c r="AQ113" i="29" s="1"/>
  <c r="AR113" i="29" s="1"/>
  <c r="AP73" i="29"/>
  <c r="AQ73" i="29" s="1"/>
  <c r="AR73" i="29" s="1"/>
  <c r="AP59" i="29"/>
  <c r="AQ59" i="29" s="1"/>
  <c r="AR59" i="29" s="1"/>
  <c r="AP540" i="29"/>
  <c r="AQ540" i="29" s="1"/>
  <c r="AR540" i="29" s="1"/>
  <c r="AP92" i="29"/>
  <c r="AQ92" i="29" s="1"/>
  <c r="AR92" i="29" s="1"/>
  <c r="AP335" i="29"/>
  <c r="AQ335" i="29" s="1"/>
  <c r="AR335" i="29" s="1"/>
  <c r="AP251" i="29"/>
  <c r="AQ251" i="29" s="1"/>
  <c r="AR251" i="29" s="1"/>
  <c r="AP438" i="29"/>
  <c r="AQ438" i="29" s="1"/>
  <c r="AR438" i="29" s="1"/>
  <c r="AP108" i="29"/>
  <c r="AQ108" i="29" s="1"/>
  <c r="AR108" i="29" s="1"/>
  <c r="AP183" i="29"/>
  <c r="AQ183" i="29" s="1"/>
  <c r="AR183" i="29" s="1"/>
  <c r="AP283" i="29"/>
  <c r="AQ283" i="29" s="1"/>
  <c r="AR283" i="29" s="1"/>
  <c r="AP170" i="29"/>
  <c r="AQ170" i="29" s="1"/>
  <c r="AR170" i="29" s="1"/>
  <c r="AP530" i="29"/>
  <c r="AQ530" i="29" s="1"/>
  <c r="AR530" i="29" s="1"/>
  <c r="AP388" i="29"/>
  <c r="AQ388" i="29" s="1"/>
  <c r="AR388" i="29" s="1"/>
  <c r="AP18" i="29"/>
  <c r="AQ18" i="29" s="1"/>
  <c r="AR18" i="29" s="1"/>
  <c r="AP284" i="29"/>
  <c r="AQ284" i="29" s="1"/>
  <c r="AR284" i="29" s="1"/>
  <c r="AP307" i="29"/>
  <c r="AQ307" i="29" s="1"/>
  <c r="AR307" i="29" s="1"/>
  <c r="AP310" i="29"/>
  <c r="AQ310" i="29" s="1"/>
  <c r="AR310" i="29" s="1"/>
  <c r="AP273" i="29"/>
  <c r="AQ273" i="29" s="1"/>
  <c r="AR273" i="29" s="1"/>
  <c r="AP215" i="29"/>
  <c r="AQ215" i="29" s="1"/>
  <c r="AR215" i="29" s="1"/>
  <c r="AP582" i="29"/>
  <c r="AQ582" i="29" s="1"/>
  <c r="AR582" i="29" s="1"/>
  <c r="AP478" i="29"/>
  <c r="AQ478" i="29" s="1"/>
  <c r="AR478" i="29" s="1"/>
  <c r="AP67" i="29"/>
  <c r="AQ67" i="29" s="1"/>
  <c r="AR67" i="29" s="1"/>
  <c r="AP546" i="29"/>
  <c r="AQ546" i="29" s="1"/>
  <c r="AR546" i="29" s="1"/>
  <c r="AP551" i="29"/>
  <c r="AQ551" i="29" s="1"/>
  <c r="AR551" i="29" s="1"/>
  <c r="AP46" i="29"/>
  <c r="AQ46" i="29" s="1"/>
  <c r="AR46" i="29" s="1"/>
  <c r="AP161" i="29"/>
  <c r="AQ161" i="29" s="1"/>
  <c r="AR161" i="29" s="1"/>
  <c r="AP393" i="29"/>
  <c r="AQ393" i="29" s="1"/>
  <c r="AR393" i="29" s="1"/>
  <c r="AP193" i="29"/>
  <c r="AQ193" i="29" s="1"/>
  <c r="AR193" i="29" s="1"/>
  <c r="AP526" i="29"/>
  <c r="AQ526" i="29" s="1"/>
  <c r="AR526" i="29" s="1"/>
  <c r="AP239" i="29"/>
  <c r="AQ239" i="29" s="1"/>
  <c r="AR239" i="29" s="1"/>
  <c r="AP37" i="29"/>
  <c r="AQ37" i="29" s="1"/>
  <c r="AR37" i="29" s="1"/>
  <c r="AP523" i="29"/>
  <c r="AQ523" i="29" s="1"/>
  <c r="AR523" i="29" s="1"/>
  <c r="AP40" i="29"/>
  <c r="AQ40" i="29" s="1"/>
  <c r="AR40" i="29" s="1"/>
  <c r="AP370" i="29"/>
  <c r="AQ370" i="29" s="1"/>
  <c r="AR370" i="29" s="1"/>
  <c r="AP188" i="29"/>
  <c r="AQ188" i="29" s="1"/>
  <c r="AR188" i="29" s="1"/>
  <c r="AP72" i="29"/>
  <c r="AQ72" i="29" s="1"/>
  <c r="AR72" i="29" s="1"/>
  <c r="AP547" i="29"/>
  <c r="AQ547" i="29" s="1"/>
  <c r="AR547" i="29" s="1"/>
  <c r="AP445" i="29"/>
  <c r="AQ445" i="29" s="1"/>
  <c r="AR445" i="29" s="1"/>
  <c r="AP573" i="29"/>
  <c r="AQ573" i="29" s="1"/>
  <c r="AR573" i="29" s="1"/>
  <c r="AP456" i="29"/>
  <c r="AQ456" i="29" s="1"/>
  <c r="AR456" i="29" s="1"/>
  <c r="AP318" i="29"/>
  <c r="AQ318" i="29" s="1"/>
  <c r="AR318" i="29" s="1"/>
  <c r="AP298" i="29"/>
  <c r="AQ298" i="29" s="1"/>
  <c r="AR298" i="29" s="1"/>
  <c r="AP49" i="29"/>
  <c r="AQ49" i="29" s="1"/>
  <c r="AR49" i="29" s="1"/>
  <c r="AP446" i="29"/>
  <c r="AQ446" i="29" s="1"/>
  <c r="AR446" i="29" s="1"/>
  <c r="AP189" i="29"/>
  <c r="AQ189" i="29" s="1"/>
  <c r="AR189" i="29" s="1"/>
  <c r="AP70" i="29"/>
  <c r="AQ70" i="29" s="1"/>
  <c r="AR70" i="29" s="1"/>
  <c r="AP531" i="29"/>
  <c r="AQ531" i="29" s="1"/>
  <c r="AR531" i="29" s="1"/>
  <c r="AP329" i="29"/>
  <c r="AQ329" i="29" s="1"/>
  <c r="AR329" i="29" s="1"/>
  <c r="AP240" i="29"/>
  <c r="AQ240" i="29" s="1"/>
  <c r="AR240" i="29" s="1"/>
  <c r="AP146" i="29"/>
  <c r="AQ146" i="29" s="1"/>
  <c r="AR146" i="29" s="1"/>
  <c r="AP320" i="29"/>
  <c r="AQ320" i="29" s="1"/>
  <c r="AR320" i="29" s="1"/>
  <c r="AP448" i="29"/>
  <c r="AQ448" i="29" s="1"/>
  <c r="AR448" i="29" s="1"/>
  <c r="AP39" i="29"/>
  <c r="AQ39" i="29" s="1"/>
  <c r="AR39" i="29" s="1"/>
  <c r="AP381" i="29"/>
  <c r="AQ381" i="29" s="1"/>
  <c r="AR381" i="29" s="1"/>
  <c r="AP138" i="29"/>
  <c r="AQ138" i="29" s="1"/>
  <c r="AR138" i="29" s="1"/>
  <c r="AP313" i="29"/>
  <c r="AQ313" i="29" s="1"/>
  <c r="AR313" i="29" s="1"/>
  <c r="AP558" i="29"/>
  <c r="AQ558" i="29" s="1"/>
  <c r="AR558" i="29" s="1"/>
  <c r="AP415" i="29"/>
  <c r="AQ415" i="29" s="1"/>
  <c r="AR415" i="29" s="1"/>
  <c r="AP519" i="29"/>
  <c r="AQ519" i="29" s="1"/>
  <c r="AR519" i="29" s="1"/>
  <c r="AP257" i="29"/>
  <c r="AQ257" i="29" s="1"/>
  <c r="AR257" i="29" s="1"/>
  <c r="AP225" i="29"/>
  <c r="AQ225" i="29" s="1"/>
  <c r="AR225" i="29" s="1"/>
  <c r="AP235" i="29"/>
  <c r="AQ235" i="29" s="1"/>
  <c r="AR235" i="29" s="1"/>
  <c r="AP559" i="29"/>
  <c r="AQ559" i="29" s="1"/>
  <c r="AR559" i="29" s="1"/>
  <c r="AP597" i="29"/>
  <c r="AQ597" i="29" s="1"/>
  <c r="AR597" i="29" s="1"/>
  <c r="AP171" i="29"/>
  <c r="AQ171" i="29" s="1"/>
  <c r="AR171" i="29" s="1"/>
  <c r="AP65" i="29"/>
  <c r="AQ65" i="29" s="1"/>
  <c r="AR65" i="29" s="1"/>
  <c r="AP141" i="29"/>
  <c r="AQ141" i="29" s="1"/>
  <c r="AR141" i="29" s="1"/>
  <c r="AP107" i="29"/>
  <c r="AQ107" i="29" s="1"/>
  <c r="AR107" i="29" s="1"/>
  <c r="AP348" i="29"/>
  <c r="AQ348" i="29" s="1"/>
  <c r="AR348" i="29" s="1"/>
  <c r="AP71" i="29"/>
  <c r="AQ71" i="29" s="1"/>
  <c r="AR71" i="29" s="1"/>
  <c r="AP428" i="29"/>
  <c r="AQ428" i="29" s="1"/>
  <c r="AR428" i="29" s="1"/>
  <c r="AP337" i="29"/>
  <c r="AQ337" i="29" s="1"/>
  <c r="AR337" i="29" s="1"/>
  <c r="AP538" i="29"/>
  <c r="AQ538" i="29" s="1"/>
  <c r="AR538" i="29" s="1"/>
  <c r="AP552" i="29"/>
  <c r="AQ552" i="29" s="1"/>
  <c r="AR552" i="29" s="1"/>
  <c r="AP115" i="29"/>
  <c r="AQ115" i="29" s="1"/>
  <c r="AR115" i="29" s="1"/>
  <c r="AP396" i="29"/>
  <c r="AQ396" i="29" s="1"/>
  <c r="AR396" i="29" s="1"/>
  <c r="AP574" i="29"/>
  <c r="AQ574" i="29" s="1"/>
  <c r="AR574" i="29" s="1"/>
  <c r="AP423" i="29"/>
  <c r="AQ423" i="29" s="1"/>
  <c r="AR423" i="29" s="1"/>
  <c r="AP354" i="29"/>
  <c r="AQ354" i="29" s="1"/>
  <c r="AR354" i="29" s="1"/>
  <c r="AP358" i="29"/>
  <c r="AQ358" i="29" s="1"/>
  <c r="AR358" i="29" s="1"/>
  <c r="AP612" i="29"/>
  <c r="AQ612" i="29" s="1"/>
  <c r="AR612" i="29" s="1"/>
  <c r="AP94" i="29"/>
  <c r="AQ94" i="29" s="1"/>
  <c r="AR94" i="29" s="1"/>
  <c r="AP196" i="29"/>
  <c r="AQ196" i="29" s="1"/>
  <c r="AR196" i="29" s="1"/>
  <c r="AP611" i="29"/>
  <c r="AQ611" i="29" s="1"/>
  <c r="AR611" i="29" s="1"/>
  <c r="AP262" i="29"/>
  <c r="AQ262" i="29" s="1"/>
  <c r="AR262" i="29" s="1"/>
  <c r="AP267" i="29"/>
  <c r="AQ267" i="29" s="1"/>
  <c r="AR267" i="29" s="1"/>
  <c r="AP595" i="29"/>
  <c r="AQ595" i="29" s="1"/>
  <c r="AR595" i="29" s="1"/>
  <c r="AP405" i="29"/>
  <c r="AQ405" i="29" s="1"/>
  <c r="AR405" i="29" s="1"/>
  <c r="AP231" i="29"/>
  <c r="AQ231" i="29" s="1"/>
  <c r="AR231" i="29" s="1"/>
  <c r="AP490" i="29"/>
  <c r="AQ490" i="29" s="1"/>
  <c r="AR490" i="29" s="1"/>
  <c r="AP461" i="29"/>
  <c r="AQ461" i="29" s="1"/>
  <c r="AR461" i="29" s="1"/>
  <c r="AP355" i="29"/>
  <c r="AQ355" i="29" s="1"/>
  <c r="AR355" i="29" s="1"/>
  <c r="AP435" i="29"/>
  <c r="AQ435" i="29" s="1"/>
  <c r="AR435" i="29" s="1"/>
  <c r="AP442" i="29"/>
  <c r="AQ442" i="29" s="1"/>
  <c r="AR442" i="29" s="1"/>
  <c r="AP106" i="29"/>
  <c r="AQ106" i="29" s="1"/>
  <c r="AR106" i="29" s="1"/>
  <c r="AP157" i="29"/>
  <c r="AQ157" i="29" s="1"/>
  <c r="AR157" i="29" s="1"/>
  <c r="AP101" i="29"/>
  <c r="AQ101" i="29" s="1"/>
  <c r="AR101" i="29" s="1"/>
  <c r="AP350" i="29"/>
  <c r="AQ350" i="29" s="1"/>
  <c r="AR350" i="29" s="1"/>
  <c r="AP130" i="29"/>
  <c r="AQ130" i="29" s="1"/>
  <c r="AR130" i="29" s="1"/>
  <c r="AP47" i="29"/>
  <c r="AQ47" i="29" s="1"/>
  <c r="AR47" i="29" s="1"/>
  <c r="AP173" i="29"/>
  <c r="AQ173" i="29" s="1"/>
  <c r="AR173" i="29" s="1"/>
  <c r="AP589" i="29"/>
  <c r="AQ589" i="29" s="1"/>
  <c r="AR589" i="29" s="1"/>
  <c r="AP17" i="29"/>
  <c r="AQ17" i="29" s="1"/>
  <c r="AR17" i="29" s="1"/>
  <c r="AP604" i="29"/>
  <c r="AQ604" i="29" s="1"/>
  <c r="AR604" i="29" s="1"/>
  <c r="AP104" i="29"/>
  <c r="AQ104" i="29" s="1"/>
  <c r="AR104" i="29" s="1"/>
  <c r="AP376" i="29"/>
  <c r="AQ376" i="29" s="1"/>
  <c r="AR376" i="29" s="1"/>
  <c r="AP498" i="29"/>
  <c r="AQ498" i="29" s="1"/>
  <c r="AR498" i="29" s="1"/>
  <c r="AP608" i="29"/>
  <c r="AQ608" i="29" s="1"/>
  <c r="AR608" i="29" s="1"/>
  <c r="AP334" i="29"/>
  <c r="AQ334" i="29" s="1"/>
  <c r="AR334" i="29" s="1"/>
  <c r="AP135" i="29"/>
  <c r="AQ135" i="29" s="1"/>
  <c r="AR135" i="29" s="1"/>
  <c r="AP166" i="29"/>
  <c r="AQ166" i="29" s="1"/>
  <c r="AR166" i="29" s="1"/>
  <c r="AP81" i="29"/>
  <c r="AQ81" i="29" s="1"/>
  <c r="AR81" i="29" s="1"/>
  <c r="AP169" i="29"/>
  <c r="AQ169" i="29" s="1"/>
  <c r="AR169" i="29" s="1"/>
  <c r="AP570" i="29"/>
  <c r="AQ570" i="29" s="1"/>
  <c r="AR570" i="29" s="1"/>
  <c r="AP158" i="29"/>
  <c r="AQ158" i="29" s="1"/>
  <c r="AR158" i="29" s="1"/>
  <c r="AP261" i="29"/>
  <c r="AQ261" i="29" s="1"/>
  <c r="AR261" i="29" s="1"/>
  <c r="AP317" i="29"/>
  <c r="AQ317" i="29" s="1"/>
  <c r="AR317" i="29" s="1"/>
  <c r="AP344" i="29"/>
  <c r="AQ344" i="29" s="1"/>
  <c r="AR344" i="29" s="1"/>
  <c r="AP301" i="29"/>
  <c r="AQ301" i="29" s="1"/>
  <c r="AR301" i="29" s="1"/>
  <c r="AP342" i="29"/>
  <c r="AQ342" i="29" s="1"/>
  <c r="AR342" i="29" s="1"/>
  <c r="AP278" i="29"/>
  <c r="AQ278" i="29" s="1"/>
  <c r="AR278" i="29" s="1"/>
  <c r="AP292" i="29"/>
  <c r="AQ292" i="29" s="1"/>
  <c r="AR292" i="29" s="1"/>
  <c r="AP398" i="29"/>
  <c r="AQ398" i="29" s="1"/>
  <c r="AR398" i="29" s="1"/>
  <c r="AP31" i="29"/>
  <c r="AQ31" i="29" s="1"/>
  <c r="AR31" i="29" s="1"/>
  <c r="AP90" i="29"/>
  <c r="AQ90" i="29" s="1"/>
  <c r="AR90" i="29" s="1"/>
  <c r="AP28" i="29"/>
  <c r="AQ28" i="29" s="1"/>
  <c r="AR28" i="29" s="1"/>
  <c r="AP544" i="29"/>
  <c r="AQ544" i="29" s="1"/>
  <c r="AR544" i="29" s="1"/>
  <c r="AP245" i="29"/>
  <c r="AQ245" i="29" s="1"/>
  <c r="AR245" i="29" s="1"/>
  <c r="AP19" i="29"/>
  <c r="AQ19" i="29" s="1"/>
  <c r="AR19" i="29" s="1"/>
  <c r="AP25" i="29"/>
  <c r="AQ25" i="29" s="1"/>
  <c r="AR25" i="29" s="1"/>
  <c r="AP124" i="29"/>
  <c r="AQ124" i="29" s="1"/>
  <c r="AR124" i="29" s="1"/>
  <c r="AP68" i="29"/>
  <c r="AQ68" i="29" s="1"/>
  <c r="AR68" i="29" s="1"/>
  <c r="AP140" i="29"/>
  <c r="AQ140" i="29" s="1"/>
  <c r="AR140" i="29" s="1"/>
  <c r="AP332" i="29"/>
  <c r="AQ332" i="29" s="1"/>
  <c r="AR332" i="29" s="1"/>
  <c r="AP203" i="29"/>
  <c r="AQ203" i="29" s="1"/>
  <c r="AR203" i="29" s="1"/>
  <c r="AP88" i="29"/>
  <c r="AQ88" i="29" s="1"/>
  <c r="AR88" i="29" s="1"/>
  <c r="AP494" i="29"/>
  <c r="AQ494" i="29" s="1"/>
  <c r="AR494" i="29" s="1"/>
  <c r="AP63" i="29"/>
  <c r="AQ63" i="29" s="1"/>
  <c r="AR63" i="29" s="1"/>
  <c r="AP87" i="29"/>
  <c r="AQ87" i="29" s="1"/>
  <c r="AR87" i="29" s="1"/>
  <c r="AP29" i="29"/>
  <c r="AQ29" i="29" s="1"/>
  <c r="AR29" i="29" s="1"/>
  <c r="AP605" i="29"/>
  <c r="AQ605" i="29" s="1"/>
  <c r="AR605" i="29" s="1"/>
  <c r="AP585" i="29"/>
  <c r="AQ585" i="29" s="1"/>
  <c r="AR585" i="29" s="1"/>
  <c r="AP346" i="29"/>
  <c r="AQ346" i="29" s="1"/>
  <c r="AR346" i="29" s="1"/>
  <c r="AP601" i="29"/>
  <c r="AQ601" i="29" s="1"/>
  <c r="AR601" i="29" s="1"/>
  <c r="AP202" i="29"/>
  <c r="AQ202" i="29" s="1"/>
  <c r="AR202" i="29" s="1"/>
  <c r="AP432" i="29"/>
  <c r="AQ432" i="29" s="1"/>
  <c r="AR432" i="29" s="1"/>
  <c r="AP496" i="29"/>
  <c r="AQ496" i="29" s="1"/>
  <c r="AR496" i="29" s="1"/>
  <c r="AP229" i="29"/>
  <c r="AQ229" i="29" s="1"/>
  <c r="AR229" i="29" s="1"/>
  <c r="AP561" i="29"/>
  <c r="AQ561" i="29" s="1"/>
  <c r="AR561" i="29" s="1"/>
  <c r="AP521" i="29"/>
  <c r="AQ521" i="29" s="1"/>
  <c r="AR521" i="29" s="1"/>
  <c r="AP254" i="29"/>
  <c r="AQ254" i="29" s="1"/>
  <c r="AR254" i="29" s="1"/>
  <c r="AP487" i="29"/>
  <c r="AQ487" i="29" s="1"/>
  <c r="AR487" i="29" s="1"/>
  <c r="AP560" i="29"/>
  <c r="AQ560" i="29" s="1"/>
  <c r="AR560" i="29" s="1"/>
  <c r="AP575" i="29"/>
  <c r="AQ575" i="29" s="1"/>
  <c r="AR575" i="29" s="1"/>
  <c r="AP462" i="29"/>
  <c r="AQ462" i="29" s="1"/>
  <c r="AR462" i="29" s="1"/>
  <c r="AP305" i="29"/>
  <c r="AQ305" i="29" s="1"/>
  <c r="AR305" i="29" s="1"/>
  <c r="AP151" i="29"/>
  <c r="AQ151" i="29" s="1"/>
  <c r="AR151" i="29" s="1"/>
  <c r="AP287" i="29"/>
  <c r="AQ287" i="29" s="1"/>
  <c r="AR287" i="29" s="1"/>
  <c r="AP588" i="29"/>
  <c r="AQ588" i="29" s="1"/>
  <c r="AR588" i="29" s="1"/>
  <c r="AP319" i="29"/>
  <c r="AQ319" i="29" s="1"/>
  <c r="AR319" i="29" s="1"/>
  <c r="AP279" i="29"/>
  <c r="AQ279" i="29" s="1"/>
  <c r="AR279" i="29" s="1"/>
  <c r="AP437" i="29"/>
  <c r="AQ437" i="29" s="1"/>
  <c r="AR437" i="29" s="1"/>
  <c r="AP100" i="29"/>
  <c r="AQ100" i="29" s="1"/>
  <c r="AR100" i="29" s="1"/>
  <c r="AP500" i="29"/>
  <c r="AQ500" i="29" s="1"/>
  <c r="AR500" i="29" s="1"/>
  <c r="AP400" i="29"/>
  <c r="AQ400" i="29" s="1"/>
  <c r="AR400" i="29" s="1"/>
  <c r="AP495" i="29"/>
  <c r="AQ495" i="29" s="1"/>
  <c r="AR495" i="29" s="1"/>
  <c r="AP569" i="29"/>
  <c r="AQ569" i="29" s="1"/>
  <c r="AR569" i="29" s="1"/>
  <c r="AP411" i="29"/>
  <c r="AQ411" i="29" s="1"/>
  <c r="AR411" i="29" s="1"/>
  <c r="AP439" i="29"/>
  <c r="AQ439" i="29" s="1"/>
  <c r="AR439" i="29" s="1"/>
  <c r="AP409" i="29"/>
  <c r="AQ409" i="29" s="1"/>
  <c r="AR409" i="29" s="1"/>
  <c r="AP41" i="29"/>
  <c r="AQ41" i="29" s="1"/>
  <c r="AR41" i="29" s="1"/>
  <c r="AP247" i="29"/>
  <c r="AQ247" i="29" s="1"/>
  <c r="AR247" i="29" s="1"/>
  <c r="AP562" i="29"/>
  <c r="AQ562" i="29" s="1"/>
  <c r="AR562" i="29" s="1"/>
  <c r="AP42" i="29"/>
  <c r="AQ42" i="29" s="1"/>
  <c r="AR42" i="29" s="1"/>
  <c r="AP60" i="29"/>
  <c r="AQ60" i="29" s="1"/>
  <c r="AR60" i="29" s="1"/>
  <c r="AP579" i="29"/>
  <c r="AQ579" i="29" s="1"/>
  <c r="AR579" i="29" s="1"/>
  <c r="AP359" i="29"/>
  <c r="AQ359" i="29" s="1"/>
  <c r="AR359" i="29" s="1"/>
  <c r="AP578" i="29"/>
  <c r="AQ578" i="29" s="1"/>
  <c r="AR578" i="29" s="1"/>
  <c r="AP260" i="29"/>
  <c r="AQ260" i="29" s="1"/>
  <c r="AR260" i="29" s="1"/>
  <c r="AP20" i="29"/>
  <c r="AQ20" i="29" s="1"/>
  <c r="AR20" i="29" s="1"/>
  <c r="AP43" i="29"/>
  <c r="AQ43" i="29" s="1"/>
  <c r="AR43" i="29" s="1"/>
  <c r="AP484" i="29"/>
  <c r="AQ484" i="29" s="1"/>
  <c r="AR484" i="29" s="1"/>
  <c r="AP457" i="29"/>
  <c r="AQ457" i="29" s="1"/>
  <c r="AR457" i="29" s="1"/>
  <c r="AP413" i="29"/>
  <c r="AQ413" i="29" s="1"/>
  <c r="AR413" i="29" s="1"/>
  <c r="AP91" i="29"/>
  <c r="AQ91" i="29" s="1"/>
  <c r="AR91" i="29" s="1"/>
  <c r="AP150" i="29"/>
  <c r="AQ150" i="29" s="1"/>
  <c r="AR150" i="29" s="1"/>
  <c r="AP238" i="29"/>
  <c r="AQ238" i="29" s="1"/>
  <c r="AR238" i="29" s="1"/>
  <c r="AP374" i="29"/>
  <c r="AQ374" i="29" s="1"/>
  <c r="AR374" i="29" s="1"/>
  <c r="AP564" i="29"/>
  <c r="AQ564" i="29" s="1"/>
  <c r="AR564" i="29" s="1"/>
  <c r="AP327" i="29"/>
  <c r="AQ327" i="29" s="1"/>
  <c r="AR327" i="29" s="1"/>
  <c r="AP263" i="29"/>
  <c r="AQ263" i="29" s="1"/>
  <c r="AR263" i="29" s="1"/>
  <c r="AP315" i="29"/>
  <c r="AQ315" i="29" s="1"/>
  <c r="AR315" i="29" s="1"/>
  <c r="AP492" i="29"/>
  <c r="AQ492" i="29" s="1"/>
  <c r="AR492" i="29" s="1"/>
  <c r="AP325" i="29"/>
  <c r="AQ325" i="29" s="1"/>
  <c r="AR325" i="29" s="1"/>
  <c r="AP339" i="29"/>
  <c r="AQ339" i="29" s="1"/>
  <c r="AR339" i="29" s="1"/>
  <c r="AP256" i="29"/>
  <c r="AQ256" i="29" s="1"/>
  <c r="AR256" i="29" s="1"/>
  <c r="AP542" i="29"/>
  <c r="AQ542" i="29" s="1"/>
  <c r="AR542" i="29" s="1"/>
  <c r="AP164" i="29"/>
  <c r="AQ164" i="29" s="1"/>
  <c r="AR164" i="29" s="1"/>
  <c r="AP386" i="29"/>
  <c r="AQ386" i="29" s="1"/>
  <c r="AR386" i="29" s="1"/>
  <c r="AP470" i="29"/>
  <c r="AQ470" i="29" s="1"/>
  <c r="AR470" i="29" s="1"/>
  <c r="AP312" i="29"/>
  <c r="AQ312" i="29" s="1"/>
  <c r="AR312" i="29" s="1"/>
  <c r="AP295" i="29"/>
  <c r="AQ295" i="29" s="1"/>
  <c r="AR295" i="29" s="1"/>
  <c r="AP116" i="29"/>
  <c r="AQ116" i="29" s="1"/>
  <c r="AR116" i="29" s="1"/>
  <c r="AP482" i="29"/>
  <c r="AQ482" i="29" s="1"/>
  <c r="AR482" i="29" s="1"/>
  <c r="AP83" i="29"/>
  <c r="AQ83" i="29" s="1"/>
  <c r="AR83" i="29" s="1"/>
  <c r="AP285" i="29"/>
  <c r="AQ285" i="29" s="1"/>
  <c r="AR285" i="29" s="1"/>
  <c r="AP128" i="29"/>
  <c r="AQ128" i="29" s="1"/>
  <c r="AR128" i="29" s="1"/>
  <c r="AP272" i="29"/>
  <c r="AQ272" i="29" s="1"/>
  <c r="AR272" i="29" s="1"/>
  <c r="AP97" i="29"/>
  <c r="AQ97" i="29" s="1"/>
  <c r="AR97" i="29" s="1"/>
  <c r="AP422" i="29"/>
  <c r="AQ422" i="29" s="1"/>
  <c r="AR422" i="29" s="1"/>
  <c r="AP556" i="29"/>
  <c r="AQ556" i="29" s="1"/>
  <c r="AR556" i="29" s="1"/>
  <c r="AP252" i="29"/>
  <c r="AQ252" i="29" s="1"/>
  <c r="AR252" i="29" s="1"/>
  <c r="AP244" i="29"/>
  <c r="AQ244" i="29" s="1"/>
  <c r="AR244" i="29" s="1"/>
  <c r="AP452" i="29"/>
  <c r="AQ452" i="29" s="1"/>
  <c r="AR452" i="29" s="1"/>
  <c r="AP21" i="29"/>
  <c r="AQ21" i="29" s="1"/>
  <c r="AR21" i="29" s="1"/>
  <c r="AP30" i="29"/>
  <c r="AQ30" i="29" s="1"/>
  <c r="AR30" i="29" s="1"/>
  <c r="AP102" i="29"/>
  <c r="AQ102" i="29" s="1"/>
  <c r="AR102" i="29" s="1"/>
  <c r="AP580" i="29"/>
  <c r="AQ580" i="29" s="1"/>
  <c r="AR580" i="29" s="1"/>
  <c r="AP268" i="29"/>
  <c r="AQ268" i="29" s="1"/>
  <c r="AR268" i="29" s="1"/>
  <c r="AP460" i="29"/>
  <c r="AQ460" i="29" s="1"/>
  <c r="AR460" i="29" s="1"/>
  <c r="AP497" i="29"/>
  <c r="AQ497" i="29" s="1"/>
  <c r="AR497" i="29" s="1"/>
  <c r="AP345" i="29"/>
  <c r="AQ345" i="29" s="1"/>
  <c r="AR345" i="29" s="1"/>
  <c r="AP220" i="29"/>
  <c r="AQ220" i="29" s="1"/>
  <c r="AR220" i="29" s="1"/>
  <c r="AP609" i="29"/>
  <c r="AQ609" i="29" s="1"/>
  <c r="AR609" i="29" s="1"/>
  <c r="AP504" i="29"/>
  <c r="AQ504" i="29" s="1"/>
  <c r="AR504" i="29" s="1"/>
  <c r="AP512" i="29"/>
  <c r="AQ512" i="29" s="1"/>
  <c r="AR512" i="29" s="1"/>
  <c r="AP587" i="29"/>
  <c r="AQ587" i="29" s="1"/>
  <c r="AR587" i="29" s="1"/>
  <c r="AP443" i="29"/>
  <c r="AQ443" i="29" s="1"/>
  <c r="AR443" i="29" s="1"/>
  <c r="AP506" i="29"/>
  <c r="AQ506" i="29" s="1"/>
  <c r="AR506" i="29" s="1"/>
  <c r="AP16" i="29"/>
  <c r="AQ16" i="29" s="1"/>
  <c r="AR16" i="29" s="1"/>
  <c r="AP112" i="29"/>
  <c r="AQ112" i="29" s="1"/>
  <c r="AR112" i="29" s="1"/>
  <c r="AP387" i="29"/>
  <c r="AQ387" i="29" s="1"/>
  <c r="AR387" i="29" s="1"/>
  <c r="AP148" i="29"/>
  <c r="AQ148" i="29" s="1"/>
  <c r="AR148" i="29" s="1"/>
  <c r="AP373" i="29"/>
  <c r="AQ373" i="29" s="1"/>
  <c r="AR373" i="29" s="1"/>
  <c r="AP420" i="29"/>
  <c r="AQ420" i="29" s="1"/>
  <c r="AR420" i="29" s="1"/>
  <c r="AP145" i="29"/>
  <c r="AQ145" i="29" s="1"/>
  <c r="AR145" i="29" s="1"/>
  <c r="AP246" i="29"/>
  <c r="AQ246" i="29" s="1"/>
  <c r="AR246" i="29" s="1"/>
  <c r="AP174" i="29"/>
  <c r="AQ174" i="29" s="1"/>
  <c r="AR174" i="29" s="1"/>
  <c r="AP421" i="29"/>
  <c r="AQ421" i="29" s="1"/>
  <c r="AR421" i="29" s="1"/>
  <c r="AP80" i="29"/>
  <c r="AQ80" i="29" s="1"/>
  <c r="AR80" i="29" s="1"/>
  <c r="AP403" i="29"/>
  <c r="AQ403" i="29" s="1"/>
  <c r="AR403" i="29" s="1"/>
  <c r="AP509" i="29"/>
  <c r="AQ509" i="29" s="1"/>
  <c r="AR509" i="29" s="1"/>
  <c r="AP477" i="29"/>
  <c r="AQ477" i="29" s="1"/>
  <c r="AR477" i="29" s="1"/>
  <c r="AP479" i="29"/>
  <c r="AQ479" i="29" s="1"/>
  <c r="AR479" i="29" s="1"/>
  <c r="AP566" i="29"/>
  <c r="AQ566" i="29" s="1"/>
  <c r="AR566" i="29" s="1"/>
  <c r="AP172" i="29"/>
  <c r="AQ172" i="29" s="1"/>
  <c r="AR172" i="29" s="1"/>
  <c r="AP471" i="29"/>
  <c r="AQ471" i="29" s="1"/>
  <c r="AR471" i="29" s="1"/>
  <c r="AP553" i="29"/>
  <c r="AQ553" i="29" s="1"/>
  <c r="AR553" i="29" s="1"/>
  <c r="AP121" i="29"/>
  <c r="AQ121" i="29" s="1"/>
  <c r="AR121" i="29" s="1"/>
  <c r="AP363" i="29"/>
  <c r="AQ363" i="29" s="1"/>
  <c r="AR363" i="29" s="1"/>
  <c r="AP549" i="29"/>
  <c r="AQ549" i="29" s="1"/>
  <c r="AR549" i="29" s="1"/>
  <c r="AP274" i="29"/>
  <c r="AQ274" i="29" s="1"/>
  <c r="AR274" i="29" s="1"/>
  <c r="AP425" i="29"/>
  <c r="AQ425" i="29" s="1"/>
  <c r="AR425" i="29" s="1"/>
  <c r="AP316" i="29"/>
  <c r="AQ316" i="29" s="1"/>
  <c r="AR316" i="29" s="1"/>
  <c r="AP343" i="29"/>
  <c r="AQ343" i="29" s="1"/>
  <c r="AR343" i="29" s="1"/>
  <c r="AP508" i="29"/>
  <c r="AQ508" i="29" s="1"/>
  <c r="AR508" i="29" s="1"/>
  <c r="AP366" i="29"/>
  <c r="AQ366" i="29" s="1"/>
  <c r="AR366" i="29" s="1"/>
  <c r="AP297" i="29"/>
  <c r="AQ297" i="29" s="1"/>
  <c r="AR297" i="29" s="1"/>
  <c r="AP48" i="29"/>
  <c r="AQ48" i="29" s="1"/>
  <c r="AR48" i="29" s="1"/>
  <c r="AP142" i="29"/>
  <c r="AQ142" i="29" s="1"/>
  <c r="AR142" i="29" s="1"/>
  <c r="AP127" i="29"/>
  <c r="AQ127" i="29" s="1"/>
  <c r="AR127" i="29" s="1"/>
  <c r="AP408" i="29"/>
  <c r="AQ408" i="29" s="1"/>
  <c r="AR408" i="29" s="1"/>
  <c r="AP511" i="29"/>
  <c r="AQ511" i="29" s="1"/>
  <c r="AR511" i="29" s="1"/>
  <c r="AP69" i="29"/>
  <c r="AQ69" i="29" s="1"/>
  <c r="AR69" i="29" s="1"/>
  <c r="AP205" i="29"/>
  <c r="AQ205" i="29" s="1"/>
  <c r="AR205" i="29" s="1"/>
  <c r="AP377" i="29"/>
  <c r="AQ377" i="29" s="1"/>
  <c r="AR377" i="29" s="1"/>
  <c r="AP93" i="29"/>
  <c r="AQ93" i="29" s="1"/>
  <c r="AR93" i="29" s="1"/>
  <c r="AP331" i="29"/>
  <c r="AQ331" i="29" s="1"/>
  <c r="AR331" i="29" s="1"/>
  <c r="AP76" i="29"/>
  <c r="AQ76" i="29" s="1"/>
  <c r="AR76" i="29" s="1"/>
  <c r="AP395" i="29"/>
  <c r="AQ395" i="29" s="1"/>
  <c r="AR395" i="29" s="1"/>
  <c r="AP14" i="29"/>
  <c r="AQ14" i="29" s="1"/>
  <c r="AR14" i="29" s="1"/>
  <c r="AP602" i="29"/>
  <c r="AQ602" i="29" s="1"/>
  <c r="AR602" i="29" s="1"/>
  <c r="AP242" i="29"/>
  <c r="AQ242" i="29" s="1"/>
  <c r="AR242" i="29" s="1"/>
  <c r="AP230" i="29"/>
  <c r="AQ230" i="29" s="1"/>
  <c r="AR230" i="29" s="1"/>
  <c r="AP486" i="29"/>
  <c r="AQ486" i="29" s="1"/>
  <c r="AR486" i="29" s="1"/>
  <c r="AP23" i="29"/>
  <c r="AQ23" i="29" s="1"/>
  <c r="AR23" i="29" s="1"/>
  <c r="AP211" i="29"/>
  <c r="AQ211" i="29" s="1"/>
  <c r="AR211" i="29" s="1"/>
  <c r="AP453" i="29"/>
  <c r="AQ453" i="29" s="1"/>
  <c r="AR453" i="29" s="1"/>
  <c r="AP528" i="29"/>
  <c r="AQ528" i="29" s="1"/>
  <c r="AR528" i="29" s="1"/>
  <c r="AP77" i="29"/>
  <c r="AQ77" i="29" s="1"/>
  <c r="AR77" i="29" s="1"/>
  <c r="AP271" i="29"/>
  <c r="AQ271" i="29" s="1"/>
  <c r="AR271" i="29" s="1"/>
  <c r="AP385" i="29"/>
  <c r="AQ385" i="29" s="1"/>
  <c r="AR385" i="29" s="1"/>
  <c r="AP232" i="29"/>
  <c r="AQ232" i="29" s="1"/>
  <c r="AR232" i="29" s="1"/>
  <c r="AP74" i="29"/>
  <c r="AQ74" i="29" s="1"/>
  <c r="AR74" i="29" s="1"/>
  <c r="AP384" i="29"/>
  <c r="AQ384" i="29" s="1"/>
  <c r="AR384" i="29" s="1"/>
  <c r="AP514" i="29"/>
  <c r="AQ514" i="29" s="1"/>
  <c r="AR514" i="29" s="1"/>
  <c r="AP427" i="29"/>
  <c r="AQ427" i="29" s="1"/>
  <c r="AR427" i="29" s="1"/>
  <c r="AP328" i="29"/>
  <c r="AQ328" i="29" s="1"/>
  <c r="AR328" i="29" s="1"/>
  <c r="AP517" i="29"/>
  <c r="AQ517" i="29" s="1"/>
  <c r="AR517" i="29" s="1"/>
  <c r="AP404" i="29"/>
  <c r="AQ404" i="29" s="1"/>
  <c r="AR404" i="29" s="1"/>
  <c r="AP389" i="29"/>
  <c r="AQ389" i="29" s="1"/>
  <c r="AR389" i="29" s="1"/>
  <c r="AP372" i="29"/>
  <c r="AQ372" i="29" s="1"/>
  <c r="AR372" i="29" s="1"/>
  <c r="AP300" i="29"/>
  <c r="AQ300" i="29" s="1"/>
  <c r="AR300" i="29" s="1"/>
  <c r="AP493" i="29"/>
  <c r="AQ493" i="29" s="1"/>
  <c r="AR493" i="29" s="1"/>
  <c r="AP219" i="29"/>
  <c r="AQ219" i="29" s="1"/>
  <c r="AR219" i="29" s="1"/>
  <c r="AP123" i="29"/>
  <c r="AQ123" i="29" s="1"/>
  <c r="AR123" i="29" s="1"/>
  <c r="AP22" i="29"/>
  <c r="AQ22" i="29" s="1"/>
  <c r="AR22" i="29" s="1"/>
  <c r="AP431" i="29"/>
  <c r="AQ431" i="29" s="1"/>
  <c r="AR431" i="29" s="1"/>
  <c r="AP156" i="29"/>
  <c r="AQ156" i="29" s="1"/>
  <c r="AR156" i="29" s="1"/>
  <c r="AP472" i="29"/>
  <c r="AQ472" i="29" s="1"/>
  <c r="AR472" i="29" s="1"/>
  <c r="AP364" i="29"/>
  <c r="AQ364" i="29" s="1"/>
  <c r="AR364" i="29" s="1"/>
  <c r="AP489" i="29"/>
  <c r="AQ489" i="29" s="1"/>
  <c r="AR489" i="29" s="1"/>
  <c r="AP444" i="29"/>
  <c r="AQ444" i="29" s="1"/>
  <c r="AR444" i="29" s="1"/>
  <c r="AP209" i="29"/>
  <c r="AQ209" i="29" s="1"/>
  <c r="AR209" i="29" s="1"/>
  <c r="AP304" i="29"/>
  <c r="AQ304" i="29" s="1"/>
  <c r="AR304" i="29" s="1"/>
  <c r="AP537" i="29"/>
  <c r="AQ537" i="29" s="1"/>
  <c r="AR537" i="29" s="1"/>
  <c r="AP264" i="29"/>
  <c r="AQ264" i="29" s="1"/>
  <c r="AR264" i="29" s="1"/>
  <c r="AP79" i="29"/>
  <c r="AQ79" i="29" s="1"/>
  <c r="AR79" i="29" s="1"/>
  <c r="AP473" i="29"/>
  <c r="AQ473" i="29" s="1"/>
  <c r="AR473" i="29" s="1"/>
  <c r="AP532" i="29"/>
  <c r="AQ532" i="29" s="1"/>
  <c r="AR532" i="29" s="1"/>
  <c r="AP592" i="29"/>
  <c r="AQ592" i="29" s="1"/>
  <c r="AR592" i="29" s="1"/>
  <c r="AP399" i="29"/>
  <c r="AQ399" i="29" s="1"/>
  <c r="AR399" i="29" s="1"/>
  <c r="AP362" i="29"/>
  <c r="AQ362" i="29" s="1"/>
  <c r="AR362" i="29" s="1"/>
  <c r="AP390" i="29"/>
  <c r="AQ390" i="29" s="1"/>
  <c r="AR390" i="29" s="1"/>
  <c r="AP64" i="29"/>
  <c r="AQ64" i="29" s="1"/>
  <c r="AR64" i="29" s="1"/>
  <c r="AP314" i="29"/>
  <c r="AQ314" i="29" s="1"/>
  <c r="AR314" i="29" s="1"/>
  <c r="AP576" i="29"/>
  <c r="AQ576" i="29" s="1"/>
  <c r="AR576" i="29" s="1"/>
  <c r="AP45" i="29"/>
  <c r="AQ45" i="29" s="1"/>
  <c r="AR45" i="29" s="1"/>
  <c r="AP391" i="29"/>
  <c r="AQ391" i="29" s="1"/>
  <c r="AR391" i="29" s="1"/>
  <c r="AP368" i="29"/>
  <c r="AQ368" i="29" s="1"/>
  <c r="AR368" i="29" s="1"/>
  <c r="AP118" i="29"/>
  <c r="AQ118" i="29" s="1"/>
  <c r="AR118" i="29" s="1"/>
  <c r="AP296" i="29"/>
  <c r="AQ296" i="29" s="1"/>
  <c r="AR296" i="29" s="1"/>
  <c r="AP177" i="29"/>
  <c r="AQ177" i="29" s="1"/>
  <c r="AR177" i="29" s="1"/>
  <c r="AP375" i="29"/>
  <c r="AQ375" i="29" s="1"/>
  <c r="AR375" i="29" s="1"/>
  <c r="AP563" i="29"/>
  <c r="AQ563" i="29" s="1"/>
  <c r="AR563" i="29" s="1"/>
  <c r="AP89" i="29"/>
  <c r="AQ89" i="29" s="1"/>
  <c r="AR89" i="29" s="1"/>
  <c r="AP465" i="29"/>
  <c r="AQ465" i="29" s="1"/>
  <c r="AR465" i="29" s="1"/>
  <c r="AP234" i="29"/>
  <c r="AQ234" i="29" s="1"/>
  <c r="AR234" i="29" s="1"/>
  <c r="AP397" i="29"/>
  <c r="AQ397" i="29" s="1"/>
  <c r="AR397" i="29" s="1"/>
  <c r="AP591" i="29"/>
  <c r="AQ591" i="29" s="1"/>
  <c r="AR591" i="29" s="1"/>
  <c r="AP338" i="29"/>
  <c r="AQ338" i="29" s="1"/>
  <c r="AR338" i="29" s="1"/>
  <c r="AP190" i="29"/>
  <c r="AQ190" i="29" s="1"/>
  <c r="AR190" i="29" s="1"/>
  <c r="AP269" i="29"/>
  <c r="AQ269" i="29" s="1"/>
  <c r="AR269" i="29" s="1"/>
  <c r="AP600" i="29"/>
  <c r="AQ600" i="29" s="1"/>
  <c r="AR600" i="29" s="1"/>
  <c r="AP250" i="29"/>
  <c r="AQ250" i="29" s="1"/>
  <c r="AR250" i="29" s="1"/>
  <c r="AP378" i="29"/>
  <c r="AQ378" i="29" s="1"/>
  <c r="AR378" i="29" s="1"/>
  <c r="AP361" i="29"/>
  <c r="AQ361" i="29" s="1"/>
  <c r="AR361" i="29" s="1"/>
  <c r="AP249" i="29"/>
  <c r="AQ249" i="29" s="1"/>
  <c r="AR249" i="29" s="1"/>
  <c r="AP407" i="29"/>
  <c r="AQ407" i="29" s="1"/>
  <c r="AR407" i="29" s="1"/>
  <c r="AP323" i="29"/>
  <c r="AQ323" i="29" s="1"/>
  <c r="AR323" i="29" s="1"/>
  <c r="AP184" i="29"/>
  <c r="AQ184" i="29" s="1"/>
  <c r="AR184" i="29" s="1"/>
  <c r="AP458" i="29"/>
  <c r="AQ458" i="29" s="1"/>
  <c r="AR458" i="29" s="1"/>
  <c r="AP120" i="29"/>
  <c r="AQ120" i="29" s="1"/>
  <c r="AR120" i="29" s="1"/>
  <c r="AP38" i="29"/>
  <c r="AQ38" i="29" s="1"/>
  <c r="AR38" i="29" s="1"/>
  <c r="AP119" i="29"/>
  <c r="AQ119" i="29" s="1"/>
  <c r="AR119" i="29" s="1"/>
  <c r="AP303" i="29"/>
  <c r="AQ303" i="29" s="1"/>
  <c r="AR303" i="29" s="1"/>
  <c r="AP266" i="29"/>
  <c r="AQ266" i="29" s="1"/>
  <c r="AR266" i="29" s="1"/>
  <c r="AP27" i="29"/>
  <c r="AQ27" i="29" s="1"/>
  <c r="AR27" i="29" s="1"/>
  <c r="AP416" i="29"/>
  <c r="AQ416" i="29" s="1"/>
  <c r="AR416" i="29" s="1"/>
  <c r="AP463" i="29"/>
  <c r="AQ463" i="29" s="1"/>
  <c r="AR463" i="29" s="1"/>
  <c r="AP584" i="29"/>
  <c r="AQ584" i="29" s="1"/>
  <c r="AR584" i="29" s="1"/>
  <c r="AP149" i="29"/>
  <c r="AQ149" i="29" s="1"/>
  <c r="AR149" i="29" s="1"/>
  <c r="AP503" i="29"/>
  <c r="AQ503" i="29" s="1"/>
  <c r="AR503" i="29" s="1"/>
  <c r="AP464" i="29"/>
  <c r="AQ464" i="29" s="1"/>
  <c r="AR464" i="29" s="1"/>
  <c r="AP199" i="29"/>
  <c r="AQ199" i="29" s="1"/>
  <c r="AR199" i="29" s="1"/>
  <c r="AP341" i="29"/>
  <c r="AQ341" i="29" s="1"/>
  <c r="AR341" i="29" s="1"/>
  <c r="AP165" i="29"/>
  <c r="AQ165" i="29" s="1"/>
  <c r="AR165" i="29" s="1"/>
  <c r="AP426" i="29"/>
  <c r="AQ426" i="29" s="1"/>
  <c r="AR426" i="29" s="1"/>
  <c r="AP103" i="29"/>
  <c r="AQ103" i="29" s="1"/>
  <c r="AR103" i="29" s="1"/>
  <c r="AP110" i="29"/>
  <c r="AQ110" i="29" s="1"/>
  <c r="AR110" i="29" s="1"/>
  <c r="AP159" i="29"/>
  <c r="AQ159" i="29" s="1"/>
  <c r="AR159" i="29" s="1"/>
  <c r="AP469" i="29"/>
  <c r="AQ469" i="29" s="1"/>
  <c r="AR469" i="29" s="1"/>
  <c r="AP152" i="29"/>
  <c r="AQ152" i="29" s="1"/>
  <c r="AR152" i="29" s="1"/>
  <c r="AP185" i="29"/>
  <c r="AQ185" i="29" s="1"/>
  <c r="AR185" i="29" s="1"/>
  <c r="AP594" i="29"/>
  <c r="AQ594" i="29" s="1"/>
  <c r="AR594" i="29" s="1"/>
  <c r="AP181" i="29"/>
  <c r="AQ181" i="29" s="1"/>
  <c r="AR181" i="29" s="1"/>
  <c r="AP155" i="29"/>
  <c r="AQ155" i="29" s="1"/>
  <c r="AR155" i="29" s="1"/>
  <c r="AP369" i="29"/>
  <c r="AQ369" i="29" s="1"/>
  <c r="AR369" i="29" s="1"/>
  <c r="AP394" i="29"/>
  <c r="AQ394" i="29" s="1"/>
  <c r="AR394" i="29" s="1"/>
  <c r="AP607" i="29"/>
  <c r="AQ607" i="29" s="1"/>
  <c r="AR607" i="29" s="1"/>
  <c r="AP333" i="29"/>
  <c r="AQ333" i="29" s="1"/>
  <c r="AR333" i="29" s="1"/>
  <c r="AP401" i="29"/>
  <c r="AQ401" i="29" s="1"/>
  <c r="AR401" i="29" s="1"/>
  <c r="AP429" i="29"/>
  <c r="AQ429" i="29" s="1"/>
  <c r="AR429" i="29" s="1"/>
  <c r="AP258" i="29"/>
  <c r="AQ258" i="29" s="1"/>
  <c r="AR258" i="29" s="1"/>
  <c r="AP606" i="29"/>
  <c r="AQ606" i="29" s="1"/>
  <c r="AR606" i="29" s="1"/>
  <c r="AP62" i="29"/>
  <c r="AQ62" i="29" s="1"/>
  <c r="AR62" i="29" s="1"/>
  <c r="AP548" i="29"/>
  <c r="AQ548" i="29" s="1"/>
  <c r="AR548" i="29" s="1"/>
  <c r="AP154" i="29"/>
  <c r="AQ154" i="29" s="1"/>
  <c r="AR154" i="29" s="1"/>
  <c r="AP275" i="29"/>
  <c r="AQ275" i="29" s="1"/>
  <c r="AR275" i="29" s="1"/>
  <c r="AP216" i="29"/>
  <c r="AQ216" i="29" s="1"/>
  <c r="AR216" i="29" s="1"/>
  <c r="AP326" i="29"/>
  <c r="AQ326" i="29" s="1"/>
  <c r="AR326" i="29" s="1"/>
  <c r="AP513" i="29"/>
  <c r="AQ513" i="29" s="1"/>
  <c r="AR513" i="29" s="1"/>
  <c r="AP419" i="29"/>
  <c r="AQ419" i="29" s="1"/>
  <c r="AR419" i="29" s="1"/>
  <c r="AP499" i="29"/>
  <c r="AQ499" i="29" s="1"/>
  <c r="AR499" i="29" s="1"/>
  <c r="AP353" i="29"/>
  <c r="AQ353" i="29" s="1"/>
  <c r="AR353" i="29" s="1"/>
  <c r="AP55" i="29"/>
  <c r="AQ55" i="29" s="1"/>
  <c r="AR55" i="29" s="1"/>
  <c r="AP455" i="29"/>
  <c r="AQ455" i="29" s="1"/>
  <c r="AR455" i="29" s="1"/>
  <c r="AP555" i="29"/>
  <c r="AQ555" i="29" s="1"/>
  <c r="AR555" i="29" s="1"/>
  <c r="AP565" i="29"/>
  <c r="AQ565" i="29" s="1"/>
  <c r="AR565" i="29" s="1"/>
  <c r="AP550" i="29"/>
  <c r="AQ550" i="29" s="1"/>
  <c r="AR550" i="29" s="1"/>
  <c r="AP535" i="29"/>
  <c r="AQ535" i="29" s="1"/>
  <c r="AR535" i="29" s="1"/>
  <c r="AP406" i="29"/>
  <c r="AQ406" i="29" s="1"/>
  <c r="AR406" i="29" s="1"/>
  <c r="AP596" i="29"/>
  <c r="AQ596" i="29" s="1"/>
  <c r="AR596" i="29" s="1"/>
  <c r="AP162" i="29"/>
  <c r="AQ162" i="29" s="1"/>
  <c r="AR162" i="29" s="1"/>
  <c r="AP571" i="29"/>
  <c r="AQ571" i="29" s="1"/>
  <c r="AR571" i="29" s="1"/>
  <c r="AP515" i="29"/>
  <c r="AQ515" i="29" s="1"/>
  <c r="AR515" i="29" s="1"/>
  <c r="AP480" i="29"/>
  <c r="AQ480" i="29" s="1"/>
  <c r="AR480" i="29" s="1"/>
  <c r="AP126" i="29"/>
  <c r="AQ126" i="29" s="1"/>
  <c r="AR126" i="29" s="1"/>
  <c r="AP501" i="29"/>
  <c r="AQ501" i="29" s="1"/>
  <c r="AR501" i="29" s="1"/>
  <c r="AP289" i="29"/>
  <c r="AQ289" i="29" s="1"/>
  <c r="AR289" i="29" s="1"/>
  <c r="AP402" i="29"/>
  <c r="AQ402" i="29" s="1"/>
  <c r="AR402" i="29" s="1"/>
  <c r="AP228" i="29"/>
  <c r="AQ228" i="29" s="1"/>
  <c r="AR228" i="29" s="1"/>
  <c r="AP259" i="29"/>
  <c r="AQ259" i="29" s="1"/>
  <c r="AR259" i="29" s="1"/>
  <c r="AP598" i="29"/>
  <c r="AQ598" i="29" s="1"/>
  <c r="AR598" i="29" s="1"/>
  <c r="AP371" i="29"/>
  <c r="AQ371" i="29" s="1"/>
  <c r="AR371" i="29" s="1"/>
  <c r="AP510" i="29"/>
  <c r="AQ510" i="29" s="1"/>
  <c r="AR510" i="29" s="1"/>
  <c r="AP51" i="29"/>
  <c r="AQ51" i="29" s="1"/>
  <c r="AR51" i="29" s="1"/>
  <c r="AP95" i="29"/>
  <c r="AQ95" i="29" s="1"/>
  <c r="AR95" i="29" s="1"/>
  <c r="AP365" i="29"/>
  <c r="AQ365" i="29" s="1"/>
  <c r="AR365" i="29" s="1"/>
  <c r="AP286" i="29"/>
  <c r="AQ286" i="29" s="1"/>
  <c r="AR286" i="29" s="1"/>
  <c r="AP117" i="29"/>
  <c r="AQ117" i="29" s="1"/>
  <c r="AR117" i="29" s="1"/>
  <c r="AP99" i="29"/>
  <c r="AQ99" i="29" s="1"/>
  <c r="AR99" i="29" s="1"/>
  <c r="D55" i="29"/>
  <c r="D56" i="29" s="1"/>
  <c r="D57" i="29" s="1"/>
  <c r="AP191" i="29"/>
  <c r="AQ191" i="29" s="1"/>
  <c r="AR191" i="29" s="1"/>
  <c r="AP412" i="29"/>
  <c r="AQ412" i="29" s="1"/>
  <c r="AR412" i="29" s="1"/>
  <c r="AP525" i="29"/>
  <c r="AQ525" i="29" s="1"/>
  <c r="AR525" i="29" s="1"/>
  <c r="AP143" i="29"/>
  <c r="AQ143" i="29" s="1"/>
  <c r="AR143" i="29" s="1"/>
  <c r="AT195" i="25"/>
  <c r="AY195" i="25" s="1"/>
  <c r="AU195" i="25"/>
  <c r="AT160" i="25"/>
  <c r="AY160" i="25" s="1"/>
  <c r="AU160" i="25"/>
  <c r="AT227" i="25"/>
  <c r="AU227" i="25"/>
  <c r="BY292" i="24"/>
  <c r="CA292" i="24" s="1"/>
  <c r="BM292" i="24"/>
  <c r="BN292" i="24" s="1"/>
  <c r="BE254" i="24"/>
  <c r="BT254" i="24" s="1"/>
  <c r="BD254" i="24"/>
  <c r="AY254" i="24"/>
  <c r="AZ254" i="24" s="1"/>
  <c r="BD37" i="24"/>
  <c r="AY37" i="24"/>
  <c r="AZ37" i="24" s="1"/>
  <c r="BE37" i="24"/>
  <c r="BT37" i="24" s="1"/>
  <c r="BB275" i="25"/>
  <c r="BS275" i="25" s="1"/>
  <c r="BC275" i="25"/>
  <c r="BT275" i="25" s="1"/>
  <c r="BA275" i="25"/>
  <c r="BE245" i="24"/>
  <c r="BT245" i="24" s="1"/>
  <c r="AY245" i="24"/>
  <c r="AZ245" i="24" s="1"/>
  <c r="BD245" i="24"/>
  <c r="AT16" i="25"/>
  <c r="AY16" i="25" s="1"/>
  <c r="AU16" i="25"/>
  <c r="BB232" i="25"/>
  <c r="BS232" i="25" s="1"/>
  <c r="BC232" i="25"/>
  <c r="BT232" i="25" s="1"/>
  <c r="BA232" i="25"/>
  <c r="AT119" i="25"/>
  <c r="AY119" i="25" s="1"/>
  <c r="AU119" i="25"/>
  <c r="BE220" i="24"/>
  <c r="BT220" i="24" s="1"/>
  <c r="AY220" i="24"/>
  <c r="AZ220" i="24" s="1"/>
  <c r="BD220" i="24"/>
  <c r="BS19" i="24"/>
  <c r="BG19" i="24"/>
  <c r="BM19" i="24" s="1"/>
  <c r="AT304" i="25"/>
  <c r="AU304" i="25"/>
  <c r="AT299" i="25"/>
  <c r="AU299" i="25"/>
  <c r="AT182" i="25"/>
  <c r="AY182" i="25" s="1"/>
  <c r="AU182" i="25"/>
  <c r="BC261" i="25"/>
  <c r="BT261" i="25" s="1"/>
  <c r="BB261" i="25"/>
  <c r="BS261" i="25" s="1"/>
  <c r="BA261" i="25"/>
  <c r="AT281" i="25"/>
  <c r="AU281" i="25"/>
  <c r="AT185" i="25"/>
  <c r="AY185" i="25" s="1"/>
  <c r="AU185" i="25"/>
  <c r="BC179" i="25"/>
  <c r="BT179" i="25" s="1"/>
  <c r="BA179" i="25"/>
  <c r="BB179" i="25"/>
  <c r="BS179" i="25" s="1"/>
  <c r="AY146" i="24"/>
  <c r="AZ146" i="24" s="1"/>
  <c r="BE146" i="24"/>
  <c r="BT146" i="24" s="1"/>
  <c r="BD146" i="24"/>
  <c r="BB6" i="25"/>
  <c r="BS6" i="25" s="1"/>
  <c r="BA6" i="25"/>
  <c r="BC6" i="25"/>
  <c r="BT6" i="25" s="1"/>
  <c r="BE163" i="24"/>
  <c r="BT163" i="24" s="1"/>
  <c r="BD163" i="24"/>
  <c r="AY163" i="24"/>
  <c r="AZ163" i="24" s="1"/>
  <c r="BD13" i="24"/>
  <c r="AY13" i="24"/>
  <c r="AZ13" i="24" s="1"/>
  <c r="BE13" i="24"/>
  <c r="BT13" i="24" s="1"/>
  <c r="BE124" i="24"/>
  <c r="BT124" i="24" s="1"/>
  <c r="BD124" i="24"/>
  <c r="AY124" i="24"/>
  <c r="AZ124" i="24" s="1"/>
  <c r="BE315" i="24"/>
  <c r="BT315" i="24" s="1"/>
  <c r="BD315" i="24"/>
  <c r="AY315" i="24"/>
  <c r="AZ315" i="24" s="1"/>
  <c r="BB243" i="25"/>
  <c r="BS243" i="25" s="1"/>
  <c r="BA243" i="25"/>
  <c r="BC243" i="25"/>
  <c r="BT243" i="25" s="1"/>
  <c r="BE94" i="24"/>
  <c r="BT94" i="24" s="1"/>
  <c r="AY94" i="24"/>
  <c r="AZ94" i="24" s="1"/>
  <c r="BD94" i="24"/>
  <c r="BD59" i="24"/>
  <c r="BE59" i="24"/>
  <c r="BT59" i="24" s="1"/>
  <c r="AY59" i="24"/>
  <c r="AZ59" i="24" s="1"/>
  <c r="BE150" i="24"/>
  <c r="BT150" i="24" s="1"/>
  <c r="BD150" i="24"/>
  <c r="AY150" i="24"/>
  <c r="AZ150" i="24" s="1"/>
  <c r="AT54" i="25"/>
  <c r="AY54" i="25" s="1"/>
  <c r="AU54" i="25"/>
  <c r="BE60" i="24"/>
  <c r="BT60" i="24" s="1"/>
  <c r="BD60" i="24"/>
  <c r="AY60" i="24"/>
  <c r="AZ60" i="24" s="1"/>
  <c r="AT196" i="25"/>
  <c r="AY196" i="25" s="1"/>
  <c r="AU196" i="25"/>
  <c r="BD227" i="24"/>
  <c r="AY227" i="24"/>
  <c r="AZ227" i="24" s="1"/>
  <c r="BE227" i="24"/>
  <c r="BT227" i="24" s="1"/>
  <c r="BD281" i="24"/>
  <c r="AY281" i="24"/>
  <c r="AZ281" i="24" s="1"/>
  <c r="BE281" i="24"/>
  <c r="BT281" i="24" s="1"/>
  <c r="BD167" i="24"/>
  <c r="BE167" i="24"/>
  <c r="BT167" i="24" s="1"/>
  <c r="AY167" i="24"/>
  <c r="AZ167" i="24" s="1"/>
  <c r="AT301" i="25"/>
  <c r="AU301" i="25"/>
  <c r="BE267" i="24"/>
  <c r="BT267" i="24" s="1"/>
  <c r="BD267" i="24"/>
  <c r="AY267" i="24"/>
  <c r="AZ267" i="24" s="1"/>
  <c r="BD134" i="24"/>
  <c r="AY134" i="24"/>
  <c r="AZ134" i="24" s="1"/>
  <c r="BE134" i="24"/>
  <c r="BT134" i="24" s="1"/>
  <c r="BE307" i="24"/>
  <c r="BT307" i="24" s="1"/>
  <c r="BD307" i="24"/>
  <c r="AY307" i="24"/>
  <c r="AZ307" i="24" s="1"/>
  <c r="AY210" i="24"/>
  <c r="AZ210" i="24" s="1"/>
  <c r="BD210" i="24"/>
  <c r="BE210" i="24"/>
  <c r="BT210" i="24" s="1"/>
  <c r="AT311" i="25"/>
  <c r="AU311" i="25"/>
  <c r="AT135" i="25"/>
  <c r="AY135" i="25" s="1"/>
  <c r="AU135" i="25"/>
  <c r="BE272" i="24"/>
  <c r="BT272" i="24" s="1"/>
  <c r="BD272" i="24"/>
  <c r="AY272" i="24"/>
  <c r="AZ272" i="24" s="1"/>
  <c r="BD96" i="24"/>
  <c r="BE96" i="24"/>
  <c r="BT96" i="24" s="1"/>
  <c r="AY96" i="24"/>
  <c r="AZ96" i="24" s="1"/>
  <c r="AY244" i="24"/>
  <c r="AZ244" i="24" s="1"/>
  <c r="BE244" i="24"/>
  <c r="BT244" i="24" s="1"/>
  <c r="BD244" i="24"/>
  <c r="BD297" i="24"/>
  <c r="AY297" i="24"/>
  <c r="AZ297" i="24" s="1"/>
  <c r="BE297" i="24"/>
  <c r="BT297" i="24" s="1"/>
  <c r="BE115" i="24"/>
  <c r="BT115" i="24" s="1"/>
  <c r="BD115" i="24"/>
  <c r="AY115" i="24"/>
  <c r="AZ115" i="24" s="1"/>
  <c r="AT164" i="25"/>
  <c r="AY164" i="25" s="1"/>
  <c r="AU164" i="25"/>
  <c r="AY231" i="24"/>
  <c r="AZ231" i="24" s="1"/>
  <c r="BD231" i="24"/>
  <c r="BE231" i="24"/>
  <c r="BT231" i="24" s="1"/>
  <c r="AY314" i="24"/>
  <c r="AZ314" i="24" s="1"/>
  <c r="BD314" i="24"/>
  <c r="BE314" i="24"/>
  <c r="BT314" i="24" s="1"/>
  <c r="BE303" i="24"/>
  <c r="BT303" i="24" s="1"/>
  <c r="BD303" i="24"/>
  <c r="AY303" i="24"/>
  <c r="AZ303" i="24" s="1"/>
  <c r="AY95" i="24"/>
  <c r="AZ95" i="24" s="1"/>
  <c r="BE95" i="24"/>
  <c r="BT95" i="24" s="1"/>
  <c r="BD95" i="24"/>
  <c r="AT103" i="25"/>
  <c r="AY103" i="25" s="1"/>
  <c r="AU103" i="25"/>
  <c r="AY11" i="24"/>
  <c r="AZ11" i="24" s="1"/>
  <c r="BE11" i="24"/>
  <c r="BT11" i="24" s="1"/>
  <c r="BD11" i="24"/>
  <c r="AT127" i="25"/>
  <c r="AY127" i="25" s="1"/>
  <c r="AU127" i="25"/>
  <c r="BA59" i="25"/>
  <c r="BC59" i="25"/>
  <c r="BT59" i="25" s="1"/>
  <c r="BB59" i="25"/>
  <c r="BS59" i="25" s="1"/>
  <c r="BG21" i="24"/>
  <c r="BM21" i="24" s="1"/>
  <c r="BS21" i="24"/>
  <c r="BV21" i="24" s="1"/>
  <c r="BX21" i="24" s="1"/>
  <c r="AT242" i="25"/>
  <c r="AU242" i="25"/>
  <c r="BE39" i="24"/>
  <c r="BT39" i="24" s="1"/>
  <c r="AY39" i="24"/>
  <c r="AZ39" i="24" s="1"/>
  <c r="BD39" i="24"/>
  <c r="AT153" i="25"/>
  <c r="AY153" i="25" s="1"/>
  <c r="AU153" i="25"/>
  <c r="AT233" i="25"/>
  <c r="AU233" i="25"/>
  <c r="AT218" i="25"/>
  <c r="AU218" i="25"/>
  <c r="BA62" i="25"/>
  <c r="BC62" i="25"/>
  <c r="BT62" i="25" s="1"/>
  <c r="BB62" i="25"/>
  <c r="BS62" i="25" s="1"/>
  <c r="AT93" i="25"/>
  <c r="AY93" i="25" s="1"/>
  <c r="AU93" i="25"/>
  <c r="BS41" i="24"/>
  <c r="BV41" i="24" s="1"/>
  <c r="BX41" i="24" s="1"/>
  <c r="BG41" i="24"/>
  <c r="BM41" i="24" s="1"/>
  <c r="BE262" i="24"/>
  <c r="BT262" i="24" s="1"/>
  <c r="BD262" i="24"/>
  <c r="AY262" i="24"/>
  <c r="AZ262" i="24" s="1"/>
  <c r="BG135" i="24"/>
  <c r="BS135" i="24"/>
  <c r="AT49" i="25"/>
  <c r="AY49" i="25" s="1"/>
  <c r="AU49" i="25"/>
  <c r="AT285" i="25"/>
  <c r="AU285" i="25"/>
  <c r="BD186" i="24"/>
  <c r="AY186" i="24"/>
  <c r="AZ186" i="24" s="1"/>
  <c r="BE186" i="24"/>
  <c r="BT186" i="24" s="1"/>
  <c r="AT300" i="25"/>
  <c r="AU300" i="25"/>
  <c r="AT263" i="25"/>
  <c r="AU263" i="25"/>
  <c r="AT310" i="25"/>
  <c r="AU310" i="25"/>
  <c r="AT274" i="25"/>
  <c r="AU274" i="25"/>
  <c r="BD78" i="24"/>
  <c r="AY78" i="24"/>
  <c r="AZ78" i="24" s="1"/>
  <c r="BE78" i="24"/>
  <c r="BT78" i="24" s="1"/>
  <c r="AY36" i="24"/>
  <c r="AZ36" i="24" s="1"/>
  <c r="BD36" i="24"/>
  <c r="BE36" i="24"/>
  <c r="BT36" i="24" s="1"/>
  <c r="AY225" i="24"/>
  <c r="AZ225" i="24" s="1"/>
  <c r="BD225" i="24"/>
  <c r="BE225" i="24"/>
  <c r="BT225" i="24" s="1"/>
  <c r="BC114" i="25"/>
  <c r="BT114" i="25" s="1"/>
  <c r="BB114" i="25"/>
  <c r="BS114" i="25" s="1"/>
  <c r="BA114" i="25"/>
  <c r="BD92" i="24"/>
  <c r="AY92" i="24"/>
  <c r="AZ92" i="24" s="1"/>
  <c r="BE92" i="24"/>
  <c r="BT92" i="24" s="1"/>
  <c r="BA280" i="25"/>
  <c r="BC280" i="25"/>
  <c r="BT280" i="25" s="1"/>
  <c r="BB280" i="25"/>
  <c r="BS280" i="25" s="1"/>
  <c r="AT249" i="25"/>
  <c r="AU249" i="25"/>
  <c r="AT18" i="25"/>
  <c r="AY18" i="25" s="1"/>
  <c r="AU18" i="25"/>
  <c r="BB273" i="25"/>
  <c r="BS273" i="25" s="1"/>
  <c r="BA273" i="25"/>
  <c r="BC273" i="25"/>
  <c r="BT273" i="25" s="1"/>
  <c r="BD277" i="24"/>
  <c r="BE277" i="24"/>
  <c r="BT277" i="24" s="1"/>
  <c r="AY277" i="24"/>
  <c r="AZ277" i="24" s="1"/>
  <c r="AT210" i="25"/>
  <c r="AY210" i="25" s="1"/>
  <c r="AU210" i="25"/>
  <c r="BE68" i="24"/>
  <c r="BT68" i="24" s="1"/>
  <c r="BD68" i="24"/>
  <c r="AY68" i="24"/>
  <c r="AZ68" i="24" s="1"/>
  <c r="AY287" i="24"/>
  <c r="AZ287" i="24" s="1"/>
  <c r="BD287" i="24"/>
  <c r="BE287" i="24"/>
  <c r="BT287" i="24" s="1"/>
  <c r="BE312" i="24"/>
  <c r="BT312" i="24" s="1"/>
  <c r="BD312" i="24"/>
  <c r="AY312" i="24"/>
  <c r="AZ312" i="24" s="1"/>
  <c r="BC293" i="25"/>
  <c r="BT293" i="25" s="1"/>
  <c r="BA293" i="25"/>
  <c r="BB293" i="25"/>
  <c r="BS293" i="25" s="1"/>
  <c r="AT254" i="25"/>
  <c r="AU254" i="25"/>
  <c r="AT39" i="25"/>
  <c r="AY39" i="25" s="1"/>
  <c r="AU39" i="25"/>
  <c r="BC229" i="25"/>
  <c r="BT229" i="25" s="1"/>
  <c r="BB229" i="25"/>
  <c r="BS229" i="25" s="1"/>
  <c r="BA229" i="25"/>
  <c r="BD221" i="24"/>
  <c r="AY221" i="24"/>
  <c r="AZ221" i="24" s="1"/>
  <c r="BE221" i="24"/>
  <c r="BT221" i="24" s="1"/>
  <c r="AT156" i="25"/>
  <c r="AY156" i="25" s="1"/>
  <c r="AU156" i="25"/>
  <c r="BA255" i="25"/>
  <c r="BB255" i="25"/>
  <c r="BS255" i="25" s="1"/>
  <c r="BC255" i="25"/>
  <c r="BT255" i="25" s="1"/>
  <c r="AT316" i="25"/>
  <c r="AU316" i="25"/>
  <c r="AT172" i="25"/>
  <c r="AY172" i="25" s="1"/>
  <c r="AU172" i="25"/>
  <c r="BA306" i="25"/>
  <c r="BC306" i="25"/>
  <c r="BT306" i="25" s="1"/>
  <c r="BB306" i="25"/>
  <c r="BS306" i="25" s="1"/>
  <c r="AT99" i="25"/>
  <c r="AY99" i="25" s="1"/>
  <c r="AU99" i="25"/>
  <c r="BB87" i="25"/>
  <c r="BS87" i="25" s="1"/>
  <c r="BA87" i="25"/>
  <c r="BC87" i="25"/>
  <c r="BT87" i="25" s="1"/>
  <c r="AT162" i="25"/>
  <c r="AY162" i="25" s="1"/>
  <c r="AU162" i="25"/>
  <c r="AT117" i="25"/>
  <c r="AY117" i="25" s="1"/>
  <c r="AU117" i="25"/>
  <c r="AY125" i="24"/>
  <c r="AZ125" i="24" s="1"/>
  <c r="BD125" i="24"/>
  <c r="BE125" i="24"/>
  <c r="BT125" i="24" s="1"/>
  <c r="BA305" i="25"/>
  <c r="BC305" i="25"/>
  <c r="BT305" i="25" s="1"/>
  <c r="BB305" i="25"/>
  <c r="BS305" i="25" s="1"/>
  <c r="AT88" i="25"/>
  <c r="AY88" i="25" s="1"/>
  <c r="AU88" i="25"/>
  <c r="AT226" i="25"/>
  <c r="AU226" i="25"/>
  <c r="BE84" i="24"/>
  <c r="BT84" i="24" s="1"/>
  <c r="BD84" i="24"/>
  <c r="AY84" i="24"/>
  <c r="AZ84" i="24" s="1"/>
  <c r="BE80" i="24"/>
  <c r="BT80" i="24" s="1"/>
  <c r="BD80" i="24"/>
  <c r="AY80" i="24"/>
  <c r="AZ80" i="24" s="1"/>
  <c r="AT25" i="25"/>
  <c r="AY25" i="25" s="1"/>
  <c r="AU25" i="25"/>
  <c r="BC246" i="25"/>
  <c r="BT246" i="25" s="1"/>
  <c r="BA246" i="25"/>
  <c r="BB246" i="25"/>
  <c r="BS246" i="25" s="1"/>
  <c r="AT290" i="25"/>
  <c r="AU290" i="25"/>
  <c r="BC262" i="25"/>
  <c r="BT262" i="25" s="1"/>
  <c r="BB262" i="25"/>
  <c r="BS262" i="25" s="1"/>
  <c r="BA262" i="25"/>
  <c r="AT169" i="25"/>
  <c r="AY169" i="25" s="1"/>
  <c r="AU169" i="25"/>
  <c r="AY291" i="24"/>
  <c r="AZ291" i="24" s="1"/>
  <c r="BE291" i="24"/>
  <c r="BT291" i="24" s="1"/>
  <c r="BD291" i="24"/>
  <c r="AT260" i="25"/>
  <c r="AU260" i="25"/>
  <c r="AY102" i="24"/>
  <c r="AZ102" i="24" s="1"/>
  <c r="BD102" i="24"/>
  <c r="BE102" i="24"/>
  <c r="BT102" i="24" s="1"/>
  <c r="BE223" i="24"/>
  <c r="BT223" i="24" s="1"/>
  <c r="AY223" i="24"/>
  <c r="AZ223" i="24" s="1"/>
  <c r="BD223" i="24"/>
  <c r="AT52" i="25"/>
  <c r="AY52" i="25" s="1"/>
  <c r="AU52" i="25"/>
  <c r="BE141" i="24"/>
  <c r="BT141" i="24" s="1"/>
  <c r="AY141" i="24"/>
  <c r="AZ141" i="24" s="1"/>
  <c r="BD141" i="24"/>
  <c r="BD251" i="24"/>
  <c r="BE251" i="24"/>
  <c r="BT251" i="24" s="1"/>
  <c r="AY251" i="24"/>
  <c r="AZ251" i="24" s="1"/>
  <c r="BA186" i="25"/>
  <c r="BC186" i="25"/>
  <c r="BT186" i="25" s="1"/>
  <c r="BB186" i="25"/>
  <c r="BS186" i="25" s="1"/>
  <c r="AT120" i="25"/>
  <c r="AY120" i="25" s="1"/>
  <c r="AU120" i="25"/>
  <c r="BD302" i="24"/>
  <c r="AY302" i="24"/>
  <c r="AZ302" i="24" s="1"/>
  <c r="BE302" i="24"/>
  <c r="BT302" i="24" s="1"/>
  <c r="AT219" i="25"/>
  <c r="AU219" i="25"/>
  <c r="AT217" i="25"/>
  <c r="AU217" i="25"/>
  <c r="AT209" i="25"/>
  <c r="AY209" i="25" s="1"/>
  <c r="AU209" i="25"/>
  <c r="BD127" i="24"/>
  <c r="AY127" i="24"/>
  <c r="AZ127" i="24" s="1"/>
  <c r="BE127" i="24"/>
  <c r="BT127" i="24" s="1"/>
  <c r="BB170" i="25"/>
  <c r="BS170" i="25" s="1"/>
  <c r="BA170" i="25"/>
  <c r="BC170" i="25"/>
  <c r="BT170" i="25" s="1"/>
  <c r="AT63" i="25"/>
  <c r="AY63" i="25" s="1"/>
  <c r="AU63" i="25"/>
  <c r="BE207" i="24"/>
  <c r="BT207" i="24" s="1"/>
  <c r="BD207" i="24"/>
  <c r="AY207" i="24"/>
  <c r="AZ207" i="24" s="1"/>
  <c r="AT79" i="25"/>
  <c r="AY79" i="25" s="1"/>
  <c r="AU79" i="25"/>
  <c r="AT146" i="25"/>
  <c r="AY146" i="25" s="1"/>
  <c r="AU146" i="25"/>
  <c r="BB206" i="25"/>
  <c r="BS206" i="25" s="1"/>
  <c r="BA206" i="25"/>
  <c r="BC206" i="25"/>
  <c r="BT206" i="25" s="1"/>
  <c r="AT137" i="25"/>
  <c r="AY137" i="25" s="1"/>
  <c r="AU137" i="25"/>
  <c r="AY173" i="24"/>
  <c r="AZ173" i="24" s="1"/>
  <c r="BE173" i="24"/>
  <c r="BT173" i="24" s="1"/>
  <c r="BD173" i="24"/>
  <c r="AT159" i="25"/>
  <c r="AY159" i="25" s="1"/>
  <c r="AU159" i="25"/>
  <c r="AT10" i="25"/>
  <c r="AY10" i="25" s="1"/>
  <c r="AU10" i="25"/>
  <c r="AY49" i="24"/>
  <c r="AZ49" i="24" s="1"/>
  <c r="BD49" i="24"/>
  <c r="BE49" i="24"/>
  <c r="BT49" i="24" s="1"/>
  <c r="AT121" i="25"/>
  <c r="AY121" i="25" s="1"/>
  <c r="AU121" i="25"/>
  <c r="BD77" i="24"/>
  <c r="BE77" i="24"/>
  <c r="BT77" i="24" s="1"/>
  <c r="AY77" i="24"/>
  <c r="AZ77" i="24" s="1"/>
  <c r="BS6" i="24"/>
  <c r="BG6" i="24"/>
  <c r="BM6" i="24" s="1"/>
  <c r="AY196" i="24"/>
  <c r="AZ196" i="24" s="1"/>
  <c r="BD196" i="24"/>
  <c r="BE196" i="24"/>
  <c r="BT196" i="24" s="1"/>
  <c r="BA178" i="25"/>
  <c r="BB178" i="25"/>
  <c r="BS178" i="25" s="1"/>
  <c r="BC178" i="25"/>
  <c r="BT178" i="25" s="1"/>
  <c r="AT141" i="25"/>
  <c r="AY141" i="25" s="1"/>
  <c r="AU141" i="25"/>
  <c r="BA34" i="25"/>
  <c r="BC34" i="25"/>
  <c r="BT34" i="25" s="1"/>
  <c r="BB34" i="25"/>
  <c r="BS34" i="25" s="1"/>
  <c r="BE67" i="24"/>
  <c r="BT67" i="24" s="1"/>
  <c r="BD67" i="24"/>
  <c r="AY67" i="24"/>
  <c r="AZ67" i="24" s="1"/>
  <c r="AT253" i="25"/>
  <c r="AU253" i="25"/>
  <c r="AY88" i="24"/>
  <c r="AZ88" i="24" s="1"/>
  <c r="BE88" i="24"/>
  <c r="BT88" i="24" s="1"/>
  <c r="BD88" i="24"/>
  <c r="BB89" i="25"/>
  <c r="BS89" i="25" s="1"/>
  <c r="BA89" i="25"/>
  <c r="BC89" i="25"/>
  <c r="BT89" i="25" s="1"/>
  <c r="AT294" i="25"/>
  <c r="AU294" i="25"/>
  <c r="BS248" i="24"/>
  <c r="BG248" i="24"/>
  <c r="AT40" i="25"/>
  <c r="AY40" i="25" s="1"/>
  <c r="AU40" i="25"/>
  <c r="BA291" i="25"/>
  <c r="BC291" i="25"/>
  <c r="BT291" i="25" s="1"/>
  <c r="BB291" i="25"/>
  <c r="BS291" i="25" s="1"/>
  <c r="AT9" i="25"/>
  <c r="AY9" i="25" s="1"/>
  <c r="AU9" i="25"/>
  <c r="AT24" i="25"/>
  <c r="AY24" i="25" s="1"/>
  <c r="AU24" i="25"/>
  <c r="BE235" i="24"/>
  <c r="BT235" i="24" s="1"/>
  <c r="BD235" i="24"/>
  <c r="AY235" i="24"/>
  <c r="AZ235" i="24" s="1"/>
  <c r="BE241" i="24"/>
  <c r="BT241" i="24" s="1"/>
  <c r="AY241" i="24"/>
  <c r="AZ241" i="24" s="1"/>
  <c r="BD241" i="24"/>
  <c r="BE74" i="24"/>
  <c r="BT74" i="24" s="1"/>
  <c r="BD74" i="24"/>
  <c r="AY74" i="24"/>
  <c r="AZ74" i="24" s="1"/>
  <c r="BD261" i="24"/>
  <c r="AY261" i="24"/>
  <c r="AZ261" i="24" s="1"/>
  <c r="BE261" i="24"/>
  <c r="BT261" i="24" s="1"/>
  <c r="BE116" i="24"/>
  <c r="BT116" i="24" s="1"/>
  <c r="BD116" i="24"/>
  <c r="AY116" i="24"/>
  <c r="AZ116" i="24" s="1"/>
  <c r="AT222" i="25"/>
  <c r="AU222" i="25"/>
  <c r="BA238" i="25"/>
  <c r="BC238" i="25"/>
  <c r="BT238" i="25" s="1"/>
  <c r="BB238" i="25"/>
  <c r="BS238" i="25" s="1"/>
  <c r="BD164" i="24"/>
  <c r="BE164" i="24"/>
  <c r="BT164" i="24" s="1"/>
  <c r="AY164" i="24"/>
  <c r="AZ164" i="24" s="1"/>
  <c r="AT53" i="25"/>
  <c r="AY53" i="25" s="1"/>
  <c r="AU53" i="25"/>
  <c r="AT22" i="25"/>
  <c r="AY22" i="25" s="1"/>
  <c r="AU22" i="25"/>
  <c r="AT231" i="25"/>
  <c r="AU231" i="25"/>
  <c r="AT90" i="25"/>
  <c r="AY90" i="25" s="1"/>
  <c r="AU90" i="25"/>
  <c r="BE98" i="24"/>
  <c r="BT98" i="24" s="1"/>
  <c r="BD98" i="24"/>
  <c r="AY98" i="24"/>
  <c r="AZ98" i="24" s="1"/>
  <c r="BD69" i="24"/>
  <c r="AY69" i="24"/>
  <c r="AZ69" i="24" s="1"/>
  <c r="BE69" i="24"/>
  <c r="BT69" i="24" s="1"/>
  <c r="BC94" i="25"/>
  <c r="BT94" i="25" s="1"/>
  <c r="BB94" i="25"/>
  <c r="BS94" i="25" s="1"/>
  <c r="BA94" i="25"/>
  <c r="AY149" i="24"/>
  <c r="AZ149" i="24" s="1"/>
  <c r="BD149" i="24"/>
  <c r="BE149" i="24"/>
  <c r="BT149" i="24" s="1"/>
  <c r="AY64" i="24"/>
  <c r="AZ64" i="24" s="1"/>
  <c r="BE64" i="24"/>
  <c r="BT64" i="24" s="1"/>
  <c r="BD64" i="24"/>
  <c r="AY82" i="24"/>
  <c r="AZ82" i="24" s="1"/>
  <c r="BD82" i="24"/>
  <c r="BE82" i="24"/>
  <c r="BT82" i="24" s="1"/>
  <c r="AY180" i="24"/>
  <c r="AZ180" i="24" s="1"/>
  <c r="BD180" i="24"/>
  <c r="BE180" i="24"/>
  <c r="BT180" i="24" s="1"/>
  <c r="BA167" i="25"/>
  <c r="BC167" i="25"/>
  <c r="BT167" i="25" s="1"/>
  <c r="BB167" i="25"/>
  <c r="BS167" i="25" s="1"/>
  <c r="BG264" i="24"/>
  <c r="BS264" i="24"/>
  <c r="BX264" i="24" s="1"/>
  <c r="BE308" i="24"/>
  <c r="BT308" i="24" s="1"/>
  <c r="AY308" i="24"/>
  <c r="AZ308" i="24" s="1"/>
  <c r="BD308" i="24"/>
  <c r="AT203" i="25"/>
  <c r="AY203" i="25" s="1"/>
  <c r="AU203" i="25"/>
  <c r="BE200" i="24"/>
  <c r="BT200" i="24" s="1"/>
  <c r="AY200" i="24"/>
  <c r="AZ200" i="24" s="1"/>
  <c r="BD200" i="24"/>
  <c r="AT221" i="25"/>
  <c r="AU221" i="25"/>
  <c r="BD170" i="24"/>
  <c r="BE170" i="24"/>
  <c r="BT170" i="24" s="1"/>
  <c r="AY170" i="24"/>
  <c r="AZ170" i="24" s="1"/>
  <c r="BE23" i="24"/>
  <c r="BT23" i="24" s="1"/>
  <c r="BD23" i="24"/>
  <c r="AY23" i="24"/>
  <c r="AZ23" i="24" s="1"/>
  <c r="AY155" i="24"/>
  <c r="AZ155" i="24" s="1"/>
  <c r="BD155" i="24"/>
  <c r="BE155" i="24"/>
  <c r="BT155" i="24" s="1"/>
  <c r="AT116" i="25"/>
  <c r="AY116" i="25" s="1"/>
  <c r="AU116" i="25"/>
  <c r="AT74" i="25"/>
  <c r="AY74" i="25" s="1"/>
  <c r="AU74" i="25"/>
  <c r="AT47" i="25"/>
  <c r="AY47" i="25" s="1"/>
  <c r="AU47" i="25"/>
  <c r="AT298" i="25"/>
  <c r="AU298" i="25"/>
  <c r="BD81" i="24"/>
  <c r="AY81" i="24"/>
  <c r="AZ81" i="24" s="1"/>
  <c r="BE81" i="24"/>
  <c r="BT81" i="24" s="1"/>
  <c r="BB155" i="25"/>
  <c r="BS155" i="25" s="1"/>
  <c r="BC155" i="25"/>
  <c r="BT155" i="25" s="1"/>
  <c r="BA155" i="25"/>
  <c r="AT142" i="25"/>
  <c r="AY142" i="25" s="1"/>
  <c r="AU142" i="25"/>
  <c r="BD43" i="24"/>
  <c r="BE43" i="24"/>
  <c r="BT43" i="24" s="1"/>
  <c r="AY43" i="24"/>
  <c r="AZ43" i="24" s="1"/>
  <c r="BD199" i="24"/>
  <c r="BE199" i="24"/>
  <c r="BT199" i="24" s="1"/>
  <c r="AY199" i="24"/>
  <c r="AZ199" i="24" s="1"/>
  <c r="AY178" i="24"/>
  <c r="AZ178" i="24" s="1"/>
  <c r="BE178" i="24"/>
  <c r="BT178" i="24" s="1"/>
  <c r="BD178" i="24"/>
  <c r="AT132" i="25"/>
  <c r="AY132" i="25" s="1"/>
  <c r="AU132" i="25"/>
  <c r="BA14" i="25"/>
  <c r="BC14" i="25"/>
  <c r="BT14" i="25" s="1"/>
  <c r="BB14" i="25"/>
  <c r="BS14" i="25" s="1"/>
  <c r="AT45" i="25"/>
  <c r="AY45" i="25" s="1"/>
  <c r="AU45" i="25"/>
  <c r="BA192" i="25"/>
  <c r="BC192" i="25"/>
  <c r="BT192" i="25" s="1"/>
  <c r="BB192" i="25"/>
  <c r="BS192" i="25" s="1"/>
  <c r="BC283" i="25"/>
  <c r="BT283" i="25" s="1"/>
  <c r="BA283" i="25"/>
  <c r="BB283" i="25"/>
  <c r="BS283" i="25" s="1"/>
  <c r="BE9" i="24"/>
  <c r="BT9" i="24" s="1"/>
  <c r="AY9" i="24"/>
  <c r="AZ9" i="24" s="1"/>
  <c r="BD9" i="24"/>
  <c r="AT84" i="25"/>
  <c r="AY84" i="25" s="1"/>
  <c r="AU84" i="25"/>
  <c r="BB204" i="25"/>
  <c r="BS204" i="25" s="1"/>
  <c r="BA204" i="25"/>
  <c r="BC204" i="25"/>
  <c r="BT204" i="25" s="1"/>
  <c r="BE194" i="24"/>
  <c r="BT194" i="24" s="1"/>
  <c r="BD194" i="24"/>
  <c r="AY194" i="24"/>
  <c r="AZ194" i="24" s="1"/>
  <c r="AT234" i="25"/>
  <c r="AU234" i="25"/>
  <c r="BE229" i="24"/>
  <c r="BT229" i="24" s="1"/>
  <c r="BD229" i="24"/>
  <c r="AY229" i="24"/>
  <c r="AZ229" i="24" s="1"/>
  <c r="AY201" i="24"/>
  <c r="AZ201" i="24" s="1"/>
  <c r="BE201" i="24"/>
  <c r="BT201" i="24" s="1"/>
  <c r="BD201" i="24"/>
  <c r="BG191" i="24"/>
  <c r="BS191" i="24"/>
  <c r="BX191" i="24" s="1"/>
  <c r="AT83" i="25"/>
  <c r="AY83" i="25" s="1"/>
  <c r="AU83" i="25"/>
  <c r="BE42" i="24"/>
  <c r="BT42" i="24" s="1"/>
  <c r="AY42" i="24"/>
  <c r="AZ42" i="24" s="1"/>
  <c r="BD42" i="24"/>
  <c r="BE139" i="24"/>
  <c r="BT139" i="24" s="1"/>
  <c r="BD139" i="24"/>
  <c r="AY139" i="24"/>
  <c r="AZ139" i="24" s="1"/>
  <c r="AT35" i="25"/>
  <c r="AY35" i="25" s="1"/>
  <c r="AU35" i="25"/>
  <c r="AY278" i="24"/>
  <c r="AZ278" i="24" s="1"/>
  <c r="BE278" i="24"/>
  <c r="BT278" i="24" s="1"/>
  <c r="BD278" i="24"/>
  <c r="AT230" i="25"/>
  <c r="AU230" i="25"/>
  <c r="BE275" i="24"/>
  <c r="BT275" i="24" s="1"/>
  <c r="AY275" i="24"/>
  <c r="AZ275" i="24" s="1"/>
  <c r="BD275" i="24"/>
  <c r="AT236" i="25"/>
  <c r="AU236" i="25"/>
  <c r="AT123" i="25"/>
  <c r="AY123" i="25" s="1"/>
  <c r="AU123" i="25"/>
  <c r="BE126" i="24"/>
  <c r="BT126" i="24" s="1"/>
  <c r="AY126" i="24"/>
  <c r="AZ126" i="24" s="1"/>
  <c r="BD126" i="24"/>
  <c r="BE284" i="24"/>
  <c r="BT284" i="24" s="1"/>
  <c r="AY284" i="24"/>
  <c r="AZ284" i="24" s="1"/>
  <c r="BD284" i="24"/>
  <c r="BD30" i="24"/>
  <c r="AY30" i="24"/>
  <c r="AZ30" i="24" s="1"/>
  <c r="BE30" i="24"/>
  <c r="BT30" i="24" s="1"/>
  <c r="AY114" i="24"/>
  <c r="AZ114" i="24" s="1"/>
  <c r="BE114" i="24"/>
  <c r="BT114" i="24" s="1"/>
  <c r="BD114" i="24"/>
  <c r="AT250" i="25"/>
  <c r="AU250" i="25"/>
  <c r="AT33" i="25"/>
  <c r="AY33" i="25" s="1"/>
  <c r="AU33" i="25"/>
  <c r="BD136" i="24"/>
  <c r="AY136" i="24"/>
  <c r="AZ136" i="24" s="1"/>
  <c r="BE136" i="24"/>
  <c r="BT136" i="24" s="1"/>
  <c r="AT112" i="25"/>
  <c r="AY112" i="25" s="1"/>
  <c r="AU112" i="25"/>
  <c r="BD177" i="24"/>
  <c r="AY177" i="24"/>
  <c r="AZ177" i="24" s="1"/>
  <c r="BE177" i="24"/>
  <c r="BT177" i="24" s="1"/>
  <c r="AT7" i="25"/>
  <c r="AY7" i="25" s="1"/>
  <c r="AU7" i="25"/>
  <c r="AT256" i="25"/>
  <c r="AU256" i="25"/>
  <c r="BA30" i="25"/>
  <c r="BB30" i="25"/>
  <c r="BS30" i="25" s="1"/>
  <c r="BC30" i="25"/>
  <c r="BT30" i="25" s="1"/>
  <c r="BA113" i="25"/>
  <c r="BC113" i="25"/>
  <c r="BT113" i="25" s="1"/>
  <c r="BB113" i="25"/>
  <c r="BS113" i="25" s="1"/>
  <c r="AY203" i="24"/>
  <c r="AZ203" i="24" s="1"/>
  <c r="BD203" i="24"/>
  <c r="BE203" i="24"/>
  <c r="BT203" i="24" s="1"/>
  <c r="AT8" i="25"/>
  <c r="AY8" i="25" s="1"/>
  <c r="AU8" i="25"/>
  <c r="BE63" i="24"/>
  <c r="BT63" i="24" s="1"/>
  <c r="BD63" i="24"/>
  <c r="AY63" i="24"/>
  <c r="AZ63" i="24" s="1"/>
  <c r="AT15" i="25"/>
  <c r="AY15" i="25" s="1"/>
  <c r="AU15" i="25"/>
  <c r="AT239" i="25"/>
  <c r="AU239" i="25"/>
  <c r="BD76" i="24"/>
  <c r="BE76" i="24"/>
  <c r="BT76" i="24" s="1"/>
  <c r="AY76" i="24"/>
  <c r="AZ76" i="24" s="1"/>
  <c r="BG44" i="24"/>
  <c r="BM44" i="24" s="1"/>
  <c r="BS44" i="24"/>
  <c r="BV44" i="24" s="1"/>
  <c r="BX44" i="24" s="1"/>
  <c r="AT70" i="25"/>
  <c r="AY70" i="25" s="1"/>
  <c r="AU70" i="25"/>
  <c r="AT76" i="25"/>
  <c r="AY76" i="25" s="1"/>
  <c r="AU76" i="25"/>
  <c r="BE27" i="24"/>
  <c r="BT27" i="24" s="1"/>
  <c r="AY27" i="24"/>
  <c r="AZ27" i="24" s="1"/>
  <c r="BD27" i="24"/>
  <c r="BD301" i="24"/>
  <c r="BE301" i="24"/>
  <c r="BT301" i="24" s="1"/>
  <c r="AY301" i="24"/>
  <c r="AZ301" i="24" s="1"/>
  <c r="BE17" i="24"/>
  <c r="BT17" i="24" s="1"/>
  <c r="BD17" i="24"/>
  <c r="AY17" i="24"/>
  <c r="AZ17" i="24" s="1"/>
  <c r="BE156" i="24"/>
  <c r="BT156" i="24" s="1"/>
  <c r="BD156" i="24"/>
  <c r="AY156" i="24"/>
  <c r="AZ156" i="24" s="1"/>
  <c r="AY174" i="24"/>
  <c r="AZ174" i="24" s="1"/>
  <c r="BE174" i="24"/>
  <c r="BT174" i="24" s="1"/>
  <c r="BD174" i="24"/>
  <c r="BE290" i="24"/>
  <c r="BT290" i="24" s="1"/>
  <c r="AY290" i="24"/>
  <c r="AZ290" i="24" s="1"/>
  <c r="BD290" i="24"/>
  <c r="AT202" i="25"/>
  <c r="AY202" i="25" s="1"/>
  <c r="AU202" i="25"/>
  <c r="BD131" i="24"/>
  <c r="AY131" i="24"/>
  <c r="AZ131" i="24" s="1"/>
  <c r="BE131" i="24"/>
  <c r="BT131" i="24" s="1"/>
  <c r="AY249" i="24"/>
  <c r="AZ249" i="24" s="1"/>
  <c r="BE249" i="24"/>
  <c r="BT249" i="24" s="1"/>
  <c r="BD249" i="24"/>
  <c r="BD183" i="24"/>
  <c r="AY183" i="24"/>
  <c r="AZ183" i="24" s="1"/>
  <c r="BE183" i="24"/>
  <c r="BT183" i="24" s="1"/>
  <c r="BE35" i="24"/>
  <c r="BT35" i="24" s="1"/>
  <c r="BD35" i="24"/>
  <c r="AY35" i="24"/>
  <c r="AZ35" i="24" s="1"/>
  <c r="BE89" i="24"/>
  <c r="BT89" i="24" s="1"/>
  <c r="BD89" i="24"/>
  <c r="AY89" i="24"/>
  <c r="AZ89" i="24" s="1"/>
  <c r="AT180" i="25"/>
  <c r="AY180" i="25" s="1"/>
  <c r="AU180" i="25"/>
  <c r="BC21" i="25"/>
  <c r="BT21" i="25" s="1"/>
  <c r="BB21" i="25"/>
  <c r="BS21" i="25" s="1"/>
  <c r="BA21" i="25"/>
  <c r="AT223" i="25"/>
  <c r="AU223" i="25"/>
  <c r="BB190" i="25"/>
  <c r="BS190" i="25" s="1"/>
  <c r="BC190" i="25"/>
  <c r="BT190" i="25" s="1"/>
  <c r="BA190" i="25"/>
  <c r="BE268" i="24"/>
  <c r="BT268" i="24" s="1"/>
  <c r="BD268" i="24"/>
  <c r="AY268" i="24"/>
  <c r="AZ268" i="24" s="1"/>
  <c r="AT64" i="25"/>
  <c r="AY64" i="25" s="1"/>
  <c r="AU64" i="25"/>
  <c r="AT200" i="25"/>
  <c r="AY200" i="25" s="1"/>
  <c r="AU200" i="25"/>
  <c r="AT55" i="25"/>
  <c r="AY55" i="25" s="1"/>
  <c r="AU55" i="25"/>
  <c r="AT122" i="25"/>
  <c r="AY122" i="25" s="1"/>
  <c r="AU122" i="25"/>
  <c r="AT73" i="25"/>
  <c r="AY73" i="25" s="1"/>
  <c r="AU73" i="25"/>
  <c r="AY205" i="24"/>
  <c r="AZ205" i="24" s="1"/>
  <c r="BE205" i="24"/>
  <c r="BT205" i="24" s="1"/>
  <c r="BD205" i="24"/>
  <c r="BE309" i="24"/>
  <c r="BT309" i="24" s="1"/>
  <c r="AY309" i="24"/>
  <c r="AZ309" i="24" s="1"/>
  <c r="BD309" i="24"/>
  <c r="AT72" i="25"/>
  <c r="AY72" i="25" s="1"/>
  <c r="AU72" i="25"/>
  <c r="BG259" i="24"/>
  <c r="BS259" i="24"/>
  <c r="BC82" i="25"/>
  <c r="BT82" i="25" s="1"/>
  <c r="BB82" i="25"/>
  <c r="BS82" i="25" s="1"/>
  <c r="BA82" i="25"/>
  <c r="BE193" i="24"/>
  <c r="BT193" i="24" s="1"/>
  <c r="BD193" i="24"/>
  <c r="AY193" i="24"/>
  <c r="AZ193" i="24" s="1"/>
  <c r="AT125" i="25"/>
  <c r="AY125" i="25" s="1"/>
  <c r="AU125" i="25"/>
  <c r="BE65" i="24"/>
  <c r="BT65" i="24" s="1"/>
  <c r="BD65" i="24"/>
  <c r="AY65" i="24"/>
  <c r="AZ65" i="24" s="1"/>
  <c r="AT37" i="25"/>
  <c r="AY37" i="25" s="1"/>
  <c r="AU37" i="25"/>
  <c r="BE110" i="25"/>
  <c r="BR110" i="25"/>
  <c r="BX110" i="25" s="1"/>
  <c r="BD97" i="24"/>
  <c r="BE97" i="24"/>
  <c r="BT97" i="24" s="1"/>
  <c r="AY97" i="24"/>
  <c r="AZ97" i="24" s="1"/>
  <c r="AY243" i="24"/>
  <c r="AZ243" i="24" s="1"/>
  <c r="BD243" i="24"/>
  <c r="BE243" i="24"/>
  <c r="BT243" i="24" s="1"/>
  <c r="BA259" i="25"/>
  <c r="BB259" i="25"/>
  <c r="BS259" i="25" s="1"/>
  <c r="BC259" i="25"/>
  <c r="BT259" i="25" s="1"/>
  <c r="BG294" i="24"/>
  <c r="BS294" i="24"/>
  <c r="BX294" i="24" s="1"/>
  <c r="AT277" i="25"/>
  <c r="AU277" i="25"/>
  <c r="BD87" i="24"/>
  <c r="AY87" i="24"/>
  <c r="AZ87" i="24" s="1"/>
  <c r="BE87" i="24"/>
  <c r="BT87" i="24" s="1"/>
  <c r="AT75" i="25"/>
  <c r="AY75" i="25" s="1"/>
  <c r="AU75" i="25"/>
  <c r="AT268" i="25"/>
  <c r="AU268" i="25"/>
  <c r="AT46" i="25"/>
  <c r="AY46" i="25" s="1"/>
  <c r="AU46" i="25"/>
  <c r="BA161" i="25"/>
  <c r="BC161" i="25"/>
  <c r="BT161" i="25" s="1"/>
  <c r="BB161" i="25"/>
  <c r="BS161" i="25" s="1"/>
  <c r="AT184" i="25"/>
  <c r="AY184" i="25" s="1"/>
  <c r="AU184" i="25"/>
  <c r="AT80" i="25"/>
  <c r="AY80" i="25" s="1"/>
  <c r="AU80" i="25"/>
  <c r="BE46" i="24"/>
  <c r="BT46" i="24" s="1"/>
  <c r="AY46" i="24"/>
  <c r="AZ46" i="24" s="1"/>
  <c r="BD46" i="24"/>
  <c r="BE47" i="24"/>
  <c r="BT47" i="24" s="1"/>
  <c r="BD47" i="24"/>
  <c r="AY47" i="24"/>
  <c r="AZ47" i="24" s="1"/>
  <c r="AT175" i="25"/>
  <c r="AY175" i="25" s="1"/>
  <c r="AU175" i="25"/>
  <c r="BE197" i="24"/>
  <c r="BT197" i="24" s="1"/>
  <c r="BD197" i="24"/>
  <c r="AY197" i="24"/>
  <c r="AZ197" i="24" s="1"/>
  <c r="AY159" i="24"/>
  <c r="AZ159" i="24" s="1"/>
  <c r="BD159" i="24"/>
  <c r="BE159" i="24"/>
  <c r="BT159" i="24" s="1"/>
  <c r="AT56" i="25"/>
  <c r="AY56" i="25" s="1"/>
  <c r="AU56" i="25"/>
  <c r="BC314" i="25"/>
  <c r="BT314" i="25" s="1"/>
  <c r="BB314" i="25"/>
  <c r="BS314" i="25" s="1"/>
  <c r="BA314" i="25"/>
  <c r="AT313" i="25"/>
  <c r="AU313" i="25"/>
  <c r="BE79" i="24"/>
  <c r="BT79" i="24" s="1"/>
  <c r="BD79" i="24"/>
  <c r="AY79" i="24"/>
  <c r="AZ79" i="24" s="1"/>
  <c r="BC13" i="25"/>
  <c r="BT13" i="25" s="1"/>
  <c r="BB13" i="25"/>
  <c r="BS13" i="25" s="1"/>
  <c r="BA13" i="25"/>
  <c r="AY93" i="24"/>
  <c r="AZ93" i="24" s="1"/>
  <c r="BE93" i="24"/>
  <c r="BT93" i="24" s="1"/>
  <c r="BD93" i="24"/>
  <c r="AT23" i="25"/>
  <c r="AY23" i="25" s="1"/>
  <c r="AU23" i="25"/>
  <c r="AT207" i="25"/>
  <c r="AY207" i="25" s="1"/>
  <c r="AU207" i="25"/>
  <c r="BD286" i="24"/>
  <c r="AY286" i="24"/>
  <c r="AZ286" i="24" s="1"/>
  <c r="BE286" i="24"/>
  <c r="BT286" i="24" s="1"/>
  <c r="AT36" i="25"/>
  <c r="AY36" i="25" s="1"/>
  <c r="AU36" i="25"/>
  <c r="AT27" i="25"/>
  <c r="AY27" i="25" s="1"/>
  <c r="AU27" i="25"/>
  <c r="BE52" i="24"/>
  <c r="BT52" i="24" s="1"/>
  <c r="AY52" i="24"/>
  <c r="AZ52" i="24" s="1"/>
  <c r="BD52" i="24"/>
  <c r="AT12" i="25"/>
  <c r="AY12" i="25" s="1"/>
  <c r="AU12" i="25"/>
  <c r="BE181" i="24"/>
  <c r="BT181" i="24" s="1"/>
  <c r="BD181" i="24"/>
  <c r="AY181" i="24"/>
  <c r="AZ181" i="24" s="1"/>
  <c r="AT19" i="25"/>
  <c r="AY19" i="25" s="1"/>
  <c r="AU19" i="25"/>
  <c r="BC148" i="25"/>
  <c r="BT148" i="25" s="1"/>
  <c r="BA148" i="25"/>
  <c r="BB148" i="25"/>
  <c r="BS148" i="25" s="1"/>
  <c r="BD176" i="24"/>
  <c r="AY176" i="24"/>
  <c r="AZ176" i="24" s="1"/>
  <c r="BE176" i="24"/>
  <c r="BT176" i="24" s="1"/>
  <c r="BG101" i="24"/>
  <c r="BM101" i="24" s="1"/>
  <c r="BS101" i="24"/>
  <c r="BV101" i="24" s="1"/>
  <c r="BX101" i="24" s="1"/>
  <c r="BE217" i="24"/>
  <c r="BT217" i="24" s="1"/>
  <c r="BD217" i="24"/>
  <c r="AY217" i="24"/>
  <c r="AZ217" i="24" s="1"/>
  <c r="BD274" i="24"/>
  <c r="AY274" i="24"/>
  <c r="AZ274" i="24" s="1"/>
  <c r="BE274" i="24"/>
  <c r="BT274" i="24" s="1"/>
  <c r="BA174" i="25"/>
  <c r="BB174" i="25"/>
  <c r="BS174" i="25" s="1"/>
  <c r="BC174" i="25"/>
  <c r="BT174" i="25" s="1"/>
  <c r="BD289" i="24"/>
  <c r="AY289" i="24"/>
  <c r="AZ289" i="24" s="1"/>
  <c r="BE289" i="24"/>
  <c r="BT289" i="24" s="1"/>
  <c r="BE86" i="24"/>
  <c r="BT86" i="24" s="1"/>
  <c r="BD86" i="24"/>
  <c r="AY86" i="24"/>
  <c r="AZ86" i="24" s="1"/>
  <c r="AT44" i="25"/>
  <c r="AY44" i="25" s="1"/>
  <c r="AU44" i="25"/>
  <c r="BS7" i="24"/>
  <c r="BV7" i="24" s="1"/>
  <c r="BX7" i="24" s="1"/>
  <c r="BG7" i="24"/>
  <c r="BM7" i="24" s="1"/>
  <c r="BD270" i="24"/>
  <c r="BE270" i="24"/>
  <c r="BT270" i="24" s="1"/>
  <c r="AY270" i="24"/>
  <c r="AZ270" i="24" s="1"/>
  <c r="AT284" i="25"/>
  <c r="AU284" i="25"/>
  <c r="BC71" i="25"/>
  <c r="BT71" i="25" s="1"/>
  <c r="BB71" i="25"/>
  <c r="BS71" i="25" s="1"/>
  <c r="BA71" i="25"/>
  <c r="AT126" i="25"/>
  <c r="AY126" i="25" s="1"/>
  <c r="AU126" i="25"/>
  <c r="AY304" i="24"/>
  <c r="AZ304" i="24" s="1"/>
  <c r="BE304" i="24"/>
  <c r="BT304" i="24" s="1"/>
  <c r="BD304" i="24"/>
  <c r="AT168" i="25"/>
  <c r="AY168" i="25" s="1"/>
  <c r="AU168" i="25"/>
  <c r="BA96" i="25"/>
  <c r="BB96" i="25"/>
  <c r="BS96" i="25" s="1"/>
  <c r="BC96" i="25"/>
  <c r="BT96" i="25" s="1"/>
  <c r="AT145" i="25"/>
  <c r="AY145" i="25" s="1"/>
  <c r="AU145" i="25"/>
  <c r="BE189" i="24"/>
  <c r="BT189" i="24" s="1"/>
  <c r="AY189" i="24"/>
  <c r="AZ189" i="24" s="1"/>
  <c r="BD189" i="24"/>
  <c r="AT150" i="25"/>
  <c r="AY150" i="25" s="1"/>
  <c r="AU150" i="25"/>
  <c r="AY230" i="24"/>
  <c r="AZ230" i="24" s="1"/>
  <c r="BE230" i="24"/>
  <c r="BT230" i="24" s="1"/>
  <c r="BD230" i="24"/>
  <c r="BA240" i="25"/>
  <c r="BC240" i="25"/>
  <c r="BT240" i="25" s="1"/>
  <c r="BB240" i="25"/>
  <c r="BS240" i="25" s="1"/>
  <c r="AT98" i="25"/>
  <c r="AY98" i="25" s="1"/>
  <c r="AU98" i="25"/>
  <c r="AT228" i="25"/>
  <c r="AU228" i="25"/>
  <c r="BE187" i="24"/>
  <c r="BT187" i="24" s="1"/>
  <c r="AY187" i="24"/>
  <c r="AZ187" i="24" s="1"/>
  <c r="BD187" i="24"/>
  <c r="BD300" i="24"/>
  <c r="BE300" i="24"/>
  <c r="BT300" i="24" s="1"/>
  <c r="AY300" i="24"/>
  <c r="AZ300" i="24" s="1"/>
  <c r="AY168" i="24"/>
  <c r="AZ168" i="24" s="1"/>
  <c r="BE168" i="24"/>
  <c r="BT168" i="24" s="1"/>
  <c r="BD168" i="24"/>
  <c r="BD113" i="24"/>
  <c r="AY113" i="24"/>
  <c r="AZ113" i="24" s="1"/>
  <c r="BE113" i="24"/>
  <c r="BT113" i="24" s="1"/>
  <c r="BE15" i="24"/>
  <c r="BT15" i="24" s="1"/>
  <c r="BD15" i="24"/>
  <c r="AY15" i="24"/>
  <c r="AZ15" i="24" s="1"/>
  <c r="BE208" i="24"/>
  <c r="BT208" i="24" s="1"/>
  <c r="BD208" i="24"/>
  <c r="AY208" i="24"/>
  <c r="AZ208" i="24" s="1"/>
  <c r="AT144" i="25"/>
  <c r="AY144" i="25" s="1"/>
  <c r="AU144" i="25"/>
  <c r="BB247" i="25"/>
  <c r="BS247" i="25" s="1"/>
  <c r="BA247" i="25"/>
  <c r="BC247" i="25"/>
  <c r="BT247" i="25" s="1"/>
  <c r="AT51" i="25"/>
  <c r="AY51" i="25" s="1"/>
  <c r="AU51" i="25"/>
  <c r="AT61" i="25"/>
  <c r="AY61" i="25" s="1"/>
  <c r="AU61" i="25"/>
  <c r="AY293" i="24"/>
  <c r="AZ293" i="24" s="1"/>
  <c r="BD293" i="24"/>
  <c r="BE293" i="24"/>
  <c r="BT293" i="24" s="1"/>
  <c r="BE288" i="24"/>
  <c r="BT288" i="24" s="1"/>
  <c r="AY288" i="24"/>
  <c r="AZ288" i="24" s="1"/>
  <c r="BD288" i="24"/>
  <c r="BC267" i="25"/>
  <c r="BT267" i="25" s="1"/>
  <c r="BB267" i="25"/>
  <c r="BS267" i="25" s="1"/>
  <c r="BA267" i="25"/>
  <c r="BE118" i="24"/>
  <c r="BT118" i="24" s="1"/>
  <c r="BD118" i="24"/>
  <c r="AY118" i="24"/>
  <c r="AZ118" i="24" s="1"/>
  <c r="BE266" i="24"/>
  <c r="BT266" i="24" s="1"/>
  <c r="AY266" i="24"/>
  <c r="AZ266" i="24" s="1"/>
  <c r="BD266" i="24"/>
  <c r="AT208" i="25"/>
  <c r="AY208" i="25" s="1"/>
  <c r="AU208" i="25"/>
  <c r="BB29" i="25"/>
  <c r="BS29" i="25" s="1"/>
  <c r="BC29" i="25"/>
  <c r="BT29" i="25" s="1"/>
  <c r="BA29" i="25"/>
  <c r="AT105" i="25"/>
  <c r="B140" i="2"/>
  <c r="B130" i="2"/>
  <c r="AU105" i="25"/>
  <c r="BD175" i="24"/>
  <c r="AY175" i="24"/>
  <c r="AZ175" i="24" s="1"/>
  <c r="BE175" i="24"/>
  <c r="BT175" i="24" s="1"/>
  <c r="AT42" i="25"/>
  <c r="AY42" i="25" s="1"/>
  <c r="AU42" i="25"/>
  <c r="AT171" i="25"/>
  <c r="AY171" i="25" s="1"/>
  <c r="AU171" i="25"/>
  <c r="AY202" i="24"/>
  <c r="AZ202" i="24" s="1"/>
  <c r="BE202" i="24"/>
  <c r="BT202" i="24" s="1"/>
  <c r="BD202" i="24"/>
  <c r="BD206" i="24"/>
  <c r="AY206" i="24"/>
  <c r="AZ206" i="24" s="1"/>
  <c r="BE206" i="24"/>
  <c r="BT206" i="24" s="1"/>
  <c r="AY188" i="24"/>
  <c r="AZ188" i="24" s="1"/>
  <c r="BD188" i="24"/>
  <c r="BE188" i="24"/>
  <c r="BT188" i="24" s="1"/>
  <c r="AY66" i="24"/>
  <c r="AZ66" i="24" s="1"/>
  <c r="BE66" i="24"/>
  <c r="BT66" i="24" s="1"/>
  <c r="BD66" i="24"/>
  <c r="BE179" i="24"/>
  <c r="BT179" i="24" s="1"/>
  <c r="BD179" i="24"/>
  <c r="AY179" i="24"/>
  <c r="AZ179" i="24" s="1"/>
  <c r="BD153" i="24"/>
  <c r="AY153" i="24"/>
  <c r="AZ153" i="24" s="1"/>
  <c r="BE153" i="24"/>
  <c r="BT153" i="24" s="1"/>
  <c r="AT86" i="25"/>
  <c r="AY86" i="25" s="1"/>
  <c r="AU86" i="25"/>
  <c r="AT188" i="25"/>
  <c r="AY188" i="25" s="1"/>
  <c r="AU188" i="25"/>
  <c r="BE133" i="24"/>
  <c r="BT133" i="24" s="1"/>
  <c r="BD133" i="24"/>
  <c r="AY133" i="24"/>
  <c r="AZ133" i="24" s="1"/>
  <c r="AY246" i="24"/>
  <c r="AZ246" i="24" s="1"/>
  <c r="BD246" i="24"/>
  <c r="BE246" i="24"/>
  <c r="BT246" i="24" s="1"/>
  <c r="AY209" i="24"/>
  <c r="AZ209" i="24" s="1"/>
  <c r="BE209" i="24"/>
  <c r="BT209" i="24" s="1"/>
  <c r="BD209" i="24"/>
  <c r="BB131" i="25"/>
  <c r="BS131" i="25" s="1"/>
  <c r="BC131" i="25"/>
  <c r="BT131" i="25" s="1"/>
  <c r="BA131" i="25"/>
  <c r="AT43" i="25"/>
  <c r="AY43" i="25" s="1"/>
  <c r="AU43" i="25"/>
  <c r="BG240" i="24"/>
  <c r="BS240" i="24"/>
  <c r="AT102" i="25"/>
  <c r="AY102" i="25" s="1"/>
  <c r="AU102" i="25"/>
  <c r="AY25" i="24"/>
  <c r="AZ25" i="24" s="1"/>
  <c r="BD25" i="24"/>
  <c r="BE25" i="24"/>
  <c r="BT25" i="24" s="1"/>
  <c r="BB11" i="25" l="1"/>
  <c r="BS11" i="25" s="1"/>
  <c r="BG152" i="24"/>
  <c r="BC97" i="25"/>
  <c r="BT97" i="25" s="1"/>
  <c r="BA97" i="25"/>
  <c r="BE97" i="25" s="1"/>
  <c r="BK97" i="25" s="1"/>
  <c r="BA11" i="25"/>
  <c r="AO442" i="29"/>
  <c r="V442" i="29" s="1"/>
  <c r="AO110" i="29"/>
  <c r="U110" i="29" s="1"/>
  <c r="AO231" i="29"/>
  <c r="U231" i="29" s="1"/>
  <c r="AO323" i="29"/>
  <c r="U323" i="29" s="1"/>
  <c r="AO541" i="29"/>
  <c r="V541" i="29" s="1"/>
  <c r="AO544" i="29"/>
  <c r="U544" i="29" s="1"/>
  <c r="AO352" i="29"/>
  <c r="U352" i="29" s="1"/>
  <c r="AO508" i="29"/>
  <c r="U508" i="29" s="1"/>
  <c r="AO521" i="29"/>
  <c r="U521" i="29" s="1"/>
  <c r="BX240" i="24"/>
  <c r="AO63" i="29"/>
  <c r="U63" i="29" s="1"/>
  <c r="AO584" i="29"/>
  <c r="V584" i="29" s="1"/>
  <c r="AO380" i="29"/>
  <c r="V380" i="29" s="1"/>
  <c r="AO591" i="29"/>
  <c r="U591" i="29" s="1"/>
  <c r="AO576" i="29"/>
  <c r="V576" i="29" s="1"/>
  <c r="AO163" i="29"/>
  <c r="V163" i="29" s="1"/>
  <c r="AO485" i="29"/>
  <c r="U485" i="29" s="1"/>
  <c r="AO478" i="29"/>
  <c r="U478" i="29" s="1"/>
  <c r="AO304" i="29"/>
  <c r="U304" i="29" s="1"/>
  <c r="BG120" i="24"/>
  <c r="BY120" i="24" s="1"/>
  <c r="CA120" i="24" s="1"/>
  <c r="CB120" i="24" s="1"/>
  <c r="BC265" i="25"/>
  <c r="BT265" i="25" s="1"/>
  <c r="BA265" i="25"/>
  <c r="BE265" i="25" s="1"/>
  <c r="AO271" i="29"/>
  <c r="U271" i="29" s="1"/>
  <c r="AO566" i="29"/>
  <c r="V566" i="29" s="1"/>
  <c r="AO181" i="29"/>
  <c r="U181" i="29" s="1"/>
  <c r="AO261" i="29"/>
  <c r="V261" i="29" s="1"/>
  <c r="AO279" i="29"/>
  <c r="V279" i="29" s="1"/>
  <c r="AO59" i="29"/>
  <c r="U59" i="29" s="1"/>
  <c r="AO253" i="29"/>
  <c r="V253" i="29" s="1"/>
  <c r="AO393" i="29"/>
  <c r="U393" i="29" s="1"/>
  <c r="AO64" i="29"/>
  <c r="V64" i="29" s="1"/>
  <c r="AO445" i="29"/>
  <c r="U445" i="29" s="1"/>
  <c r="AO551" i="29"/>
  <c r="U551" i="29" s="1"/>
  <c r="AO66" i="29"/>
  <c r="U66" i="29" s="1"/>
  <c r="AO337" i="29"/>
  <c r="U337" i="29" s="1"/>
  <c r="AO606" i="29"/>
  <c r="V606" i="29" s="1"/>
  <c r="AO363" i="29"/>
  <c r="U363" i="29" s="1"/>
  <c r="AO483" i="29"/>
  <c r="V483" i="29" s="1"/>
  <c r="AO223" i="29"/>
  <c r="V223" i="29" s="1"/>
  <c r="AO137" i="29"/>
  <c r="V137" i="29" s="1"/>
  <c r="AO225" i="29"/>
  <c r="V225" i="29" s="1"/>
  <c r="AO602" i="29"/>
  <c r="U602" i="29" s="1"/>
  <c r="AO113" i="29"/>
  <c r="V113" i="29" s="1"/>
  <c r="AO371" i="29"/>
  <c r="U371" i="29" s="1"/>
  <c r="AO536" i="29"/>
  <c r="U536" i="29" s="1"/>
  <c r="AO248" i="29"/>
  <c r="V248" i="29" s="1"/>
  <c r="AO74" i="29"/>
  <c r="U74" i="29" s="1"/>
  <c r="AO46" i="29"/>
  <c r="U46" i="29" s="1"/>
  <c r="AO212" i="29"/>
  <c r="U212" i="29" s="1"/>
  <c r="AO148" i="29"/>
  <c r="V148" i="29" s="1"/>
  <c r="AO24" i="29"/>
  <c r="V24" i="29" s="1"/>
  <c r="AO206" i="29"/>
  <c r="U206" i="29" s="1"/>
  <c r="AO374" i="29"/>
  <c r="U374" i="29" s="1"/>
  <c r="AO85" i="29"/>
  <c r="V85" i="29" s="1"/>
  <c r="AO159" i="29"/>
  <c r="U159" i="29" s="1"/>
  <c r="BG283" i="24"/>
  <c r="BY283" i="24" s="1"/>
  <c r="CA283" i="24" s="1"/>
  <c r="CB283" i="24" s="1"/>
  <c r="CB292" i="24"/>
  <c r="CF292" i="24"/>
  <c r="BS12" i="24"/>
  <c r="BV12" i="24" s="1"/>
  <c r="BX12" i="24" s="1"/>
  <c r="BS219" i="24"/>
  <c r="BX219" i="24" s="1"/>
  <c r="AO106" i="29"/>
  <c r="U106" i="29" s="1"/>
  <c r="BS147" i="24"/>
  <c r="BX147" i="24" s="1"/>
  <c r="BS242" i="24"/>
  <c r="BX242" i="24" s="1"/>
  <c r="BX260" i="24"/>
  <c r="BG18" i="24"/>
  <c r="BM18" i="24" s="1"/>
  <c r="BY18" i="24" s="1"/>
  <c r="CA18" i="24" s="1"/>
  <c r="CB18" i="24" s="1"/>
  <c r="BS34" i="24"/>
  <c r="BV34" i="24" s="1"/>
  <c r="BX34" i="24" s="1"/>
  <c r="BA154" i="25"/>
  <c r="BE154" i="25" s="1"/>
  <c r="BC154" i="25"/>
  <c r="BT154" i="25" s="1"/>
  <c r="BS265" i="24"/>
  <c r="BX265" i="24" s="1"/>
  <c r="BX259" i="24"/>
  <c r="BX283" i="24"/>
  <c r="BG121" i="24"/>
  <c r="BM121" i="24" s="1"/>
  <c r="BN121" i="24" s="1"/>
  <c r="BX120" i="24"/>
  <c r="BV26" i="24"/>
  <c r="BX26" i="24" s="1"/>
  <c r="BX111" i="24"/>
  <c r="AO49" i="29"/>
  <c r="V49" i="29" s="1"/>
  <c r="AO397" i="29"/>
  <c r="U397" i="29" s="1"/>
  <c r="AO510" i="29"/>
  <c r="U510" i="29" s="1"/>
  <c r="AO194" i="29"/>
  <c r="V194" i="29" s="1"/>
  <c r="AO284" i="29"/>
  <c r="V284" i="29" s="1"/>
  <c r="AO454" i="29"/>
  <c r="U454" i="29" s="1"/>
  <c r="AO384" i="29"/>
  <c r="U384" i="29" s="1"/>
  <c r="AO340" i="29"/>
  <c r="U340" i="29" s="1"/>
  <c r="AO98" i="29"/>
  <c r="V98" i="29" s="1"/>
  <c r="AO107" i="29"/>
  <c r="V107" i="29" s="1"/>
  <c r="AO127" i="29"/>
  <c r="U127" i="29" s="1"/>
  <c r="AO289" i="29"/>
  <c r="V289" i="29" s="1"/>
  <c r="BX152" i="24"/>
  <c r="AO73" i="29"/>
  <c r="V73" i="29" s="1"/>
  <c r="AO22" i="29"/>
  <c r="U22" i="29" s="1"/>
  <c r="AO367" i="29"/>
  <c r="U367" i="29" s="1"/>
  <c r="AO123" i="29"/>
  <c r="V123" i="29" s="1"/>
  <c r="AO470" i="29"/>
  <c r="U470" i="29" s="1"/>
  <c r="AO161" i="29"/>
  <c r="U161" i="29" s="1"/>
  <c r="AO222" i="29"/>
  <c r="V222" i="29" s="1"/>
  <c r="AO379" i="29"/>
  <c r="V379" i="29" s="1"/>
  <c r="AO298" i="29"/>
  <c r="U298" i="29" s="1"/>
  <c r="AO257" i="29"/>
  <c r="U257" i="29" s="1"/>
  <c r="AO417" i="29"/>
  <c r="V417" i="29" s="1"/>
  <c r="AO603" i="29"/>
  <c r="V603" i="29" s="1"/>
  <c r="AO229" i="29"/>
  <c r="U229" i="29" s="1"/>
  <c r="AO471" i="29"/>
  <c r="U471" i="29" s="1"/>
  <c r="AO152" i="29"/>
  <c r="U152" i="29" s="1"/>
  <c r="AO590" i="29"/>
  <c r="U590" i="29" s="1"/>
  <c r="AO558" i="29"/>
  <c r="U558" i="29" s="1"/>
  <c r="AO111" i="29"/>
  <c r="V111" i="29" s="1"/>
  <c r="AO391" i="29"/>
  <c r="U391" i="29" s="1"/>
  <c r="AO557" i="29"/>
  <c r="V557" i="29" s="1"/>
  <c r="AO361" i="29"/>
  <c r="U361" i="29" s="1"/>
  <c r="AO515" i="29"/>
  <c r="V515" i="29" s="1"/>
  <c r="AO233" i="29"/>
  <c r="U233" i="29" s="1"/>
  <c r="AO327" i="29"/>
  <c r="U327" i="29" s="1"/>
  <c r="AO596" i="29"/>
  <c r="U596" i="29" s="1"/>
  <c r="AO373" i="29"/>
  <c r="V373" i="29" s="1"/>
  <c r="AO54" i="29"/>
  <c r="U54" i="29" s="1"/>
  <c r="AO613" i="29"/>
  <c r="U613" i="29" s="1"/>
  <c r="AO493" i="29"/>
  <c r="V493" i="29" s="1"/>
  <c r="AO475" i="29"/>
  <c r="V475" i="29" s="1"/>
  <c r="AO53" i="29"/>
  <c r="U53" i="29" s="1"/>
  <c r="AO322" i="29"/>
  <c r="V322" i="29" s="1"/>
  <c r="AO242" i="29"/>
  <c r="V242" i="29" s="1"/>
  <c r="AO205" i="29"/>
  <c r="U205" i="29" s="1"/>
  <c r="AO19" i="29"/>
  <c r="V19" i="29" s="1"/>
  <c r="AO466" i="29"/>
  <c r="U466" i="29" s="1"/>
  <c r="AO586" i="29"/>
  <c r="U586" i="29" s="1"/>
  <c r="AO144" i="29"/>
  <c r="V144" i="29" s="1"/>
  <c r="AO43" i="29"/>
  <c r="U43" i="29" s="1"/>
  <c r="BS130" i="24"/>
  <c r="BY130" i="24" s="1"/>
  <c r="CA130" i="24" s="1"/>
  <c r="CB130" i="24" s="1"/>
  <c r="BX135" i="24"/>
  <c r="AO168" i="29"/>
  <c r="U168" i="29" s="1"/>
  <c r="AO608" i="29"/>
  <c r="V608" i="29" s="1"/>
  <c r="AO563" i="29"/>
  <c r="U563" i="29" s="1"/>
  <c r="AO577" i="29"/>
  <c r="U577" i="29" s="1"/>
  <c r="AO598" i="29"/>
  <c r="V598" i="29" s="1"/>
  <c r="AO443" i="29"/>
  <c r="U443" i="29" s="1"/>
  <c r="AO293" i="29"/>
  <c r="U293" i="29" s="1"/>
  <c r="AO400" i="29"/>
  <c r="U400" i="29" s="1"/>
  <c r="AO578" i="29"/>
  <c r="U578" i="29" s="1"/>
  <c r="AO604" i="29"/>
  <c r="U604" i="29" s="1"/>
  <c r="AO203" i="29"/>
  <c r="U203" i="29" s="1"/>
  <c r="AO326" i="29"/>
  <c r="V326" i="29" s="1"/>
  <c r="BX121" i="24"/>
  <c r="BS232" i="24"/>
  <c r="BX232" i="24" s="1"/>
  <c r="BS295" i="24"/>
  <c r="BX295" i="24" s="1"/>
  <c r="BS253" i="24"/>
  <c r="BX253" i="24" s="1"/>
  <c r="BV6" i="24"/>
  <c r="BX6" i="24" s="1"/>
  <c r="BS238" i="24"/>
  <c r="BX238" i="24" s="1"/>
  <c r="BS298" i="24"/>
  <c r="BX298" i="24" s="1"/>
  <c r="BS296" i="24"/>
  <c r="BX296" i="24" s="1"/>
  <c r="BS305" i="24"/>
  <c r="BX305" i="24" s="1"/>
  <c r="BS280" i="24"/>
  <c r="BX280" i="24" s="1"/>
  <c r="BS112" i="24"/>
  <c r="BX112" i="24" s="1"/>
  <c r="BG28" i="24"/>
  <c r="BM28" i="24" s="1"/>
  <c r="BY28" i="24" s="1"/>
  <c r="CA28" i="24" s="1"/>
  <c r="CB28" i="24" s="1"/>
  <c r="AO105" i="29"/>
  <c r="V105" i="29" s="1"/>
  <c r="AO511" i="29"/>
  <c r="V511" i="29" s="1"/>
  <c r="AO412" i="29"/>
  <c r="V412" i="29" s="1"/>
  <c r="AO555" i="29"/>
  <c r="V555" i="29" s="1"/>
  <c r="AO499" i="29"/>
  <c r="U499" i="29" s="1"/>
  <c r="AO208" i="29"/>
  <c r="U208" i="29" s="1"/>
  <c r="AO71" i="29"/>
  <c r="U71" i="29" s="1"/>
  <c r="AO118" i="29"/>
  <c r="U118" i="29" s="1"/>
  <c r="AO186" i="29"/>
  <c r="V186" i="29" s="1"/>
  <c r="AO316" i="29"/>
  <c r="V316" i="29" s="1"/>
  <c r="AO104" i="29"/>
  <c r="V104" i="29" s="1"/>
  <c r="AO35" i="29"/>
  <c r="U35" i="29" s="1"/>
  <c r="AO571" i="29"/>
  <c r="V571" i="29" s="1"/>
  <c r="AO428" i="29"/>
  <c r="U428" i="29" s="1"/>
  <c r="AO309" i="29"/>
  <c r="U309" i="29" s="1"/>
  <c r="AO514" i="29"/>
  <c r="V514" i="29" s="1"/>
  <c r="AO362" i="29"/>
  <c r="V362" i="29" s="1"/>
  <c r="AO438" i="29"/>
  <c r="U438" i="29" s="1"/>
  <c r="AO32" i="29"/>
  <c r="V32" i="29" s="1"/>
  <c r="AO48" i="29"/>
  <c r="U48" i="29" s="1"/>
  <c r="AO319" i="29"/>
  <c r="V319" i="29" s="1"/>
  <c r="AO447" i="29"/>
  <c r="V447" i="29" s="1"/>
  <c r="AO507" i="29"/>
  <c r="V507" i="29" s="1"/>
  <c r="AO120" i="29"/>
  <c r="V120" i="29" s="1"/>
  <c r="AO553" i="29"/>
  <c r="U553" i="29" s="1"/>
  <c r="AO236" i="29"/>
  <c r="U236" i="29" s="1"/>
  <c r="AO505" i="29"/>
  <c r="U505" i="29" s="1"/>
  <c r="AO246" i="29"/>
  <c r="V246" i="29" s="1"/>
  <c r="AO529" i="29"/>
  <c r="V529" i="29" s="1"/>
  <c r="AO486" i="29"/>
  <c r="U486" i="29" s="1"/>
  <c r="AO338" i="29"/>
  <c r="V338" i="29" s="1"/>
  <c r="AO17" i="29"/>
  <c r="U17" i="29" s="1"/>
  <c r="AO207" i="29"/>
  <c r="V207" i="29" s="1"/>
  <c r="AO390" i="29"/>
  <c r="V390" i="29" s="1"/>
  <c r="AO151" i="29"/>
  <c r="U151" i="29" s="1"/>
  <c r="AO512" i="29"/>
  <c r="U512" i="29" s="1"/>
  <c r="AO494" i="29"/>
  <c r="U494" i="29" s="1"/>
  <c r="AO339" i="29"/>
  <c r="U339" i="29" s="1"/>
  <c r="AO556" i="29"/>
  <c r="V556" i="29" s="1"/>
  <c r="AO448" i="29"/>
  <c r="V448" i="29" s="1"/>
  <c r="AO349" i="29"/>
  <c r="V349" i="29" s="1"/>
  <c r="AO239" i="29"/>
  <c r="U239" i="29" s="1"/>
  <c r="AO370" i="29"/>
  <c r="U370" i="29" s="1"/>
  <c r="AO418" i="29"/>
  <c r="U418" i="29" s="1"/>
  <c r="AO609" i="29"/>
  <c r="V609" i="29" s="1"/>
  <c r="AO543" i="29"/>
  <c r="U543" i="29" s="1"/>
  <c r="AO540" i="29"/>
  <c r="V540" i="29" s="1"/>
  <c r="AO580" i="29"/>
  <c r="U580" i="29" s="1"/>
  <c r="AO368" i="29"/>
  <c r="U368" i="29" s="1"/>
  <c r="AO39" i="29"/>
  <c r="U39" i="29" s="1"/>
  <c r="AO587" i="29"/>
  <c r="V587" i="29" s="1"/>
  <c r="AO388" i="29"/>
  <c r="U388" i="29" s="1"/>
  <c r="AO413" i="29"/>
  <c r="U413" i="29" s="1"/>
  <c r="AO89" i="29"/>
  <c r="V89" i="29" s="1"/>
  <c r="AO250" i="29"/>
  <c r="U250" i="29" s="1"/>
  <c r="AO402" i="29"/>
  <c r="U402" i="29" s="1"/>
  <c r="AO136" i="29"/>
  <c r="U136" i="29" s="1"/>
  <c r="AO365" i="29"/>
  <c r="V365" i="29" s="1"/>
  <c r="AO516" i="29"/>
  <c r="U516" i="29" s="1"/>
  <c r="AO334" i="29"/>
  <c r="U334" i="29" s="1"/>
  <c r="AO488" i="29"/>
  <c r="V488" i="29" s="1"/>
  <c r="AO597" i="29"/>
  <c r="U597" i="29" s="1"/>
  <c r="AO330" i="29"/>
  <c r="V330" i="29" s="1"/>
  <c r="AO165" i="29"/>
  <c r="V165" i="29" s="1"/>
  <c r="AO461" i="29"/>
  <c r="U461" i="29" s="1"/>
  <c r="AO57" i="29"/>
  <c r="U57" i="29" s="1"/>
  <c r="AO359" i="29"/>
  <c r="U359" i="29" s="1"/>
  <c r="AO387" i="29"/>
  <c r="V387" i="29" s="1"/>
  <c r="AO40" i="29"/>
  <c r="U40" i="29" s="1"/>
  <c r="AO220" i="29"/>
  <c r="U220" i="29" s="1"/>
  <c r="AO612" i="29"/>
  <c r="U612" i="29" s="1"/>
  <c r="AO50" i="29"/>
  <c r="V50" i="29" s="1"/>
  <c r="BV19" i="24"/>
  <c r="BX19" i="24" s="1"/>
  <c r="BS279" i="24"/>
  <c r="BX279" i="24" s="1"/>
  <c r="BS299" i="24"/>
  <c r="BX299" i="24" s="1"/>
  <c r="AO354" i="29"/>
  <c r="U354" i="29" s="1"/>
  <c r="AO376" i="29"/>
  <c r="U376" i="29" s="1"/>
  <c r="AO216" i="29"/>
  <c r="V216" i="29" s="1"/>
  <c r="AO125" i="29"/>
  <c r="U125" i="29" s="1"/>
  <c r="AO244" i="29"/>
  <c r="V244" i="29" s="1"/>
  <c r="AO395" i="29"/>
  <c r="U395" i="29" s="1"/>
  <c r="AO550" i="29"/>
  <c r="U550" i="29" s="1"/>
  <c r="AO254" i="29"/>
  <c r="V254" i="29" s="1"/>
  <c r="AO266" i="29"/>
  <c r="V266" i="29" s="1"/>
  <c r="AO25" i="29"/>
  <c r="V25" i="29" s="1"/>
  <c r="AO404" i="29"/>
  <c r="U404" i="29" s="1"/>
  <c r="AO210" i="29"/>
  <c r="V210" i="29" s="1"/>
  <c r="AO275" i="29"/>
  <c r="U275" i="29" s="1"/>
  <c r="AO502" i="29"/>
  <c r="V502" i="29" s="1"/>
  <c r="AO154" i="29"/>
  <c r="V154" i="29" s="1"/>
  <c r="AO217" i="29"/>
  <c r="U217" i="29" s="1"/>
  <c r="AO503" i="29"/>
  <c r="U503" i="29" s="1"/>
  <c r="AO342" i="29"/>
  <c r="U342" i="29" s="1"/>
  <c r="AO347" i="29"/>
  <c r="V347" i="29" s="1"/>
  <c r="AO259" i="29"/>
  <c r="U259" i="29" s="1"/>
  <c r="AO103" i="29"/>
  <c r="V103" i="29" s="1"/>
  <c r="AO433" i="29"/>
  <c r="V433" i="29" s="1"/>
  <c r="AO117" i="29"/>
  <c r="V117" i="29" s="1"/>
  <c r="AO582" i="29"/>
  <c r="U582" i="29" s="1"/>
  <c r="AO308" i="29"/>
  <c r="U308" i="29" s="1"/>
  <c r="AO268" i="29"/>
  <c r="U268" i="29" s="1"/>
  <c r="AO480" i="29"/>
  <c r="V480" i="29" s="1"/>
  <c r="AO112" i="29"/>
  <c r="V112" i="29" s="1"/>
  <c r="AO272" i="29"/>
  <c r="U272" i="29" s="1"/>
  <c r="AO378" i="29"/>
  <c r="U378" i="29" s="1"/>
  <c r="AO358" i="29"/>
  <c r="U358" i="29" s="1"/>
  <c r="BG26" i="24"/>
  <c r="BM26" i="24" s="1"/>
  <c r="BN26" i="24" s="1"/>
  <c r="AO86" i="29"/>
  <c r="V86" i="29" s="1"/>
  <c r="AO190" i="29"/>
  <c r="U190" i="29" s="1"/>
  <c r="AO185" i="29"/>
  <c r="V185" i="29" s="1"/>
  <c r="AO219" i="29"/>
  <c r="V219" i="29" s="1"/>
  <c r="AO409" i="29"/>
  <c r="U409" i="29" s="1"/>
  <c r="AO593" i="29"/>
  <c r="U593" i="29" s="1"/>
  <c r="AO267" i="29"/>
  <c r="U267" i="29" s="1"/>
  <c r="AO79" i="29"/>
  <c r="U79" i="29" s="1"/>
  <c r="BS148" i="24"/>
  <c r="BX148" i="24" s="1"/>
  <c r="BS282" i="24"/>
  <c r="BX282" i="24" s="1"/>
  <c r="BS54" i="24"/>
  <c r="BV54" i="24" s="1"/>
  <c r="BX54" i="24" s="1"/>
  <c r="BS247" i="24"/>
  <c r="BX247" i="24" s="1"/>
  <c r="BG228" i="24"/>
  <c r="BM228" i="24" s="1"/>
  <c r="BN228" i="24" s="1"/>
  <c r="BS20" i="24"/>
  <c r="BV20" i="24" s="1"/>
  <c r="BX20" i="24" s="1"/>
  <c r="BX248" i="24"/>
  <c r="AO141" i="29"/>
  <c r="U141" i="29" s="1"/>
  <c r="AO230" i="29"/>
  <c r="V230" i="29" s="1"/>
  <c r="AO44" i="29"/>
  <c r="U44" i="29" s="1"/>
  <c r="AO332" i="29"/>
  <c r="V332" i="29" s="1"/>
  <c r="AO389" i="29"/>
  <c r="V389" i="29" s="1"/>
  <c r="AO320" i="29"/>
  <c r="U320" i="29" s="1"/>
  <c r="AO446" i="29"/>
  <c r="U446" i="29" s="1"/>
  <c r="AO100" i="29"/>
  <c r="V100" i="29" s="1"/>
  <c r="AO301" i="29"/>
  <c r="V301" i="29" s="1"/>
  <c r="AO214" i="29"/>
  <c r="U214" i="29" s="1"/>
  <c r="AO440" i="29"/>
  <c r="V440" i="29" s="1"/>
  <c r="AO345" i="29"/>
  <c r="U345" i="29" s="1"/>
  <c r="AO381" i="29"/>
  <c r="V381" i="29" s="1"/>
  <c r="AO243" i="29"/>
  <c r="U243" i="29" s="1"/>
  <c r="AO164" i="29"/>
  <c r="V164" i="29" s="1"/>
  <c r="AO547" i="29"/>
  <c r="V547" i="29" s="1"/>
  <c r="AO291" i="29"/>
  <c r="V291" i="29" s="1"/>
  <c r="AO114" i="29"/>
  <c r="U114" i="29" s="1"/>
  <c r="AO299" i="29"/>
  <c r="U299" i="29" s="1"/>
  <c r="AO237" i="29"/>
  <c r="U237" i="29" s="1"/>
  <c r="AO588" i="29"/>
  <c r="V588" i="29" s="1"/>
  <c r="AO407" i="29"/>
  <c r="U407" i="29" s="1"/>
  <c r="AO252" i="29"/>
  <c r="V252" i="29" s="1"/>
  <c r="AO600" i="29"/>
  <c r="U600" i="29" s="1"/>
  <c r="AO465" i="29"/>
  <c r="V465" i="29" s="1"/>
  <c r="AO274" i="29"/>
  <c r="U274" i="29" s="1"/>
  <c r="AO122" i="29"/>
  <c r="V122" i="29" s="1"/>
  <c r="AO306" i="29"/>
  <c r="U306" i="29" s="1"/>
  <c r="AO273" i="29"/>
  <c r="U273" i="29" s="1"/>
  <c r="AO83" i="29"/>
  <c r="U83" i="29" s="1"/>
  <c r="AO70" i="29"/>
  <c r="V70" i="29" s="1"/>
  <c r="AO410" i="29"/>
  <c r="V410" i="29" s="1"/>
  <c r="AO147" i="29"/>
  <c r="V147" i="29" s="1"/>
  <c r="AO183" i="29"/>
  <c r="V183" i="29" s="1"/>
  <c r="AO377" i="29"/>
  <c r="U377" i="29" s="1"/>
  <c r="AO146" i="29"/>
  <c r="V146" i="29" s="1"/>
  <c r="AO351" i="29"/>
  <c r="V351" i="29" s="1"/>
  <c r="AO132" i="29"/>
  <c r="V132" i="29" s="1"/>
  <c r="AO343" i="29"/>
  <c r="V343" i="29" s="1"/>
  <c r="AO52" i="29"/>
  <c r="V52" i="29" s="1"/>
  <c r="AO424" i="29"/>
  <c r="U424" i="29" s="1"/>
  <c r="AO84" i="29"/>
  <c r="V84" i="29" s="1"/>
  <c r="AO526" i="29"/>
  <c r="V526" i="29" s="1"/>
  <c r="AO504" i="29"/>
  <c r="V504" i="29" s="1"/>
  <c r="AO434" i="29"/>
  <c r="V434" i="29" s="1"/>
  <c r="AO195" i="29"/>
  <c r="V195" i="29" s="1"/>
  <c r="AO297" i="29"/>
  <c r="V297" i="29" s="1"/>
  <c r="AO501" i="29"/>
  <c r="U501" i="29" s="1"/>
  <c r="AO167" i="29"/>
  <c r="U167" i="29" s="1"/>
  <c r="AO559" i="29"/>
  <c r="V559" i="29" s="1"/>
  <c r="AO423" i="29"/>
  <c r="U423" i="29" s="1"/>
  <c r="AO116" i="29"/>
  <c r="V116" i="29" s="1"/>
  <c r="AO548" i="29"/>
  <c r="U548" i="29" s="1"/>
  <c r="AO108" i="29"/>
  <c r="V108" i="29" s="1"/>
  <c r="AO166" i="29"/>
  <c r="V166" i="29" s="1"/>
  <c r="AO270" i="29"/>
  <c r="V270" i="29" s="1"/>
  <c r="AO422" i="29"/>
  <c r="V422" i="29" s="1"/>
  <c r="AO325" i="29"/>
  <c r="V325" i="29" s="1"/>
  <c r="AO265" i="29"/>
  <c r="V265" i="29" s="1"/>
  <c r="AO569" i="29"/>
  <c r="V569" i="29" s="1"/>
  <c r="AO202" i="29"/>
  <c r="V202" i="29" s="1"/>
  <c r="AO562" i="29"/>
  <c r="V562" i="29" s="1"/>
  <c r="AO592" i="29"/>
  <c r="U592" i="29" s="1"/>
  <c r="AO140" i="29"/>
  <c r="V140" i="29" s="1"/>
  <c r="AO346" i="29"/>
  <c r="U346" i="29" s="1"/>
  <c r="AO468" i="29"/>
  <c r="U468" i="29" s="1"/>
  <c r="AO95" i="29"/>
  <c r="U95" i="29" s="1"/>
  <c r="AO283" i="29"/>
  <c r="U283" i="29" s="1"/>
  <c r="AO27" i="29"/>
  <c r="U27" i="29" s="1"/>
  <c r="AO198" i="29"/>
  <c r="V198" i="29" s="1"/>
  <c r="AO427" i="29"/>
  <c r="U427" i="29" s="1"/>
  <c r="AO350" i="29"/>
  <c r="V350" i="29" s="1"/>
  <c r="AO321" i="29"/>
  <c r="U321" i="29" s="1"/>
  <c r="AO331" i="29"/>
  <c r="U331" i="29" s="1"/>
  <c r="AO421" i="29"/>
  <c r="V421" i="29" s="1"/>
  <c r="AO92" i="29"/>
  <c r="V92" i="29" s="1"/>
  <c r="AO517" i="29"/>
  <c r="U517" i="29" s="1"/>
  <c r="AO130" i="29"/>
  <c r="V130" i="29" s="1"/>
  <c r="AO315" i="29"/>
  <c r="V315" i="29" s="1"/>
  <c r="AO221" i="29"/>
  <c r="V221" i="29" s="1"/>
  <c r="AO324" i="29"/>
  <c r="V324" i="29" s="1"/>
  <c r="AO256" i="29"/>
  <c r="U256" i="29" s="1"/>
  <c r="AO38" i="29"/>
  <c r="V38" i="29" s="1"/>
  <c r="AO91" i="29"/>
  <c r="V91" i="29" s="1"/>
  <c r="BV33" i="24"/>
  <c r="BX33" i="24" s="1"/>
  <c r="BS24" i="24"/>
  <c r="BV24" i="24" s="1"/>
  <c r="BX24" i="24" s="1"/>
  <c r="AO414" i="29"/>
  <c r="U414" i="29" s="1"/>
  <c r="AO235" i="29"/>
  <c r="U235" i="29" s="1"/>
  <c r="AO138" i="29"/>
  <c r="U138" i="29" s="1"/>
  <c r="AO102" i="29"/>
  <c r="U102" i="29" s="1"/>
  <c r="AO177" i="29"/>
  <c r="V177" i="29" s="1"/>
  <c r="AO492" i="29"/>
  <c r="V492" i="29" s="1"/>
  <c r="AO453" i="29"/>
  <c r="V453" i="29" s="1"/>
  <c r="AO506" i="29"/>
  <c r="U506" i="29" s="1"/>
  <c r="AO567" i="29"/>
  <c r="U567" i="29" s="1"/>
  <c r="AO314" i="29"/>
  <c r="V314" i="29" s="1"/>
  <c r="AO462" i="29"/>
  <c r="U462" i="29" s="1"/>
  <c r="AO303" i="29"/>
  <c r="U303" i="29" s="1"/>
  <c r="AO188" i="29"/>
  <c r="U188" i="29" s="1"/>
  <c r="AO94" i="29"/>
  <c r="U94" i="29" s="1"/>
  <c r="AO467" i="29"/>
  <c r="U467" i="29" s="1"/>
  <c r="AO156" i="29"/>
  <c r="V156" i="29" s="1"/>
  <c r="AO439" i="29"/>
  <c r="V439" i="29" s="1"/>
  <c r="AO312" i="29"/>
  <c r="V312" i="29" s="1"/>
  <c r="AO15" i="29"/>
  <c r="V15" i="29" s="1"/>
  <c r="AO451" i="29"/>
  <c r="U451" i="29" s="1"/>
  <c r="AO68" i="29"/>
  <c r="U68" i="29" s="1"/>
  <c r="AO23" i="29"/>
  <c r="V23" i="29" s="1"/>
  <c r="AO20" i="29"/>
  <c r="U20" i="29" s="1"/>
  <c r="AO21" i="29"/>
  <c r="U21" i="29" s="1"/>
  <c r="AO546" i="29"/>
  <c r="U546" i="29" s="1"/>
  <c r="AO121" i="29"/>
  <c r="V121" i="29" s="1"/>
  <c r="AO527" i="29"/>
  <c r="V527" i="29" s="1"/>
  <c r="AO449" i="29"/>
  <c r="V449" i="29" s="1"/>
  <c r="AO199" i="29"/>
  <c r="V199" i="29" s="1"/>
  <c r="AO200" i="29"/>
  <c r="V200" i="29" s="1"/>
  <c r="BV58" i="24"/>
  <c r="BX58" i="24" s="1"/>
  <c r="AO204" i="29"/>
  <c r="V204" i="29" s="1"/>
  <c r="AO415" i="29"/>
  <c r="U415" i="29" s="1"/>
  <c r="AO180" i="29"/>
  <c r="V180" i="29" s="1"/>
  <c r="AO482" i="29"/>
  <c r="U482" i="29" s="1"/>
  <c r="AO278" i="29"/>
  <c r="V278" i="29" s="1"/>
  <c r="AO240" i="29"/>
  <c r="V240" i="29" s="1"/>
  <c r="AO160" i="29"/>
  <c r="U160" i="29" s="1"/>
  <c r="AO457" i="29"/>
  <c r="U457" i="29" s="1"/>
  <c r="AO429" i="29"/>
  <c r="V429" i="29" s="1"/>
  <c r="AO90" i="29"/>
  <c r="V90" i="29" s="1"/>
  <c r="AO534" i="29"/>
  <c r="V534" i="29" s="1"/>
  <c r="AO360" i="29"/>
  <c r="V360" i="29" s="1"/>
  <c r="AO277" i="29"/>
  <c r="V277" i="29" s="1"/>
  <c r="AO583" i="29"/>
  <c r="V583" i="29" s="1"/>
  <c r="AO172" i="29"/>
  <c r="V172" i="29" s="1"/>
  <c r="AO535" i="29"/>
  <c r="U535" i="29" s="1"/>
  <c r="AO153" i="29"/>
  <c r="V153" i="29" s="1"/>
  <c r="AO552" i="29"/>
  <c r="U552" i="29" s="1"/>
  <c r="AO75" i="29"/>
  <c r="V75" i="29" s="1"/>
  <c r="AO524" i="29"/>
  <c r="V524" i="29" s="1"/>
  <c r="AO157" i="29"/>
  <c r="V157" i="29" s="1"/>
  <c r="AO135" i="29"/>
  <c r="U135" i="29" s="1"/>
  <c r="AO489" i="29"/>
  <c r="V489" i="29" s="1"/>
  <c r="AO490" i="29"/>
  <c r="V490" i="29" s="1"/>
  <c r="AO611" i="29"/>
  <c r="V611" i="29" s="1"/>
  <c r="AO479" i="29"/>
  <c r="U479" i="29" s="1"/>
  <c r="AO143" i="29"/>
  <c r="V143" i="29" s="1"/>
  <c r="AO335" i="29"/>
  <c r="V335" i="29" s="1"/>
  <c r="AO385" i="29"/>
  <c r="U385" i="29" s="1"/>
  <c r="AO430" i="29"/>
  <c r="V430" i="29" s="1"/>
  <c r="AO356" i="29"/>
  <c r="V356" i="29" s="1"/>
  <c r="AO317" i="29"/>
  <c r="U317" i="29" s="1"/>
  <c r="AO408" i="29"/>
  <c r="U408" i="29" s="1"/>
  <c r="AO96" i="29"/>
  <c r="U96" i="29" s="1"/>
  <c r="AO474" i="29"/>
  <c r="V474" i="29" s="1"/>
  <c r="AO62" i="29"/>
  <c r="U62" i="29" s="1"/>
  <c r="AO542" i="29"/>
  <c r="V542" i="29" s="1"/>
  <c r="AO455" i="29"/>
  <c r="V455" i="29" s="1"/>
  <c r="AO191" i="29"/>
  <c r="U191" i="29" s="1"/>
  <c r="AO476" i="29"/>
  <c r="U476" i="29" s="1"/>
  <c r="AO481" i="29"/>
  <c r="U481" i="29" s="1"/>
  <c r="AO530" i="29"/>
  <c r="V530" i="29" s="1"/>
  <c r="AO13" i="29"/>
  <c r="V13" i="29" s="1"/>
  <c r="AO99" i="29"/>
  <c r="V99" i="29" s="1"/>
  <c r="AO182" i="29"/>
  <c r="U182" i="29" s="1"/>
  <c r="AO375" i="29"/>
  <c r="V375" i="29" s="1"/>
  <c r="AO575" i="29"/>
  <c r="U575" i="29" s="1"/>
  <c r="AO333" i="29"/>
  <c r="U333" i="29" s="1"/>
  <c r="AO65" i="29"/>
  <c r="U65" i="29" s="1"/>
  <c r="AO69" i="29"/>
  <c r="U69" i="29" s="1"/>
  <c r="AO574" i="29"/>
  <c r="V574" i="29" s="1"/>
  <c r="AO209" i="29"/>
  <c r="V209" i="29" s="1"/>
  <c r="AO525" i="29"/>
  <c r="V525" i="29" s="1"/>
  <c r="AO416" i="29"/>
  <c r="U416" i="29" s="1"/>
  <c r="AO119" i="29"/>
  <c r="V119" i="29" s="1"/>
  <c r="AO336" i="29"/>
  <c r="V336" i="29" s="1"/>
  <c r="AO398" i="29"/>
  <c r="V398" i="29" s="1"/>
  <c r="AO341" i="29"/>
  <c r="V341" i="29" s="1"/>
  <c r="AO463" i="29"/>
  <c r="V463" i="29" s="1"/>
  <c r="AO131" i="29"/>
  <c r="U131" i="29" s="1"/>
  <c r="AO227" i="29"/>
  <c r="U227" i="29" s="1"/>
  <c r="AO76" i="29"/>
  <c r="U76" i="29" s="1"/>
  <c r="AO318" i="29"/>
  <c r="V318" i="29" s="1"/>
  <c r="AO344" i="29"/>
  <c r="U344" i="29" s="1"/>
  <c r="AO56" i="29"/>
  <c r="V56" i="29" s="1"/>
  <c r="AO45" i="29"/>
  <c r="V45" i="29" s="1"/>
  <c r="AO519" i="29"/>
  <c r="U519" i="29" s="1"/>
  <c r="AO372" i="29"/>
  <c r="U372" i="29" s="1"/>
  <c r="AO300" i="29"/>
  <c r="U300" i="29" s="1"/>
  <c r="AO364" i="29"/>
  <c r="U364" i="29" s="1"/>
  <c r="AO16" i="29"/>
  <c r="U16" i="29" s="1"/>
  <c r="AO178" i="29"/>
  <c r="U178" i="29" s="1"/>
  <c r="AO518" i="29"/>
  <c r="V518" i="29" s="1"/>
  <c r="AO218" i="29"/>
  <c r="V218" i="29" s="1"/>
  <c r="AO129" i="29"/>
  <c r="U129" i="29" s="1"/>
  <c r="AO459" i="29"/>
  <c r="V459" i="29" s="1"/>
  <c r="AO281" i="29"/>
  <c r="U281" i="29" s="1"/>
  <c r="AO232" i="29"/>
  <c r="V232" i="29" s="1"/>
  <c r="AO450" i="29"/>
  <c r="V450" i="29" s="1"/>
  <c r="AO472" i="29"/>
  <c r="U472" i="29" s="1"/>
  <c r="AO513" i="29"/>
  <c r="V513" i="29" s="1"/>
  <c r="AO139" i="29"/>
  <c r="V139" i="29" s="1"/>
  <c r="AO383" i="29"/>
  <c r="V383" i="29" s="1"/>
  <c r="AO564" i="29"/>
  <c r="V564" i="29" s="1"/>
  <c r="AO396" i="29"/>
  <c r="U396" i="29" s="1"/>
  <c r="AO533" i="29"/>
  <c r="V533" i="29" s="1"/>
  <c r="AO403" i="29"/>
  <c r="U403" i="29" s="1"/>
  <c r="AO357" i="29"/>
  <c r="V357" i="29" s="1"/>
  <c r="AO292" i="29"/>
  <c r="U292" i="29" s="1"/>
  <c r="AO594" i="29"/>
  <c r="V594" i="29" s="1"/>
  <c r="BB237" i="25"/>
  <c r="BS237" i="25" s="1"/>
  <c r="BA237" i="25"/>
  <c r="BC237" i="25"/>
  <c r="BT237" i="25" s="1"/>
  <c r="AO169" i="29"/>
  <c r="U169" i="29" s="1"/>
  <c r="AO67" i="29"/>
  <c r="U67" i="29" s="1"/>
  <c r="AO435" i="29"/>
  <c r="U435" i="29" s="1"/>
  <c r="AO34" i="29"/>
  <c r="U34" i="29" s="1"/>
  <c r="AO554" i="29"/>
  <c r="U554" i="29" s="1"/>
  <c r="AO81" i="29"/>
  <c r="U81" i="29" s="1"/>
  <c r="AO549" i="29"/>
  <c r="U549" i="29" s="1"/>
  <c r="AO37" i="29"/>
  <c r="V37" i="29" s="1"/>
  <c r="AO51" i="29"/>
  <c r="U51" i="29" s="1"/>
  <c r="AO313" i="29"/>
  <c r="U313" i="29" s="1"/>
  <c r="AO264" i="29"/>
  <c r="V264" i="29" s="1"/>
  <c r="AO353" i="29"/>
  <c r="V353" i="29" s="1"/>
  <c r="AO294" i="29"/>
  <c r="V294" i="29" s="1"/>
  <c r="BS117" i="24"/>
  <c r="BX117" i="24" s="1"/>
  <c r="AJ212" i="25"/>
  <c r="AM212" i="25"/>
  <c r="AX212" i="25"/>
  <c r="AW212" i="25"/>
  <c r="AO187" i="29"/>
  <c r="V187" i="29" s="1"/>
  <c r="AO520" i="29"/>
  <c r="V520" i="29" s="1"/>
  <c r="AO101" i="29"/>
  <c r="U101" i="29" s="1"/>
  <c r="AO311" i="29"/>
  <c r="U311" i="29" s="1"/>
  <c r="AO93" i="29"/>
  <c r="U93" i="29" s="1"/>
  <c r="AO366" i="29"/>
  <c r="V366" i="29" s="1"/>
  <c r="AO282" i="29"/>
  <c r="U282" i="29" s="1"/>
  <c r="AO179" i="29"/>
  <c r="V179" i="29" s="1"/>
  <c r="AO87" i="29"/>
  <c r="U87" i="29" s="1"/>
  <c r="AO456" i="29"/>
  <c r="U456" i="29" s="1"/>
  <c r="BG224" i="24"/>
  <c r="BY224" i="24" s="1"/>
  <c r="CA224" i="24" s="1"/>
  <c r="AO523" i="29"/>
  <c r="V523" i="29" s="1"/>
  <c r="AO296" i="29"/>
  <c r="V296" i="29" s="1"/>
  <c r="AO269" i="29"/>
  <c r="U269" i="29" s="1"/>
  <c r="AO498" i="29"/>
  <c r="V498" i="29" s="1"/>
  <c r="AO607" i="29"/>
  <c r="U607" i="29" s="1"/>
  <c r="AO109" i="29"/>
  <c r="V109" i="29" s="1"/>
  <c r="AO142" i="29"/>
  <c r="V142" i="29" s="1"/>
  <c r="AO605" i="29"/>
  <c r="U605" i="29" s="1"/>
  <c r="AO420" i="29"/>
  <c r="U420" i="29" s="1"/>
  <c r="AO173" i="29"/>
  <c r="V173" i="29" s="1"/>
  <c r="AO565" i="29"/>
  <c r="V565" i="29" s="1"/>
  <c r="AO260" i="29"/>
  <c r="V260" i="29" s="1"/>
  <c r="AO158" i="29"/>
  <c r="V158" i="29" s="1"/>
  <c r="AO560" i="29"/>
  <c r="V560" i="29" s="1"/>
  <c r="AO115" i="29"/>
  <c r="V115" i="29" s="1"/>
  <c r="AO286" i="29"/>
  <c r="V286" i="29" s="1"/>
  <c r="AO211" i="29"/>
  <c r="U211" i="29" s="1"/>
  <c r="AO532" i="29"/>
  <c r="V532" i="29" s="1"/>
  <c r="AO405" i="29"/>
  <c r="U405" i="29" s="1"/>
  <c r="AO355" i="29"/>
  <c r="U355" i="29" s="1"/>
  <c r="AO444" i="29"/>
  <c r="V444" i="29" s="1"/>
  <c r="AO258" i="29"/>
  <c r="U258" i="29" s="1"/>
  <c r="AO469" i="29"/>
  <c r="U469" i="29" s="1"/>
  <c r="AO88" i="29"/>
  <c r="V88" i="29" s="1"/>
  <c r="AO36" i="29"/>
  <c r="U36" i="29" s="1"/>
  <c r="AO394" i="29"/>
  <c r="U394" i="29" s="1"/>
  <c r="AO263" i="29"/>
  <c r="U263" i="29" s="1"/>
  <c r="AO228" i="29"/>
  <c r="U228" i="29" s="1"/>
  <c r="AO215" i="29"/>
  <c r="U215" i="29" s="1"/>
  <c r="AO460" i="29"/>
  <c r="V460" i="29" s="1"/>
  <c r="AO201" i="29"/>
  <c r="V201" i="29" s="1"/>
  <c r="AO30" i="29"/>
  <c r="U30" i="29" s="1"/>
  <c r="AO55" i="29"/>
  <c r="V55" i="29" s="1"/>
  <c r="AO31" i="29"/>
  <c r="V31" i="29" s="1"/>
  <c r="AO42" i="29"/>
  <c r="U42" i="29" s="1"/>
  <c r="AO573" i="29"/>
  <c r="V573" i="29" s="1"/>
  <c r="AO307" i="29"/>
  <c r="U307" i="29" s="1"/>
  <c r="AO348" i="29"/>
  <c r="V348" i="29" s="1"/>
  <c r="AO175" i="29"/>
  <c r="U175" i="29" s="1"/>
  <c r="AO522" i="29"/>
  <c r="V522" i="29" s="1"/>
  <c r="AO213" i="29"/>
  <c r="V213" i="29" s="1"/>
  <c r="AO386" i="29"/>
  <c r="U386" i="29" s="1"/>
  <c r="AO26" i="29"/>
  <c r="V26" i="29" s="1"/>
  <c r="AO262" i="29"/>
  <c r="U262" i="29" s="1"/>
  <c r="AO47" i="29"/>
  <c r="U47" i="29" s="1"/>
  <c r="AO192" i="29"/>
  <c r="V192" i="29" s="1"/>
  <c r="AO305" i="29"/>
  <c r="V305" i="29" s="1"/>
  <c r="AO610" i="29"/>
  <c r="V610" i="29" s="1"/>
  <c r="AO288" i="29"/>
  <c r="U288" i="29" s="1"/>
  <c r="AO82" i="29"/>
  <c r="V82" i="29" s="1"/>
  <c r="AO595" i="29"/>
  <c r="V595" i="29" s="1"/>
  <c r="AO134" i="29"/>
  <c r="U134" i="29" s="1"/>
  <c r="AO280" i="29"/>
  <c r="V280" i="29" s="1"/>
  <c r="AO473" i="29"/>
  <c r="U473" i="29" s="1"/>
  <c r="AO241" i="29"/>
  <c r="U241" i="29" s="1"/>
  <c r="AO401" i="29"/>
  <c r="V401" i="29" s="1"/>
  <c r="AO496" i="29"/>
  <c r="U496" i="29" s="1"/>
  <c r="AO28" i="29"/>
  <c r="U28" i="29" s="1"/>
  <c r="AO601" i="29"/>
  <c r="U601" i="29" s="1"/>
  <c r="AO500" i="29"/>
  <c r="V500" i="29" s="1"/>
  <c r="AO77" i="29"/>
  <c r="U77" i="29" s="1"/>
  <c r="AO276" i="29"/>
  <c r="U276" i="29" s="1"/>
  <c r="AO411" i="29"/>
  <c r="U411" i="29" s="1"/>
  <c r="AO29" i="29"/>
  <c r="U29" i="29" s="1"/>
  <c r="AO128" i="29"/>
  <c r="V128" i="29" s="1"/>
  <c r="AO570" i="29"/>
  <c r="U570" i="29" s="1"/>
  <c r="AO579" i="29"/>
  <c r="U579" i="29" s="1"/>
  <c r="AO538" i="29"/>
  <c r="U538" i="29" s="1"/>
  <c r="AO484" i="29"/>
  <c r="U484" i="29" s="1"/>
  <c r="AO197" i="29"/>
  <c r="U197" i="29" s="1"/>
  <c r="AO572" i="29"/>
  <c r="U572" i="29" s="1"/>
  <c r="AO234" i="29"/>
  <c r="V234" i="29" s="1"/>
  <c r="AO431" i="29"/>
  <c r="V431" i="29" s="1"/>
  <c r="AO441" i="29"/>
  <c r="V441" i="29" s="1"/>
  <c r="AO150" i="29"/>
  <c r="V150" i="29" s="1"/>
  <c r="AO369" i="29"/>
  <c r="V369" i="29" s="1"/>
  <c r="AO528" i="29"/>
  <c r="V528" i="29" s="1"/>
  <c r="AO302" i="29"/>
  <c r="U302" i="29" s="1"/>
  <c r="AO245" i="29"/>
  <c r="V245" i="29" s="1"/>
  <c r="AO497" i="29"/>
  <c r="U497" i="29" s="1"/>
  <c r="AO399" i="29"/>
  <c r="U399" i="29" s="1"/>
  <c r="AO162" i="29"/>
  <c r="U162" i="29" s="1"/>
  <c r="AO226" i="29"/>
  <c r="V226" i="29" s="1"/>
  <c r="AO247" i="29"/>
  <c r="U247" i="29" s="1"/>
  <c r="AO436" i="29"/>
  <c r="U436" i="29" s="1"/>
  <c r="AO33" i="29"/>
  <c r="V33" i="29" s="1"/>
  <c r="AO382" i="29"/>
  <c r="V382" i="29" s="1"/>
  <c r="AO170" i="29"/>
  <c r="V170" i="29" s="1"/>
  <c r="AO545" i="29"/>
  <c r="U545" i="29" s="1"/>
  <c r="AO561" i="29"/>
  <c r="V561" i="29" s="1"/>
  <c r="AO72" i="29"/>
  <c r="V72" i="29" s="1"/>
  <c r="AO249" i="29"/>
  <c r="U249" i="29" s="1"/>
  <c r="AO531" i="29"/>
  <c r="V531" i="29" s="1"/>
  <c r="AO581" i="29"/>
  <c r="U581" i="29" s="1"/>
  <c r="AO589" i="29"/>
  <c r="U589" i="29" s="1"/>
  <c r="AO184" i="29"/>
  <c r="U184" i="29" s="1"/>
  <c r="AO487" i="29"/>
  <c r="U487" i="29" s="1"/>
  <c r="AO196" i="29"/>
  <c r="U196" i="29" s="1"/>
  <c r="AO458" i="29"/>
  <c r="U458" i="29" s="1"/>
  <c r="AO432" i="29"/>
  <c r="V432" i="29" s="1"/>
  <c r="AO426" i="29"/>
  <c r="V426" i="29" s="1"/>
  <c r="AO406" i="29"/>
  <c r="V406" i="29" s="1"/>
  <c r="AO80" i="29"/>
  <c r="U80" i="29" s="1"/>
  <c r="AO224" i="29"/>
  <c r="U224" i="29" s="1"/>
  <c r="AO495" i="29"/>
  <c r="V495" i="29" s="1"/>
  <c r="AO126" i="29"/>
  <c r="U126" i="29" s="1"/>
  <c r="AO290" i="29"/>
  <c r="V290" i="29" s="1"/>
  <c r="AO41" i="29"/>
  <c r="V41" i="29" s="1"/>
  <c r="AO392" i="29"/>
  <c r="U392" i="29" s="1"/>
  <c r="AO329" i="29"/>
  <c r="U329" i="29" s="1"/>
  <c r="AO477" i="29"/>
  <c r="U477" i="29" s="1"/>
  <c r="AO133" i="29"/>
  <c r="V133" i="29" s="1"/>
  <c r="AO491" i="29"/>
  <c r="U491" i="29" s="1"/>
  <c r="AO568" i="29"/>
  <c r="V568" i="29" s="1"/>
  <c r="AO176" i="29"/>
  <c r="U176" i="29" s="1"/>
  <c r="AO310" i="29"/>
  <c r="V310" i="29" s="1"/>
  <c r="AO419" i="29"/>
  <c r="U419" i="29" s="1"/>
  <c r="AO539" i="29"/>
  <c r="U539" i="29" s="1"/>
  <c r="AO14" i="29"/>
  <c r="U14" i="29" s="1"/>
  <c r="AO171" i="29"/>
  <c r="U171" i="29" s="1"/>
  <c r="AO287" i="29"/>
  <c r="V287" i="29" s="1"/>
  <c r="AO425" i="29"/>
  <c r="U425" i="29" s="1"/>
  <c r="AO255" i="29"/>
  <c r="V255" i="29" s="1"/>
  <c r="AO251" i="29"/>
  <c r="V251" i="29" s="1"/>
  <c r="AO145" i="29"/>
  <c r="V145" i="29" s="1"/>
  <c r="AO149" i="29"/>
  <c r="V149" i="29" s="1"/>
  <c r="AO295" i="29"/>
  <c r="U295" i="29" s="1"/>
  <c r="BB77" i="25"/>
  <c r="BS77" i="25" s="1"/>
  <c r="BA77" i="25"/>
  <c r="BC77" i="25"/>
  <c r="BT77" i="25" s="1"/>
  <c r="BS25" i="24"/>
  <c r="BV25" i="24" s="1"/>
  <c r="BX25" i="24" s="1"/>
  <c r="BG25" i="24"/>
  <c r="BM25" i="24" s="1"/>
  <c r="BG133" i="24"/>
  <c r="BS133" i="24"/>
  <c r="BX133" i="24" s="1"/>
  <c r="BC175" i="25"/>
  <c r="BT175" i="25" s="1"/>
  <c r="BA175" i="25"/>
  <c r="BB175" i="25"/>
  <c r="BS175" i="25" s="1"/>
  <c r="BA64" i="25"/>
  <c r="BB64" i="25"/>
  <c r="BS64" i="25" s="1"/>
  <c r="BC64" i="25"/>
  <c r="BT64" i="25" s="1"/>
  <c r="BB171" i="25"/>
  <c r="BS171" i="25" s="1"/>
  <c r="BA171" i="25"/>
  <c r="BC171" i="25"/>
  <c r="BT171" i="25" s="1"/>
  <c r="BR240" i="25"/>
  <c r="BX240" i="25" s="1"/>
  <c r="BE240" i="25"/>
  <c r="BG189" i="24"/>
  <c r="BS189" i="24"/>
  <c r="BX189" i="24" s="1"/>
  <c r="BG93" i="24"/>
  <c r="BM93" i="24" s="1"/>
  <c r="BS93" i="24"/>
  <c r="BV93" i="24" s="1"/>
  <c r="BX93" i="24" s="1"/>
  <c r="BC73" i="25"/>
  <c r="BT73" i="25" s="1"/>
  <c r="BA73" i="25"/>
  <c r="BB73" i="25"/>
  <c r="BS73" i="25" s="1"/>
  <c r="BS268" i="24"/>
  <c r="BX268" i="24" s="1"/>
  <c r="BG268" i="24"/>
  <c r="BR21" i="25"/>
  <c r="BV21" i="25" s="1"/>
  <c r="BX21" i="25" s="1"/>
  <c r="BE21" i="25"/>
  <c r="BK21" i="25" s="1"/>
  <c r="BN44" i="24"/>
  <c r="BY44" i="24"/>
  <c r="CA44" i="24" s="1"/>
  <c r="CB44" i="24" s="1"/>
  <c r="BB8" i="25"/>
  <c r="BS8" i="25" s="1"/>
  <c r="BA8" i="25"/>
  <c r="BC8" i="25"/>
  <c r="BT8" i="25" s="1"/>
  <c r="BG42" i="24"/>
  <c r="BM42" i="24" s="1"/>
  <c r="BS42" i="24"/>
  <c r="BV42" i="24" s="1"/>
  <c r="BX42" i="24" s="1"/>
  <c r="BY191" i="24"/>
  <c r="CA191" i="24" s="1"/>
  <c r="BM191" i="24"/>
  <c r="BN191" i="24" s="1"/>
  <c r="BA234" i="25"/>
  <c r="BC234" i="25"/>
  <c r="BT234" i="25" s="1"/>
  <c r="BB234" i="25"/>
  <c r="BS234" i="25" s="1"/>
  <c r="BB84" i="25"/>
  <c r="BS84" i="25" s="1"/>
  <c r="BC84" i="25"/>
  <c r="BT84" i="25" s="1"/>
  <c r="BA84" i="25"/>
  <c r="BS43" i="24"/>
  <c r="BV43" i="24" s="1"/>
  <c r="BX43" i="24" s="1"/>
  <c r="BG43" i="24"/>
  <c r="BM43" i="24" s="1"/>
  <c r="BC116" i="25"/>
  <c r="BT116" i="25" s="1"/>
  <c r="BB116" i="25"/>
  <c r="BS116" i="25" s="1"/>
  <c r="BA116" i="25"/>
  <c r="BG116" i="24"/>
  <c r="BS116" i="24"/>
  <c r="BX116" i="24" s="1"/>
  <c r="BE34" i="25"/>
  <c r="BK34" i="25" s="1"/>
  <c r="BR34" i="25"/>
  <c r="BV34" i="25" s="1"/>
  <c r="BX34" i="25" s="1"/>
  <c r="BG196" i="24"/>
  <c r="BS196" i="24"/>
  <c r="BX196" i="24" s="1"/>
  <c r="BG173" i="24"/>
  <c r="BS173" i="24"/>
  <c r="BX173" i="24" s="1"/>
  <c r="BB146" i="25"/>
  <c r="BS146" i="25" s="1"/>
  <c r="BC146" i="25"/>
  <c r="BT146" i="25" s="1"/>
  <c r="BA146" i="25"/>
  <c r="BC63" i="25"/>
  <c r="BT63" i="25" s="1"/>
  <c r="BB63" i="25"/>
  <c r="BS63" i="25" s="1"/>
  <c r="BA63" i="25"/>
  <c r="BA52" i="25"/>
  <c r="BB52" i="25"/>
  <c r="BS52" i="25" s="1"/>
  <c r="BC52" i="25"/>
  <c r="BT52" i="25" s="1"/>
  <c r="BB290" i="25"/>
  <c r="BS290" i="25" s="1"/>
  <c r="BC290" i="25"/>
  <c r="BT290" i="25" s="1"/>
  <c r="BA290" i="25"/>
  <c r="BG125" i="24"/>
  <c r="BS125" i="24"/>
  <c r="BX125" i="24" s="1"/>
  <c r="BS221" i="24"/>
  <c r="BX221" i="24" s="1"/>
  <c r="BG221" i="24"/>
  <c r="BB249" i="25"/>
  <c r="BS249" i="25" s="1"/>
  <c r="BA249" i="25"/>
  <c r="BC249" i="25"/>
  <c r="BT249" i="25" s="1"/>
  <c r="BE114" i="25"/>
  <c r="BR114" i="25"/>
  <c r="BX114" i="25" s="1"/>
  <c r="BB300" i="25"/>
  <c r="BS300" i="25" s="1"/>
  <c r="BA300" i="25"/>
  <c r="BC300" i="25"/>
  <c r="BT300" i="25" s="1"/>
  <c r="BG186" i="24"/>
  <c r="BS186" i="24"/>
  <c r="BX186" i="24" s="1"/>
  <c r="BA153" i="25"/>
  <c r="BB153" i="25"/>
  <c r="BS153" i="25" s="1"/>
  <c r="BC153" i="25"/>
  <c r="BT153" i="25" s="1"/>
  <c r="BN21" i="24"/>
  <c r="BY21" i="24"/>
  <c r="CA21" i="24" s="1"/>
  <c r="BG267" i="24"/>
  <c r="BS267" i="24"/>
  <c r="BX267" i="24" s="1"/>
  <c r="BG281" i="24"/>
  <c r="BS281" i="24"/>
  <c r="BX281" i="24" s="1"/>
  <c r="BS94" i="24"/>
  <c r="BV94" i="24" s="1"/>
  <c r="BX94" i="24" s="1"/>
  <c r="BG94" i="24"/>
  <c r="BM94" i="24" s="1"/>
  <c r="BS13" i="24"/>
  <c r="BV13" i="24" s="1"/>
  <c r="BX13" i="24" s="1"/>
  <c r="BG13" i="24"/>
  <c r="BM13" i="24" s="1"/>
  <c r="BA281" i="25"/>
  <c r="BC281" i="25"/>
  <c r="BT281" i="25" s="1"/>
  <c r="BB281" i="25"/>
  <c r="BS281" i="25" s="1"/>
  <c r="BG220" i="24"/>
  <c r="BS220" i="24"/>
  <c r="BX220" i="24" s="1"/>
  <c r="BE275" i="25"/>
  <c r="BR275" i="25"/>
  <c r="BX275" i="25" s="1"/>
  <c r="BA160" i="25"/>
  <c r="BB160" i="25"/>
  <c r="BS160" i="25" s="1"/>
  <c r="BC160" i="25"/>
  <c r="BT160" i="25" s="1"/>
  <c r="U452" i="29"/>
  <c r="V452" i="29"/>
  <c r="U97" i="29"/>
  <c r="V97" i="29"/>
  <c r="V285" i="29"/>
  <c r="U285" i="29"/>
  <c r="V599" i="29"/>
  <c r="U599" i="29"/>
  <c r="V193" i="29"/>
  <c r="U193" i="29"/>
  <c r="U58" i="29"/>
  <c r="V58" i="29"/>
  <c r="AO585" i="29"/>
  <c r="BG222" i="24"/>
  <c r="BS222" i="24"/>
  <c r="BX222" i="24" s="1"/>
  <c r="BS70" i="24"/>
  <c r="BV70" i="24" s="1"/>
  <c r="BX70" i="24" s="1"/>
  <c r="BG70" i="24"/>
  <c r="BM70" i="24" s="1"/>
  <c r="BE282" i="25"/>
  <c r="BR282" i="25"/>
  <c r="BX282" i="25" s="1"/>
  <c r="BB302" i="25"/>
  <c r="BS302" i="25" s="1"/>
  <c r="BC302" i="25"/>
  <c r="BT302" i="25" s="1"/>
  <c r="BA302" i="25"/>
  <c r="BB176" i="25"/>
  <c r="BS176" i="25" s="1"/>
  <c r="BC176" i="25"/>
  <c r="BT176" i="25" s="1"/>
  <c r="BA176" i="25"/>
  <c r="BG158" i="24"/>
  <c r="BS158" i="24"/>
  <c r="BX158" i="24" s="1"/>
  <c r="BR201" i="25"/>
  <c r="BX201" i="25" s="1"/>
  <c r="BE201" i="25"/>
  <c r="BG90" i="24"/>
  <c r="BM90" i="24" s="1"/>
  <c r="BS90" i="24"/>
  <c r="BV90" i="24" s="1"/>
  <c r="BX90" i="24" s="1"/>
  <c r="BE95" i="25"/>
  <c r="BK95" i="25" s="1"/>
  <c r="BR95" i="25"/>
  <c r="BV95" i="25" s="1"/>
  <c r="BX95" i="25" s="1"/>
  <c r="BA41" i="25"/>
  <c r="BB41" i="25"/>
  <c r="BS41" i="25" s="1"/>
  <c r="BC41" i="25"/>
  <c r="BT41" i="25" s="1"/>
  <c r="BA17" i="25"/>
  <c r="BB17" i="25"/>
  <c r="BS17" i="25" s="1"/>
  <c r="BC17" i="25"/>
  <c r="BT17" i="25" s="1"/>
  <c r="BS56" i="24"/>
  <c r="BV56" i="24" s="1"/>
  <c r="BX56" i="24" s="1"/>
  <c r="BG56" i="24"/>
  <c r="BM56" i="24" s="1"/>
  <c r="BS91" i="24"/>
  <c r="BV91" i="24" s="1"/>
  <c r="BX91" i="24" s="1"/>
  <c r="BG91" i="24"/>
  <c r="BM91" i="24" s="1"/>
  <c r="BE92" i="25"/>
  <c r="BK92" i="25" s="1"/>
  <c r="BR92" i="25"/>
  <c r="BV92" i="25" s="1"/>
  <c r="BX92" i="25" s="1"/>
  <c r="BN24" i="24"/>
  <c r="BY190" i="24"/>
  <c r="CA190" i="24" s="1"/>
  <c r="CB190" i="24" s="1"/>
  <c r="BM190" i="24"/>
  <c r="BN190" i="24" s="1"/>
  <c r="BS40" i="24"/>
  <c r="BV40" i="24" s="1"/>
  <c r="BX40" i="24" s="1"/>
  <c r="BG40" i="24"/>
  <c r="BM40" i="24" s="1"/>
  <c r="BG140" i="24"/>
  <c r="BS140" i="24"/>
  <c r="BX140" i="24" s="1"/>
  <c r="BC286" i="25"/>
  <c r="BT286" i="25" s="1"/>
  <c r="BB286" i="25"/>
  <c r="BS286" i="25" s="1"/>
  <c r="BA286" i="25"/>
  <c r="BA60" i="25"/>
  <c r="BC60" i="25"/>
  <c r="BT60" i="25" s="1"/>
  <c r="BB60" i="25"/>
  <c r="BS60" i="25" s="1"/>
  <c r="BG310" i="24"/>
  <c r="BS310" i="24"/>
  <c r="BX310" i="24" s="1"/>
  <c r="BA101" i="25"/>
  <c r="BC101" i="25"/>
  <c r="BT101" i="25" s="1"/>
  <c r="BB101" i="25"/>
  <c r="BS101" i="25" s="1"/>
  <c r="BB26" i="25"/>
  <c r="BS26" i="25" s="1"/>
  <c r="BC26" i="25"/>
  <c r="BT26" i="25" s="1"/>
  <c r="BA26" i="25"/>
  <c r="BE296" i="25"/>
  <c r="BR296" i="25"/>
  <c r="BX296" i="25" s="1"/>
  <c r="BN34" i="24"/>
  <c r="BA51" i="25"/>
  <c r="BC51" i="25"/>
  <c r="BT51" i="25" s="1"/>
  <c r="BB51" i="25"/>
  <c r="BS51" i="25" s="1"/>
  <c r="BG113" i="24"/>
  <c r="BS113" i="24"/>
  <c r="BX113" i="24" s="1"/>
  <c r="BA150" i="25"/>
  <c r="BB150" i="25"/>
  <c r="BS150" i="25" s="1"/>
  <c r="BC150" i="25"/>
  <c r="BT150" i="25" s="1"/>
  <c r="BG181" i="24"/>
  <c r="BS181" i="24"/>
  <c r="BX181" i="24" s="1"/>
  <c r="BS87" i="24"/>
  <c r="BV87" i="24" s="1"/>
  <c r="BX87" i="24" s="1"/>
  <c r="BG87" i="24"/>
  <c r="BM87" i="24" s="1"/>
  <c r="BG118" i="24"/>
  <c r="BS118" i="24"/>
  <c r="BX118" i="24" s="1"/>
  <c r="BE247" i="25"/>
  <c r="BR247" i="25"/>
  <c r="BX247" i="25" s="1"/>
  <c r="BG168" i="24"/>
  <c r="BS168" i="24"/>
  <c r="BX168" i="24" s="1"/>
  <c r="BB12" i="25"/>
  <c r="BS12" i="25" s="1"/>
  <c r="BC12" i="25"/>
  <c r="BT12" i="25" s="1"/>
  <c r="BA12" i="25"/>
  <c r="BG47" i="24"/>
  <c r="BM47" i="24" s="1"/>
  <c r="BS47" i="24"/>
  <c r="BV47" i="24" s="1"/>
  <c r="BX47" i="24" s="1"/>
  <c r="BA46" i="25"/>
  <c r="BB46" i="25"/>
  <c r="BS46" i="25" s="1"/>
  <c r="BC46" i="25"/>
  <c r="BT46" i="25" s="1"/>
  <c r="BB75" i="25"/>
  <c r="BS75" i="25" s="1"/>
  <c r="BC75" i="25"/>
  <c r="BT75" i="25" s="1"/>
  <c r="BA75" i="25"/>
  <c r="BG243" i="24"/>
  <c r="BS243" i="24"/>
  <c r="BX243" i="24" s="1"/>
  <c r="BG249" i="24"/>
  <c r="BS249" i="24"/>
  <c r="BX249" i="24" s="1"/>
  <c r="BA7" i="25"/>
  <c r="BB7" i="25"/>
  <c r="BS7" i="25" s="1"/>
  <c r="BC7" i="25"/>
  <c r="BT7" i="25" s="1"/>
  <c r="BC112" i="25"/>
  <c r="BT112" i="25" s="1"/>
  <c r="BB112" i="25"/>
  <c r="BS112" i="25" s="1"/>
  <c r="BA112" i="25"/>
  <c r="BC250" i="25"/>
  <c r="BT250" i="25" s="1"/>
  <c r="BA250" i="25"/>
  <c r="BB250" i="25"/>
  <c r="BS250" i="25" s="1"/>
  <c r="BG126" i="24"/>
  <c r="BS126" i="24"/>
  <c r="BX126" i="24" s="1"/>
  <c r="BG275" i="24"/>
  <c r="BS275" i="24"/>
  <c r="BX275" i="24" s="1"/>
  <c r="BG81" i="24"/>
  <c r="BM81" i="24" s="1"/>
  <c r="BS81" i="24"/>
  <c r="BV81" i="24" s="1"/>
  <c r="BX81" i="24" s="1"/>
  <c r="BG200" i="24"/>
  <c r="BS200" i="24"/>
  <c r="BX200" i="24" s="1"/>
  <c r="BS180" i="24"/>
  <c r="BX180" i="24" s="1"/>
  <c r="BG180" i="24"/>
  <c r="BC294" i="25"/>
  <c r="BT294" i="25" s="1"/>
  <c r="BB294" i="25"/>
  <c r="BS294" i="25" s="1"/>
  <c r="BA294" i="25"/>
  <c r="BE186" i="25"/>
  <c r="BR186" i="25"/>
  <c r="BX186" i="25" s="1"/>
  <c r="BE131" i="25"/>
  <c r="BR131" i="25"/>
  <c r="BX131" i="25" s="1"/>
  <c r="BG246" i="24"/>
  <c r="BS246" i="24"/>
  <c r="BX246" i="24" s="1"/>
  <c r="BS66" i="24"/>
  <c r="BV66" i="24" s="1"/>
  <c r="BX66" i="24" s="1"/>
  <c r="BG66" i="24"/>
  <c r="BM66" i="24" s="1"/>
  <c r="BG293" i="24"/>
  <c r="BS293" i="24"/>
  <c r="BX293" i="24" s="1"/>
  <c r="BG15" i="24"/>
  <c r="BM15" i="24" s="1"/>
  <c r="BS15" i="24"/>
  <c r="BV15" i="24" s="1"/>
  <c r="BX15" i="24" s="1"/>
  <c r="BG230" i="24"/>
  <c r="BS230" i="24"/>
  <c r="BX230" i="24" s="1"/>
  <c r="BB168" i="25"/>
  <c r="BS168" i="25" s="1"/>
  <c r="BC168" i="25"/>
  <c r="BT168" i="25" s="1"/>
  <c r="BA168" i="25"/>
  <c r="BE174" i="25"/>
  <c r="BR174" i="25"/>
  <c r="BX174" i="25" s="1"/>
  <c r="BE314" i="25"/>
  <c r="BR314" i="25"/>
  <c r="BX314" i="25" s="1"/>
  <c r="BB184" i="25"/>
  <c r="BS184" i="25" s="1"/>
  <c r="BC184" i="25"/>
  <c r="BT184" i="25" s="1"/>
  <c r="BA184" i="25"/>
  <c r="BY294" i="24"/>
  <c r="CA294" i="24" s="1"/>
  <c r="BM294" i="24"/>
  <c r="BN294" i="24" s="1"/>
  <c r="BR82" i="25"/>
  <c r="BV82" i="25" s="1"/>
  <c r="BX82" i="25" s="1"/>
  <c r="BE82" i="25"/>
  <c r="BK82" i="25" s="1"/>
  <c r="BG309" i="24"/>
  <c r="BS309" i="24"/>
  <c r="BX309" i="24" s="1"/>
  <c r="BG35" i="24"/>
  <c r="BM35" i="24" s="1"/>
  <c r="BS35" i="24"/>
  <c r="BV35" i="24" s="1"/>
  <c r="BX35" i="24" s="1"/>
  <c r="BC202" i="25"/>
  <c r="BT202" i="25" s="1"/>
  <c r="BB202" i="25"/>
  <c r="BS202" i="25" s="1"/>
  <c r="BA202" i="25"/>
  <c r="BG174" i="24"/>
  <c r="BS174" i="24"/>
  <c r="BX174" i="24" s="1"/>
  <c r="BC142" i="25"/>
  <c r="BT142" i="25" s="1"/>
  <c r="BB142" i="25"/>
  <c r="BS142" i="25" s="1"/>
  <c r="BA142" i="25"/>
  <c r="BC298" i="25"/>
  <c r="BT298" i="25" s="1"/>
  <c r="BB298" i="25"/>
  <c r="BS298" i="25" s="1"/>
  <c r="BA298" i="25"/>
  <c r="BS23" i="24"/>
  <c r="BV23" i="24" s="1"/>
  <c r="BX23" i="24" s="1"/>
  <c r="BG23" i="24"/>
  <c r="BM23" i="24" s="1"/>
  <c r="BA22" i="25"/>
  <c r="BC22" i="25"/>
  <c r="BT22" i="25" s="1"/>
  <c r="BB22" i="25"/>
  <c r="BS22" i="25" s="1"/>
  <c r="BG74" i="24"/>
  <c r="BM74" i="24" s="1"/>
  <c r="BS74" i="24"/>
  <c r="BV74" i="24" s="1"/>
  <c r="BX74" i="24" s="1"/>
  <c r="BB253" i="25"/>
  <c r="BS253" i="25" s="1"/>
  <c r="BC253" i="25"/>
  <c r="BT253" i="25" s="1"/>
  <c r="BA253" i="25"/>
  <c r="BA141" i="25"/>
  <c r="BC141" i="25"/>
  <c r="BT141" i="25" s="1"/>
  <c r="BB141" i="25"/>
  <c r="BS141" i="25" s="1"/>
  <c r="BG127" i="24"/>
  <c r="BS127" i="24"/>
  <c r="BX127" i="24" s="1"/>
  <c r="BB162" i="25"/>
  <c r="BS162" i="25" s="1"/>
  <c r="BC162" i="25"/>
  <c r="BT162" i="25" s="1"/>
  <c r="BA162" i="25"/>
  <c r="BE229" i="25"/>
  <c r="BR229" i="25"/>
  <c r="BX229" i="25" s="1"/>
  <c r="BG312" i="24"/>
  <c r="BS312" i="24"/>
  <c r="BX312" i="24" s="1"/>
  <c r="BS68" i="24"/>
  <c r="BV68" i="24" s="1"/>
  <c r="BX68" i="24" s="1"/>
  <c r="BG68" i="24"/>
  <c r="BM68" i="24" s="1"/>
  <c r="BM282" i="24"/>
  <c r="BN282" i="24" s="1"/>
  <c r="BS36" i="24"/>
  <c r="BV36" i="24" s="1"/>
  <c r="BX36" i="24" s="1"/>
  <c r="BG36" i="24"/>
  <c r="BM36" i="24" s="1"/>
  <c r="BA285" i="25"/>
  <c r="BB285" i="25"/>
  <c r="BS285" i="25" s="1"/>
  <c r="BC285" i="25"/>
  <c r="BT285" i="25" s="1"/>
  <c r="BG262" i="24"/>
  <c r="BS262" i="24"/>
  <c r="BX262" i="24" s="1"/>
  <c r="BA103" i="25"/>
  <c r="BC103" i="25"/>
  <c r="BT103" i="25" s="1"/>
  <c r="BB103" i="25"/>
  <c r="BS103" i="25" s="1"/>
  <c r="BA164" i="25"/>
  <c r="BC164" i="25"/>
  <c r="BT164" i="25" s="1"/>
  <c r="BB164" i="25"/>
  <c r="BS164" i="25" s="1"/>
  <c r="BG297" i="24"/>
  <c r="BS297" i="24"/>
  <c r="BX297" i="24" s="1"/>
  <c r="BS96" i="24"/>
  <c r="BV96" i="24" s="1"/>
  <c r="BX96" i="24" s="1"/>
  <c r="BG96" i="24"/>
  <c r="BM96" i="24" s="1"/>
  <c r="BS60" i="24"/>
  <c r="BV60" i="24" s="1"/>
  <c r="BX60" i="24" s="1"/>
  <c r="BG60" i="24"/>
  <c r="BM60" i="24" s="1"/>
  <c r="V464" i="29"/>
  <c r="U464" i="29"/>
  <c r="U155" i="29"/>
  <c r="V155" i="29"/>
  <c r="BE258" i="25"/>
  <c r="BR258" i="25"/>
  <c r="BX258" i="25" s="1"/>
  <c r="BA50" i="25"/>
  <c r="BB50" i="25"/>
  <c r="BS50" i="25" s="1"/>
  <c r="BC50" i="25"/>
  <c r="BT50" i="25" s="1"/>
  <c r="BR28" i="25"/>
  <c r="BV28" i="25" s="1"/>
  <c r="BX28" i="25" s="1"/>
  <c r="BE28" i="25"/>
  <c r="BK28" i="25" s="1"/>
  <c r="BA216" i="25"/>
  <c r="BB216" i="25"/>
  <c r="BS216" i="25" s="1"/>
  <c r="BC216" i="25"/>
  <c r="BT216" i="25" s="1"/>
  <c r="BG192" i="24"/>
  <c r="BS192" i="24"/>
  <c r="BX192" i="24" s="1"/>
  <c r="BE32" i="25"/>
  <c r="BK32" i="25" s="1"/>
  <c r="BR32" i="25"/>
  <c r="BV32" i="25" s="1"/>
  <c r="BX32" i="25" s="1"/>
  <c r="BA193" i="25"/>
  <c r="BB193" i="25"/>
  <c r="BS193" i="25" s="1"/>
  <c r="BC193" i="25"/>
  <c r="BT193" i="25" s="1"/>
  <c r="BG218" i="24"/>
  <c r="BS218" i="24"/>
  <c r="BX218" i="24" s="1"/>
  <c r="BM117" i="24"/>
  <c r="BN117" i="24" s="1"/>
  <c r="BA152" i="25"/>
  <c r="BB152" i="25"/>
  <c r="BS152" i="25" s="1"/>
  <c r="BC152" i="25"/>
  <c r="BT152" i="25" s="1"/>
  <c r="BS32" i="24"/>
  <c r="BV32" i="24" s="1"/>
  <c r="BX32" i="24" s="1"/>
  <c r="BG32" i="24"/>
  <c r="BM32" i="24" s="1"/>
  <c r="BB197" i="25"/>
  <c r="BS197" i="25" s="1"/>
  <c r="BC197" i="25"/>
  <c r="BT197" i="25" s="1"/>
  <c r="BA197" i="25"/>
  <c r="BG271" i="24"/>
  <c r="BS271" i="24"/>
  <c r="BX271" i="24" s="1"/>
  <c r="BC288" i="25"/>
  <c r="BT288" i="25" s="1"/>
  <c r="BB288" i="25"/>
  <c r="BS288" i="25" s="1"/>
  <c r="BA288" i="25"/>
  <c r="BS62" i="24"/>
  <c r="BV62" i="24" s="1"/>
  <c r="BX62" i="24" s="1"/>
  <c r="BG62" i="24"/>
  <c r="BM62" i="24" s="1"/>
  <c r="BC308" i="25"/>
  <c r="BT308" i="25" s="1"/>
  <c r="BB308" i="25"/>
  <c r="BS308" i="25" s="1"/>
  <c r="BA308" i="25"/>
  <c r="BS103" i="24"/>
  <c r="BV103" i="24" s="1"/>
  <c r="BX103" i="24" s="1"/>
  <c r="BG103" i="24"/>
  <c r="BM103" i="24" s="1"/>
  <c r="BS73" i="24"/>
  <c r="BV73" i="24" s="1"/>
  <c r="BX73" i="24" s="1"/>
  <c r="BG73" i="24"/>
  <c r="BM73" i="24" s="1"/>
  <c r="BY143" i="25"/>
  <c r="CA143" i="25" s="1"/>
  <c r="CB143" i="25" s="1"/>
  <c r="BL143" i="25"/>
  <c r="BK143" i="25"/>
  <c r="BG285" i="24"/>
  <c r="BS285" i="24"/>
  <c r="BX285" i="24" s="1"/>
  <c r="BE177" i="25"/>
  <c r="BR177" i="25"/>
  <c r="BX177" i="25" s="1"/>
  <c r="BG171" i="24"/>
  <c r="BS171" i="24"/>
  <c r="BX171" i="24" s="1"/>
  <c r="BB220" i="25"/>
  <c r="BS220" i="25" s="1"/>
  <c r="BC220" i="25"/>
  <c r="BT220" i="25" s="1"/>
  <c r="BA220" i="25"/>
  <c r="BA163" i="25"/>
  <c r="BC163" i="25"/>
  <c r="BT163" i="25" s="1"/>
  <c r="BB163" i="25"/>
  <c r="BS163" i="25" s="1"/>
  <c r="B138" i="2"/>
  <c r="B141" i="2"/>
  <c r="L36" i="1" s="1"/>
  <c r="BG176" i="24"/>
  <c r="BS176" i="24"/>
  <c r="BX176" i="24" s="1"/>
  <c r="BA27" i="25"/>
  <c r="BB27" i="25"/>
  <c r="BS27" i="25" s="1"/>
  <c r="BC27" i="25"/>
  <c r="BT27" i="25" s="1"/>
  <c r="BG153" i="24"/>
  <c r="BS153" i="24"/>
  <c r="BX153" i="24" s="1"/>
  <c r="BA208" i="25"/>
  <c r="BC208" i="25"/>
  <c r="BT208" i="25" s="1"/>
  <c r="BB208" i="25"/>
  <c r="BS208" i="25" s="1"/>
  <c r="BY240" i="24"/>
  <c r="CA240" i="24" s="1"/>
  <c r="CB240" i="24" s="1"/>
  <c r="BM240" i="24"/>
  <c r="BN240" i="24" s="1"/>
  <c r="BG175" i="24"/>
  <c r="BS175" i="24"/>
  <c r="BX175" i="24" s="1"/>
  <c r="BE267" i="25"/>
  <c r="BR267" i="25"/>
  <c r="BX267" i="25" s="1"/>
  <c r="BA228" i="25"/>
  <c r="BB228" i="25"/>
  <c r="BS228" i="25" s="1"/>
  <c r="BC228" i="25"/>
  <c r="BT228" i="25" s="1"/>
  <c r="BA126" i="25"/>
  <c r="BB126" i="25"/>
  <c r="BS126" i="25" s="1"/>
  <c r="BC126" i="25"/>
  <c r="BT126" i="25" s="1"/>
  <c r="BG86" i="24"/>
  <c r="BM86" i="24" s="1"/>
  <c r="BS86" i="24"/>
  <c r="BV86" i="24" s="1"/>
  <c r="BX86" i="24" s="1"/>
  <c r="BN101" i="24"/>
  <c r="BY101" i="24"/>
  <c r="CA101" i="24" s="1"/>
  <c r="BA19" i="25"/>
  <c r="BC19" i="25"/>
  <c r="BT19" i="25" s="1"/>
  <c r="BB19" i="25"/>
  <c r="BS19" i="25" s="1"/>
  <c r="BS52" i="24"/>
  <c r="BV52" i="24" s="1"/>
  <c r="BX52" i="24" s="1"/>
  <c r="BG52" i="24"/>
  <c r="BM52" i="24" s="1"/>
  <c r="BS79" i="24"/>
  <c r="BV79" i="24" s="1"/>
  <c r="BX79" i="24" s="1"/>
  <c r="BG79" i="24"/>
  <c r="BM79" i="24" s="1"/>
  <c r="BG197" i="24"/>
  <c r="BS197" i="24"/>
  <c r="BX197" i="24" s="1"/>
  <c r="BA268" i="25"/>
  <c r="BC268" i="25"/>
  <c r="BT268" i="25" s="1"/>
  <c r="BB268" i="25"/>
  <c r="BS268" i="25" s="1"/>
  <c r="BS65" i="24"/>
  <c r="BV65" i="24" s="1"/>
  <c r="BX65" i="24" s="1"/>
  <c r="BG65" i="24"/>
  <c r="BM65" i="24" s="1"/>
  <c r="BE190" i="25"/>
  <c r="BR190" i="25"/>
  <c r="BX190" i="25" s="1"/>
  <c r="BG17" i="24"/>
  <c r="BM17" i="24" s="1"/>
  <c r="BS17" i="24"/>
  <c r="BV17" i="24" s="1"/>
  <c r="BX17" i="24" s="1"/>
  <c r="BG114" i="24"/>
  <c r="BS114" i="24"/>
  <c r="BX114" i="24" s="1"/>
  <c r="BG30" i="24"/>
  <c r="BM30" i="24" s="1"/>
  <c r="BS30" i="24"/>
  <c r="BV30" i="24" s="1"/>
  <c r="BX30" i="24" s="1"/>
  <c r="BA35" i="25"/>
  <c r="BB35" i="25"/>
  <c r="BS35" i="25" s="1"/>
  <c r="BC35" i="25"/>
  <c r="BT35" i="25" s="1"/>
  <c r="BG201" i="24"/>
  <c r="BS201" i="24"/>
  <c r="BX201" i="24" s="1"/>
  <c r="BS9" i="24"/>
  <c r="BV9" i="24" s="1"/>
  <c r="BX9" i="24" s="1"/>
  <c r="BG9" i="24"/>
  <c r="BM9" i="24" s="1"/>
  <c r="BR192" i="25"/>
  <c r="BX192" i="25" s="1"/>
  <c r="BE192" i="25"/>
  <c r="BE238" i="25"/>
  <c r="BR238" i="25"/>
  <c r="BX238" i="25" s="1"/>
  <c r="BA24" i="25"/>
  <c r="BB24" i="25"/>
  <c r="BS24" i="25" s="1"/>
  <c r="BC24" i="25"/>
  <c r="BT24" i="25" s="1"/>
  <c r="BE291" i="25"/>
  <c r="BR291" i="25"/>
  <c r="BX291" i="25" s="1"/>
  <c r="BN6" i="24"/>
  <c r="BS49" i="24"/>
  <c r="BV49" i="24" s="1"/>
  <c r="BX49" i="24" s="1"/>
  <c r="BG49" i="24"/>
  <c r="BM49" i="24" s="1"/>
  <c r="BC79" i="25"/>
  <c r="BT79" i="25" s="1"/>
  <c r="BB79" i="25"/>
  <c r="BS79" i="25" s="1"/>
  <c r="BA79" i="25"/>
  <c r="BG223" i="24"/>
  <c r="BS223" i="24"/>
  <c r="BX223" i="24" s="1"/>
  <c r="BM279" i="24"/>
  <c r="BN279" i="24" s="1"/>
  <c r="BB169" i="25"/>
  <c r="BS169" i="25" s="1"/>
  <c r="BC169" i="25"/>
  <c r="BT169" i="25" s="1"/>
  <c r="BA169" i="25"/>
  <c r="BC310" i="25"/>
  <c r="BT310" i="25" s="1"/>
  <c r="BA310" i="25"/>
  <c r="BB310" i="25"/>
  <c r="BS310" i="25" s="1"/>
  <c r="BS39" i="24"/>
  <c r="BV39" i="24" s="1"/>
  <c r="BX39" i="24" s="1"/>
  <c r="BG39" i="24"/>
  <c r="BM39" i="24" s="1"/>
  <c r="BG314" i="24"/>
  <c r="BS314" i="24"/>
  <c r="BX314" i="24" s="1"/>
  <c r="BA135" i="25"/>
  <c r="BB135" i="25"/>
  <c r="BS135" i="25" s="1"/>
  <c r="BC135" i="25"/>
  <c r="BT135" i="25" s="1"/>
  <c r="BG307" i="24"/>
  <c r="BS307" i="24"/>
  <c r="BX307" i="24" s="1"/>
  <c r="BA301" i="25"/>
  <c r="BB301" i="25"/>
  <c r="BS301" i="25" s="1"/>
  <c r="BC301" i="25"/>
  <c r="BT301" i="25" s="1"/>
  <c r="BY152" i="24"/>
  <c r="CA152" i="24" s="1"/>
  <c r="BM152" i="24"/>
  <c r="BN152" i="24" s="1"/>
  <c r="BG124" i="24"/>
  <c r="BS124" i="24"/>
  <c r="BX124" i="24" s="1"/>
  <c r="BG163" i="24"/>
  <c r="BS163" i="24"/>
  <c r="BX163" i="24" s="1"/>
  <c r="BR261" i="25"/>
  <c r="BX261" i="25" s="1"/>
  <c r="BE261" i="25"/>
  <c r="BA304" i="25"/>
  <c r="BC304" i="25"/>
  <c r="BT304" i="25" s="1"/>
  <c r="BB304" i="25"/>
  <c r="BS304" i="25" s="1"/>
  <c r="BB195" i="25"/>
  <c r="BS195" i="25" s="1"/>
  <c r="BC195" i="25"/>
  <c r="BT195" i="25" s="1"/>
  <c r="BA195" i="25"/>
  <c r="U328" i="29"/>
  <c r="V328" i="29"/>
  <c r="V78" i="29"/>
  <c r="U78" i="29"/>
  <c r="V174" i="29"/>
  <c r="U174" i="29"/>
  <c r="BG184" i="24"/>
  <c r="BS184" i="24"/>
  <c r="BX184" i="24" s="1"/>
  <c r="BG157" i="24"/>
  <c r="BS157" i="24"/>
  <c r="BX157" i="24" s="1"/>
  <c r="BY260" i="24"/>
  <c r="CA260" i="24" s="1"/>
  <c r="CB260" i="24" s="1"/>
  <c r="BM260" i="24"/>
  <c r="BN260" i="24" s="1"/>
  <c r="BN58" i="24"/>
  <c r="BC272" i="25"/>
  <c r="BT272" i="25" s="1"/>
  <c r="BB272" i="25"/>
  <c r="BS272" i="25" s="1"/>
  <c r="BA272" i="25"/>
  <c r="BY22" i="24"/>
  <c r="CA22" i="24" s="1"/>
  <c r="BN22" i="24"/>
  <c r="BG123" i="24"/>
  <c r="BS123" i="24"/>
  <c r="BX123" i="24" s="1"/>
  <c r="BG198" i="24"/>
  <c r="BS198" i="24"/>
  <c r="BX198" i="24" s="1"/>
  <c r="BG258" i="24"/>
  <c r="BS258" i="24"/>
  <c r="BX258" i="24" s="1"/>
  <c r="BA303" i="25"/>
  <c r="BC303" i="25"/>
  <c r="BT303" i="25" s="1"/>
  <c r="BB303" i="25"/>
  <c r="BS303" i="25" s="1"/>
  <c r="BB205" i="25"/>
  <c r="BS205" i="25" s="1"/>
  <c r="BC205" i="25"/>
  <c r="BT205" i="25" s="1"/>
  <c r="BA205" i="25"/>
  <c r="BE31" i="25"/>
  <c r="BK31" i="25" s="1"/>
  <c r="BR31" i="25"/>
  <c r="BV31" i="25" s="1"/>
  <c r="BX31" i="25" s="1"/>
  <c r="BG71" i="24"/>
  <c r="BM71" i="24" s="1"/>
  <c r="BS71" i="24"/>
  <c r="BV71" i="24" s="1"/>
  <c r="BX71" i="24" s="1"/>
  <c r="BB295" i="25"/>
  <c r="BS295" i="25" s="1"/>
  <c r="BC295" i="25"/>
  <c r="BT295" i="25" s="1"/>
  <c r="BA295" i="25"/>
  <c r="BG195" i="24"/>
  <c r="BS195" i="24"/>
  <c r="BX195" i="24" s="1"/>
  <c r="BG129" i="24"/>
  <c r="BS129" i="24"/>
  <c r="BX129" i="24" s="1"/>
  <c r="BA38" i="25"/>
  <c r="BC38" i="25"/>
  <c r="BT38" i="25" s="1"/>
  <c r="BB38" i="25"/>
  <c r="BS38" i="25" s="1"/>
  <c r="BA20" i="25"/>
  <c r="BC20" i="25"/>
  <c r="BT20" i="25" s="1"/>
  <c r="BB20" i="25"/>
  <c r="BS20" i="25" s="1"/>
  <c r="BG104" i="24"/>
  <c r="BM104" i="24" s="1"/>
  <c r="BS104" i="24"/>
  <c r="BV104" i="24" s="1"/>
  <c r="BX104" i="24" s="1"/>
  <c r="BN20" i="24"/>
  <c r="BA307" i="25"/>
  <c r="BB307" i="25"/>
  <c r="BS307" i="25" s="1"/>
  <c r="BC307" i="25"/>
  <c r="BT307" i="25" s="1"/>
  <c r="BY142" i="24"/>
  <c r="CA142" i="24" s="1"/>
  <c r="CB142" i="24" s="1"/>
  <c r="BM142" i="24"/>
  <c r="BN142" i="24" s="1"/>
  <c r="BB315" i="25"/>
  <c r="BS315" i="25" s="1"/>
  <c r="BC315" i="25"/>
  <c r="BT315" i="25" s="1"/>
  <c r="BA315" i="25"/>
  <c r="BG144" i="24"/>
  <c r="BS144" i="24"/>
  <c r="BX144" i="24" s="1"/>
  <c r="BB133" i="25"/>
  <c r="BS133" i="25" s="1"/>
  <c r="BA133" i="25"/>
  <c r="BC133" i="25"/>
  <c r="BT133" i="25" s="1"/>
  <c r="BC134" i="25"/>
  <c r="BT134" i="25" s="1"/>
  <c r="BB134" i="25"/>
  <c r="BS134" i="25" s="1"/>
  <c r="BA134" i="25"/>
  <c r="BC140" i="25"/>
  <c r="BT140" i="25" s="1"/>
  <c r="BB140" i="25"/>
  <c r="BS140" i="25" s="1"/>
  <c r="BA140" i="25"/>
  <c r="BG304" i="24"/>
  <c r="BS304" i="24"/>
  <c r="BX304" i="24" s="1"/>
  <c r="BA70" i="25"/>
  <c r="BB70" i="25"/>
  <c r="BS70" i="25" s="1"/>
  <c r="BC70" i="25"/>
  <c r="BT70" i="25" s="1"/>
  <c r="BG206" i="24"/>
  <c r="BS206" i="24"/>
  <c r="BX206" i="24" s="1"/>
  <c r="BB61" i="25"/>
  <c r="BS61" i="25" s="1"/>
  <c r="BA61" i="25"/>
  <c r="BC61" i="25"/>
  <c r="BT61" i="25" s="1"/>
  <c r="BB145" i="25"/>
  <c r="BS145" i="25" s="1"/>
  <c r="BC145" i="25"/>
  <c r="BT145" i="25" s="1"/>
  <c r="BA145" i="25"/>
  <c r="BG286" i="24"/>
  <c r="BS286" i="24"/>
  <c r="BX286" i="24" s="1"/>
  <c r="BE13" i="25"/>
  <c r="BK13" i="25" s="1"/>
  <c r="BR13" i="25"/>
  <c r="BV13" i="25" s="1"/>
  <c r="BX13" i="25" s="1"/>
  <c r="BG46" i="24"/>
  <c r="BM46" i="24" s="1"/>
  <c r="BS46" i="24"/>
  <c r="BV46" i="24" s="1"/>
  <c r="BX46" i="24" s="1"/>
  <c r="BC122" i="25"/>
  <c r="BT122" i="25" s="1"/>
  <c r="BA122" i="25"/>
  <c r="BB122" i="25"/>
  <c r="BS122" i="25" s="1"/>
  <c r="BA180" i="25"/>
  <c r="BC180" i="25"/>
  <c r="BT180" i="25" s="1"/>
  <c r="BB180" i="25"/>
  <c r="BS180" i="25" s="1"/>
  <c r="BB76" i="25"/>
  <c r="BS76" i="25" s="1"/>
  <c r="BC76" i="25"/>
  <c r="BT76" i="25" s="1"/>
  <c r="BA76" i="25"/>
  <c r="BG76" i="24"/>
  <c r="BM76" i="24" s="1"/>
  <c r="BS76" i="24"/>
  <c r="BV76" i="24" s="1"/>
  <c r="BX76" i="24" s="1"/>
  <c r="BS203" i="24"/>
  <c r="BX203" i="24" s="1"/>
  <c r="BG203" i="24"/>
  <c r="BG284" i="24"/>
  <c r="BS284" i="24"/>
  <c r="BX284" i="24" s="1"/>
  <c r="BB230" i="25"/>
  <c r="BS230" i="25" s="1"/>
  <c r="BA230" i="25"/>
  <c r="BC230" i="25"/>
  <c r="BT230" i="25" s="1"/>
  <c r="BG194" i="24"/>
  <c r="BS194" i="24"/>
  <c r="BX194" i="24" s="1"/>
  <c r="BB45" i="25"/>
  <c r="BS45" i="25" s="1"/>
  <c r="BC45" i="25"/>
  <c r="BT45" i="25" s="1"/>
  <c r="BA45" i="25"/>
  <c r="BR14" i="25"/>
  <c r="BV14" i="25" s="1"/>
  <c r="BX14" i="25" s="1"/>
  <c r="BE14" i="25"/>
  <c r="BK14" i="25" s="1"/>
  <c r="BE155" i="25"/>
  <c r="BR155" i="25"/>
  <c r="BX155" i="25" s="1"/>
  <c r="BA47" i="25"/>
  <c r="BC47" i="25"/>
  <c r="BT47" i="25" s="1"/>
  <c r="BB47" i="25"/>
  <c r="BS47" i="25" s="1"/>
  <c r="BC203" i="25"/>
  <c r="BT203" i="25" s="1"/>
  <c r="BB203" i="25"/>
  <c r="BS203" i="25" s="1"/>
  <c r="BA203" i="25"/>
  <c r="BY264" i="24"/>
  <c r="CA264" i="24" s="1"/>
  <c r="CB264" i="24" s="1"/>
  <c r="BM264" i="24"/>
  <c r="BN264" i="24" s="1"/>
  <c r="BS82" i="24"/>
  <c r="BV82" i="24" s="1"/>
  <c r="BX82" i="24" s="1"/>
  <c r="BG82" i="24"/>
  <c r="BM82" i="24" s="1"/>
  <c r="BS69" i="24"/>
  <c r="BV69" i="24" s="1"/>
  <c r="BX69" i="24" s="1"/>
  <c r="BG69" i="24"/>
  <c r="BM69" i="24" s="1"/>
  <c r="BB53" i="25"/>
  <c r="BS53" i="25" s="1"/>
  <c r="BC53" i="25"/>
  <c r="BT53" i="25" s="1"/>
  <c r="BA53" i="25"/>
  <c r="BG241" i="24"/>
  <c r="BS241" i="24"/>
  <c r="BX241" i="24" s="1"/>
  <c r="BB137" i="25"/>
  <c r="BS137" i="25" s="1"/>
  <c r="BC137" i="25"/>
  <c r="BT137" i="25" s="1"/>
  <c r="BA137" i="25"/>
  <c r="BE170" i="25"/>
  <c r="BR170" i="25"/>
  <c r="BX170" i="25" s="1"/>
  <c r="BA209" i="25"/>
  <c r="BB209" i="25"/>
  <c r="BS209" i="25" s="1"/>
  <c r="BC209" i="25"/>
  <c r="BT209" i="25" s="1"/>
  <c r="BG302" i="24"/>
  <c r="BS302" i="24"/>
  <c r="BX302" i="24" s="1"/>
  <c r="BE246" i="25"/>
  <c r="BR246" i="25"/>
  <c r="BX246" i="25" s="1"/>
  <c r="BS84" i="24"/>
  <c r="BV84" i="24" s="1"/>
  <c r="BX84" i="24" s="1"/>
  <c r="BG84" i="24"/>
  <c r="BM84" i="24" s="1"/>
  <c r="BE305" i="25"/>
  <c r="BR305" i="25"/>
  <c r="BX305" i="25" s="1"/>
  <c r="BN54" i="24"/>
  <c r="BE306" i="25"/>
  <c r="BR306" i="25"/>
  <c r="BX306" i="25" s="1"/>
  <c r="BE255" i="25"/>
  <c r="BR255" i="25"/>
  <c r="BX255" i="25" s="1"/>
  <c r="BA254" i="25"/>
  <c r="BB254" i="25"/>
  <c r="BS254" i="25" s="1"/>
  <c r="BC254" i="25"/>
  <c r="BT254" i="25" s="1"/>
  <c r="BB210" i="25"/>
  <c r="BS210" i="25" s="1"/>
  <c r="BC210" i="25"/>
  <c r="BT210" i="25" s="1"/>
  <c r="BA210" i="25"/>
  <c r="BE273" i="25"/>
  <c r="BR273" i="25"/>
  <c r="BX273" i="25" s="1"/>
  <c r="BY41" i="24"/>
  <c r="CA41" i="24" s="1"/>
  <c r="CB41" i="24" s="1"/>
  <c r="BN41" i="24"/>
  <c r="BR62" i="25"/>
  <c r="BV62" i="25" s="1"/>
  <c r="BX62" i="25" s="1"/>
  <c r="BE62" i="25"/>
  <c r="BK62" i="25" s="1"/>
  <c r="BE59" i="25"/>
  <c r="BK59" i="25" s="1"/>
  <c r="BR59" i="25"/>
  <c r="BV59" i="25" s="1"/>
  <c r="BX59" i="25" s="1"/>
  <c r="BS95" i="24"/>
  <c r="BV95" i="24" s="1"/>
  <c r="BX95" i="24" s="1"/>
  <c r="BG95" i="24"/>
  <c r="BM95" i="24" s="1"/>
  <c r="BG244" i="24"/>
  <c r="BS244" i="24"/>
  <c r="BX244" i="24" s="1"/>
  <c r="BG272" i="24"/>
  <c r="BS272" i="24"/>
  <c r="BX272" i="24" s="1"/>
  <c r="BG227" i="24"/>
  <c r="BS227" i="24"/>
  <c r="BX227" i="24" s="1"/>
  <c r="BG59" i="24"/>
  <c r="BM59" i="24" s="1"/>
  <c r="BS59" i="24"/>
  <c r="BV59" i="24" s="1"/>
  <c r="BX59" i="24" s="1"/>
  <c r="BE179" i="25"/>
  <c r="BR179" i="25"/>
  <c r="BX179" i="25" s="1"/>
  <c r="BA16" i="25"/>
  <c r="BB16" i="25"/>
  <c r="BS16" i="25" s="1"/>
  <c r="BC16" i="25"/>
  <c r="BT16" i="25" s="1"/>
  <c r="BY236" i="24"/>
  <c r="CA236" i="24" s="1"/>
  <c r="CB236" i="24" s="1"/>
  <c r="BM236" i="24"/>
  <c r="BN236" i="24" s="1"/>
  <c r="BG53" i="24"/>
  <c r="BM53" i="24" s="1"/>
  <c r="BS53" i="24"/>
  <c r="BV53" i="24" s="1"/>
  <c r="BX53" i="24" s="1"/>
  <c r="BC111" i="25"/>
  <c r="BT111" i="25" s="1"/>
  <c r="BB111" i="25"/>
  <c r="BS111" i="25" s="1"/>
  <c r="BA111" i="25"/>
  <c r="BG85" i="24"/>
  <c r="BM85" i="24" s="1"/>
  <c r="BS85" i="24"/>
  <c r="BV85" i="24" s="1"/>
  <c r="BX85" i="24" s="1"/>
  <c r="BC181" i="25"/>
  <c r="BT181" i="25" s="1"/>
  <c r="BB181" i="25"/>
  <c r="BS181" i="25" s="1"/>
  <c r="BA181" i="25"/>
  <c r="BM148" i="24"/>
  <c r="BN148" i="24" s="1"/>
  <c r="BG276" i="24"/>
  <c r="BS276" i="24"/>
  <c r="BX276" i="24" s="1"/>
  <c r="BB287" i="25"/>
  <c r="BS287" i="25" s="1"/>
  <c r="BC287" i="25"/>
  <c r="BT287" i="25" s="1"/>
  <c r="BA287" i="25"/>
  <c r="BA57" i="25"/>
  <c r="BB57" i="25"/>
  <c r="BS57" i="25" s="1"/>
  <c r="BC57" i="25"/>
  <c r="BT57" i="25" s="1"/>
  <c r="BB151" i="25"/>
  <c r="BS151" i="25" s="1"/>
  <c r="BC151" i="25"/>
  <c r="BT151" i="25" s="1"/>
  <c r="BA151" i="25"/>
  <c r="BG182" i="24"/>
  <c r="BS182" i="24"/>
  <c r="BX182" i="24" s="1"/>
  <c r="BG138" i="24"/>
  <c r="BS138" i="24"/>
  <c r="BX138" i="24" s="1"/>
  <c r="BY233" i="24"/>
  <c r="CA233" i="24" s="1"/>
  <c r="BM233" i="24"/>
  <c r="BN233" i="24" s="1"/>
  <c r="BY257" i="24"/>
  <c r="CA257" i="24" s="1"/>
  <c r="BM257" i="24"/>
  <c r="BN257" i="24" s="1"/>
  <c r="BC252" i="25"/>
  <c r="BT252" i="25" s="1"/>
  <c r="BB252" i="25"/>
  <c r="BS252" i="25" s="1"/>
  <c r="BA252" i="25"/>
  <c r="BB271" i="25"/>
  <c r="BS271" i="25" s="1"/>
  <c r="BC271" i="25"/>
  <c r="BT271" i="25" s="1"/>
  <c r="BA271" i="25"/>
  <c r="BB91" i="25"/>
  <c r="BS91" i="25" s="1"/>
  <c r="BC91" i="25"/>
  <c r="BT91" i="25" s="1"/>
  <c r="BA91" i="25"/>
  <c r="BG185" i="24"/>
  <c r="BS185" i="24"/>
  <c r="BX185" i="24" s="1"/>
  <c r="BS8" i="24"/>
  <c r="BV8" i="24" s="1"/>
  <c r="BX8" i="24" s="1"/>
  <c r="BG8" i="24"/>
  <c r="BM8" i="24" s="1"/>
  <c r="BE173" i="25"/>
  <c r="BR173" i="25"/>
  <c r="BX173" i="25" s="1"/>
  <c r="BA183" i="25"/>
  <c r="BB183" i="25"/>
  <c r="BS183" i="25" s="1"/>
  <c r="BC183" i="25"/>
  <c r="BT183" i="25" s="1"/>
  <c r="BE248" i="25"/>
  <c r="BR248" i="25"/>
  <c r="BX248" i="25" s="1"/>
  <c r="BA157" i="25"/>
  <c r="BB157" i="25"/>
  <c r="BS157" i="25" s="1"/>
  <c r="BC157" i="25"/>
  <c r="BT157" i="25" s="1"/>
  <c r="BM265" i="24"/>
  <c r="BN265" i="24" s="1"/>
  <c r="BG105" i="24"/>
  <c r="BM105" i="24" s="1"/>
  <c r="BS105" i="24"/>
  <c r="BV105" i="24" s="1"/>
  <c r="BX105" i="24" s="1"/>
  <c r="BA289" i="25"/>
  <c r="BB289" i="25"/>
  <c r="BS289" i="25" s="1"/>
  <c r="BC289" i="25"/>
  <c r="BT289" i="25" s="1"/>
  <c r="BA118" i="25"/>
  <c r="BB118" i="25"/>
  <c r="BS118" i="25" s="1"/>
  <c r="BC118" i="25"/>
  <c r="BT118" i="25" s="1"/>
  <c r="BS99" i="24"/>
  <c r="BV99" i="24" s="1"/>
  <c r="BX99" i="24" s="1"/>
  <c r="BG99" i="24"/>
  <c r="BM99" i="24" s="1"/>
  <c r="BG269" i="24"/>
  <c r="BS269" i="24"/>
  <c r="BX269" i="24" s="1"/>
  <c r="BG274" i="24"/>
  <c r="BS274" i="24"/>
  <c r="BX274" i="24" s="1"/>
  <c r="BE11" i="25"/>
  <c r="BK11" i="25" s="1"/>
  <c r="BR11" i="25"/>
  <c r="BV11" i="25" s="1"/>
  <c r="BX11" i="25" s="1"/>
  <c r="BG179" i="24"/>
  <c r="BS179" i="24"/>
  <c r="BX179" i="24" s="1"/>
  <c r="BA105" i="25"/>
  <c r="BB105" i="25"/>
  <c r="BS105" i="25" s="1"/>
  <c r="BC105" i="25"/>
  <c r="BT105" i="25" s="1"/>
  <c r="BE29" i="25"/>
  <c r="BK29" i="25" s="1"/>
  <c r="BR29" i="25"/>
  <c r="BV29" i="25" s="1"/>
  <c r="BX29" i="25" s="1"/>
  <c r="BM295" i="24"/>
  <c r="BN295" i="24" s="1"/>
  <c r="BB144" i="25"/>
  <c r="BS144" i="25" s="1"/>
  <c r="BC144" i="25"/>
  <c r="BT144" i="25" s="1"/>
  <c r="BA144" i="25"/>
  <c r="BG209" i="24"/>
  <c r="BS209" i="24"/>
  <c r="BX209" i="24" s="1"/>
  <c r="BA86" i="25"/>
  <c r="BB86" i="25"/>
  <c r="BS86" i="25" s="1"/>
  <c r="BC86" i="25"/>
  <c r="BT86" i="25" s="1"/>
  <c r="BG202" i="24"/>
  <c r="BS202" i="24"/>
  <c r="BX202" i="24" s="1"/>
  <c r="B128" i="2"/>
  <c r="B131" i="2"/>
  <c r="E36" i="1" s="1"/>
  <c r="BG266" i="24"/>
  <c r="BS266" i="24"/>
  <c r="BX266" i="24" s="1"/>
  <c r="BG288" i="24"/>
  <c r="BS288" i="24"/>
  <c r="BX288" i="24" s="1"/>
  <c r="BA98" i="25"/>
  <c r="BB98" i="25"/>
  <c r="BS98" i="25" s="1"/>
  <c r="BC98" i="25"/>
  <c r="BT98" i="25" s="1"/>
  <c r="BR71" i="25"/>
  <c r="BV71" i="25" s="1"/>
  <c r="BX71" i="25" s="1"/>
  <c r="BE71" i="25"/>
  <c r="BK71" i="25" s="1"/>
  <c r="BG270" i="24"/>
  <c r="BS270" i="24"/>
  <c r="BX270" i="24" s="1"/>
  <c r="BA207" i="25"/>
  <c r="BC207" i="25"/>
  <c r="BT207" i="25" s="1"/>
  <c r="BB207" i="25"/>
  <c r="BS207" i="25" s="1"/>
  <c r="BA56" i="25"/>
  <c r="BB56" i="25"/>
  <c r="BS56" i="25" s="1"/>
  <c r="BC56" i="25"/>
  <c r="BT56" i="25" s="1"/>
  <c r="BG97" i="24"/>
  <c r="BM97" i="24" s="1"/>
  <c r="BS97" i="24"/>
  <c r="BV97" i="24" s="1"/>
  <c r="BX97" i="24" s="1"/>
  <c r="BB125" i="25"/>
  <c r="BS125" i="25" s="1"/>
  <c r="BC125" i="25"/>
  <c r="BT125" i="25" s="1"/>
  <c r="BA125" i="25"/>
  <c r="BG205" i="24"/>
  <c r="BS205" i="24"/>
  <c r="BX205" i="24" s="1"/>
  <c r="BS63" i="24"/>
  <c r="BV63" i="24" s="1"/>
  <c r="BX63" i="24" s="1"/>
  <c r="BG63" i="24"/>
  <c r="BM63" i="24" s="1"/>
  <c r="BE30" i="25"/>
  <c r="BK30" i="25" s="1"/>
  <c r="BR30" i="25"/>
  <c r="BV30" i="25" s="1"/>
  <c r="BX30" i="25" s="1"/>
  <c r="BG177" i="24"/>
  <c r="BS177" i="24"/>
  <c r="BX177" i="24" s="1"/>
  <c r="BS136" i="24"/>
  <c r="BX136" i="24" s="1"/>
  <c r="BG136" i="24"/>
  <c r="BC123" i="25"/>
  <c r="BT123" i="25" s="1"/>
  <c r="BB123" i="25"/>
  <c r="BS123" i="25" s="1"/>
  <c r="BA123" i="25"/>
  <c r="BA83" i="25"/>
  <c r="BB83" i="25"/>
  <c r="BS83" i="25" s="1"/>
  <c r="BC83" i="25"/>
  <c r="BT83" i="25" s="1"/>
  <c r="BB132" i="25"/>
  <c r="BS132" i="25" s="1"/>
  <c r="BA132" i="25"/>
  <c r="BC132" i="25"/>
  <c r="BT132" i="25" s="1"/>
  <c r="BG199" i="24"/>
  <c r="BS199" i="24"/>
  <c r="BX199" i="24" s="1"/>
  <c r="BG155" i="24"/>
  <c r="BS155" i="24"/>
  <c r="BX155" i="24" s="1"/>
  <c r="BG149" i="24"/>
  <c r="BS149" i="24"/>
  <c r="BX149" i="24" s="1"/>
  <c r="BB90" i="25"/>
  <c r="BS90" i="25" s="1"/>
  <c r="BC90" i="25"/>
  <c r="BT90" i="25" s="1"/>
  <c r="BA90" i="25"/>
  <c r="BC222" i="25"/>
  <c r="BT222" i="25" s="1"/>
  <c r="BB222" i="25"/>
  <c r="BS222" i="25" s="1"/>
  <c r="BA222" i="25"/>
  <c r="BG261" i="24"/>
  <c r="BS261" i="24"/>
  <c r="BX261" i="24" s="1"/>
  <c r="BA40" i="25"/>
  <c r="BB40" i="25"/>
  <c r="BS40" i="25" s="1"/>
  <c r="BC40" i="25"/>
  <c r="BT40" i="25" s="1"/>
  <c r="BE89" i="25"/>
  <c r="BK89" i="25" s="1"/>
  <c r="BR89" i="25"/>
  <c r="BV89" i="25" s="1"/>
  <c r="BX89" i="25" s="1"/>
  <c r="BG67" i="24"/>
  <c r="BM67" i="24" s="1"/>
  <c r="BS67" i="24"/>
  <c r="BV67" i="24" s="1"/>
  <c r="BX67" i="24" s="1"/>
  <c r="BB10" i="25"/>
  <c r="BS10" i="25" s="1"/>
  <c r="BA10" i="25"/>
  <c r="BC10" i="25"/>
  <c r="BT10" i="25" s="1"/>
  <c r="BB120" i="25"/>
  <c r="BS120" i="25" s="1"/>
  <c r="BC120" i="25"/>
  <c r="BT120" i="25" s="1"/>
  <c r="BA120" i="25"/>
  <c r="BG251" i="24"/>
  <c r="BS251" i="24"/>
  <c r="BX251" i="24" s="1"/>
  <c r="BM238" i="24"/>
  <c r="BN238" i="24" s="1"/>
  <c r="BE262" i="25"/>
  <c r="BR262" i="25"/>
  <c r="BX262" i="25" s="1"/>
  <c r="BA156" i="25"/>
  <c r="BB156" i="25"/>
  <c r="BS156" i="25" s="1"/>
  <c r="BC156" i="25"/>
  <c r="BT156" i="25" s="1"/>
  <c r="BE280" i="25"/>
  <c r="BR280" i="25"/>
  <c r="BX280" i="25" s="1"/>
  <c r="BM219" i="24"/>
  <c r="BN219" i="24" s="1"/>
  <c r="BA263" i="25"/>
  <c r="BB263" i="25"/>
  <c r="BS263" i="25" s="1"/>
  <c r="BC263" i="25"/>
  <c r="BT263" i="25" s="1"/>
  <c r="BA49" i="25"/>
  <c r="BB49" i="25"/>
  <c r="BS49" i="25" s="1"/>
  <c r="BC49" i="25"/>
  <c r="BT49" i="25" s="1"/>
  <c r="BA218" i="25"/>
  <c r="BC218" i="25"/>
  <c r="BT218" i="25" s="1"/>
  <c r="BB218" i="25"/>
  <c r="BS218" i="25" s="1"/>
  <c r="BC127" i="25"/>
  <c r="BT127" i="25" s="1"/>
  <c r="BB127" i="25"/>
  <c r="BS127" i="25" s="1"/>
  <c r="BA127" i="25"/>
  <c r="BM296" i="24"/>
  <c r="BN296" i="24" s="1"/>
  <c r="BG115" i="24"/>
  <c r="BS115" i="24"/>
  <c r="BX115" i="24" s="1"/>
  <c r="BC311" i="25"/>
  <c r="BT311" i="25" s="1"/>
  <c r="BB311" i="25"/>
  <c r="BS311" i="25" s="1"/>
  <c r="BA311" i="25"/>
  <c r="BC196" i="25"/>
  <c r="BT196" i="25" s="1"/>
  <c r="BB196" i="25"/>
  <c r="BS196" i="25" s="1"/>
  <c r="BA196" i="25"/>
  <c r="BB54" i="25"/>
  <c r="BS54" i="25" s="1"/>
  <c r="BA54" i="25"/>
  <c r="BC54" i="25"/>
  <c r="BT54" i="25" s="1"/>
  <c r="BE243" i="25"/>
  <c r="BR243" i="25"/>
  <c r="BX243" i="25" s="1"/>
  <c r="BB119" i="25"/>
  <c r="BS119" i="25" s="1"/>
  <c r="BC119" i="25"/>
  <c r="BT119" i="25" s="1"/>
  <c r="BA119" i="25"/>
  <c r="D58" i="29"/>
  <c r="D50" i="29" s="1"/>
  <c r="D51" i="29" s="1"/>
  <c r="D60" i="29" s="1"/>
  <c r="U60" i="29"/>
  <c r="V60" i="29"/>
  <c r="U189" i="29"/>
  <c r="V189" i="29"/>
  <c r="U238" i="29"/>
  <c r="V238" i="29"/>
  <c r="V18" i="29"/>
  <c r="U18" i="29"/>
  <c r="BG250" i="24"/>
  <c r="BS250" i="24"/>
  <c r="BX250" i="24" s="1"/>
  <c r="BS50" i="24"/>
  <c r="BV50" i="24" s="1"/>
  <c r="BX50" i="24" s="1"/>
  <c r="BG50" i="24"/>
  <c r="BM50" i="24" s="1"/>
  <c r="BM130" i="24"/>
  <c r="BN130" i="24" s="1"/>
  <c r="BN12" i="24"/>
  <c r="BM147" i="24"/>
  <c r="BN147" i="24" s="1"/>
  <c r="BG145" i="24"/>
  <c r="BS145" i="24"/>
  <c r="BX145" i="24" s="1"/>
  <c r="BG255" i="24"/>
  <c r="BS255" i="24"/>
  <c r="BX255" i="24" s="1"/>
  <c r="BA235" i="25"/>
  <c r="BB235" i="25"/>
  <c r="BS235" i="25" s="1"/>
  <c r="BC235" i="25"/>
  <c r="BT235" i="25" s="1"/>
  <c r="BC309" i="25"/>
  <c r="BT309" i="25" s="1"/>
  <c r="BB309" i="25"/>
  <c r="BS309" i="25" s="1"/>
  <c r="BA309" i="25"/>
  <c r="BC251" i="25"/>
  <c r="BT251" i="25" s="1"/>
  <c r="BA251" i="25"/>
  <c r="BB251" i="25"/>
  <c r="BS251" i="25" s="1"/>
  <c r="BG252" i="24"/>
  <c r="BS252" i="24"/>
  <c r="BX252" i="24" s="1"/>
  <c r="BN55" i="24"/>
  <c r="BY55" i="24"/>
  <c r="CA55" i="24" s="1"/>
  <c r="BG151" i="24"/>
  <c r="BS151" i="24"/>
  <c r="BX151" i="24" s="1"/>
  <c r="BR104" i="25"/>
  <c r="BV104" i="25" s="1"/>
  <c r="BX104" i="25" s="1"/>
  <c r="BE104" i="25"/>
  <c r="BK104" i="25" s="1"/>
  <c r="BA65" i="25"/>
  <c r="BB65" i="25"/>
  <c r="BS65" i="25" s="1"/>
  <c r="BC65" i="25"/>
  <c r="BT65" i="25" s="1"/>
  <c r="BN45" i="24"/>
  <c r="BY45" i="24"/>
  <c r="CA45" i="24" s="1"/>
  <c r="BS10" i="24"/>
  <c r="BV10" i="24" s="1"/>
  <c r="BX10" i="24" s="1"/>
  <c r="BG10" i="24"/>
  <c r="BM10" i="24" s="1"/>
  <c r="BA264" i="25"/>
  <c r="BC264" i="25"/>
  <c r="BT264" i="25" s="1"/>
  <c r="BB264" i="25"/>
  <c r="BS264" i="25" s="1"/>
  <c r="BE257" i="25"/>
  <c r="BR257" i="25"/>
  <c r="BX257" i="25" s="1"/>
  <c r="BA68" i="25"/>
  <c r="BC68" i="25"/>
  <c r="BT68" i="25" s="1"/>
  <c r="BB68" i="25"/>
  <c r="BS68" i="25" s="1"/>
  <c r="BE198" i="25"/>
  <c r="BR198" i="25"/>
  <c r="BX198" i="25" s="1"/>
  <c r="BG316" i="24"/>
  <c r="BS316" i="24"/>
  <c r="BX316" i="24" s="1"/>
  <c r="BA278" i="25"/>
  <c r="BB278" i="25"/>
  <c r="BS278" i="25" s="1"/>
  <c r="BC278" i="25"/>
  <c r="BT278" i="25" s="1"/>
  <c r="BC297" i="25"/>
  <c r="BT297" i="25" s="1"/>
  <c r="BB297" i="25"/>
  <c r="BS297" i="25" s="1"/>
  <c r="BA297" i="25"/>
  <c r="BG169" i="24"/>
  <c r="BS169" i="24"/>
  <c r="BX169" i="24" s="1"/>
  <c r="BS154" i="24"/>
  <c r="BX154" i="24" s="1"/>
  <c r="BG154" i="24"/>
  <c r="BA224" i="25"/>
  <c r="BC224" i="25"/>
  <c r="BT224" i="25" s="1"/>
  <c r="BB224" i="25"/>
  <c r="BS224" i="25" s="1"/>
  <c r="BY7" i="24"/>
  <c r="CA7" i="24" s="1"/>
  <c r="BN7" i="24"/>
  <c r="BB74" i="25"/>
  <c r="BS74" i="25" s="1"/>
  <c r="BC74" i="25"/>
  <c r="BT74" i="25" s="1"/>
  <c r="BA74" i="25"/>
  <c r="BG170" i="24"/>
  <c r="BS170" i="24"/>
  <c r="BX170" i="24" s="1"/>
  <c r="BM280" i="24"/>
  <c r="BN280" i="24" s="1"/>
  <c r="BE178" i="25"/>
  <c r="BR178" i="25"/>
  <c r="BX178" i="25" s="1"/>
  <c r="BG207" i="24"/>
  <c r="BS207" i="24"/>
  <c r="BX207" i="24" s="1"/>
  <c r="BA217" i="25"/>
  <c r="BB217" i="25"/>
  <c r="BS217" i="25" s="1"/>
  <c r="BC217" i="25"/>
  <c r="BT217" i="25" s="1"/>
  <c r="BG141" i="24"/>
  <c r="BS141" i="24"/>
  <c r="BX141" i="24" s="1"/>
  <c r="BA260" i="25"/>
  <c r="BC260" i="25"/>
  <c r="BT260" i="25" s="1"/>
  <c r="BB260" i="25"/>
  <c r="BS260" i="25" s="1"/>
  <c r="BA226" i="25"/>
  <c r="BC226" i="25"/>
  <c r="BT226" i="25" s="1"/>
  <c r="BB226" i="25"/>
  <c r="BS226" i="25" s="1"/>
  <c r="BR87" i="25"/>
  <c r="BV87" i="25" s="1"/>
  <c r="BX87" i="25" s="1"/>
  <c r="BE87" i="25"/>
  <c r="BK87" i="25" s="1"/>
  <c r="BA172" i="25"/>
  <c r="BC172" i="25"/>
  <c r="BT172" i="25" s="1"/>
  <c r="BB172" i="25"/>
  <c r="BS172" i="25" s="1"/>
  <c r="BG78" i="24"/>
  <c r="BM78" i="24" s="1"/>
  <c r="BS78" i="24"/>
  <c r="BV78" i="24" s="1"/>
  <c r="BX78" i="24" s="1"/>
  <c r="BA242" i="25"/>
  <c r="BC242" i="25"/>
  <c r="BT242" i="25" s="1"/>
  <c r="BB242" i="25"/>
  <c r="BS242" i="25" s="1"/>
  <c r="BG167" i="24"/>
  <c r="BS167" i="24"/>
  <c r="BX167" i="24" s="1"/>
  <c r="BE6" i="25"/>
  <c r="BK6" i="25" s="1"/>
  <c r="BR6" i="25"/>
  <c r="BV6" i="25" s="1"/>
  <c r="BX6" i="25" s="1"/>
  <c r="BC182" i="25"/>
  <c r="BT182" i="25" s="1"/>
  <c r="BB182" i="25"/>
  <c r="BS182" i="25" s="1"/>
  <c r="BA182" i="25"/>
  <c r="BN19" i="24"/>
  <c r="BG245" i="24"/>
  <c r="BS245" i="24"/>
  <c r="BX245" i="24" s="1"/>
  <c r="BG37" i="24"/>
  <c r="BM37" i="24" s="1"/>
  <c r="BS37" i="24"/>
  <c r="BV37" i="24" s="1"/>
  <c r="BX37" i="24" s="1"/>
  <c r="BC227" i="25"/>
  <c r="BT227" i="25" s="1"/>
  <c r="BB227" i="25"/>
  <c r="BS227" i="25" s="1"/>
  <c r="BA227" i="25"/>
  <c r="BC312" i="25"/>
  <c r="BT312" i="25" s="1"/>
  <c r="BA312" i="25"/>
  <c r="BB312" i="25"/>
  <c r="BS312" i="25" s="1"/>
  <c r="BG237" i="24"/>
  <c r="BS237" i="24"/>
  <c r="BX237" i="24" s="1"/>
  <c r="BC269" i="25"/>
  <c r="BT269" i="25" s="1"/>
  <c r="BB269" i="25"/>
  <c r="BS269" i="25" s="1"/>
  <c r="BA269" i="25"/>
  <c r="BE147" i="25"/>
  <c r="BR147" i="25"/>
  <c r="BX147" i="25" s="1"/>
  <c r="BL129" i="25"/>
  <c r="BY129" i="25"/>
  <c r="CA129" i="25" s="1"/>
  <c r="CB129" i="25" s="1"/>
  <c r="BK129" i="25"/>
  <c r="BG226" i="24"/>
  <c r="BS226" i="24"/>
  <c r="BX226" i="24" s="1"/>
  <c r="BC78" i="25"/>
  <c r="BT78" i="25" s="1"/>
  <c r="BA78" i="25"/>
  <c r="BB78" i="25"/>
  <c r="BS78" i="25" s="1"/>
  <c r="BC138" i="25"/>
  <c r="BT138" i="25" s="1"/>
  <c r="BB138" i="25"/>
  <c r="BS138" i="25" s="1"/>
  <c r="BA138" i="25"/>
  <c r="BR158" i="25"/>
  <c r="BX158" i="25" s="1"/>
  <c r="BE158" i="25"/>
  <c r="BM298" i="24"/>
  <c r="BN298" i="24" s="1"/>
  <c r="BA166" i="25"/>
  <c r="BC166" i="25"/>
  <c r="BT166" i="25" s="1"/>
  <c r="BB166" i="25"/>
  <c r="BS166" i="25" s="1"/>
  <c r="BC149" i="25"/>
  <c r="BT149" i="25" s="1"/>
  <c r="BB149" i="25"/>
  <c r="BS149" i="25" s="1"/>
  <c r="BA149" i="25"/>
  <c r="BG128" i="24"/>
  <c r="BS128" i="24"/>
  <c r="BX128" i="24" s="1"/>
  <c r="BB266" i="25"/>
  <c r="BS266" i="25" s="1"/>
  <c r="BC266" i="25"/>
  <c r="BT266" i="25" s="1"/>
  <c r="BA266" i="25"/>
  <c r="BB69" i="25"/>
  <c r="BS69" i="25" s="1"/>
  <c r="BC69" i="25"/>
  <c r="BT69" i="25" s="1"/>
  <c r="BA69" i="25"/>
  <c r="BS61" i="24"/>
  <c r="BV61" i="24" s="1"/>
  <c r="BX61" i="24" s="1"/>
  <c r="BG61" i="24"/>
  <c r="BM61" i="24" s="1"/>
  <c r="BG263" i="24"/>
  <c r="BS263" i="24"/>
  <c r="BX263" i="24" s="1"/>
  <c r="BC81" i="25"/>
  <c r="BT81" i="25" s="1"/>
  <c r="BA81" i="25"/>
  <c r="BB81" i="25"/>
  <c r="BS81" i="25" s="1"/>
  <c r="BG234" i="24"/>
  <c r="BS234" i="24"/>
  <c r="BX234" i="24" s="1"/>
  <c r="BY160" i="24"/>
  <c r="CA160" i="24" s="1"/>
  <c r="CB160" i="24" s="1"/>
  <c r="BM160" i="24"/>
  <c r="BN160" i="24" s="1"/>
  <c r="BA244" i="25"/>
  <c r="BC244" i="25"/>
  <c r="BT244" i="25" s="1"/>
  <c r="BB244" i="25"/>
  <c r="BS244" i="25" s="1"/>
  <c r="BB130" i="25"/>
  <c r="BS130" i="25" s="1"/>
  <c r="BC130" i="25"/>
  <c r="BT130" i="25" s="1"/>
  <c r="BA130" i="25"/>
  <c r="BB55" i="25"/>
  <c r="BS55" i="25" s="1"/>
  <c r="BA55" i="25"/>
  <c r="BC55" i="25"/>
  <c r="BT55" i="25" s="1"/>
  <c r="BG183" i="24"/>
  <c r="BS183" i="24"/>
  <c r="BX183" i="24" s="1"/>
  <c r="BC239" i="25"/>
  <c r="BT239" i="25" s="1"/>
  <c r="BB239" i="25"/>
  <c r="BS239" i="25" s="1"/>
  <c r="BA239" i="25"/>
  <c r="BG278" i="24"/>
  <c r="BS278" i="24"/>
  <c r="BX278" i="24" s="1"/>
  <c r="BG139" i="24"/>
  <c r="BS139" i="24"/>
  <c r="BX139" i="24" s="1"/>
  <c r="BA43" i="25"/>
  <c r="BB43" i="25"/>
  <c r="BS43" i="25" s="1"/>
  <c r="BC43" i="25"/>
  <c r="BT43" i="25" s="1"/>
  <c r="BG188" i="24"/>
  <c r="BS188" i="24"/>
  <c r="BX188" i="24" s="1"/>
  <c r="BC42" i="25"/>
  <c r="BT42" i="25" s="1"/>
  <c r="BB42" i="25"/>
  <c r="BS42" i="25" s="1"/>
  <c r="BA42" i="25"/>
  <c r="B159" i="2"/>
  <c r="AY105" i="25"/>
  <c r="BG208" i="24"/>
  <c r="BS208" i="24"/>
  <c r="BX208" i="24" s="1"/>
  <c r="BG300" i="24"/>
  <c r="BS300" i="24"/>
  <c r="BX300" i="24" s="1"/>
  <c r="BG289" i="24"/>
  <c r="BS289" i="24"/>
  <c r="BX289" i="24" s="1"/>
  <c r="BC23" i="25"/>
  <c r="BT23" i="25" s="1"/>
  <c r="BB23" i="25"/>
  <c r="BS23" i="25" s="1"/>
  <c r="BA23" i="25"/>
  <c r="BA313" i="25"/>
  <c r="BC313" i="25"/>
  <c r="BT313" i="25" s="1"/>
  <c r="BB313" i="25"/>
  <c r="BS313" i="25" s="1"/>
  <c r="BE161" i="25"/>
  <c r="BR161" i="25"/>
  <c r="BX161" i="25" s="1"/>
  <c r="BA277" i="25"/>
  <c r="BB277" i="25"/>
  <c r="BS277" i="25" s="1"/>
  <c r="BC277" i="25"/>
  <c r="BT277" i="25" s="1"/>
  <c r="BE259" i="25"/>
  <c r="BR259" i="25"/>
  <c r="BX259" i="25" s="1"/>
  <c r="BL110" i="25"/>
  <c r="BY110" i="25"/>
  <c r="CA110" i="25" s="1"/>
  <c r="BK110" i="25"/>
  <c r="BA72" i="25"/>
  <c r="BC72" i="25"/>
  <c r="BT72" i="25" s="1"/>
  <c r="BB72" i="25"/>
  <c r="BS72" i="25" s="1"/>
  <c r="BG89" i="24"/>
  <c r="BM89" i="24" s="1"/>
  <c r="BS89" i="24"/>
  <c r="BV89" i="24" s="1"/>
  <c r="BX89" i="24" s="1"/>
  <c r="BG131" i="24"/>
  <c r="BS131" i="24"/>
  <c r="BX131" i="24" s="1"/>
  <c r="BS290" i="24"/>
  <c r="BX290" i="24" s="1"/>
  <c r="BG290" i="24"/>
  <c r="BG156" i="24"/>
  <c r="BS156" i="24"/>
  <c r="BX156" i="24" s="1"/>
  <c r="BG301" i="24"/>
  <c r="BS301" i="24"/>
  <c r="BX301" i="24" s="1"/>
  <c r="BC256" i="25"/>
  <c r="BT256" i="25" s="1"/>
  <c r="BB256" i="25"/>
  <c r="BS256" i="25" s="1"/>
  <c r="BA256" i="25"/>
  <c r="BM299" i="24"/>
  <c r="BN299" i="24" s="1"/>
  <c r="BA33" i="25"/>
  <c r="BB33" i="25"/>
  <c r="BS33" i="25" s="1"/>
  <c r="BC33" i="25"/>
  <c r="BT33" i="25" s="1"/>
  <c r="BC236" i="25"/>
  <c r="BT236" i="25" s="1"/>
  <c r="BA236" i="25"/>
  <c r="BB236" i="25"/>
  <c r="BS236" i="25" s="1"/>
  <c r="BG229" i="24"/>
  <c r="BS229" i="24"/>
  <c r="BX229" i="24" s="1"/>
  <c r="BE204" i="25"/>
  <c r="BR204" i="25"/>
  <c r="BX204" i="25" s="1"/>
  <c r="BE283" i="25"/>
  <c r="BR283" i="25"/>
  <c r="BX283" i="25" s="1"/>
  <c r="BG178" i="24"/>
  <c r="BS178" i="24"/>
  <c r="BX178" i="24" s="1"/>
  <c r="BA221" i="25"/>
  <c r="BB221" i="25"/>
  <c r="BS221" i="25" s="1"/>
  <c r="BC221" i="25"/>
  <c r="BT221" i="25" s="1"/>
  <c r="BG308" i="24"/>
  <c r="BS308" i="24"/>
  <c r="BX308" i="24" s="1"/>
  <c r="BR167" i="25"/>
  <c r="BX167" i="25" s="1"/>
  <c r="BE167" i="25"/>
  <c r="BS64" i="24"/>
  <c r="BV64" i="24" s="1"/>
  <c r="BX64" i="24" s="1"/>
  <c r="BG64" i="24"/>
  <c r="BM64" i="24" s="1"/>
  <c r="BE94" i="25"/>
  <c r="BK94" i="25" s="1"/>
  <c r="BR94" i="25"/>
  <c r="BV94" i="25" s="1"/>
  <c r="BX94" i="25" s="1"/>
  <c r="BA231" i="25"/>
  <c r="BB231" i="25"/>
  <c r="BS231" i="25" s="1"/>
  <c r="BC231" i="25"/>
  <c r="BT231" i="25" s="1"/>
  <c r="BA9" i="25"/>
  <c r="BB9" i="25"/>
  <c r="BS9" i="25" s="1"/>
  <c r="BC9" i="25"/>
  <c r="BT9" i="25" s="1"/>
  <c r="BY248" i="24"/>
  <c r="CA248" i="24" s="1"/>
  <c r="CB248" i="24" s="1"/>
  <c r="BM248" i="24"/>
  <c r="BN248" i="24" s="1"/>
  <c r="BS88" i="24"/>
  <c r="BV88" i="24" s="1"/>
  <c r="BX88" i="24" s="1"/>
  <c r="BG88" i="24"/>
  <c r="BM88" i="24" s="1"/>
  <c r="BG77" i="24"/>
  <c r="BM77" i="24" s="1"/>
  <c r="BS77" i="24"/>
  <c r="BV77" i="24" s="1"/>
  <c r="BX77" i="24" s="1"/>
  <c r="BA159" i="25"/>
  <c r="BB159" i="25"/>
  <c r="BS159" i="25" s="1"/>
  <c r="BC159" i="25"/>
  <c r="BT159" i="25" s="1"/>
  <c r="BR206" i="25"/>
  <c r="BX206" i="25" s="1"/>
  <c r="BE206" i="25"/>
  <c r="BC25" i="25"/>
  <c r="BT25" i="25" s="1"/>
  <c r="BB25" i="25"/>
  <c r="BS25" i="25" s="1"/>
  <c r="BA25" i="25"/>
  <c r="BM242" i="24"/>
  <c r="BN242" i="24" s="1"/>
  <c r="BM253" i="24"/>
  <c r="BN253" i="24" s="1"/>
  <c r="BE293" i="25"/>
  <c r="BR293" i="25"/>
  <c r="BX293" i="25" s="1"/>
  <c r="BG287" i="24"/>
  <c r="BS287" i="24"/>
  <c r="BX287" i="24" s="1"/>
  <c r="BC18" i="25"/>
  <c r="BT18" i="25" s="1"/>
  <c r="BB18" i="25"/>
  <c r="BS18" i="25" s="1"/>
  <c r="BA18" i="25"/>
  <c r="BG225" i="24"/>
  <c r="BS225" i="24"/>
  <c r="BX225" i="24" s="1"/>
  <c r="BA274" i="25"/>
  <c r="BB274" i="25"/>
  <c r="BS274" i="25" s="1"/>
  <c r="BC274" i="25"/>
  <c r="BT274" i="25" s="1"/>
  <c r="BC233" i="25"/>
  <c r="BT233" i="25" s="1"/>
  <c r="BA233" i="25"/>
  <c r="BB233" i="25"/>
  <c r="BS233" i="25" s="1"/>
  <c r="BG11" i="24"/>
  <c r="BM11" i="24" s="1"/>
  <c r="BS11" i="24"/>
  <c r="BV11" i="24" s="1"/>
  <c r="BX11" i="24" s="1"/>
  <c r="BS134" i="24"/>
  <c r="BX134" i="24" s="1"/>
  <c r="BG134" i="24"/>
  <c r="BB185" i="25"/>
  <c r="BS185" i="25" s="1"/>
  <c r="BC185" i="25"/>
  <c r="BT185" i="25" s="1"/>
  <c r="BA185" i="25"/>
  <c r="BE232" i="25"/>
  <c r="BR232" i="25"/>
  <c r="BX232" i="25" s="1"/>
  <c r="V437" i="29"/>
  <c r="U437" i="29"/>
  <c r="U509" i="29"/>
  <c r="V509" i="29"/>
  <c r="U124" i="29"/>
  <c r="V124" i="29"/>
  <c r="U537" i="29"/>
  <c r="V537" i="29"/>
  <c r="BN33" i="24"/>
  <c r="BC128" i="25"/>
  <c r="BT128" i="25" s="1"/>
  <c r="BA128" i="25"/>
  <c r="BB128" i="25"/>
  <c r="BS128" i="25" s="1"/>
  <c r="BB194" i="25"/>
  <c r="BS194" i="25" s="1"/>
  <c r="BC194" i="25"/>
  <c r="BT194" i="25" s="1"/>
  <c r="BA194" i="25"/>
  <c r="BG204" i="24"/>
  <c r="BS204" i="24"/>
  <c r="BX204" i="24" s="1"/>
  <c r="BG166" i="24"/>
  <c r="BS166" i="24"/>
  <c r="BX166" i="24" s="1"/>
  <c r="BB136" i="25"/>
  <c r="BS136" i="25" s="1"/>
  <c r="BC136" i="25"/>
  <c r="BT136" i="25" s="1"/>
  <c r="BA136" i="25"/>
  <c r="BA100" i="25"/>
  <c r="BB100" i="25"/>
  <c r="BS100" i="25" s="1"/>
  <c r="BC100" i="25"/>
  <c r="BT100" i="25" s="1"/>
  <c r="BG161" i="24"/>
  <c r="BS161" i="24"/>
  <c r="BX161" i="24" s="1"/>
  <c r="BB48" i="25"/>
  <c r="BS48" i="25" s="1"/>
  <c r="BA48" i="25"/>
  <c r="BC48" i="25"/>
  <c r="BT48" i="25" s="1"/>
  <c r="BY132" i="24"/>
  <c r="CA132" i="24" s="1"/>
  <c r="BM132" i="24"/>
  <c r="BN132" i="24" s="1"/>
  <c r="BS273" i="24"/>
  <c r="BX273" i="24" s="1"/>
  <c r="BG273" i="24"/>
  <c r="BE189" i="25"/>
  <c r="BR189" i="25"/>
  <c r="BX189" i="25" s="1"/>
  <c r="BA124" i="25"/>
  <c r="BC124" i="25"/>
  <c r="BT124" i="25" s="1"/>
  <c r="BB124" i="25"/>
  <c r="BS124" i="25" s="1"/>
  <c r="BS38" i="24"/>
  <c r="BV38" i="24" s="1"/>
  <c r="BX38" i="24" s="1"/>
  <c r="BG38" i="24"/>
  <c r="BM38" i="24" s="1"/>
  <c r="BA67" i="25"/>
  <c r="BC67" i="25"/>
  <c r="BT67" i="25" s="1"/>
  <c r="BB67" i="25"/>
  <c r="BS67" i="25" s="1"/>
  <c r="BG14" i="24"/>
  <c r="BM14" i="24" s="1"/>
  <c r="BS14" i="24"/>
  <c r="BV14" i="24" s="1"/>
  <c r="BX14" i="24" s="1"/>
  <c r="BG137" i="24"/>
  <c r="BS137" i="24"/>
  <c r="BX137" i="24" s="1"/>
  <c r="BY162" i="24"/>
  <c r="CA162" i="24" s="1"/>
  <c r="BM162" i="24"/>
  <c r="BN162" i="24" s="1"/>
  <c r="BG122" i="24"/>
  <c r="BS122" i="24"/>
  <c r="BX122" i="24" s="1"/>
  <c r="BA270" i="25"/>
  <c r="BC270" i="25"/>
  <c r="BT270" i="25" s="1"/>
  <c r="BB270" i="25"/>
  <c r="BS270" i="25" s="1"/>
  <c r="BY111" i="24"/>
  <c r="CA111" i="24" s="1"/>
  <c r="BM111" i="24"/>
  <c r="BN111" i="24" s="1"/>
  <c r="BS256" i="24"/>
  <c r="BX256" i="24" s="1"/>
  <c r="BG256" i="24"/>
  <c r="BE276" i="25"/>
  <c r="BR276" i="25"/>
  <c r="BX276" i="25" s="1"/>
  <c r="BG75" i="24"/>
  <c r="BM75" i="24" s="1"/>
  <c r="BS75" i="24"/>
  <c r="BV75" i="24" s="1"/>
  <c r="BX75" i="24" s="1"/>
  <c r="BB241" i="25"/>
  <c r="BS241" i="25" s="1"/>
  <c r="BC241" i="25"/>
  <c r="BT241" i="25" s="1"/>
  <c r="BA241" i="25"/>
  <c r="BY119" i="24"/>
  <c r="CA119" i="24" s="1"/>
  <c r="BM119" i="24"/>
  <c r="BN119" i="24" s="1"/>
  <c r="BG31" i="24"/>
  <c r="BM31" i="24" s="1"/>
  <c r="BS31" i="24"/>
  <c r="BV31" i="24" s="1"/>
  <c r="BX31" i="24" s="1"/>
  <c r="BB139" i="25"/>
  <c r="BS139" i="25" s="1"/>
  <c r="BC139" i="25"/>
  <c r="BT139" i="25" s="1"/>
  <c r="BA139" i="25"/>
  <c r="BS29" i="24"/>
  <c r="BV29" i="24" s="1"/>
  <c r="BX29" i="24" s="1"/>
  <c r="BG29" i="24"/>
  <c r="BM29" i="24" s="1"/>
  <c r="BY259" i="24"/>
  <c r="CA259" i="24" s="1"/>
  <c r="CB259" i="24" s="1"/>
  <c r="BM259" i="24"/>
  <c r="BN259" i="24" s="1"/>
  <c r="BA223" i="25"/>
  <c r="BC223" i="25"/>
  <c r="BT223" i="25" s="1"/>
  <c r="BB223" i="25"/>
  <c r="BS223" i="25" s="1"/>
  <c r="BA102" i="25"/>
  <c r="BB102" i="25"/>
  <c r="BS102" i="25" s="1"/>
  <c r="BC102" i="25"/>
  <c r="BT102" i="25" s="1"/>
  <c r="BA188" i="25"/>
  <c r="BC188" i="25"/>
  <c r="BT188" i="25" s="1"/>
  <c r="BB188" i="25"/>
  <c r="BS188" i="25" s="1"/>
  <c r="BG187" i="24"/>
  <c r="BS187" i="24"/>
  <c r="BX187" i="24" s="1"/>
  <c r="BE96" i="25"/>
  <c r="BK96" i="25" s="1"/>
  <c r="BR96" i="25"/>
  <c r="BV96" i="25" s="1"/>
  <c r="BX96" i="25" s="1"/>
  <c r="BA284" i="25"/>
  <c r="BB284" i="25"/>
  <c r="BS284" i="25" s="1"/>
  <c r="BC284" i="25"/>
  <c r="BT284" i="25" s="1"/>
  <c r="BC44" i="25"/>
  <c r="BT44" i="25" s="1"/>
  <c r="BB44" i="25"/>
  <c r="BS44" i="25" s="1"/>
  <c r="BA44" i="25"/>
  <c r="BG217" i="24"/>
  <c r="BS217" i="24"/>
  <c r="BX217" i="24" s="1"/>
  <c r="BE148" i="25"/>
  <c r="BR148" i="25"/>
  <c r="BX148" i="25" s="1"/>
  <c r="BB36" i="25"/>
  <c r="BS36" i="25" s="1"/>
  <c r="BA36" i="25"/>
  <c r="BC36" i="25"/>
  <c r="BT36" i="25" s="1"/>
  <c r="BG159" i="24"/>
  <c r="BS159" i="24"/>
  <c r="BX159" i="24" s="1"/>
  <c r="BA80" i="25"/>
  <c r="BB80" i="25"/>
  <c r="BS80" i="25" s="1"/>
  <c r="BC80" i="25"/>
  <c r="BT80" i="25" s="1"/>
  <c r="BB37" i="25"/>
  <c r="BS37" i="25" s="1"/>
  <c r="BC37" i="25"/>
  <c r="BT37" i="25" s="1"/>
  <c r="BA37" i="25"/>
  <c r="BG193" i="24"/>
  <c r="BS193" i="24"/>
  <c r="BX193" i="24" s="1"/>
  <c r="BA200" i="25"/>
  <c r="BB200" i="25"/>
  <c r="BS200" i="25" s="1"/>
  <c r="BC200" i="25"/>
  <c r="BT200" i="25" s="1"/>
  <c r="BS27" i="24"/>
  <c r="BV27" i="24" s="1"/>
  <c r="BX27" i="24" s="1"/>
  <c r="BG27" i="24"/>
  <c r="BM27" i="24" s="1"/>
  <c r="BB15" i="25"/>
  <c r="BS15" i="25" s="1"/>
  <c r="BC15" i="25"/>
  <c r="BT15" i="25" s="1"/>
  <c r="BA15" i="25"/>
  <c r="BE113" i="25"/>
  <c r="BR113" i="25"/>
  <c r="BX113" i="25" s="1"/>
  <c r="BG98" i="24"/>
  <c r="BM98" i="24" s="1"/>
  <c r="BS98" i="24"/>
  <c r="BV98" i="24" s="1"/>
  <c r="BX98" i="24" s="1"/>
  <c r="BG164" i="24"/>
  <c r="BS164" i="24"/>
  <c r="BX164" i="24" s="1"/>
  <c r="BG235" i="24"/>
  <c r="BS235" i="24"/>
  <c r="BX235" i="24" s="1"/>
  <c r="BA121" i="25"/>
  <c r="BB121" i="25"/>
  <c r="BS121" i="25" s="1"/>
  <c r="BC121" i="25"/>
  <c r="BT121" i="25" s="1"/>
  <c r="BB219" i="25"/>
  <c r="BS219" i="25" s="1"/>
  <c r="BC219" i="25"/>
  <c r="BT219" i="25" s="1"/>
  <c r="BA219" i="25"/>
  <c r="BG102" i="24"/>
  <c r="BM102" i="24" s="1"/>
  <c r="BS102" i="24"/>
  <c r="BV102" i="24" s="1"/>
  <c r="BX102" i="24" s="1"/>
  <c r="BG291" i="24"/>
  <c r="BS291" i="24"/>
  <c r="BX291" i="24" s="1"/>
  <c r="BS80" i="24"/>
  <c r="BV80" i="24" s="1"/>
  <c r="BX80" i="24" s="1"/>
  <c r="BG80" i="24"/>
  <c r="BM80" i="24" s="1"/>
  <c r="BA88" i="25"/>
  <c r="BC88" i="25"/>
  <c r="BT88" i="25" s="1"/>
  <c r="BB88" i="25"/>
  <c r="BS88" i="25" s="1"/>
  <c r="BA117" i="25"/>
  <c r="BC117" i="25"/>
  <c r="BT117" i="25" s="1"/>
  <c r="BB117" i="25"/>
  <c r="BS117" i="25" s="1"/>
  <c r="BB99" i="25"/>
  <c r="BS99" i="25" s="1"/>
  <c r="BC99" i="25"/>
  <c r="BT99" i="25" s="1"/>
  <c r="BA99" i="25"/>
  <c r="BA316" i="25"/>
  <c r="BC316" i="25"/>
  <c r="BT316" i="25" s="1"/>
  <c r="BB316" i="25"/>
  <c r="BS316" i="25" s="1"/>
  <c r="BC39" i="25"/>
  <c r="BT39" i="25" s="1"/>
  <c r="BA39" i="25"/>
  <c r="BB39" i="25"/>
  <c r="BS39" i="25" s="1"/>
  <c r="BG277" i="24"/>
  <c r="BS277" i="24"/>
  <c r="BX277" i="24" s="1"/>
  <c r="BS92" i="24"/>
  <c r="BV92" i="24" s="1"/>
  <c r="BX92" i="24" s="1"/>
  <c r="BG92" i="24"/>
  <c r="BM92" i="24" s="1"/>
  <c r="BM112" i="24"/>
  <c r="BN112" i="24" s="1"/>
  <c r="BY135" i="24"/>
  <c r="CA135" i="24" s="1"/>
  <c r="BM135" i="24"/>
  <c r="BN135" i="24" s="1"/>
  <c r="BA93" i="25"/>
  <c r="BC93" i="25"/>
  <c r="BT93" i="25" s="1"/>
  <c r="BB93" i="25"/>
  <c r="BS93" i="25" s="1"/>
  <c r="BG303" i="24"/>
  <c r="BS303" i="24"/>
  <c r="BX303" i="24" s="1"/>
  <c r="BS231" i="24"/>
  <c r="BX231" i="24" s="1"/>
  <c r="BG231" i="24"/>
  <c r="BM232" i="24"/>
  <c r="BN232" i="24" s="1"/>
  <c r="BG210" i="24"/>
  <c r="E19" i="1"/>
  <c r="BS210" i="24"/>
  <c r="BX210" i="24" s="1"/>
  <c r="BM247" i="24"/>
  <c r="BN247" i="24" s="1"/>
  <c r="BG150" i="24"/>
  <c r="BS150" i="24"/>
  <c r="BX150" i="24" s="1"/>
  <c r="BM305" i="24"/>
  <c r="BN305" i="24" s="1"/>
  <c r="BG315" i="24"/>
  <c r="BS315" i="24"/>
  <c r="BX315" i="24" s="1"/>
  <c r="BG146" i="24"/>
  <c r="BS146" i="24"/>
  <c r="BX146" i="24" s="1"/>
  <c r="BB299" i="25"/>
  <c r="BS299" i="25" s="1"/>
  <c r="BC299" i="25"/>
  <c r="BT299" i="25" s="1"/>
  <c r="BA299" i="25"/>
  <c r="BG254" i="24"/>
  <c r="BS254" i="24"/>
  <c r="BX254" i="24" s="1"/>
  <c r="V508" i="29"/>
  <c r="U61" i="29"/>
  <c r="V61" i="29"/>
  <c r="BA165" i="25"/>
  <c r="BC165" i="25"/>
  <c r="BT165" i="25" s="1"/>
  <c r="BB165" i="25"/>
  <c r="BS165" i="25" s="1"/>
  <c r="BG172" i="24"/>
  <c r="BS172" i="24"/>
  <c r="BX172" i="24" s="1"/>
  <c r="BG165" i="24"/>
  <c r="BS165" i="24"/>
  <c r="BX165" i="24" s="1"/>
  <c r="BG239" i="24"/>
  <c r="BS239" i="24"/>
  <c r="BX239" i="24" s="1"/>
  <c r="BS72" i="24"/>
  <c r="BV72" i="24" s="1"/>
  <c r="BX72" i="24" s="1"/>
  <c r="BG72" i="24"/>
  <c r="BM72" i="24" s="1"/>
  <c r="BC191" i="25"/>
  <c r="BT191" i="25" s="1"/>
  <c r="BA191" i="25"/>
  <c r="BB191" i="25"/>
  <c r="BS191" i="25" s="1"/>
  <c r="BG143" i="24"/>
  <c r="BS143" i="24"/>
  <c r="BX143" i="24" s="1"/>
  <c r="BS57" i="24"/>
  <c r="BV57" i="24" s="1"/>
  <c r="BX57" i="24" s="1"/>
  <c r="BG57" i="24"/>
  <c r="BM57" i="24" s="1"/>
  <c r="BA58" i="25"/>
  <c r="BB58" i="25"/>
  <c r="BS58" i="25" s="1"/>
  <c r="BC58" i="25"/>
  <c r="BT58" i="25" s="1"/>
  <c r="BS83" i="24"/>
  <c r="BV83" i="24" s="1"/>
  <c r="BX83" i="24" s="1"/>
  <c r="BG83" i="24"/>
  <c r="BM83" i="24" s="1"/>
  <c r="BR199" i="25"/>
  <c r="BX199" i="25" s="1"/>
  <c r="BE199" i="25"/>
  <c r="BB225" i="25"/>
  <c r="BS225" i="25" s="1"/>
  <c r="BA225" i="25"/>
  <c r="BC225" i="25"/>
  <c r="BT225" i="25" s="1"/>
  <c r="BB187" i="25"/>
  <c r="BS187" i="25" s="1"/>
  <c r="BC187" i="25"/>
  <c r="BT187" i="25" s="1"/>
  <c r="BA187" i="25"/>
  <c r="BA245" i="25"/>
  <c r="BC245" i="25"/>
  <c r="BT245" i="25" s="1"/>
  <c r="BB245" i="25"/>
  <c r="BS245" i="25" s="1"/>
  <c r="BC115" i="25"/>
  <c r="BT115" i="25" s="1"/>
  <c r="BB115" i="25"/>
  <c r="BS115" i="25" s="1"/>
  <c r="BA115" i="25"/>
  <c r="BS48" i="24"/>
  <c r="BV48" i="24" s="1"/>
  <c r="BX48" i="24" s="1"/>
  <c r="BG48" i="24"/>
  <c r="BM48" i="24" s="1"/>
  <c r="BB279" i="25"/>
  <c r="BS279" i="25" s="1"/>
  <c r="BC279" i="25"/>
  <c r="BT279" i="25" s="1"/>
  <c r="BA279" i="25"/>
  <c r="BS100" i="24"/>
  <c r="BV100" i="24" s="1"/>
  <c r="BX100" i="24" s="1"/>
  <c r="BG100" i="24"/>
  <c r="BM100" i="24" s="1"/>
  <c r="BS16" i="24"/>
  <c r="BV16" i="24" s="1"/>
  <c r="BX16" i="24" s="1"/>
  <c r="BG16" i="24"/>
  <c r="BM16" i="24" s="1"/>
  <c r="BG313" i="24"/>
  <c r="BS313" i="24"/>
  <c r="BX313" i="24" s="1"/>
  <c r="BS51" i="24"/>
  <c r="BV51" i="24" s="1"/>
  <c r="BX51" i="24" s="1"/>
  <c r="BG51" i="24"/>
  <c r="BM51" i="24" s="1"/>
  <c r="BG311" i="24"/>
  <c r="BS311" i="24"/>
  <c r="BX311" i="24" s="1"/>
  <c r="BB85" i="25"/>
  <c r="BS85" i="25" s="1"/>
  <c r="BC85" i="25"/>
  <c r="BT85" i="25" s="1"/>
  <c r="BA85" i="25"/>
  <c r="BE292" i="25"/>
  <c r="BR292" i="25"/>
  <c r="BX292" i="25" s="1"/>
  <c r="BG306" i="24"/>
  <c r="BS306" i="24"/>
  <c r="BX306" i="24" s="1"/>
  <c r="BB66" i="25"/>
  <c r="BS66" i="25" s="1"/>
  <c r="BA66" i="25"/>
  <c r="BC66" i="25"/>
  <c r="BT66" i="25" s="1"/>
  <c r="U442" i="29" l="1"/>
  <c r="BR97" i="25"/>
  <c r="BV97" i="25" s="1"/>
  <c r="BX97" i="25" s="1"/>
  <c r="CB110" i="25"/>
  <c r="CF110" i="25"/>
  <c r="CB7" i="24"/>
  <c r="CF7" i="24"/>
  <c r="V110" i="29"/>
  <c r="AH110" i="29" s="1"/>
  <c r="CB152" i="24"/>
  <c r="CF152" i="24"/>
  <c r="V231" i="29"/>
  <c r="X231" i="29" s="1"/>
  <c r="Y231" i="29" s="1"/>
  <c r="V544" i="29"/>
  <c r="X544" i="29" s="1"/>
  <c r="Y544" i="29" s="1"/>
  <c r="U541" i="29"/>
  <c r="AG541" i="29" s="1"/>
  <c r="V323" i="29"/>
  <c r="X323" i="29" s="1"/>
  <c r="Y323" i="29" s="1"/>
  <c r="V352" i="29"/>
  <c r="AH352" i="29" s="1"/>
  <c r="CB294" i="24"/>
  <c r="CF294" i="24"/>
  <c r="V521" i="29"/>
  <c r="X521" i="29" s="1"/>
  <c r="Y521" i="29" s="1"/>
  <c r="CB224" i="24"/>
  <c r="CF224" i="24"/>
  <c r="AP212" i="25"/>
  <c r="BG212" i="25"/>
  <c r="BJ212" i="25" s="1"/>
  <c r="V63" i="29"/>
  <c r="AH63" i="29" s="1"/>
  <c r="U584" i="29"/>
  <c r="AG584" i="29" s="1"/>
  <c r="U380" i="29"/>
  <c r="AG380" i="29" s="1"/>
  <c r="V591" i="29"/>
  <c r="X591" i="29" s="1"/>
  <c r="Y591" i="29" s="1"/>
  <c r="U483" i="29"/>
  <c r="W483" i="29" s="1"/>
  <c r="U576" i="29"/>
  <c r="W576" i="29" s="1"/>
  <c r="CB132" i="24"/>
  <c r="CF132" i="24"/>
  <c r="CB233" i="24"/>
  <c r="CF233" i="24"/>
  <c r="CB21" i="24"/>
  <c r="CF21" i="24"/>
  <c r="CB22" i="24"/>
  <c r="CF22" i="24"/>
  <c r="CB119" i="24"/>
  <c r="CF119" i="24"/>
  <c r="U163" i="29"/>
  <c r="AG163" i="29" s="1"/>
  <c r="CB111" i="24"/>
  <c r="CF111" i="24"/>
  <c r="V536" i="29"/>
  <c r="AH536" i="29" s="1"/>
  <c r="V551" i="29"/>
  <c r="AH551" i="29" s="1"/>
  <c r="BR265" i="25"/>
  <c r="BX265" i="25" s="1"/>
  <c r="V485" i="29"/>
  <c r="X485" i="29" s="1"/>
  <c r="Y485" i="29" s="1"/>
  <c r="V445" i="29"/>
  <c r="X445" i="29" s="1"/>
  <c r="Y445" i="29" s="1"/>
  <c r="V371" i="29"/>
  <c r="AH371" i="29" s="1"/>
  <c r="BM120" i="24"/>
  <c r="BN120" i="24" s="1"/>
  <c r="U225" i="29"/>
  <c r="AG225" i="29" s="1"/>
  <c r="V393" i="29"/>
  <c r="AH393" i="29" s="1"/>
  <c r="V478" i="29"/>
  <c r="AH478" i="29" s="1"/>
  <c r="U24" i="29"/>
  <c r="W24" i="29" s="1"/>
  <c r="V74" i="29"/>
  <c r="AH74" i="29" s="1"/>
  <c r="V304" i="29"/>
  <c r="X304" i="29" s="1"/>
  <c r="Y304" i="29" s="1"/>
  <c r="V66" i="29"/>
  <c r="AH66" i="29" s="1"/>
  <c r="V271" i="29"/>
  <c r="X271" i="29" s="1"/>
  <c r="Y271" i="29" s="1"/>
  <c r="U566" i="29"/>
  <c r="AG566" i="29" s="1"/>
  <c r="U148" i="29"/>
  <c r="W148" i="29" s="1"/>
  <c r="V212" i="29"/>
  <c r="AH212" i="29" s="1"/>
  <c r="V181" i="29"/>
  <c r="AH181" i="29" s="1"/>
  <c r="U223" i="29"/>
  <c r="AG223" i="29" s="1"/>
  <c r="U261" i="29"/>
  <c r="AG261" i="29" s="1"/>
  <c r="V59" i="29"/>
  <c r="AH59" i="29" s="1"/>
  <c r="U137" i="29"/>
  <c r="AG137" i="29" s="1"/>
  <c r="V206" i="29"/>
  <c r="AH206" i="29" s="1"/>
  <c r="U279" i="29"/>
  <c r="W279" i="29" s="1"/>
  <c r="V374" i="29"/>
  <c r="X374" i="29" s="1"/>
  <c r="Y374" i="29" s="1"/>
  <c r="U253" i="29"/>
  <c r="AG253" i="29" s="1"/>
  <c r="U113" i="29"/>
  <c r="AG113" i="29" s="1"/>
  <c r="V159" i="29"/>
  <c r="X159" i="29" s="1"/>
  <c r="Y159" i="29" s="1"/>
  <c r="V602" i="29"/>
  <c r="AH602" i="29" s="1"/>
  <c r="U248" i="29"/>
  <c r="W248" i="29" s="1"/>
  <c r="U64" i="29"/>
  <c r="W64" i="29" s="1"/>
  <c r="V337" i="29"/>
  <c r="AH337" i="29" s="1"/>
  <c r="V363" i="29"/>
  <c r="AH363" i="29" s="1"/>
  <c r="V106" i="29"/>
  <c r="AH106" i="29" s="1"/>
  <c r="U606" i="29"/>
  <c r="W606" i="29" s="1"/>
  <c r="V46" i="29"/>
  <c r="X46" i="29" s="1"/>
  <c r="Y46" i="29" s="1"/>
  <c r="BY219" i="24"/>
  <c r="CA219" i="24" s="1"/>
  <c r="CB219" i="24" s="1"/>
  <c r="BM283" i="24"/>
  <c r="BN283" i="24" s="1"/>
  <c r="BY295" i="24"/>
  <c r="CA295" i="24" s="1"/>
  <c r="CB295" i="24" s="1"/>
  <c r="U85" i="29"/>
  <c r="W85" i="29" s="1"/>
  <c r="CB257" i="24"/>
  <c r="CF257" i="24"/>
  <c r="CB101" i="24"/>
  <c r="CF101" i="24"/>
  <c r="CB191" i="24"/>
  <c r="CF191" i="24"/>
  <c r="BY147" i="24"/>
  <c r="CA147" i="24" s="1"/>
  <c r="CB147" i="24" s="1"/>
  <c r="BY12" i="24"/>
  <c r="CA12" i="24" s="1"/>
  <c r="BY242" i="24"/>
  <c r="CA242" i="24" s="1"/>
  <c r="CB242" i="24" s="1"/>
  <c r="BY121" i="24"/>
  <c r="CA121" i="24" s="1"/>
  <c r="CB121" i="24" s="1"/>
  <c r="V71" i="29"/>
  <c r="X71" i="29" s="1"/>
  <c r="Y71" i="29" s="1"/>
  <c r="BN18" i="24"/>
  <c r="U19" i="29"/>
  <c r="AG19" i="29" s="1"/>
  <c r="V604" i="29"/>
  <c r="X604" i="29" s="1"/>
  <c r="Y604" i="29" s="1"/>
  <c r="U266" i="29"/>
  <c r="W266" i="29" s="1"/>
  <c r="BR154" i="25"/>
  <c r="BX154" i="25" s="1"/>
  <c r="BY265" i="24"/>
  <c r="CA265" i="24" s="1"/>
  <c r="CB265" i="24" s="1"/>
  <c r="U603" i="29"/>
  <c r="AG603" i="29" s="1"/>
  <c r="V309" i="29"/>
  <c r="AH309" i="29" s="1"/>
  <c r="U379" i="29"/>
  <c r="W379" i="29" s="1"/>
  <c r="U338" i="29"/>
  <c r="W338" i="29" s="1"/>
  <c r="U507" i="29"/>
  <c r="AG507" i="29" s="1"/>
  <c r="BY112" i="24"/>
  <c r="CA112" i="24" s="1"/>
  <c r="U284" i="29"/>
  <c r="W284" i="29" s="1"/>
  <c r="BX130" i="24"/>
  <c r="U322" i="29"/>
  <c r="AG322" i="29" s="1"/>
  <c r="V384" i="29"/>
  <c r="AH384" i="29" s="1"/>
  <c r="V168" i="29"/>
  <c r="X168" i="29" s="1"/>
  <c r="Y168" i="29" s="1"/>
  <c r="U186" i="29"/>
  <c r="W186" i="29" s="1"/>
  <c r="U105" i="29"/>
  <c r="W105" i="29" s="1"/>
  <c r="V205" i="29"/>
  <c r="X205" i="29" s="1"/>
  <c r="Y205" i="29" s="1"/>
  <c r="U562" i="29"/>
  <c r="AG562" i="29" s="1"/>
  <c r="U198" i="29"/>
  <c r="AG198" i="29" s="1"/>
  <c r="V367" i="29"/>
  <c r="AH367" i="29" s="1"/>
  <c r="V578" i="29"/>
  <c r="AH578" i="29" s="1"/>
  <c r="U608" i="29"/>
  <c r="W608" i="29" s="1"/>
  <c r="BY6" i="24"/>
  <c r="CA6" i="24" s="1"/>
  <c r="U373" i="29"/>
  <c r="AG373" i="29" s="1"/>
  <c r="V391" i="29"/>
  <c r="AH391" i="29" s="1"/>
  <c r="V257" i="29"/>
  <c r="AH257" i="29" s="1"/>
  <c r="V22" i="29"/>
  <c r="X22" i="29" s="1"/>
  <c r="Y22" i="29" s="1"/>
  <c r="U511" i="29"/>
  <c r="W511" i="29" s="1"/>
  <c r="U417" i="29"/>
  <c r="W417" i="29" s="1"/>
  <c r="BY238" i="24"/>
  <c r="CA238" i="24" s="1"/>
  <c r="U207" i="29"/>
  <c r="AG207" i="29" s="1"/>
  <c r="U111" i="29"/>
  <c r="W111" i="29" s="1"/>
  <c r="V553" i="29"/>
  <c r="AH553" i="29" s="1"/>
  <c r="U362" i="29"/>
  <c r="W362" i="29" s="1"/>
  <c r="U343" i="29"/>
  <c r="AG343" i="29" s="1"/>
  <c r="V340" i="29"/>
  <c r="AH340" i="29" s="1"/>
  <c r="V54" i="29"/>
  <c r="AH54" i="29" s="1"/>
  <c r="BY279" i="24"/>
  <c r="CA279" i="24" s="1"/>
  <c r="CB279" i="24" s="1"/>
  <c r="U108" i="29"/>
  <c r="AG108" i="29" s="1"/>
  <c r="V358" i="29"/>
  <c r="X358" i="29" s="1"/>
  <c r="Y358" i="29" s="1"/>
  <c r="BY27" i="24"/>
  <c r="CA27" i="24" s="1"/>
  <c r="CB27" i="24" s="1"/>
  <c r="V457" i="29"/>
  <c r="AH457" i="29" s="1"/>
  <c r="V79" i="29"/>
  <c r="AH79" i="29" s="1"/>
  <c r="V370" i="29"/>
  <c r="AH370" i="29" s="1"/>
  <c r="V276" i="29"/>
  <c r="AH276" i="29" s="1"/>
  <c r="U348" i="29"/>
  <c r="AG348" i="29" s="1"/>
  <c r="BY298" i="24"/>
  <c r="CA298" i="24" s="1"/>
  <c r="CB298" i="24" s="1"/>
  <c r="V317" i="29"/>
  <c r="AH317" i="29" s="1"/>
  <c r="U252" i="29"/>
  <c r="W252" i="29" s="1"/>
  <c r="U365" i="29"/>
  <c r="W365" i="29" s="1"/>
  <c r="V203" i="29"/>
  <c r="X203" i="29" s="1"/>
  <c r="Y203" i="29" s="1"/>
  <c r="U70" i="29"/>
  <c r="AG70" i="29" s="1"/>
  <c r="U357" i="29"/>
  <c r="AG357" i="29" s="1"/>
  <c r="V258" i="29"/>
  <c r="AH258" i="29" s="1"/>
  <c r="U123" i="29"/>
  <c r="W123" i="29" s="1"/>
  <c r="BY299" i="24"/>
  <c r="CA299" i="24" s="1"/>
  <c r="U109" i="29"/>
  <c r="AG109" i="29" s="1"/>
  <c r="U560" i="29"/>
  <c r="W560" i="29" s="1"/>
  <c r="V466" i="29"/>
  <c r="X466" i="29" s="1"/>
  <c r="Y466" i="29" s="1"/>
  <c r="U107" i="29"/>
  <c r="AG107" i="29" s="1"/>
  <c r="U475" i="29"/>
  <c r="W475" i="29" s="1"/>
  <c r="CB55" i="24"/>
  <c r="B287" i="2" s="1"/>
  <c r="CF55" i="24"/>
  <c r="U115" i="29"/>
  <c r="AG115" i="29" s="1"/>
  <c r="U254" i="29"/>
  <c r="AG254" i="29" s="1"/>
  <c r="V80" i="29"/>
  <c r="AH80" i="29" s="1"/>
  <c r="V516" i="29"/>
  <c r="X516" i="29" s="1"/>
  <c r="Y516" i="29" s="1"/>
  <c r="V563" i="29"/>
  <c r="AH563" i="29" s="1"/>
  <c r="V34" i="29"/>
  <c r="X34" i="29" s="1"/>
  <c r="Y34" i="29" s="1"/>
  <c r="V408" i="29"/>
  <c r="AH408" i="29" s="1"/>
  <c r="V501" i="29"/>
  <c r="AH501" i="29" s="1"/>
  <c r="U429" i="29"/>
  <c r="AG429" i="29" s="1"/>
  <c r="U156" i="29"/>
  <c r="AG156" i="29" s="1"/>
  <c r="V151" i="29"/>
  <c r="AH151" i="29" s="1"/>
  <c r="U49" i="29"/>
  <c r="AG49" i="29" s="1"/>
  <c r="U587" i="29"/>
  <c r="AG587" i="29" s="1"/>
  <c r="V582" i="29"/>
  <c r="AH582" i="29" s="1"/>
  <c r="V217" i="29"/>
  <c r="AH217" i="29" s="1"/>
  <c r="U611" i="29"/>
  <c r="W611" i="29" s="1"/>
  <c r="V359" i="29"/>
  <c r="X359" i="29" s="1"/>
  <c r="Y359" i="29" s="1"/>
  <c r="U557" i="29"/>
  <c r="AG557" i="29" s="1"/>
  <c r="BY24" i="24"/>
  <c r="CA24" i="24" s="1"/>
  <c r="CB24" i="24" s="1"/>
  <c r="U166" i="29"/>
  <c r="AG166" i="29" s="1"/>
  <c r="U104" i="29"/>
  <c r="W104" i="29" s="1"/>
  <c r="U153" i="29"/>
  <c r="AG153" i="29" s="1"/>
  <c r="V589" i="29"/>
  <c r="X589" i="29" s="1"/>
  <c r="Y589" i="29" s="1"/>
  <c r="U98" i="29"/>
  <c r="AG98" i="29" s="1"/>
  <c r="V292" i="29"/>
  <c r="AH292" i="29" s="1"/>
  <c r="U513" i="29"/>
  <c r="W513" i="29" s="1"/>
  <c r="V613" i="29"/>
  <c r="AH613" i="29" s="1"/>
  <c r="V477" i="29"/>
  <c r="X477" i="29" s="1"/>
  <c r="Y477" i="29" s="1"/>
  <c r="U52" i="29"/>
  <c r="AG52" i="29" s="1"/>
  <c r="U204" i="29"/>
  <c r="W204" i="29" s="1"/>
  <c r="BY282" i="24"/>
  <c r="CA282" i="24" s="1"/>
  <c r="CB282" i="24" s="1"/>
  <c r="U571" i="29"/>
  <c r="AG571" i="29" s="1"/>
  <c r="V161" i="29"/>
  <c r="X161" i="29" s="1"/>
  <c r="Y161" i="29" s="1"/>
  <c r="V235" i="29"/>
  <c r="X235" i="29" s="1"/>
  <c r="Y235" i="29" s="1"/>
  <c r="U598" i="29"/>
  <c r="AG598" i="29" s="1"/>
  <c r="U144" i="29"/>
  <c r="W144" i="29" s="1"/>
  <c r="V510" i="29"/>
  <c r="X510" i="29" s="1"/>
  <c r="Y510" i="29" s="1"/>
  <c r="U515" i="29"/>
  <c r="W515" i="29" s="1"/>
  <c r="V471" i="29"/>
  <c r="AH471" i="29" s="1"/>
  <c r="BY305" i="24"/>
  <c r="CA305" i="24" s="1"/>
  <c r="V127" i="29"/>
  <c r="X127" i="29" s="1"/>
  <c r="Y127" i="29" s="1"/>
  <c r="U216" i="29"/>
  <c r="AG216" i="29" s="1"/>
  <c r="U326" i="29"/>
  <c r="AG326" i="29" s="1"/>
  <c r="BY296" i="24"/>
  <c r="CA296" i="24" s="1"/>
  <c r="CB296" i="24" s="1"/>
  <c r="U555" i="29"/>
  <c r="W555" i="29" s="1"/>
  <c r="V361" i="29"/>
  <c r="X361" i="29" s="1"/>
  <c r="Y361" i="29" s="1"/>
  <c r="V397" i="29"/>
  <c r="X397" i="29" s="1"/>
  <c r="Y397" i="29" s="1"/>
  <c r="U493" i="29"/>
  <c r="AG493" i="29" s="1"/>
  <c r="V229" i="29"/>
  <c r="X229" i="29" s="1"/>
  <c r="Y229" i="29" s="1"/>
  <c r="V35" i="29"/>
  <c r="AH35" i="29" s="1"/>
  <c r="V470" i="29"/>
  <c r="X470" i="29" s="1"/>
  <c r="Y470" i="29" s="1"/>
  <c r="V577" i="29"/>
  <c r="X577" i="29" s="1"/>
  <c r="Y577" i="29" s="1"/>
  <c r="V586" i="29"/>
  <c r="AH586" i="29" s="1"/>
  <c r="U270" i="29"/>
  <c r="AG270" i="29" s="1"/>
  <c r="U90" i="29"/>
  <c r="AG90" i="29" s="1"/>
  <c r="V241" i="29"/>
  <c r="AH241" i="29" s="1"/>
  <c r="U325" i="29"/>
  <c r="W325" i="29" s="1"/>
  <c r="V377" i="29"/>
  <c r="AH377" i="29" s="1"/>
  <c r="U532" i="29"/>
  <c r="W532" i="29" s="1"/>
  <c r="V339" i="29"/>
  <c r="X339" i="29" s="1"/>
  <c r="Y339" i="29" s="1"/>
  <c r="U194" i="29"/>
  <c r="W194" i="29" s="1"/>
  <c r="U347" i="29"/>
  <c r="AG347" i="29" s="1"/>
  <c r="V152" i="29"/>
  <c r="X152" i="29" s="1"/>
  <c r="Y152" i="29" s="1"/>
  <c r="V345" i="29"/>
  <c r="X345" i="29" s="1"/>
  <c r="Y345" i="29" s="1"/>
  <c r="V256" i="29"/>
  <c r="X256" i="29" s="1"/>
  <c r="Y256" i="29" s="1"/>
  <c r="U89" i="29"/>
  <c r="AG89" i="29" s="1"/>
  <c r="BY232" i="24"/>
  <c r="CA232" i="24" s="1"/>
  <c r="V220" i="29"/>
  <c r="AH220" i="29" s="1"/>
  <c r="U559" i="29"/>
  <c r="W559" i="29" s="1"/>
  <c r="V299" i="29"/>
  <c r="AH299" i="29" s="1"/>
  <c r="V138" i="29"/>
  <c r="X138" i="29" s="1"/>
  <c r="Y138" i="29" s="1"/>
  <c r="V462" i="29"/>
  <c r="AH462" i="29" s="1"/>
  <c r="BY280" i="24"/>
  <c r="CA280" i="24" s="1"/>
  <c r="V597" i="29"/>
  <c r="X597" i="29" s="1"/>
  <c r="Y597" i="29" s="1"/>
  <c r="U185" i="29"/>
  <c r="AG185" i="29" s="1"/>
  <c r="U332" i="29"/>
  <c r="W332" i="29" s="1"/>
  <c r="U222" i="29"/>
  <c r="AG222" i="29" s="1"/>
  <c r="U480" i="29"/>
  <c r="AG480" i="29" s="1"/>
  <c r="V443" i="29"/>
  <c r="X443" i="29" s="1"/>
  <c r="Y443" i="29" s="1"/>
  <c r="V43" i="29"/>
  <c r="AH43" i="29" s="1"/>
  <c r="V331" i="29"/>
  <c r="AH331" i="29" s="1"/>
  <c r="U526" i="29"/>
  <c r="AG526" i="29" s="1"/>
  <c r="U122" i="29"/>
  <c r="AG122" i="29" s="1"/>
  <c r="V543" i="29"/>
  <c r="X543" i="29" s="1"/>
  <c r="Y543" i="29" s="1"/>
  <c r="BY54" i="24"/>
  <c r="CA54" i="24" s="1"/>
  <c r="V53" i="29"/>
  <c r="AH53" i="29" s="1"/>
  <c r="V468" i="29"/>
  <c r="X468" i="29" s="1"/>
  <c r="Y468" i="29" s="1"/>
  <c r="V404" i="29"/>
  <c r="AH404" i="29" s="1"/>
  <c r="V233" i="29"/>
  <c r="AH233" i="29" s="1"/>
  <c r="U289" i="29"/>
  <c r="AG289" i="29" s="1"/>
  <c r="V327" i="29"/>
  <c r="AH327" i="29" s="1"/>
  <c r="V93" i="29"/>
  <c r="X93" i="29" s="1"/>
  <c r="Y93" i="29" s="1"/>
  <c r="U73" i="29"/>
  <c r="W73" i="29" s="1"/>
  <c r="U165" i="29"/>
  <c r="W165" i="29" s="1"/>
  <c r="V293" i="29"/>
  <c r="AH293" i="29" s="1"/>
  <c r="V402" i="29"/>
  <c r="AH402" i="29" s="1"/>
  <c r="V596" i="29"/>
  <c r="AH596" i="29" s="1"/>
  <c r="V590" i="29"/>
  <c r="X590" i="29" s="1"/>
  <c r="Y590" i="29" s="1"/>
  <c r="V580" i="29"/>
  <c r="AH580" i="29" s="1"/>
  <c r="BN28" i="24"/>
  <c r="V454" i="29"/>
  <c r="X454" i="29" s="1"/>
  <c r="Y454" i="29" s="1"/>
  <c r="U50" i="29"/>
  <c r="W50" i="29" s="1"/>
  <c r="U448" i="29"/>
  <c r="AG448" i="29" s="1"/>
  <c r="U556" i="29"/>
  <c r="AG556" i="29" s="1"/>
  <c r="V558" i="29"/>
  <c r="X558" i="29" s="1"/>
  <c r="Y558" i="29" s="1"/>
  <c r="V298" i="29"/>
  <c r="AH298" i="29" s="1"/>
  <c r="V400" i="29"/>
  <c r="X400" i="29" s="1"/>
  <c r="Y400" i="29" s="1"/>
  <c r="U242" i="29"/>
  <c r="AG242" i="29" s="1"/>
  <c r="BY253" i="24"/>
  <c r="CA253" i="24" s="1"/>
  <c r="CB253" i="24" s="1"/>
  <c r="V303" i="29"/>
  <c r="AH303" i="29" s="1"/>
  <c r="V503" i="29"/>
  <c r="AH503" i="29" s="1"/>
  <c r="U139" i="29"/>
  <c r="W139" i="29" s="1"/>
  <c r="V48" i="29"/>
  <c r="AH48" i="29" s="1"/>
  <c r="V308" i="29"/>
  <c r="AH308" i="29" s="1"/>
  <c r="V184" i="29"/>
  <c r="AH184" i="29" s="1"/>
  <c r="V546" i="29"/>
  <c r="X546" i="29" s="1"/>
  <c r="Y546" i="29" s="1"/>
  <c r="U246" i="29"/>
  <c r="W246" i="29" s="1"/>
  <c r="U387" i="29"/>
  <c r="W387" i="29" s="1"/>
  <c r="U610" i="29"/>
  <c r="AG610" i="29" s="1"/>
  <c r="V497" i="29"/>
  <c r="AH497" i="29" s="1"/>
  <c r="CB45" i="24"/>
  <c r="CF45" i="24"/>
  <c r="CB135" i="24"/>
  <c r="CF135" i="24"/>
  <c r="U530" i="29"/>
  <c r="W530" i="29" s="1"/>
  <c r="V96" i="29"/>
  <c r="X96" i="29" s="1"/>
  <c r="Y96" i="29" s="1"/>
  <c r="U439" i="29"/>
  <c r="AG439" i="29" s="1"/>
  <c r="U86" i="29"/>
  <c r="W86" i="29" s="1"/>
  <c r="V512" i="29"/>
  <c r="AH512" i="29" s="1"/>
  <c r="U218" i="29"/>
  <c r="AG218" i="29" s="1"/>
  <c r="U221" i="29"/>
  <c r="AG221" i="29" s="1"/>
  <c r="U350" i="29"/>
  <c r="AG350" i="29" s="1"/>
  <c r="BM224" i="24"/>
  <c r="BN224" i="24" s="1"/>
  <c r="V567" i="29"/>
  <c r="AH567" i="29" s="1"/>
  <c r="V414" i="29"/>
  <c r="AH414" i="29" s="1"/>
  <c r="U401" i="29"/>
  <c r="AG401" i="29" s="1"/>
  <c r="V214" i="29"/>
  <c r="X214" i="29" s="1"/>
  <c r="Y214" i="29" s="1"/>
  <c r="V29" i="29"/>
  <c r="AH29" i="29" s="1"/>
  <c r="U45" i="29"/>
  <c r="W45" i="29" s="1"/>
  <c r="U522" i="29"/>
  <c r="AG522" i="29" s="1"/>
  <c r="V30" i="29"/>
  <c r="AH30" i="29" s="1"/>
  <c r="V171" i="29"/>
  <c r="X171" i="29" s="1"/>
  <c r="Y171" i="29" s="1"/>
  <c r="U88" i="29"/>
  <c r="W88" i="29" s="1"/>
  <c r="V224" i="29"/>
  <c r="X224" i="29" s="1"/>
  <c r="Y224" i="29" s="1"/>
  <c r="V605" i="29"/>
  <c r="X605" i="29" s="1"/>
  <c r="Y605" i="29" s="1"/>
  <c r="V101" i="29"/>
  <c r="AH101" i="29" s="1"/>
  <c r="U234" i="29"/>
  <c r="AG234" i="29" s="1"/>
  <c r="V418" i="29"/>
  <c r="AH418" i="29" s="1"/>
  <c r="U529" i="29"/>
  <c r="AG529" i="29" s="1"/>
  <c r="U140" i="29"/>
  <c r="AG140" i="29" s="1"/>
  <c r="U133" i="29"/>
  <c r="AG133" i="29" s="1"/>
  <c r="V554" i="29"/>
  <c r="AH554" i="29" s="1"/>
  <c r="U465" i="29"/>
  <c r="AG465" i="29" s="1"/>
  <c r="U341" i="29"/>
  <c r="AG341" i="29" s="1"/>
  <c r="U291" i="29"/>
  <c r="AG291" i="29" s="1"/>
  <c r="V388" i="29"/>
  <c r="AH388" i="29" s="1"/>
  <c r="U594" i="29"/>
  <c r="W594" i="29" s="1"/>
  <c r="V552" i="29"/>
  <c r="AH552" i="29" s="1"/>
  <c r="V499" i="29"/>
  <c r="AH499" i="29" s="1"/>
  <c r="V354" i="29"/>
  <c r="X354" i="29" s="1"/>
  <c r="Y354" i="29" s="1"/>
  <c r="V334" i="29"/>
  <c r="AH334" i="29" s="1"/>
  <c r="U230" i="29"/>
  <c r="W230" i="29" s="1"/>
  <c r="V69" i="29"/>
  <c r="AH69" i="29" s="1"/>
  <c r="V479" i="29"/>
  <c r="AH479" i="29" s="1"/>
  <c r="V415" i="29"/>
  <c r="AH415" i="29" s="1"/>
  <c r="U286" i="29"/>
  <c r="W286" i="29" s="1"/>
  <c r="V167" i="29"/>
  <c r="AH167" i="29" s="1"/>
  <c r="V424" i="29"/>
  <c r="AH424" i="29" s="1"/>
  <c r="U147" i="29"/>
  <c r="AG147" i="29" s="1"/>
  <c r="U170" i="29"/>
  <c r="AG170" i="29" s="1"/>
  <c r="U294" i="29"/>
  <c r="W294" i="29" s="1"/>
  <c r="U319" i="29"/>
  <c r="W319" i="29" s="1"/>
  <c r="U25" i="29"/>
  <c r="AG25" i="29" s="1"/>
  <c r="V44" i="29"/>
  <c r="AH44" i="29" s="1"/>
  <c r="V190" i="29"/>
  <c r="X190" i="29" s="1"/>
  <c r="Y190" i="29" s="1"/>
  <c r="V376" i="29"/>
  <c r="AH376" i="29" s="1"/>
  <c r="V342" i="29"/>
  <c r="AH342" i="29" s="1"/>
  <c r="V413" i="29"/>
  <c r="AH413" i="29" s="1"/>
  <c r="V81" i="29"/>
  <c r="X81" i="29" s="1"/>
  <c r="Y81" i="29" s="1"/>
  <c r="U440" i="29"/>
  <c r="W440" i="29" s="1"/>
  <c r="U422" i="29"/>
  <c r="AG422" i="29" s="1"/>
  <c r="V428" i="29"/>
  <c r="AH428" i="29" s="1"/>
  <c r="V40" i="29"/>
  <c r="AH40" i="29" s="1"/>
  <c r="V268" i="29"/>
  <c r="AH268" i="29" s="1"/>
  <c r="U609" i="29"/>
  <c r="W609" i="29" s="1"/>
  <c r="V486" i="29"/>
  <c r="X486" i="29" s="1"/>
  <c r="Y486" i="29" s="1"/>
  <c r="V321" i="29"/>
  <c r="X321" i="29" s="1"/>
  <c r="Y321" i="29" s="1"/>
  <c r="U447" i="29"/>
  <c r="W447" i="29" s="1"/>
  <c r="U84" i="29"/>
  <c r="AG84" i="29" s="1"/>
  <c r="V208" i="29"/>
  <c r="X208" i="29" s="1"/>
  <c r="Y208" i="29" s="1"/>
  <c r="U180" i="29"/>
  <c r="W180" i="29" s="1"/>
  <c r="V274" i="29"/>
  <c r="AH274" i="29" s="1"/>
  <c r="U488" i="29"/>
  <c r="W488" i="29" s="1"/>
  <c r="V494" i="29"/>
  <c r="X494" i="29" s="1"/>
  <c r="Y494" i="29" s="1"/>
  <c r="U183" i="29"/>
  <c r="AG183" i="29" s="1"/>
  <c r="V114" i="29"/>
  <c r="AH114" i="29" s="1"/>
  <c r="U463" i="29"/>
  <c r="AG463" i="29" s="1"/>
  <c r="U474" i="29"/>
  <c r="AG474" i="29" s="1"/>
  <c r="U324" i="29"/>
  <c r="W324" i="29" s="1"/>
  <c r="V346" i="29"/>
  <c r="X346" i="29" s="1"/>
  <c r="Y346" i="29" s="1"/>
  <c r="U13" i="29"/>
  <c r="AG13" i="29" s="1"/>
  <c r="BY26" i="24"/>
  <c r="CA26" i="24" s="1"/>
  <c r="CB26" i="24" s="1"/>
  <c r="BY148" i="24"/>
  <c r="CA148" i="24" s="1"/>
  <c r="CB148" i="24" s="1"/>
  <c r="V550" i="29"/>
  <c r="X550" i="29" s="1"/>
  <c r="Y550" i="29" s="1"/>
  <c r="U406" i="29"/>
  <c r="AG406" i="29" s="1"/>
  <c r="V581" i="29"/>
  <c r="X581" i="29" s="1"/>
  <c r="Y581" i="29" s="1"/>
  <c r="U453" i="29"/>
  <c r="W453" i="29" s="1"/>
  <c r="U33" i="29"/>
  <c r="W33" i="29" s="1"/>
  <c r="V57" i="29"/>
  <c r="AH57" i="29" s="1"/>
  <c r="U187" i="29"/>
  <c r="AG187" i="29" s="1"/>
  <c r="V302" i="29"/>
  <c r="X302" i="29" s="1"/>
  <c r="Y302" i="29" s="1"/>
  <c r="V197" i="29"/>
  <c r="AH197" i="29" s="1"/>
  <c r="BY58" i="24"/>
  <c r="CA58" i="24" s="1"/>
  <c r="CB58" i="24" s="1"/>
  <c r="V239" i="29"/>
  <c r="X239" i="29" s="1"/>
  <c r="Y239" i="29" s="1"/>
  <c r="U154" i="29"/>
  <c r="AG154" i="29" s="1"/>
  <c r="U336" i="29"/>
  <c r="AG336" i="29" s="1"/>
  <c r="V333" i="29"/>
  <c r="X333" i="29" s="1"/>
  <c r="Y333" i="29" s="1"/>
  <c r="U32" i="29"/>
  <c r="W32" i="29" s="1"/>
  <c r="U412" i="29"/>
  <c r="AG412" i="29" s="1"/>
  <c r="V267" i="29"/>
  <c r="X267" i="29" s="1"/>
  <c r="Y267" i="29" s="1"/>
  <c r="U117" i="29"/>
  <c r="W117" i="29" s="1"/>
  <c r="U390" i="29"/>
  <c r="W390" i="29" s="1"/>
  <c r="V178" i="29"/>
  <c r="AH178" i="29" s="1"/>
  <c r="U130" i="29"/>
  <c r="AG130" i="29" s="1"/>
  <c r="V505" i="29"/>
  <c r="AH505" i="29" s="1"/>
  <c r="U149" i="29"/>
  <c r="AG149" i="29" s="1"/>
  <c r="V329" i="29"/>
  <c r="AH329" i="29" s="1"/>
  <c r="BY33" i="24"/>
  <c r="CA33" i="24" s="1"/>
  <c r="CB33" i="24" s="1"/>
  <c r="V535" i="29"/>
  <c r="AH535" i="29" s="1"/>
  <c r="V467" i="29"/>
  <c r="X467" i="29" s="1"/>
  <c r="Y467" i="29" s="1"/>
  <c r="U164" i="29"/>
  <c r="AG164" i="29" s="1"/>
  <c r="U100" i="29"/>
  <c r="W100" i="29" s="1"/>
  <c r="U192" i="29"/>
  <c r="W192" i="29" s="1"/>
  <c r="V472" i="29"/>
  <c r="AH472" i="29" s="1"/>
  <c r="U297" i="29"/>
  <c r="AG297" i="29" s="1"/>
  <c r="V435" i="29"/>
  <c r="X435" i="29" s="1"/>
  <c r="Y435" i="29" s="1"/>
  <c r="V20" i="29"/>
  <c r="X20" i="29" s="1"/>
  <c r="Y20" i="29" s="1"/>
  <c r="V344" i="29"/>
  <c r="AH344" i="29" s="1"/>
  <c r="U460" i="29"/>
  <c r="W460" i="29" s="1"/>
  <c r="V476" i="29"/>
  <c r="AH476" i="29" s="1"/>
  <c r="V87" i="29"/>
  <c r="X87" i="29" s="1"/>
  <c r="Y87" i="29" s="1"/>
  <c r="U264" i="29"/>
  <c r="W264" i="29" s="1"/>
  <c r="U490" i="29"/>
  <c r="W490" i="29" s="1"/>
  <c r="V39" i="29"/>
  <c r="X39" i="29" s="1"/>
  <c r="Y39" i="29" s="1"/>
  <c r="V473" i="29"/>
  <c r="X473" i="29" s="1"/>
  <c r="Y473" i="29" s="1"/>
  <c r="V118" i="29"/>
  <c r="X118" i="29" s="1"/>
  <c r="Y118" i="29" s="1"/>
  <c r="V306" i="29"/>
  <c r="AH306" i="29" s="1"/>
  <c r="U540" i="29"/>
  <c r="W540" i="29" s="1"/>
  <c r="U330" i="29"/>
  <c r="AG330" i="29" s="1"/>
  <c r="U514" i="29"/>
  <c r="AG514" i="29" s="1"/>
  <c r="V17" i="29"/>
  <c r="X17" i="29" s="1"/>
  <c r="Y17" i="29" s="1"/>
  <c r="U120" i="29"/>
  <c r="W120" i="29" s="1"/>
  <c r="BY247" i="24"/>
  <c r="CA247" i="24" s="1"/>
  <c r="CB247" i="24" s="1"/>
  <c r="U210" i="29"/>
  <c r="AG210" i="29" s="1"/>
  <c r="U574" i="29"/>
  <c r="W574" i="29" s="1"/>
  <c r="V236" i="29"/>
  <c r="X236" i="29" s="1"/>
  <c r="Y236" i="29" s="1"/>
  <c r="U349" i="29"/>
  <c r="W349" i="29" s="1"/>
  <c r="U316" i="29"/>
  <c r="W316" i="29" s="1"/>
  <c r="BY19" i="24"/>
  <c r="CA19" i="24" s="1"/>
  <c r="CB19" i="24" s="1"/>
  <c r="V461" i="29"/>
  <c r="AH461" i="29" s="1"/>
  <c r="V136" i="29"/>
  <c r="X136" i="29" s="1"/>
  <c r="Y136" i="29" s="1"/>
  <c r="V438" i="29"/>
  <c r="X438" i="29" s="1"/>
  <c r="Y438" i="29" s="1"/>
  <c r="U23" i="29"/>
  <c r="AG23" i="29" s="1"/>
  <c r="V368" i="29"/>
  <c r="AH368" i="29" s="1"/>
  <c r="V612" i="29"/>
  <c r="X612" i="29" s="1"/>
  <c r="Y612" i="29" s="1"/>
  <c r="V250" i="29"/>
  <c r="AH250" i="29" s="1"/>
  <c r="U128" i="29"/>
  <c r="W128" i="29" s="1"/>
  <c r="V125" i="29"/>
  <c r="X125" i="29" s="1"/>
  <c r="Y125" i="29" s="1"/>
  <c r="U112" i="29"/>
  <c r="W112" i="29" s="1"/>
  <c r="U277" i="29"/>
  <c r="W277" i="29" s="1"/>
  <c r="U72" i="29"/>
  <c r="W72" i="29" s="1"/>
  <c r="U146" i="29"/>
  <c r="W146" i="29" s="1"/>
  <c r="U498" i="29"/>
  <c r="AG498" i="29" s="1"/>
  <c r="U219" i="29"/>
  <c r="AG219" i="29" s="1"/>
  <c r="U150" i="29"/>
  <c r="AG150" i="29" s="1"/>
  <c r="V281" i="29"/>
  <c r="AH281" i="29" s="1"/>
  <c r="V259" i="29"/>
  <c r="AH259" i="29" s="1"/>
  <c r="U366" i="29"/>
  <c r="W366" i="29" s="1"/>
  <c r="U569" i="29"/>
  <c r="W569" i="29" s="1"/>
  <c r="V262" i="29"/>
  <c r="AH262" i="29" s="1"/>
  <c r="U116" i="29"/>
  <c r="AG116" i="29" s="1"/>
  <c r="U588" i="29"/>
  <c r="AG588" i="29" s="1"/>
  <c r="BY228" i="24"/>
  <c r="CA228" i="24" s="1"/>
  <c r="CB228" i="24" s="1"/>
  <c r="U455" i="29"/>
  <c r="W455" i="29" s="1"/>
  <c r="V320" i="29"/>
  <c r="X320" i="29" s="1"/>
  <c r="Y320" i="29" s="1"/>
  <c r="U430" i="29"/>
  <c r="AG430" i="29" s="1"/>
  <c r="U432" i="29"/>
  <c r="AG432" i="29" s="1"/>
  <c r="U240" i="29"/>
  <c r="AG240" i="29" s="1"/>
  <c r="U351" i="29"/>
  <c r="AG351" i="29" s="1"/>
  <c r="V272" i="29"/>
  <c r="AH272" i="29" s="1"/>
  <c r="U199" i="29"/>
  <c r="AG199" i="29" s="1"/>
  <c r="V538" i="29"/>
  <c r="X538" i="29" s="1"/>
  <c r="Y538" i="29" s="1"/>
  <c r="V228" i="29"/>
  <c r="AH228" i="29" s="1"/>
  <c r="U41" i="29"/>
  <c r="AG41" i="29" s="1"/>
  <c r="V135" i="29"/>
  <c r="X135" i="29" s="1"/>
  <c r="Y135" i="29" s="1"/>
  <c r="U434" i="29"/>
  <c r="AG434" i="29" s="1"/>
  <c r="U38" i="29"/>
  <c r="W38" i="29" s="1"/>
  <c r="U177" i="29"/>
  <c r="AG177" i="29" s="1"/>
  <c r="V409" i="29"/>
  <c r="AH409" i="29" s="1"/>
  <c r="V76" i="29"/>
  <c r="X76" i="29" s="1"/>
  <c r="Y76" i="29" s="1"/>
  <c r="U244" i="29"/>
  <c r="W244" i="29" s="1"/>
  <c r="U583" i="29"/>
  <c r="W583" i="29" s="1"/>
  <c r="V273" i="29"/>
  <c r="AH273" i="29" s="1"/>
  <c r="V283" i="29"/>
  <c r="X283" i="29" s="1"/>
  <c r="Y283" i="29" s="1"/>
  <c r="V169" i="29"/>
  <c r="AH169" i="29" s="1"/>
  <c r="U103" i="29"/>
  <c r="W103" i="29" s="1"/>
  <c r="U92" i="29"/>
  <c r="W92" i="29" s="1"/>
  <c r="V355" i="29"/>
  <c r="X355" i="29" s="1"/>
  <c r="Y355" i="29" s="1"/>
  <c r="V249" i="29"/>
  <c r="X249" i="29" s="1"/>
  <c r="Y249" i="29" s="1"/>
  <c r="V188" i="29"/>
  <c r="X188" i="29" s="1"/>
  <c r="Y188" i="29" s="1"/>
  <c r="U232" i="29"/>
  <c r="W232" i="29" s="1"/>
  <c r="V275" i="29"/>
  <c r="X275" i="29" s="1"/>
  <c r="Y275" i="29" s="1"/>
  <c r="BY34" i="24"/>
  <c r="CA34" i="24" s="1"/>
  <c r="CB34" i="24" s="1"/>
  <c r="U260" i="29"/>
  <c r="W260" i="29" s="1"/>
  <c r="V395" i="29"/>
  <c r="AH395" i="29" s="1"/>
  <c r="V378" i="29"/>
  <c r="AH378" i="29" s="1"/>
  <c r="V539" i="29"/>
  <c r="AH539" i="29" s="1"/>
  <c r="V403" i="29"/>
  <c r="X403" i="29" s="1"/>
  <c r="Y403" i="29" s="1"/>
  <c r="V575" i="29"/>
  <c r="AH575" i="29" s="1"/>
  <c r="V446" i="29"/>
  <c r="X446" i="29" s="1"/>
  <c r="Y446" i="29" s="1"/>
  <c r="U433" i="29"/>
  <c r="AG433" i="29" s="1"/>
  <c r="U195" i="29"/>
  <c r="W195" i="29" s="1"/>
  <c r="V407" i="29"/>
  <c r="X407" i="29" s="1"/>
  <c r="Y407" i="29" s="1"/>
  <c r="V593" i="29"/>
  <c r="AH593" i="29" s="1"/>
  <c r="V484" i="29"/>
  <c r="X484" i="29" s="1"/>
  <c r="Y484" i="29" s="1"/>
  <c r="U502" i="29"/>
  <c r="AG502" i="29" s="1"/>
  <c r="V94" i="29"/>
  <c r="AH94" i="29" s="1"/>
  <c r="BY20" i="24"/>
  <c r="CA20" i="24" s="1"/>
  <c r="V295" i="29"/>
  <c r="X295" i="29" s="1"/>
  <c r="Y295" i="29" s="1"/>
  <c r="U201" i="29"/>
  <c r="W201" i="29" s="1"/>
  <c r="U523" i="29"/>
  <c r="W523" i="29" s="1"/>
  <c r="U383" i="29"/>
  <c r="AG383" i="29" s="1"/>
  <c r="V519" i="29"/>
  <c r="AH519" i="29" s="1"/>
  <c r="V36" i="29"/>
  <c r="AH36" i="29" s="1"/>
  <c r="V469" i="29"/>
  <c r="AH469" i="29" s="1"/>
  <c r="U245" i="29"/>
  <c r="AG245" i="29" s="1"/>
  <c r="V572" i="29"/>
  <c r="X572" i="29" s="1"/>
  <c r="Y572" i="29" s="1"/>
  <c r="U305" i="29"/>
  <c r="AG305" i="29" s="1"/>
  <c r="V411" i="29"/>
  <c r="AH411" i="29" s="1"/>
  <c r="U410" i="29"/>
  <c r="AG410" i="29" s="1"/>
  <c r="V21" i="29"/>
  <c r="AH21" i="29" s="1"/>
  <c r="U518" i="29"/>
  <c r="W518" i="29" s="1"/>
  <c r="U520" i="29"/>
  <c r="W520" i="29" s="1"/>
  <c r="V592" i="29"/>
  <c r="X592" i="29" s="1"/>
  <c r="Y592" i="29" s="1"/>
  <c r="V141" i="29"/>
  <c r="AH141" i="29" s="1"/>
  <c r="V14" i="29"/>
  <c r="AH14" i="29" s="1"/>
  <c r="V481" i="29"/>
  <c r="X481" i="29" s="1"/>
  <c r="Y481" i="29" s="1"/>
  <c r="U142" i="29"/>
  <c r="AG142" i="29" s="1"/>
  <c r="U382" i="29"/>
  <c r="AG382" i="29" s="1"/>
  <c r="V506" i="29"/>
  <c r="X506" i="29" s="1"/>
  <c r="Y506" i="29" s="1"/>
  <c r="V600" i="29"/>
  <c r="AH600" i="29" s="1"/>
  <c r="U353" i="29"/>
  <c r="AG353" i="29" s="1"/>
  <c r="U547" i="29"/>
  <c r="AG547" i="29" s="1"/>
  <c r="U315" i="29"/>
  <c r="AG315" i="29" s="1"/>
  <c r="V65" i="29"/>
  <c r="X65" i="29" s="1"/>
  <c r="Y65" i="29" s="1"/>
  <c r="U398" i="29"/>
  <c r="W398" i="29" s="1"/>
  <c r="U56" i="29"/>
  <c r="AG56" i="29" s="1"/>
  <c r="V456" i="29"/>
  <c r="X456" i="29" s="1"/>
  <c r="Y456" i="29" s="1"/>
  <c r="U301" i="29"/>
  <c r="AG301" i="29" s="1"/>
  <c r="V427" i="29"/>
  <c r="X427" i="29" s="1"/>
  <c r="Y427" i="29" s="1"/>
  <c r="V175" i="29"/>
  <c r="X175" i="29" s="1"/>
  <c r="Y175" i="29" s="1"/>
  <c r="V263" i="29"/>
  <c r="AH263" i="29" s="1"/>
  <c r="U145" i="29"/>
  <c r="W145" i="29" s="1"/>
  <c r="U356" i="29"/>
  <c r="AG356" i="29" s="1"/>
  <c r="U91" i="29"/>
  <c r="AG91" i="29" s="1"/>
  <c r="V243" i="29"/>
  <c r="X243" i="29" s="1"/>
  <c r="Y243" i="29" s="1"/>
  <c r="U450" i="29"/>
  <c r="AG450" i="29" s="1"/>
  <c r="U200" i="29"/>
  <c r="AG200" i="29" s="1"/>
  <c r="U531" i="29"/>
  <c r="AG531" i="29" s="1"/>
  <c r="U179" i="29"/>
  <c r="AG179" i="29" s="1"/>
  <c r="U202" i="29"/>
  <c r="W202" i="29" s="1"/>
  <c r="U426" i="29"/>
  <c r="W426" i="29" s="1"/>
  <c r="U172" i="29"/>
  <c r="W172" i="29" s="1"/>
  <c r="V191" i="29"/>
  <c r="AH191" i="29" s="1"/>
  <c r="V77" i="29"/>
  <c r="X77" i="29" s="1"/>
  <c r="Y77" i="29" s="1"/>
  <c r="V47" i="29"/>
  <c r="X47" i="29" s="1"/>
  <c r="Y47" i="29" s="1"/>
  <c r="V27" i="29"/>
  <c r="X27" i="29" s="1"/>
  <c r="Y27" i="29" s="1"/>
  <c r="U318" i="29"/>
  <c r="W318" i="29" s="1"/>
  <c r="V307" i="29"/>
  <c r="AH307" i="29" s="1"/>
  <c r="U119" i="29"/>
  <c r="W119" i="29" s="1"/>
  <c r="V160" i="29"/>
  <c r="AH160" i="29" s="1"/>
  <c r="V67" i="29"/>
  <c r="AH67" i="29" s="1"/>
  <c r="V313" i="29"/>
  <c r="X313" i="29" s="1"/>
  <c r="Y313" i="29" s="1"/>
  <c r="V16" i="29"/>
  <c r="X16" i="29" s="1"/>
  <c r="Y16" i="29" s="1"/>
  <c r="U158" i="29"/>
  <c r="W158" i="29" s="1"/>
  <c r="V392" i="29"/>
  <c r="X392" i="29" s="1"/>
  <c r="Y392" i="29" s="1"/>
  <c r="V548" i="29"/>
  <c r="AH548" i="29" s="1"/>
  <c r="U489" i="29"/>
  <c r="W489" i="29" s="1"/>
  <c r="U280" i="29"/>
  <c r="AG280" i="29" s="1"/>
  <c r="U444" i="29"/>
  <c r="AG444" i="29" s="1"/>
  <c r="U132" i="29"/>
  <c r="AG132" i="29" s="1"/>
  <c r="V83" i="29"/>
  <c r="AH83" i="29" s="1"/>
  <c r="V607" i="29"/>
  <c r="AH607" i="29" s="1"/>
  <c r="U492" i="29"/>
  <c r="AG492" i="29" s="1"/>
  <c r="V436" i="29"/>
  <c r="AH436" i="29" s="1"/>
  <c r="U528" i="29"/>
  <c r="AG528" i="29" s="1"/>
  <c r="V517" i="29"/>
  <c r="AH517" i="29" s="1"/>
  <c r="V215" i="29"/>
  <c r="AH215" i="29" s="1"/>
  <c r="V385" i="29"/>
  <c r="X385" i="29" s="1"/>
  <c r="Y385" i="29" s="1"/>
  <c r="U157" i="29"/>
  <c r="W157" i="29" s="1"/>
  <c r="U504" i="29"/>
  <c r="W504" i="29" s="1"/>
  <c r="V458" i="29"/>
  <c r="AH458" i="29" s="1"/>
  <c r="U449" i="29"/>
  <c r="W449" i="29" s="1"/>
  <c r="V237" i="29"/>
  <c r="X237" i="29" s="1"/>
  <c r="Y237" i="29" s="1"/>
  <c r="U226" i="29"/>
  <c r="W226" i="29" s="1"/>
  <c r="V601" i="29"/>
  <c r="AH601" i="29" s="1"/>
  <c r="U595" i="29"/>
  <c r="AG595" i="29" s="1"/>
  <c r="U26" i="29"/>
  <c r="AG26" i="29" s="1"/>
  <c r="V42" i="29"/>
  <c r="AH42" i="29" s="1"/>
  <c r="U265" i="29"/>
  <c r="W265" i="29" s="1"/>
  <c r="U542" i="29"/>
  <c r="AG542" i="29" s="1"/>
  <c r="U565" i="29"/>
  <c r="W565" i="29" s="1"/>
  <c r="U381" i="29"/>
  <c r="W381" i="29" s="1"/>
  <c r="U389" i="29"/>
  <c r="W389" i="29" s="1"/>
  <c r="V396" i="29"/>
  <c r="AH396" i="29" s="1"/>
  <c r="V95" i="29"/>
  <c r="X95" i="29" s="1"/>
  <c r="Y95" i="29" s="1"/>
  <c r="V182" i="29"/>
  <c r="AH182" i="29" s="1"/>
  <c r="V579" i="29"/>
  <c r="AH579" i="29" s="1"/>
  <c r="V269" i="29"/>
  <c r="AH269" i="29" s="1"/>
  <c r="V451" i="29"/>
  <c r="AH451" i="29" s="1"/>
  <c r="V102" i="29"/>
  <c r="X102" i="29" s="1"/>
  <c r="Y102" i="29" s="1"/>
  <c r="U37" i="29"/>
  <c r="AG37" i="29" s="1"/>
  <c r="U421" i="29"/>
  <c r="AG421" i="29" s="1"/>
  <c r="V300" i="29"/>
  <c r="X300" i="29" s="1"/>
  <c r="Y300" i="29" s="1"/>
  <c r="V227" i="29"/>
  <c r="AH227" i="29" s="1"/>
  <c r="V405" i="29"/>
  <c r="X405" i="29" s="1"/>
  <c r="Y405" i="29" s="1"/>
  <c r="U290" i="29"/>
  <c r="W290" i="29" s="1"/>
  <c r="V423" i="29"/>
  <c r="AH423" i="29" s="1"/>
  <c r="U278" i="29"/>
  <c r="AG278" i="29" s="1"/>
  <c r="U525" i="29"/>
  <c r="AG525" i="29" s="1"/>
  <c r="U568" i="29"/>
  <c r="W568" i="29" s="1"/>
  <c r="V126" i="29"/>
  <c r="AH126" i="29" s="1"/>
  <c r="CB162" i="24"/>
  <c r="CF162" i="24"/>
  <c r="U524" i="29"/>
  <c r="W524" i="29" s="1"/>
  <c r="U561" i="29"/>
  <c r="W561" i="29" s="1"/>
  <c r="U255" i="29"/>
  <c r="W255" i="29" s="1"/>
  <c r="V247" i="29"/>
  <c r="AH247" i="29" s="1"/>
  <c r="V134" i="29"/>
  <c r="X134" i="29" s="1"/>
  <c r="Y134" i="29" s="1"/>
  <c r="U287" i="29"/>
  <c r="W287" i="29" s="1"/>
  <c r="U533" i="29"/>
  <c r="AG533" i="29" s="1"/>
  <c r="U573" i="29"/>
  <c r="AG573" i="29" s="1"/>
  <c r="U375" i="29"/>
  <c r="AG375" i="29" s="1"/>
  <c r="U251" i="29"/>
  <c r="AG251" i="29" s="1"/>
  <c r="V51" i="29"/>
  <c r="AH51" i="29" s="1"/>
  <c r="U310" i="29"/>
  <c r="AG310" i="29" s="1"/>
  <c r="V68" i="29"/>
  <c r="AH68" i="29" s="1"/>
  <c r="V282" i="29"/>
  <c r="AH282" i="29" s="1"/>
  <c r="U369" i="29"/>
  <c r="AG369" i="29" s="1"/>
  <c r="U500" i="29"/>
  <c r="W500" i="29" s="1"/>
  <c r="V364" i="29"/>
  <c r="AH364" i="29" s="1"/>
  <c r="V416" i="29"/>
  <c r="X416" i="29" s="1"/>
  <c r="Y416" i="29" s="1"/>
  <c r="U15" i="29"/>
  <c r="AG15" i="29" s="1"/>
  <c r="U296" i="29"/>
  <c r="W296" i="29" s="1"/>
  <c r="V386" i="29"/>
  <c r="X386" i="29" s="1"/>
  <c r="Y386" i="29" s="1"/>
  <c r="U31" i="29"/>
  <c r="W31" i="29" s="1"/>
  <c r="V491" i="29"/>
  <c r="AH491" i="29" s="1"/>
  <c r="V211" i="29"/>
  <c r="AH211" i="29" s="1"/>
  <c r="U75" i="29"/>
  <c r="AG75" i="29" s="1"/>
  <c r="U534" i="29"/>
  <c r="W534" i="29" s="1"/>
  <c r="V399" i="29"/>
  <c r="AH399" i="29" s="1"/>
  <c r="U82" i="29"/>
  <c r="AG82" i="29" s="1"/>
  <c r="V570" i="29"/>
  <c r="AH570" i="29" s="1"/>
  <c r="U459" i="29"/>
  <c r="W459" i="29" s="1"/>
  <c r="V549" i="29"/>
  <c r="AH549" i="29" s="1"/>
  <c r="U99" i="29"/>
  <c r="AG99" i="29" s="1"/>
  <c r="U527" i="29"/>
  <c r="W527" i="29" s="1"/>
  <c r="U312" i="29"/>
  <c r="AG312" i="29" s="1"/>
  <c r="U314" i="29"/>
  <c r="W314" i="29" s="1"/>
  <c r="U431" i="29"/>
  <c r="AG431" i="29" s="1"/>
  <c r="V131" i="29"/>
  <c r="X131" i="29" s="1"/>
  <c r="Y131" i="29" s="1"/>
  <c r="U55" i="29"/>
  <c r="W55" i="29" s="1"/>
  <c r="V425" i="29"/>
  <c r="AH425" i="29" s="1"/>
  <c r="V394" i="29"/>
  <c r="X394" i="29" s="1"/>
  <c r="Y394" i="29" s="1"/>
  <c r="U143" i="29"/>
  <c r="W143" i="29" s="1"/>
  <c r="V482" i="29"/>
  <c r="X482" i="29" s="1"/>
  <c r="Y482" i="29" s="1"/>
  <c r="V487" i="29"/>
  <c r="AH487" i="29" s="1"/>
  <c r="U564" i="29"/>
  <c r="W564" i="29" s="1"/>
  <c r="V419" i="29"/>
  <c r="AH419" i="29" s="1"/>
  <c r="U173" i="29"/>
  <c r="W173" i="29" s="1"/>
  <c r="V420" i="29"/>
  <c r="AH420" i="29" s="1"/>
  <c r="U121" i="29"/>
  <c r="W121" i="29" s="1"/>
  <c r="V545" i="29"/>
  <c r="X545" i="29" s="1"/>
  <c r="Y545" i="29" s="1"/>
  <c r="V28" i="29"/>
  <c r="X28" i="29" s="1"/>
  <c r="Y28" i="29" s="1"/>
  <c r="V496" i="29"/>
  <c r="AH496" i="29" s="1"/>
  <c r="U441" i="29"/>
  <c r="AG441" i="29" s="1"/>
  <c r="BY117" i="24"/>
  <c r="CA117" i="24" s="1"/>
  <c r="U213" i="29"/>
  <c r="AG213" i="29" s="1"/>
  <c r="V372" i="29"/>
  <c r="AH372" i="29" s="1"/>
  <c r="U209" i="29"/>
  <c r="W209" i="29" s="1"/>
  <c r="V62" i="29"/>
  <c r="AH62" i="29" s="1"/>
  <c r="U495" i="29"/>
  <c r="AG495" i="29" s="1"/>
  <c r="U335" i="29"/>
  <c r="AG335" i="29" s="1"/>
  <c r="U360" i="29"/>
  <c r="AG360" i="29" s="1"/>
  <c r="V196" i="29"/>
  <c r="X196" i="29" s="1"/>
  <c r="Y196" i="29" s="1"/>
  <c r="V311" i="29"/>
  <c r="AH311" i="29" s="1"/>
  <c r="V162" i="29"/>
  <c r="AH162" i="29" s="1"/>
  <c r="V288" i="29"/>
  <c r="AH288" i="29" s="1"/>
  <c r="V129" i="29"/>
  <c r="AH129" i="29" s="1"/>
  <c r="BE237" i="25"/>
  <c r="BR237" i="25"/>
  <c r="BX237" i="25" s="1"/>
  <c r="V176" i="29"/>
  <c r="X176" i="29" s="1"/>
  <c r="Y176" i="29" s="1"/>
  <c r="AR212" i="25"/>
  <c r="CE212" i="25"/>
  <c r="BH212" i="25"/>
  <c r="BW212" i="25"/>
  <c r="BU212" i="25"/>
  <c r="BF212" i="25"/>
  <c r="BR77" i="25"/>
  <c r="BV77" i="25" s="1"/>
  <c r="BX77" i="25" s="1"/>
  <c r="BE77" i="25"/>
  <c r="BK77" i="25" s="1"/>
  <c r="CF279" i="24"/>
  <c r="AH24" i="29"/>
  <c r="X24" i="29"/>
  <c r="Y24" i="29" s="1"/>
  <c r="BN16" i="24"/>
  <c r="BY16" i="24"/>
  <c r="CA16" i="24" s="1"/>
  <c r="CB16" i="24" s="1"/>
  <c r="BE191" i="25"/>
  <c r="BR191" i="25"/>
  <c r="BX191" i="25" s="1"/>
  <c r="X455" i="29"/>
  <c r="Y455" i="29" s="1"/>
  <c r="AH455" i="29"/>
  <c r="X116" i="29"/>
  <c r="Y116" i="29" s="1"/>
  <c r="AH116" i="29"/>
  <c r="BY311" i="24"/>
  <c r="CA311" i="24" s="1"/>
  <c r="BM311" i="24"/>
  <c r="BN311" i="24" s="1"/>
  <c r="BR225" i="25"/>
  <c r="BX225" i="25" s="1"/>
  <c r="BE225" i="25"/>
  <c r="BR58" i="25"/>
  <c r="BV58" i="25" s="1"/>
  <c r="BX58" i="25" s="1"/>
  <c r="BE58" i="25"/>
  <c r="BK58" i="25" s="1"/>
  <c r="BY72" i="24"/>
  <c r="CA72" i="24" s="1"/>
  <c r="CB72" i="24" s="1"/>
  <c r="BN72" i="24"/>
  <c r="AH606" i="29"/>
  <c r="X606" i="29"/>
  <c r="Y606" i="29" s="1"/>
  <c r="AH584" i="29"/>
  <c r="X584" i="29"/>
  <c r="Y584" i="29" s="1"/>
  <c r="W355" i="29"/>
  <c r="AG355" i="29"/>
  <c r="X270" i="29"/>
  <c r="Y270" i="29" s="1"/>
  <c r="AH270" i="29"/>
  <c r="X248" i="29"/>
  <c r="Y248" i="29" s="1"/>
  <c r="AH248" i="29"/>
  <c r="X133" i="29"/>
  <c r="Y133" i="29" s="1"/>
  <c r="AH133" i="29"/>
  <c r="AG408" i="29"/>
  <c r="W408" i="29"/>
  <c r="W392" i="29"/>
  <c r="AG392" i="29"/>
  <c r="X290" i="29"/>
  <c r="Y290" i="29" s="1"/>
  <c r="AH290" i="29"/>
  <c r="AH143" i="29"/>
  <c r="X143" i="29"/>
  <c r="Y143" i="29" s="1"/>
  <c r="AG404" i="29"/>
  <c r="W404" i="29"/>
  <c r="AG35" i="29"/>
  <c r="W35" i="29"/>
  <c r="W423" i="29"/>
  <c r="AG423" i="29"/>
  <c r="X611" i="29"/>
  <c r="Y611" i="29" s="1"/>
  <c r="AH611" i="29"/>
  <c r="BY303" i="24"/>
  <c r="CA303" i="24" s="1"/>
  <c r="CB303" i="24" s="1"/>
  <c r="BM303" i="24"/>
  <c r="BN303" i="24" s="1"/>
  <c r="BY92" i="24"/>
  <c r="CA92" i="24" s="1"/>
  <c r="BN92" i="24"/>
  <c r="BN102" i="24"/>
  <c r="BY102" i="24"/>
  <c r="CA102" i="24" s="1"/>
  <c r="BY235" i="24"/>
  <c r="CA235" i="24" s="1"/>
  <c r="CB235" i="24" s="1"/>
  <c r="BM235" i="24"/>
  <c r="BN235" i="24" s="1"/>
  <c r="BY113" i="25"/>
  <c r="CA113" i="25" s="1"/>
  <c r="BL113" i="25"/>
  <c r="BK113" i="25"/>
  <c r="BE200" i="25"/>
  <c r="BR200" i="25"/>
  <c r="BX200" i="25" s="1"/>
  <c r="BE80" i="25"/>
  <c r="BK80" i="25" s="1"/>
  <c r="BR80" i="25"/>
  <c r="BV80" i="25" s="1"/>
  <c r="BX80" i="25" s="1"/>
  <c r="BE188" i="25"/>
  <c r="BR188" i="25"/>
  <c r="BX188" i="25" s="1"/>
  <c r="BL276" i="25"/>
  <c r="BY276" i="25"/>
  <c r="CA276" i="25" s="1"/>
  <c r="CB276" i="25" s="1"/>
  <c r="BK276" i="25"/>
  <c r="W257" i="29"/>
  <c r="AG257" i="29"/>
  <c r="AG118" i="29"/>
  <c r="W118" i="29"/>
  <c r="W135" i="29"/>
  <c r="AG135" i="29"/>
  <c r="AH406" i="29"/>
  <c r="X406" i="29"/>
  <c r="Y406" i="29" s="1"/>
  <c r="AG124" i="29"/>
  <c r="W124" i="29"/>
  <c r="AG66" i="29"/>
  <c r="W66" i="29"/>
  <c r="AG535" i="29"/>
  <c r="W535" i="29"/>
  <c r="AH583" i="29"/>
  <c r="X583" i="29"/>
  <c r="Y583" i="29" s="1"/>
  <c r="X277" i="29"/>
  <c r="Y277" i="29" s="1"/>
  <c r="AH277" i="29"/>
  <c r="W208" i="29"/>
  <c r="AG208" i="29"/>
  <c r="W457" i="29"/>
  <c r="AG457" i="29"/>
  <c r="W499" i="29"/>
  <c r="AG499" i="29"/>
  <c r="AH278" i="29"/>
  <c r="X278" i="29"/>
  <c r="Y278" i="29" s="1"/>
  <c r="AG482" i="29"/>
  <c r="W482" i="29"/>
  <c r="AG487" i="29"/>
  <c r="W487" i="29"/>
  <c r="X123" i="29"/>
  <c r="Y123" i="29" s="1"/>
  <c r="AH123" i="29"/>
  <c r="AH412" i="29"/>
  <c r="X412" i="29"/>
  <c r="Y412" i="29" s="1"/>
  <c r="AG415" i="29"/>
  <c r="W415" i="29"/>
  <c r="BE159" i="25"/>
  <c r="BR159" i="25"/>
  <c r="BX159" i="25" s="1"/>
  <c r="BE256" i="25"/>
  <c r="BR256" i="25"/>
  <c r="BX256" i="25" s="1"/>
  <c r="BR42" i="25"/>
  <c r="BV42" i="25" s="1"/>
  <c r="BX42" i="25" s="1"/>
  <c r="BE42" i="25"/>
  <c r="BK42" i="25" s="1"/>
  <c r="BY183" i="24"/>
  <c r="CA183" i="24" s="1"/>
  <c r="CB183" i="24" s="1"/>
  <c r="BM183" i="24"/>
  <c r="BN183" i="24" s="1"/>
  <c r="BE266" i="25"/>
  <c r="BR266" i="25"/>
  <c r="BX266" i="25" s="1"/>
  <c r="BY237" i="24"/>
  <c r="CA237" i="24" s="1"/>
  <c r="CB237" i="24" s="1"/>
  <c r="BM237" i="24"/>
  <c r="BN237" i="24" s="1"/>
  <c r="AG384" i="29"/>
  <c r="W384" i="29"/>
  <c r="W303" i="29"/>
  <c r="AG303" i="29"/>
  <c r="BY37" i="24"/>
  <c r="CA37" i="24" s="1"/>
  <c r="CB37" i="24" s="1"/>
  <c r="BN37" i="24"/>
  <c r="BY78" i="24"/>
  <c r="CA78" i="24" s="1"/>
  <c r="BN78" i="24"/>
  <c r="BL198" i="25"/>
  <c r="BY198" i="25"/>
  <c r="CA198" i="25" s="1"/>
  <c r="BK198" i="25"/>
  <c r="BE264" i="25"/>
  <c r="BR264" i="25"/>
  <c r="BX264" i="25" s="1"/>
  <c r="BL104" i="25"/>
  <c r="BY104" i="25"/>
  <c r="CA104" i="25" s="1"/>
  <c r="BE235" i="25"/>
  <c r="BR235" i="25"/>
  <c r="BX235" i="25" s="1"/>
  <c r="AG456" i="29"/>
  <c r="W456" i="29"/>
  <c r="AH341" i="29"/>
  <c r="X341" i="29"/>
  <c r="Y341" i="29" s="1"/>
  <c r="X252" i="29"/>
  <c r="Y252" i="29" s="1"/>
  <c r="AH252" i="29"/>
  <c r="AG436" i="29"/>
  <c r="W436" i="29"/>
  <c r="W40" i="29"/>
  <c r="AG40" i="29"/>
  <c r="AG57" i="29"/>
  <c r="W57" i="29"/>
  <c r="AG272" i="29"/>
  <c r="W272" i="29"/>
  <c r="AH398" i="29"/>
  <c r="X398" i="29"/>
  <c r="Y398" i="29" s="1"/>
  <c r="W114" i="29"/>
  <c r="AG114" i="29"/>
  <c r="AG578" i="29"/>
  <c r="W578" i="29"/>
  <c r="AG334" i="29"/>
  <c r="W334" i="29"/>
  <c r="X490" i="29"/>
  <c r="Y490" i="29" s="1"/>
  <c r="AH490" i="29"/>
  <c r="X365" i="29"/>
  <c r="Y365" i="29" s="1"/>
  <c r="AH365" i="29"/>
  <c r="AG293" i="29"/>
  <c r="W293" i="29"/>
  <c r="AH187" i="29"/>
  <c r="X187" i="29"/>
  <c r="Y187" i="29" s="1"/>
  <c r="BE127" i="25"/>
  <c r="BR127" i="25"/>
  <c r="BX127" i="25" s="1"/>
  <c r="BR49" i="25"/>
  <c r="BV49" i="25" s="1"/>
  <c r="BX49" i="25" s="1"/>
  <c r="BE49" i="25"/>
  <c r="BK49" i="25" s="1"/>
  <c r="BY251" i="24"/>
  <c r="CA251" i="24" s="1"/>
  <c r="CB251" i="24" s="1"/>
  <c r="BM251" i="24"/>
  <c r="BN251" i="24" s="1"/>
  <c r="BY67" i="24"/>
  <c r="CA67" i="24" s="1"/>
  <c r="CB67" i="24" s="1"/>
  <c r="BN67" i="24"/>
  <c r="BE222" i="25"/>
  <c r="BR222" i="25"/>
  <c r="BX222" i="25" s="1"/>
  <c r="BY177" i="24"/>
  <c r="CA177" i="24" s="1"/>
  <c r="CB177" i="24" s="1"/>
  <c r="BM177" i="24"/>
  <c r="BN177" i="24" s="1"/>
  <c r="BR98" i="25"/>
  <c r="BV98" i="25" s="1"/>
  <c r="BX98" i="25" s="1"/>
  <c r="BE98" i="25"/>
  <c r="BK98" i="25" s="1"/>
  <c r="BY202" i="24"/>
  <c r="CA202" i="24" s="1"/>
  <c r="BM202" i="24"/>
  <c r="BN202" i="24" s="1"/>
  <c r="BE183" i="25"/>
  <c r="BR183" i="25"/>
  <c r="BX183" i="25" s="1"/>
  <c r="BE151" i="25"/>
  <c r="BR151" i="25"/>
  <c r="BX151" i="25" s="1"/>
  <c r="AG402" i="29"/>
  <c r="W402" i="29"/>
  <c r="AG544" i="29"/>
  <c r="W544" i="29"/>
  <c r="AG313" i="29"/>
  <c r="W313" i="29"/>
  <c r="AH442" i="29"/>
  <c r="X442" i="29"/>
  <c r="Y442" i="29" s="1"/>
  <c r="AH598" i="29"/>
  <c r="X598" i="29"/>
  <c r="Y598" i="29" s="1"/>
  <c r="AG409" i="29"/>
  <c r="W409" i="29"/>
  <c r="AH587" i="29"/>
  <c r="X587" i="29"/>
  <c r="Y587" i="29" s="1"/>
  <c r="AG577" i="29"/>
  <c r="W577" i="29"/>
  <c r="AG591" i="29"/>
  <c r="W591" i="29"/>
  <c r="AH185" i="29"/>
  <c r="X185" i="29"/>
  <c r="Y185" i="29" s="1"/>
  <c r="W268" i="29"/>
  <c r="AG268" i="29"/>
  <c r="AH86" i="29"/>
  <c r="X86" i="29"/>
  <c r="Y86" i="29" s="1"/>
  <c r="W543" i="29"/>
  <c r="AG543" i="29"/>
  <c r="X148" i="29"/>
  <c r="Y148" i="29" s="1"/>
  <c r="AH148" i="29"/>
  <c r="X230" i="29"/>
  <c r="Y230" i="29" s="1"/>
  <c r="AH230" i="29"/>
  <c r="X609" i="29"/>
  <c r="Y609" i="29" s="1"/>
  <c r="AH609" i="29"/>
  <c r="X511" i="29"/>
  <c r="Y511" i="29" s="1"/>
  <c r="AH511" i="29"/>
  <c r="BY95" i="24"/>
  <c r="CA95" i="24" s="1"/>
  <c r="CB95" i="24" s="1"/>
  <c r="BN95" i="24"/>
  <c r="BN84" i="24"/>
  <c r="BY84" i="24"/>
  <c r="CA84" i="24" s="1"/>
  <c r="BE47" i="25"/>
  <c r="BK47" i="25" s="1"/>
  <c r="BR47" i="25"/>
  <c r="BV47" i="25" s="1"/>
  <c r="BX47" i="25" s="1"/>
  <c r="BE180" i="25"/>
  <c r="BR180" i="25"/>
  <c r="BX180" i="25" s="1"/>
  <c r="BR61" i="25"/>
  <c r="BV61" i="25" s="1"/>
  <c r="BX61" i="25" s="1"/>
  <c r="BE61" i="25"/>
  <c r="BK61" i="25" s="1"/>
  <c r="BY304" i="24"/>
  <c r="CA304" i="24" s="1"/>
  <c r="CB304" i="24" s="1"/>
  <c r="BM304" i="24"/>
  <c r="BN304" i="24" s="1"/>
  <c r="BE133" i="25"/>
  <c r="BR133" i="25"/>
  <c r="BX133" i="25" s="1"/>
  <c r="BY31" i="25"/>
  <c r="CA31" i="25" s="1"/>
  <c r="BL31" i="25"/>
  <c r="BY258" i="24"/>
  <c r="CA258" i="24" s="1"/>
  <c r="BM258" i="24"/>
  <c r="BN258" i="24" s="1"/>
  <c r="W206" i="29"/>
  <c r="AG206" i="29"/>
  <c r="AG174" i="29"/>
  <c r="W174" i="29"/>
  <c r="AH128" i="29"/>
  <c r="X128" i="29"/>
  <c r="Y128" i="29" s="1"/>
  <c r="AH19" i="29"/>
  <c r="X19" i="29"/>
  <c r="Y19" i="29" s="1"/>
  <c r="AH328" i="29"/>
  <c r="X328" i="29"/>
  <c r="Y328" i="29" s="1"/>
  <c r="AH322" i="29"/>
  <c r="X322" i="29"/>
  <c r="Y322" i="29" s="1"/>
  <c r="W393" i="29"/>
  <c r="AG393" i="29"/>
  <c r="BY307" i="24"/>
  <c r="CA307" i="24" s="1"/>
  <c r="BM307" i="24"/>
  <c r="BN307" i="24" s="1"/>
  <c r="BL192" i="25"/>
  <c r="BY192" i="25"/>
  <c r="CA192" i="25" s="1"/>
  <c r="BK192" i="25"/>
  <c r="BE35" i="25"/>
  <c r="BK35" i="25" s="1"/>
  <c r="BR35" i="25"/>
  <c r="BV35" i="25" s="1"/>
  <c r="BX35" i="25" s="1"/>
  <c r="BY190" i="25"/>
  <c r="CA190" i="25" s="1"/>
  <c r="BL190" i="25"/>
  <c r="BK190" i="25"/>
  <c r="BN79" i="24"/>
  <c r="BY79" i="24"/>
  <c r="CA79" i="24" s="1"/>
  <c r="BE228" i="25"/>
  <c r="BR228" i="25"/>
  <c r="BX228" i="25" s="1"/>
  <c r="BY176" i="24"/>
  <c r="CA176" i="24" s="1"/>
  <c r="CB176" i="24" s="1"/>
  <c r="BM176" i="24"/>
  <c r="BN176" i="24" s="1"/>
  <c r="BE288" i="25"/>
  <c r="BR288" i="25"/>
  <c r="BX288" i="25" s="1"/>
  <c r="BN32" i="24"/>
  <c r="BY32" i="24"/>
  <c r="CA32" i="24" s="1"/>
  <c r="BY218" i="24"/>
  <c r="CA218" i="24" s="1"/>
  <c r="BM218" i="24"/>
  <c r="BN218" i="24" s="1"/>
  <c r="AG327" i="29"/>
  <c r="W327" i="29"/>
  <c r="BY15" i="24"/>
  <c r="CA15" i="24" s="1"/>
  <c r="CB15" i="24" s="1"/>
  <c r="B288" i="2" s="1"/>
  <c r="BN15" i="24"/>
  <c r="BY131" i="25"/>
  <c r="CA131" i="25" s="1"/>
  <c r="CB131" i="25" s="1"/>
  <c r="BL131" i="25"/>
  <c r="BK131" i="25"/>
  <c r="BR7" i="25"/>
  <c r="BV7" i="25" s="1"/>
  <c r="BX7" i="25" s="1"/>
  <c r="BE7" i="25"/>
  <c r="BK7" i="25" s="1"/>
  <c r="BR60" i="25"/>
  <c r="BV60" i="25" s="1"/>
  <c r="BX60" i="25" s="1"/>
  <c r="BE60" i="25"/>
  <c r="BK60" i="25" s="1"/>
  <c r="BN56" i="24"/>
  <c r="BY56" i="24"/>
  <c r="CA56" i="24" s="1"/>
  <c r="BE176" i="25"/>
  <c r="BR176" i="25"/>
  <c r="BX176" i="25" s="1"/>
  <c r="BN70" i="24"/>
  <c r="BY70" i="24"/>
  <c r="CA70" i="24" s="1"/>
  <c r="CB70" i="24" s="1"/>
  <c r="AG416" i="29"/>
  <c r="W416" i="29"/>
  <c r="AG346" i="29"/>
  <c r="W346" i="29"/>
  <c r="AH55" i="29"/>
  <c r="X55" i="29"/>
  <c r="Y55" i="29" s="1"/>
  <c r="X201" i="29"/>
  <c r="Y201" i="29" s="1"/>
  <c r="AH201" i="29"/>
  <c r="X599" i="29"/>
  <c r="Y599" i="29" s="1"/>
  <c r="AH599" i="29"/>
  <c r="W65" i="29"/>
  <c r="AG65" i="29"/>
  <c r="AH460" i="29"/>
  <c r="X460" i="29"/>
  <c r="Y460" i="29" s="1"/>
  <c r="AG425" i="29"/>
  <c r="W425" i="29"/>
  <c r="W575" i="29"/>
  <c r="AG575" i="29"/>
  <c r="W171" i="29"/>
  <c r="AG171" i="29"/>
  <c r="AG438" i="29"/>
  <c r="W438" i="29"/>
  <c r="AH99" i="29"/>
  <c r="X99" i="29"/>
  <c r="Y99" i="29" s="1"/>
  <c r="AG176" i="29"/>
  <c r="W176" i="29"/>
  <c r="AG476" i="29"/>
  <c r="W476" i="29"/>
  <c r="BY281" i="24"/>
  <c r="CA281" i="24" s="1"/>
  <c r="BM281" i="24"/>
  <c r="BN281" i="24" s="1"/>
  <c r="BE249" i="25"/>
  <c r="BR249" i="25"/>
  <c r="BX249" i="25" s="1"/>
  <c r="BY42" i="24"/>
  <c r="CA42" i="24" s="1"/>
  <c r="CB42" i="24" s="1"/>
  <c r="BN42" i="24"/>
  <c r="BY268" i="24"/>
  <c r="CA268" i="24" s="1"/>
  <c r="BM268" i="24"/>
  <c r="BN268" i="24" s="1"/>
  <c r="BY189" i="24"/>
  <c r="CA189" i="24" s="1"/>
  <c r="CB189" i="24" s="1"/>
  <c r="BM189" i="24"/>
  <c r="BN189" i="24" s="1"/>
  <c r="BR64" i="25"/>
  <c r="BV64" i="25" s="1"/>
  <c r="BX64" i="25" s="1"/>
  <c r="BE64" i="25"/>
  <c r="BK64" i="25" s="1"/>
  <c r="BY165" i="24"/>
  <c r="CA165" i="24" s="1"/>
  <c r="BM165" i="24"/>
  <c r="BN165" i="24" s="1"/>
  <c r="AH61" i="29"/>
  <c r="X61" i="29"/>
  <c r="Y61" i="29" s="1"/>
  <c r="BE115" i="25"/>
  <c r="BR115" i="25"/>
  <c r="BX115" i="25" s="1"/>
  <c r="BN100" i="24"/>
  <c r="BY100" i="24"/>
  <c r="CA100" i="24" s="1"/>
  <c r="CB100" i="24" s="1"/>
  <c r="BY172" i="24"/>
  <c r="CA172" i="24" s="1"/>
  <c r="BM172" i="24"/>
  <c r="BN172" i="24" s="1"/>
  <c r="AH210" i="29"/>
  <c r="X210" i="29"/>
  <c r="Y210" i="29" s="1"/>
  <c r="BY306" i="24"/>
  <c r="CA306" i="24" s="1"/>
  <c r="BM306" i="24"/>
  <c r="BN306" i="24" s="1"/>
  <c r="BY51" i="24"/>
  <c r="CA51" i="24" s="1"/>
  <c r="CB51" i="24" s="1"/>
  <c r="BN51" i="24"/>
  <c r="BE279" i="25"/>
  <c r="BR279" i="25"/>
  <c r="BX279" i="25" s="1"/>
  <c r="BY57" i="24"/>
  <c r="CA57" i="24" s="1"/>
  <c r="CB57" i="24" s="1"/>
  <c r="BN57" i="24"/>
  <c r="AG74" i="29"/>
  <c r="W74" i="29"/>
  <c r="W508" i="29"/>
  <c r="AG508" i="29"/>
  <c r="AH286" i="29"/>
  <c r="X286" i="29"/>
  <c r="Y286" i="29" s="1"/>
  <c r="AH560" i="29"/>
  <c r="X560" i="29"/>
  <c r="Y560" i="29" s="1"/>
  <c r="AH25" i="29"/>
  <c r="X25" i="29"/>
  <c r="Y25" i="29" s="1"/>
  <c r="BY315" i="24"/>
  <c r="CA315" i="24" s="1"/>
  <c r="BM315" i="24"/>
  <c r="BN315" i="24" s="1"/>
  <c r="BE316" i="25"/>
  <c r="BR316" i="25"/>
  <c r="BX316" i="25" s="1"/>
  <c r="BE219" i="25"/>
  <c r="BR219" i="25"/>
  <c r="BX219" i="25" s="1"/>
  <c r="BR15" i="25"/>
  <c r="BV15" i="25" s="1"/>
  <c r="BX15" i="25" s="1"/>
  <c r="BE15" i="25"/>
  <c r="BK15" i="25" s="1"/>
  <c r="BY148" i="25"/>
  <c r="CA148" i="25" s="1"/>
  <c r="CB148" i="25" s="1"/>
  <c r="BL148" i="25"/>
  <c r="BK148" i="25"/>
  <c r="BE284" i="25"/>
  <c r="BR284" i="25"/>
  <c r="BX284" i="25" s="1"/>
  <c r="BY29" i="24"/>
  <c r="CA29" i="24" s="1"/>
  <c r="CB29" i="24" s="1"/>
  <c r="BN29" i="24"/>
  <c r="BY256" i="24"/>
  <c r="CA256" i="24" s="1"/>
  <c r="BM256" i="24"/>
  <c r="BN256" i="24" s="1"/>
  <c r="BY122" i="24"/>
  <c r="CA122" i="24" s="1"/>
  <c r="CB122" i="24" s="1"/>
  <c r="BM122" i="24"/>
  <c r="BN122" i="24" s="1"/>
  <c r="BL189" i="25"/>
  <c r="BY189" i="25"/>
  <c r="CA189" i="25" s="1"/>
  <c r="BK189" i="25"/>
  <c r="BR128" i="25"/>
  <c r="BX128" i="25" s="1"/>
  <c r="BE128" i="25"/>
  <c r="AH509" i="29"/>
  <c r="X509" i="29"/>
  <c r="Y509" i="29" s="1"/>
  <c r="X52" i="29"/>
  <c r="Y52" i="29" s="1"/>
  <c r="AH52" i="29"/>
  <c r="AH90" i="29"/>
  <c r="X90" i="29"/>
  <c r="Y90" i="29" s="1"/>
  <c r="AH216" i="29"/>
  <c r="X216" i="29"/>
  <c r="Y216" i="29" s="1"/>
  <c r="W367" i="29"/>
  <c r="AG367" i="29"/>
  <c r="BE25" i="25"/>
  <c r="BK25" i="25" s="1"/>
  <c r="BR25" i="25"/>
  <c r="BV25" i="25" s="1"/>
  <c r="BX25" i="25" s="1"/>
  <c r="BR9" i="25"/>
  <c r="BV9" i="25" s="1"/>
  <c r="BX9" i="25" s="1"/>
  <c r="BE9" i="25"/>
  <c r="BK9" i="25" s="1"/>
  <c r="BY167" i="25"/>
  <c r="CA167" i="25" s="1"/>
  <c r="CB167" i="25" s="1"/>
  <c r="BL167" i="25"/>
  <c r="BK167" i="25"/>
  <c r="BY178" i="24"/>
  <c r="CA178" i="24" s="1"/>
  <c r="BM178" i="24"/>
  <c r="BN178" i="24" s="1"/>
  <c r="BR236" i="25"/>
  <c r="BX236" i="25" s="1"/>
  <c r="BE236" i="25"/>
  <c r="BY161" i="25"/>
  <c r="CA161" i="25" s="1"/>
  <c r="BL161" i="25"/>
  <c r="BK161" i="25"/>
  <c r="BY289" i="24"/>
  <c r="CA289" i="24" s="1"/>
  <c r="CB289" i="24" s="1"/>
  <c r="BM289" i="24"/>
  <c r="BN289" i="24" s="1"/>
  <c r="BY139" i="24"/>
  <c r="CA139" i="24" s="1"/>
  <c r="BM139" i="24"/>
  <c r="BN139" i="24" s="1"/>
  <c r="BE244" i="25"/>
  <c r="BR244" i="25"/>
  <c r="BX244" i="25" s="1"/>
  <c r="AH183" i="29"/>
  <c r="X183" i="29"/>
  <c r="Y183" i="29" s="1"/>
  <c r="AH200" i="29"/>
  <c r="X200" i="29"/>
  <c r="Y200" i="29" s="1"/>
  <c r="AH173" i="29"/>
  <c r="X173" i="29"/>
  <c r="Y173" i="29" s="1"/>
  <c r="W420" i="29"/>
  <c r="AG420" i="29"/>
  <c r="AH121" i="29"/>
  <c r="X121" i="29"/>
  <c r="Y121" i="29" s="1"/>
  <c r="W605" i="29"/>
  <c r="AG605" i="29"/>
  <c r="AG273" i="29"/>
  <c r="W273" i="29"/>
  <c r="AH107" i="29"/>
  <c r="X107" i="29"/>
  <c r="Y107" i="29" s="1"/>
  <c r="AG607" i="29"/>
  <c r="W607" i="29"/>
  <c r="W323" i="29"/>
  <c r="AG323" i="29"/>
  <c r="W269" i="29"/>
  <c r="AG269" i="29"/>
  <c r="W68" i="29"/>
  <c r="AG68" i="29"/>
  <c r="AH439" i="29"/>
  <c r="X439" i="29"/>
  <c r="Y439" i="29" s="1"/>
  <c r="W545" i="29"/>
  <c r="AG545" i="29"/>
  <c r="X170" i="29"/>
  <c r="Y170" i="29" s="1"/>
  <c r="AH170" i="29"/>
  <c r="X465" i="29"/>
  <c r="Y465" i="29" s="1"/>
  <c r="AH465" i="29"/>
  <c r="X49" i="29"/>
  <c r="Y49" i="29" s="1"/>
  <c r="AH49" i="29"/>
  <c r="BY6" i="25"/>
  <c r="CA6" i="25" s="1"/>
  <c r="BL6" i="25"/>
  <c r="BY10" i="24"/>
  <c r="CA10" i="24" s="1"/>
  <c r="CB10" i="24" s="1"/>
  <c r="BN10" i="24"/>
  <c r="BE251" i="25"/>
  <c r="BR251" i="25"/>
  <c r="BX251" i="25" s="1"/>
  <c r="AH588" i="29"/>
  <c r="X588" i="29"/>
  <c r="Y588" i="29" s="1"/>
  <c r="AH326" i="29"/>
  <c r="X326" i="29"/>
  <c r="Y326" i="29" s="1"/>
  <c r="AH366" i="29"/>
  <c r="X366" i="29"/>
  <c r="Y366" i="29" s="1"/>
  <c r="AH223" i="29"/>
  <c r="X223" i="29"/>
  <c r="Y223" i="29" s="1"/>
  <c r="AH238" i="29"/>
  <c r="X238" i="29"/>
  <c r="Y238" i="29" s="1"/>
  <c r="BE311" i="25"/>
  <c r="BR311" i="25"/>
  <c r="BX311" i="25" s="1"/>
  <c r="BE120" i="25"/>
  <c r="BR120" i="25"/>
  <c r="BX120" i="25" s="1"/>
  <c r="BY155" i="24"/>
  <c r="CA155" i="24" s="1"/>
  <c r="CB155" i="24" s="1"/>
  <c r="BM155" i="24"/>
  <c r="BN155" i="24" s="1"/>
  <c r="BR83" i="25"/>
  <c r="BV83" i="25" s="1"/>
  <c r="BX83" i="25" s="1"/>
  <c r="BE83" i="25"/>
  <c r="BK83" i="25" s="1"/>
  <c r="BR207" i="25"/>
  <c r="BX207" i="25" s="1"/>
  <c r="BE207" i="25"/>
  <c r="BY179" i="24"/>
  <c r="CA179" i="24" s="1"/>
  <c r="BM179" i="24"/>
  <c r="BN179" i="24" s="1"/>
  <c r="BY269" i="24"/>
  <c r="CA269" i="24" s="1"/>
  <c r="BM269" i="24"/>
  <c r="BN269" i="24" s="1"/>
  <c r="BE118" i="25"/>
  <c r="BR118" i="25"/>
  <c r="BX118" i="25" s="1"/>
  <c r="BN85" i="24"/>
  <c r="BY85" i="24"/>
  <c r="CA85" i="24" s="1"/>
  <c r="CB85" i="24" s="1"/>
  <c r="AG601" i="29"/>
  <c r="W601" i="29"/>
  <c r="AG413" i="29"/>
  <c r="W413" i="29"/>
  <c r="AH150" i="29"/>
  <c r="X150" i="29"/>
  <c r="Y150" i="29" s="1"/>
  <c r="AG308" i="29"/>
  <c r="W308" i="29"/>
  <c r="W538" i="29"/>
  <c r="AG538" i="29"/>
  <c r="BY59" i="24"/>
  <c r="CA59" i="24" s="1"/>
  <c r="CB59" i="24" s="1"/>
  <c r="BN59" i="24"/>
  <c r="BL273" i="25"/>
  <c r="BY273" i="25"/>
  <c r="CA273" i="25" s="1"/>
  <c r="CB273" i="25" s="1"/>
  <c r="BK273" i="25"/>
  <c r="BY255" i="25"/>
  <c r="CA255" i="25" s="1"/>
  <c r="CB255" i="25" s="1"/>
  <c r="BL255" i="25"/>
  <c r="BK255" i="25"/>
  <c r="BY241" i="24"/>
  <c r="CA241" i="24" s="1"/>
  <c r="BM241" i="24"/>
  <c r="BN241" i="24" s="1"/>
  <c r="BY194" i="24"/>
  <c r="CA194" i="24" s="1"/>
  <c r="CB194" i="24" s="1"/>
  <c r="BM194" i="24"/>
  <c r="BN194" i="24" s="1"/>
  <c r="BY286" i="24"/>
  <c r="CA286" i="24" s="1"/>
  <c r="BM286" i="24"/>
  <c r="BN286" i="24" s="1"/>
  <c r="BE140" i="25"/>
  <c r="BR140" i="25"/>
  <c r="BX140" i="25" s="1"/>
  <c r="BY195" i="24"/>
  <c r="CA195" i="24" s="1"/>
  <c r="CB195" i="24" s="1"/>
  <c r="BM195" i="24"/>
  <c r="BN195" i="24" s="1"/>
  <c r="BR205" i="25"/>
  <c r="BX205" i="25" s="1"/>
  <c r="BE205" i="25"/>
  <c r="BY184" i="24"/>
  <c r="CA184" i="24" s="1"/>
  <c r="CB184" i="24" s="1"/>
  <c r="BM184" i="24"/>
  <c r="BN184" i="24" s="1"/>
  <c r="W51" i="29"/>
  <c r="AG51" i="29"/>
  <c r="X533" i="29"/>
  <c r="Y533" i="29" s="1"/>
  <c r="AH533" i="29"/>
  <c r="AH174" i="29"/>
  <c r="X174" i="29"/>
  <c r="Y174" i="29" s="1"/>
  <c r="AH383" i="29"/>
  <c r="X383" i="29"/>
  <c r="Y383" i="29" s="1"/>
  <c r="AG586" i="29"/>
  <c r="W586" i="29"/>
  <c r="W29" i="29"/>
  <c r="AG29" i="29"/>
  <c r="AH448" i="29"/>
  <c r="X448" i="29"/>
  <c r="Y448" i="29" s="1"/>
  <c r="W328" i="29"/>
  <c r="AG328" i="29"/>
  <c r="W276" i="29"/>
  <c r="AG276" i="29"/>
  <c r="AH450" i="29"/>
  <c r="X450" i="29"/>
  <c r="Y450" i="29" s="1"/>
  <c r="W281" i="29"/>
  <c r="AG281" i="29"/>
  <c r="W53" i="29"/>
  <c r="AG53" i="29"/>
  <c r="W47" i="29"/>
  <c r="AG47" i="29"/>
  <c r="BY124" i="24"/>
  <c r="CA124" i="24" s="1"/>
  <c r="CB124" i="24" s="1"/>
  <c r="BM124" i="24"/>
  <c r="BN124" i="24" s="1"/>
  <c r="BE310" i="25"/>
  <c r="BR310" i="25"/>
  <c r="BX310" i="25" s="1"/>
  <c r="BY223" i="24"/>
  <c r="CA223" i="24" s="1"/>
  <c r="BM223" i="24"/>
  <c r="BN223" i="24" s="1"/>
  <c r="BN65" i="24"/>
  <c r="BY65" i="24"/>
  <c r="CA65" i="24" s="1"/>
  <c r="BR208" i="25"/>
  <c r="BX208" i="25" s="1"/>
  <c r="BE208" i="25"/>
  <c r="BY177" i="25"/>
  <c r="CA177" i="25" s="1"/>
  <c r="BL177" i="25"/>
  <c r="BK177" i="25"/>
  <c r="BN103" i="24"/>
  <c r="BY103" i="24"/>
  <c r="CA103" i="24" s="1"/>
  <c r="BL258" i="25"/>
  <c r="BY258" i="25"/>
  <c r="CA258" i="25" s="1"/>
  <c r="CB258" i="25" s="1"/>
  <c r="BK258" i="25"/>
  <c r="AH207" i="29"/>
  <c r="X207" i="29"/>
  <c r="Y207" i="29" s="1"/>
  <c r="AH338" i="29"/>
  <c r="X338" i="29"/>
  <c r="Y338" i="29" s="1"/>
  <c r="X221" i="29"/>
  <c r="Y221" i="29" s="1"/>
  <c r="AH221" i="29"/>
  <c r="AH113" i="29"/>
  <c r="X113" i="29"/>
  <c r="Y113" i="29" s="1"/>
  <c r="AG517" i="29"/>
  <c r="W517" i="29"/>
  <c r="AH421" i="29"/>
  <c r="X421" i="29"/>
  <c r="Y421" i="29" s="1"/>
  <c r="AH557" i="29"/>
  <c r="X557" i="29"/>
  <c r="Y557" i="29" s="1"/>
  <c r="AH350" i="29"/>
  <c r="X350" i="29"/>
  <c r="Y350" i="29" s="1"/>
  <c r="W427" i="29"/>
  <c r="AG427" i="29"/>
  <c r="AG27" i="29"/>
  <c r="W27" i="29"/>
  <c r="AG217" i="29"/>
  <c r="W217" i="29"/>
  <c r="AH522" i="29"/>
  <c r="X522" i="29"/>
  <c r="Y522" i="29" s="1"/>
  <c r="X318" i="29"/>
  <c r="Y318" i="29" s="1"/>
  <c r="AH318" i="29"/>
  <c r="AG227" i="29"/>
  <c r="W227" i="29"/>
  <c r="AG590" i="29"/>
  <c r="W590" i="29"/>
  <c r="AG95" i="29"/>
  <c r="W95" i="29"/>
  <c r="AG152" i="29"/>
  <c r="W152" i="29"/>
  <c r="BY297" i="24"/>
  <c r="CA297" i="24" s="1"/>
  <c r="BM297" i="24"/>
  <c r="BN297" i="24" s="1"/>
  <c r="BY262" i="24"/>
  <c r="CA262" i="24" s="1"/>
  <c r="BM262" i="24"/>
  <c r="BN262" i="24" s="1"/>
  <c r="BY68" i="24"/>
  <c r="CA68" i="24" s="1"/>
  <c r="CB68" i="24" s="1"/>
  <c r="BN68" i="24"/>
  <c r="BE298" i="25"/>
  <c r="BR298" i="25"/>
  <c r="BX298" i="25" s="1"/>
  <c r="BE184" i="25"/>
  <c r="BR184" i="25"/>
  <c r="BX184" i="25" s="1"/>
  <c r="BY200" i="24"/>
  <c r="CA200" i="24" s="1"/>
  <c r="BM200" i="24"/>
  <c r="BN200" i="24" s="1"/>
  <c r="BR250" i="25"/>
  <c r="BX250" i="25" s="1"/>
  <c r="BE250" i="25"/>
  <c r="BY168" i="24"/>
  <c r="CA168" i="24" s="1"/>
  <c r="BM168" i="24"/>
  <c r="BN168" i="24" s="1"/>
  <c r="BY181" i="24"/>
  <c r="CA181" i="24" s="1"/>
  <c r="CB181" i="24" s="1"/>
  <c r="BM181" i="24"/>
  <c r="BN181" i="24" s="1"/>
  <c r="BR51" i="25"/>
  <c r="BV51" i="25" s="1"/>
  <c r="BX51" i="25" s="1"/>
  <c r="BE51" i="25"/>
  <c r="BK51" i="25" s="1"/>
  <c r="BR286" i="25"/>
  <c r="BX286" i="25" s="1"/>
  <c r="BE286" i="25"/>
  <c r="BY95" i="25"/>
  <c r="CA95" i="25" s="1"/>
  <c r="CB95" i="25" s="1"/>
  <c r="BL95" i="25"/>
  <c r="AG295" i="29"/>
  <c r="W295" i="29"/>
  <c r="AG193" i="29"/>
  <c r="W193" i="29"/>
  <c r="W333" i="29"/>
  <c r="AG333" i="29"/>
  <c r="AG285" i="29"/>
  <c r="W285" i="29"/>
  <c r="X562" i="29"/>
  <c r="Y562" i="29" s="1"/>
  <c r="AH562" i="29"/>
  <c r="AH569" i="29"/>
  <c r="X569" i="29"/>
  <c r="Y569" i="29" s="1"/>
  <c r="AH265" i="29"/>
  <c r="X265" i="29"/>
  <c r="Y265" i="29" s="1"/>
  <c r="BY186" i="24"/>
  <c r="CA186" i="24" s="1"/>
  <c r="BM186" i="24"/>
  <c r="BN186" i="24" s="1"/>
  <c r="BY116" i="24"/>
  <c r="CA116" i="24" s="1"/>
  <c r="BM116" i="24"/>
  <c r="BN116" i="24" s="1"/>
  <c r="BL240" i="25"/>
  <c r="BY240" i="25"/>
  <c r="CA240" i="25" s="1"/>
  <c r="CB240" i="25" s="1"/>
  <c r="BK240" i="25"/>
  <c r="AH514" i="29"/>
  <c r="X514" i="29"/>
  <c r="Y514" i="29" s="1"/>
  <c r="AG309" i="29"/>
  <c r="W309" i="29"/>
  <c r="W62" i="29"/>
  <c r="AG62" i="29"/>
  <c r="AH422" i="29"/>
  <c r="X422" i="29"/>
  <c r="Y422" i="29" s="1"/>
  <c r="AH166" i="29"/>
  <c r="X166" i="29"/>
  <c r="Y166" i="29" s="1"/>
  <c r="AG477" i="29"/>
  <c r="W477" i="29"/>
  <c r="X508" i="29"/>
  <c r="Y508" i="29" s="1"/>
  <c r="AH508" i="29"/>
  <c r="X41" i="29"/>
  <c r="Y41" i="29" s="1"/>
  <c r="AH41" i="29"/>
  <c r="AH495" i="29"/>
  <c r="X495" i="29"/>
  <c r="Y495" i="29" s="1"/>
  <c r="AH335" i="29"/>
  <c r="X335" i="29"/>
  <c r="Y335" i="29" s="1"/>
  <c r="AG479" i="29"/>
  <c r="W479" i="29"/>
  <c r="W550" i="29"/>
  <c r="AG550" i="29"/>
  <c r="AH559" i="29"/>
  <c r="X559" i="29"/>
  <c r="Y559" i="29" s="1"/>
  <c r="BY254" i="24"/>
  <c r="CA254" i="24" s="1"/>
  <c r="CB254" i="24" s="1"/>
  <c r="BM254" i="24"/>
  <c r="BN254" i="24" s="1"/>
  <c r="BY210" i="24"/>
  <c r="CA210" i="24" s="1"/>
  <c r="BM210" i="24"/>
  <c r="BN210" i="24" s="1"/>
  <c r="BE99" i="25"/>
  <c r="BK99" i="25" s="1"/>
  <c r="BR99" i="25"/>
  <c r="BV99" i="25" s="1"/>
  <c r="BX99" i="25" s="1"/>
  <c r="BE88" i="25"/>
  <c r="BK88" i="25" s="1"/>
  <c r="BR88" i="25"/>
  <c r="BV88" i="25" s="1"/>
  <c r="BX88" i="25" s="1"/>
  <c r="BY97" i="25"/>
  <c r="CA97" i="25" s="1"/>
  <c r="BL97" i="25"/>
  <c r="BY193" i="24"/>
  <c r="CA193" i="24" s="1"/>
  <c r="BM193" i="24"/>
  <c r="BN193" i="24" s="1"/>
  <c r="BY159" i="24"/>
  <c r="CA159" i="24" s="1"/>
  <c r="CB159" i="24" s="1"/>
  <c r="BM159" i="24"/>
  <c r="BN159" i="24" s="1"/>
  <c r="BE241" i="25"/>
  <c r="BR241" i="25"/>
  <c r="BX241" i="25" s="1"/>
  <c r="BE67" i="25"/>
  <c r="BK67" i="25" s="1"/>
  <c r="BR67" i="25"/>
  <c r="BV67" i="25" s="1"/>
  <c r="BX67" i="25" s="1"/>
  <c r="BY273" i="24"/>
  <c r="CA273" i="24" s="1"/>
  <c r="CB273" i="24" s="1"/>
  <c r="BM273" i="24"/>
  <c r="BN273" i="24" s="1"/>
  <c r="BY161" i="24"/>
  <c r="CA161" i="24" s="1"/>
  <c r="BM161" i="24"/>
  <c r="BN161" i="24" s="1"/>
  <c r="BY166" i="24"/>
  <c r="CA166" i="24" s="1"/>
  <c r="BM166" i="24"/>
  <c r="BN166" i="24" s="1"/>
  <c r="AG80" i="29"/>
  <c r="W80" i="29"/>
  <c r="AH85" i="29"/>
  <c r="X85" i="29"/>
  <c r="Y85" i="29" s="1"/>
  <c r="AH157" i="29"/>
  <c r="X157" i="29"/>
  <c r="Y157" i="29" s="1"/>
  <c r="X426" i="29"/>
  <c r="Y426" i="29" s="1"/>
  <c r="AH426" i="29"/>
  <c r="X434" i="29"/>
  <c r="Y434" i="29" s="1"/>
  <c r="AH434" i="29"/>
  <c r="W509" i="29"/>
  <c r="AG509" i="29"/>
  <c r="AH84" i="29"/>
  <c r="X84" i="29"/>
  <c r="Y84" i="29" s="1"/>
  <c r="AH222" i="29"/>
  <c r="X222" i="29"/>
  <c r="Y222" i="29" s="1"/>
  <c r="AH360" i="29"/>
  <c r="X360" i="29"/>
  <c r="Y360" i="29" s="1"/>
  <c r="AG458" i="29"/>
  <c r="W458" i="29"/>
  <c r="W470" i="29"/>
  <c r="AG470" i="29"/>
  <c r="W196" i="29"/>
  <c r="AG196" i="29"/>
  <c r="AH351" i="29"/>
  <c r="X351" i="29"/>
  <c r="Y351" i="29" s="1"/>
  <c r="AH146" i="29"/>
  <c r="X146" i="29"/>
  <c r="Y146" i="29" s="1"/>
  <c r="W377" i="29"/>
  <c r="AG377" i="29"/>
  <c r="BY134" i="24"/>
  <c r="CA134" i="24" s="1"/>
  <c r="CB134" i="24" s="1"/>
  <c r="BM134" i="24"/>
  <c r="BN134" i="24" s="1"/>
  <c r="BY287" i="24"/>
  <c r="CA287" i="24" s="1"/>
  <c r="CB287" i="24" s="1"/>
  <c r="BM287" i="24"/>
  <c r="BN287" i="24" s="1"/>
  <c r="BY77" i="24"/>
  <c r="CA77" i="24" s="1"/>
  <c r="CB77" i="24" s="1"/>
  <c r="BN77" i="24"/>
  <c r="BY131" i="24"/>
  <c r="CA131" i="24" s="1"/>
  <c r="CB131" i="24" s="1"/>
  <c r="BM131" i="24"/>
  <c r="BN131" i="24" s="1"/>
  <c r="BE55" i="25"/>
  <c r="BK55" i="25" s="1"/>
  <c r="BR55" i="25"/>
  <c r="BV55" i="25" s="1"/>
  <c r="BX55" i="25" s="1"/>
  <c r="BY263" i="24"/>
  <c r="CA263" i="24" s="1"/>
  <c r="BM263" i="24"/>
  <c r="BN263" i="24" s="1"/>
  <c r="BE166" i="25"/>
  <c r="BR166" i="25"/>
  <c r="BX166" i="25" s="1"/>
  <c r="BE312" i="25"/>
  <c r="BR312" i="25"/>
  <c r="BX312" i="25" s="1"/>
  <c r="X260" i="29"/>
  <c r="Y260" i="29" s="1"/>
  <c r="AH260" i="29"/>
  <c r="AG235" i="29"/>
  <c r="W235" i="29"/>
  <c r="W546" i="29"/>
  <c r="AG546" i="29"/>
  <c r="W454" i="29"/>
  <c r="AG454" i="29"/>
  <c r="AH498" i="29"/>
  <c r="X498" i="29"/>
  <c r="Y498" i="29" s="1"/>
  <c r="AH561" i="29"/>
  <c r="X561" i="29"/>
  <c r="Y561" i="29" s="1"/>
  <c r="W462" i="29"/>
  <c r="AG462" i="29"/>
  <c r="AH523" i="29"/>
  <c r="X523" i="29"/>
  <c r="Y523" i="29" s="1"/>
  <c r="BY245" i="24"/>
  <c r="CA245" i="24" s="1"/>
  <c r="BM245" i="24"/>
  <c r="BN245" i="24" s="1"/>
  <c r="BE226" i="25"/>
  <c r="BR226" i="25"/>
  <c r="BX226" i="25" s="1"/>
  <c r="BE217" i="25"/>
  <c r="BR217" i="25"/>
  <c r="BX217" i="25" s="1"/>
  <c r="BY170" i="24"/>
  <c r="CA170" i="24" s="1"/>
  <c r="BM170" i="24"/>
  <c r="BN170" i="24" s="1"/>
  <c r="BE224" i="25"/>
  <c r="BR224" i="25"/>
  <c r="BX224" i="25" s="1"/>
  <c r="BY255" i="24"/>
  <c r="CA255" i="24" s="1"/>
  <c r="CB255" i="24" s="1"/>
  <c r="BM255" i="24"/>
  <c r="BN255" i="24" s="1"/>
  <c r="W87" i="29"/>
  <c r="AG87" i="29"/>
  <c r="AH294" i="29"/>
  <c r="X294" i="29"/>
  <c r="Y294" i="29" s="1"/>
  <c r="X33" i="29"/>
  <c r="Y33" i="29" s="1"/>
  <c r="AH33" i="29"/>
  <c r="W407" i="29"/>
  <c r="AG407" i="29"/>
  <c r="X137" i="29"/>
  <c r="Y137" i="29" s="1"/>
  <c r="AH137" i="29"/>
  <c r="W247" i="29"/>
  <c r="AG247" i="29"/>
  <c r="AG461" i="29"/>
  <c r="W461" i="29"/>
  <c r="AH291" i="29"/>
  <c r="X291" i="29"/>
  <c r="Y291" i="29" s="1"/>
  <c r="W311" i="29"/>
  <c r="AG311" i="29"/>
  <c r="W162" i="29"/>
  <c r="AG162" i="29"/>
  <c r="AH164" i="29"/>
  <c r="X164" i="29"/>
  <c r="Y164" i="29" s="1"/>
  <c r="AG238" i="29"/>
  <c r="W238" i="29"/>
  <c r="AG400" i="29"/>
  <c r="W400" i="29"/>
  <c r="X480" i="29"/>
  <c r="Y480" i="29" s="1"/>
  <c r="AH480" i="29"/>
  <c r="AH489" i="29"/>
  <c r="X489" i="29"/>
  <c r="Y489" i="29" s="1"/>
  <c r="BY243" i="25"/>
  <c r="CA243" i="25" s="1"/>
  <c r="CB243" i="25" s="1"/>
  <c r="BL243" i="25"/>
  <c r="BK243" i="25"/>
  <c r="BE156" i="25"/>
  <c r="BR156" i="25"/>
  <c r="BX156" i="25" s="1"/>
  <c r="BY89" i="25"/>
  <c r="CA89" i="25" s="1"/>
  <c r="BL89" i="25"/>
  <c r="BE123" i="25"/>
  <c r="BR123" i="25"/>
  <c r="BX123" i="25" s="1"/>
  <c r="BY30" i="25"/>
  <c r="CA30" i="25" s="1"/>
  <c r="BL30" i="25"/>
  <c r="BY288" i="24"/>
  <c r="CA288" i="24" s="1"/>
  <c r="BM288" i="24"/>
  <c r="BN288" i="24" s="1"/>
  <c r="BY173" i="25"/>
  <c r="CA173" i="25" s="1"/>
  <c r="BL173" i="25"/>
  <c r="BK173" i="25"/>
  <c r="BE271" i="25"/>
  <c r="BR271" i="25"/>
  <c r="BX271" i="25" s="1"/>
  <c r="BY276" i="24"/>
  <c r="CA276" i="24" s="1"/>
  <c r="BM276" i="24"/>
  <c r="BN276" i="24" s="1"/>
  <c r="BE111" i="25"/>
  <c r="BR111" i="25"/>
  <c r="BX111" i="25" s="1"/>
  <c r="W267" i="29"/>
  <c r="AG267" i="29"/>
  <c r="AG250" i="29"/>
  <c r="W250" i="29"/>
  <c r="AH528" i="29"/>
  <c r="X528" i="29"/>
  <c r="Y528" i="29" s="1"/>
  <c r="AH369" i="29"/>
  <c r="X369" i="29"/>
  <c r="Y369" i="29" s="1"/>
  <c r="X440" i="29"/>
  <c r="Y440" i="29" s="1"/>
  <c r="AH440" i="29"/>
  <c r="X301" i="29"/>
  <c r="Y301" i="29" s="1"/>
  <c r="AH301" i="29"/>
  <c r="AG39" i="29"/>
  <c r="W39" i="29"/>
  <c r="W320" i="29"/>
  <c r="AG320" i="29"/>
  <c r="X431" i="29"/>
  <c r="Y431" i="29" s="1"/>
  <c r="AH431" i="29"/>
  <c r="AH380" i="29"/>
  <c r="X380" i="29"/>
  <c r="Y380" i="29" s="1"/>
  <c r="AG572" i="29"/>
  <c r="W572" i="29"/>
  <c r="W197" i="29"/>
  <c r="AG197" i="29"/>
  <c r="AG44" i="29"/>
  <c r="W44" i="29"/>
  <c r="AG418" i="29"/>
  <c r="W418" i="29"/>
  <c r="W536" i="29"/>
  <c r="AG536" i="29"/>
  <c r="BE210" i="25"/>
  <c r="BR210" i="25"/>
  <c r="BX210" i="25" s="1"/>
  <c r="BR209" i="25"/>
  <c r="BX209" i="25" s="1"/>
  <c r="BE209" i="25"/>
  <c r="BE53" i="25"/>
  <c r="BK53" i="25" s="1"/>
  <c r="BR53" i="25"/>
  <c r="BV53" i="25" s="1"/>
  <c r="BX53" i="25" s="1"/>
  <c r="BY155" i="25"/>
  <c r="CA155" i="25" s="1"/>
  <c r="CB155" i="25" s="1"/>
  <c r="BL155" i="25"/>
  <c r="BK155" i="25"/>
  <c r="BN76" i="24"/>
  <c r="BY76" i="24"/>
  <c r="CA76" i="24" s="1"/>
  <c r="CB76" i="24" s="1"/>
  <c r="BE122" i="25"/>
  <c r="BR122" i="25"/>
  <c r="BX122" i="25" s="1"/>
  <c r="BE20" i="25"/>
  <c r="BK20" i="25" s="1"/>
  <c r="BR20" i="25"/>
  <c r="BV20" i="25" s="1"/>
  <c r="BX20" i="25" s="1"/>
  <c r="BE295" i="25"/>
  <c r="BR295" i="25"/>
  <c r="BX295" i="25" s="1"/>
  <c r="BY198" i="24"/>
  <c r="CA198" i="24" s="1"/>
  <c r="CB198" i="24" s="1"/>
  <c r="BM198" i="24"/>
  <c r="BN198" i="24" s="1"/>
  <c r="AG239" i="29"/>
  <c r="W239" i="29"/>
  <c r="AG78" i="29"/>
  <c r="W78" i="29"/>
  <c r="X347" i="29"/>
  <c r="Y347" i="29" s="1"/>
  <c r="AH347" i="29"/>
  <c r="X513" i="29"/>
  <c r="Y513" i="29" s="1"/>
  <c r="AH513" i="29"/>
  <c r="AG205" i="29"/>
  <c r="W205" i="29"/>
  <c r="BR79" i="25"/>
  <c r="BV79" i="25" s="1"/>
  <c r="BX79" i="25" s="1"/>
  <c r="BE79" i="25"/>
  <c r="BK79" i="25" s="1"/>
  <c r="BY291" i="25"/>
  <c r="CA291" i="25" s="1"/>
  <c r="CB291" i="25" s="1"/>
  <c r="BL291" i="25"/>
  <c r="BK291" i="25"/>
  <c r="BY9" i="24"/>
  <c r="CA9" i="24" s="1"/>
  <c r="BN9" i="24"/>
  <c r="BY30" i="24"/>
  <c r="CA30" i="24" s="1"/>
  <c r="BN30" i="24"/>
  <c r="BY52" i="24"/>
  <c r="CA52" i="24" s="1"/>
  <c r="CB52" i="24" s="1"/>
  <c r="BN52" i="24"/>
  <c r="BY86" i="24"/>
  <c r="CA86" i="24" s="1"/>
  <c r="CB86" i="24" s="1"/>
  <c r="BN86" i="24"/>
  <c r="BL267" i="25"/>
  <c r="BY267" i="25"/>
  <c r="CA267" i="25" s="1"/>
  <c r="CB267" i="25" s="1"/>
  <c r="BK267" i="25"/>
  <c r="BE216" i="25"/>
  <c r="BR216" i="25"/>
  <c r="BX216" i="25" s="1"/>
  <c r="AG549" i="29"/>
  <c r="W549" i="29"/>
  <c r="AG76" i="29"/>
  <c r="W76" i="29"/>
  <c r="BY35" i="24"/>
  <c r="CA35" i="24" s="1"/>
  <c r="CB35" i="24" s="1"/>
  <c r="BN35" i="24"/>
  <c r="BE168" i="25"/>
  <c r="BR168" i="25"/>
  <c r="BX168" i="25" s="1"/>
  <c r="BY293" i="24"/>
  <c r="CA293" i="24" s="1"/>
  <c r="CB293" i="24" s="1"/>
  <c r="BM293" i="24"/>
  <c r="BN293" i="24" s="1"/>
  <c r="BY186" i="25"/>
  <c r="CA186" i="25" s="1"/>
  <c r="BL186" i="25"/>
  <c r="BK186" i="25"/>
  <c r="BY249" i="24"/>
  <c r="CA249" i="24" s="1"/>
  <c r="CB249" i="24" s="1"/>
  <c r="BM249" i="24"/>
  <c r="BN249" i="24" s="1"/>
  <c r="BR46" i="25"/>
  <c r="BV46" i="25" s="1"/>
  <c r="BX46" i="25" s="1"/>
  <c r="BE46" i="25"/>
  <c r="BK46" i="25" s="1"/>
  <c r="AG468" i="29"/>
  <c r="W468" i="29"/>
  <c r="AH507" i="29"/>
  <c r="X507" i="29"/>
  <c r="Y507" i="29" s="1"/>
  <c r="AH447" i="29"/>
  <c r="X447" i="29"/>
  <c r="Y447" i="29" s="1"/>
  <c r="AH209" i="29"/>
  <c r="X209" i="29"/>
  <c r="Y209" i="29" s="1"/>
  <c r="W30" i="29"/>
  <c r="AG30" i="29"/>
  <c r="X193" i="29"/>
  <c r="Y193" i="29" s="1"/>
  <c r="AH193" i="29"/>
  <c r="AH140" i="29"/>
  <c r="X140" i="29"/>
  <c r="Y140" i="29" s="1"/>
  <c r="X285" i="29"/>
  <c r="Y285" i="29" s="1"/>
  <c r="AH285" i="29"/>
  <c r="X202" i="29"/>
  <c r="Y202" i="29" s="1"/>
  <c r="AH202" i="29"/>
  <c r="W182" i="29"/>
  <c r="AG182" i="29"/>
  <c r="AG419" i="29"/>
  <c r="W419" i="29"/>
  <c r="AG228" i="29"/>
  <c r="W228" i="29"/>
  <c r="AG159" i="29"/>
  <c r="W159" i="29"/>
  <c r="BE281" i="25"/>
  <c r="BR281" i="25"/>
  <c r="BX281" i="25" s="1"/>
  <c r="BY267" i="24"/>
  <c r="CA267" i="24" s="1"/>
  <c r="BM267" i="24"/>
  <c r="BN267" i="24" s="1"/>
  <c r="BY221" i="24"/>
  <c r="CA221" i="24" s="1"/>
  <c r="CB221" i="24" s="1"/>
  <c r="BM221" i="24"/>
  <c r="BN221" i="24" s="1"/>
  <c r="BE116" i="25"/>
  <c r="BR116" i="25"/>
  <c r="BX116" i="25" s="1"/>
  <c r="BE8" i="25"/>
  <c r="BK8" i="25" s="1"/>
  <c r="BR8" i="25"/>
  <c r="BV8" i="25" s="1"/>
  <c r="BX8" i="25" s="1"/>
  <c r="BE175" i="25"/>
  <c r="BR175" i="25"/>
  <c r="BX175" i="25" s="1"/>
  <c r="AG258" i="29"/>
  <c r="W258" i="29"/>
  <c r="BL292" i="25"/>
  <c r="BY292" i="25"/>
  <c r="CA292" i="25" s="1"/>
  <c r="CB292" i="25" s="1"/>
  <c r="BK292" i="25"/>
  <c r="BE245" i="25"/>
  <c r="BR245" i="25"/>
  <c r="BX245" i="25" s="1"/>
  <c r="BY239" i="24"/>
  <c r="CA239" i="24" s="1"/>
  <c r="CB239" i="24" s="1"/>
  <c r="BM239" i="24"/>
  <c r="BN239" i="24" s="1"/>
  <c r="W81" i="29"/>
  <c r="AG81" i="29"/>
  <c r="X108" i="29"/>
  <c r="Y108" i="29" s="1"/>
  <c r="AH108" i="29"/>
  <c r="X266" i="29"/>
  <c r="Y266" i="29" s="1"/>
  <c r="AH266" i="29"/>
  <c r="AH104" i="29"/>
  <c r="X104" i="29"/>
  <c r="Y104" i="29" s="1"/>
  <c r="BE299" i="25"/>
  <c r="BR299" i="25"/>
  <c r="BX299" i="25" s="1"/>
  <c r="BR93" i="25"/>
  <c r="BV93" i="25" s="1"/>
  <c r="BX93" i="25" s="1"/>
  <c r="BE93" i="25"/>
  <c r="BK93" i="25" s="1"/>
  <c r="BY277" i="24"/>
  <c r="CA277" i="24" s="1"/>
  <c r="CB277" i="24" s="1"/>
  <c r="BM277" i="24"/>
  <c r="BN277" i="24" s="1"/>
  <c r="BN80" i="24"/>
  <c r="BY80" i="24"/>
  <c r="CA80" i="24" s="1"/>
  <c r="BE37" i="25"/>
  <c r="BK37" i="25" s="1"/>
  <c r="BR37" i="25"/>
  <c r="BV37" i="25" s="1"/>
  <c r="BX37" i="25" s="1"/>
  <c r="BY217" i="24"/>
  <c r="CA217" i="24" s="1"/>
  <c r="BM217" i="24"/>
  <c r="BN217" i="24" s="1"/>
  <c r="BL96" i="25"/>
  <c r="BY96" i="25"/>
  <c r="CA96" i="25" s="1"/>
  <c r="BE102" i="25"/>
  <c r="BK102" i="25" s="1"/>
  <c r="BR102" i="25"/>
  <c r="BV102" i="25" s="1"/>
  <c r="BX102" i="25" s="1"/>
  <c r="BE139" i="25"/>
  <c r="BR139" i="25"/>
  <c r="BX139" i="25" s="1"/>
  <c r="BY38" i="24"/>
  <c r="CA38" i="24" s="1"/>
  <c r="CB38" i="24" s="1"/>
  <c r="BN38" i="24"/>
  <c r="AG437" i="29"/>
  <c r="W437" i="29"/>
  <c r="BE274" i="25"/>
  <c r="BR274" i="25"/>
  <c r="BX274" i="25" s="1"/>
  <c r="BN88" i="24"/>
  <c r="BY88" i="24"/>
  <c r="CA88" i="24" s="1"/>
  <c r="BY283" i="25"/>
  <c r="CA283" i="25" s="1"/>
  <c r="CB283" i="25" s="1"/>
  <c r="BL283" i="25"/>
  <c r="BK283" i="25"/>
  <c r="BY300" i="24"/>
  <c r="CA300" i="24" s="1"/>
  <c r="CB300" i="24" s="1"/>
  <c r="BM300" i="24"/>
  <c r="BN300" i="24" s="1"/>
  <c r="BY278" i="24"/>
  <c r="CA278" i="24" s="1"/>
  <c r="BM278" i="24"/>
  <c r="BN278" i="24" s="1"/>
  <c r="BY61" i="24"/>
  <c r="CA61" i="24" s="1"/>
  <c r="BN61" i="24"/>
  <c r="BR78" i="25"/>
  <c r="BV78" i="25" s="1"/>
  <c r="BX78" i="25" s="1"/>
  <c r="BE78" i="25"/>
  <c r="BK78" i="25" s="1"/>
  <c r="BY147" i="25"/>
  <c r="CA147" i="25" s="1"/>
  <c r="BL147" i="25"/>
  <c r="BK147" i="25"/>
  <c r="X531" i="29"/>
  <c r="Y531" i="29" s="1"/>
  <c r="AH531" i="29"/>
  <c r="AH410" i="29"/>
  <c r="X410" i="29"/>
  <c r="Y410" i="29" s="1"/>
  <c r="X289" i="29"/>
  <c r="Y289" i="29" s="1"/>
  <c r="AH289" i="29"/>
  <c r="W127" i="29"/>
  <c r="AG127" i="29"/>
  <c r="AH98" i="29"/>
  <c r="X98" i="29"/>
  <c r="Y98" i="29" s="1"/>
  <c r="AG510" i="29"/>
  <c r="W510" i="29"/>
  <c r="W20" i="29"/>
  <c r="AG20" i="29"/>
  <c r="AG451" i="29"/>
  <c r="W451" i="29"/>
  <c r="W94" i="29"/>
  <c r="AG94" i="29"/>
  <c r="AH382" i="29"/>
  <c r="X382" i="29"/>
  <c r="Y382" i="29" s="1"/>
  <c r="W506" i="29"/>
  <c r="AG506" i="29"/>
  <c r="BY167" i="24"/>
  <c r="CA167" i="24" s="1"/>
  <c r="CB167" i="24" s="1"/>
  <c r="BM167" i="24"/>
  <c r="BN167" i="24" s="1"/>
  <c r="BE74" i="25"/>
  <c r="BK74" i="25" s="1"/>
  <c r="BR74" i="25"/>
  <c r="BV74" i="25" s="1"/>
  <c r="BX74" i="25" s="1"/>
  <c r="BY154" i="24"/>
  <c r="CA154" i="24" s="1"/>
  <c r="CB154" i="24" s="1"/>
  <c r="BM154" i="24"/>
  <c r="BN154" i="24" s="1"/>
  <c r="BE68" i="25"/>
  <c r="BK68" i="25" s="1"/>
  <c r="BR68" i="25"/>
  <c r="BV68" i="25" s="1"/>
  <c r="BX68" i="25" s="1"/>
  <c r="BY151" i="24"/>
  <c r="CA151" i="24" s="1"/>
  <c r="BM151" i="24"/>
  <c r="BN151" i="24" s="1"/>
  <c r="BE309" i="25"/>
  <c r="BR309" i="25"/>
  <c r="BX309" i="25" s="1"/>
  <c r="BY50" i="24"/>
  <c r="CA50" i="24" s="1"/>
  <c r="CB50" i="24" s="1"/>
  <c r="BN50" i="24"/>
  <c r="AG18" i="29"/>
  <c r="W18" i="29"/>
  <c r="AH387" i="29"/>
  <c r="X387" i="29"/>
  <c r="Y387" i="29" s="1"/>
  <c r="X330" i="29"/>
  <c r="Y330" i="29" s="1"/>
  <c r="AH330" i="29"/>
  <c r="AH189" i="29"/>
  <c r="X189" i="29"/>
  <c r="Y189" i="29" s="1"/>
  <c r="AH60" i="29"/>
  <c r="X60" i="29"/>
  <c r="Y60" i="29" s="1"/>
  <c r="BE263" i="25"/>
  <c r="BR263" i="25"/>
  <c r="BX263" i="25" s="1"/>
  <c r="BR90" i="25"/>
  <c r="BV90" i="25" s="1"/>
  <c r="BX90" i="25" s="1"/>
  <c r="BE90" i="25"/>
  <c r="BK90" i="25" s="1"/>
  <c r="BY199" i="24"/>
  <c r="CA199" i="24" s="1"/>
  <c r="BM199" i="24"/>
  <c r="BN199" i="24" s="1"/>
  <c r="BN63" i="24"/>
  <c r="BY63" i="24"/>
  <c r="CA63" i="24" s="1"/>
  <c r="CB63" i="24" s="1"/>
  <c r="BN97" i="24"/>
  <c r="BY97" i="24"/>
  <c r="CA97" i="24" s="1"/>
  <c r="BY270" i="24"/>
  <c r="CA270" i="24" s="1"/>
  <c r="CB270" i="24" s="1"/>
  <c r="BM270" i="24"/>
  <c r="BN270" i="24" s="1"/>
  <c r="BR86" i="25"/>
  <c r="BV86" i="25" s="1"/>
  <c r="BX86" i="25" s="1"/>
  <c r="BE86" i="25"/>
  <c r="BK86" i="25" s="1"/>
  <c r="BY11" i="25"/>
  <c r="CA11" i="25" s="1"/>
  <c r="CB11" i="25" s="1"/>
  <c r="BL11" i="25"/>
  <c r="BE157" i="25"/>
  <c r="BR157" i="25"/>
  <c r="BX157" i="25" s="1"/>
  <c r="BN8" i="24"/>
  <c r="BY8" i="24"/>
  <c r="CA8" i="24" s="1"/>
  <c r="CB8" i="24" s="1"/>
  <c r="AG446" i="29"/>
  <c r="W446" i="29"/>
  <c r="W484" i="29"/>
  <c r="AG484" i="29"/>
  <c r="BY227" i="24"/>
  <c r="CA227" i="24" s="1"/>
  <c r="CB227" i="24" s="1"/>
  <c r="BM227" i="24"/>
  <c r="BN227" i="24" s="1"/>
  <c r="BY59" i="25"/>
  <c r="CA59" i="25" s="1"/>
  <c r="CB59" i="25" s="1"/>
  <c r="BL59" i="25"/>
  <c r="BY306" i="25"/>
  <c r="CA306" i="25" s="1"/>
  <c r="CB306" i="25" s="1"/>
  <c r="BL306" i="25"/>
  <c r="BK306" i="25"/>
  <c r="BE203" i="25"/>
  <c r="BR203" i="25"/>
  <c r="BX203" i="25" s="1"/>
  <c r="BY14" i="25"/>
  <c r="CA14" i="25" s="1"/>
  <c r="BL14" i="25"/>
  <c r="BE230" i="25"/>
  <c r="BR230" i="25"/>
  <c r="BX230" i="25" s="1"/>
  <c r="BR76" i="25"/>
  <c r="BV76" i="25" s="1"/>
  <c r="BX76" i="25" s="1"/>
  <c r="BE76" i="25"/>
  <c r="BK76" i="25" s="1"/>
  <c r="BY206" i="24"/>
  <c r="CA206" i="24" s="1"/>
  <c r="BM206" i="24"/>
  <c r="BN206" i="24" s="1"/>
  <c r="BY144" i="24"/>
  <c r="CA144" i="24" s="1"/>
  <c r="CB144" i="24" s="1"/>
  <c r="BM144" i="24"/>
  <c r="BN144" i="24" s="1"/>
  <c r="BE307" i="25"/>
  <c r="BR307" i="25"/>
  <c r="BX307" i="25" s="1"/>
  <c r="X594" i="29"/>
  <c r="Y594" i="29" s="1"/>
  <c r="AH594" i="29"/>
  <c r="AG582" i="29"/>
  <c r="W582" i="29"/>
  <c r="X82" i="29"/>
  <c r="Y82" i="29" s="1"/>
  <c r="AH82" i="29"/>
  <c r="W370" i="29"/>
  <c r="AG370" i="29"/>
  <c r="W570" i="29"/>
  <c r="AG570" i="29"/>
  <c r="AH78" i="29"/>
  <c r="X78" i="29"/>
  <c r="Y78" i="29" s="1"/>
  <c r="AH103" i="29"/>
  <c r="X103" i="29"/>
  <c r="Y103" i="29" s="1"/>
  <c r="AH139" i="29"/>
  <c r="X139" i="29"/>
  <c r="Y139" i="29" s="1"/>
  <c r="X261" i="29"/>
  <c r="Y261" i="29" s="1"/>
  <c r="AH261" i="29"/>
  <c r="AG77" i="29"/>
  <c r="W77" i="29"/>
  <c r="AH459" i="29"/>
  <c r="X459" i="29"/>
  <c r="Y459" i="29" s="1"/>
  <c r="AG494" i="29"/>
  <c r="W494" i="29"/>
  <c r="W151" i="29"/>
  <c r="AG151" i="29"/>
  <c r="W613" i="29"/>
  <c r="AG613" i="29"/>
  <c r="AH218" i="29"/>
  <c r="X218" i="29"/>
  <c r="Y218" i="29" s="1"/>
  <c r="BE304" i="25"/>
  <c r="BR304" i="25"/>
  <c r="BX304" i="25" s="1"/>
  <c r="BE135" i="25"/>
  <c r="BR135" i="25"/>
  <c r="BX135" i="25" s="1"/>
  <c r="BE169" i="25"/>
  <c r="BR169" i="25"/>
  <c r="BX169" i="25" s="1"/>
  <c r="BY153" i="24"/>
  <c r="CA153" i="24" s="1"/>
  <c r="CB153" i="24" s="1"/>
  <c r="BM153" i="24"/>
  <c r="BN153" i="24" s="1"/>
  <c r="BY285" i="24"/>
  <c r="CA285" i="24" s="1"/>
  <c r="BM285" i="24"/>
  <c r="BN285" i="24" s="1"/>
  <c r="BE308" i="25"/>
  <c r="BR308" i="25"/>
  <c r="BX308" i="25" s="1"/>
  <c r="BE193" i="25"/>
  <c r="BR193" i="25"/>
  <c r="BX193" i="25" s="1"/>
  <c r="BL28" i="25"/>
  <c r="BY28" i="25"/>
  <c r="CA28" i="25" s="1"/>
  <c r="CB28" i="25" s="1"/>
  <c r="AG262" i="29"/>
  <c r="W262" i="29"/>
  <c r="W17" i="29"/>
  <c r="AG17" i="29"/>
  <c r="AG233" i="29"/>
  <c r="W233" i="29"/>
  <c r="W178" i="29"/>
  <c r="AG178" i="29"/>
  <c r="W386" i="29"/>
  <c r="AG386" i="29"/>
  <c r="AG361" i="29"/>
  <c r="W361" i="29"/>
  <c r="AG602" i="29"/>
  <c r="W602" i="29"/>
  <c r="AG16" i="29"/>
  <c r="W16" i="29"/>
  <c r="AH529" i="29"/>
  <c r="X529" i="29"/>
  <c r="Y529" i="29" s="1"/>
  <c r="AG519" i="29"/>
  <c r="W519" i="29"/>
  <c r="W391" i="29"/>
  <c r="AG391" i="29"/>
  <c r="X56" i="29"/>
  <c r="Y56" i="29" s="1"/>
  <c r="AH56" i="29"/>
  <c r="W344" i="29"/>
  <c r="AG344" i="29"/>
  <c r="AG505" i="29"/>
  <c r="W505" i="29"/>
  <c r="W175" i="29"/>
  <c r="AG175" i="29"/>
  <c r="AG553" i="29"/>
  <c r="W553" i="29"/>
  <c r="AH463" i="29"/>
  <c r="X463" i="29"/>
  <c r="Y463" i="29" s="1"/>
  <c r="BY127" i="24"/>
  <c r="CA127" i="24" s="1"/>
  <c r="BM127" i="24"/>
  <c r="BN127" i="24" s="1"/>
  <c r="BY74" i="24"/>
  <c r="CA74" i="24" s="1"/>
  <c r="BN74" i="24"/>
  <c r="BY66" i="24"/>
  <c r="CA66" i="24" s="1"/>
  <c r="BN66" i="24"/>
  <c r="BR294" i="25"/>
  <c r="BX294" i="25" s="1"/>
  <c r="BE294" i="25"/>
  <c r="BY81" i="24"/>
  <c r="CA81" i="24" s="1"/>
  <c r="BN81" i="24"/>
  <c r="BE112" i="25"/>
  <c r="BR112" i="25"/>
  <c r="BX112" i="25" s="1"/>
  <c r="BY247" i="25"/>
  <c r="CA247" i="25" s="1"/>
  <c r="CB247" i="25" s="1"/>
  <c r="BL247" i="25"/>
  <c r="BK247" i="25"/>
  <c r="BR101" i="25"/>
  <c r="BV101" i="25" s="1"/>
  <c r="BX101" i="25" s="1"/>
  <c r="BE101" i="25"/>
  <c r="BK101" i="25" s="1"/>
  <c r="BY90" i="24"/>
  <c r="CA90" i="24" s="1"/>
  <c r="CB90" i="24" s="1"/>
  <c r="BN90" i="24"/>
  <c r="BE302" i="25"/>
  <c r="BR302" i="25"/>
  <c r="BX302" i="25" s="1"/>
  <c r="BY222" i="24"/>
  <c r="CA222" i="24" s="1"/>
  <c r="BM222" i="24"/>
  <c r="BN222" i="24" s="1"/>
  <c r="AH603" i="29"/>
  <c r="X603" i="29"/>
  <c r="Y603" i="29" s="1"/>
  <c r="AH287" i="29"/>
  <c r="X287" i="29"/>
  <c r="Y287" i="29" s="1"/>
  <c r="W485" i="29"/>
  <c r="AG485" i="29"/>
  <c r="W263" i="29"/>
  <c r="AG263" i="29"/>
  <c r="BR160" i="25"/>
  <c r="BX160" i="25" s="1"/>
  <c r="BE160" i="25"/>
  <c r="BY13" i="24"/>
  <c r="CA13" i="24" s="1"/>
  <c r="BN13" i="24"/>
  <c r="BE300" i="25"/>
  <c r="BR300" i="25"/>
  <c r="BX300" i="25" s="1"/>
  <c r="BE52" i="25"/>
  <c r="BK52" i="25" s="1"/>
  <c r="BR52" i="25"/>
  <c r="BV52" i="25" s="1"/>
  <c r="BX52" i="25" s="1"/>
  <c r="BY173" i="24"/>
  <c r="CA173" i="24" s="1"/>
  <c r="BM173" i="24"/>
  <c r="BN173" i="24" s="1"/>
  <c r="BR73" i="25"/>
  <c r="BV73" i="25" s="1"/>
  <c r="BX73" i="25" s="1"/>
  <c r="BE73" i="25"/>
  <c r="BK73" i="25" s="1"/>
  <c r="BE85" i="25"/>
  <c r="BK85" i="25" s="1"/>
  <c r="BR85" i="25"/>
  <c r="BV85" i="25" s="1"/>
  <c r="BX85" i="25" s="1"/>
  <c r="X568" i="29"/>
  <c r="Y568" i="29" s="1"/>
  <c r="AH568" i="29"/>
  <c r="X474" i="29"/>
  <c r="Y474" i="29" s="1"/>
  <c r="AH474" i="29"/>
  <c r="AH532" i="29"/>
  <c r="X532" i="29"/>
  <c r="Y532" i="29" s="1"/>
  <c r="AG428" i="29"/>
  <c r="W428" i="29"/>
  <c r="AG96" i="29"/>
  <c r="W96" i="29"/>
  <c r="W329" i="29"/>
  <c r="AG329" i="29"/>
  <c r="AH356" i="29"/>
  <c r="X356" i="29"/>
  <c r="Y356" i="29" s="1"/>
  <c r="W126" i="29"/>
  <c r="AG126" i="29"/>
  <c r="AH430" i="29"/>
  <c r="X430" i="29"/>
  <c r="Y430" i="29" s="1"/>
  <c r="AH115" i="29"/>
  <c r="X115" i="29"/>
  <c r="Y115" i="29" s="1"/>
  <c r="AH158" i="29"/>
  <c r="X158" i="29"/>
  <c r="Y158" i="29" s="1"/>
  <c r="AH316" i="29"/>
  <c r="X316" i="29"/>
  <c r="Y316" i="29" s="1"/>
  <c r="AH244" i="29"/>
  <c r="X244" i="29"/>
  <c r="Y244" i="29" s="1"/>
  <c r="BY164" i="24"/>
  <c r="CA164" i="24" s="1"/>
  <c r="CB164" i="24" s="1"/>
  <c r="BM164" i="24"/>
  <c r="BN164" i="24" s="1"/>
  <c r="BN27" i="24"/>
  <c r="BE44" i="25"/>
  <c r="BK44" i="25" s="1"/>
  <c r="BR44" i="25"/>
  <c r="BV44" i="25" s="1"/>
  <c r="BX44" i="25" s="1"/>
  <c r="BY204" i="24"/>
  <c r="CA204" i="24" s="1"/>
  <c r="BM204" i="24"/>
  <c r="BN204" i="24" s="1"/>
  <c r="AH91" i="29"/>
  <c r="X91" i="29"/>
  <c r="Y91" i="29" s="1"/>
  <c r="AG501" i="29"/>
  <c r="W501" i="29"/>
  <c r="X524" i="29"/>
  <c r="Y524" i="29" s="1"/>
  <c r="AH524" i="29"/>
  <c r="AH432" i="29"/>
  <c r="X432" i="29"/>
  <c r="Y432" i="29" s="1"/>
  <c r="AG298" i="29"/>
  <c r="W298" i="29"/>
  <c r="AH526" i="29"/>
  <c r="X526" i="29"/>
  <c r="Y526" i="29" s="1"/>
  <c r="AH379" i="29"/>
  <c r="X379" i="29"/>
  <c r="Y379" i="29" s="1"/>
  <c r="AG424" i="29"/>
  <c r="W424" i="29"/>
  <c r="AH437" i="29"/>
  <c r="X437" i="29"/>
  <c r="Y437" i="29" s="1"/>
  <c r="AG161" i="29"/>
  <c r="W161" i="29"/>
  <c r="AG125" i="29"/>
  <c r="W125" i="29"/>
  <c r="W160" i="29"/>
  <c r="AG160" i="29"/>
  <c r="AH555" i="29"/>
  <c r="X555" i="29"/>
  <c r="Y555" i="29" s="1"/>
  <c r="AG551" i="29"/>
  <c r="W551" i="29"/>
  <c r="AH343" i="29"/>
  <c r="X343" i="29"/>
  <c r="Y343" i="29" s="1"/>
  <c r="W184" i="29"/>
  <c r="AG184" i="29"/>
  <c r="AG589" i="29"/>
  <c r="W589" i="29"/>
  <c r="AH180" i="29"/>
  <c r="X180" i="29"/>
  <c r="Y180" i="29" s="1"/>
  <c r="W181" i="29"/>
  <c r="AG181" i="29"/>
  <c r="BL293" i="25"/>
  <c r="BY293" i="25"/>
  <c r="CA293" i="25" s="1"/>
  <c r="CB293" i="25" s="1"/>
  <c r="BK293" i="25"/>
  <c r="BL206" i="25"/>
  <c r="BY206" i="25"/>
  <c r="CA206" i="25" s="1"/>
  <c r="BK206" i="25"/>
  <c r="BE231" i="25"/>
  <c r="BR231" i="25"/>
  <c r="BX231" i="25" s="1"/>
  <c r="BY308" i="24"/>
  <c r="CA308" i="24" s="1"/>
  <c r="BM308" i="24"/>
  <c r="BN308" i="24" s="1"/>
  <c r="BY301" i="24"/>
  <c r="CA301" i="24" s="1"/>
  <c r="CB301" i="24" s="1"/>
  <c r="BM301" i="24"/>
  <c r="BN301" i="24" s="1"/>
  <c r="BN89" i="24"/>
  <c r="BY89" i="24"/>
  <c r="CA89" i="24" s="1"/>
  <c r="CB89" i="24" s="1"/>
  <c r="BY259" i="25"/>
  <c r="CA259" i="25" s="1"/>
  <c r="CB259" i="25" s="1"/>
  <c r="BL259" i="25"/>
  <c r="BK259" i="25"/>
  <c r="BE313" i="25"/>
  <c r="BR313" i="25"/>
  <c r="BX313" i="25" s="1"/>
  <c r="BY188" i="24"/>
  <c r="CA188" i="24" s="1"/>
  <c r="BM188" i="24"/>
  <c r="BN188" i="24" s="1"/>
  <c r="BR239" i="25"/>
  <c r="BX239" i="25" s="1"/>
  <c r="BE239" i="25"/>
  <c r="BE130" i="25"/>
  <c r="BR130" i="25"/>
  <c r="BX130" i="25" s="1"/>
  <c r="BY128" i="24"/>
  <c r="CA128" i="24" s="1"/>
  <c r="CB128" i="24" s="1"/>
  <c r="BM128" i="24"/>
  <c r="BN128" i="24" s="1"/>
  <c r="BE269" i="25"/>
  <c r="BR269" i="25"/>
  <c r="BX269" i="25" s="1"/>
  <c r="AH449" i="29"/>
  <c r="X449" i="29"/>
  <c r="Y449" i="29" s="1"/>
  <c r="W249" i="29"/>
  <c r="AG249" i="29"/>
  <c r="X225" i="29"/>
  <c r="Y225" i="29" s="1"/>
  <c r="AH225" i="29"/>
  <c r="AH72" i="29"/>
  <c r="X72" i="29"/>
  <c r="Y72" i="29" s="1"/>
  <c r="AH156" i="29"/>
  <c r="X156" i="29"/>
  <c r="Y156" i="29" s="1"/>
  <c r="BE227" i="25"/>
  <c r="BR227" i="25"/>
  <c r="BX227" i="25" s="1"/>
  <c r="BY207" i="24"/>
  <c r="CA207" i="24" s="1"/>
  <c r="CB207" i="24" s="1"/>
  <c r="BM207" i="24"/>
  <c r="BN207" i="24" s="1"/>
  <c r="BE278" i="25"/>
  <c r="BR278" i="25"/>
  <c r="BX278" i="25" s="1"/>
  <c r="BY145" i="24"/>
  <c r="CA145" i="24" s="1"/>
  <c r="CB145" i="24" s="1"/>
  <c r="BM145" i="24"/>
  <c r="BN145" i="24" s="1"/>
  <c r="AG414" i="29"/>
  <c r="W414" i="29"/>
  <c r="AH518" i="29"/>
  <c r="X518" i="29"/>
  <c r="Y518" i="29" s="1"/>
  <c r="AH179" i="29"/>
  <c r="X179" i="29"/>
  <c r="Y179" i="29" s="1"/>
  <c r="AH264" i="29"/>
  <c r="X264" i="29"/>
  <c r="Y264" i="29" s="1"/>
  <c r="AH18" i="29"/>
  <c r="X18" i="29"/>
  <c r="Y18" i="29" s="1"/>
  <c r="AG237" i="29"/>
  <c r="W237" i="29"/>
  <c r="X204" i="29"/>
  <c r="Y204" i="29" s="1"/>
  <c r="AH204" i="29"/>
  <c r="AH165" i="29"/>
  <c r="X165" i="29"/>
  <c r="Y165" i="29" s="1"/>
  <c r="AG597" i="29"/>
  <c r="W597" i="29"/>
  <c r="W93" i="29"/>
  <c r="AG93" i="29"/>
  <c r="AG191" i="29"/>
  <c r="W191" i="29"/>
  <c r="W101" i="29"/>
  <c r="AG101" i="29"/>
  <c r="W516" i="29"/>
  <c r="AG516" i="29"/>
  <c r="AG189" i="29"/>
  <c r="W189" i="29"/>
  <c r="W60" i="29"/>
  <c r="AG60" i="29"/>
  <c r="W374" i="29"/>
  <c r="AG374" i="29"/>
  <c r="AG497" i="29"/>
  <c r="W497" i="29"/>
  <c r="BE54" i="25"/>
  <c r="BK54" i="25" s="1"/>
  <c r="BR54" i="25"/>
  <c r="BV54" i="25" s="1"/>
  <c r="BX54" i="25" s="1"/>
  <c r="BY262" i="25"/>
  <c r="CA262" i="25" s="1"/>
  <c r="CB262" i="25" s="1"/>
  <c r="BL262" i="25"/>
  <c r="BK262" i="25"/>
  <c r="BL71" i="25"/>
  <c r="BY71" i="25"/>
  <c r="CA71" i="25" s="1"/>
  <c r="BY266" i="24"/>
  <c r="CA266" i="24" s="1"/>
  <c r="CB266" i="24" s="1"/>
  <c r="BM266" i="24"/>
  <c r="BN266" i="24" s="1"/>
  <c r="BY29" i="25"/>
  <c r="CA29" i="25" s="1"/>
  <c r="CB29" i="25" s="1"/>
  <c r="BL29" i="25"/>
  <c r="BE289" i="25"/>
  <c r="BR289" i="25"/>
  <c r="BX289" i="25" s="1"/>
  <c r="W79" i="29"/>
  <c r="AG79" i="29"/>
  <c r="W593" i="29"/>
  <c r="AG593" i="29"/>
  <c r="AG443" i="29"/>
  <c r="W443" i="29"/>
  <c r="AG28" i="29"/>
  <c r="W28" i="29"/>
  <c r="W496" i="29"/>
  <c r="AG496" i="29"/>
  <c r="X401" i="29"/>
  <c r="Y401" i="29" s="1"/>
  <c r="AH401" i="29"/>
  <c r="X441" i="29"/>
  <c r="Y441" i="29" s="1"/>
  <c r="AH441" i="29"/>
  <c r="W214" i="29"/>
  <c r="AG214" i="29"/>
  <c r="W241" i="29"/>
  <c r="AG241" i="29"/>
  <c r="W563" i="29"/>
  <c r="AG563" i="29"/>
  <c r="W473" i="29"/>
  <c r="AG473" i="29"/>
  <c r="X234" i="29"/>
  <c r="Y234" i="29" s="1"/>
  <c r="AH234" i="29"/>
  <c r="W580" i="29"/>
  <c r="AG580" i="29"/>
  <c r="X332" i="29"/>
  <c r="Y332" i="29" s="1"/>
  <c r="AH332" i="29"/>
  <c r="AG134" i="29"/>
  <c r="W134" i="29"/>
  <c r="W46" i="29"/>
  <c r="AG46" i="29"/>
  <c r="W579" i="29"/>
  <c r="AG579" i="29"/>
  <c r="BL62" i="25"/>
  <c r="BY62" i="25"/>
  <c r="CA62" i="25" s="1"/>
  <c r="BL170" i="25"/>
  <c r="BY170" i="25"/>
  <c r="CA170" i="25" s="1"/>
  <c r="BK170" i="25"/>
  <c r="BR145" i="25"/>
  <c r="BX145" i="25" s="1"/>
  <c r="BE145" i="25"/>
  <c r="BE134" i="25"/>
  <c r="BR134" i="25"/>
  <c r="BX134" i="25" s="1"/>
  <c r="BE315" i="25"/>
  <c r="BR315" i="25"/>
  <c r="BX315" i="25" s="1"/>
  <c r="BY123" i="24"/>
  <c r="CA123" i="24" s="1"/>
  <c r="BM123" i="24"/>
  <c r="BN123" i="24" s="1"/>
  <c r="AG403" i="29"/>
  <c r="W403" i="29"/>
  <c r="AG106" i="29"/>
  <c r="W106" i="29"/>
  <c r="W339" i="29"/>
  <c r="AG339" i="29"/>
  <c r="X475" i="29"/>
  <c r="Y475" i="29" s="1"/>
  <c r="AH475" i="29"/>
  <c r="BL261" i="25"/>
  <c r="BY261" i="25"/>
  <c r="CA261" i="25" s="1"/>
  <c r="CB261" i="25" s="1"/>
  <c r="BK261" i="25"/>
  <c r="BY114" i="24"/>
  <c r="CA114" i="24" s="1"/>
  <c r="BM114" i="24"/>
  <c r="BN114" i="24" s="1"/>
  <c r="BY175" i="24"/>
  <c r="CA175" i="24" s="1"/>
  <c r="BM175" i="24"/>
  <c r="BN175" i="24" s="1"/>
  <c r="BY271" i="24"/>
  <c r="CA271" i="24" s="1"/>
  <c r="BM271" i="24"/>
  <c r="BN271" i="24" s="1"/>
  <c r="BE152" i="25"/>
  <c r="BR152" i="25"/>
  <c r="BX152" i="25" s="1"/>
  <c r="AH483" i="29"/>
  <c r="X483" i="29"/>
  <c r="Y483" i="29" s="1"/>
  <c r="X155" i="29"/>
  <c r="Y155" i="29" s="1"/>
  <c r="AH155" i="29"/>
  <c r="AG256" i="29"/>
  <c r="W256" i="29"/>
  <c r="AH198" i="29"/>
  <c r="X198" i="29"/>
  <c r="Y198" i="29" s="1"/>
  <c r="AH154" i="29"/>
  <c r="X154" i="29"/>
  <c r="Y154" i="29" s="1"/>
  <c r="W464" i="29"/>
  <c r="AG464" i="29"/>
  <c r="X110" i="29"/>
  <c r="Y110" i="29" s="1"/>
  <c r="BY60" i="24"/>
  <c r="CA60" i="24" s="1"/>
  <c r="CB60" i="24" s="1"/>
  <c r="BN60" i="24"/>
  <c r="BE164" i="25"/>
  <c r="BR164" i="25"/>
  <c r="BX164" i="25" s="1"/>
  <c r="BE285" i="25"/>
  <c r="BR285" i="25"/>
  <c r="BX285" i="25" s="1"/>
  <c r="BY312" i="24"/>
  <c r="CA312" i="24" s="1"/>
  <c r="BM312" i="24"/>
  <c r="BN312" i="24" s="1"/>
  <c r="BE142" i="25"/>
  <c r="BR142" i="25"/>
  <c r="BX142" i="25" s="1"/>
  <c r="BY309" i="24"/>
  <c r="CA309" i="24" s="1"/>
  <c r="BM309" i="24"/>
  <c r="BN309" i="24" s="1"/>
  <c r="BY243" i="24"/>
  <c r="CA243" i="24" s="1"/>
  <c r="BM243" i="24"/>
  <c r="BN243" i="24" s="1"/>
  <c r="BY47" i="24"/>
  <c r="CA47" i="24" s="1"/>
  <c r="CB47" i="24" s="1"/>
  <c r="BN47" i="24"/>
  <c r="BE150" i="25"/>
  <c r="BR150" i="25"/>
  <c r="BX150" i="25" s="1"/>
  <c r="BE17" i="25"/>
  <c r="BK17" i="25" s="1"/>
  <c r="BR17" i="25"/>
  <c r="BV17" i="25" s="1"/>
  <c r="BX17" i="25" s="1"/>
  <c r="BY201" i="25"/>
  <c r="CA201" i="25" s="1"/>
  <c r="BL201" i="25"/>
  <c r="BK201" i="25"/>
  <c r="AG307" i="29"/>
  <c r="W307" i="29"/>
  <c r="X573" i="29"/>
  <c r="Y573" i="29" s="1"/>
  <c r="AH573" i="29"/>
  <c r="AH525" i="29"/>
  <c r="X525" i="29"/>
  <c r="Y525" i="29" s="1"/>
  <c r="AH319" i="29"/>
  <c r="X319" i="29"/>
  <c r="Y319" i="29" s="1"/>
  <c r="AG229" i="29"/>
  <c r="W229" i="29"/>
  <c r="AG478" i="29"/>
  <c r="W478" i="29"/>
  <c r="X251" i="29"/>
  <c r="Y251" i="29" s="1"/>
  <c r="AH251" i="29"/>
  <c r="AG69" i="29"/>
  <c r="W69" i="29"/>
  <c r="AG48" i="29"/>
  <c r="W48" i="29"/>
  <c r="AH417" i="29"/>
  <c r="X417" i="29"/>
  <c r="Y417" i="29" s="1"/>
  <c r="AG14" i="29"/>
  <c r="W14" i="29"/>
  <c r="AH362" i="29"/>
  <c r="X362" i="29"/>
  <c r="Y362" i="29" s="1"/>
  <c r="AG481" i="29"/>
  <c r="W481" i="29"/>
  <c r="AG394" i="29"/>
  <c r="W394" i="29"/>
  <c r="BR63" i="25"/>
  <c r="BV63" i="25" s="1"/>
  <c r="BX63" i="25" s="1"/>
  <c r="BE63" i="25"/>
  <c r="BK63" i="25" s="1"/>
  <c r="BE234" i="25"/>
  <c r="BR234" i="25"/>
  <c r="BX234" i="25" s="1"/>
  <c r="BE171" i="25"/>
  <c r="BR171" i="25"/>
  <c r="BX171" i="25" s="1"/>
  <c r="BR165" i="25"/>
  <c r="BX165" i="25" s="1"/>
  <c r="BE165" i="25"/>
  <c r="BN48" i="24"/>
  <c r="BY48" i="24"/>
  <c r="CA48" i="24" s="1"/>
  <c r="BE187" i="25"/>
  <c r="BR187" i="25"/>
  <c r="BX187" i="25" s="1"/>
  <c r="BY143" i="24"/>
  <c r="CA143" i="24" s="1"/>
  <c r="CB143" i="24" s="1"/>
  <c r="BM143" i="24"/>
  <c r="BN143" i="24" s="1"/>
  <c r="AH186" i="29"/>
  <c r="X186" i="29"/>
  <c r="Y186" i="29" s="1"/>
  <c r="BY150" i="24"/>
  <c r="CA150" i="24" s="1"/>
  <c r="BM150" i="24"/>
  <c r="BN150" i="24" s="1"/>
  <c r="BY231" i="24"/>
  <c r="CA231" i="24" s="1"/>
  <c r="CB231" i="24" s="1"/>
  <c r="BM231" i="24"/>
  <c r="BN231" i="24" s="1"/>
  <c r="BR39" i="25"/>
  <c r="BV39" i="25" s="1"/>
  <c r="BX39" i="25" s="1"/>
  <c r="BE39" i="25"/>
  <c r="BK39" i="25" s="1"/>
  <c r="BY187" i="24"/>
  <c r="CA187" i="24" s="1"/>
  <c r="CB187" i="24" s="1"/>
  <c r="BM187" i="24"/>
  <c r="BN187" i="24" s="1"/>
  <c r="BY137" i="24"/>
  <c r="CA137" i="24" s="1"/>
  <c r="BM137" i="24"/>
  <c r="BN137" i="24" s="1"/>
  <c r="BE100" i="25"/>
  <c r="BK100" i="25" s="1"/>
  <c r="BR100" i="25"/>
  <c r="BV100" i="25" s="1"/>
  <c r="BX100" i="25" s="1"/>
  <c r="BE194" i="25"/>
  <c r="BR194" i="25"/>
  <c r="BX194" i="25" s="1"/>
  <c r="X537" i="29"/>
  <c r="Y537" i="29" s="1"/>
  <c r="AH537" i="29"/>
  <c r="X153" i="29"/>
  <c r="Y153" i="29" s="1"/>
  <c r="AH153" i="29"/>
  <c r="AG71" i="29"/>
  <c r="W71" i="29"/>
  <c r="AG376" i="29"/>
  <c r="W376" i="29"/>
  <c r="AH64" i="29"/>
  <c r="X64" i="29"/>
  <c r="Y64" i="29" s="1"/>
  <c r="BY11" i="24"/>
  <c r="CA11" i="24" s="1"/>
  <c r="CB11" i="24" s="1"/>
  <c r="BN11" i="24"/>
  <c r="BY225" i="24"/>
  <c r="CA225" i="24" s="1"/>
  <c r="BM225" i="24"/>
  <c r="BN225" i="24" s="1"/>
  <c r="BY204" i="25"/>
  <c r="CA204" i="25" s="1"/>
  <c r="BL204" i="25"/>
  <c r="BK204" i="25"/>
  <c r="BE33" i="25"/>
  <c r="BK33" i="25" s="1"/>
  <c r="BR33" i="25"/>
  <c r="BV33" i="25" s="1"/>
  <c r="BX33" i="25" s="1"/>
  <c r="BE23" i="25"/>
  <c r="BK23" i="25" s="1"/>
  <c r="BR23" i="25"/>
  <c r="BV23" i="25" s="1"/>
  <c r="BX23" i="25" s="1"/>
  <c r="BY208" i="24"/>
  <c r="CA208" i="24" s="1"/>
  <c r="BM208" i="24"/>
  <c r="BN208" i="24" s="1"/>
  <c r="BY234" i="24"/>
  <c r="CA234" i="24" s="1"/>
  <c r="CB234" i="24" s="1"/>
  <c r="BM234" i="24"/>
  <c r="BN234" i="24" s="1"/>
  <c r="BR69" i="25"/>
  <c r="BV69" i="25" s="1"/>
  <c r="BX69" i="25" s="1"/>
  <c r="BE69" i="25"/>
  <c r="BK69" i="25" s="1"/>
  <c r="BR149" i="25"/>
  <c r="BX149" i="25" s="1"/>
  <c r="BE149" i="25"/>
  <c r="BY158" i="25"/>
  <c r="CA158" i="25" s="1"/>
  <c r="CB158" i="25" s="1"/>
  <c r="BL158" i="25"/>
  <c r="BK158" i="25"/>
  <c r="AG138" i="29"/>
  <c r="W138" i="29"/>
  <c r="AH565" i="29"/>
  <c r="X565" i="29"/>
  <c r="Y565" i="29" s="1"/>
  <c r="W371" i="29"/>
  <c r="AG371" i="29"/>
  <c r="AH147" i="29"/>
  <c r="X147" i="29"/>
  <c r="Y147" i="29" s="1"/>
  <c r="AG67" i="29"/>
  <c r="W67" i="29"/>
  <c r="X142" i="29"/>
  <c r="Y142" i="29" s="1"/>
  <c r="AH142" i="29"/>
  <c r="W21" i="29"/>
  <c r="AG21" i="29"/>
  <c r="AG306" i="29"/>
  <c r="W306" i="29"/>
  <c r="X284" i="29"/>
  <c r="Y284" i="29" s="1"/>
  <c r="AH284" i="29"/>
  <c r="AH15" i="29"/>
  <c r="X15" i="29"/>
  <c r="Y15" i="29" s="1"/>
  <c r="AH296" i="29"/>
  <c r="X296" i="29"/>
  <c r="Y296" i="29" s="1"/>
  <c r="AG274" i="29"/>
  <c r="W274" i="29"/>
  <c r="W397" i="29"/>
  <c r="AG397" i="29"/>
  <c r="X453" i="29"/>
  <c r="Y453" i="29" s="1"/>
  <c r="AH453" i="29"/>
  <c r="BE182" i="25"/>
  <c r="BR182" i="25"/>
  <c r="BX182" i="25" s="1"/>
  <c r="BE172" i="25"/>
  <c r="BR172" i="25"/>
  <c r="BX172" i="25" s="1"/>
  <c r="BE260" i="25"/>
  <c r="BR260" i="25"/>
  <c r="BX260" i="25" s="1"/>
  <c r="BY257" i="25"/>
  <c r="CA257" i="25" s="1"/>
  <c r="CB257" i="25" s="1"/>
  <c r="BL257" i="25"/>
  <c r="BK257" i="25"/>
  <c r="AG612" i="29"/>
  <c r="W612" i="29"/>
  <c r="AG220" i="29"/>
  <c r="W220" i="29"/>
  <c r="AH226" i="29"/>
  <c r="X226" i="29"/>
  <c r="Y226" i="29" s="1"/>
  <c r="D64" i="29"/>
  <c r="E59" i="1" s="1"/>
  <c r="D61" i="29"/>
  <c r="BY115" i="24"/>
  <c r="CA115" i="24" s="1"/>
  <c r="CB115" i="24" s="1"/>
  <c r="BM115" i="24"/>
  <c r="BN115" i="24" s="1"/>
  <c r="BE218" i="25"/>
  <c r="BR218" i="25"/>
  <c r="BX218" i="25" s="1"/>
  <c r="BE10" i="25"/>
  <c r="BK10" i="25" s="1"/>
  <c r="BR10" i="25"/>
  <c r="BV10" i="25" s="1"/>
  <c r="BX10" i="25" s="1"/>
  <c r="BR40" i="25"/>
  <c r="BV40" i="25" s="1"/>
  <c r="BX40" i="25" s="1"/>
  <c r="BE40" i="25"/>
  <c r="BK40" i="25" s="1"/>
  <c r="BE132" i="25"/>
  <c r="BR132" i="25"/>
  <c r="BX132" i="25" s="1"/>
  <c r="BY136" i="24"/>
  <c r="CA136" i="24" s="1"/>
  <c r="CB136" i="24" s="1"/>
  <c r="BM136" i="24"/>
  <c r="BN136" i="24" s="1"/>
  <c r="BY209" i="24"/>
  <c r="CA209" i="24" s="1"/>
  <c r="BM209" i="24"/>
  <c r="BN209" i="24" s="1"/>
  <c r="BY274" i="24"/>
  <c r="CA274" i="24" s="1"/>
  <c r="BM274" i="24"/>
  <c r="BN274" i="24" s="1"/>
  <c r="BY99" i="24"/>
  <c r="CA99" i="24" s="1"/>
  <c r="CB99" i="24" s="1"/>
  <c r="BN99" i="24"/>
  <c r="BY248" i="25"/>
  <c r="CA248" i="25" s="1"/>
  <c r="CB248" i="25" s="1"/>
  <c r="BL248" i="25"/>
  <c r="BK248" i="25"/>
  <c r="BE252" i="25"/>
  <c r="BR252" i="25"/>
  <c r="BX252" i="25" s="1"/>
  <c r="BY138" i="24"/>
  <c r="CA138" i="24" s="1"/>
  <c r="CB138" i="24" s="1"/>
  <c r="BM138" i="24"/>
  <c r="BN138" i="24" s="1"/>
  <c r="BR57" i="25"/>
  <c r="BV57" i="25" s="1"/>
  <c r="BX57" i="25" s="1"/>
  <c r="BE57" i="25"/>
  <c r="BK57" i="25" s="1"/>
  <c r="BE181" i="25"/>
  <c r="BR181" i="25"/>
  <c r="BX181" i="25" s="1"/>
  <c r="W302" i="29"/>
  <c r="AG302" i="29"/>
  <c r="AG345" i="29"/>
  <c r="W345" i="29"/>
  <c r="X595" i="29"/>
  <c r="Y595" i="29" s="1"/>
  <c r="AH595" i="29"/>
  <c r="BE16" i="25"/>
  <c r="BK16" i="25" s="1"/>
  <c r="BR16" i="25"/>
  <c r="BV16" i="25" s="1"/>
  <c r="BX16" i="25" s="1"/>
  <c r="BY272" i="24"/>
  <c r="CA272" i="24" s="1"/>
  <c r="BM272" i="24"/>
  <c r="BN272" i="24" s="1"/>
  <c r="BY246" i="25"/>
  <c r="CA246" i="25" s="1"/>
  <c r="CB246" i="25" s="1"/>
  <c r="BL246" i="25"/>
  <c r="BK246" i="25"/>
  <c r="BE137" i="25"/>
  <c r="BR137" i="25"/>
  <c r="BX137" i="25" s="1"/>
  <c r="BY69" i="24"/>
  <c r="CA69" i="24" s="1"/>
  <c r="BN69" i="24"/>
  <c r="BR45" i="25"/>
  <c r="BV45" i="25" s="1"/>
  <c r="BX45" i="25" s="1"/>
  <c r="BE45" i="25"/>
  <c r="BK45" i="25" s="1"/>
  <c r="BN46" i="24"/>
  <c r="BY46" i="24"/>
  <c r="CA46" i="24" s="1"/>
  <c r="CB46" i="24" s="1"/>
  <c r="BR38" i="25"/>
  <c r="BV38" i="25" s="1"/>
  <c r="BX38" i="25" s="1"/>
  <c r="BE38" i="25"/>
  <c r="BK38" i="25" s="1"/>
  <c r="AH253" i="29"/>
  <c r="X253" i="29"/>
  <c r="Y253" i="29" s="1"/>
  <c r="AG292" i="29"/>
  <c r="W292" i="29"/>
  <c r="X117" i="29"/>
  <c r="Y117" i="29" s="1"/>
  <c r="AH117" i="29"/>
  <c r="W396" i="29"/>
  <c r="AG396" i="29"/>
  <c r="X564" i="29"/>
  <c r="Y564" i="29" s="1"/>
  <c r="AH564" i="29"/>
  <c r="X433" i="29"/>
  <c r="Y433" i="29" s="1"/>
  <c r="AH433" i="29"/>
  <c r="X610" i="29"/>
  <c r="Y610" i="29" s="1"/>
  <c r="AH610" i="29"/>
  <c r="AH349" i="29"/>
  <c r="X349" i="29"/>
  <c r="Y349" i="29" s="1"/>
  <c r="AH305" i="29"/>
  <c r="X305" i="29"/>
  <c r="Y305" i="29" s="1"/>
  <c r="W411" i="29"/>
  <c r="AG411" i="29"/>
  <c r="W503" i="29"/>
  <c r="AG503" i="29"/>
  <c r="AH232" i="29"/>
  <c r="X232" i="29"/>
  <c r="Y232" i="29" s="1"/>
  <c r="AG512" i="29"/>
  <c r="W512" i="29"/>
  <c r="X390" i="29"/>
  <c r="Y390" i="29" s="1"/>
  <c r="AH390" i="29"/>
  <c r="AG54" i="29"/>
  <c r="W54" i="29"/>
  <c r="BY314" i="24"/>
  <c r="CA314" i="24" s="1"/>
  <c r="BM314" i="24"/>
  <c r="BN314" i="24" s="1"/>
  <c r="BY49" i="24"/>
  <c r="CA49" i="24" s="1"/>
  <c r="BN49" i="24"/>
  <c r="BE24" i="25"/>
  <c r="BK24" i="25" s="1"/>
  <c r="BR24" i="25"/>
  <c r="BV24" i="25" s="1"/>
  <c r="BX24" i="25" s="1"/>
  <c r="BY201" i="24"/>
  <c r="CA201" i="24" s="1"/>
  <c r="BM201" i="24"/>
  <c r="BN201" i="24" s="1"/>
  <c r="BE268" i="25"/>
  <c r="BR268" i="25"/>
  <c r="BX268" i="25" s="1"/>
  <c r="BE126" i="25"/>
  <c r="BR126" i="25"/>
  <c r="BX126" i="25" s="1"/>
  <c r="BE163" i="25"/>
  <c r="BR163" i="25"/>
  <c r="BX163" i="25" s="1"/>
  <c r="BY171" i="24"/>
  <c r="CA171" i="24" s="1"/>
  <c r="CB171" i="24" s="1"/>
  <c r="BM171" i="24"/>
  <c r="BN171" i="24" s="1"/>
  <c r="BE197" i="25"/>
  <c r="BR197" i="25"/>
  <c r="BX197" i="25" s="1"/>
  <c r="BY32" i="25"/>
  <c r="CA32" i="25" s="1"/>
  <c r="CB32" i="25" s="1"/>
  <c r="BL32" i="25"/>
  <c r="AH37" i="29"/>
  <c r="X37" i="29"/>
  <c r="Y37" i="29" s="1"/>
  <c r="W155" i="29"/>
  <c r="AG155" i="29"/>
  <c r="AG486" i="29"/>
  <c r="W486" i="29"/>
  <c r="AH515" i="29"/>
  <c r="X515" i="29"/>
  <c r="Y515" i="29" s="1"/>
  <c r="AH92" i="29"/>
  <c r="X92" i="29"/>
  <c r="Y92" i="29" s="1"/>
  <c r="W331" i="29"/>
  <c r="AG331" i="29"/>
  <c r="AG321" i="29"/>
  <c r="W321" i="29"/>
  <c r="W300" i="29"/>
  <c r="AG300" i="29"/>
  <c r="AH45" i="29"/>
  <c r="X45" i="29"/>
  <c r="Y45" i="29" s="1"/>
  <c r="AH502" i="29"/>
  <c r="X502" i="29"/>
  <c r="Y502" i="29" s="1"/>
  <c r="AG283" i="29"/>
  <c r="W283" i="29"/>
  <c r="W131" i="29"/>
  <c r="AG131" i="29"/>
  <c r="AH464" i="29"/>
  <c r="X464" i="29"/>
  <c r="Y464" i="29" s="1"/>
  <c r="W110" i="29"/>
  <c r="AG110" i="29"/>
  <c r="BY36" i="24"/>
  <c r="CA36" i="24" s="1"/>
  <c r="CB36" i="24" s="1"/>
  <c r="BN36" i="24"/>
  <c r="BY174" i="24"/>
  <c r="CA174" i="24" s="1"/>
  <c r="BM174" i="24"/>
  <c r="BN174" i="24" s="1"/>
  <c r="BL82" i="25"/>
  <c r="BY82" i="25"/>
  <c r="CA82" i="25" s="1"/>
  <c r="BY314" i="25"/>
  <c r="CA314" i="25" s="1"/>
  <c r="CB314" i="25" s="1"/>
  <c r="BL314" i="25"/>
  <c r="BK314" i="25"/>
  <c r="BY275" i="24"/>
  <c r="CA275" i="24" s="1"/>
  <c r="CB275" i="24" s="1"/>
  <c r="BM275" i="24"/>
  <c r="BN275" i="24" s="1"/>
  <c r="BR75" i="25"/>
  <c r="BV75" i="25" s="1"/>
  <c r="BX75" i="25" s="1"/>
  <c r="BE75" i="25"/>
  <c r="BK75" i="25" s="1"/>
  <c r="BR12" i="25"/>
  <c r="BV12" i="25" s="1"/>
  <c r="BX12" i="25" s="1"/>
  <c r="BE12" i="25"/>
  <c r="BK12" i="25" s="1"/>
  <c r="BY118" i="24"/>
  <c r="CA118" i="24" s="1"/>
  <c r="BM118" i="24"/>
  <c r="BN118" i="24" s="1"/>
  <c r="BL296" i="25"/>
  <c r="BY296" i="25"/>
  <c r="CA296" i="25" s="1"/>
  <c r="CB296" i="25" s="1"/>
  <c r="BK296" i="25"/>
  <c r="BY310" i="24"/>
  <c r="CA310" i="24" s="1"/>
  <c r="BM310" i="24"/>
  <c r="BN310" i="24" s="1"/>
  <c r="BY140" i="24"/>
  <c r="CA140" i="24" s="1"/>
  <c r="CB140" i="24" s="1"/>
  <c r="BM140" i="24"/>
  <c r="BN140" i="24" s="1"/>
  <c r="BY92" i="25"/>
  <c r="CA92" i="25" s="1"/>
  <c r="BL92" i="25"/>
  <c r="X348" i="29"/>
  <c r="Y348" i="29" s="1"/>
  <c r="AH348" i="29"/>
  <c r="AH58" i="29"/>
  <c r="X58" i="29"/>
  <c r="Y58" i="29" s="1"/>
  <c r="X32" i="29"/>
  <c r="Y32" i="29" s="1"/>
  <c r="AH32" i="29"/>
  <c r="AH13" i="29"/>
  <c r="X13" i="29"/>
  <c r="Y13" i="29" s="1"/>
  <c r="X97" i="29"/>
  <c r="Y97" i="29" s="1"/>
  <c r="AH97" i="29"/>
  <c r="AH452" i="29"/>
  <c r="X452" i="29"/>
  <c r="Y452" i="29" s="1"/>
  <c r="BL275" i="25"/>
  <c r="BY275" i="25"/>
  <c r="CA275" i="25" s="1"/>
  <c r="CB275" i="25" s="1"/>
  <c r="BK275" i="25"/>
  <c r="BN94" i="24"/>
  <c r="BY94" i="24"/>
  <c r="CA94" i="24" s="1"/>
  <c r="CB94" i="24" s="1"/>
  <c r="BY125" i="24"/>
  <c r="CA125" i="24" s="1"/>
  <c r="CB125" i="24" s="1"/>
  <c r="BM125" i="24"/>
  <c r="BN125" i="24" s="1"/>
  <c r="BY196" i="24"/>
  <c r="CA196" i="24" s="1"/>
  <c r="CB196" i="24" s="1"/>
  <c r="BM196" i="24"/>
  <c r="BN196" i="24" s="1"/>
  <c r="BY43" i="24"/>
  <c r="CA43" i="24" s="1"/>
  <c r="CB43" i="24" s="1"/>
  <c r="BN43" i="24"/>
  <c r="BY133" i="24"/>
  <c r="CA133" i="24" s="1"/>
  <c r="CB133" i="24" s="1"/>
  <c r="BM133" i="24"/>
  <c r="BN133" i="24" s="1"/>
  <c r="BR66" i="25"/>
  <c r="BV66" i="25" s="1"/>
  <c r="BX66" i="25" s="1"/>
  <c r="BE66" i="25"/>
  <c r="BK66" i="25" s="1"/>
  <c r="BY313" i="24"/>
  <c r="CA313" i="24" s="1"/>
  <c r="CB313" i="24" s="1"/>
  <c r="BM313" i="24"/>
  <c r="BN313" i="24" s="1"/>
  <c r="BY83" i="24"/>
  <c r="CA83" i="24" s="1"/>
  <c r="BN83" i="24"/>
  <c r="AH325" i="29"/>
  <c r="X325" i="29"/>
  <c r="Y325" i="29" s="1"/>
  <c r="W469" i="29"/>
  <c r="AG469" i="29"/>
  <c r="AH444" i="29"/>
  <c r="X444" i="29"/>
  <c r="Y444" i="29" s="1"/>
  <c r="AH542" i="29"/>
  <c r="X542" i="29"/>
  <c r="Y542" i="29" s="1"/>
  <c r="AG554" i="29"/>
  <c r="W554" i="29"/>
  <c r="AG34" i="29"/>
  <c r="W34" i="29"/>
  <c r="W491" i="29"/>
  <c r="AG491" i="29"/>
  <c r="AG61" i="29"/>
  <c r="W61" i="29"/>
  <c r="AG317" i="29"/>
  <c r="W317" i="29"/>
  <c r="AG211" i="29"/>
  <c r="W211" i="29"/>
  <c r="AG548" i="29"/>
  <c r="W548" i="29"/>
  <c r="AG385" i="29"/>
  <c r="W385" i="29"/>
  <c r="W352" i="29"/>
  <c r="AG352" i="29"/>
  <c r="AG224" i="29"/>
  <c r="W224" i="29"/>
  <c r="AH541" i="29"/>
  <c r="X541" i="29"/>
  <c r="Y541" i="29" s="1"/>
  <c r="AH254" i="29"/>
  <c r="X254" i="29"/>
  <c r="Y254" i="29" s="1"/>
  <c r="AH105" i="29"/>
  <c r="X105" i="29"/>
  <c r="Y105" i="29" s="1"/>
  <c r="BY291" i="24"/>
  <c r="CA291" i="24" s="1"/>
  <c r="BM291" i="24"/>
  <c r="BN291" i="24" s="1"/>
  <c r="BE121" i="25"/>
  <c r="BR121" i="25"/>
  <c r="BX121" i="25" s="1"/>
  <c r="BN98" i="24"/>
  <c r="BY98" i="24"/>
  <c r="CA98" i="24" s="1"/>
  <c r="BE36" i="25"/>
  <c r="BK36" i="25" s="1"/>
  <c r="BR36" i="25"/>
  <c r="BV36" i="25" s="1"/>
  <c r="BX36" i="25" s="1"/>
  <c r="BE223" i="25"/>
  <c r="BR223" i="25"/>
  <c r="BX223" i="25" s="1"/>
  <c r="BN75" i="24"/>
  <c r="BY75" i="24"/>
  <c r="CA75" i="24" s="1"/>
  <c r="CB75" i="24" s="1"/>
  <c r="BE136" i="25"/>
  <c r="BR136" i="25"/>
  <c r="BX136" i="25" s="1"/>
  <c r="AG169" i="29"/>
  <c r="W169" i="29"/>
  <c r="W167" i="29"/>
  <c r="AG167" i="29"/>
  <c r="W537" i="29"/>
  <c r="AG537" i="29"/>
  <c r="X297" i="29"/>
  <c r="Y297" i="29" s="1"/>
  <c r="AH297" i="29"/>
  <c r="X75" i="29"/>
  <c r="Y75" i="29" s="1"/>
  <c r="AH75" i="29"/>
  <c r="AH504" i="29"/>
  <c r="X504" i="29"/>
  <c r="Y504" i="29" s="1"/>
  <c r="W552" i="29"/>
  <c r="AG552" i="29"/>
  <c r="AH172" i="29"/>
  <c r="X172" i="29"/>
  <c r="Y172" i="29" s="1"/>
  <c r="X534" i="29"/>
  <c r="Y534" i="29" s="1"/>
  <c r="AH534" i="29"/>
  <c r="AH429" i="29"/>
  <c r="X429" i="29"/>
  <c r="Y429" i="29" s="1"/>
  <c r="X240" i="29"/>
  <c r="Y240" i="29" s="1"/>
  <c r="AH240" i="29"/>
  <c r="W354" i="29"/>
  <c r="AG354" i="29"/>
  <c r="AH132" i="29"/>
  <c r="X132" i="29"/>
  <c r="Y132" i="29" s="1"/>
  <c r="AG22" i="29"/>
  <c r="W22" i="29"/>
  <c r="AH73" i="29"/>
  <c r="X73" i="29"/>
  <c r="Y73" i="29" s="1"/>
  <c r="BL232" i="25"/>
  <c r="BY232" i="25"/>
  <c r="CA232" i="25" s="1"/>
  <c r="CB232" i="25" s="1"/>
  <c r="BK232" i="25"/>
  <c r="BR18" i="25"/>
  <c r="BV18" i="25" s="1"/>
  <c r="BX18" i="25" s="1"/>
  <c r="BE18" i="25"/>
  <c r="BK18" i="25" s="1"/>
  <c r="BL94" i="25"/>
  <c r="BY94" i="25"/>
  <c r="CA94" i="25" s="1"/>
  <c r="CB94" i="25" s="1"/>
  <c r="BY156" i="24"/>
  <c r="CA156" i="24" s="1"/>
  <c r="BM156" i="24"/>
  <c r="BN156" i="24" s="1"/>
  <c r="BY226" i="24"/>
  <c r="CA226" i="24" s="1"/>
  <c r="CB226" i="24" s="1"/>
  <c r="BM226" i="24"/>
  <c r="BN226" i="24" s="1"/>
  <c r="W581" i="29"/>
  <c r="AG581" i="29"/>
  <c r="AH70" i="29"/>
  <c r="X70" i="29"/>
  <c r="Y70" i="29" s="1"/>
  <c r="X109" i="29"/>
  <c r="Y109" i="29" s="1"/>
  <c r="AH109" i="29"/>
  <c r="W340" i="29"/>
  <c r="AG340" i="29"/>
  <c r="AG358" i="29"/>
  <c r="W358" i="29"/>
  <c r="BE242" i="25"/>
  <c r="BR242" i="25"/>
  <c r="BX242" i="25" s="1"/>
  <c r="BY87" i="25"/>
  <c r="CA87" i="25" s="1"/>
  <c r="CB87" i="25" s="1"/>
  <c r="BL87" i="25"/>
  <c r="BY178" i="25"/>
  <c r="CA178" i="25" s="1"/>
  <c r="CB178" i="25" s="1"/>
  <c r="BL178" i="25"/>
  <c r="BK178" i="25"/>
  <c r="BY169" i="24"/>
  <c r="CA169" i="24" s="1"/>
  <c r="CB169" i="24" s="1"/>
  <c r="BM169" i="24"/>
  <c r="BN169" i="24" s="1"/>
  <c r="BY316" i="24"/>
  <c r="CA316" i="24" s="1"/>
  <c r="BM316" i="24"/>
  <c r="BY250" i="24"/>
  <c r="CA250" i="24" s="1"/>
  <c r="CB250" i="24" s="1"/>
  <c r="BM250" i="24"/>
  <c r="BN250" i="24" s="1"/>
  <c r="W600" i="29"/>
  <c r="AG600" i="29"/>
  <c r="AH353" i="29"/>
  <c r="X353" i="29"/>
  <c r="Y353" i="29" s="1"/>
  <c r="AH566" i="29"/>
  <c r="X566" i="29"/>
  <c r="Y566" i="29" s="1"/>
  <c r="W299" i="29"/>
  <c r="AG299" i="29"/>
  <c r="W359" i="29"/>
  <c r="AG359" i="29"/>
  <c r="W282" i="29"/>
  <c r="AG282" i="29"/>
  <c r="AG102" i="29"/>
  <c r="W102" i="29"/>
  <c r="AG203" i="29"/>
  <c r="W203" i="29"/>
  <c r="W604" i="29"/>
  <c r="AG604" i="29"/>
  <c r="X488" i="29"/>
  <c r="Y488" i="29" s="1"/>
  <c r="AH488" i="29"/>
  <c r="AH547" i="29"/>
  <c r="X547" i="29"/>
  <c r="Y547" i="29" s="1"/>
  <c r="W399" i="29"/>
  <c r="AG399" i="29"/>
  <c r="X520" i="29"/>
  <c r="Y520" i="29" s="1"/>
  <c r="AH520" i="29"/>
  <c r="W243" i="29"/>
  <c r="AG243" i="29"/>
  <c r="W136" i="29"/>
  <c r="AG136" i="29"/>
  <c r="BR119" i="25"/>
  <c r="BX119" i="25" s="1"/>
  <c r="BE119" i="25"/>
  <c r="BR196" i="25"/>
  <c r="BX196" i="25" s="1"/>
  <c r="BE196" i="25"/>
  <c r="BY205" i="24"/>
  <c r="CA205" i="24" s="1"/>
  <c r="BM205" i="24"/>
  <c r="BN205" i="24" s="1"/>
  <c r="BR56" i="25"/>
  <c r="BV56" i="25" s="1"/>
  <c r="BX56" i="25" s="1"/>
  <c r="BE56" i="25"/>
  <c r="BK56" i="25" s="1"/>
  <c r="BE144" i="25"/>
  <c r="BR144" i="25"/>
  <c r="BX144" i="25" s="1"/>
  <c r="BN105" i="24"/>
  <c r="BY105" i="24"/>
  <c r="CA105" i="24" s="1"/>
  <c r="BY185" i="24"/>
  <c r="CA185" i="24" s="1"/>
  <c r="BM185" i="24"/>
  <c r="BN185" i="24" s="1"/>
  <c r="BE287" i="25"/>
  <c r="BR287" i="25"/>
  <c r="BX287" i="25" s="1"/>
  <c r="BN53" i="24"/>
  <c r="BY53" i="24"/>
  <c r="CA53" i="24" s="1"/>
  <c r="CB53" i="24" s="1"/>
  <c r="AH245" i="29"/>
  <c r="X245" i="29"/>
  <c r="Y245" i="29" s="1"/>
  <c r="AH381" i="29"/>
  <c r="X381" i="29"/>
  <c r="Y381" i="29" s="1"/>
  <c r="AG521" i="29"/>
  <c r="W521" i="29"/>
  <c r="X576" i="29"/>
  <c r="Y576" i="29" s="1"/>
  <c r="AH576" i="29"/>
  <c r="AG388" i="29"/>
  <c r="W388" i="29"/>
  <c r="X219" i="29"/>
  <c r="Y219" i="29" s="1"/>
  <c r="AH219" i="29"/>
  <c r="X100" i="29"/>
  <c r="Y100" i="29" s="1"/>
  <c r="AH100" i="29"/>
  <c r="AG368" i="29"/>
  <c r="W368" i="29"/>
  <c r="X389" i="29"/>
  <c r="Y389" i="29" s="1"/>
  <c r="AH389" i="29"/>
  <c r="AG63" i="29"/>
  <c r="W63" i="29"/>
  <c r="AG190" i="29"/>
  <c r="W190" i="29"/>
  <c r="AH540" i="29"/>
  <c r="X540" i="29"/>
  <c r="Y540" i="29" s="1"/>
  <c r="X280" i="29"/>
  <c r="Y280" i="29" s="1"/>
  <c r="AH280" i="29"/>
  <c r="AG212" i="29"/>
  <c r="W212" i="29"/>
  <c r="W168" i="29"/>
  <c r="AG168" i="29"/>
  <c r="W141" i="29"/>
  <c r="AG141" i="29"/>
  <c r="BY284" i="24"/>
  <c r="CA284" i="24" s="1"/>
  <c r="BM284" i="24"/>
  <c r="BN284" i="24" s="1"/>
  <c r="BR70" i="25"/>
  <c r="BV70" i="25" s="1"/>
  <c r="BX70" i="25" s="1"/>
  <c r="BE70" i="25"/>
  <c r="BK70" i="25" s="1"/>
  <c r="BY71" i="24"/>
  <c r="CA71" i="24" s="1"/>
  <c r="CB71" i="24" s="1"/>
  <c r="BN71" i="24"/>
  <c r="BE303" i="25"/>
  <c r="BR303" i="25"/>
  <c r="BX303" i="25" s="1"/>
  <c r="AH357" i="29"/>
  <c r="X357" i="29"/>
  <c r="Y357" i="29" s="1"/>
  <c r="W342" i="29"/>
  <c r="AG342" i="29"/>
  <c r="AH556" i="29"/>
  <c r="X556" i="29"/>
  <c r="Y556" i="29" s="1"/>
  <c r="BE195" i="25"/>
  <c r="BR195" i="25"/>
  <c r="BX195" i="25" s="1"/>
  <c r="BE301" i="25"/>
  <c r="BR301" i="25"/>
  <c r="BX301" i="25" s="1"/>
  <c r="BN39" i="24"/>
  <c r="BY39" i="24"/>
  <c r="CA39" i="24" s="1"/>
  <c r="CB39" i="24" s="1"/>
  <c r="BY17" i="24"/>
  <c r="CA17" i="24" s="1"/>
  <c r="CB17" i="24" s="1"/>
  <c r="BN17" i="24"/>
  <c r="BR19" i="25"/>
  <c r="BV19" i="25" s="1"/>
  <c r="BX19" i="25" s="1"/>
  <c r="BE19" i="25"/>
  <c r="BK19" i="25" s="1"/>
  <c r="BE27" i="25"/>
  <c r="BK27" i="25" s="1"/>
  <c r="BR27" i="25"/>
  <c r="BV27" i="25" s="1"/>
  <c r="BX27" i="25" s="1"/>
  <c r="BE220" i="25"/>
  <c r="BR220" i="25"/>
  <c r="BX220" i="25" s="1"/>
  <c r="BN62" i="24"/>
  <c r="BY62" i="24"/>
  <c r="CA62" i="24" s="1"/>
  <c r="X26" i="29"/>
  <c r="Y26" i="29" s="1"/>
  <c r="AH26" i="29"/>
  <c r="AG596" i="29"/>
  <c r="W596" i="29"/>
  <c r="AH120" i="29"/>
  <c r="X120" i="29"/>
  <c r="Y120" i="29" s="1"/>
  <c r="BY96" i="24"/>
  <c r="CA96" i="24" s="1"/>
  <c r="CB96" i="24" s="1"/>
  <c r="BN96" i="24"/>
  <c r="BL229" i="25"/>
  <c r="BY229" i="25"/>
  <c r="CA229" i="25" s="1"/>
  <c r="CB229" i="25" s="1"/>
  <c r="BK229" i="25"/>
  <c r="BE141" i="25"/>
  <c r="BR141" i="25"/>
  <c r="BX141" i="25" s="1"/>
  <c r="BE22" i="25"/>
  <c r="BK22" i="25" s="1"/>
  <c r="BR22" i="25"/>
  <c r="BV22" i="25" s="1"/>
  <c r="BX22" i="25" s="1"/>
  <c r="BR202" i="25"/>
  <c r="BX202" i="25" s="1"/>
  <c r="BE202" i="25"/>
  <c r="BY230" i="24"/>
  <c r="CA230" i="24" s="1"/>
  <c r="CB230" i="24" s="1"/>
  <c r="BM230" i="24"/>
  <c r="BN230" i="24" s="1"/>
  <c r="BY246" i="24"/>
  <c r="CA246" i="24" s="1"/>
  <c r="CB246" i="24" s="1"/>
  <c r="BM246" i="24"/>
  <c r="BN246" i="24" s="1"/>
  <c r="BY180" i="24"/>
  <c r="CA180" i="24" s="1"/>
  <c r="BM180" i="24"/>
  <c r="BN180" i="24" s="1"/>
  <c r="BN87" i="24"/>
  <c r="BY87" i="24"/>
  <c r="CA87" i="24" s="1"/>
  <c r="BY113" i="24"/>
  <c r="CA113" i="24" s="1"/>
  <c r="CB113" i="24" s="1"/>
  <c r="BM113" i="24"/>
  <c r="BN113" i="24" s="1"/>
  <c r="BR26" i="25"/>
  <c r="BV26" i="25" s="1"/>
  <c r="BX26" i="25" s="1"/>
  <c r="BE26" i="25"/>
  <c r="BK26" i="25" s="1"/>
  <c r="BN40" i="24"/>
  <c r="BY40" i="24"/>
  <c r="CA40" i="24" s="1"/>
  <c r="BN91" i="24"/>
  <c r="BY91" i="24"/>
  <c r="CA91" i="24" s="1"/>
  <c r="CB91" i="24" s="1"/>
  <c r="V585" i="29"/>
  <c r="U585" i="29"/>
  <c r="AH149" i="29"/>
  <c r="X149" i="29"/>
  <c r="Y149" i="29" s="1"/>
  <c r="AH119" i="29"/>
  <c r="X119" i="29"/>
  <c r="Y119" i="29" s="1"/>
  <c r="AG58" i="29"/>
  <c r="W58" i="29"/>
  <c r="W42" i="29"/>
  <c r="AG42" i="29"/>
  <c r="X31" i="29"/>
  <c r="Y31" i="29" s="1"/>
  <c r="AH31" i="29"/>
  <c r="AH574" i="29"/>
  <c r="X574" i="29"/>
  <c r="Y574" i="29" s="1"/>
  <c r="AG304" i="29"/>
  <c r="W304" i="29"/>
  <c r="X255" i="29"/>
  <c r="Y255" i="29" s="1"/>
  <c r="AH255" i="29"/>
  <c r="AG271" i="29"/>
  <c r="W271" i="29"/>
  <c r="AG592" i="29"/>
  <c r="W592" i="29"/>
  <c r="W215" i="29"/>
  <c r="AG215" i="29"/>
  <c r="X375" i="29"/>
  <c r="Y375" i="29" s="1"/>
  <c r="AH375" i="29"/>
  <c r="W539" i="29"/>
  <c r="AG539" i="29"/>
  <c r="AH310" i="29"/>
  <c r="X310" i="29"/>
  <c r="Y310" i="29" s="1"/>
  <c r="AG97" i="29"/>
  <c r="W97" i="29"/>
  <c r="W452" i="29"/>
  <c r="AG452" i="29"/>
  <c r="BY114" i="25"/>
  <c r="CA114" i="25" s="1"/>
  <c r="BL114" i="25"/>
  <c r="BK114" i="25"/>
  <c r="BE290" i="25"/>
  <c r="BR290" i="25"/>
  <c r="BX290" i="25" s="1"/>
  <c r="BY21" i="25"/>
  <c r="CA21" i="25" s="1"/>
  <c r="BL21" i="25"/>
  <c r="BY93" i="24"/>
  <c r="CA93" i="24" s="1"/>
  <c r="CB93" i="24" s="1"/>
  <c r="BN93" i="24"/>
  <c r="BY25" i="24"/>
  <c r="CA25" i="24" s="1"/>
  <c r="CB25" i="24" s="1"/>
  <c r="BN25" i="24"/>
  <c r="BY199" i="25"/>
  <c r="CA199" i="25" s="1"/>
  <c r="BL199" i="25"/>
  <c r="BK199" i="25"/>
  <c r="X88" i="29"/>
  <c r="Y88" i="29" s="1"/>
  <c r="AH88" i="29"/>
  <c r="X571" i="29"/>
  <c r="Y571" i="29" s="1"/>
  <c r="AH571" i="29"/>
  <c r="AG405" i="29"/>
  <c r="W405" i="29"/>
  <c r="W395" i="29"/>
  <c r="AG395" i="29"/>
  <c r="BY146" i="24"/>
  <c r="CA146" i="24" s="1"/>
  <c r="BM146" i="24"/>
  <c r="BN146" i="24" s="1"/>
  <c r="BE117" i="25"/>
  <c r="BR117" i="25"/>
  <c r="BX117" i="25" s="1"/>
  <c r="BN31" i="24"/>
  <c r="BY31" i="24"/>
  <c r="CA31" i="24" s="1"/>
  <c r="CB31" i="24" s="1"/>
  <c r="BE270" i="25"/>
  <c r="BR270" i="25"/>
  <c r="BX270" i="25" s="1"/>
  <c r="BY14" i="24"/>
  <c r="CA14" i="24" s="1"/>
  <c r="BN14" i="24"/>
  <c r="BE124" i="25"/>
  <c r="BR124" i="25"/>
  <c r="BX124" i="25" s="1"/>
  <c r="BR48" i="25"/>
  <c r="BV48" i="25" s="1"/>
  <c r="BX48" i="25" s="1"/>
  <c r="BE48" i="25"/>
  <c r="BK48" i="25" s="1"/>
  <c r="AH195" i="29"/>
  <c r="X195" i="29"/>
  <c r="Y195" i="29" s="1"/>
  <c r="AH124" i="29"/>
  <c r="X124" i="29"/>
  <c r="Y124" i="29" s="1"/>
  <c r="BR185" i="25"/>
  <c r="BX185" i="25" s="1"/>
  <c r="BE185" i="25"/>
  <c r="BE233" i="25"/>
  <c r="BR233" i="25"/>
  <c r="BX233" i="25" s="1"/>
  <c r="BY64" i="24"/>
  <c r="CA64" i="24" s="1"/>
  <c r="CB64" i="24" s="1"/>
  <c r="BN64" i="24"/>
  <c r="BE221" i="25"/>
  <c r="BR221" i="25"/>
  <c r="BX221" i="25" s="1"/>
  <c r="BY229" i="24"/>
  <c r="CA229" i="24" s="1"/>
  <c r="BM229" i="24"/>
  <c r="BN229" i="24" s="1"/>
  <c r="BY290" i="24"/>
  <c r="CA290" i="24" s="1"/>
  <c r="CB290" i="24" s="1"/>
  <c r="BM290" i="24"/>
  <c r="BN290" i="24" s="1"/>
  <c r="BR72" i="25"/>
  <c r="BV72" i="25" s="1"/>
  <c r="BX72" i="25" s="1"/>
  <c r="BE72" i="25"/>
  <c r="BK72" i="25" s="1"/>
  <c r="BE277" i="25"/>
  <c r="BR277" i="25"/>
  <c r="BX277" i="25" s="1"/>
  <c r="B154" i="2"/>
  <c r="B160" i="2"/>
  <c r="E32" i="1" s="1"/>
  <c r="BR43" i="25"/>
  <c r="BV43" i="25" s="1"/>
  <c r="BX43" i="25" s="1"/>
  <c r="BE43" i="25"/>
  <c r="BK43" i="25" s="1"/>
  <c r="BR81" i="25"/>
  <c r="BV81" i="25" s="1"/>
  <c r="BX81" i="25" s="1"/>
  <c r="BE81" i="25"/>
  <c r="BK81" i="25" s="1"/>
  <c r="BE138" i="25"/>
  <c r="BR138" i="25"/>
  <c r="BX138" i="25" s="1"/>
  <c r="X38" i="29"/>
  <c r="Y38" i="29" s="1"/>
  <c r="AH38" i="29"/>
  <c r="W435" i="29"/>
  <c r="AG435" i="29"/>
  <c r="AH199" i="29"/>
  <c r="X199" i="29"/>
  <c r="Y199" i="29" s="1"/>
  <c r="AH527" i="29"/>
  <c r="X527" i="29"/>
  <c r="Y527" i="29" s="1"/>
  <c r="AG83" i="29"/>
  <c r="W83" i="29"/>
  <c r="X122" i="29"/>
  <c r="Y122" i="29" s="1"/>
  <c r="AH122" i="29"/>
  <c r="AH194" i="29"/>
  <c r="X194" i="29"/>
  <c r="Y194" i="29" s="1"/>
  <c r="AH23" i="29"/>
  <c r="X23" i="29"/>
  <c r="Y23" i="29" s="1"/>
  <c r="X312" i="29"/>
  <c r="Y312" i="29" s="1"/>
  <c r="AH312" i="29"/>
  <c r="AG467" i="29"/>
  <c r="W467" i="29"/>
  <c r="AG188" i="29"/>
  <c r="W188" i="29"/>
  <c r="AH314" i="29"/>
  <c r="X314" i="29"/>
  <c r="Y314" i="29" s="1"/>
  <c r="W567" i="29"/>
  <c r="AG567" i="29"/>
  <c r="X492" i="29"/>
  <c r="Y492" i="29" s="1"/>
  <c r="AH492" i="29"/>
  <c r="BY141" i="24"/>
  <c r="CA141" i="24" s="1"/>
  <c r="CB141" i="24" s="1"/>
  <c r="BM141" i="24"/>
  <c r="BN141" i="24" s="1"/>
  <c r="BE297" i="25"/>
  <c r="BR297" i="25"/>
  <c r="BX297" i="25" s="1"/>
  <c r="BR65" i="25"/>
  <c r="BV65" i="25" s="1"/>
  <c r="BX65" i="25" s="1"/>
  <c r="BE65" i="25"/>
  <c r="BK65" i="25" s="1"/>
  <c r="BY252" i="24"/>
  <c r="CA252" i="24" s="1"/>
  <c r="BM252" i="24"/>
  <c r="BN252" i="24" s="1"/>
  <c r="X50" i="29"/>
  <c r="Y50" i="29" s="1"/>
  <c r="AH50" i="29"/>
  <c r="AH177" i="29"/>
  <c r="X177" i="29"/>
  <c r="Y177" i="29" s="1"/>
  <c r="W378" i="29"/>
  <c r="AG378" i="29"/>
  <c r="AH112" i="29"/>
  <c r="X112" i="29"/>
  <c r="Y112" i="29" s="1"/>
  <c r="BY280" i="25"/>
  <c r="CA280" i="25" s="1"/>
  <c r="CB280" i="25" s="1"/>
  <c r="BL280" i="25"/>
  <c r="BK280" i="25"/>
  <c r="BY261" i="24"/>
  <c r="CA261" i="24" s="1"/>
  <c r="CB261" i="24" s="1"/>
  <c r="BM261" i="24"/>
  <c r="BN261" i="24" s="1"/>
  <c r="BY149" i="24"/>
  <c r="CA149" i="24" s="1"/>
  <c r="CB149" i="24" s="1"/>
  <c r="BM149" i="24"/>
  <c r="BN149" i="24" s="1"/>
  <c r="BR125" i="25"/>
  <c r="BX125" i="25" s="1"/>
  <c r="BE125" i="25"/>
  <c r="BE105" i="25"/>
  <c r="BK105" i="25" s="1"/>
  <c r="BR105" i="25"/>
  <c r="BV105" i="25" s="1"/>
  <c r="BX105" i="25" s="1"/>
  <c r="BL265" i="25"/>
  <c r="BK265" i="25"/>
  <c r="BE91" i="25"/>
  <c r="BK91" i="25" s="1"/>
  <c r="BR91" i="25"/>
  <c r="BV91" i="25" s="1"/>
  <c r="BX91" i="25" s="1"/>
  <c r="BY182" i="24"/>
  <c r="CA182" i="24" s="1"/>
  <c r="BM182" i="24"/>
  <c r="BN182" i="24" s="1"/>
  <c r="X89" i="29"/>
  <c r="Y89" i="29" s="1"/>
  <c r="AH89" i="29"/>
  <c r="AG442" i="29"/>
  <c r="W442" i="29"/>
  <c r="AH608" i="29"/>
  <c r="X608" i="29"/>
  <c r="Y608" i="29" s="1"/>
  <c r="BL179" i="25"/>
  <c r="BY179" i="25"/>
  <c r="CA179" i="25" s="1"/>
  <c r="BK179" i="25"/>
  <c r="BY244" i="24"/>
  <c r="CA244" i="24" s="1"/>
  <c r="CB244" i="24" s="1"/>
  <c r="BM244" i="24"/>
  <c r="BN244" i="24" s="1"/>
  <c r="BE254" i="25"/>
  <c r="BR254" i="25"/>
  <c r="BX254" i="25" s="1"/>
  <c r="BL305" i="25"/>
  <c r="BY305" i="25"/>
  <c r="CA305" i="25" s="1"/>
  <c r="CB305" i="25" s="1"/>
  <c r="BK305" i="25"/>
  <c r="BY302" i="24"/>
  <c r="CA302" i="24" s="1"/>
  <c r="CB302" i="24" s="1"/>
  <c r="BM302" i="24"/>
  <c r="BN302" i="24" s="1"/>
  <c r="BN82" i="24"/>
  <c r="BY82" i="24"/>
  <c r="CA82" i="24" s="1"/>
  <c r="CB82" i="24" s="1"/>
  <c r="BY203" i="24"/>
  <c r="CA203" i="24" s="1"/>
  <c r="BM203" i="24"/>
  <c r="BN203" i="24" s="1"/>
  <c r="BL13" i="25"/>
  <c r="BY13" i="25"/>
  <c r="CA13" i="25" s="1"/>
  <c r="BY104" i="24"/>
  <c r="CA104" i="24" s="1"/>
  <c r="BN104" i="24"/>
  <c r="BY129" i="24"/>
  <c r="CA129" i="24" s="1"/>
  <c r="CB129" i="24" s="1"/>
  <c r="BM129" i="24"/>
  <c r="BN129" i="24" s="1"/>
  <c r="BE272" i="25"/>
  <c r="BR272" i="25"/>
  <c r="BX272" i="25" s="1"/>
  <c r="BY157" i="24"/>
  <c r="CA157" i="24" s="1"/>
  <c r="BM157" i="24"/>
  <c r="BN157" i="24" s="1"/>
  <c r="AG337" i="29"/>
  <c r="W337" i="29"/>
  <c r="AH163" i="29"/>
  <c r="X163" i="29"/>
  <c r="Y163" i="29" s="1"/>
  <c r="AG43" i="29"/>
  <c r="W43" i="29"/>
  <c r="AG288" i="29"/>
  <c r="W288" i="29"/>
  <c r="W59" i="29"/>
  <c r="AG59" i="29"/>
  <c r="X144" i="29"/>
  <c r="Y144" i="29" s="1"/>
  <c r="AH144" i="29"/>
  <c r="W259" i="29"/>
  <c r="AG259" i="29"/>
  <c r="W466" i="29"/>
  <c r="AG466" i="29"/>
  <c r="AH192" i="29"/>
  <c r="X192" i="29"/>
  <c r="Y192" i="29" s="1"/>
  <c r="AG472" i="29"/>
  <c r="W472" i="29"/>
  <c r="AH242" i="29"/>
  <c r="X242" i="29"/>
  <c r="Y242" i="29" s="1"/>
  <c r="W129" i="29"/>
  <c r="AG129" i="29"/>
  <c r="W445" i="29"/>
  <c r="AG445" i="29"/>
  <c r="AH493" i="29"/>
  <c r="X493" i="29"/>
  <c r="Y493" i="29" s="1"/>
  <c r="AH500" i="29"/>
  <c r="X500" i="29"/>
  <c r="Y500" i="29" s="1"/>
  <c r="BY163" i="24"/>
  <c r="CA163" i="24" s="1"/>
  <c r="BM163" i="24"/>
  <c r="BN163" i="24" s="1"/>
  <c r="BL238" i="25"/>
  <c r="BY238" i="25"/>
  <c r="CA238" i="25" s="1"/>
  <c r="CB238" i="25" s="1"/>
  <c r="BK238" i="25"/>
  <c r="BY197" i="24"/>
  <c r="CA197" i="24" s="1"/>
  <c r="CB197" i="24" s="1"/>
  <c r="BM197" i="24"/>
  <c r="BN197" i="24" s="1"/>
  <c r="BL154" i="25"/>
  <c r="BK154" i="25"/>
  <c r="BY73" i="24"/>
  <c r="CA73" i="24" s="1"/>
  <c r="BN73" i="24"/>
  <c r="BY192" i="24"/>
  <c r="CA192" i="24" s="1"/>
  <c r="CB192" i="24" s="1"/>
  <c r="BM192" i="24"/>
  <c r="BN192" i="24" s="1"/>
  <c r="BE50" i="25"/>
  <c r="BK50" i="25" s="1"/>
  <c r="BR50" i="25"/>
  <c r="BV50" i="25" s="1"/>
  <c r="BX50" i="25" s="1"/>
  <c r="X373" i="29"/>
  <c r="Y373" i="29" s="1"/>
  <c r="AH373" i="29"/>
  <c r="X324" i="29"/>
  <c r="Y324" i="29" s="1"/>
  <c r="AH324" i="29"/>
  <c r="X315" i="29"/>
  <c r="Y315" i="29" s="1"/>
  <c r="AH315" i="29"/>
  <c r="X130" i="29"/>
  <c r="Y130" i="29" s="1"/>
  <c r="AH130" i="29"/>
  <c r="W363" i="29"/>
  <c r="AG363" i="29"/>
  <c r="AH213" i="29"/>
  <c r="X213" i="29"/>
  <c r="Y213" i="29" s="1"/>
  <c r="W364" i="29"/>
  <c r="AG364" i="29"/>
  <c r="AG372" i="29"/>
  <c r="W372" i="29"/>
  <c r="AH246" i="29"/>
  <c r="X246" i="29"/>
  <c r="Y246" i="29" s="1"/>
  <c r="X111" i="29"/>
  <c r="Y111" i="29" s="1"/>
  <c r="AH111" i="29"/>
  <c r="W558" i="29"/>
  <c r="AG558" i="29"/>
  <c r="X279" i="29"/>
  <c r="Y279" i="29" s="1"/>
  <c r="AH279" i="29"/>
  <c r="W275" i="29"/>
  <c r="AG275" i="29"/>
  <c r="AG236" i="29"/>
  <c r="W236" i="29"/>
  <c r="W231" i="29"/>
  <c r="AG231" i="29"/>
  <c r="BE103" i="25"/>
  <c r="BK103" i="25" s="1"/>
  <c r="BR103" i="25"/>
  <c r="BV103" i="25" s="1"/>
  <c r="BX103" i="25" s="1"/>
  <c r="BE162" i="25"/>
  <c r="BR162" i="25"/>
  <c r="BX162" i="25" s="1"/>
  <c r="BE253" i="25"/>
  <c r="BR253" i="25"/>
  <c r="BX253" i="25" s="1"/>
  <c r="BY23" i="24"/>
  <c r="CA23" i="24" s="1"/>
  <c r="BN23" i="24"/>
  <c r="BL174" i="25"/>
  <c r="BY174" i="25"/>
  <c r="CA174" i="25" s="1"/>
  <c r="BK174" i="25"/>
  <c r="BY126" i="24"/>
  <c r="CA126" i="24" s="1"/>
  <c r="BM126" i="24"/>
  <c r="BN126" i="24" s="1"/>
  <c r="BR41" i="25"/>
  <c r="BV41" i="25" s="1"/>
  <c r="BX41" i="25" s="1"/>
  <c r="BE41" i="25"/>
  <c r="BK41" i="25" s="1"/>
  <c r="BY158" i="24"/>
  <c r="CA158" i="24" s="1"/>
  <c r="CB158" i="24" s="1"/>
  <c r="BM158" i="24"/>
  <c r="BN158" i="24" s="1"/>
  <c r="BY282" i="25"/>
  <c r="CA282" i="25" s="1"/>
  <c r="CB282" i="25" s="1"/>
  <c r="BL282" i="25"/>
  <c r="BK282" i="25"/>
  <c r="AH336" i="29"/>
  <c r="X336" i="29"/>
  <c r="Y336" i="29" s="1"/>
  <c r="X145" i="29"/>
  <c r="Y145" i="29" s="1"/>
  <c r="AH145" i="29"/>
  <c r="AG471" i="29"/>
  <c r="W471" i="29"/>
  <c r="W599" i="29"/>
  <c r="AG599" i="29"/>
  <c r="AH530" i="29"/>
  <c r="X530" i="29"/>
  <c r="Y530" i="29" s="1"/>
  <c r="W36" i="29"/>
  <c r="AG36" i="29"/>
  <c r="BY220" i="24"/>
  <c r="CA220" i="24" s="1"/>
  <c r="BM220" i="24"/>
  <c r="BN220" i="24" s="1"/>
  <c r="BE153" i="25"/>
  <c r="BR153" i="25"/>
  <c r="BX153" i="25" s="1"/>
  <c r="BE146" i="25"/>
  <c r="BR146" i="25"/>
  <c r="BX146" i="25" s="1"/>
  <c r="BY34" i="25"/>
  <c r="CA34" i="25" s="1"/>
  <c r="CB34" i="25" s="1"/>
  <c r="BL34" i="25"/>
  <c r="BR84" i="25"/>
  <c r="BV84" i="25" s="1"/>
  <c r="BX84" i="25" s="1"/>
  <c r="BE84" i="25"/>
  <c r="BK84" i="25" s="1"/>
  <c r="CB123" i="24" l="1"/>
  <c r="CF123" i="24"/>
  <c r="CB20" i="24"/>
  <c r="CF20" i="24"/>
  <c r="CB229" i="24"/>
  <c r="CF229" i="24"/>
  <c r="CB9" i="24"/>
  <c r="CF9" i="24"/>
  <c r="CB114" i="24"/>
  <c r="CF114" i="24"/>
  <c r="CB220" i="24"/>
  <c r="CF220" i="24"/>
  <c r="CB114" i="25"/>
  <c r="CF114" i="25"/>
  <c r="CB40" i="24"/>
  <c r="CF40" i="24"/>
  <c r="CB13" i="24"/>
  <c r="CF13" i="24"/>
  <c r="CB13" i="25"/>
  <c r="CF13" i="25"/>
  <c r="CB222" i="24"/>
  <c r="CF222" i="24"/>
  <c r="CB116" i="24"/>
  <c r="CF116" i="24"/>
  <c r="CB146" i="24"/>
  <c r="CF146" i="24"/>
  <c r="CB252" i="24"/>
  <c r="CF252" i="24"/>
  <c r="CB12" i="24"/>
  <c r="CF12" i="24"/>
  <c r="CB223" i="24"/>
  <c r="CF223" i="24"/>
  <c r="CB314" i="24"/>
  <c r="CF314" i="24"/>
  <c r="AH544" i="29"/>
  <c r="CB31" i="25"/>
  <c r="CF31" i="25"/>
  <c r="CB32" i="24"/>
  <c r="CF32" i="24"/>
  <c r="AH231" i="29"/>
  <c r="CB218" i="24"/>
  <c r="CF218" i="24"/>
  <c r="CB112" i="24"/>
  <c r="CF112" i="24"/>
  <c r="CB83" i="24"/>
  <c r="CF83" i="24"/>
  <c r="W541" i="29"/>
  <c r="AA541" i="29" s="1"/>
  <c r="CB65" i="24"/>
  <c r="CF65" i="24"/>
  <c r="X352" i="29"/>
  <c r="Y352" i="29" s="1"/>
  <c r="CB49" i="24"/>
  <c r="CF49" i="24"/>
  <c r="CB48" i="24"/>
  <c r="CF48" i="24"/>
  <c r="CB258" i="24"/>
  <c r="CF258" i="24"/>
  <c r="AH521" i="29"/>
  <c r="AH323" i="29"/>
  <c r="CB174" i="24"/>
  <c r="CF174" i="24"/>
  <c r="CB69" i="24"/>
  <c r="CF69" i="24"/>
  <c r="CB280" i="24"/>
  <c r="CF280" i="24"/>
  <c r="X63" i="29"/>
  <c r="Y63" i="29" s="1"/>
  <c r="CB188" i="24"/>
  <c r="CF188" i="24"/>
  <c r="CB172" i="24"/>
  <c r="CF172" i="24"/>
  <c r="CB278" i="24"/>
  <c r="CF278" i="24"/>
  <c r="CB281" i="24"/>
  <c r="CF281" i="24"/>
  <c r="CB84" i="24"/>
  <c r="CF84" i="24"/>
  <c r="CB175" i="24"/>
  <c r="CF175" i="24"/>
  <c r="L110" i="2"/>
  <c r="W584" i="29"/>
  <c r="AJ583" i="29" s="1"/>
  <c r="AK583" i="29" s="1"/>
  <c r="CB54" i="24"/>
  <c r="CF54" i="24"/>
  <c r="CB256" i="24"/>
  <c r="CF256" i="24"/>
  <c r="CB150" i="24"/>
  <c r="CF150" i="24"/>
  <c r="AG576" i="29"/>
  <c r="W380" i="29"/>
  <c r="AJ380" i="29" s="1"/>
  <c r="AK380" i="29" s="1"/>
  <c r="AH591" i="29"/>
  <c r="AG483" i="29"/>
  <c r="W163" i="29"/>
  <c r="AA163" i="29" s="1"/>
  <c r="CB113" i="25"/>
  <c r="CF113" i="25"/>
  <c r="CB118" i="24"/>
  <c r="CF118" i="24"/>
  <c r="X551" i="29"/>
  <c r="Y551" i="29" s="1"/>
  <c r="X371" i="29"/>
  <c r="Y371" i="29" s="1"/>
  <c r="CB30" i="25"/>
  <c r="CF30" i="25"/>
  <c r="W225" i="29"/>
  <c r="AJ224" i="29" s="1"/>
  <c r="AK224" i="29" s="1"/>
  <c r="CB238" i="24"/>
  <c r="CF238" i="24"/>
  <c r="CB21" i="25"/>
  <c r="CF21" i="25"/>
  <c r="CB127" i="24"/>
  <c r="CF127" i="24"/>
  <c r="CB23" i="24"/>
  <c r="CF23" i="24"/>
  <c r="CB30" i="24"/>
  <c r="CF30" i="24"/>
  <c r="BY265" i="25"/>
  <c r="CA265" i="25" s="1"/>
  <c r="CB265" i="25" s="1"/>
  <c r="X536" i="29"/>
  <c r="Y536" i="29" s="1"/>
  <c r="CB232" i="24"/>
  <c r="CF232" i="24"/>
  <c r="CB126" i="24"/>
  <c r="CF126" i="24"/>
  <c r="AH485" i="29"/>
  <c r="CB78" i="24"/>
  <c r="CF78" i="24"/>
  <c r="AH159" i="29"/>
  <c r="CB62" i="24"/>
  <c r="CF62" i="24"/>
  <c r="AH445" i="29"/>
  <c r="CB243" i="24"/>
  <c r="CF243" i="24"/>
  <c r="CB61" i="24"/>
  <c r="CF61" i="24"/>
  <c r="CB137" i="24"/>
  <c r="CF137" i="24"/>
  <c r="CB117" i="24"/>
  <c r="CF117" i="24"/>
  <c r="CB225" i="24"/>
  <c r="CF225" i="24"/>
  <c r="CB14" i="24"/>
  <c r="CF14" i="24"/>
  <c r="CB14" i="25"/>
  <c r="CF14" i="25"/>
  <c r="CB312" i="24"/>
  <c r="CF312" i="24"/>
  <c r="CB206" i="24"/>
  <c r="CF206" i="24"/>
  <c r="CB66" i="24"/>
  <c r="CF66" i="24"/>
  <c r="CB6" i="24"/>
  <c r="CF6" i="24"/>
  <c r="CB217" i="24"/>
  <c r="CF217" i="24"/>
  <c r="CB6" i="25"/>
  <c r="CF6" i="25"/>
  <c r="X393" i="29"/>
  <c r="Y393" i="29" s="1"/>
  <c r="X478" i="29"/>
  <c r="Y478" i="29" s="1"/>
  <c r="X74" i="29"/>
  <c r="Y74" i="29" s="1"/>
  <c r="X66" i="29"/>
  <c r="Y66" i="29" s="1"/>
  <c r="AH374" i="29"/>
  <c r="AH304" i="29"/>
  <c r="W566" i="29"/>
  <c r="AJ565" i="29" s="1"/>
  <c r="AK565" i="29" s="1"/>
  <c r="AH271" i="29"/>
  <c r="AG148" i="29"/>
  <c r="W223" i="29"/>
  <c r="AA223" i="29" s="1"/>
  <c r="X106" i="29"/>
  <c r="Y106" i="29" s="1"/>
  <c r="AG24" i="29"/>
  <c r="X59" i="29"/>
  <c r="Y59" i="29" s="1"/>
  <c r="X602" i="29"/>
  <c r="Y602" i="29" s="1"/>
  <c r="X212" i="29"/>
  <c r="Y212" i="29" s="1"/>
  <c r="X181" i="29"/>
  <c r="Y181" i="29" s="1"/>
  <c r="W261" i="29"/>
  <c r="AA261" i="29" s="1"/>
  <c r="X206" i="29"/>
  <c r="Y206" i="29" s="1"/>
  <c r="W137" i="29"/>
  <c r="AJ137" i="29" s="1"/>
  <c r="AK137" i="29" s="1"/>
  <c r="AG279" i="29"/>
  <c r="AG248" i="29"/>
  <c r="W113" i="29"/>
  <c r="AJ112" i="29" s="1"/>
  <c r="AK112" i="29" s="1"/>
  <c r="W253" i="29"/>
  <c r="AA253" i="29" s="1"/>
  <c r="AG64" i="29"/>
  <c r="X337" i="29"/>
  <c r="Y337" i="29" s="1"/>
  <c r="CB262" i="24"/>
  <c r="CF262" i="24"/>
  <c r="CB87" i="24"/>
  <c r="CF87" i="24"/>
  <c r="CB156" i="24"/>
  <c r="CF156" i="24"/>
  <c r="AG606" i="29"/>
  <c r="CB269" i="24"/>
  <c r="CF269" i="24"/>
  <c r="CB163" i="24"/>
  <c r="CF163" i="24"/>
  <c r="AH46" i="29"/>
  <c r="X363" i="29"/>
  <c r="Y363" i="29" s="1"/>
  <c r="AG85" i="29"/>
  <c r="W19" i="29"/>
  <c r="AJ18" i="29" s="1"/>
  <c r="AK18" i="29" s="1"/>
  <c r="CB271" i="24"/>
  <c r="CF271" i="24"/>
  <c r="CB165" i="24"/>
  <c r="CF165" i="24"/>
  <c r="AH71" i="29"/>
  <c r="CB96" i="25"/>
  <c r="CF96" i="25"/>
  <c r="CB305" i="24"/>
  <c r="CF305" i="24"/>
  <c r="CB199" i="24"/>
  <c r="CF199" i="24"/>
  <c r="CB97" i="24"/>
  <c r="CF97" i="24"/>
  <c r="CB206" i="25"/>
  <c r="CF206" i="25"/>
  <c r="AG338" i="29"/>
  <c r="W108" i="29"/>
  <c r="AA108" i="29" s="1"/>
  <c r="CB161" i="24"/>
  <c r="CF161" i="24"/>
  <c r="CB267" i="24"/>
  <c r="CF267" i="24"/>
  <c r="CB73" i="24"/>
  <c r="CF73" i="24"/>
  <c r="CB147" i="25"/>
  <c r="CF147" i="25"/>
  <c r="CB56" i="24"/>
  <c r="CF56" i="24"/>
  <c r="CB151" i="24"/>
  <c r="CF151" i="24"/>
  <c r="CB177" i="25"/>
  <c r="CF177" i="25"/>
  <c r="CB316" i="24"/>
  <c r="CF316" i="24"/>
  <c r="CB210" i="24"/>
  <c r="CF210" i="24"/>
  <c r="CB198" i="25"/>
  <c r="CF198" i="25"/>
  <c r="CB173" i="25"/>
  <c r="CF173" i="25"/>
  <c r="CB192" i="25"/>
  <c r="CF192" i="25"/>
  <c r="CB182" i="24"/>
  <c r="CF182" i="24"/>
  <c r="CB288" i="24"/>
  <c r="CF288" i="24"/>
  <c r="CB80" i="24"/>
  <c r="CF80" i="24"/>
  <c r="CB208" i="24"/>
  <c r="CF208" i="24"/>
  <c r="CB174" i="25"/>
  <c r="CF174" i="25"/>
  <c r="CB193" i="24"/>
  <c r="CF193" i="24"/>
  <c r="CB299" i="24"/>
  <c r="CF299" i="24"/>
  <c r="CB88" i="24"/>
  <c r="CF88" i="24"/>
  <c r="CB89" i="25"/>
  <c r="CF89" i="25"/>
  <c r="CB104" i="24"/>
  <c r="CF104" i="24"/>
  <c r="CB308" i="24"/>
  <c r="CF308" i="24"/>
  <c r="CB202" i="24"/>
  <c r="CF202" i="24"/>
  <c r="CB204" i="25"/>
  <c r="CF204" i="25"/>
  <c r="CB297" i="24"/>
  <c r="CF297" i="24"/>
  <c r="CB82" i="25"/>
  <c r="CF82" i="25"/>
  <c r="CB180" i="24"/>
  <c r="CF180" i="24"/>
  <c r="CB286" i="24"/>
  <c r="CF286" i="24"/>
  <c r="CB81" i="24"/>
  <c r="CF81" i="24"/>
  <c r="AH604" i="29"/>
  <c r="CB204" i="24"/>
  <c r="CF204" i="24"/>
  <c r="CB310" i="24"/>
  <c r="CF310" i="24"/>
  <c r="CB190" i="25"/>
  <c r="CF190" i="25"/>
  <c r="CB98" i="24"/>
  <c r="CF98" i="24"/>
  <c r="CB306" i="24"/>
  <c r="CF306" i="24"/>
  <c r="CB200" i="24"/>
  <c r="CF200" i="24"/>
  <c r="CB179" i="25"/>
  <c r="CF179" i="25"/>
  <c r="W562" i="29"/>
  <c r="AJ562" i="29" s="1"/>
  <c r="AK562" i="29" s="1"/>
  <c r="CB203" i="24"/>
  <c r="CF203" i="24"/>
  <c r="CB309" i="24"/>
  <c r="CF309" i="24"/>
  <c r="CB307" i="24"/>
  <c r="CF307" i="24"/>
  <c r="CB201" i="24"/>
  <c r="CF201" i="24"/>
  <c r="CB103" i="24"/>
  <c r="CF103" i="24"/>
  <c r="AG266" i="29"/>
  <c r="CB62" i="25"/>
  <c r="CF62" i="25"/>
  <c r="CB71" i="25"/>
  <c r="CF71" i="25"/>
  <c r="W603" i="29"/>
  <c r="AJ602" i="29" s="1"/>
  <c r="AK602" i="29" s="1"/>
  <c r="CB104" i="25"/>
  <c r="CF104" i="25"/>
  <c r="AG511" i="29"/>
  <c r="AH203" i="29"/>
  <c r="W49" i="29"/>
  <c r="AJ48" i="29" s="1"/>
  <c r="AK48" i="29" s="1"/>
  <c r="AH543" i="29"/>
  <c r="AH477" i="29"/>
  <c r="W322" i="29"/>
  <c r="AJ322" i="29" s="1"/>
  <c r="AK322" i="29" s="1"/>
  <c r="X309" i="29"/>
  <c r="Y309" i="29" s="1"/>
  <c r="AG475" i="29"/>
  <c r="AG417" i="29"/>
  <c r="X384" i="29"/>
  <c r="Y384" i="29" s="1"/>
  <c r="AH34" i="29"/>
  <c r="W153" i="29"/>
  <c r="AJ152" i="29" s="1"/>
  <c r="AK152" i="29" s="1"/>
  <c r="X578" i="29"/>
  <c r="Y578" i="29" s="1"/>
  <c r="AH339" i="29"/>
  <c r="X220" i="29"/>
  <c r="Y220" i="29" s="1"/>
  <c r="AH577" i="29"/>
  <c r="AH466" i="29"/>
  <c r="AH22" i="29"/>
  <c r="X79" i="29"/>
  <c r="Y79" i="29" s="1"/>
  <c r="AG144" i="29"/>
  <c r="W198" i="29"/>
  <c r="AJ197" i="29" s="1"/>
  <c r="W166" i="29"/>
  <c r="AJ166" i="29" s="1"/>
  <c r="AK166" i="29" s="1"/>
  <c r="AG284" i="29"/>
  <c r="AG332" i="29"/>
  <c r="AH516" i="29"/>
  <c r="BY154" i="25"/>
  <c r="CA154" i="25" s="1"/>
  <c r="CB154" i="25" s="1"/>
  <c r="AH93" i="29"/>
  <c r="W343" i="29"/>
  <c r="AJ343" i="29" s="1"/>
  <c r="AK343" i="29" s="1"/>
  <c r="CB311" i="24"/>
  <c r="CF311" i="24"/>
  <c r="CB205" i="24"/>
  <c r="CF205" i="24"/>
  <c r="AG379" i="29"/>
  <c r="X408" i="29"/>
  <c r="Y408" i="29" s="1"/>
  <c r="AH589" i="29"/>
  <c r="CB189" i="25"/>
  <c r="CF189" i="25"/>
  <c r="CB199" i="25"/>
  <c r="CF199" i="25"/>
  <c r="AH168" i="29"/>
  <c r="X217" i="29"/>
  <c r="Y217" i="29" s="1"/>
  <c r="AG608" i="29"/>
  <c r="CB186" i="25"/>
  <c r="CF186" i="25"/>
  <c r="CB201" i="25"/>
  <c r="CF201" i="25"/>
  <c r="AG611" i="29"/>
  <c r="AG186" i="29"/>
  <c r="W207" i="29"/>
  <c r="AA207" i="29" s="1"/>
  <c r="W98" i="29"/>
  <c r="AJ97" i="29" s="1"/>
  <c r="AK97" i="29" s="1"/>
  <c r="W109" i="29"/>
  <c r="AJ109" i="29" s="1"/>
  <c r="AK109" i="29" s="1"/>
  <c r="AG252" i="29"/>
  <c r="X391" i="29"/>
  <c r="Y391" i="29" s="1"/>
  <c r="AG123" i="29"/>
  <c r="W493" i="29"/>
  <c r="AA493" i="29" s="1"/>
  <c r="AH205" i="29"/>
  <c r="X553" i="29"/>
  <c r="Y553" i="29" s="1"/>
  <c r="W557" i="29"/>
  <c r="AJ557" i="29" s="1"/>
  <c r="AK557" i="29" s="1"/>
  <c r="W571" i="29"/>
  <c r="AJ570" i="29" s="1"/>
  <c r="AK570" i="29" s="1"/>
  <c r="X241" i="29"/>
  <c r="Y241" i="29" s="1"/>
  <c r="X501" i="29"/>
  <c r="Y501" i="29" s="1"/>
  <c r="W89" i="29"/>
  <c r="AA89" i="29" s="1"/>
  <c r="AG349" i="29"/>
  <c r="W507" i="29"/>
  <c r="AJ506" i="29" s="1"/>
  <c r="AK506" i="29" s="1"/>
  <c r="AG488" i="29"/>
  <c r="X596" i="29"/>
  <c r="Y596" i="29" s="1"/>
  <c r="AH229" i="29"/>
  <c r="AG105" i="29"/>
  <c r="AH359" i="29"/>
  <c r="W115" i="29"/>
  <c r="AJ114" i="29" s="1"/>
  <c r="AH161" i="29"/>
  <c r="CB105" i="24"/>
  <c r="CF105" i="24"/>
  <c r="CB161" i="25"/>
  <c r="CF161" i="25"/>
  <c r="CB186" i="24"/>
  <c r="CF186" i="24"/>
  <c r="X367" i="29"/>
  <c r="Y367" i="29" s="1"/>
  <c r="W70" i="29"/>
  <c r="AA70" i="29" s="1"/>
  <c r="X340" i="29"/>
  <c r="Y340" i="29" s="1"/>
  <c r="X415" i="29"/>
  <c r="Y415" i="29" s="1"/>
  <c r="X370" i="29"/>
  <c r="Y370" i="29" s="1"/>
  <c r="W107" i="29"/>
  <c r="AJ106" i="29" s="1"/>
  <c r="W357" i="29"/>
  <c r="AJ357" i="29" s="1"/>
  <c r="AK357" i="29" s="1"/>
  <c r="AG204" i="29"/>
  <c r="X54" i="29"/>
  <c r="Y54" i="29" s="1"/>
  <c r="X582" i="29"/>
  <c r="Y582" i="29" s="1"/>
  <c r="X276" i="29"/>
  <c r="Y276" i="29" s="1"/>
  <c r="X151" i="29"/>
  <c r="Y151" i="29" s="1"/>
  <c r="AG365" i="29"/>
  <c r="W291" i="29"/>
  <c r="AJ290" i="29" s="1"/>
  <c r="AK290" i="29" s="1"/>
  <c r="W185" i="29"/>
  <c r="AJ185" i="29" s="1"/>
  <c r="AK185" i="29" s="1"/>
  <c r="AG560" i="29"/>
  <c r="W234" i="29"/>
  <c r="AA234" i="29" s="1"/>
  <c r="W326" i="29"/>
  <c r="AJ325" i="29" s="1"/>
  <c r="AK325" i="29" s="1"/>
  <c r="X457" i="29"/>
  <c r="Y457" i="29" s="1"/>
  <c r="X257" i="29"/>
  <c r="Y257" i="29" s="1"/>
  <c r="W122" i="29"/>
  <c r="AJ121" i="29" s="1"/>
  <c r="AK121" i="29" s="1"/>
  <c r="AG294" i="29"/>
  <c r="W598" i="29"/>
  <c r="AJ598" i="29" s="1"/>
  <c r="AK598" i="29" s="1"/>
  <c r="AH302" i="29"/>
  <c r="AG362" i="29"/>
  <c r="X580" i="29"/>
  <c r="Y580" i="29" s="1"/>
  <c r="X184" i="29"/>
  <c r="Y184" i="29" s="1"/>
  <c r="AG532" i="29"/>
  <c r="X613" i="29"/>
  <c r="Y613" i="29" s="1"/>
  <c r="X327" i="29"/>
  <c r="Y327" i="29" s="1"/>
  <c r="X80" i="29"/>
  <c r="Y80" i="29" s="1"/>
  <c r="AG45" i="29"/>
  <c r="AH400" i="29"/>
  <c r="AH470" i="29"/>
  <c r="AH17" i="29"/>
  <c r="AH81" i="29"/>
  <c r="W330" i="29"/>
  <c r="AA330" i="29" s="1"/>
  <c r="AG325" i="29"/>
  <c r="W13" i="29"/>
  <c r="AA13" i="29" s="1"/>
  <c r="AG111" i="29"/>
  <c r="W373" i="29"/>
  <c r="AJ372" i="29" s="1"/>
  <c r="AK372" i="29" s="1"/>
  <c r="AG192" i="29"/>
  <c r="W547" i="29"/>
  <c r="AJ546" i="29" s="1"/>
  <c r="AK546" i="29" s="1"/>
  <c r="X292" i="29"/>
  <c r="Y292" i="29" s="1"/>
  <c r="W147" i="29"/>
  <c r="AA147" i="29" s="1"/>
  <c r="AH214" i="29"/>
  <c r="AH333" i="29"/>
  <c r="X512" i="29"/>
  <c r="Y512" i="29" s="1"/>
  <c r="W433" i="29"/>
  <c r="AA433" i="29" s="1"/>
  <c r="W498" i="29"/>
  <c r="AA498" i="29" s="1"/>
  <c r="AG609" i="29"/>
  <c r="AH358" i="29"/>
  <c r="X42" i="29"/>
  <c r="Y42" i="29" s="1"/>
  <c r="W429" i="29"/>
  <c r="AA429" i="29" s="1"/>
  <c r="X169" i="29"/>
  <c r="Y169" i="29" s="1"/>
  <c r="X317" i="29"/>
  <c r="Y317" i="29" s="1"/>
  <c r="X331" i="29"/>
  <c r="Y331" i="29" s="1"/>
  <c r="AH612" i="29"/>
  <c r="AH256" i="29"/>
  <c r="AH127" i="29"/>
  <c r="W465" i="29"/>
  <c r="AJ464" i="29" s="1"/>
  <c r="AK464" i="29" s="1"/>
  <c r="X342" i="29"/>
  <c r="Y342" i="29" s="1"/>
  <c r="X334" i="29"/>
  <c r="Y334" i="29" s="1"/>
  <c r="X57" i="29"/>
  <c r="Y57" i="29" s="1"/>
  <c r="AH558" i="29"/>
  <c r="AG38" i="29"/>
  <c r="X141" i="29"/>
  <c r="Y141" i="29" s="1"/>
  <c r="X48" i="29"/>
  <c r="Y48" i="29" s="1"/>
  <c r="X505" i="29"/>
  <c r="Y505" i="29" s="1"/>
  <c r="X233" i="29"/>
  <c r="Y233" i="29" s="1"/>
  <c r="W348" i="29"/>
  <c r="AA348" i="29" s="1"/>
  <c r="X471" i="29"/>
  <c r="Y471" i="29" s="1"/>
  <c r="AH397" i="29"/>
  <c r="X258" i="29"/>
  <c r="Y258" i="29" s="1"/>
  <c r="X293" i="29"/>
  <c r="Y293" i="29" s="1"/>
  <c r="AH605" i="29"/>
  <c r="W116" i="29"/>
  <c r="AH87" i="29"/>
  <c r="W351" i="29"/>
  <c r="AA351" i="29" s="1"/>
  <c r="AH175" i="29"/>
  <c r="AH572" i="29"/>
  <c r="AG230" i="29"/>
  <c r="X35" i="29"/>
  <c r="Y35" i="29" s="1"/>
  <c r="W526" i="29"/>
  <c r="AA526" i="29" s="1"/>
  <c r="W216" i="29"/>
  <c r="AA216" i="29" s="1"/>
  <c r="X377" i="29"/>
  <c r="Y377" i="29" s="1"/>
  <c r="W219" i="29"/>
  <c r="AJ219" i="29" s="1"/>
  <c r="AK219" i="29" s="1"/>
  <c r="W341" i="29"/>
  <c r="AJ341" i="29" s="1"/>
  <c r="AK341" i="29" s="1"/>
  <c r="W289" i="29"/>
  <c r="AJ288" i="29" s="1"/>
  <c r="W156" i="29"/>
  <c r="AJ155" i="29" s="1"/>
  <c r="AK155" i="29" s="1"/>
  <c r="W254" i="29"/>
  <c r="AJ254" i="29" s="1"/>
  <c r="AK254" i="29" s="1"/>
  <c r="AH597" i="29"/>
  <c r="AH235" i="29"/>
  <c r="AG513" i="29"/>
  <c r="W187" i="29"/>
  <c r="AA187" i="29" s="1"/>
  <c r="W52" i="29"/>
  <c r="AJ52" i="29" s="1"/>
  <c r="AK52" i="29" s="1"/>
  <c r="W529" i="29"/>
  <c r="AA529" i="29" s="1"/>
  <c r="W587" i="29"/>
  <c r="AA587" i="29" s="1"/>
  <c r="AG246" i="29"/>
  <c r="AG73" i="29"/>
  <c r="X586" i="29"/>
  <c r="Y586" i="29" s="1"/>
  <c r="AH473" i="29"/>
  <c r="AH20" i="29"/>
  <c r="X563" i="29"/>
  <c r="Y563" i="29" s="1"/>
  <c r="AH510" i="29"/>
  <c r="AG530" i="29"/>
  <c r="AG117" i="29"/>
  <c r="AH484" i="29"/>
  <c r="AG104" i="29"/>
  <c r="CB245" i="24"/>
  <c r="CF245" i="24"/>
  <c r="CB139" i="24"/>
  <c r="CF139" i="24"/>
  <c r="X299" i="29"/>
  <c r="Y299" i="29" s="1"/>
  <c r="AH171" i="29"/>
  <c r="AG165" i="29"/>
  <c r="W270" i="29"/>
  <c r="AJ269" i="29" s="1"/>
  <c r="AH136" i="29"/>
  <c r="AG390" i="29"/>
  <c r="AG594" i="29"/>
  <c r="W140" i="29"/>
  <c r="AJ140" i="29" s="1"/>
  <c r="AK140" i="29" s="1"/>
  <c r="AH320" i="29"/>
  <c r="X303" i="29"/>
  <c r="Y303" i="29" s="1"/>
  <c r="W347" i="29"/>
  <c r="AH454" i="29"/>
  <c r="W480" i="29"/>
  <c r="AJ479" i="29" s="1"/>
  <c r="AK479" i="29" s="1"/>
  <c r="W222" i="29"/>
  <c r="AA222" i="29" s="1"/>
  <c r="AG194" i="29"/>
  <c r="AG387" i="29"/>
  <c r="W463" i="29"/>
  <c r="AA463" i="29" s="1"/>
  <c r="AH361" i="29"/>
  <c r="X259" i="29"/>
  <c r="Y259" i="29" s="1"/>
  <c r="AG515" i="29"/>
  <c r="AG555" i="29"/>
  <c r="AH96" i="29"/>
  <c r="W25" i="29"/>
  <c r="AA25" i="29" s="1"/>
  <c r="X30" i="29"/>
  <c r="Y30" i="29" s="1"/>
  <c r="W84" i="29"/>
  <c r="AJ84" i="29" s="1"/>
  <c r="AK84" i="29" s="1"/>
  <c r="AG559" i="29"/>
  <c r="W41" i="29"/>
  <c r="AA41" i="29" s="1"/>
  <c r="W210" i="29"/>
  <c r="AA210" i="29" s="1"/>
  <c r="X535" i="29"/>
  <c r="Y535" i="29" s="1"/>
  <c r="W406" i="29"/>
  <c r="AJ406" i="29" s="1"/>
  <c r="AK406" i="29" s="1"/>
  <c r="W422" i="29"/>
  <c r="AA422" i="29" s="1"/>
  <c r="X53" i="29"/>
  <c r="Y53" i="29" s="1"/>
  <c r="AG50" i="29"/>
  <c r="X499" i="29"/>
  <c r="Y499" i="29" s="1"/>
  <c r="X40" i="29"/>
  <c r="Y40" i="29" s="1"/>
  <c r="AG460" i="29"/>
  <c r="W90" i="29"/>
  <c r="AA90" i="29" s="1"/>
  <c r="AH152" i="29"/>
  <c r="X503" i="29"/>
  <c r="Y503" i="29" s="1"/>
  <c r="AH355" i="29"/>
  <c r="W154" i="29"/>
  <c r="AJ154" i="29" s="1"/>
  <c r="AK154" i="29" s="1"/>
  <c r="AH468" i="29"/>
  <c r="AG324" i="29"/>
  <c r="W133" i="29"/>
  <c r="AJ133" i="29" s="1"/>
  <c r="AK133" i="29" s="1"/>
  <c r="AH190" i="29"/>
  <c r="AH295" i="29"/>
  <c r="X162" i="29"/>
  <c r="Y162" i="29" s="1"/>
  <c r="W610" i="29"/>
  <c r="AJ610" i="29" s="1"/>
  <c r="AK610" i="29" s="1"/>
  <c r="X306" i="29"/>
  <c r="Y306" i="29" s="1"/>
  <c r="AH138" i="29"/>
  <c r="AG88" i="29"/>
  <c r="X178" i="29"/>
  <c r="Y178" i="29" s="1"/>
  <c r="X414" i="29"/>
  <c r="Y414" i="29" s="1"/>
  <c r="AG180" i="29"/>
  <c r="X167" i="29"/>
  <c r="Y167" i="29" s="1"/>
  <c r="AG574" i="29"/>
  <c r="AG453" i="29"/>
  <c r="AH443" i="29"/>
  <c r="X402" i="29"/>
  <c r="Y402" i="29" s="1"/>
  <c r="X404" i="29"/>
  <c r="Y404" i="29" s="1"/>
  <c r="AH345" i="29"/>
  <c r="X43" i="29"/>
  <c r="Y43" i="29" s="1"/>
  <c r="X462" i="29"/>
  <c r="Y462" i="29" s="1"/>
  <c r="W448" i="29"/>
  <c r="AJ448" i="29" s="1"/>
  <c r="AK448" i="29" s="1"/>
  <c r="W439" i="29"/>
  <c r="AJ438" i="29" s="1"/>
  <c r="AK438" i="29" s="1"/>
  <c r="W164" i="29"/>
  <c r="AA164" i="29" s="1"/>
  <c r="AH385" i="29"/>
  <c r="X376" i="29"/>
  <c r="Y376" i="29" s="1"/>
  <c r="X274" i="29"/>
  <c r="Y274" i="29" s="1"/>
  <c r="AH236" i="29"/>
  <c r="AG139" i="29"/>
  <c r="AG100" i="29"/>
  <c r="W556" i="29"/>
  <c r="AA556" i="29" s="1"/>
  <c r="W130" i="29"/>
  <c r="AJ129" i="29" s="1"/>
  <c r="AK129" i="29" s="1"/>
  <c r="X497" i="29"/>
  <c r="Y497" i="29" s="1"/>
  <c r="X476" i="29"/>
  <c r="Y476" i="29" s="1"/>
  <c r="AG540" i="29"/>
  <c r="AH346" i="29"/>
  <c r="AH354" i="29"/>
  <c r="CB209" i="24"/>
  <c r="CF209" i="24"/>
  <c r="CB315" i="24"/>
  <c r="CF315" i="24"/>
  <c r="X368" i="29"/>
  <c r="Y368" i="29" s="1"/>
  <c r="X268" i="29"/>
  <c r="Y268" i="29" s="1"/>
  <c r="W401" i="29"/>
  <c r="AJ401" i="29" s="1"/>
  <c r="AK401" i="29" s="1"/>
  <c r="AG33" i="29"/>
  <c r="AG459" i="29"/>
  <c r="W336" i="29"/>
  <c r="AJ336" i="29" s="1"/>
  <c r="AK336" i="29" s="1"/>
  <c r="X554" i="29"/>
  <c r="Y554" i="29" s="1"/>
  <c r="AG86" i="29"/>
  <c r="AH224" i="29"/>
  <c r="X424" i="29"/>
  <c r="Y424" i="29" s="1"/>
  <c r="X101" i="29"/>
  <c r="Y101" i="29" s="1"/>
  <c r="X413" i="29"/>
  <c r="Y413" i="29" s="1"/>
  <c r="AG316" i="29"/>
  <c r="W218" i="29"/>
  <c r="AA218" i="29" s="1"/>
  <c r="X298" i="29"/>
  <c r="Y298" i="29" s="1"/>
  <c r="AH590" i="29"/>
  <c r="AH494" i="29"/>
  <c r="X308" i="29"/>
  <c r="Y308" i="29" s="1"/>
  <c r="X29" i="29"/>
  <c r="Y29" i="29" s="1"/>
  <c r="W170" i="29"/>
  <c r="AA170" i="29" s="1"/>
  <c r="AH486" i="29"/>
  <c r="W177" i="29"/>
  <c r="AA177" i="29" s="1"/>
  <c r="W514" i="29"/>
  <c r="AJ514" i="29" s="1"/>
  <c r="AK514" i="29" s="1"/>
  <c r="AH435" i="29"/>
  <c r="W242" i="29"/>
  <c r="AJ241" i="29" s="1"/>
  <c r="AH546" i="29"/>
  <c r="AH581" i="29"/>
  <c r="AH118" i="29"/>
  <c r="AH239" i="29"/>
  <c r="W474" i="29"/>
  <c r="AA474" i="29" s="1"/>
  <c r="X44" i="29"/>
  <c r="Y44" i="29" s="1"/>
  <c r="AH208" i="29"/>
  <c r="X567" i="29"/>
  <c r="Y567" i="29" s="1"/>
  <c r="AG286" i="29"/>
  <c r="X552" i="29"/>
  <c r="Y552" i="29" s="1"/>
  <c r="W502" i="29"/>
  <c r="AJ501" i="29" s="1"/>
  <c r="AK501" i="29" s="1"/>
  <c r="X428" i="29"/>
  <c r="Y428" i="29" s="1"/>
  <c r="X344" i="29"/>
  <c r="Y344" i="29" s="1"/>
  <c r="AH188" i="29"/>
  <c r="AH467" i="29"/>
  <c r="CB241" i="24"/>
  <c r="CF241" i="24"/>
  <c r="CB284" i="24"/>
  <c r="CF284" i="24"/>
  <c r="CB178" i="24"/>
  <c r="CF178" i="24"/>
  <c r="CB291" i="24"/>
  <c r="CF291" i="24"/>
  <c r="X451" i="29"/>
  <c r="Y451" i="29" s="1"/>
  <c r="CB185" i="24"/>
  <c r="CF185" i="24"/>
  <c r="X329" i="29"/>
  <c r="Y329" i="29" s="1"/>
  <c r="W522" i="29"/>
  <c r="AA522" i="29" s="1"/>
  <c r="AH321" i="29"/>
  <c r="AG565" i="29"/>
  <c r="AG319" i="29"/>
  <c r="W150" i="29"/>
  <c r="AJ150" i="29" s="1"/>
  <c r="AK150" i="29" s="1"/>
  <c r="AH267" i="29"/>
  <c r="AG120" i="29"/>
  <c r="W297" i="29"/>
  <c r="AJ297" i="29" s="1"/>
  <c r="AK297" i="29" s="1"/>
  <c r="W221" i="29"/>
  <c r="AA221" i="29" s="1"/>
  <c r="AG490" i="29"/>
  <c r="X114" i="29"/>
  <c r="Y114" i="29" s="1"/>
  <c r="W412" i="29"/>
  <c r="AJ412" i="29" s="1"/>
  <c r="AK412" i="29" s="1"/>
  <c r="X69" i="29"/>
  <c r="Y69" i="29" s="1"/>
  <c r="AG128" i="29"/>
  <c r="AH39" i="29"/>
  <c r="X479" i="29"/>
  <c r="Y479" i="29" s="1"/>
  <c r="X388" i="29"/>
  <c r="Y388" i="29" s="1"/>
  <c r="AG447" i="29"/>
  <c r="X418" i="29"/>
  <c r="Y418" i="29" s="1"/>
  <c r="X197" i="29"/>
  <c r="Y197" i="29" s="1"/>
  <c r="AG440" i="29"/>
  <c r="W350" i="29"/>
  <c r="W183" i="29"/>
  <c r="AA183" i="29" s="1"/>
  <c r="AG92" i="29"/>
  <c r="AH550" i="29"/>
  <c r="W142" i="29"/>
  <c r="AJ142" i="29" s="1"/>
  <c r="AK142" i="29" s="1"/>
  <c r="AG426" i="29"/>
  <c r="AG527" i="29"/>
  <c r="X364" i="29"/>
  <c r="Y364" i="29" s="1"/>
  <c r="AH28" i="29"/>
  <c r="AG201" i="29"/>
  <c r="X250" i="29"/>
  <c r="Y250" i="29" s="1"/>
  <c r="X272" i="29"/>
  <c r="Y272" i="29" s="1"/>
  <c r="W149" i="29"/>
  <c r="AG264" i="29"/>
  <c r="AG260" i="29"/>
  <c r="AG103" i="29"/>
  <c r="W588" i="29"/>
  <c r="AA588" i="29" s="1"/>
  <c r="AG32" i="29"/>
  <c r="X472" i="29"/>
  <c r="Y472" i="29" s="1"/>
  <c r="AH416" i="29"/>
  <c r="AG398" i="29"/>
  <c r="AH125" i="29"/>
  <c r="X461" i="29"/>
  <c r="Y461" i="29" s="1"/>
  <c r="X281" i="29"/>
  <c r="Y281" i="29" s="1"/>
  <c r="X423" i="29"/>
  <c r="Y423" i="29" s="1"/>
  <c r="X409" i="29"/>
  <c r="Y409" i="29" s="1"/>
  <c r="X548" i="29"/>
  <c r="Y548" i="29" s="1"/>
  <c r="X378" i="29"/>
  <c r="Y378" i="29" s="1"/>
  <c r="AG455" i="29"/>
  <c r="AG561" i="29"/>
  <c r="AH482" i="29"/>
  <c r="W356" i="29"/>
  <c r="AJ355" i="29" s="1"/>
  <c r="AK355" i="29" s="1"/>
  <c r="W410" i="29"/>
  <c r="AA410" i="29" s="1"/>
  <c r="W528" i="29"/>
  <c r="X395" i="29"/>
  <c r="Y395" i="29" s="1"/>
  <c r="AG119" i="29"/>
  <c r="AH76" i="29"/>
  <c r="X593" i="29"/>
  <c r="Y593" i="29" s="1"/>
  <c r="AH237" i="29"/>
  <c r="AH538" i="29"/>
  <c r="W383" i="29"/>
  <c r="AJ383" i="29" s="1"/>
  <c r="AK383" i="29" s="1"/>
  <c r="W312" i="29"/>
  <c r="AJ311" i="29" s="1"/>
  <c r="W251" i="29"/>
  <c r="AA251" i="29" s="1"/>
  <c r="AG489" i="29"/>
  <c r="AG366" i="29"/>
  <c r="AH438" i="29"/>
  <c r="AH403" i="29"/>
  <c r="AG112" i="29"/>
  <c r="AG277" i="29"/>
  <c r="W430" i="29"/>
  <c r="AA430" i="29" s="1"/>
  <c r="AG583" i="29"/>
  <c r="AG72" i="29"/>
  <c r="AG232" i="29"/>
  <c r="X575" i="29"/>
  <c r="Y575" i="29" s="1"/>
  <c r="AH135" i="29"/>
  <c r="AG520" i="29"/>
  <c r="W23" i="29"/>
  <c r="AA23" i="29" s="1"/>
  <c r="AH77" i="29"/>
  <c r="X273" i="29"/>
  <c r="Y273" i="29" s="1"/>
  <c r="W132" i="29"/>
  <c r="AA132" i="29" s="1"/>
  <c r="AG569" i="29"/>
  <c r="AH283" i="29"/>
  <c r="AH446" i="29"/>
  <c r="W434" i="29"/>
  <c r="AA434" i="29" s="1"/>
  <c r="X469" i="29"/>
  <c r="Y469" i="29" s="1"/>
  <c r="AH592" i="29"/>
  <c r="X262" i="29"/>
  <c r="Y262" i="29" s="1"/>
  <c r="X94" i="29"/>
  <c r="Y94" i="29" s="1"/>
  <c r="W301" i="29"/>
  <c r="AJ301" i="29" s="1"/>
  <c r="AK301" i="29" s="1"/>
  <c r="AH275" i="29"/>
  <c r="W240" i="29"/>
  <c r="AJ240" i="29" s="1"/>
  <c r="AK240" i="29" s="1"/>
  <c r="W432" i="29"/>
  <c r="AA432" i="29" s="1"/>
  <c r="AG146" i="29"/>
  <c r="AG157" i="29"/>
  <c r="AH65" i="29"/>
  <c r="AG449" i="29"/>
  <c r="X411" i="29"/>
  <c r="Y411" i="29" s="1"/>
  <c r="AG143" i="29"/>
  <c r="W199" i="29"/>
  <c r="AA199" i="29" s="1"/>
  <c r="W375" i="29"/>
  <c r="AJ375" i="29" s="1"/>
  <c r="AK375" i="29" s="1"/>
  <c r="AG524" i="29"/>
  <c r="AG202" i="29"/>
  <c r="AG145" i="29"/>
  <c r="X436" i="29"/>
  <c r="Y436" i="29" s="1"/>
  <c r="X129" i="29"/>
  <c r="Y129" i="29" s="1"/>
  <c r="AG290" i="29"/>
  <c r="W75" i="29"/>
  <c r="AJ75" i="29" s="1"/>
  <c r="AK75" i="29" s="1"/>
  <c r="AG523" i="29"/>
  <c r="W542" i="29"/>
  <c r="AA542" i="29" s="1"/>
  <c r="AH481" i="29"/>
  <c r="X307" i="29"/>
  <c r="Y307" i="29" s="1"/>
  <c r="AH407" i="29"/>
  <c r="X51" i="29"/>
  <c r="Y51" i="29" s="1"/>
  <c r="AG244" i="29"/>
  <c r="W56" i="29"/>
  <c r="AA56" i="29" s="1"/>
  <c r="X539" i="29"/>
  <c r="Y539" i="29" s="1"/>
  <c r="X228" i="29"/>
  <c r="Y228" i="29" s="1"/>
  <c r="AH249" i="29"/>
  <c r="X21" i="29"/>
  <c r="Y21" i="29" s="1"/>
  <c r="AG172" i="29"/>
  <c r="W91" i="29"/>
  <c r="W573" i="29"/>
  <c r="AJ573" i="29" s="1"/>
  <c r="AK573" i="29" s="1"/>
  <c r="AG500" i="29"/>
  <c r="W315" i="29"/>
  <c r="AA315" i="29" s="1"/>
  <c r="W492" i="29"/>
  <c r="W305" i="29"/>
  <c r="AJ305" i="29" s="1"/>
  <c r="AK305" i="29" s="1"/>
  <c r="AG195" i="29"/>
  <c r="AG265" i="29"/>
  <c r="AH392" i="29"/>
  <c r="W99" i="29"/>
  <c r="AJ99" i="29" s="1"/>
  <c r="AK99" i="29" s="1"/>
  <c r="X263" i="29"/>
  <c r="Y263" i="29" s="1"/>
  <c r="X14" i="29"/>
  <c r="Y14" i="29" s="1"/>
  <c r="X579" i="29"/>
  <c r="Y579" i="29" s="1"/>
  <c r="AH394" i="29"/>
  <c r="W179" i="29"/>
  <c r="AJ178" i="29" s="1"/>
  <c r="AK178" i="29" s="1"/>
  <c r="X211" i="29"/>
  <c r="Y211" i="29" s="1"/>
  <c r="X160" i="29"/>
  <c r="Y160" i="29" s="1"/>
  <c r="X487" i="29"/>
  <c r="Y487" i="29" s="1"/>
  <c r="X399" i="29"/>
  <c r="Y399" i="29" s="1"/>
  <c r="W382" i="29"/>
  <c r="AJ381" i="29" s="1"/>
  <c r="AK381" i="29" s="1"/>
  <c r="X519" i="29"/>
  <c r="Y519" i="29" s="1"/>
  <c r="X517" i="29"/>
  <c r="Y517" i="29" s="1"/>
  <c r="AG226" i="29"/>
  <c r="AH102" i="29"/>
  <c r="W15" i="29"/>
  <c r="AA15" i="29" s="1"/>
  <c r="W278" i="29"/>
  <c r="AJ277" i="29" s="1"/>
  <c r="AK277" i="29" s="1"/>
  <c r="AG314" i="29"/>
  <c r="AG255" i="29"/>
  <c r="W280" i="29"/>
  <c r="AA280" i="29" s="1"/>
  <c r="AG381" i="29"/>
  <c r="X496" i="29"/>
  <c r="Y496" i="29" s="1"/>
  <c r="W335" i="29"/>
  <c r="W353" i="29"/>
  <c r="AA353" i="29" s="1"/>
  <c r="AH386" i="29"/>
  <c r="AH427" i="29"/>
  <c r="W595" i="29"/>
  <c r="AA595" i="29" s="1"/>
  <c r="X570" i="29"/>
  <c r="Y570" i="29" s="1"/>
  <c r="X419" i="29"/>
  <c r="Y419" i="29" s="1"/>
  <c r="W450" i="29"/>
  <c r="AJ450" i="29" s="1"/>
  <c r="AK450" i="29" s="1"/>
  <c r="AH313" i="29"/>
  <c r="W213" i="29"/>
  <c r="AA213" i="29" s="1"/>
  <c r="X600" i="29"/>
  <c r="Y600" i="29" s="1"/>
  <c r="AG568" i="29"/>
  <c r="AH196" i="29"/>
  <c r="AH47" i="29"/>
  <c r="X68" i="29"/>
  <c r="Y68" i="29" s="1"/>
  <c r="W245" i="29"/>
  <c r="AJ245" i="29" s="1"/>
  <c r="AK245" i="29" s="1"/>
  <c r="AH131" i="29"/>
  <c r="X126" i="29"/>
  <c r="Y126" i="29" s="1"/>
  <c r="X396" i="29"/>
  <c r="Y396" i="29" s="1"/>
  <c r="AH134" i="29"/>
  <c r="W421" i="29"/>
  <c r="X36" i="29"/>
  <c r="Y36" i="29" s="1"/>
  <c r="X458" i="29"/>
  <c r="Y458" i="29" s="1"/>
  <c r="AG318" i="29"/>
  <c r="AH405" i="29"/>
  <c r="AG209" i="29"/>
  <c r="AH456" i="29"/>
  <c r="AH243" i="29"/>
  <c r="X601" i="29"/>
  <c r="Y601" i="29" s="1"/>
  <c r="AG121" i="29"/>
  <c r="W444" i="29"/>
  <c r="AJ443" i="29" s="1"/>
  <c r="AK443" i="29" s="1"/>
  <c r="AG389" i="29"/>
  <c r="AG518" i="29"/>
  <c r="W310" i="29"/>
  <c r="AJ310" i="29" s="1"/>
  <c r="AK310" i="29" s="1"/>
  <c r="X67" i="29"/>
  <c r="Y67" i="29" s="1"/>
  <c r="X215" i="29"/>
  <c r="Y215" i="29" s="1"/>
  <c r="W37" i="29"/>
  <c r="AJ36" i="29" s="1"/>
  <c r="AK36" i="29" s="1"/>
  <c r="X191" i="29"/>
  <c r="Y191" i="29" s="1"/>
  <c r="W525" i="29"/>
  <c r="AH506" i="29"/>
  <c r="X425" i="29"/>
  <c r="Y425" i="29" s="1"/>
  <c r="X282" i="29"/>
  <c r="Y282" i="29" s="1"/>
  <c r="AG504" i="29"/>
  <c r="W369" i="29"/>
  <c r="AA369" i="29" s="1"/>
  <c r="X311" i="29"/>
  <c r="Y311" i="29" s="1"/>
  <c r="X227" i="29"/>
  <c r="Y227" i="29" s="1"/>
  <c r="AH27" i="29"/>
  <c r="AG173" i="29"/>
  <c r="AG55" i="29"/>
  <c r="W26" i="29"/>
  <c r="X83" i="29"/>
  <c r="Y83" i="29" s="1"/>
  <c r="AG158" i="29"/>
  <c r="AH16" i="29"/>
  <c r="X182" i="29"/>
  <c r="Y182" i="29" s="1"/>
  <c r="W533" i="29"/>
  <c r="AJ532" i="29" s="1"/>
  <c r="AK532" i="29" s="1"/>
  <c r="W200" i="29"/>
  <c r="AJ200" i="29" s="1"/>
  <c r="AK200" i="29" s="1"/>
  <c r="X372" i="29"/>
  <c r="Y372" i="29" s="1"/>
  <c r="AH300" i="29"/>
  <c r="X549" i="29"/>
  <c r="Y549" i="29" s="1"/>
  <c r="AH95" i="29"/>
  <c r="X420" i="29"/>
  <c r="Y420" i="29" s="1"/>
  <c r="AG31" i="29"/>
  <c r="X491" i="29"/>
  <c r="Y491" i="29" s="1"/>
  <c r="AG287" i="29"/>
  <c r="W531" i="29"/>
  <c r="AJ531" i="29" s="1"/>
  <c r="AK531" i="29" s="1"/>
  <c r="X607" i="29"/>
  <c r="Y607" i="29" s="1"/>
  <c r="AH545" i="29"/>
  <c r="X62" i="29"/>
  <c r="Y62" i="29" s="1"/>
  <c r="X269" i="29"/>
  <c r="Y269" i="29" s="1"/>
  <c r="CB170" i="25"/>
  <c r="CF170" i="25"/>
  <c r="CB170" i="24"/>
  <c r="CF170" i="24"/>
  <c r="CB276" i="24"/>
  <c r="CF276" i="24"/>
  <c r="W360" i="29"/>
  <c r="AJ359" i="29" s="1"/>
  <c r="AK359" i="29" s="1"/>
  <c r="CB166" i="24"/>
  <c r="CF166" i="24"/>
  <c r="CB272" i="24"/>
  <c r="CF272" i="24"/>
  <c r="CB102" i="24"/>
  <c r="CF102" i="24"/>
  <c r="W441" i="29"/>
  <c r="AA441" i="29" s="1"/>
  <c r="CB92" i="25"/>
  <c r="CF92" i="25"/>
  <c r="CB92" i="24"/>
  <c r="CF92" i="24"/>
  <c r="AH176" i="29"/>
  <c r="W82" i="29"/>
  <c r="AA82" i="29" s="1"/>
  <c r="AG564" i="29"/>
  <c r="AG296" i="29"/>
  <c r="W431" i="29"/>
  <c r="AA431" i="29" s="1"/>
  <c r="X247" i="29"/>
  <c r="Y247" i="29" s="1"/>
  <c r="CB268" i="24"/>
  <c r="CF268" i="24"/>
  <c r="CB157" i="24"/>
  <c r="CF157" i="24"/>
  <c r="CB263" i="24"/>
  <c r="CF263" i="24"/>
  <c r="CB79" i="24"/>
  <c r="CF79" i="24"/>
  <c r="CB274" i="24"/>
  <c r="CF274" i="24"/>
  <c r="CB168" i="24"/>
  <c r="CF168" i="24"/>
  <c r="CB285" i="24"/>
  <c r="CF285" i="24"/>
  <c r="CB179" i="24"/>
  <c r="CF179" i="24"/>
  <c r="W495" i="29"/>
  <c r="AJ494" i="29" s="1"/>
  <c r="AK494" i="29" s="1"/>
  <c r="X288" i="29"/>
  <c r="Y288" i="29" s="1"/>
  <c r="AG534" i="29"/>
  <c r="BY237" i="25"/>
  <c r="CA237" i="25" s="1"/>
  <c r="CB237" i="25" s="1"/>
  <c r="BL237" i="25"/>
  <c r="BK237" i="25"/>
  <c r="AT212" i="25"/>
  <c r="AY212" i="25" s="1"/>
  <c r="AU212" i="25"/>
  <c r="BY77" i="25"/>
  <c r="CA77" i="25" s="1"/>
  <c r="BL77" i="25"/>
  <c r="CB173" i="24"/>
  <c r="CF173" i="24"/>
  <c r="CB74" i="24"/>
  <c r="CF74" i="24"/>
  <c r="AA599" i="29"/>
  <c r="AJ58" i="29"/>
  <c r="AK58" i="29" s="1"/>
  <c r="AA59" i="29"/>
  <c r="AA201" i="29"/>
  <c r="BY72" i="25"/>
  <c r="CA72" i="25" s="1"/>
  <c r="BL72" i="25"/>
  <c r="AA325" i="29"/>
  <c r="AJ324" i="29"/>
  <c r="AK324" i="29" s="1"/>
  <c r="BL146" i="25"/>
  <c r="BY146" i="25"/>
  <c r="CA146" i="25" s="1"/>
  <c r="CB146" i="25" s="1"/>
  <c r="BK146" i="25"/>
  <c r="AA460" i="29"/>
  <c r="AJ459" i="29"/>
  <c r="AK459" i="29" s="1"/>
  <c r="AJ54" i="29"/>
  <c r="AK54" i="29" s="1"/>
  <c r="AA55" i="29"/>
  <c r="BL41" i="25"/>
  <c r="BY41" i="25"/>
  <c r="CA41" i="25" s="1"/>
  <c r="CB41" i="25" s="1"/>
  <c r="AJ119" i="29"/>
  <c r="AK119" i="29" s="1"/>
  <c r="AA120" i="29"/>
  <c r="AA445" i="29"/>
  <c r="AJ258" i="29"/>
  <c r="AK258" i="29" s="1"/>
  <c r="AA259" i="29"/>
  <c r="AA148" i="29"/>
  <c r="BL125" i="25"/>
  <c r="BY125" i="25"/>
  <c r="CA125" i="25" s="1"/>
  <c r="BK125" i="25"/>
  <c r="AA490" i="29"/>
  <c r="AJ489" i="29"/>
  <c r="AK489" i="29" s="1"/>
  <c r="AA435" i="29"/>
  <c r="AA277" i="29"/>
  <c r="AJ276" i="29"/>
  <c r="AK276" i="29" s="1"/>
  <c r="AJ214" i="29"/>
  <c r="AK214" i="29" s="1"/>
  <c r="AA215" i="29"/>
  <c r="AA246" i="29"/>
  <c r="AA596" i="29"/>
  <c r="AA63" i="29"/>
  <c r="AJ62" i="29"/>
  <c r="AK62" i="29" s="1"/>
  <c r="AA521" i="29"/>
  <c r="AJ520" i="29"/>
  <c r="AK520" i="29" s="1"/>
  <c r="BY119" i="25"/>
  <c r="CA119" i="25" s="1"/>
  <c r="CB119" i="25" s="1"/>
  <c r="BL119" i="25"/>
  <c r="BK119" i="25"/>
  <c r="AJ202" i="29"/>
  <c r="AK202" i="29" s="1"/>
  <c r="AA203" i="29"/>
  <c r="BN316" i="24"/>
  <c r="AJ313" i="29"/>
  <c r="AK313" i="29" s="1"/>
  <c r="AA314" i="29"/>
  <c r="AJ339" i="29"/>
  <c r="AK339" i="29" s="1"/>
  <c r="AA340" i="29"/>
  <c r="AA38" i="29"/>
  <c r="AA64" i="29"/>
  <c r="AJ63" i="29"/>
  <c r="AK63" i="29" s="1"/>
  <c r="AJ168" i="29"/>
  <c r="AK168" i="29" s="1"/>
  <c r="AA169" i="29"/>
  <c r="AA224" i="29"/>
  <c r="AA211" i="29"/>
  <c r="AJ30" i="29"/>
  <c r="AK30" i="29" s="1"/>
  <c r="AA31" i="29"/>
  <c r="BL75" i="25"/>
  <c r="BY75" i="25"/>
  <c r="CA75" i="25" s="1"/>
  <c r="CB75" i="25" s="1"/>
  <c r="BY163" i="25"/>
  <c r="CA163" i="25" s="1"/>
  <c r="BL163" i="25"/>
  <c r="BK163" i="25"/>
  <c r="BY24" i="25"/>
  <c r="CA24" i="25" s="1"/>
  <c r="CB24" i="25" s="1"/>
  <c r="BL24" i="25"/>
  <c r="AA100" i="29"/>
  <c r="AA576" i="29"/>
  <c r="AJ575" i="29"/>
  <c r="AK575" i="29" s="1"/>
  <c r="AA306" i="29"/>
  <c r="AA67" i="29"/>
  <c r="AJ66" i="29"/>
  <c r="AK66" i="29" s="1"/>
  <c r="BY23" i="25"/>
  <c r="CA23" i="25" s="1"/>
  <c r="CB23" i="25" s="1"/>
  <c r="BL23" i="25"/>
  <c r="BL39" i="25"/>
  <c r="BY39" i="25"/>
  <c r="CA39" i="25" s="1"/>
  <c r="AA481" i="29"/>
  <c r="AA69" i="29"/>
  <c r="AJ68" i="29"/>
  <c r="AK68" i="29" s="1"/>
  <c r="BY150" i="25"/>
  <c r="CA150" i="25" s="1"/>
  <c r="CB150" i="25" s="1"/>
  <c r="BL150" i="25"/>
  <c r="BK150" i="25"/>
  <c r="BY142" i="25"/>
  <c r="CA142" i="25" s="1"/>
  <c r="BL142" i="25"/>
  <c r="BK142" i="25"/>
  <c r="AA403" i="29"/>
  <c r="AJ402" i="29"/>
  <c r="AK402" i="29" s="1"/>
  <c r="AA241" i="29"/>
  <c r="AA496" i="29"/>
  <c r="AJ78" i="29"/>
  <c r="AK78" i="29" s="1"/>
  <c r="AA79" i="29"/>
  <c r="AA497" i="29"/>
  <c r="AJ496" i="29"/>
  <c r="AK496" i="29" s="1"/>
  <c r="AJ596" i="29"/>
  <c r="AK596" i="29" s="1"/>
  <c r="AA597" i="29"/>
  <c r="AA565" i="29"/>
  <c r="AJ564" i="29"/>
  <c r="AK564" i="29" s="1"/>
  <c r="AA184" i="29"/>
  <c r="AJ159" i="29"/>
  <c r="AK159" i="29" s="1"/>
  <c r="AA160" i="29"/>
  <c r="BY85" i="25"/>
  <c r="CA85" i="25" s="1"/>
  <c r="CB85" i="25" s="1"/>
  <c r="BL85" i="25"/>
  <c r="BL300" i="25"/>
  <c r="BY300" i="25"/>
  <c r="CA300" i="25" s="1"/>
  <c r="CB300" i="25" s="1"/>
  <c r="BK300" i="25"/>
  <c r="AJ262" i="29"/>
  <c r="AK262" i="29" s="1"/>
  <c r="AA263" i="29"/>
  <c r="BL294" i="25"/>
  <c r="BY294" i="25"/>
  <c r="CA294" i="25" s="1"/>
  <c r="CB294" i="25" s="1"/>
  <c r="BK294" i="25"/>
  <c r="AA519" i="29"/>
  <c r="AJ518" i="29"/>
  <c r="AK518" i="29" s="1"/>
  <c r="AA361" i="29"/>
  <c r="AJ76" i="29"/>
  <c r="AK76" i="29" s="1"/>
  <c r="AA77" i="29"/>
  <c r="AA582" i="29"/>
  <c r="AJ581" i="29"/>
  <c r="AK581" i="29" s="1"/>
  <c r="AA264" i="29"/>
  <c r="AJ263" i="29"/>
  <c r="AK263" i="29" s="1"/>
  <c r="BL175" i="25"/>
  <c r="BY175" i="25"/>
  <c r="CA175" i="25" s="1"/>
  <c r="BK175" i="25"/>
  <c r="AA205" i="29"/>
  <c r="AJ204" i="29"/>
  <c r="AK204" i="29" s="1"/>
  <c r="BL53" i="25"/>
  <c r="BY53" i="25"/>
  <c r="CA53" i="25" s="1"/>
  <c r="CB53" i="25" s="1"/>
  <c r="AJ196" i="29"/>
  <c r="AK196" i="29" s="1"/>
  <c r="AA197" i="29"/>
  <c r="AA320" i="29"/>
  <c r="AJ319" i="29"/>
  <c r="AK319" i="29" s="1"/>
  <c r="AA311" i="29"/>
  <c r="AJ86" i="29"/>
  <c r="AK86" i="29" s="1"/>
  <c r="AA87" i="29"/>
  <c r="BL217" i="25"/>
  <c r="BY217" i="25"/>
  <c r="CA217" i="25" s="1"/>
  <c r="CB217" i="25" s="1"/>
  <c r="BK217" i="25"/>
  <c r="BY67" i="25"/>
  <c r="CA67" i="25" s="1"/>
  <c r="CB67" i="25" s="1"/>
  <c r="BL67" i="25"/>
  <c r="CB97" i="25"/>
  <c r="CF97" i="25"/>
  <c r="AJ285" i="29"/>
  <c r="AK285" i="29" s="1"/>
  <c r="AA286" i="29"/>
  <c r="AJ192" i="29"/>
  <c r="AK192" i="29" s="1"/>
  <c r="AA193" i="29"/>
  <c r="BL286" i="25"/>
  <c r="BY286" i="25"/>
  <c r="CA286" i="25" s="1"/>
  <c r="CB286" i="25" s="1"/>
  <c r="BK286" i="25"/>
  <c r="BL250" i="25"/>
  <c r="BY250" i="25"/>
  <c r="CA250" i="25" s="1"/>
  <c r="CB250" i="25" s="1"/>
  <c r="BK250" i="25"/>
  <c r="AA95" i="29"/>
  <c r="AJ94" i="29"/>
  <c r="BL83" i="25"/>
  <c r="BY83" i="25"/>
  <c r="CA83" i="25" s="1"/>
  <c r="BY284" i="25"/>
  <c r="CA284" i="25" s="1"/>
  <c r="CB284" i="25" s="1"/>
  <c r="BL284" i="25"/>
  <c r="BK284" i="25"/>
  <c r="AJ424" i="29"/>
  <c r="AK424" i="29" s="1"/>
  <c r="AA425" i="29"/>
  <c r="AA416" i="29"/>
  <c r="AJ415" i="29"/>
  <c r="AK415" i="29" s="1"/>
  <c r="AJ392" i="29"/>
  <c r="AK392" i="29" s="1"/>
  <c r="AA393" i="29"/>
  <c r="BY133" i="25"/>
  <c r="CA133" i="25" s="1"/>
  <c r="BL133" i="25"/>
  <c r="BK133" i="25"/>
  <c r="BL47" i="25"/>
  <c r="BY47" i="25"/>
  <c r="CA47" i="25" s="1"/>
  <c r="CB47" i="25" s="1"/>
  <c r="AA50" i="29"/>
  <c r="AA195" i="29"/>
  <c r="AJ194" i="29"/>
  <c r="AK194" i="29" s="1"/>
  <c r="BY80" i="25"/>
  <c r="CA80" i="25" s="1"/>
  <c r="BL80" i="25"/>
  <c r="BL225" i="25"/>
  <c r="BY225" i="25"/>
  <c r="CA225" i="25" s="1"/>
  <c r="CB225" i="25" s="1"/>
  <c r="BK225" i="25"/>
  <c r="AJ371" i="29"/>
  <c r="AK371" i="29" s="1"/>
  <c r="AA372" i="29"/>
  <c r="AA43" i="29"/>
  <c r="AJ42" i="29"/>
  <c r="AK42" i="29" s="1"/>
  <c r="AA398" i="29"/>
  <c r="AJ397" i="29"/>
  <c r="AK397" i="29" s="1"/>
  <c r="BY65" i="25"/>
  <c r="CA65" i="25" s="1"/>
  <c r="BL65" i="25"/>
  <c r="BY43" i="25"/>
  <c r="CA43" i="25" s="1"/>
  <c r="CB43" i="25" s="1"/>
  <c r="BL43" i="25"/>
  <c r="AA611" i="29"/>
  <c r="AJ404" i="29"/>
  <c r="AK404" i="29" s="1"/>
  <c r="AA405" i="29"/>
  <c r="AA592" i="29"/>
  <c r="AJ591" i="29"/>
  <c r="AK591" i="29" s="1"/>
  <c r="BY220" i="25"/>
  <c r="CA220" i="25" s="1"/>
  <c r="CB220" i="25" s="1"/>
  <c r="BL220" i="25"/>
  <c r="BK220" i="25"/>
  <c r="AA342" i="29"/>
  <c r="BL144" i="25"/>
  <c r="BY144" i="25"/>
  <c r="CA144" i="25" s="1"/>
  <c r="CB144" i="25" s="1"/>
  <c r="BK144" i="25"/>
  <c r="AA399" i="29"/>
  <c r="AJ398" i="29"/>
  <c r="AK398" i="29" s="1"/>
  <c r="AA359" i="29"/>
  <c r="AJ358" i="29"/>
  <c r="AK358" i="29" s="1"/>
  <c r="AA358" i="29"/>
  <c r="BY36" i="25"/>
  <c r="CA36" i="25" s="1"/>
  <c r="CB36" i="25" s="1"/>
  <c r="BL36" i="25"/>
  <c r="AA475" i="29"/>
  <c r="BL252" i="25"/>
  <c r="BY252" i="25"/>
  <c r="CA252" i="25" s="1"/>
  <c r="CB252" i="25" s="1"/>
  <c r="BK252" i="25"/>
  <c r="BY260" i="25"/>
  <c r="CA260" i="25" s="1"/>
  <c r="CB260" i="25" s="1"/>
  <c r="BL260" i="25"/>
  <c r="BK260" i="25"/>
  <c r="AJ396" i="29"/>
  <c r="AA397" i="29"/>
  <c r="BL69" i="25"/>
  <c r="BY69" i="25"/>
  <c r="CA69" i="25" s="1"/>
  <c r="CB69" i="25" s="1"/>
  <c r="BL194" i="25"/>
  <c r="BY194" i="25"/>
  <c r="CA194" i="25" s="1"/>
  <c r="BK194" i="25"/>
  <c r="BY187" i="25"/>
  <c r="CA187" i="25" s="1"/>
  <c r="CB187" i="25" s="1"/>
  <c r="BL187" i="25"/>
  <c r="BK187" i="25"/>
  <c r="BY234" i="25"/>
  <c r="CA234" i="25" s="1"/>
  <c r="CB234" i="25" s="1"/>
  <c r="BL234" i="25"/>
  <c r="BK234" i="25"/>
  <c r="AJ338" i="29"/>
  <c r="AK338" i="29" s="1"/>
  <c r="AA339" i="29"/>
  <c r="BL315" i="25"/>
  <c r="BY315" i="25"/>
  <c r="CA315" i="25" s="1"/>
  <c r="CB315" i="25" s="1"/>
  <c r="BK315" i="25"/>
  <c r="AA134" i="29"/>
  <c r="AJ27" i="29"/>
  <c r="AK27" i="29" s="1"/>
  <c r="AA28" i="29"/>
  <c r="AJ515" i="29"/>
  <c r="AK515" i="29" s="1"/>
  <c r="AA516" i="29"/>
  <c r="AJ386" i="29"/>
  <c r="AK386" i="29" s="1"/>
  <c r="AA387" i="29"/>
  <c r="BY278" i="25"/>
  <c r="CA278" i="25" s="1"/>
  <c r="CB278" i="25" s="1"/>
  <c r="BL278" i="25"/>
  <c r="BK278" i="25"/>
  <c r="BL130" i="25"/>
  <c r="BY130" i="25"/>
  <c r="CA130" i="25" s="1"/>
  <c r="BK130" i="25"/>
  <c r="AA125" i="29"/>
  <c r="AJ124" i="29"/>
  <c r="AK124" i="29" s="1"/>
  <c r="BY73" i="25"/>
  <c r="CA73" i="25" s="1"/>
  <c r="BL73" i="25"/>
  <c r="BL193" i="25"/>
  <c r="BY193" i="25"/>
  <c r="CA193" i="25" s="1"/>
  <c r="BK193" i="25"/>
  <c r="BL169" i="25"/>
  <c r="BY169" i="25"/>
  <c r="CA169" i="25" s="1"/>
  <c r="BK169" i="25"/>
  <c r="AJ613" i="29"/>
  <c r="AK613" i="29" s="1"/>
  <c r="AA613" i="29"/>
  <c r="AJ612" i="29"/>
  <c r="AK612" i="29" s="1"/>
  <c r="BY203" i="25"/>
  <c r="CA203" i="25" s="1"/>
  <c r="BL203" i="25"/>
  <c r="BK203" i="25"/>
  <c r="BL263" i="25"/>
  <c r="BY263" i="25"/>
  <c r="CA263" i="25" s="1"/>
  <c r="CB263" i="25" s="1"/>
  <c r="BK263" i="25"/>
  <c r="AA204" i="29"/>
  <c r="AJ203" i="29"/>
  <c r="AK203" i="29" s="1"/>
  <c r="AJ505" i="29"/>
  <c r="AK505" i="29" s="1"/>
  <c r="AA506" i="29"/>
  <c r="AJ560" i="29"/>
  <c r="AK560" i="29" s="1"/>
  <c r="AA561" i="29"/>
  <c r="AJ126" i="29"/>
  <c r="AA127" i="29"/>
  <c r="AA180" i="29"/>
  <c r="BL102" i="25"/>
  <c r="BY102" i="25"/>
  <c r="CA102" i="25" s="1"/>
  <c r="AJ243" i="29"/>
  <c r="AK243" i="29" s="1"/>
  <c r="AA244" i="29"/>
  <c r="AJ157" i="29"/>
  <c r="AK157" i="29" s="1"/>
  <c r="AA158" i="29"/>
  <c r="AJ80" i="29"/>
  <c r="AA81" i="29"/>
  <c r="BY245" i="25"/>
  <c r="CA245" i="25" s="1"/>
  <c r="CB245" i="25" s="1"/>
  <c r="BL245" i="25"/>
  <c r="BK245" i="25"/>
  <c r="AJ418" i="29"/>
  <c r="AK418" i="29" s="1"/>
  <c r="AA419" i="29"/>
  <c r="BL168" i="25"/>
  <c r="BY168" i="25"/>
  <c r="CA168" i="25" s="1"/>
  <c r="BK168" i="25"/>
  <c r="AJ593" i="29"/>
  <c r="AK593" i="29" s="1"/>
  <c r="AA594" i="29"/>
  <c r="BY122" i="25"/>
  <c r="CA122" i="25" s="1"/>
  <c r="BL122" i="25"/>
  <c r="BK122" i="25"/>
  <c r="BY209" i="25"/>
  <c r="CA209" i="25" s="1"/>
  <c r="BL209" i="25"/>
  <c r="BK209" i="25"/>
  <c r="AA572" i="29"/>
  <c r="AA39" i="29"/>
  <c r="AJ38" i="29"/>
  <c r="AK38" i="29" s="1"/>
  <c r="AJ237" i="29"/>
  <c r="AK237" i="29" s="1"/>
  <c r="AA238" i="29"/>
  <c r="AA560" i="29"/>
  <c r="AJ559" i="29"/>
  <c r="AK559" i="29" s="1"/>
  <c r="BL310" i="25"/>
  <c r="BY310" i="25"/>
  <c r="CA310" i="25" s="1"/>
  <c r="CB310" i="25" s="1"/>
  <c r="BK310" i="25"/>
  <c r="AA53" i="29"/>
  <c r="AJ275" i="29"/>
  <c r="AK275" i="29" s="1"/>
  <c r="AA276" i="29"/>
  <c r="AJ28" i="29"/>
  <c r="AK28" i="29" s="1"/>
  <c r="AA29" i="29"/>
  <c r="BY118" i="25"/>
  <c r="CA118" i="25" s="1"/>
  <c r="BL118" i="25"/>
  <c r="BK118" i="25"/>
  <c r="AA489" i="29"/>
  <c r="AJ488" i="29"/>
  <c r="AK488" i="29" s="1"/>
  <c r="AA33" i="29"/>
  <c r="AJ32" i="29"/>
  <c r="AK32" i="29" s="1"/>
  <c r="AA68" i="29"/>
  <c r="AJ67" i="29"/>
  <c r="AK67" i="29" s="1"/>
  <c r="AA146" i="29"/>
  <c r="AJ145" i="29"/>
  <c r="AK145" i="29" s="1"/>
  <c r="AA85" i="29"/>
  <c r="BY316" i="25"/>
  <c r="CA316" i="25" s="1"/>
  <c r="CB316" i="25" s="1"/>
  <c r="BL316" i="25"/>
  <c r="BK316" i="25"/>
  <c r="BL176" i="25"/>
  <c r="BY176" i="25"/>
  <c r="CA176" i="25" s="1"/>
  <c r="BK176" i="25"/>
  <c r="BY35" i="25"/>
  <c r="CA35" i="25" s="1"/>
  <c r="CB35" i="25" s="1"/>
  <c r="BL35" i="25"/>
  <c r="AA577" i="29"/>
  <c r="AJ576" i="29"/>
  <c r="AK576" i="29" s="1"/>
  <c r="AA402" i="29"/>
  <c r="BL98" i="25"/>
  <c r="BY98" i="25"/>
  <c r="CA98" i="25" s="1"/>
  <c r="AJ292" i="29"/>
  <c r="AK292" i="29" s="1"/>
  <c r="AA293" i="29"/>
  <c r="AJ577" i="29"/>
  <c r="AK577" i="29" s="1"/>
  <c r="AA578" i="29"/>
  <c r="AA272" i="29"/>
  <c r="AJ271" i="29"/>
  <c r="AK271" i="29" s="1"/>
  <c r="AJ302" i="29"/>
  <c r="AK302" i="29" s="1"/>
  <c r="AA303" i="29"/>
  <c r="BY256" i="25"/>
  <c r="CA256" i="25" s="1"/>
  <c r="CB256" i="25" s="1"/>
  <c r="BL256" i="25"/>
  <c r="BK256" i="25"/>
  <c r="AA499" i="29"/>
  <c r="AA257" i="29"/>
  <c r="AJ256" i="29"/>
  <c r="AK256" i="29" s="1"/>
  <c r="AJ391" i="29"/>
  <c r="AK391" i="29" s="1"/>
  <c r="AA392" i="29"/>
  <c r="AJ247" i="29"/>
  <c r="AK247" i="29" s="1"/>
  <c r="AA248" i="29"/>
  <c r="BL50" i="25"/>
  <c r="BY50" i="25"/>
  <c r="CA50" i="25" s="1"/>
  <c r="CB50" i="25" s="1"/>
  <c r="BL153" i="25"/>
  <c r="BY153" i="25"/>
  <c r="CA153" i="25" s="1"/>
  <c r="BK153" i="25"/>
  <c r="BL253" i="25"/>
  <c r="BY253" i="25"/>
  <c r="CA253" i="25" s="1"/>
  <c r="CB253" i="25" s="1"/>
  <c r="BK253" i="25"/>
  <c r="AJ230" i="29"/>
  <c r="AK230" i="29" s="1"/>
  <c r="AA231" i="29"/>
  <c r="AA558" i="29"/>
  <c r="AJ363" i="29"/>
  <c r="AK363" i="29" s="1"/>
  <c r="AA364" i="29"/>
  <c r="AJ128" i="29"/>
  <c r="AK128" i="29" s="1"/>
  <c r="AA129" i="29"/>
  <c r="BL272" i="25"/>
  <c r="BY272" i="25"/>
  <c r="CA272" i="25" s="1"/>
  <c r="CB272" i="25" s="1"/>
  <c r="BK272" i="25"/>
  <c r="AJ510" i="29"/>
  <c r="AK510" i="29" s="1"/>
  <c r="AA511" i="29"/>
  <c r="BL91" i="25"/>
  <c r="BY91" i="25"/>
  <c r="CA91" i="25" s="1"/>
  <c r="CB91" i="25" s="1"/>
  <c r="AA567" i="29"/>
  <c r="BY233" i="25"/>
  <c r="CA233" i="25" s="1"/>
  <c r="CB233" i="25" s="1"/>
  <c r="BL233" i="25"/>
  <c r="BK233" i="25"/>
  <c r="AA123" i="29"/>
  <c r="AJ582" i="29"/>
  <c r="AK582" i="29" s="1"/>
  <c r="AA583" i="29"/>
  <c r="BY270" i="25"/>
  <c r="CA270" i="25" s="1"/>
  <c r="CB270" i="25" s="1"/>
  <c r="BL270" i="25"/>
  <c r="BK270" i="25"/>
  <c r="AJ451" i="29"/>
  <c r="AK451" i="29" s="1"/>
  <c r="AA452" i="29"/>
  <c r="AA539" i="29"/>
  <c r="AJ538" i="29"/>
  <c r="AK538" i="29" s="1"/>
  <c r="BY22" i="25"/>
  <c r="CA22" i="25" s="1"/>
  <c r="BL22" i="25"/>
  <c r="BY56" i="25"/>
  <c r="CA56" i="25" s="1"/>
  <c r="BL56" i="25"/>
  <c r="AA102" i="29"/>
  <c r="AJ101" i="29"/>
  <c r="BY242" i="25"/>
  <c r="CA242" i="25" s="1"/>
  <c r="CB242" i="25" s="1"/>
  <c r="BL242" i="25"/>
  <c r="BK242" i="25"/>
  <c r="AA186" i="29"/>
  <c r="AA317" i="29"/>
  <c r="AJ316" i="29"/>
  <c r="AK316" i="29" s="1"/>
  <c r="AJ33" i="29"/>
  <c r="AK33" i="29" s="1"/>
  <c r="AA34" i="29"/>
  <c r="AA255" i="29"/>
  <c r="AA131" i="29"/>
  <c r="AA331" i="29"/>
  <c r="BL126" i="25"/>
  <c r="BY126" i="25"/>
  <c r="CA126" i="25" s="1"/>
  <c r="CB126" i="25" s="1"/>
  <c r="BK126" i="25"/>
  <c r="AA503" i="29"/>
  <c r="AA396" i="29"/>
  <c r="AJ395" i="29"/>
  <c r="AK395" i="29" s="1"/>
  <c r="BY10" i="25"/>
  <c r="CA10" i="25" s="1"/>
  <c r="BL10" i="25"/>
  <c r="AA274" i="29"/>
  <c r="AJ273" i="29"/>
  <c r="AK273" i="29" s="1"/>
  <c r="AJ71" i="29"/>
  <c r="AK71" i="29" s="1"/>
  <c r="AA72" i="29"/>
  <c r="AA138" i="29"/>
  <c r="BY33" i="25"/>
  <c r="CA33" i="25" s="1"/>
  <c r="CB33" i="25" s="1"/>
  <c r="BL33" i="25"/>
  <c r="AA73" i="29"/>
  <c r="AJ72" i="29"/>
  <c r="AK72" i="29" s="1"/>
  <c r="BY63" i="25"/>
  <c r="CA63" i="25" s="1"/>
  <c r="CB63" i="25" s="1"/>
  <c r="BL63" i="25"/>
  <c r="AA515" i="29"/>
  <c r="AJ231" i="29"/>
  <c r="AK231" i="29" s="1"/>
  <c r="AA232" i="29"/>
  <c r="AJ472" i="29"/>
  <c r="AK472" i="29" s="1"/>
  <c r="AA473" i="29"/>
  <c r="AA214" i="29"/>
  <c r="BY289" i="25"/>
  <c r="CA289" i="25" s="1"/>
  <c r="CB289" i="25" s="1"/>
  <c r="BL289" i="25"/>
  <c r="BK289" i="25"/>
  <c r="AJ236" i="29"/>
  <c r="AK236" i="29" s="1"/>
  <c r="AA237" i="29"/>
  <c r="BY239" i="25"/>
  <c r="CA239" i="25" s="1"/>
  <c r="CB239" i="25" s="1"/>
  <c r="BL239" i="25"/>
  <c r="BK239" i="25"/>
  <c r="BL231" i="25"/>
  <c r="BY231" i="25"/>
  <c r="CA231" i="25" s="1"/>
  <c r="CB231" i="25" s="1"/>
  <c r="BK231" i="25"/>
  <c r="AJ180" i="29"/>
  <c r="AK180" i="29" s="1"/>
  <c r="AA181" i="29"/>
  <c r="BY44" i="25"/>
  <c r="CA44" i="25" s="1"/>
  <c r="CB44" i="25" s="1"/>
  <c r="BL44" i="25"/>
  <c r="AA329" i="29"/>
  <c r="AJ328" i="29"/>
  <c r="AK328" i="29" s="1"/>
  <c r="AJ484" i="29"/>
  <c r="AK484" i="29" s="1"/>
  <c r="AA485" i="29"/>
  <c r="AJ318" i="29"/>
  <c r="AK318" i="29" s="1"/>
  <c r="AA319" i="29"/>
  <c r="AJ552" i="29"/>
  <c r="AK552" i="29" s="1"/>
  <c r="AA553" i="29"/>
  <c r="BY76" i="25"/>
  <c r="CA76" i="25" s="1"/>
  <c r="CB76" i="25" s="1"/>
  <c r="BL76" i="25"/>
  <c r="AJ331" i="29"/>
  <c r="AK331" i="29" s="1"/>
  <c r="AA332" i="29"/>
  <c r="BL157" i="25"/>
  <c r="BY157" i="25"/>
  <c r="CA157" i="25" s="1"/>
  <c r="CB157" i="25" s="1"/>
  <c r="BK157" i="25"/>
  <c r="AA451" i="29"/>
  <c r="AJ436" i="29"/>
  <c r="AK436" i="29" s="1"/>
  <c r="AA437" i="29"/>
  <c r="BL8" i="25"/>
  <c r="BY8" i="25"/>
  <c r="CA8" i="25" s="1"/>
  <c r="CB8" i="25" s="1"/>
  <c r="BL281" i="25"/>
  <c r="BY281" i="25"/>
  <c r="CA281" i="25" s="1"/>
  <c r="CB281" i="25" s="1"/>
  <c r="BK281" i="25"/>
  <c r="BY79" i="25"/>
  <c r="CA79" i="25" s="1"/>
  <c r="BL79" i="25"/>
  <c r="AA267" i="29"/>
  <c r="AJ266" i="29"/>
  <c r="AK266" i="29" s="1"/>
  <c r="BL271" i="25"/>
  <c r="BY271" i="25"/>
  <c r="CA271" i="25" s="1"/>
  <c r="CB271" i="25" s="1"/>
  <c r="BK271" i="25"/>
  <c r="AJ246" i="29"/>
  <c r="AK246" i="29" s="1"/>
  <c r="AA247" i="29"/>
  <c r="AA407" i="29"/>
  <c r="BY226" i="25"/>
  <c r="CA226" i="25" s="1"/>
  <c r="CB226" i="25" s="1"/>
  <c r="BL226" i="25"/>
  <c r="BK226" i="25"/>
  <c r="AA454" i="29"/>
  <c r="AJ453" i="29"/>
  <c r="AK453" i="29" s="1"/>
  <c r="BY55" i="25"/>
  <c r="CA55" i="25" s="1"/>
  <c r="BL55" i="25"/>
  <c r="BY241" i="25"/>
  <c r="CA241" i="25" s="1"/>
  <c r="CB241" i="25" s="1"/>
  <c r="BL241" i="25"/>
  <c r="BK241" i="25"/>
  <c r="BY88" i="25"/>
  <c r="CA88" i="25" s="1"/>
  <c r="BL88" i="25"/>
  <c r="AA285" i="29"/>
  <c r="AJ284" i="29"/>
  <c r="AK284" i="29" s="1"/>
  <c r="BY51" i="25"/>
  <c r="CA51" i="25" s="1"/>
  <c r="CB51" i="25" s="1"/>
  <c r="BL51" i="25"/>
  <c r="AJ589" i="29"/>
  <c r="AK589" i="29" s="1"/>
  <c r="AA590" i="29"/>
  <c r="AA217" i="29"/>
  <c r="BL208" i="25"/>
  <c r="BY208" i="25"/>
  <c r="CA208" i="25" s="1"/>
  <c r="BK208" i="25"/>
  <c r="AA586" i="29"/>
  <c r="BY205" i="25"/>
  <c r="CA205" i="25" s="1"/>
  <c r="BL205" i="25"/>
  <c r="BK205" i="25"/>
  <c r="AA413" i="29"/>
  <c r="AA294" i="29"/>
  <c r="AJ293" i="29"/>
  <c r="AK293" i="29" s="1"/>
  <c r="BY9" i="25"/>
  <c r="CA9" i="25" s="1"/>
  <c r="BL9" i="25"/>
  <c r="AA476" i="29"/>
  <c r="AJ475" i="29"/>
  <c r="AK475" i="29" s="1"/>
  <c r="AA438" i="29"/>
  <c r="AJ437" i="29"/>
  <c r="AK437" i="29" s="1"/>
  <c r="BL228" i="25"/>
  <c r="BY228" i="25"/>
  <c r="CA228" i="25" s="1"/>
  <c r="CB228" i="25" s="1"/>
  <c r="BK228" i="25"/>
  <c r="AJ205" i="29"/>
  <c r="AK205" i="29" s="1"/>
  <c r="AA206" i="29"/>
  <c r="AJ607" i="29"/>
  <c r="AK607" i="29" s="1"/>
  <c r="AA608" i="29"/>
  <c r="AJ39" i="29"/>
  <c r="AK39" i="29" s="1"/>
  <c r="AA40" i="29"/>
  <c r="BY264" i="25"/>
  <c r="CA264" i="25" s="1"/>
  <c r="CB264" i="25" s="1"/>
  <c r="BL264" i="25"/>
  <c r="BK264" i="25"/>
  <c r="AJ486" i="29"/>
  <c r="AK486" i="29" s="1"/>
  <c r="AA487" i="29"/>
  <c r="AA535" i="29"/>
  <c r="AJ534" i="29"/>
  <c r="AK534" i="29" s="1"/>
  <c r="BY200" i="25"/>
  <c r="CA200" i="25" s="1"/>
  <c r="BL200" i="25"/>
  <c r="BK200" i="25"/>
  <c r="AA408" i="29"/>
  <c r="AJ407" i="29"/>
  <c r="AK407" i="29" s="1"/>
  <c r="BL162" i="25"/>
  <c r="BY162" i="25"/>
  <c r="CA162" i="25" s="1"/>
  <c r="BK162" i="25"/>
  <c r="BY84" i="25"/>
  <c r="CA84" i="25" s="1"/>
  <c r="CB84" i="25" s="1"/>
  <c r="BL84" i="25"/>
  <c r="AA471" i="29"/>
  <c r="AJ470" i="29"/>
  <c r="AK470" i="29" s="1"/>
  <c r="AA236" i="29"/>
  <c r="AJ235" i="29"/>
  <c r="AK235" i="29" s="1"/>
  <c r="BY254" i="25"/>
  <c r="CA254" i="25" s="1"/>
  <c r="CB254" i="25" s="1"/>
  <c r="BL254" i="25"/>
  <c r="BK254" i="25"/>
  <c r="BL185" i="25"/>
  <c r="BY185" i="25"/>
  <c r="CA185" i="25" s="1"/>
  <c r="BK185" i="25"/>
  <c r="BY48" i="25"/>
  <c r="CA48" i="25" s="1"/>
  <c r="BL48" i="25"/>
  <c r="AA97" i="29"/>
  <c r="AJ96" i="29"/>
  <c r="AK96" i="29" s="1"/>
  <c r="AA271" i="29"/>
  <c r="BL26" i="25"/>
  <c r="BY26" i="25"/>
  <c r="CA26" i="25" s="1"/>
  <c r="CB26" i="25" s="1"/>
  <c r="AA279" i="29"/>
  <c r="BL27" i="25"/>
  <c r="BY27" i="25"/>
  <c r="CA27" i="25" s="1"/>
  <c r="BL301" i="25"/>
  <c r="BY301" i="25"/>
  <c r="CA301" i="25" s="1"/>
  <c r="CB301" i="25" s="1"/>
  <c r="BK301" i="25"/>
  <c r="BY303" i="25"/>
  <c r="CA303" i="25" s="1"/>
  <c r="CB303" i="25" s="1"/>
  <c r="BL303" i="25"/>
  <c r="BK303" i="25"/>
  <c r="AA141" i="29"/>
  <c r="BL287" i="25"/>
  <c r="BY287" i="25"/>
  <c r="CA287" i="25" s="1"/>
  <c r="CB287" i="25" s="1"/>
  <c r="BK287" i="25"/>
  <c r="AJ135" i="29"/>
  <c r="AK135" i="29" s="1"/>
  <c r="AA136" i="29"/>
  <c r="AJ298" i="29"/>
  <c r="AK298" i="29" s="1"/>
  <c r="AA299" i="29"/>
  <c r="BL136" i="25"/>
  <c r="BY136" i="25"/>
  <c r="CA136" i="25" s="1"/>
  <c r="CB136" i="25" s="1"/>
  <c r="BK136" i="25"/>
  <c r="AA352" i="29"/>
  <c r="AJ468" i="29"/>
  <c r="AK468" i="29" s="1"/>
  <c r="AA469" i="29"/>
  <c r="AJ282" i="29"/>
  <c r="AK282" i="29" s="1"/>
  <c r="AA283" i="29"/>
  <c r="AA512" i="29"/>
  <c r="AJ511" i="29"/>
  <c r="AK511" i="29" s="1"/>
  <c r="BY38" i="25"/>
  <c r="CA38" i="25" s="1"/>
  <c r="BL38" i="25"/>
  <c r="BY16" i="25"/>
  <c r="CA16" i="25" s="1"/>
  <c r="CB16" i="25" s="1"/>
  <c r="BL16" i="25"/>
  <c r="BY181" i="25"/>
  <c r="CA181" i="25" s="1"/>
  <c r="BL181" i="25"/>
  <c r="BK181" i="25"/>
  <c r="AJ487" i="29"/>
  <c r="AK487" i="29" s="1"/>
  <c r="AA488" i="29"/>
  <c r="AA220" i="29"/>
  <c r="BY172" i="25"/>
  <c r="CA172" i="25" s="1"/>
  <c r="BL172" i="25"/>
  <c r="BK172" i="25"/>
  <c r="AA449" i="29"/>
  <c r="AA534" i="29"/>
  <c r="BY100" i="25"/>
  <c r="CA100" i="25" s="1"/>
  <c r="CB100" i="25" s="1"/>
  <c r="BL100" i="25"/>
  <c r="AJ286" i="29"/>
  <c r="AK286" i="29" s="1"/>
  <c r="AA287" i="29"/>
  <c r="AA390" i="29"/>
  <c r="AJ389" i="29"/>
  <c r="AK389" i="29" s="1"/>
  <c r="AJ563" i="29"/>
  <c r="AK563" i="29" s="1"/>
  <c r="AA564" i="29"/>
  <c r="BY134" i="25"/>
  <c r="CA134" i="25" s="1"/>
  <c r="BL134" i="25"/>
  <c r="BK134" i="25"/>
  <c r="AA443" i="29"/>
  <c r="AJ442" i="29"/>
  <c r="AK442" i="29" s="1"/>
  <c r="AA374" i="29"/>
  <c r="AJ100" i="29"/>
  <c r="AK100" i="29" s="1"/>
  <c r="AA101" i="29"/>
  <c r="AJ248" i="29"/>
  <c r="AK248" i="29" s="1"/>
  <c r="AA249" i="29"/>
  <c r="AA551" i="29"/>
  <c r="AJ550" i="29"/>
  <c r="AK550" i="29" s="1"/>
  <c r="AA161" i="29"/>
  <c r="AJ160" i="29"/>
  <c r="AK160" i="29" s="1"/>
  <c r="AA501" i="29"/>
  <c r="AJ500" i="29"/>
  <c r="AK500" i="29" s="1"/>
  <c r="BL160" i="25"/>
  <c r="BY160" i="25"/>
  <c r="CA160" i="25" s="1"/>
  <c r="BK160" i="25"/>
  <c r="AA344" i="29"/>
  <c r="AJ385" i="29"/>
  <c r="AK385" i="29" s="1"/>
  <c r="AA386" i="29"/>
  <c r="AA17" i="29"/>
  <c r="AJ16" i="29"/>
  <c r="AK16" i="29" s="1"/>
  <c r="BY308" i="25"/>
  <c r="CA308" i="25" s="1"/>
  <c r="CB308" i="25" s="1"/>
  <c r="BL308" i="25"/>
  <c r="BK308" i="25"/>
  <c r="BY135" i="25"/>
  <c r="CA135" i="25" s="1"/>
  <c r="BL135" i="25"/>
  <c r="BK135" i="25"/>
  <c r="AA151" i="29"/>
  <c r="AA570" i="29"/>
  <c r="AJ569" i="29"/>
  <c r="AK569" i="29" s="1"/>
  <c r="AA446" i="29"/>
  <c r="AJ445" i="29"/>
  <c r="AK445" i="29" s="1"/>
  <c r="BY309" i="25"/>
  <c r="CA309" i="25" s="1"/>
  <c r="CB309" i="25" s="1"/>
  <c r="BL309" i="25"/>
  <c r="BK309" i="25"/>
  <c r="BL74" i="25"/>
  <c r="BY74" i="25"/>
  <c r="CA74" i="25" s="1"/>
  <c r="AJ259" i="29"/>
  <c r="AK259" i="29" s="1"/>
  <c r="AA260" i="29"/>
  <c r="AA555" i="29"/>
  <c r="AJ554" i="29"/>
  <c r="AK554" i="29" s="1"/>
  <c r="AA316" i="29"/>
  <c r="AA532" i="29"/>
  <c r="AJ87" i="29"/>
  <c r="AK87" i="29" s="1"/>
  <c r="AA88" i="29"/>
  <c r="AA468" i="29"/>
  <c r="AJ467" i="29"/>
  <c r="AK467" i="29" s="1"/>
  <c r="BY216" i="25"/>
  <c r="CA216" i="25" s="1"/>
  <c r="CB216" i="25" s="1"/>
  <c r="BL216" i="25"/>
  <c r="BK216" i="25"/>
  <c r="AA103" i="29"/>
  <c r="AJ102" i="29"/>
  <c r="AK102" i="29" s="1"/>
  <c r="AA44" i="29"/>
  <c r="AJ43" i="29"/>
  <c r="AK43" i="29" s="1"/>
  <c r="BL123" i="25"/>
  <c r="BY123" i="25"/>
  <c r="CA123" i="25" s="1"/>
  <c r="CB123" i="25" s="1"/>
  <c r="BK123" i="25"/>
  <c r="AA328" i="29"/>
  <c r="AJ327" i="29"/>
  <c r="AK327" i="29" s="1"/>
  <c r="AJ537" i="29"/>
  <c r="AK537" i="29" s="1"/>
  <c r="AA538" i="29"/>
  <c r="AA269" i="29"/>
  <c r="AJ268" i="29"/>
  <c r="AK268" i="29" s="1"/>
  <c r="AA420" i="29"/>
  <c r="AJ419" i="29"/>
  <c r="AK419" i="29" s="1"/>
  <c r="BY244" i="25"/>
  <c r="CA244" i="25" s="1"/>
  <c r="CB244" i="25" s="1"/>
  <c r="BL244" i="25"/>
  <c r="BK244" i="25"/>
  <c r="BL236" i="25"/>
  <c r="BY236" i="25"/>
  <c r="CA236" i="25" s="1"/>
  <c r="CB236" i="25" s="1"/>
  <c r="BK236" i="25"/>
  <c r="AJ366" i="29"/>
  <c r="AK366" i="29" s="1"/>
  <c r="AA367" i="29"/>
  <c r="BY279" i="25"/>
  <c r="CA279" i="25" s="1"/>
  <c r="CB279" i="25" s="1"/>
  <c r="BL279" i="25"/>
  <c r="BK279" i="25"/>
  <c r="AJ144" i="29"/>
  <c r="AK144" i="29" s="1"/>
  <c r="AA145" i="29"/>
  <c r="AA327" i="29"/>
  <c r="AA174" i="29"/>
  <c r="AJ173" i="29"/>
  <c r="AK173" i="29" s="1"/>
  <c r="BY61" i="25"/>
  <c r="CA61" i="25" s="1"/>
  <c r="CB61" i="25" s="1"/>
  <c r="BL61" i="25"/>
  <c r="BY49" i="25"/>
  <c r="CA49" i="25" s="1"/>
  <c r="CB49" i="25" s="1"/>
  <c r="BL49" i="25"/>
  <c r="AA436" i="29"/>
  <c r="AJ435" i="29"/>
  <c r="AK435" i="29" s="1"/>
  <c r="AJ455" i="29"/>
  <c r="AK455" i="29" s="1"/>
  <c r="AA456" i="29"/>
  <c r="AJ172" i="29"/>
  <c r="AK172" i="29" s="1"/>
  <c r="AA173" i="29"/>
  <c r="BY266" i="25"/>
  <c r="CA266" i="25" s="1"/>
  <c r="CB266" i="25" s="1"/>
  <c r="BL266" i="25"/>
  <c r="BK266" i="25"/>
  <c r="BY159" i="25"/>
  <c r="CA159" i="25" s="1"/>
  <c r="BL159" i="25"/>
  <c r="BK159" i="25"/>
  <c r="AJ456" i="29"/>
  <c r="AK456" i="29" s="1"/>
  <c r="AA457" i="29"/>
  <c r="AA423" i="29"/>
  <c r="AJ454" i="29"/>
  <c r="AK454" i="29" s="1"/>
  <c r="AA455" i="29"/>
  <c r="AA609" i="29"/>
  <c r="AJ608" i="29"/>
  <c r="AK608" i="29" s="1"/>
  <c r="AJ85" i="29"/>
  <c r="AK85" i="29" s="1"/>
  <c r="AA86" i="29"/>
  <c r="BL297" i="25"/>
  <c r="BY297" i="25"/>
  <c r="CA297" i="25" s="1"/>
  <c r="CB297" i="25" s="1"/>
  <c r="BK297" i="25"/>
  <c r="AJ394" i="29"/>
  <c r="AK394" i="29" s="1"/>
  <c r="AA395" i="29"/>
  <c r="AA143" i="29"/>
  <c r="AJ605" i="29"/>
  <c r="AK605" i="29" s="1"/>
  <c r="AA606" i="29"/>
  <c r="BY141" i="25"/>
  <c r="CA141" i="25" s="1"/>
  <c r="BL141" i="25"/>
  <c r="BK141" i="25"/>
  <c r="BY19" i="25"/>
  <c r="CA19" i="25" s="1"/>
  <c r="BL19" i="25"/>
  <c r="AJ367" i="29"/>
  <c r="AK367" i="29" s="1"/>
  <c r="AA368" i="29"/>
  <c r="AA388" i="29"/>
  <c r="AJ387" i="29"/>
  <c r="AK387" i="29" s="1"/>
  <c r="AA194" i="29"/>
  <c r="AJ193" i="29"/>
  <c r="AK193" i="29" s="1"/>
  <c r="AA385" i="29"/>
  <c r="AJ384" i="29"/>
  <c r="AK384" i="29" s="1"/>
  <c r="AA61" i="29"/>
  <c r="AJ60" i="29"/>
  <c r="AK60" i="29" s="1"/>
  <c r="AJ553" i="29"/>
  <c r="AK553" i="29" s="1"/>
  <c r="AA554" i="29"/>
  <c r="AA155" i="29"/>
  <c r="BY197" i="25"/>
  <c r="CA197" i="25" s="1"/>
  <c r="CB197" i="25" s="1"/>
  <c r="BL197" i="25"/>
  <c r="BK197" i="25"/>
  <c r="BY268" i="25"/>
  <c r="CA268" i="25" s="1"/>
  <c r="CB268" i="25" s="1"/>
  <c r="BL268" i="25"/>
  <c r="BK268" i="25"/>
  <c r="BY137" i="25"/>
  <c r="CA137" i="25" s="1"/>
  <c r="CB137" i="25" s="1"/>
  <c r="BL137" i="25"/>
  <c r="BK137" i="25"/>
  <c r="AJ344" i="29"/>
  <c r="AK344" i="29" s="1"/>
  <c r="AA345" i="29"/>
  <c r="BY57" i="25"/>
  <c r="CA57" i="25" s="1"/>
  <c r="BL57" i="25"/>
  <c r="BL218" i="25"/>
  <c r="BY218" i="25"/>
  <c r="CA218" i="25" s="1"/>
  <c r="CB218" i="25" s="1"/>
  <c r="BK218" i="25"/>
  <c r="AA376" i="29"/>
  <c r="AA71" i="29"/>
  <c r="AA504" i="29"/>
  <c r="AJ503" i="29"/>
  <c r="AK503" i="29" s="1"/>
  <c r="BY165" i="25"/>
  <c r="CA165" i="25" s="1"/>
  <c r="BL165" i="25"/>
  <c r="BK165" i="25"/>
  <c r="AA394" i="29"/>
  <c r="AJ393" i="29"/>
  <c r="AK393" i="29" s="1"/>
  <c r="AA14" i="29"/>
  <c r="AA478" i="29"/>
  <c r="AJ477" i="29"/>
  <c r="AK477" i="29" s="1"/>
  <c r="BL285" i="25"/>
  <c r="BY285" i="25"/>
  <c r="CA285" i="25" s="1"/>
  <c r="CB285" i="25" s="1"/>
  <c r="BK285" i="25"/>
  <c r="AA464" i="29"/>
  <c r="AA349" i="29"/>
  <c r="BY145" i="25"/>
  <c r="CA145" i="25" s="1"/>
  <c r="CB145" i="25" s="1"/>
  <c r="BL145" i="25"/>
  <c r="BK145" i="25"/>
  <c r="AJ578" i="29"/>
  <c r="AK578" i="29" s="1"/>
  <c r="AA579" i="29"/>
  <c r="AA563" i="29"/>
  <c r="AA191" i="29"/>
  <c r="AJ190" i="29"/>
  <c r="AK190" i="29" s="1"/>
  <c r="AA414" i="29"/>
  <c r="AJ413" i="29"/>
  <c r="AK413" i="29" s="1"/>
  <c r="AJ103" i="29"/>
  <c r="AK103" i="29" s="1"/>
  <c r="AA104" i="29"/>
  <c r="AJ361" i="29"/>
  <c r="AK361" i="29" s="1"/>
  <c r="AA362" i="29"/>
  <c r="BY302" i="25"/>
  <c r="CA302" i="25" s="1"/>
  <c r="CB302" i="25" s="1"/>
  <c r="BL302" i="25"/>
  <c r="BK302" i="25"/>
  <c r="AA16" i="29"/>
  <c r="AA262" i="29"/>
  <c r="AA494" i="29"/>
  <c r="BY86" i="25"/>
  <c r="CA86" i="25" s="1"/>
  <c r="BL86" i="25"/>
  <c r="BL93" i="25"/>
  <c r="BY93" i="25"/>
  <c r="CA93" i="25" s="1"/>
  <c r="CB93" i="25" s="1"/>
  <c r="BY116" i="25"/>
  <c r="CA116" i="25" s="1"/>
  <c r="BL116" i="25"/>
  <c r="BK116" i="25"/>
  <c r="AA265" i="29"/>
  <c r="AJ264" i="29"/>
  <c r="AK264" i="29" s="1"/>
  <c r="AA182" i="29"/>
  <c r="AJ181" i="29"/>
  <c r="AK181" i="29" s="1"/>
  <c r="AJ29" i="29"/>
  <c r="AK29" i="29" s="1"/>
  <c r="AA30" i="29"/>
  <c r="AA76" i="29"/>
  <c r="AA549" i="29"/>
  <c r="AJ548" i="29"/>
  <c r="AK548" i="29" s="1"/>
  <c r="AA459" i="29"/>
  <c r="AJ458" i="29"/>
  <c r="AK458" i="29" s="1"/>
  <c r="AA78" i="29"/>
  <c r="AJ77" i="29"/>
  <c r="AK77" i="29" s="1"/>
  <c r="BY210" i="25"/>
  <c r="CA210" i="25" s="1"/>
  <c r="BL210" i="25"/>
  <c r="BK210" i="25"/>
  <c r="BL224" i="25"/>
  <c r="BY224" i="25"/>
  <c r="CA224" i="25" s="1"/>
  <c r="CB224" i="25" s="1"/>
  <c r="BK224" i="25"/>
  <c r="AJ461" i="29"/>
  <c r="AK461" i="29" s="1"/>
  <c r="AA462" i="29"/>
  <c r="BY312" i="25"/>
  <c r="CA312" i="25" s="1"/>
  <c r="CB312" i="25" s="1"/>
  <c r="BL312" i="25"/>
  <c r="BK312" i="25"/>
  <c r="AJ376" i="29"/>
  <c r="AK376" i="29" s="1"/>
  <c r="AA377" i="29"/>
  <c r="AJ195" i="29"/>
  <c r="AK195" i="29" s="1"/>
  <c r="AA196" i="29"/>
  <c r="BL99" i="25"/>
  <c r="BY99" i="25"/>
  <c r="CA99" i="25" s="1"/>
  <c r="CB99" i="25" s="1"/>
  <c r="AA550" i="29"/>
  <c r="AJ549" i="29"/>
  <c r="AK549" i="29" s="1"/>
  <c r="AA209" i="29"/>
  <c r="AJ208" i="29"/>
  <c r="AK208" i="29" s="1"/>
  <c r="AA295" i="29"/>
  <c r="AJ294" i="29"/>
  <c r="AK294" i="29" s="1"/>
  <c r="AJ226" i="29"/>
  <c r="AK226" i="29" s="1"/>
  <c r="AA227" i="29"/>
  <c r="AA27" i="29"/>
  <c r="AA601" i="29"/>
  <c r="AJ600" i="29"/>
  <c r="AK600" i="29" s="1"/>
  <c r="AA273" i="29"/>
  <c r="AJ272" i="29"/>
  <c r="AK272" i="29" s="1"/>
  <c r="AA426" i="29"/>
  <c r="AJ425" i="29"/>
  <c r="AK425" i="29" s="1"/>
  <c r="BL128" i="25"/>
  <c r="BY128" i="25"/>
  <c r="CA128" i="25" s="1"/>
  <c r="CB128" i="25" s="1"/>
  <c r="BK128" i="25"/>
  <c r="BY15" i="25"/>
  <c r="CA15" i="25" s="1"/>
  <c r="CB15" i="25" s="1"/>
  <c r="BL15" i="25"/>
  <c r="AA74" i="29"/>
  <c r="AJ73" i="29"/>
  <c r="AK73" i="29" s="1"/>
  <c r="BY64" i="25"/>
  <c r="CA64" i="25" s="1"/>
  <c r="BL64" i="25"/>
  <c r="AA176" i="29"/>
  <c r="AJ175" i="29"/>
  <c r="AK175" i="29" s="1"/>
  <c r="AA346" i="29"/>
  <c r="AJ345" i="29"/>
  <c r="AK345" i="29" s="1"/>
  <c r="BL60" i="25"/>
  <c r="BY60" i="25"/>
  <c r="CA60" i="25" s="1"/>
  <c r="AJ267" i="29"/>
  <c r="AK267" i="29" s="1"/>
  <c r="AA268" i="29"/>
  <c r="BY151" i="25"/>
  <c r="CA151" i="25" s="1"/>
  <c r="BL151" i="25"/>
  <c r="BK151" i="25"/>
  <c r="AJ111" i="29"/>
  <c r="AK111" i="29" s="1"/>
  <c r="AA112" i="29"/>
  <c r="AA415" i="29"/>
  <c r="AJ414" i="29"/>
  <c r="AK414" i="29" s="1"/>
  <c r="AA482" i="29"/>
  <c r="AJ481" i="29"/>
  <c r="AK481" i="29" s="1"/>
  <c r="AJ65" i="29"/>
  <c r="AK65" i="29" s="1"/>
  <c r="AA66" i="29"/>
  <c r="AA35" i="29"/>
  <c r="AJ34" i="29"/>
  <c r="AK34" i="29" s="1"/>
  <c r="AJ287" i="29"/>
  <c r="AK287" i="29" s="1"/>
  <c r="AA288" i="29"/>
  <c r="AA337" i="29"/>
  <c r="AA442" i="29"/>
  <c r="AA188" i="29"/>
  <c r="BY290" i="25"/>
  <c r="CA290" i="25" s="1"/>
  <c r="CB290" i="25" s="1"/>
  <c r="BL290" i="25"/>
  <c r="BK290" i="25"/>
  <c r="AG585" i="29"/>
  <c r="W585" i="29"/>
  <c r="AJ585" i="29" s="1"/>
  <c r="AK585" i="29" s="1"/>
  <c r="BY195" i="25"/>
  <c r="CA195" i="25" s="1"/>
  <c r="CB195" i="25" s="1"/>
  <c r="BL195" i="25"/>
  <c r="BK195" i="25"/>
  <c r="AA192" i="29"/>
  <c r="AJ191" i="29"/>
  <c r="AK191" i="29" s="1"/>
  <c r="AJ143" i="29"/>
  <c r="AK143" i="29" s="1"/>
  <c r="AA144" i="29"/>
  <c r="AJ167" i="29"/>
  <c r="AK167" i="29" s="1"/>
  <c r="AA168" i="29"/>
  <c r="AA243" i="29"/>
  <c r="AJ281" i="29"/>
  <c r="AK281" i="29" s="1"/>
  <c r="AA282" i="29"/>
  <c r="AJ599" i="29"/>
  <c r="AK599" i="29" s="1"/>
  <c r="AA600" i="29"/>
  <c r="AA354" i="29"/>
  <c r="AJ551" i="29"/>
  <c r="AK551" i="29" s="1"/>
  <c r="AA552" i="29"/>
  <c r="AA537" i="29"/>
  <c r="AJ536" i="29"/>
  <c r="AK536" i="29" s="1"/>
  <c r="BY121" i="25"/>
  <c r="CA121" i="25" s="1"/>
  <c r="BL121" i="25"/>
  <c r="BK121" i="25"/>
  <c r="AA54" i="29"/>
  <c r="AJ53" i="29"/>
  <c r="AK53" i="29" s="1"/>
  <c r="AJ388" i="29"/>
  <c r="AK388" i="29" s="1"/>
  <c r="AA389" i="29"/>
  <c r="AA302" i="29"/>
  <c r="AA612" i="29"/>
  <c r="AJ611" i="29"/>
  <c r="AK611" i="29" s="1"/>
  <c r="BY182" i="25"/>
  <c r="CA182" i="25" s="1"/>
  <c r="BL182" i="25"/>
  <c r="BK182" i="25"/>
  <c r="AA21" i="29"/>
  <c r="AJ20" i="29"/>
  <c r="AK20" i="29" s="1"/>
  <c r="AA45" i="29"/>
  <c r="AJ44" i="29"/>
  <c r="AA256" i="29"/>
  <c r="AJ255" i="29"/>
  <c r="AK255" i="29" s="1"/>
  <c r="AJ59" i="29"/>
  <c r="AK59" i="29" s="1"/>
  <c r="AA60" i="29"/>
  <c r="BY227" i="25"/>
  <c r="CA227" i="25" s="1"/>
  <c r="CB227" i="25" s="1"/>
  <c r="BL227" i="25"/>
  <c r="BK227" i="25"/>
  <c r="AJ295" i="29"/>
  <c r="AK295" i="29" s="1"/>
  <c r="AA296" i="29"/>
  <c r="BY269" i="25"/>
  <c r="CA269" i="25" s="1"/>
  <c r="CB269" i="25" s="1"/>
  <c r="BL269" i="25"/>
  <c r="BK269" i="25"/>
  <c r="AA589" i="29"/>
  <c r="AA298" i="29"/>
  <c r="AJ95" i="29"/>
  <c r="AK95" i="29" s="1"/>
  <c r="AA96" i="29"/>
  <c r="BL112" i="25"/>
  <c r="BY112" i="25"/>
  <c r="CA112" i="25" s="1"/>
  <c r="BK112" i="25"/>
  <c r="AA175" i="29"/>
  <c r="AJ174" i="29"/>
  <c r="AK174" i="29" s="1"/>
  <c r="AA178" i="29"/>
  <c r="BL304" i="25"/>
  <c r="BY304" i="25"/>
  <c r="CA304" i="25" s="1"/>
  <c r="CB304" i="25" s="1"/>
  <c r="BK304" i="25"/>
  <c r="AA370" i="29"/>
  <c r="BY307" i="25"/>
  <c r="CA307" i="25" s="1"/>
  <c r="CB307" i="25" s="1"/>
  <c r="BL307" i="25"/>
  <c r="BK307" i="25"/>
  <c r="BY230" i="25"/>
  <c r="CA230" i="25" s="1"/>
  <c r="CB230" i="25" s="1"/>
  <c r="BL230" i="25"/>
  <c r="BK230" i="25"/>
  <c r="AA518" i="29"/>
  <c r="AJ517" i="29"/>
  <c r="AK517" i="29" s="1"/>
  <c r="AA20" i="29"/>
  <c r="BY274" i="25"/>
  <c r="CA274" i="25" s="1"/>
  <c r="CB274" i="25" s="1"/>
  <c r="BL274" i="25"/>
  <c r="BK274" i="25"/>
  <c r="AA24" i="29"/>
  <c r="AA258" i="29"/>
  <c r="AJ257" i="29"/>
  <c r="AK257" i="29" s="1"/>
  <c r="AA159" i="29"/>
  <c r="AJ158" i="29"/>
  <c r="AK158" i="29" s="1"/>
  <c r="BY295" i="25"/>
  <c r="CA295" i="25" s="1"/>
  <c r="CB295" i="25" s="1"/>
  <c r="BL295" i="25"/>
  <c r="BK295" i="25"/>
  <c r="AA479" i="29"/>
  <c r="AJ478" i="29"/>
  <c r="AK478" i="29" s="1"/>
  <c r="AA477" i="29"/>
  <c r="AJ476" i="29"/>
  <c r="AK476" i="29" s="1"/>
  <c r="AA333" i="29"/>
  <c r="AJ332" i="29"/>
  <c r="AK332" i="29" s="1"/>
  <c r="BL184" i="25"/>
  <c r="BY184" i="25"/>
  <c r="CA184" i="25" s="1"/>
  <c r="BK184" i="25"/>
  <c r="AA281" i="29"/>
  <c r="AJ50" i="29"/>
  <c r="AK50" i="29" s="1"/>
  <c r="AA51" i="29"/>
  <c r="BY120" i="25"/>
  <c r="CA120" i="25" s="1"/>
  <c r="CB120" i="25" s="1"/>
  <c r="BL120" i="25"/>
  <c r="BK120" i="25"/>
  <c r="AA545" i="29"/>
  <c r="AJ544" i="29"/>
  <c r="AK544" i="29" s="1"/>
  <c r="AA323" i="29"/>
  <c r="BY25" i="25"/>
  <c r="CA25" i="25" s="1"/>
  <c r="CB25" i="25" s="1"/>
  <c r="BL25" i="25"/>
  <c r="AA559" i="29"/>
  <c r="AJ558" i="29"/>
  <c r="AK558" i="29" s="1"/>
  <c r="BY115" i="25"/>
  <c r="CA115" i="25" s="1"/>
  <c r="BL115" i="25"/>
  <c r="BK115" i="25"/>
  <c r="BL249" i="25"/>
  <c r="BY249" i="25"/>
  <c r="CA249" i="25" s="1"/>
  <c r="CB249" i="25" s="1"/>
  <c r="BK249" i="25"/>
  <c r="AA171" i="29"/>
  <c r="AJ64" i="29"/>
  <c r="AK64" i="29" s="1"/>
  <c r="AA65" i="29"/>
  <c r="AA338" i="29"/>
  <c r="AJ337" i="29"/>
  <c r="AK337" i="29" s="1"/>
  <c r="AJ408" i="29"/>
  <c r="AK408" i="29" s="1"/>
  <c r="AA409" i="29"/>
  <c r="AA313" i="29"/>
  <c r="AA57" i="29"/>
  <c r="AA208" i="29"/>
  <c r="AJ134" i="29"/>
  <c r="AK134" i="29" s="1"/>
  <c r="AA135" i="29"/>
  <c r="AJ354" i="29"/>
  <c r="AK354" i="29" s="1"/>
  <c r="AA355" i="29"/>
  <c r="AJ364" i="29"/>
  <c r="AK364" i="29" s="1"/>
  <c r="AA365" i="29"/>
  <c r="AA36" i="29"/>
  <c r="AJ35" i="29"/>
  <c r="AK35" i="29" s="1"/>
  <c r="BY103" i="25"/>
  <c r="CA103" i="25" s="1"/>
  <c r="CB103" i="25" s="1"/>
  <c r="BL103" i="25"/>
  <c r="AJ274" i="29"/>
  <c r="AK274" i="29" s="1"/>
  <c r="AA275" i="29"/>
  <c r="AJ362" i="29"/>
  <c r="AK362" i="29" s="1"/>
  <c r="AA363" i="29"/>
  <c r="AA230" i="29"/>
  <c r="AJ229" i="29"/>
  <c r="AK229" i="29" s="1"/>
  <c r="AJ377" i="29"/>
  <c r="AK377" i="29" s="1"/>
  <c r="AA378" i="29"/>
  <c r="BY138" i="25"/>
  <c r="CA138" i="25" s="1"/>
  <c r="BL138" i="25"/>
  <c r="BK138" i="25"/>
  <c r="BY277" i="25"/>
  <c r="CA277" i="25" s="1"/>
  <c r="CB277" i="25" s="1"/>
  <c r="BL277" i="25"/>
  <c r="BK277" i="25"/>
  <c r="BL221" i="25"/>
  <c r="BY221" i="25"/>
  <c r="CA221" i="25" s="1"/>
  <c r="CB221" i="25" s="1"/>
  <c r="BK221" i="25"/>
  <c r="BY124" i="25"/>
  <c r="CA124" i="25" s="1"/>
  <c r="CB124" i="25" s="1"/>
  <c r="BL124" i="25"/>
  <c r="BK124" i="25"/>
  <c r="BY117" i="25"/>
  <c r="CA117" i="25" s="1"/>
  <c r="BL117" i="25"/>
  <c r="BK117" i="25"/>
  <c r="AA290" i="29"/>
  <c r="AA32" i="29"/>
  <c r="AJ31" i="29"/>
  <c r="AK31" i="29" s="1"/>
  <c r="AA42" i="29"/>
  <c r="AH585" i="29"/>
  <c r="X585" i="29"/>
  <c r="Y585" i="29" s="1"/>
  <c r="AA500" i="29"/>
  <c r="AJ499" i="29"/>
  <c r="AK499" i="29" s="1"/>
  <c r="BY70" i="25"/>
  <c r="CA70" i="25" s="1"/>
  <c r="CB70" i="25" s="1"/>
  <c r="BL70" i="25"/>
  <c r="AJ211" i="29"/>
  <c r="AK211" i="29" s="1"/>
  <c r="AA212" i="29"/>
  <c r="AA190" i="29"/>
  <c r="AJ189" i="29"/>
  <c r="AK189" i="29" s="1"/>
  <c r="BL196" i="25"/>
  <c r="BY196" i="25"/>
  <c r="CA196" i="25" s="1"/>
  <c r="BK196" i="25"/>
  <c r="AA581" i="29"/>
  <c r="AJ580" i="29"/>
  <c r="AK580" i="29" s="1"/>
  <c r="AA22" i="29"/>
  <c r="AJ21" i="29"/>
  <c r="AK21" i="29" s="1"/>
  <c r="AA548" i="29"/>
  <c r="BY66" i="25"/>
  <c r="CA66" i="25" s="1"/>
  <c r="CB66" i="25" s="1"/>
  <c r="BL66" i="25"/>
  <c r="AA574" i="29"/>
  <c r="AA119" i="29"/>
  <c r="AJ118" i="29"/>
  <c r="AK118" i="29" s="1"/>
  <c r="BY12" i="25"/>
  <c r="CA12" i="25" s="1"/>
  <c r="BL12" i="25"/>
  <c r="AA110" i="29"/>
  <c r="AA300" i="29"/>
  <c r="AJ299" i="29"/>
  <c r="AK299" i="29" s="1"/>
  <c r="AJ482" i="29"/>
  <c r="AK482" i="29" s="1"/>
  <c r="AA483" i="29"/>
  <c r="AA411" i="29"/>
  <c r="AA540" i="29"/>
  <c r="AJ539" i="29"/>
  <c r="AK539" i="29" s="1"/>
  <c r="BY132" i="25"/>
  <c r="CA132" i="25" s="1"/>
  <c r="BL132" i="25"/>
  <c r="BK132" i="25"/>
  <c r="AJ519" i="29"/>
  <c r="AK519" i="29" s="1"/>
  <c r="AA520" i="29"/>
  <c r="AA48" i="29"/>
  <c r="AJ47" i="29"/>
  <c r="AK47" i="29" s="1"/>
  <c r="AJ228" i="29"/>
  <c r="AK228" i="29" s="1"/>
  <c r="AA229" i="29"/>
  <c r="AA307" i="29"/>
  <c r="AJ306" i="29"/>
  <c r="AK306" i="29" s="1"/>
  <c r="BY17" i="25"/>
  <c r="CA17" i="25" s="1"/>
  <c r="CB17" i="25" s="1"/>
  <c r="BL17" i="25"/>
  <c r="BL164" i="25"/>
  <c r="BY164" i="25"/>
  <c r="CA164" i="25" s="1"/>
  <c r="BK164" i="25"/>
  <c r="BY152" i="25"/>
  <c r="CA152" i="25" s="1"/>
  <c r="BL152" i="25"/>
  <c r="BK152" i="25"/>
  <c r="AA106" i="29"/>
  <c r="AJ105" i="29"/>
  <c r="AK105" i="29" s="1"/>
  <c r="AA117" i="29"/>
  <c r="AA46" i="29"/>
  <c r="AJ45" i="29"/>
  <c r="AA580" i="29"/>
  <c r="AJ579" i="29"/>
  <c r="AK579" i="29" s="1"/>
  <c r="AA593" i="29"/>
  <c r="AJ592" i="29"/>
  <c r="AK592" i="29" s="1"/>
  <c r="AA189" i="29"/>
  <c r="AJ188" i="29"/>
  <c r="AK188" i="29" s="1"/>
  <c r="AJ265" i="29"/>
  <c r="AK265" i="29" s="1"/>
  <c r="AA266" i="29"/>
  <c r="AA126" i="29"/>
  <c r="AJ125" i="29"/>
  <c r="AK125" i="29" s="1"/>
  <c r="BY52" i="25"/>
  <c r="CA52" i="25" s="1"/>
  <c r="BL52" i="25"/>
  <c r="AA505" i="29"/>
  <c r="AJ504" i="29"/>
  <c r="AK504" i="29" s="1"/>
  <c r="AA602" i="29"/>
  <c r="AJ601" i="29"/>
  <c r="AK601" i="29" s="1"/>
  <c r="AJ232" i="29"/>
  <c r="AK232" i="29" s="1"/>
  <c r="AA233" i="29"/>
  <c r="AA484" i="29"/>
  <c r="AJ483" i="29"/>
  <c r="AK483" i="29" s="1"/>
  <c r="BL90" i="25"/>
  <c r="BY90" i="25"/>
  <c r="CA90" i="25" s="1"/>
  <c r="AA165" i="29"/>
  <c r="AA18" i="29"/>
  <c r="AJ17" i="29"/>
  <c r="AK17" i="29" s="1"/>
  <c r="AA510" i="29"/>
  <c r="AJ509" i="29"/>
  <c r="AK509" i="29" s="1"/>
  <c r="AA379" i="29"/>
  <c r="AJ378" i="29"/>
  <c r="AK378" i="29" s="1"/>
  <c r="AJ568" i="29"/>
  <c r="AK568" i="29" s="1"/>
  <c r="AA569" i="29"/>
  <c r="AA239" i="29"/>
  <c r="AJ238" i="29"/>
  <c r="AK238" i="29" s="1"/>
  <c r="AA536" i="29"/>
  <c r="AJ535" i="29"/>
  <c r="AK535" i="29" s="1"/>
  <c r="BL111" i="25"/>
  <c r="BY111" i="25"/>
  <c r="CA111" i="25" s="1"/>
  <c r="BK111" i="25"/>
  <c r="AA162" i="29"/>
  <c r="AJ161" i="29"/>
  <c r="AK161" i="29" s="1"/>
  <c r="AA366" i="29"/>
  <c r="AJ365" i="29"/>
  <c r="AK365" i="29" s="1"/>
  <c r="AJ545" i="29"/>
  <c r="AK545" i="29" s="1"/>
  <c r="AA546" i="29"/>
  <c r="BY166" i="25"/>
  <c r="CA166" i="25" s="1"/>
  <c r="BL166" i="25"/>
  <c r="BK166" i="25"/>
  <c r="AA470" i="29"/>
  <c r="AJ469" i="29"/>
  <c r="AK469" i="29" s="1"/>
  <c r="AJ508" i="29"/>
  <c r="AK508" i="29" s="1"/>
  <c r="AA509" i="29"/>
  <c r="AA62" i="29"/>
  <c r="AJ61" i="29"/>
  <c r="AK61" i="29" s="1"/>
  <c r="AA447" i="29"/>
  <c r="AJ446" i="29"/>
  <c r="AK446" i="29" s="1"/>
  <c r="AA152" i="29"/>
  <c r="AJ151" i="29"/>
  <c r="AK151" i="29" s="1"/>
  <c r="AA517" i="29"/>
  <c r="AJ516" i="29"/>
  <c r="AK516" i="29" s="1"/>
  <c r="AA308" i="29"/>
  <c r="AJ307" i="29"/>
  <c r="BY207" i="25"/>
  <c r="CA207" i="25" s="1"/>
  <c r="BL207" i="25"/>
  <c r="BK207" i="25"/>
  <c r="AA607" i="29"/>
  <c r="AJ606" i="29"/>
  <c r="AK606" i="29" s="1"/>
  <c r="AA530" i="29"/>
  <c r="BY7" i="25"/>
  <c r="CA7" i="25" s="1"/>
  <c r="BL7" i="25"/>
  <c r="AA318" i="29"/>
  <c r="AJ317" i="29"/>
  <c r="AK317" i="29" s="1"/>
  <c r="BY288" i="25"/>
  <c r="CA288" i="25" s="1"/>
  <c r="CB288" i="25" s="1"/>
  <c r="BL288" i="25"/>
  <c r="BK288" i="25"/>
  <c r="BY180" i="25"/>
  <c r="CA180" i="25" s="1"/>
  <c r="BL180" i="25"/>
  <c r="BK180" i="25"/>
  <c r="AA543" i="29"/>
  <c r="BY183" i="25"/>
  <c r="CA183" i="25" s="1"/>
  <c r="BL183" i="25"/>
  <c r="BK183" i="25"/>
  <c r="BY222" i="25"/>
  <c r="CA222" i="25" s="1"/>
  <c r="CB222" i="25" s="1"/>
  <c r="BL222" i="25"/>
  <c r="BK222" i="25"/>
  <c r="BY127" i="25"/>
  <c r="CA127" i="25" s="1"/>
  <c r="CB127" i="25" s="1"/>
  <c r="BL127" i="25"/>
  <c r="BK127" i="25"/>
  <c r="AA114" i="29"/>
  <c r="BY235" i="25"/>
  <c r="CA235" i="25" s="1"/>
  <c r="CB235" i="25" s="1"/>
  <c r="BL235" i="25"/>
  <c r="BK235" i="25"/>
  <c r="AA384" i="29"/>
  <c r="AA121" i="29"/>
  <c r="AJ120" i="29"/>
  <c r="AK120" i="29" s="1"/>
  <c r="BY42" i="25"/>
  <c r="CA42" i="25" s="1"/>
  <c r="CB42" i="25" s="1"/>
  <c r="BL42" i="25"/>
  <c r="AA124" i="29"/>
  <c r="AJ123" i="29"/>
  <c r="AK123" i="29" s="1"/>
  <c r="AA118" i="29"/>
  <c r="AJ117" i="29"/>
  <c r="AK117" i="29" s="1"/>
  <c r="BL188" i="25"/>
  <c r="BY188" i="25"/>
  <c r="CA188" i="25" s="1"/>
  <c r="CB188" i="25" s="1"/>
  <c r="BK188" i="25"/>
  <c r="AJ403" i="29"/>
  <c r="AK403" i="29" s="1"/>
  <c r="AA404" i="29"/>
  <c r="BL58" i="25"/>
  <c r="BY58" i="25"/>
  <c r="CA58" i="25" s="1"/>
  <c r="CB58" i="25" s="1"/>
  <c r="AA466" i="29"/>
  <c r="AA472" i="29"/>
  <c r="AJ471" i="29"/>
  <c r="AK471" i="29" s="1"/>
  <c r="BY105" i="25"/>
  <c r="CA105" i="25" s="1"/>
  <c r="BL105" i="25"/>
  <c r="AA252" i="29"/>
  <c r="AA467" i="29"/>
  <c r="AJ466" i="29"/>
  <c r="AK466" i="29" s="1"/>
  <c r="AA83" i="29"/>
  <c r="BL81" i="25"/>
  <c r="BY81" i="25"/>
  <c r="CA81" i="25" s="1"/>
  <c r="AJ303" i="29"/>
  <c r="AK303" i="29" s="1"/>
  <c r="AA304" i="29"/>
  <c r="AA58" i="29"/>
  <c r="AJ57" i="29"/>
  <c r="AK57" i="29" s="1"/>
  <c r="BL202" i="25"/>
  <c r="BY202" i="25"/>
  <c r="CA202" i="25" s="1"/>
  <c r="BK202" i="25"/>
  <c r="AJ110" i="29"/>
  <c r="AK110" i="29" s="1"/>
  <c r="AA111" i="29"/>
  <c r="AJ323" i="29"/>
  <c r="AK323" i="29" s="1"/>
  <c r="AA324" i="29"/>
  <c r="AA604" i="29"/>
  <c r="AA226" i="29"/>
  <c r="AA527" i="29"/>
  <c r="BY18" i="25"/>
  <c r="CA18" i="25" s="1"/>
  <c r="CB18" i="25" s="1"/>
  <c r="BL18" i="25"/>
  <c r="AA167" i="29"/>
  <c r="BY223" i="25"/>
  <c r="CA223" i="25" s="1"/>
  <c r="CB223" i="25" s="1"/>
  <c r="BL223" i="25"/>
  <c r="BK223" i="25"/>
  <c r="AA491" i="29"/>
  <c r="AJ490" i="29"/>
  <c r="AK490" i="29" s="1"/>
  <c r="AA321" i="29"/>
  <c r="AJ320" i="29"/>
  <c r="AK320" i="29" s="1"/>
  <c r="AA486" i="29"/>
  <c r="AJ485" i="29"/>
  <c r="AK485" i="29" s="1"/>
  <c r="AA292" i="29"/>
  <c r="BL45" i="25"/>
  <c r="BY45" i="25"/>
  <c r="CA45" i="25" s="1"/>
  <c r="AA381" i="29"/>
  <c r="BY40" i="25"/>
  <c r="CA40" i="25" s="1"/>
  <c r="CB40" i="25" s="1"/>
  <c r="BL40" i="25"/>
  <c r="D65" i="29"/>
  <c r="E61" i="1" s="1"/>
  <c r="D62" i="29"/>
  <c r="D66" i="29" s="1"/>
  <c r="E63" i="1" s="1"/>
  <c r="AJ370" i="29"/>
  <c r="AK370" i="29" s="1"/>
  <c r="AA371" i="29"/>
  <c r="BL149" i="25"/>
  <c r="BY149" i="25"/>
  <c r="CA149" i="25" s="1"/>
  <c r="BK149" i="25"/>
  <c r="AJ171" i="29"/>
  <c r="AK171" i="29" s="1"/>
  <c r="AA172" i="29"/>
  <c r="AA105" i="29"/>
  <c r="AJ104" i="29"/>
  <c r="AK104" i="29" s="1"/>
  <c r="BY171" i="25"/>
  <c r="CA171" i="25" s="1"/>
  <c r="BL171" i="25"/>
  <c r="BK171" i="25"/>
  <c r="AA92" i="29"/>
  <c r="BY54" i="25"/>
  <c r="CA54" i="25" s="1"/>
  <c r="BL54" i="25"/>
  <c r="AA93" i="29"/>
  <c r="AJ92" i="29"/>
  <c r="AK92" i="29" s="1"/>
  <c r="AA453" i="29"/>
  <c r="AJ452" i="29"/>
  <c r="AK452" i="29" s="1"/>
  <c r="AJ283" i="29"/>
  <c r="AK283" i="29" s="1"/>
  <c r="AA284" i="29"/>
  <c r="BL313" i="25"/>
  <c r="BY313" i="25"/>
  <c r="CA313" i="25" s="1"/>
  <c r="CB313" i="25" s="1"/>
  <c r="BK313" i="25"/>
  <c r="AJ423" i="29"/>
  <c r="AK423" i="29" s="1"/>
  <c r="AA424" i="29"/>
  <c r="AA428" i="29"/>
  <c r="AJ427" i="29"/>
  <c r="AK427" i="29" s="1"/>
  <c r="AA417" i="29"/>
  <c r="AJ416" i="29"/>
  <c r="AK416" i="29" s="1"/>
  <c r="BL101" i="25"/>
  <c r="BY101" i="25"/>
  <c r="CA101" i="25" s="1"/>
  <c r="AJ390" i="29"/>
  <c r="AK390" i="29" s="1"/>
  <c r="AA391" i="29"/>
  <c r="AJ512" i="29"/>
  <c r="AK512" i="29" s="1"/>
  <c r="AA513" i="29"/>
  <c r="BL68" i="25"/>
  <c r="BY68" i="25"/>
  <c r="CA68" i="25" s="1"/>
  <c r="AA523" i="29"/>
  <c r="AA94" i="29"/>
  <c r="AJ93" i="29"/>
  <c r="AK93" i="29" s="1"/>
  <c r="BY78" i="25"/>
  <c r="CA78" i="25" s="1"/>
  <c r="CB78" i="25" s="1"/>
  <c r="BL78" i="25"/>
  <c r="AJ523" i="29"/>
  <c r="AK523" i="29" s="1"/>
  <c r="AA524" i="29"/>
  <c r="BL139" i="25"/>
  <c r="BY139" i="25"/>
  <c r="CA139" i="25" s="1"/>
  <c r="CB139" i="25" s="1"/>
  <c r="BK139" i="25"/>
  <c r="BY37" i="25"/>
  <c r="CA37" i="25" s="1"/>
  <c r="CB37" i="25" s="1"/>
  <c r="BL37" i="25"/>
  <c r="BY299" i="25"/>
  <c r="CA299" i="25" s="1"/>
  <c r="CB299" i="25" s="1"/>
  <c r="BL299" i="25"/>
  <c r="BK299" i="25"/>
  <c r="AJ567" i="29"/>
  <c r="AK567" i="29" s="1"/>
  <c r="AA568" i="29"/>
  <c r="AJ227" i="29"/>
  <c r="AK227" i="29" s="1"/>
  <c r="AA228" i="29"/>
  <c r="BL46" i="25"/>
  <c r="BY46" i="25"/>
  <c r="CA46" i="25" s="1"/>
  <c r="CB46" i="25" s="1"/>
  <c r="AA139" i="29"/>
  <c r="AJ138" i="29"/>
  <c r="AK138" i="29" s="1"/>
  <c r="BY20" i="25"/>
  <c r="CA20" i="25" s="1"/>
  <c r="CB20" i="25" s="1"/>
  <c r="BL20" i="25"/>
  <c r="AJ417" i="29"/>
  <c r="AK417" i="29" s="1"/>
  <c r="AA418" i="29"/>
  <c r="AA250" i="29"/>
  <c r="AJ249" i="29"/>
  <c r="AK249" i="29" s="1"/>
  <c r="BL156" i="25"/>
  <c r="BY156" i="25"/>
  <c r="CA156" i="25" s="1"/>
  <c r="BK156" i="25"/>
  <c r="AA400" i="29"/>
  <c r="AJ399" i="29"/>
  <c r="AK399" i="29" s="1"/>
  <c r="AA461" i="29"/>
  <c r="AJ460" i="29"/>
  <c r="AK460" i="29" s="1"/>
  <c r="AA235" i="29"/>
  <c r="AJ457" i="29"/>
  <c r="AK457" i="29" s="1"/>
  <c r="AA458" i="29"/>
  <c r="AA80" i="29"/>
  <c r="AJ79" i="29"/>
  <c r="AK79" i="29" s="1"/>
  <c r="AA309" i="29"/>
  <c r="AJ308" i="29"/>
  <c r="AK308" i="29" s="1"/>
  <c r="AJ201" i="29"/>
  <c r="AK201" i="29" s="1"/>
  <c r="AA202" i="29"/>
  <c r="BL298" i="25"/>
  <c r="BY298" i="25"/>
  <c r="CA298" i="25" s="1"/>
  <c r="CB298" i="25" s="1"/>
  <c r="BK298" i="25"/>
  <c r="AA427" i="29"/>
  <c r="AJ426" i="29"/>
  <c r="AK426" i="29" s="1"/>
  <c r="AJ46" i="29"/>
  <c r="AA47" i="29"/>
  <c r="AJ127" i="29"/>
  <c r="AK127" i="29" s="1"/>
  <c r="AA128" i="29"/>
  <c r="BY140" i="25"/>
  <c r="CA140" i="25" s="1"/>
  <c r="CB140" i="25" s="1"/>
  <c r="BL140" i="25"/>
  <c r="BK140" i="25"/>
  <c r="AA440" i="29"/>
  <c r="BY311" i="25"/>
  <c r="CA311" i="25" s="1"/>
  <c r="CB311" i="25" s="1"/>
  <c r="BL311" i="25"/>
  <c r="BK311" i="25"/>
  <c r="BY251" i="25"/>
  <c r="CA251" i="25" s="1"/>
  <c r="CB251" i="25" s="1"/>
  <c r="BL251" i="25"/>
  <c r="BK251" i="25"/>
  <c r="AJ604" i="29"/>
  <c r="AK604" i="29" s="1"/>
  <c r="AA605" i="29"/>
  <c r="AA157" i="29"/>
  <c r="BL219" i="25"/>
  <c r="BY219" i="25"/>
  <c r="CA219" i="25" s="1"/>
  <c r="CB219" i="25" s="1"/>
  <c r="BK219" i="25"/>
  <c r="AA508" i="29"/>
  <c r="AJ574" i="29"/>
  <c r="AK574" i="29" s="1"/>
  <c r="AA575" i="29"/>
  <c r="AA591" i="29"/>
  <c r="AJ590" i="29"/>
  <c r="AK590" i="29" s="1"/>
  <c r="AA544" i="29"/>
  <c r="AJ543" i="29"/>
  <c r="AK543" i="29" s="1"/>
  <c r="AA334" i="29"/>
  <c r="AJ333" i="29"/>
  <c r="AK333" i="29" s="1"/>
  <c r="BY191" i="25"/>
  <c r="CA191" i="25" s="1"/>
  <c r="BL191" i="25"/>
  <c r="BK191" i="25"/>
  <c r="CB122" i="25" l="1"/>
  <c r="CF122" i="25"/>
  <c r="CB19" i="25"/>
  <c r="CF19" i="25"/>
  <c r="CB9" i="25"/>
  <c r="CF9" i="25"/>
  <c r="CB38" i="25"/>
  <c r="CF38" i="25"/>
  <c r="CB134" i="25"/>
  <c r="CF134" i="25"/>
  <c r="CB39" i="25"/>
  <c r="CF39" i="25"/>
  <c r="AK307" i="29"/>
  <c r="CB141" i="25"/>
  <c r="CF141" i="25"/>
  <c r="CB54" i="25"/>
  <c r="CF54" i="25"/>
  <c r="AK396" i="29"/>
  <c r="CB12" i="25"/>
  <c r="CF12" i="25"/>
  <c r="CB142" i="25"/>
  <c r="CF142" i="25"/>
  <c r="AK46" i="29"/>
  <c r="AK197" i="29"/>
  <c r="CB133" i="25"/>
  <c r="CF133" i="25"/>
  <c r="AK241" i="29"/>
  <c r="AJ540" i="29"/>
  <c r="AK540" i="29" s="1"/>
  <c r="CB7" i="25"/>
  <c r="CF7" i="25"/>
  <c r="CB83" i="25"/>
  <c r="CF83" i="25"/>
  <c r="AK45" i="29"/>
  <c r="CB118" i="25"/>
  <c r="CF118" i="25"/>
  <c r="CB48" i="25"/>
  <c r="CF48" i="25"/>
  <c r="CB149" i="25"/>
  <c r="CF149" i="25"/>
  <c r="AK269" i="29"/>
  <c r="CB68" i="25"/>
  <c r="CF68" i="25"/>
  <c r="AK288" i="29"/>
  <c r="CB73" i="25"/>
  <c r="CF73" i="25"/>
  <c r="AA584" i="29"/>
  <c r="AK126" i="29"/>
  <c r="AK114" i="29"/>
  <c r="AA225" i="29"/>
  <c r="AJ162" i="29"/>
  <c r="AK162" i="29" s="1"/>
  <c r="AA380" i="29"/>
  <c r="AJ225" i="29"/>
  <c r="AK225" i="29" s="1"/>
  <c r="AK311" i="29"/>
  <c r="AJ379" i="29"/>
  <c r="AK379" i="29" s="1"/>
  <c r="CB57" i="25"/>
  <c r="CF57" i="25"/>
  <c r="L111" i="2"/>
  <c r="L112" i="2" s="1"/>
  <c r="L26" i="1" s="1"/>
  <c r="CB112" i="25"/>
  <c r="CF112" i="25"/>
  <c r="AK44" i="29"/>
  <c r="CB130" i="25"/>
  <c r="CF130" i="25"/>
  <c r="CB27" i="25"/>
  <c r="CF27" i="25"/>
  <c r="CB125" i="25"/>
  <c r="CF125" i="25"/>
  <c r="CB10" i="25"/>
  <c r="CF10" i="25"/>
  <c r="CB115" i="25"/>
  <c r="CF115" i="25"/>
  <c r="CB88" i="25"/>
  <c r="CF88" i="25"/>
  <c r="CB121" i="25"/>
  <c r="CF121" i="25"/>
  <c r="CB22" i="25"/>
  <c r="CF22" i="25"/>
  <c r="CB162" i="25"/>
  <c r="CF162" i="25"/>
  <c r="CB77" i="25"/>
  <c r="CF77" i="25"/>
  <c r="CB60" i="25"/>
  <c r="CF60" i="25"/>
  <c r="CB116" i="25"/>
  <c r="CF116" i="25"/>
  <c r="CB117" i="25"/>
  <c r="CF117" i="25"/>
  <c r="CB65" i="25"/>
  <c r="CF65" i="25"/>
  <c r="CB111" i="25"/>
  <c r="CF111" i="25"/>
  <c r="AK106" i="29"/>
  <c r="AA566" i="29"/>
  <c r="AK94" i="29"/>
  <c r="AJ261" i="29"/>
  <c r="AK261" i="29" s="1"/>
  <c r="AJ566" i="29"/>
  <c r="AK566" i="29" s="1"/>
  <c r="AJ223" i="29"/>
  <c r="AK223" i="29" s="1"/>
  <c r="AJ260" i="29"/>
  <c r="AK260" i="29" s="1"/>
  <c r="AJ136" i="29"/>
  <c r="AK136" i="29" s="1"/>
  <c r="AA137" i="29"/>
  <c r="AJ113" i="29"/>
  <c r="AK113" i="29" s="1"/>
  <c r="AA113" i="29"/>
  <c r="AJ252" i="29"/>
  <c r="AK252" i="29" s="1"/>
  <c r="AJ19" i="29"/>
  <c r="AK19" i="29" s="1"/>
  <c r="AJ49" i="29"/>
  <c r="AK49" i="29" s="1"/>
  <c r="CB86" i="25"/>
  <c r="CF86" i="25"/>
  <c r="AA19" i="29"/>
  <c r="CB152" i="25"/>
  <c r="CF152" i="25"/>
  <c r="AK101" i="29"/>
  <c r="CF154" i="25"/>
  <c r="CB56" i="25"/>
  <c r="CF56" i="25"/>
  <c r="CB205" i="25"/>
  <c r="CF205" i="25"/>
  <c r="CB200" i="25"/>
  <c r="CF200" i="25"/>
  <c r="CB153" i="25"/>
  <c r="CF153" i="25"/>
  <c r="CB64" i="25"/>
  <c r="CF64" i="25"/>
  <c r="CB193" i="25"/>
  <c r="CF193" i="25"/>
  <c r="CB159" i="25"/>
  <c r="CF159" i="25"/>
  <c r="CB81" i="25"/>
  <c r="CF81" i="25"/>
  <c r="CB164" i="25"/>
  <c r="CF164" i="25"/>
  <c r="CB101" i="25"/>
  <c r="CF101" i="25"/>
  <c r="CB185" i="25"/>
  <c r="CF185" i="25"/>
  <c r="CB169" i="25"/>
  <c r="CF169" i="25"/>
  <c r="CB181" i="25"/>
  <c r="CF181" i="25"/>
  <c r="AJ342" i="29"/>
  <c r="AK342" i="29" s="1"/>
  <c r="CB151" i="25"/>
  <c r="CF151" i="25"/>
  <c r="AA562" i="29"/>
  <c r="AJ561" i="29"/>
  <c r="AK561" i="29" s="1"/>
  <c r="AA603" i="29"/>
  <c r="CB98" i="25"/>
  <c r="CF98" i="25"/>
  <c r="AA49" i="29"/>
  <c r="AA343" i="29"/>
  <c r="AA153" i="29"/>
  <c r="CB191" i="25"/>
  <c r="CF191" i="25"/>
  <c r="CB184" i="25"/>
  <c r="CF184" i="25"/>
  <c r="CB203" i="25"/>
  <c r="CF203" i="25"/>
  <c r="AJ603" i="29"/>
  <c r="AK603" i="29" s="1"/>
  <c r="CB172" i="25"/>
  <c r="CF172" i="25"/>
  <c r="CB202" i="25"/>
  <c r="CF202" i="25"/>
  <c r="AJ507" i="29"/>
  <c r="AK507" i="29" s="1"/>
  <c r="AA322" i="29"/>
  <c r="AJ321" i="29"/>
  <c r="AK321" i="29" s="1"/>
  <c r="AA98" i="29"/>
  <c r="AJ165" i="29"/>
  <c r="AK165" i="29" s="1"/>
  <c r="AA166" i="29"/>
  <c r="AA198" i="29"/>
  <c r="AA109" i="29"/>
  <c r="CB183" i="25"/>
  <c r="CF183" i="25"/>
  <c r="AK80" i="29"/>
  <c r="AJ88" i="29"/>
  <c r="AK88" i="29" s="1"/>
  <c r="AJ493" i="29"/>
  <c r="AK493" i="29" s="1"/>
  <c r="AJ207" i="29"/>
  <c r="AK207" i="29" s="1"/>
  <c r="CB180" i="25"/>
  <c r="CF180" i="25"/>
  <c r="AJ206" i="29"/>
  <c r="AK206" i="29" s="1"/>
  <c r="CB80" i="25"/>
  <c r="CF80" i="25"/>
  <c r="CB52" i="25"/>
  <c r="CF52" i="25"/>
  <c r="CB90" i="25"/>
  <c r="CF90" i="25"/>
  <c r="AJ108" i="29"/>
  <c r="AK108" i="29" s="1"/>
  <c r="CB196" i="25"/>
  <c r="CF196" i="25"/>
  <c r="AJ492" i="29"/>
  <c r="AK492" i="29" s="1"/>
  <c r="AA357" i="29"/>
  <c r="AJ348" i="29"/>
  <c r="AK348" i="29" s="1"/>
  <c r="AA270" i="29"/>
  <c r="AJ122" i="29"/>
  <c r="AK122" i="29" s="1"/>
  <c r="AA507" i="29"/>
  <c r="AJ465" i="29"/>
  <c r="AK465" i="29" s="1"/>
  <c r="AJ329" i="29"/>
  <c r="AK329" i="29" s="1"/>
  <c r="AA465" i="29"/>
  <c r="AA122" i="29"/>
  <c r="AJ330" i="29"/>
  <c r="AK330" i="29" s="1"/>
  <c r="AA571" i="29"/>
  <c r="AJ216" i="29"/>
  <c r="AK216" i="29" s="1"/>
  <c r="AJ571" i="29"/>
  <c r="AK571" i="29" s="1"/>
  <c r="AA557" i="29"/>
  <c r="AJ146" i="29"/>
  <c r="AK146" i="29" s="1"/>
  <c r="AJ147" i="29"/>
  <c r="AK147" i="29" s="1"/>
  <c r="AJ351" i="29"/>
  <c r="AK351" i="29" s="1"/>
  <c r="AJ184" i="29"/>
  <c r="AK184" i="29" s="1"/>
  <c r="AJ13" i="29"/>
  <c r="AK13" i="29" s="1"/>
  <c r="AA185" i="29"/>
  <c r="AA598" i="29"/>
  <c r="AJ597" i="29"/>
  <c r="AK597" i="29" s="1"/>
  <c r="AJ69" i="29"/>
  <c r="AK69" i="29" s="1"/>
  <c r="AA107" i="29"/>
  <c r="AJ373" i="29"/>
  <c r="AK373" i="29" s="1"/>
  <c r="AJ234" i="29"/>
  <c r="AK234" i="29" s="1"/>
  <c r="AJ115" i="29"/>
  <c r="AK115" i="29" s="1"/>
  <c r="AA373" i="29"/>
  <c r="AA115" i="29"/>
  <c r="AJ233" i="29"/>
  <c r="AK233" i="29" s="1"/>
  <c r="CB105" i="25"/>
  <c r="B286" i="2" s="1"/>
  <c r="CF105" i="25"/>
  <c r="AA547" i="29"/>
  <c r="CB132" i="25"/>
  <c r="CF132" i="25"/>
  <c r="CB165" i="25"/>
  <c r="CF165" i="25"/>
  <c r="AJ107" i="29"/>
  <c r="AK107" i="29" s="1"/>
  <c r="AJ422" i="29"/>
  <c r="AK422" i="29" s="1"/>
  <c r="AJ340" i="29"/>
  <c r="AK340" i="29" s="1"/>
  <c r="AA341" i="29"/>
  <c r="AJ24" i="29"/>
  <c r="AK24" i="29" s="1"/>
  <c r="AJ51" i="29"/>
  <c r="AK51" i="29" s="1"/>
  <c r="AJ25" i="29"/>
  <c r="AK25" i="29" s="1"/>
  <c r="CB207" i="25"/>
  <c r="CF207" i="25"/>
  <c r="AJ70" i="29"/>
  <c r="AK70" i="29" s="1"/>
  <c r="AJ326" i="29"/>
  <c r="AK326" i="29" s="1"/>
  <c r="AJ156" i="29"/>
  <c r="AK156" i="29" s="1"/>
  <c r="AA52" i="29"/>
  <c r="AJ428" i="29"/>
  <c r="AK428" i="29" s="1"/>
  <c r="AJ291" i="29"/>
  <c r="AK291" i="29" s="1"/>
  <c r="AA291" i="29"/>
  <c r="AJ253" i="29"/>
  <c r="AK253" i="29" s="1"/>
  <c r="AA254" i="29"/>
  <c r="AJ513" i="29"/>
  <c r="AK513" i="29" s="1"/>
  <c r="AJ547" i="29"/>
  <c r="AK547" i="29" s="1"/>
  <c r="AA326" i="29"/>
  <c r="AJ498" i="29"/>
  <c r="AK498" i="29" s="1"/>
  <c r="AA156" i="29"/>
  <c r="AJ586" i="29"/>
  <c r="AK586" i="29" s="1"/>
  <c r="AJ497" i="29"/>
  <c r="AK497" i="29" s="1"/>
  <c r="CB209" i="25"/>
  <c r="CF209" i="25"/>
  <c r="AJ116" i="29"/>
  <c r="AK116" i="29" s="1"/>
  <c r="AA242" i="29"/>
  <c r="AJ270" i="29"/>
  <c r="AK270" i="29" s="1"/>
  <c r="AA116" i="29"/>
  <c r="AJ215" i="29"/>
  <c r="AK215" i="29" s="1"/>
  <c r="AA150" i="29"/>
  <c r="AJ209" i="29"/>
  <c r="AK209" i="29" s="1"/>
  <c r="AJ350" i="29"/>
  <c r="AK350" i="29" s="1"/>
  <c r="AJ347" i="29"/>
  <c r="AK347" i="29" s="1"/>
  <c r="AJ89" i="29"/>
  <c r="AK89" i="29" s="1"/>
  <c r="AA480" i="29"/>
  <c r="AJ480" i="29"/>
  <c r="AK480" i="29" s="1"/>
  <c r="AJ90" i="29"/>
  <c r="AK90" i="29" s="1"/>
  <c r="AJ526" i="29"/>
  <c r="AK526" i="29" s="1"/>
  <c r="AJ346" i="29"/>
  <c r="AK346" i="29" s="1"/>
  <c r="AA347" i="29"/>
  <c r="AJ525" i="29"/>
  <c r="AK525" i="29" s="1"/>
  <c r="AJ529" i="29"/>
  <c r="AK529" i="29" s="1"/>
  <c r="AJ289" i="29"/>
  <c r="AK289" i="29" s="1"/>
  <c r="AJ528" i="29"/>
  <c r="AK528" i="29" s="1"/>
  <c r="AA289" i="29"/>
  <c r="AJ139" i="29"/>
  <c r="AK139" i="29" s="1"/>
  <c r="AJ186" i="29"/>
  <c r="AK186" i="29" s="1"/>
  <c r="AJ187" i="29"/>
  <c r="AK187" i="29" s="1"/>
  <c r="AA219" i="29"/>
  <c r="AJ400" i="29"/>
  <c r="AK400" i="29" s="1"/>
  <c r="AA401" i="29"/>
  <c r="AA406" i="29"/>
  <c r="AJ222" i="29"/>
  <c r="AK222" i="29" s="1"/>
  <c r="AJ405" i="29"/>
  <c r="AK405" i="29" s="1"/>
  <c r="CB138" i="25"/>
  <c r="CF138" i="25"/>
  <c r="CB55" i="25"/>
  <c r="CF55" i="25"/>
  <c r="AA140" i="29"/>
  <c r="AJ164" i="29"/>
  <c r="AK164" i="29" s="1"/>
  <c r="AA514" i="29"/>
  <c r="AJ463" i="29"/>
  <c r="AK463" i="29" s="1"/>
  <c r="AJ83" i="29"/>
  <c r="AK83" i="29" s="1"/>
  <c r="AA84" i="29"/>
  <c r="AJ462" i="29"/>
  <c r="AK462" i="29" s="1"/>
  <c r="AJ130" i="29"/>
  <c r="AK130" i="29" s="1"/>
  <c r="AA130" i="29"/>
  <c r="AJ421" i="29"/>
  <c r="AK421" i="29" s="1"/>
  <c r="AJ163" i="29"/>
  <c r="AK163" i="29" s="1"/>
  <c r="AJ242" i="29"/>
  <c r="AK242" i="29" s="1"/>
  <c r="AJ210" i="29"/>
  <c r="AK210" i="29" s="1"/>
  <c r="AJ149" i="29"/>
  <c r="AK149" i="29" s="1"/>
  <c r="AA133" i="29"/>
  <c r="AJ41" i="29"/>
  <c r="AK41" i="29" s="1"/>
  <c r="AJ40" i="29"/>
  <c r="AK40" i="29" s="1"/>
  <c r="AA502" i="29"/>
  <c r="AJ555" i="29"/>
  <c r="AK555" i="29" s="1"/>
  <c r="AA154" i="29"/>
  <c r="AA439" i="29"/>
  <c r="AJ153" i="29"/>
  <c r="AK153" i="29" s="1"/>
  <c r="AJ439" i="29"/>
  <c r="AK439" i="29" s="1"/>
  <c r="AA142" i="29"/>
  <c r="AJ502" i="29"/>
  <c r="AK502" i="29" s="1"/>
  <c r="AJ169" i="29"/>
  <c r="AK169" i="29" s="1"/>
  <c r="AA91" i="29"/>
  <c r="AA610" i="29"/>
  <c r="AJ609" i="29"/>
  <c r="AK609" i="29" s="1"/>
  <c r="AJ447" i="29"/>
  <c r="AK447" i="29" s="1"/>
  <c r="AJ522" i="29"/>
  <c r="AK522" i="29" s="1"/>
  <c r="AJ170" i="29"/>
  <c r="AK170" i="29" s="1"/>
  <c r="AA448" i="29"/>
  <c r="AJ521" i="29"/>
  <c r="AK521" i="29" s="1"/>
  <c r="AJ132" i="29"/>
  <c r="AK132" i="29" s="1"/>
  <c r="AJ221" i="29"/>
  <c r="AK221" i="29" s="1"/>
  <c r="AJ220" i="29"/>
  <c r="AK220" i="29" s="1"/>
  <c r="AJ556" i="29"/>
  <c r="AK556" i="29" s="1"/>
  <c r="AJ176" i="29"/>
  <c r="AK176" i="29" s="1"/>
  <c r="AJ141" i="29"/>
  <c r="AK141" i="29" s="1"/>
  <c r="AA336" i="29"/>
  <c r="AJ474" i="29"/>
  <c r="AK474" i="29" s="1"/>
  <c r="AJ335" i="29"/>
  <c r="AK335" i="29" s="1"/>
  <c r="AJ218" i="29"/>
  <c r="AK218" i="29" s="1"/>
  <c r="AA149" i="29"/>
  <c r="AJ148" i="29"/>
  <c r="AK148" i="29" s="1"/>
  <c r="AJ217" i="29"/>
  <c r="AK217" i="29" s="1"/>
  <c r="AJ473" i="29"/>
  <c r="AK473" i="29" s="1"/>
  <c r="AJ177" i="29"/>
  <c r="AK177" i="29" s="1"/>
  <c r="AJ588" i="29"/>
  <c r="AK588" i="29" s="1"/>
  <c r="AJ349" i="29"/>
  <c r="AK349" i="29" s="1"/>
  <c r="AJ587" i="29"/>
  <c r="AK587" i="29" s="1"/>
  <c r="AA350" i="29"/>
  <c r="CB208" i="25"/>
  <c r="CF208" i="25"/>
  <c r="AJ356" i="29"/>
  <c r="AK356" i="29" s="1"/>
  <c r="AA99" i="29"/>
  <c r="AJ441" i="29"/>
  <c r="AK441" i="29" s="1"/>
  <c r="AJ98" i="29"/>
  <c r="AK98" i="29" s="1"/>
  <c r="AJ278" i="29"/>
  <c r="AK278" i="29" s="1"/>
  <c r="AA573" i="29"/>
  <c r="AJ572" i="29"/>
  <c r="AK572" i="29" s="1"/>
  <c r="CB45" i="25"/>
  <c r="CF45" i="25"/>
  <c r="AJ411" i="29"/>
  <c r="AK411" i="29" s="1"/>
  <c r="AJ239" i="29"/>
  <c r="AK239" i="29" s="1"/>
  <c r="CB135" i="25"/>
  <c r="CF135" i="25"/>
  <c r="AA412" i="29"/>
  <c r="CB175" i="25"/>
  <c r="CF175" i="25"/>
  <c r="AJ296" i="29"/>
  <c r="AK296" i="29" s="1"/>
  <c r="AA297" i="29"/>
  <c r="CB182" i="25"/>
  <c r="CF182" i="25"/>
  <c r="AJ429" i="29"/>
  <c r="AK429" i="29" s="1"/>
  <c r="AJ183" i="29"/>
  <c r="AK183" i="29" s="1"/>
  <c r="AA312" i="29"/>
  <c r="AJ182" i="29"/>
  <c r="AK182" i="29" s="1"/>
  <c r="AJ527" i="29"/>
  <c r="AK527" i="29" s="1"/>
  <c r="AJ74" i="29"/>
  <c r="AK74" i="29" s="1"/>
  <c r="AA75" i="29"/>
  <c r="AA240" i="29"/>
  <c r="AJ56" i="29"/>
  <c r="AK56" i="29" s="1"/>
  <c r="AA356" i="29"/>
  <c r="AJ430" i="29"/>
  <c r="AK430" i="29" s="1"/>
  <c r="AA528" i="29"/>
  <c r="AJ312" i="29"/>
  <c r="AK312" i="29" s="1"/>
  <c r="AA533" i="29"/>
  <c r="AA383" i="29"/>
  <c r="AJ250" i="29"/>
  <c r="AK250" i="29" s="1"/>
  <c r="AJ251" i="29"/>
  <c r="AK251" i="29" s="1"/>
  <c r="AJ542" i="29"/>
  <c r="AK542" i="29" s="1"/>
  <c r="AJ22" i="29"/>
  <c r="AK22" i="29" s="1"/>
  <c r="AJ23" i="29"/>
  <c r="AK23" i="29" s="1"/>
  <c r="AJ410" i="29"/>
  <c r="AK410" i="29" s="1"/>
  <c r="AJ279" i="29"/>
  <c r="AK279" i="29" s="1"/>
  <c r="AJ131" i="29"/>
  <c r="AK131" i="29" s="1"/>
  <c r="AJ409" i="29"/>
  <c r="AK409" i="29" s="1"/>
  <c r="AJ280" i="29"/>
  <c r="AK280" i="29" s="1"/>
  <c r="AJ541" i="29"/>
  <c r="AK541" i="29" s="1"/>
  <c r="AA492" i="29"/>
  <c r="AJ491" i="29"/>
  <c r="AK491" i="29" s="1"/>
  <c r="AJ449" i="29"/>
  <c r="AK449" i="29" s="1"/>
  <c r="AA450" i="29"/>
  <c r="AJ179" i="29"/>
  <c r="AK179" i="29" s="1"/>
  <c r="AA245" i="29"/>
  <c r="AJ244" i="29"/>
  <c r="AK244" i="29" s="1"/>
  <c r="AA179" i="29"/>
  <c r="AJ595" i="29"/>
  <c r="AK595" i="29" s="1"/>
  <c r="AA37" i="29"/>
  <c r="AJ433" i="29"/>
  <c r="AK433" i="29" s="1"/>
  <c r="AJ434" i="29"/>
  <c r="AK434" i="29" s="1"/>
  <c r="AA382" i="29"/>
  <c r="AJ55" i="29"/>
  <c r="AK55" i="29" s="1"/>
  <c r="AJ432" i="29"/>
  <c r="AK432" i="29" s="1"/>
  <c r="AJ315" i="29"/>
  <c r="AK315" i="29" s="1"/>
  <c r="AJ382" i="29"/>
  <c r="AK382" i="29" s="1"/>
  <c r="AJ374" i="29"/>
  <c r="AK374" i="29" s="1"/>
  <c r="AJ369" i="29"/>
  <c r="AK369" i="29" s="1"/>
  <c r="AJ314" i="29"/>
  <c r="AK314" i="29" s="1"/>
  <c r="AJ420" i="29"/>
  <c r="AK420" i="29" s="1"/>
  <c r="AA375" i="29"/>
  <c r="AA421" i="29"/>
  <c r="AJ368" i="29"/>
  <c r="AK368" i="29" s="1"/>
  <c r="AJ198" i="29"/>
  <c r="AK198" i="29" s="1"/>
  <c r="AJ37" i="29"/>
  <c r="AK37" i="29" s="1"/>
  <c r="AJ431" i="29"/>
  <c r="AK431" i="29" s="1"/>
  <c r="AJ594" i="29"/>
  <c r="AK594" i="29" s="1"/>
  <c r="AJ300" i="29"/>
  <c r="AK300" i="29" s="1"/>
  <c r="AJ91" i="29"/>
  <c r="AK91" i="29" s="1"/>
  <c r="AA301" i="29"/>
  <c r="AJ533" i="29"/>
  <c r="AK533" i="29" s="1"/>
  <c r="AJ304" i="29"/>
  <c r="AK304" i="29" s="1"/>
  <c r="AA305" i="29"/>
  <c r="AA525" i="29"/>
  <c r="AJ524" i="29"/>
  <c r="AK524" i="29" s="1"/>
  <c r="AA444" i="29"/>
  <c r="AA335" i="29"/>
  <c r="AJ14" i="29"/>
  <c r="AK14" i="29" s="1"/>
  <c r="AJ15" i="29"/>
  <c r="AK15" i="29" s="1"/>
  <c r="AJ353" i="29"/>
  <c r="AK353" i="29" s="1"/>
  <c r="AJ213" i="29"/>
  <c r="AK213" i="29" s="1"/>
  <c r="AJ352" i="29"/>
  <c r="AK352" i="29" s="1"/>
  <c r="AJ212" i="29"/>
  <c r="AK212" i="29" s="1"/>
  <c r="AA26" i="29"/>
  <c r="AA278" i="29"/>
  <c r="AJ334" i="29"/>
  <c r="AK334" i="29" s="1"/>
  <c r="AA531" i="29"/>
  <c r="AJ82" i="29"/>
  <c r="AK82" i="29" s="1"/>
  <c r="AJ530" i="29"/>
  <c r="AK530" i="29" s="1"/>
  <c r="AA360" i="29"/>
  <c r="AJ81" i="29"/>
  <c r="AK81" i="29" s="1"/>
  <c r="AJ360" i="29"/>
  <c r="AK360" i="29" s="1"/>
  <c r="AJ444" i="29"/>
  <c r="AK444" i="29" s="1"/>
  <c r="AJ495" i="29"/>
  <c r="AK495" i="29" s="1"/>
  <c r="AJ309" i="29"/>
  <c r="AK309" i="29" s="1"/>
  <c r="AJ26" i="29"/>
  <c r="AK26" i="29" s="1"/>
  <c r="AA310" i="29"/>
  <c r="AA200" i="29"/>
  <c r="AJ199" i="29"/>
  <c r="AK199" i="29" s="1"/>
  <c r="CB168" i="25"/>
  <c r="CF168" i="25"/>
  <c r="AJ440" i="29"/>
  <c r="AK440" i="29" s="1"/>
  <c r="CF211" i="24"/>
  <c r="AA495" i="29"/>
  <c r="CB102" i="25"/>
  <c r="CF102" i="25"/>
  <c r="CB163" i="25"/>
  <c r="CF163" i="25"/>
  <c r="CB156" i="25"/>
  <c r="CF156" i="25"/>
  <c r="CB79" i="25"/>
  <c r="CF79" i="25"/>
  <c r="CB166" i="25"/>
  <c r="CF166" i="25"/>
  <c r="CB176" i="25"/>
  <c r="CF176" i="25"/>
  <c r="BB212" i="25"/>
  <c r="BS212" i="25" s="1"/>
  <c r="BC212" i="25"/>
  <c r="BT212" i="25" s="1"/>
  <c r="BA212" i="25"/>
  <c r="CB210" i="25"/>
  <c r="CF210" i="25"/>
  <c r="CB72" i="25"/>
  <c r="CF72" i="25"/>
  <c r="CB171" i="25"/>
  <c r="CF171" i="25"/>
  <c r="CB74" i="25"/>
  <c r="CF74" i="25"/>
  <c r="CB160" i="25"/>
  <c r="CF160" i="25"/>
  <c r="AA585" i="29"/>
  <c r="AJ584" i="29"/>
  <c r="AK584" i="29" s="1"/>
  <c r="CB194" i="25"/>
  <c r="CF194" i="25"/>
  <c r="BE212" i="25" l="1"/>
  <c r="BR212" i="25"/>
  <c r="BX212" i="25" s="1"/>
  <c r="AK9" i="29"/>
  <c r="W5" i="29" s="1"/>
  <c r="B43" i="29" s="1"/>
  <c r="AK7" i="29"/>
  <c r="AL7" i="29" s="1"/>
  <c r="CF211" i="25"/>
  <c r="BL212" i="25" l="1"/>
  <c r="BY212" i="25"/>
  <c r="CA212" i="25" s="1"/>
  <c r="BK212" i="25"/>
  <c r="W4" i="29"/>
  <c r="G639" i="29" s="1"/>
  <c r="AL9" i="29"/>
  <c r="G617" i="29" l="1"/>
  <c r="J617" i="29" s="1"/>
  <c r="CB212" i="25"/>
  <c r="CF212" i="25"/>
  <c r="B42" i="29"/>
  <c r="G640" i="29"/>
  <c r="G618" i="29" l="1"/>
  <c r="G619" i="29" s="1"/>
  <c r="S617" i="29"/>
  <c r="I617" i="29"/>
  <c r="Q617" i="29"/>
  <c r="L617" i="29"/>
  <c r="AH617" i="29" s="1"/>
  <c r="K617" i="29"/>
  <c r="R617" i="29"/>
  <c r="O617" i="29"/>
  <c r="T617" i="29"/>
  <c r="P617" i="29"/>
  <c r="AG617" i="29" l="1"/>
  <c r="X617" i="29"/>
  <c r="Y617" i="29" s="1"/>
  <c r="AD617" i="29"/>
  <c r="AE617" i="29"/>
  <c r="W617" i="29"/>
  <c r="X62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Xi, Youhao</author>
    <author>Hegarty, Timothy</author>
  </authors>
  <commentList>
    <comment ref="A3" authorId="0" shapeId="0" xr:uid="{00000000-0006-0000-0000-000001000000}">
      <text>
        <r>
          <rPr>
            <b/>
            <sz val="11"/>
            <color indexed="10"/>
            <rFont val="Tahoma"/>
            <family val="2"/>
          </rPr>
          <t>Welcome to the LM5185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LM5185 low I</t>
        </r>
        <r>
          <rPr>
            <b/>
            <vertAlign val="subscript"/>
            <sz val="9"/>
            <color indexed="81"/>
            <rFont val="Tahoma"/>
            <family val="2"/>
          </rPr>
          <t>Q</t>
        </r>
        <r>
          <rPr>
            <b/>
            <sz val="9"/>
            <color indexed="81"/>
            <rFont val="Tahoma"/>
            <family val="2"/>
          </rPr>
          <t xml:space="preserve"> PSR flyback controller.</t>
        </r>
        <r>
          <rPr>
            <sz val="9"/>
            <color indexed="81"/>
            <rFont val="Tahoma"/>
            <family val="2"/>
          </rPr>
          <t xml:space="preserve"> As such, the user can expeditiously arrive at an optimized design by virtue of the following:
- Select transformer parameters including turns ratio and mag inductance
- Select current sense resistor
- Select power MOSFET parameters including RdsON, Qg and Coss
- Determine input and output capacitances for specified ripple requirements (1% Vout and 5% Vin)
- Select components for feedback, soft-start, input UVLO, and temperature compensation
- Select desired open loop crossover frequency, and choose loop compensation network components 
- Advise componnets (usually optional) for SW voltage clamp and and flyback diode snubber
- Decide the optional use of dummy loads or output Zener clamp 
- Optimize the design using efficiency and solution size as key performance metrics
- Inspect converter efficiency and switching frequency over load and line
- Inspect open loop Bode Plots for appropriate loop design.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b/>
            <sz val="9"/>
            <color indexed="81"/>
            <rFont val="Tahoma"/>
            <family val="2"/>
          </rPr>
          <t>Dislcaimer:</t>
        </r>
        <r>
          <rPr>
            <u/>
            <sz val="9"/>
            <color indexed="12"/>
            <rFont val="Tahoma"/>
            <family val="2"/>
          </rPr>
          <t xml:space="preserve">
https://www.ti.com/legal/important-notice-and-disclaimer.html
</t>
        </r>
        <r>
          <rPr>
            <sz val="9"/>
            <color indexed="81"/>
            <rFont val="Tahoma"/>
            <family val="2"/>
          </rPr>
          <t xml:space="preserve">
</t>
        </r>
        <r>
          <rPr>
            <b/>
            <sz val="9"/>
            <color indexed="81"/>
            <rFont val="Tahoma"/>
            <family val="2"/>
          </rPr>
          <t xml:space="preserve">
Rev 3.3, Youhao Xi, Texas Instruments, Inc.</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LM5185-Q1 product datasheet and EVM user's guides for more details.
</t>
        </r>
        <r>
          <rPr>
            <b/>
            <sz val="9"/>
            <color indexed="81"/>
            <rFont val="Tahoma"/>
            <family val="2"/>
          </rPr>
          <t>Rev 0, WVB/SR/APP,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LM5185 input voltage operating range is 4.5V to 100V.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6" authorId="0" shapeId="0" xr:uid="{00000000-0006-0000-0000-000004000000}">
      <text>
        <r>
          <rPr>
            <b/>
            <u/>
            <sz val="9"/>
            <color indexed="81"/>
            <rFont val="Tahoma"/>
            <family val="2"/>
          </rPr>
          <t>Recommended Magnetizing Inductance</t>
        </r>
        <r>
          <rPr>
            <b/>
            <sz val="9"/>
            <color indexed="81"/>
            <rFont val="Tahoma"/>
            <family val="2"/>
          </rPr>
          <t xml:space="preserve">:
</t>
        </r>
        <r>
          <rPr>
            <sz val="9"/>
            <color indexed="81"/>
            <rFont val="Tahoma"/>
            <family val="2"/>
          </rPr>
          <t>The recommended magnetizing inductance is set to operate at about 200 to 250kHz switching in BCM under full load and Vin_nom. Try not to deviate much from this recommended inductances:
--If the inductance is too high, the transformer would be larger and more expensive.
--If the inductance is too small, the efficiency would be sacrificed due to increase conduction losses with higher peak current.</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LM5185 input voltage operating range is 4.5V to 100V.
</t>
        </r>
        <r>
          <rPr>
            <b/>
            <sz val="9"/>
            <color indexed="81"/>
            <rFont val="Tahoma"/>
            <family val="2"/>
          </rPr>
          <t xml:space="preserve">The text in this cell is red if:
</t>
        </r>
        <r>
          <rPr>
            <sz val="9"/>
            <color indexed="81"/>
            <rFont val="Tahoma"/>
            <family val="2"/>
          </rPr>
          <t>-The Nom Vin is less than Min Vin</t>
        </r>
        <r>
          <rPr>
            <b/>
            <sz val="9"/>
            <color indexed="81"/>
            <rFont val="Tahoma"/>
            <family val="2"/>
          </rPr>
          <t>.</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of your choice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is too small. Increase the choosen value.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LM5185 input voltage operating range is 4.5V to 100V.
</t>
        </r>
        <r>
          <rPr>
            <b/>
            <sz val="9"/>
            <color indexed="81"/>
            <rFont val="Tahoma"/>
            <family val="2"/>
          </rPr>
          <t xml:space="preserve">The text in this cell is red if:
</t>
        </r>
        <r>
          <rPr>
            <sz val="9"/>
            <color indexed="81"/>
            <rFont val="Tahoma"/>
            <family val="2"/>
          </rPr>
          <t xml:space="preserve">-The Max Vin is less than the Nom Vin.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text>
    </comment>
    <comment ref="M12" authorId="1" shapeId="0" xr:uid="{CAB962D0-E7B4-4770-8363-E972CE1155C9}">
      <text>
        <r>
          <rPr>
            <b/>
            <sz val="9"/>
            <color indexed="81"/>
            <rFont val="Tahoma"/>
            <family val="2"/>
          </rPr>
          <t xml:space="preserve">Proposed turns ratio.
</t>
        </r>
        <r>
          <rPr>
            <sz val="9"/>
            <color indexed="81"/>
            <rFont val="Tahoma"/>
            <family val="2"/>
          </rPr>
          <t xml:space="preserve">The cell will turn red if the duty cycle under VIN(min) exceeds 75%. The design may still work, but you may consider to adjust the turns ration slightly.
</t>
        </r>
      </text>
    </comment>
    <comment ref="F13" authorId="1" shapeId="0" xr:uid="{1722616E-F390-487A-A34E-2B05516BC09F}">
      <text>
        <r>
          <rPr>
            <b/>
            <sz val="9"/>
            <color indexed="81"/>
            <rFont val="Tahoma"/>
            <family val="2"/>
          </rPr>
          <t xml:space="preserve">Second Output Load Current.
</t>
        </r>
        <r>
          <rPr>
            <sz val="9"/>
            <color indexed="81"/>
            <rFont val="Tahoma"/>
            <family val="2"/>
          </rPr>
          <t>The text in the cell will turn</t>
        </r>
        <r>
          <rPr>
            <b/>
            <sz val="9"/>
            <color indexed="10"/>
            <rFont val="Tahoma"/>
            <family val="2"/>
          </rPr>
          <t xml:space="preserve"> red if</t>
        </r>
        <r>
          <rPr>
            <b/>
            <sz val="9"/>
            <color indexed="81"/>
            <rFont val="Tahoma"/>
            <family val="2"/>
          </rPr>
          <t xml:space="preserve"> </t>
        </r>
        <r>
          <rPr>
            <sz val="9"/>
            <color indexed="81"/>
            <rFont val="Tahoma"/>
            <family val="2"/>
          </rPr>
          <t>the current has a different sign from the VOUT2.</t>
        </r>
      </text>
    </comment>
    <comment ref="M15" authorId="0" shapeId="0" xr:uid="{00000000-0006-0000-0000-00000C000000}">
      <text>
        <r>
          <rPr>
            <b/>
            <u/>
            <sz val="9"/>
            <color indexed="81"/>
            <rFont val="Tahoma"/>
            <family val="2"/>
          </rPr>
          <t>Max Duty Cycle</t>
        </r>
        <r>
          <rPr>
            <b/>
            <sz val="9"/>
            <color indexed="81"/>
            <rFont val="Tahoma"/>
            <family val="2"/>
          </rPr>
          <t xml:space="preserve">:
</t>
        </r>
        <r>
          <rPr>
            <sz val="9"/>
            <color indexed="81"/>
            <rFont val="Tahoma"/>
            <family val="2"/>
          </rPr>
          <t>The max operating duty cycle is preferably kept below 75% to prevent high peak/rms currents in the flyback diode(s) and secondary winding(s).
If the cell shows "#VALUE!", reduce Rcs value in Cell E17.</t>
        </r>
      </text>
    </comment>
    <comment ref="M16" authorId="0" shapeId="0" xr:uid="{00000000-0006-0000-0000-00000D000000}">
      <text>
        <r>
          <rPr>
            <b/>
            <u/>
            <sz val="9"/>
            <color indexed="81"/>
            <rFont val="Tahoma"/>
            <family val="2"/>
          </rPr>
          <t>Max Output Current at VIN(min)</t>
        </r>
        <r>
          <rPr>
            <b/>
            <sz val="9"/>
            <color indexed="81"/>
            <rFont val="Tahoma"/>
            <family val="2"/>
          </rPr>
          <t xml:space="preserve">:
</t>
        </r>
        <r>
          <rPr>
            <sz val="9"/>
            <color indexed="81"/>
            <rFont val="Tahoma"/>
            <family val="2"/>
          </rPr>
          <t>The output power is most limited at minimum input voltage. Adjust the transformer turns ratio if needed. Allow at least a 10% margin viz-a-viz the required output power.
If the cell shows "#VALUE!", reduce Rcs value in E17.</t>
        </r>
      </text>
    </comment>
    <comment ref="F17" authorId="0" shapeId="0" xr:uid="{00000000-0006-0000-0000-00000E000000}">
      <text>
        <r>
          <rPr>
            <b/>
            <u/>
            <sz val="9"/>
            <color indexed="81"/>
            <rFont val="Tahoma"/>
            <family val="2"/>
          </rPr>
          <t>Current Sense Resistor</t>
        </r>
        <r>
          <rPr>
            <b/>
            <sz val="9"/>
            <color indexed="81"/>
            <rFont val="Tahoma"/>
            <family val="2"/>
          </rPr>
          <t xml:space="preserve">:
</t>
        </r>
        <r>
          <rPr>
            <sz val="9"/>
            <color indexed="81"/>
            <rFont val="Tahoma"/>
            <family val="2"/>
          </rPr>
          <t xml:space="preserve">Enter the current sense resistor value here.
The text in the cell will turn </t>
        </r>
        <r>
          <rPr>
            <b/>
            <sz val="9"/>
            <color indexed="10"/>
            <rFont val="Tahoma"/>
            <family val="2"/>
          </rPr>
          <t xml:space="preserve">  red </t>
        </r>
        <r>
          <rPr>
            <b/>
            <sz val="9"/>
            <color indexed="81"/>
            <rFont val="Tahoma"/>
            <family val="2"/>
          </rPr>
          <t xml:space="preserve"> if the selection is greater tha</t>
        </r>
        <r>
          <rPr>
            <sz val="9"/>
            <color indexed="81"/>
            <rFont val="Tahoma"/>
            <family val="2"/>
          </rPr>
          <t>n the recommended maximum Rcs value, and</t>
        </r>
        <r>
          <rPr>
            <b/>
            <sz val="9"/>
            <color indexed="81"/>
            <rFont val="Tahoma"/>
            <family val="2"/>
          </rPr>
          <t xml:space="preserve"> full load would not be guaranteed</t>
        </r>
        <r>
          <rPr>
            <sz val="9"/>
            <color indexed="81"/>
            <rFont val="Tahoma"/>
            <family val="2"/>
          </rPr>
          <t xml:space="preserve">. </t>
        </r>
      </text>
    </comment>
    <comment ref="F18" authorId="1" shapeId="0" xr:uid="{37226554-35AD-4B24-AFBD-ADB0FE41ABA9}">
      <text>
        <r>
          <rPr>
            <b/>
            <sz val="9"/>
            <color indexed="81"/>
            <rFont val="Tahoma"/>
            <family val="2"/>
          </rPr>
          <t xml:space="preserve">Important: The selected transformer Isat should </t>
        </r>
        <r>
          <rPr>
            <b/>
            <i/>
            <sz val="9"/>
            <color indexed="81"/>
            <rFont val="Tahoma"/>
            <family val="2"/>
          </rPr>
          <t>not</t>
        </r>
        <r>
          <rPr>
            <b/>
            <sz val="9"/>
            <color indexed="81"/>
            <rFont val="Tahoma"/>
            <family val="2"/>
          </rPr>
          <t xml:space="preserve"> be smaller than this value.</t>
        </r>
      </text>
    </comment>
    <comment ref="F23" authorId="1" shapeId="0" xr:uid="{8656CEB6-6ED9-41C6-8605-018CF280C9F0}">
      <text>
        <r>
          <rPr>
            <b/>
            <sz val="9"/>
            <color indexed="81"/>
            <rFont val="Tahoma"/>
            <family val="2"/>
          </rPr>
          <t>Selected Zener Rated Voltage.</t>
        </r>
        <r>
          <rPr>
            <sz val="9"/>
            <color indexed="81"/>
            <rFont val="Tahoma"/>
            <family val="2"/>
          </rPr>
          <t xml:space="preserve">
The text in the cell will turn </t>
        </r>
        <r>
          <rPr>
            <b/>
            <sz val="9"/>
            <color indexed="10"/>
            <rFont val="Tahoma"/>
            <family val="2"/>
          </rPr>
          <t>red if</t>
        </r>
        <r>
          <rPr>
            <sz val="9"/>
            <color indexed="81"/>
            <rFont val="Tahoma"/>
            <family val="2"/>
          </rPr>
          <t xml:space="preserve"> the selected Zener voltage is lower than the recommended value.</t>
        </r>
      </text>
    </comment>
    <comment ref="F24" authorId="1" shapeId="0" xr:uid="{31A291A4-31E5-44E3-9BAC-33CB570C70F5}">
      <text>
        <r>
          <rPr>
            <b/>
            <sz val="9"/>
            <color indexed="81"/>
            <rFont val="Tahoma"/>
            <family val="2"/>
          </rPr>
          <t>Power MOSFET Vds Rating</t>
        </r>
        <r>
          <rPr>
            <sz val="9"/>
            <color indexed="81"/>
            <rFont val="Tahoma"/>
            <family val="2"/>
          </rPr>
          <t xml:space="preserve"> should </t>
        </r>
        <r>
          <rPr>
            <b/>
            <i/>
            <sz val="9"/>
            <color indexed="81"/>
            <rFont val="Tahoma"/>
            <family val="2"/>
          </rPr>
          <t>not</t>
        </r>
        <r>
          <rPr>
            <sz val="9"/>
            <color indexed="81"/>
            <rFont val="Tahoma"/>
            <family val="2"/>
          </rPr>
          <t xml:space="preserve"> be less than this value. 
</t>
        </r>
      </text>
    </comment>
    <comment ref="M24" authorId="0" shapeId="0" xr:uid="{00000000-0006-0000-0000-00000F000000}">
      <text>
        <r>
          <rPr>
            <b/>
            <u/>
            <sz val="9"/>
            <color indexed="81"/>
            <rFont val="Tahoma"/>
            <family val="2"/>
          </rPr>
          <t>MOSFET Qg</t>
        </r>
        <r>
          <rPr>
            <b/>
            <sz val="9"/>
            <color indexed="81"/>
            <rFont val="Tahoma"/>
            <family val="2"/>
          </rPr>
          <t xml:space="preserve">:
</t>
        </r>
        <r>
          <rPr>
            <sz val="9"/>
            <color indexed="81"/>
            <rFont val="Tahoma"/>
            <family val="2"/>
          </rPr>
          <t>Choose a MOSFET having a total gate charge of less than the recommended Max Qg.</t>
        </r>
      </text>
    </comment>
    <comment ref="M25" authorId="0" shapeId="0" xr:uid="{00000000-0006-0000-0000-000010000000}">
      <text>
        <r>
          <rPr>
            <b/>
            <u/>
            <sz val="9"/>
            <color indexed="81"/>
            <rFont val="Tahoma"/>
            <family val="2"/>
          </rPr>
          <t>MOSFET Coss</t>
        </r>
        <r>
          <rPr>
            <sz val="9"/>
            <color indexed="81"/>
            <rFont val="Tahoma"/>
            <family val="2"/>
          </rPr>
          <t xml:space="preserve">
Enter the Coss parameter of selected MOSFET.</t>
        </r>
      </text>
    </comment>
    <comment ref="M26" authorId="0" shapeId="0" xr:uid="{CEB6B93C-5411-41EE-A8C1-47824136DD57}">
      <text>
        <r>
          <rPr>
            <b/>
            <u/>
            <sz val="9"/>
            <color indexed="81"/>
            <rFont val="Tahoma"/>
            <family val="2"/>
          </rPr>
          <t>MOSFET Power Dissipation</t>
        </r>
        <r>
          <rPr>
            <b/>
            <sz val="9"/>
            <color indexed="81"/>
            <rFont val="Tahoma"/>
            <family val="2"/>
          </rPr>
          <t xml:space="preserve">:
</t>
        </r>
        <r>
          <rPr>
            <sz val="9"/>
            <color indexed="81"/>
            <rFont val="Tahoma"/>
            <family val="2"/>
          </rPr>
          <t>Estimated maximum MOSFET power dissipation. Make sure to choose appropriate MOSFET package and/or heatsink for effective heat dissipation.</t>
        </r>
      </text>
    </comment>
    <comment ref="F29" authorId="0" shapeId="0" xr:uid="{00000000-0006-0000-0000-000011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30" authorId="0" shapeId="0" xr:uid="{00000000-0006-0000-0000-000012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derated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31" authorId="0" shapeId="0" xr:uid="{00000000-0006-0000-0000-000013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T31" authorId="1" shapeId="0" xr:uid="{29CE184D-A96B-4A3A-A63A-D90B0214AAB4}">
      <text>
        <r>
          <rPr>
            <b/>
            <sz val="9"/>
            <color indexed="81"/>
            <rFont val="Tahoma"/>
            <family val="2"/>
          </rPr>
          <t xml:space="preserve">Output #2 Diode Forward Voltage Drop at Rated Load Current.
</t>
        </r>
        <r>
          <rPr>
            <sz val="9"/>
            <color indexed="81"/>
            <rFont val="Tahoma"/>
            <family val="2"/>
          </rPr>
          <t>The text in the cell will turn</t>
        </r>
        <r>
          <rPr>
            <b/>
            <sz val="9"/>
            <color indexed="81"/>
            <rFont val="Tahoma"/>
            <family val="2"/>
          </rPr>
          <t xml:space="preserve"> </t>
        </r>
        <r>
          <rPr>
            <b/>
            <sz val="9"/>
            <color indexed="10"/>
            <rFont val="Tahoma"/>
            <family val="2"/>
          </rPr>
          <t>red</t>
        </r>
        <r>
          <rPr>
            <b/>
            <sz val="9"/>
            <color indexed="81"/>
            <rFont val="Tahoma"/>
            <family val="2"/>
          </rPr>
          <t xml:space="preserve"> </t>
        </r>
        <r>
          <rPr>
            <sz val="9"/>
            <color indexed="81"/>
            <rFont val="Tahoma"/>
            <family val="2"/>
          </rPr>
          <t xml:space="preserve">if the forward drop voltage is obviously wrong for being outside the normal 0.3V and 1.5V. 
</t>
        </r>
      </text>
    </comment>
    <comment ref="F33" authorId="0" shapeId="0" xr:uid="{00000000-0006-0000-0000-000014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34" authorId="0" shapeId="0" xr:uid="{00000000-0006-0000-0000-000015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35" authorId="0" shapeId="0" xr:uid="{00000000-0006-0000-0000-000016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40" authorId="1" shapeId="0" xr:uid="{8F39E3FF-D354-49C6-9CDD-AD8F94FD11ED}">
      <text>
        <r>
          <rPr>
            <b/>
            <u/>
            <sz val="9"/>
            <color indexed="81"/>
            <rFont val="Tahoma"/>
            <family val="2"/>
          </rPr>
          <t>Feedback Resistor:</t>
        </r>
        <r>
          <rPr>
            <b/>
            <sz val="9"/>
            <color indexed="81"/>
            <rFont val="Tahoma"/>
            <family val="2"/>
          </rPr>
          <t xml:space="preserve">
</t>
        </r>
        <r>
          <rPr>
            <sz val="9"/>
            <color indexed="81"/>
            <rFont val="Tahoma"/>
            <family val="2"/>
          </rPr>
          <t xml:space="preserve">Choose a standard resistor value most close to above recommend value. To be more precise on Vout setting, you may consider to use a combination of two resistors to sever as the Feedback Resistor.  </t>
        </r>
        <r>
          <rPr>
            <b/>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if the selected Feedback Resistor has more than 3% errors.</t>
        </r>
        <r>
          <rPr>
            <b/>
            <sz val="9"/>
            <color indexed="81"/>
            <rFont val="Tahoma"/>
            <family val="2"/>
          </rPr>
          <t xml:space="preserve">  </t>
        </r>
        <r>
          <rPr>
            <sz val="9"/>
            <color indexed="81"/>
            <rFont val="Tahoma"/>
            <family val="2"/>
          </rPr>
          <t>Correct it by choosing a closer value, or the output voltage would have more errors.</t>
        </r>
        <r>
          <rPr>
            <b/>
            <sz val="9"/>
            <color indexed="81"/>
            <rFont val="Tahoma"/>
            <family val="2"/>
          </rPr>
          <t xml:space="preserve">
</t>
        </r>
      </text>
    </comment>
    <comment ref="F41" authorId="0" shapeId="0" xr:uid="{00000000-0006-0000-0000-000017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 pin open circuit</t>
        </r>
        <r>
          <rPr>
            <sz val="9"/>
            <color indexed="81"/>
            <rFont val="Tahoma"/>
            <family val="2"/>
          </rPr>
          <t xml:space="preserve"> to provide a soft-start time of </t>
        </r>
        <r>
          <rPr>
            <b/>
            <sz val="9"/>
            <color indexed="81"/>
            <rFont val="Tahoma"/>
            <family val="2"/>
          </rPr>
          <t>6ms</t>
        </r>
        <r>
          <rPr>
            <sz val="9"/>
            <color indexed="81"/>
            <rFont val="Tahoma"/>
            <family val="2"/>
          </rPr>
          <t>.</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47" authorId="0" shapeId="0" xr:uid="{00000000-0006-0000-0000-000018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LM5185 input operating voltage range is</t>
        </r>
        <r>
          <rPr>
            <b/>
            <sz val="9"/>
            <color indexed="81"/>
            <rFont val="Tahoma"/>
            <family val="2"/>
          </rPr>
          <t xml:space="preserve"> 4.5V to 100V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100V</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58" authorId="1" shapeId="0" xr:uid="{66D463F3-366F-4049-B7E1-9889759B4CB5}">
      <text>
        <r>
          <rPr>
            <b/>
            <sz val="9"/>
            <color indexed="81"/>
            <rFont val="Tahoma"/>
            <family val="2"/>
          </rPr>
          <t>Selected crossover frequency.</t>
        </r>
        <r>
          <rPr>
            <sz val="9"/>
            <color indexed="81"/>
            <rFont val="Tahoma"/>
            <family val="2"/>
          </rPr>
          <t xml:space="preserve">
</t>
        </r>
        <r>
          <rPr>
            <b/>
            <sz val="9"/>
            <color indexed="10"/>
            <rFont val="Tahoma"/>
            <family val="2"/>
          </rPr>
          <t>Cell will turn red if</t>
        </r>
        <r>
          <rPr>
            <sz val="9"/>
            <color indexed="81"/>
            <rFont val="Tahoma"/>
            <family val="2"/>
          </rPr>
          <t xml:space="preserve"> the selected Fco is greater than the allowed max cross frequency. 
</t>
        </r>
      </text>
    </comment>
    <comment ref="F74" authorId="1" shapeId="0" xr:uid="{A51CBC47-A0CB-455A-87DD-88758B3FDBAB}">
      <text>
        <r>
          <rPr>
            <b/>
            <u/>
            <sz val="9"/>
            <color indexed="81"/>
            <rFont val="Tahoma"/>
            <family val="2"/>
          </rPr>
          <t xml:space="preserve">Max Output Voltage Limit
</t>
        </r>
        <r>
          <rPr>
            <sz val="9"/>
            <color indexed="81"/>
            <rFont val="Tahoma"/>
            <family val="2"/>
          </rPr>
          <t xml:space="preserve">Enter the max Vout limit. 
</t>
        </r>
        <r>
          <rPr>
            <b/>
            <u/>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 xml:space="preserve">if the limit is less than the regulation level +3%. 
</t>
        </r>
        <r>
          <rPr>
            <b/>
            <sz val="9"/>
            <color indexed="81"/>
            <rFont val="Tahoma"/>
            <family val="2"/>
          </rPr>
          <t xml:space="preserve"> 
</t>
        </r>
        <r>
          <rPr>
            <sz val="9"/>
            <color indexed="81"/>
            <rFont val="Tahoma"/>
            <family val="2"/>
          </rPr>
          <t xml:space="preserve">
</t>
        </r>
      </text>
    </comment>
    <comment ref="M74" authorId="1" shapeId="0" xr:uid="{27B7591D-3163-44B0-8F59-E6AA7979D1D3}">
      <text>
        <r>
          <rPr>
            <b/>
            <u/>
            <sz val="9"/>
            <color indexed="81"/>
            <rFont val="Tahoma"/>
            <family val="2"/>
          </rPr>
          <t>Max Output Voltage Limit</t>
        </r>
        <r>
          <rPr>
            <b/>
            <sz val="9"/>
            <color indexed="81"/>
            <rFont val="Tahoma"/>
            <family val="2"/>
          </rPr>
          <t xml:space="preserve">
</t>
        </r>
        <r>
          <rPr>
            <sz val="9"/>
            <color indexed="81"/>
            <rFont val="Tahoma"/>
            <family val="2"/>
          </rPr>
          <t xml:space="preserve">Enter the max Vout limit. </t>
        </r>
        <r>
          <rPr>
            <b/>
            <sz val="9"/>
            <color indexed="81"/>
            <rFont val="Tahoma"/>
            <family val="2"/>
          </rPr>
          <t xml:space="preserve">
</t>
        </r>
        <r>
          <rPr>
            <b/>
            <sz val="10"/>
            <color indexed="10"/>
            <rFont val="Arial"/>
            <family val="2"/>
          </rPr>
          <t>Cell will turn red</t>
        </r>
        <r>
          <rPr>
            <sz val="9"/>
            <color indexed="81"/>
            <rFont val="Tahoma"/>
            <family val="2"/>
          </rPr>
          <t xml:space="preserve"> if the limit is less than the regulation level +3%. </t>
        </r>
      </text>
    </comment>
    <comment ref="F80" authorId="2" shapeId="0" xr:uid="{00000000-0006-0000-0000-000019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feedback resistor calculation)
The text in the cell will turn </t>
        </r>
        <r>
          <rPr>
            <b/>
            <sz val="9"/>
            <color indexed="10"/>
            <rFont val="Tahoma"/>
            <family val="2"/>
          </rPr>
          <t>red</t>
        </r>
        <r>
          <rPr>
            <sz val="9"/>
            <color indexed="81"/>
            <rFont val="Tahoma"/>
            <family val="2"/>
          </rPr>
          <t xml:space="preserve"> if the no load voltage drop is smaller than full load voltage drop. Wrong calculated can be resulted.
</t>
        </r>
      </text>
    </comment>
    <comment ref="F81" authorId="2" shapeId="0" xr:uid="{00000000-0006-0000-0000-00001A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83" authorId="0" shapeId="0" xr:uid="{00000000-0006-0000-0000-00001C000000}">
      <text>
        <r>
          <rPr>
            <b/>
            <u/>
            <sz val="9"/>
            <color indexed="81"/>
            <rFont val="Tahoma"/>
            <family val="2"/>
          </rPr>
          <t>Ambient Operating Temperature</t>
        </r>
        <r>
          <rPr>
            <b/>
            <sz val="9"/>
            <color indexed="81"/>
            <rFont val="Tahoma"/>
            <family val="2"/>
          </rPr>
          <t xml:space="preserve">:
</t>
        </r>
        <r>
          <rPr>
            <sz val="9"/>
            <color indexed="81"/>
            <rFont val="Tahoma"/>
            <family val="2"/>
          </rPr>
          <t>Enter the LM5185's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85" authorId="0" shapeId="0" xr:uid="{00000000-0006-0000-0000-00001D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LM5185's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3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3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<sst xmlns="http://schemas.openxmlformats.org/spreadsheetml/2006/main" count="2461" uniqueCount="960">
  <si>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</si>
  <si>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</si>
  <si>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</si>
  <si>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</si>
  <si>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</si>
  <si>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</si>
  <si>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</si>
  <si>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</si>
  <si>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</si>
  <si>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</si>
  <si>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</si>
  <si>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</si>
  <si>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</si>
  <si>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</si>
  <si>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</si>
  <si>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</si>
  <si>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</si>
  <si>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</si>
  <si>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</si>
  <si>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</si>
  <si>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</si>
  <si>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</si>
  <si>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</si>
  <si>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</si>
  <si>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</si>
  <si>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</si>
  <si>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</si>
  <si>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</si>
  <si>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</si>
  <si>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</si>
  <si>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</si>
  <si>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</si>
  <si>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</si>
  <si>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</si>
  <si>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</si>
  <si>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</si>
  <si>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</si>
  <si>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</si>
  <si>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</si>
  <si>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</si>
  <si>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</si>
  <si>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</si>
  <si>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</si>
  <si>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</si>
  <si>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</si>
  <si>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</si>
  <si>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</si>
  <si>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</si>
  <si>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</si>
  <si>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</si>
  <si>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</si>
  <si>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</si>
  <si>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</si>
  <si>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</si>
  <si>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</si>
  <si>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</si>
  <si>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</si>
  <si>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</si>
  <si>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</si>
  <si>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</si>
  <si>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</si>
  <si>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</si>
  <si>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</si>
  <si>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</si>
  <si>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</si>
  <si>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</si>
  <si>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</si>
  <si>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</si>
  <si>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</si>
  <si>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</si>
  <si>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</si>
  <si>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</si>
  <si>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</si>
  <si>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</si>
  <si>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</si>
  <si>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</si>
  <si>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</si>
  <si>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</si>
  <si>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</si>
  <si>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</si>
  <si>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</si>
  <si>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</si>
  <si>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</si>
  <si>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</si>
  <si>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</si>
  <si>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</si>
  <si>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</si>
  <si>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</si>
  <si>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</si>
  <si>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</si>
  <si>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</si>
  <si>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</si>
  <si>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</si>
  <si>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</si>
  <si>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</si>
  <si>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</si>
  <si>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</si>
  <si>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</si>
  <si>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</si>
  <si>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</si>
  <si>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</si>
  <si>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</si>
  <si>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</si>
  <si>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</si>
  <si>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</si>
  <si>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</si>
  <si>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</si>
  <si>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</si>
  <si>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</si>
  <si>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</si>
  <si>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</si>
  <si>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</si>
  <si>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</si>
  <si>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</si>
  <si>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</si>
  <si>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</si>
  <si>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</si>
  <si>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</si>
  <si>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</si>
  <si>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</si>
  <si>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</si>
  <si>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</si>
  <si>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</si>
  <si>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</si>
  <si>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</si>
  <si>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</si>
  <si>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</si>
  <si>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</si>
  <si>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</si>
  <si>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</si>
  <si>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</si>
  <si>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</si>
  <si>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</si>
  <si>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</si>
  <si>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</si>
  <si>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</si>
  <si>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</si>
  <si>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</si>
  <si>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</si>
  <si>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</si>
  <si>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</si>
  <si>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</si>
  <si>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</si>
  <si>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</si>
  <si>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</si>
  <si>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</si>
  <si>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</si>
  <si>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</si>
  <si>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</si>
  <si>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</si>
  <si>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</si>
  <si>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</si>
  <si>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</si>
  <si>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</si>
  <si>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</si>
  <si>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</si>
  <si>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</si>
  <si>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</si>
  <si>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</si>
  <si>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</si>
  <si>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</si>
  <si>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</si>
  <si>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</si>
  <si>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</si>
  <si>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</si>
  <si>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</si>
  <si>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</si>
  <si>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</si>
  <si>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</si>
  <si>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</si>
  <si>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</si>
  <si>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</si>
  <si>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</si>
  <si>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</si>
  <si>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</si>
  <si>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</si>
  <si>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</si>
  <si>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</si>
  <si>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</si>
  <si>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</si>
  <si>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</si>
  <si>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</si>
  <si>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</si>
  <si>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</si>
  <si>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</si>
  <si>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</si>
  <si>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</si>
  <si>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</si>
  <si>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</si>
  <si>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</si>
  <si>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</si>
  <si>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</si>
  <si>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</si>
  <si>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</si>
  <si>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</si>
  <si>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</si>
  <si>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</si>
  <si>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</si>
  <si>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</si>
  <si>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</si>
  <si>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</si>
  <si>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</si>
  <si>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</si>
  <si>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</si>
  <si>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</si>
  <si>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</si>
  <si>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</si>
  <si>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</si>
  <si>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</si>
  <si>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</si>
  <si>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</si>
  <si>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</si>
  <si>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</si>
  <si>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</si>
  <si>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</si>
  <si>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</si>
  <si>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</si>
  <si>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</si>
  <si>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</si>
  <si>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</si>
  <si>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</si>
  <si>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</si>
  <si>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</si>
  <si>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</si>
  <si>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</si>
  <si>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</si>
  <si>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</si>
  <si>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</si>
  <si>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</si>
  <si>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</si>
  <si>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</si>
  <si>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</si>
  <si>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</si>
  <si>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</si>
  <si>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</si>
  <si>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</si>
  <si>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</si>
  <si>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</si>
  <si>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</si>
  <si>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</si>
  <si>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</si>
  <si>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</si>
  <si>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</si>
  <si>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</si>
  <si>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</si>
  <si>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</si>
  <si>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</si>
  <si>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</si>
  <si>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</si>
  <si>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</si>
  <si>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</si>
  <si>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</si>
  <si>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</si>
  <si>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</si>
  <si>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</si>
  <si>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</si>
  <si>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</si>
  <si>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</si>
  <si>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</si>
  <si>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</si>
  <si>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</si>
  <si>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</si>
  <si>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</si>
  <si>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</si>
  <si>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</si>
  <si>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</si>
  <si>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</si>
  <si>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</si>
  <si>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</si>
  <si>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Series resistance of body diode</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</si>
  <si>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</si>
  <si>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</si>
  <si>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</si>
  <si>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</si>
  <si>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</si>
  <si>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</si>
  <si>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</si>
  <si>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</si>
  <si>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</si>
  <si>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</si>
  <si>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</si>
  <si>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</si>
  <si>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</si>
  <si>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</si>
  <si>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</si>
  <si>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</si>
  <si>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</si>
  <si>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</si>
  <si>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</si>
  <si>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</si>
  <si>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</si>
  <si>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</si>
  <si>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</si>
  <si>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</si>
  <si>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VIN</t>
    </r>
    <r>
      <rPr>
        <vertAlign val="subscript"/>
        <sz val="10"/>
        <rFont val="Arial"/>
        <family val="2"/>
      </rPr>
      <t>UVLO_OFF</t>
    </r>
  </si>
  <si>
    <t>Rhys</t>
  </si>
  <si>
    <t>Soft Start</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</si>
  <si>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</si>
  <si>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</si>
  <si>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</si>
  <si>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</si>
  <si>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</si>
  <si>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</si>
  <si>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</si>
  <si>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</si>
  <si>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</si>
  <si>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</si>
  <si>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</si>
  <si>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</si>
  <si>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</si>
  <si>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</si>
  <si>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</si>
  <si>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</si>
  <si>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</si>
  <si>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</si>
  <si>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</si>
  <si>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</si>
  <si>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</si>
  <si>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</si>
  <si>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</si>
  <si>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</si>
  <si>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</si>
  <si>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</si>
  <si>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</si>
  <si>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</si>
  <si>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</si>
  <si>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</si>
  <si>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</si>
  <si>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</si>
  <si>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</si>
  <si>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</si>
  <si>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</si>
  <si>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</si>
  <si>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</si>
  <si>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</si>
  <si>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</si>
  <si>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</si>
  <si>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</si>
  <si>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</si>
  <si>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</si>
  <si>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</si>
  <si>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</si>
  <si>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</si>
  <si>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</si>
  <si>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</si>
  <si>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</si>
  <si>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</si>
  <si>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</si>
  <si>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</si>
  <si>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</si>
  <si>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</si>
  <si>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</si>
  <si>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</si>
  <si>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</si>
  <si>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</si>
  <si>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</si>
  <si>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</si>
  <si>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</si>
  <si>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</si>
  <si>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</si>
  <si>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</si>
  <si>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</si>
  <si>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</si>
  <si>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</si>
  <si>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</si>
  <si>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</si>
  <si>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t>Single Output or Dual Outputs</t>
  </si>
  <si>
    <r>
      <t>Input Voltage – Min, V</t>
    </r>
    <r>
      <rPr>
        <b/>
        <vertAlign val="subscript"/>
        <sz val="10"/>
        <color theme="1"/>
        <rFont val="Arial"/>
        <family val="2"/>
      </rPr>
      <t>IN(min)</t>
    </r>
    <r>
      <rPr>
        <b/>
        <sz val="10"/>
        <color theme="1"/>
        <rFont val="Arial"/>
        <family val="2"/>
      </rPr>
      <t xml:space="preserve"> </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</si>
  <si>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</si>
  <si>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</si>
  <si>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</si>
  <si>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</si>
  <si>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</si>
  <si>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</si>
  <si>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</si>
  <si>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</si>
  <si>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</si>
  <si>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</si>
  <si>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</si>
  <si>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</si>
  <si>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</si>
  <si>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</si>
  <si>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</si>
  <si>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</si>
  <si>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</si>
  <si>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</si>
  <si>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</si>
  <si>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</si>
  <si>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</si>
  <si>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</si>
  <si>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</si>
  <si>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</si>
  <si>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</si>
  <si>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</si>
  <si>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</si>
  <si>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</si>
  <si>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</si>
  <si>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</si>
  <si>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</si>
  <si>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</si>
  <si>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</si>
  <si>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</si>
  <si>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</si>
  <si>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</si>
  <si>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</si>
  <si>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</si>
  <si>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</si>
  <si>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</si>
  <si>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</si>
  <si>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</si>
  <si>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</si>
  <si>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</si>
  <si>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</si>
  <si>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</si>
  <si>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</si>
  <si>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</si>
  <si>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</si>
  <si>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</si>
  <si>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</si>
  <si>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</si>
  <si>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</si>
  <si>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</si>
  <si>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</si>
  <si>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</si>
  <si>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</si>
  <si>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</si>
  <si>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</si>
  <si>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</si>
  <si>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</si>
  <si>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</si>
  <si>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</si>
  <si>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</si>
  <si>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</si>
  <si>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</si>
  <si>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</si>
  <si>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</si>
  <si>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</si>
  <si>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</si>
  <si>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</si>
  <si>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</si>
  <si>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</si>
  <si>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</si>
  <si>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</si>
  <si>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</si>
  <si>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</si>
  <si>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</si>
  <si>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</si>
  <si>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</si>
  <si>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</si>
  <si>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</si>
  <si>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</si>
  <si>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</si>
  <si>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</si>
  <si>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</si>
  <si>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</si>
  <si>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</si>
  <si>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</si>
  <si>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</si>
  <si>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</si>
  <si>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</si>
  <si>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</si>
  <si>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</si>
  <si>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</si>
  <si>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</si>
  <si>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</si>
  <si>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</si>
  <si>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</si>
  <si>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</si>
  <si>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</si>
  <si>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</si>
  <si>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</si>
  <si>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</si>
  <si>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</si>
  <si>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</si>
  <si>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</si>
  <si>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</si>
  <si>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</si>
  <si>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</si>
  <si>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</si>
  <si>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</si>
  <si>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</si>
  <si>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Cout (µF) for 1%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</si>
  <si>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</si>
  <si>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</si>
  <si>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</si>
  <si>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</si>
  <si>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</si>
  <si>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</si>
  <si>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</si>
  <si>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</si>
  <si>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</si>
  <si>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</si>
  <si>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</si>
  <si>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</si>
  <si>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</si>
  <si>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</si>
  <si>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 xml:space="preserve">Resulting Input Voltage Ripple </t>
  </si>
  <si>
    <t>Check Iout-max</t>
  </si>
  <si>
    <t>Iout2</t>
  </si>
  <si>
    <t>Rout2</t>
  </si>
  <si>
    <t>Pout2</t>
  </si>
  <si>
    <t>Load resistance #2</t>
  </si>
  <si>
    <t>Output power #2</t>
  </si>
  <si>
    <t xml:space="preserve">Total Output Power </t>
  </si>
  <si>
    <t>Total power</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</si>
  <si>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</si>
  <si>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</si>
  <si>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</si>
  <si>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</si>
  <si>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</si>
  <si>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</si>
  <si>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</si>
  <si>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</si>
  <si>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</si>
  <si>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</si>
  <si>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</si>
  <si>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</si>
  <si>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</si>
  <si>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</si>
  <si>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</si>
  <si>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</si>
  <si>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</si>
  <si>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</si>
  <si>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</si>
  <si>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</si>
  <si>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</si>
  <si>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</si>
  <si>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</si>
  <si>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</si>
  <si>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</si>
  <si>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</si>
  <si>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</si>
  <si>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</si>
  <si>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</si>
  <si>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</si>
  <si>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</si>
  <si>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</si>
  <si>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</si>
  <si>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</si>
  <si>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</si>
  <si>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</si>
  <si>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</si>
  <si>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</si>
  <si>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</si>
  <si>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</si>
  <si>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</si>
  <si>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</si>
  <si>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</si>
  <si>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</si>
  <si>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</si>
  <si>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</si>
  <si>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</si>
  <si>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</si>
  <si>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</si>
  <si>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</si>
  <si>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</si>
  <si>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</si>
  <si>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</si>
  <si>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</si>
  <si>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</si>
  <si>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</si>
  <si>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</si>
  <si>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</si>
  <si>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</si>
  <si>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</si>
  <si>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</si>
  <si>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</si>
  <si>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</si>
  <si>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</si>
  <si>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</si>
  <si>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</si>
  <si>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</si>
  <si>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</si>
  <si>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</si>
  <si>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</si>
  <si>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</si>
  <si>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</si>
  <si>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</si>
  <si>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</si>
  <si>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</si>
  <si>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</si>
  <si>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</si>
  <si>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</si>
  <si>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</si>
  <si>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</si>
  <si>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</si>
  <si>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</si>
  <si>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</si>
  <si>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</si>
  <si>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</si>
  <si>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</si>
  <si>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</si>
  <si>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</si>
  <si>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</si>
  <si>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</si>
  <si>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</si>
  <si>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</si>
  <si>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</si>
  <si>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</si>
  <si>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</si>
  <si>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</si>
  <si>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</si>
  <si>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</si>
  <si>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</si>
  <si>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</si>
  <si>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r>
      <t>Max Output Power at V</t>
    </r>
    <r>
      <rPr>
        <vertAlign val="subscript"/>
        <sz val="10"/>
        <rFont val="Arial"/>
        <family val="2"/>
      </rPr>
      <t>IN(min)</t>
    </r>
  </si>
  <si>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</si>
  <si>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</si>
  <si>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</si>
  <si>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</si>
  <si>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</si>
  <si>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</si>
  <si>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</si>
  <si>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</si>
  <si>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</si>
  <si>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</si>
  <si>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</si>
  <si>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</si>
  <si>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</si>
  <si>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</si>
  <si>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</si>
  <si>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</si>
  <si>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</si>
  <si>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</si>
  <si>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t>24V</t>
  </si>
  <si>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</si>
  <si>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</si>
  <si>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</si>
  <si>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</si>
  <si>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</si>
  <si>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</si>
  <si>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</si>
  <si>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</si>
  <si>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</si>
  <si>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</si>
  <si>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</si>
  <si>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t>5.0 x 2.5</t>
  </si>
  <si>
    <t>3.6 x 1.8</t>
  </si>
  <si>
    <t>2.5 x 1.25</t>
  </si>
  <si>
    <t>SOD523</t>
  </si>
  <si>
    <t>Flyback Diode - forward current rating</t>
  </si>
  <si>
    <t>Flyback Diode - reverse voltage rating</t>
  </si>
  <si>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</si>
  <si>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</si>
  <si>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</si>
  <si>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</si>
  <si>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</si>
  <si>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</si>
  <si>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</si>
  <si>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</si>
  <si>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</si>
  <si>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</si>
  <si>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</si>
  <si>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</si>
  <si>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</si>
  <si>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</si>
  <si>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</si>
  <si>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</si>
  <si>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</si>
  <si>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</si>
  <si>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Lmin</t>
  </si>
  <si>
    <t>Lleak</t>
  </si>
  <si>
    <t>nH</t>
  </si>
  <si>
    <t>Pri-Sec Leakage Inductance</t>
  </si>
  <si>
    <t>Check Fsw at  Iout-max</t>
  </si>
  <si>
    <t>Check Pout-max at  Iout-max</t>
  </si>
  <si>
    <t>P-Transforer (W)</t>
  </si>
  <si>
    <t>P-Trans-Total (mW)</t>
  </si>
  <si>
    <t>RdsonTC</t>
  </si>
  <si>
    <t>ppm/°C</t>
  </si>
  <si>
    <t>Drain to Source Resistance Temp Co</t>
  </si>
  <si>
    <t>IC thermal impedance</t>
  </si>
  <si>
    <t>ThetaJA</t>
  </si>
  <si>
    <t>P-trans (W)</t>
  </si>
  <si>
    <t>**** Use a flyback diode RC snubber to dampen ringing if needed ****</t>
  </si>
  <si>
    <t>***** Use an output zener to clamp the output at no load *****</t>
  </si>
  <si>
    <t>*** Use a primary-side RC snubber from SW to VIN to dampen leakage inductance spike ***</t>
  </si>
  <si>
    <t>** Appropriately derate the effective input and output capacitances for applied voltage and temperature, particularly with ceramics **</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</si>
  <si>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</si>
  <si>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</si>
  <si>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</si>
  <si>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</si>
  <si>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</si>
  <si>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</si>
  <si>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</si>
  <si>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</si>
  <si>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</si>
  <si>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</si>
  <si>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</si>
  <si>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</si>
  <si>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</si>
  <si>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</si>
  <si>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</si>
  <si>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</si>
  <si>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</si>
  <si>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</si>
  <si>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</si>
  <si>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</si>
  <si>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</si>
  <si>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</si>
  <si>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</si>
  <si>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</si>
  <si>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</si>
  <si>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</si>
  <si>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</si>
  <si>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</si>
  <si>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</si>
  <si>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</si>
  <si>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</si>
  <si>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</si>
  <si>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</si>
  <si>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</si>
  <si>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</si>
  <si>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</si>
  <si>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</si>
  <si>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</si>
  <si>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</si>
  <si>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</si>
  <si>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</si>
  <si>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</si>
  <si>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</si>
  <si>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</si>
  <si>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</si>
  <si>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</si>
  <si>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</si>
  <si>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</si>
  <si>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</si>
  <si>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</si>
  <si>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</si>
  <si>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</si>
  <si>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</si>
  <si>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</si>
  <si>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</si>
  <si>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</si>
  <si>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</si>
  <si>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</si>
  <si>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</si>
  <si>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</si>
  <si>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</si>
  <si>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</si>
  <si>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</si>
  <si>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</si>
  <si>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</si>
  <si>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</si>
  <si>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</si>
  <si>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</si>
  <si>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</si>
  <si>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</si>
  <si>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</si>
  <si>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</si>
  <si>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</si>
  <si>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</si>
  <si>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</si>
  <si>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</si>
  <si>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</si>
  <si>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</si>
  <si>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</si>
  <si>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</si>
  <si>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</si>
  <si>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</si>
  <si>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</si>
  <si>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</si>
  <si>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</si>
  <si>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</si>
  <si>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</si>
  <si>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</si>
  <si>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</si>
  <si>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</si>
  <si>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</si>
  <si>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</si>
  <si>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</si>
  <si>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Rcs</t>
  </si>
  <si>
    <r>
      <t>Sense Resistor, R</t>
    </r>
    <r>
      <rPr>
        <b/>
        <vertAlign val="subscript"/>
        <sz val="10"/>
        <color theme="1"/>
        <rFont val="Arial"/>
        <family val="2"/>
      </rPr>
      <t>CS</t>
    </r>
    <r>
      <rPr>
        <b/>
        <sz val="10"/>
        <color theme="1"/>
        <rFont val="Arial"/>
        <family val="2"/>
      </rPr>
      <t xml:space="preserve"> </t>
    </r>
  </si>
  <si>
    <t>IpkCAL</t>
  </si>
  <si>
    <t>RCSmin</t>
  </si>
  <si>
    <t>LM5185 quiescent current</t>
  </si>
  <si>
    <t>P-FET-Total (W)</t>
  </si>
  <si>
    <t>P-IC-Total</t>
  </si>
  <si>
    <t>P-Total (mW)</t>
  </si>
  <si>
    <r>
      <t>LM5185 IC Power Dissipation at Full Load, P</t>
    </r>
    <r>
      <rPr>
        <vertAlign val="subscript"/>
        <sz val="10"/>
        <rFont val="Arial"/>
        <family val="2"/>
      </rPr>
      <t>D</t>
    </r>
  </si>
  <si>
    <r>
      <t>LM5185 Junction Temperature at Full Load, T</t>
    </r>
    <r>
      <rPr>
        <vertAlign val="subscript"/>
        <sz val="10"/>
        <rFont val="Arial"/>
        <family val="2"/>
      </rPr>
      <t>J</t>
    </r>
  </si>
  <si>
    <t>dB</t>
  </si>
  <si>
    <t>Reference voltage, updated</t>
  </si>
  <si>
    <t>10 kΩ</t>
  </si>
  <si>
    <t>10kΩ</t>
  </si>
  <si>
    <t>1.2 : 1</t>
  </si>
  <si>
    <t>1 : 1.2</t>
  </si>
  <si>
    <t>Fsw=</t>
  </si>
  <si>
    <t>Checking ro operatingmode at Vnom</t>
  </si>
  <si>
    <t>Lm=</t>
  </si>
  <si>
    <t>Ipk=</t>
  </si>
  <si>
    <t>Duty=</t>
  </si>
  <si>
    <t>Po</t>
  </si>
  <si>
    <t>Po actual</t>
  </si>
  <si>
    <t>LM5185 Parameters</t>
  </si>
  <si>
    <t>Primary Peak Current, Ipk</t>
  </si>
  <si>
    <t>Allawable max Fco</t>
  </si>
  <si>
    <r>
      <t>C</t>
    </r>
    <r>
      <rPr>
        <vertAlign val="subscript"/>
        <sz val="10"/>
        <rFont val="Arial"/>
        <family val="2"/>
      </rPr>
      <t>OUT</t>
    </r>
    <r>
      <rPr>
        <sz val="10"/>
        <rFont val="Arial"/>
        <family val="2"/>
      </rPr>
      <t xml:space="preserve"> ESR Zero Frequency </t>
    </r>
  </si>
  <si>
    <t>Flyback RHP Zero Frequency</t>
  </si>
  <si>
    <t>Allowed Maximum Crossover Frequency</t>
  </si>
  <si>
    <t>Load Pole Frequency</t>
  </si>
  <si>
    <t>Excessive</t>
  </si>
  <si>
    <t>FcoRange</t>
  </si>
  <si>
    <t>Fco_select</t>
  </si>
  <si>
    <t>AN</t>
  </si>
  <si>
    <t>AO</t>
  </si>
  <si>
    <t>AP</t>
  </si>
  <si>
    <t>AQ</t>
  </si>
  <si>
    <t>AR</t>
  </si>
  <si>
    <t>Sampling</t>
  </si>
  <si>
    <t>Power ckt</t>
  </si>
  <si>
    <t>Gain_pwr</t>
  </si>
  <si>
    <t>CHF</t>
  </si>
  <si>
    <r>
      <t>k</t>
    </r>
    <r>
      <rPr>
        <sz val="10"/>
        <rFont val="Calibri"/>
        <family val="2"/>
      </rPr>
      <t>Ω</t>
    </r>
  </si>
  <si>
    <r>
      <t>k</t>
    </r>
    <r>
      <rPr>
        <b/>
        <sz val="10"/>
        <rFont val="Calibri"/>
        <family val="2"/>
      </rPr>
      <t>Ω</t>
    </r>
  </si>
  <si>
    <r>
      <t>Recommended R</t>
    </r>
    <r>
      <rPr>
        <vertAlign val="subscript"/>
        <sz val="10"/>
        <rFont val="Arial"/>
        <family val="2"/>
      </rPr>
      <t>COMP</t>
    </r>
  </si>
  <si>
    <r>
      <t>Selected R</t>
    </r>
    <r>
      <rPr>
        <b/>
        <vertAlign val="subscript"/>
        <sz val="10"/>
        <rFont val="Arial"/>
        <family val="2"/>
      </rPr>
      <t>COMP</t>
    </r>
  </si>
  <si>
    <r>
      <t>Recommended C</t>
    </r>
    <r>
      <rPr>
        <vertAlign val="subscript"/>
        <sz val="10"/>
        <rFont val="Arial"/>
        <family val="2"/>
      </rPr>
      <t>COMP</t>
    </r>
  </si>
  <si>
    <r>
      <t>Selected C</t>
    </r>
    <r>
      <rPr>
        <b/>
        <vertAlign val="subscript"/>
        <sz val="10"/>
        <rFont val="Arial"/>
        <family val="2"/>
      </rPr>
      <t>COMP</t>
    </r>
  </si>
  <si>
    <r>
      <t>Recommended C</t>
    </r>
    <r>
      <rPr>
        <vertAlign val="subscript"/>
        <sz val="10"/>
        <rFont val="Arial"/>
        <family val="2"/>
      </rPr>
      <t>HF</t>
    </r>
  </si>
  <si>
    <r>
      <t>Selected C</t>
    </r>
    <r>
      <rPr>
        <b/>
        <vertAlign val="subscript"/>
        <sz val="10"/>
        <color theme="1"/>
        <rFont val="Arial"/>
        <family val="2"/>
      </rPr>
      <t>HF</t>
    </r>
  </si>
  <si>
    <r>
      <t>Upper UVLO Resistor, R</t>
    </r>
    <r>
      <rPr>
        <vertAlign val="subscript"/>
        <sz val="10"/>
        <rFont val="Arial"/>
        <family val="2"/>
      </rPr>
      <t>UVH</t>
    </r>
  </si>
  <si>
    <r>
      <t>Lower UVLO Resistor, R</t>
    </r>
    <r>
      <rPr>
        <vertAlign val="subscript"/>
        <sz val="10"/>
        <rFont val="Arial"/>
        <family val="2"/>
      </rPr>
      <t>UVL</t>
    </r>
  </si>
  <si>
    <t>Raw Calculation</t>
  </si>
  <si>
    <t>Fine tuning:  Calculations are performed at Vin(nom), Vin(min) and Vin(max) below</t>
  </si>
  <si>
    <t>secondaryt conduction time</t>
  </si>
  <si>
    <t>Ls1</t>
  </si>
  <si>
    <t>Ls2</t>
  </si>
  <si>
    <t>calculated D' based on raw calculation</t>
  </si>
  <si>
    <t>D1' based on raw calculation</t>
  </si>
  <si>
    <t>D2' based on raw calculation</t>
  </si>
  <si>
    <t xml:space="preserve">                       LM5185-Q1 PSR Flyback Controller Design Tool</t>
  </si>
  <si>
    <t>Recommended xfmr turns ratio</t>
  </si>
  <si>
    <t>uH</t>
  </si>
  <si>
    <t>Final chosen turns ratio should be close to this value.</t>
  </si>
  <si>
    <t>Recommned Magnetizing Inductance</t>
  </si>
  <si>
    <r>
      <t>Chosen Magnetizing Inductance, L</t>
    </r>
    <r>
      <rPr>
        <b/>
        <vertAlign val="subscript"/>
        <sz val="10"/>
        <color theme="1"/>
        <rFont val="Arial"/>
        <family val="2"/>
      </rPr>
      <t>MAG</t>
    </r>
    <r>
      <rPr>
        <b/>
        <sz val="10"/>
        <color theme="1"/>
        <rFont val="Arial"/>
        <family val="2"/>
      </rPr>
      <t xml:space="preserve"> </t>
    </r>
  </si>
  <si>
    <t>Fsw at Vin_min</t>
  </si>
  <si>
    <t>Ipkmax  Allowed (20% margin)</t>
  </si>
  <si>
    <t>Max Rcs_rec1</t>
  </si>
  <si>
    <t>Max Rcs_rec2</t>
  </si>
  <si>
    <t>By 100mV VCS pk limit</t>
  </si>
  <si>
    <t>By 450ns min decay time</t>
  </si>
  <si>
    <t>Proposed Transformer Turns Ratio PRI : SEC1</t>
  </si>
  <si>
    <r>
      <t>Maximum Power Dissipation in R</t>
    </r>
    <r>
      <rPr>
        <vertAlign val="subscript"/>
        <sz val="10"/>
        <color theme="1"/>
        <rFont val="Arial"/>
        <family val="2"/>
      </rPr>
      <t>CS</t>
    </r>
    <r>
      <rPr>
        <sz val="10"/>
        <color theme="1"/>
        <rFont val="Arial"/>
        <family val="2"/>
      </rPr>
      <t xml:space="preserve"> </t>
    </r>
  </si>
  <si>
    <t>with selected Lmag</t>
  </si>
  <si>
    <t>Lmin_abs</t>
  </si>
  <si>
    <t>Maximum RCS for IPEAK (10% Power Margin)</t>
  </si>
  <si>
    <r>
      <t>Select MOSFET R</t>
    </r>
    <r>
      <rPr>
        <b/>
        <vertAlign val="subscript"/>
        <sz val="10"/>
        <rFont val="Arial"/>
        <family val="2"/>
      </rPr>
      <t>DSON</t>
    </r>
  </si>
  <si>
    <t xml:space="preserve">power </t>
  </si>
  <si>
    <t>MOSFET Min Voltage Rating</t>
  </si>
  <si>
    <t>Min Drain Voltage Rating</t>
  </si>
  <si>
    <t>Can logic level FET be used?</t>
  </si>
  <si>
    <t>Can regular FET be used?</t>
  </si>
  <si>
    <t>Yes</t>
  </si>
  <si>
    <r>
      <t>Recommended Minimum D</t>
    </r>
    <r>
      <rPr>
        <vertAlign val="subscript"/>
        <sz val="10"/>
        <rFont val="Arial"/>
        <family val="2"/>
      </rPr>
      <t>CLAMP</t>
    </r>
    <r>
      <rPr>
        <sz val="10"/>
        <rFont val="Arial"/>
        <family val="2"/>
      </rPr>
      <t xml:space="preserve"> Voltage</t>
    </r>
  </si>
  <si>
    <r>
      <t>D</t>
    </r>
    <r>
      <rPr>
        <b/>
        <vertAlign val="subscript"/>
        <sz val="10"/>
        <rFont val="Arial"/>
        <family val="2"/>
      </rPr>
      <t>CLAMP</t>
    </r>
    <r>
      <rPr>
        <b/>
        <sz val="10"/>
        <rFont val="Arial"/>
        <family val="2"/>
      </rPr>
      <t xml:space="preserve"> Voltage </t>
    </r>
  </si>
  <si>
    <t>Recommended Max MOSFET Qg</t>
  </si>
  <si>
    <t>Selected MOSFET Qg</t>
  </si>
  <si>
    <r>
      <t>Selected MOSFET C</t>
    </r>
    <r>
      <rPr>
        <b/>
        <vertAlign val="subscript"/>
        <sz val="10"/>
        <rFont val="Arial"/>
        <family val="2"/>
      </rPr>
      <t>OSS</t>
    </r>
  </si>
  <si>
    <t>Step 4: Power MOSFET Suggetions and  Zener Clamp</t>
  </si>
  <si>
    <t>Step 5: Input &amp; Output Capacitors</t>
  </si>
  <si>
    <t>`</t>
  </si>
  <si>
    <r>
      <t>V</t>
    </r>
    <r>
      <rPr>
        <b/>
        <vertAlign val="subscript"/>
        <sz val="16"/>
        <rFont val="Calibri"/>
        <family val="2"/>
      </rPr>
      <t xml:space="preserve">IN </t>
    </r>
    <r>
      <rPr>
        <b/>
        <sz val="16"/>
        <rFont val="Calibri"/>
        <family val="2"/>
      </rPr>
      <t>=</t>
    </r>
  </si>
  <si>
    <t>Selected Crossover Frquency (Fco)</t>
  </si>
  <si>
    <t>Ccopm</t>
  </si>
  <si>
    <t>k</t>
  </si>
  <si>
    <t>m</t>
  </si>
  <si>
    <t>Cflt</t>
  </si>
  <si>
    <t>100pF</t>
  </si>
  <si>
    <t>Rflt</t>
  </si>
  <si>
    <r>
      <t>Recommended CS Pin Filter Resistor R</t>
    </r>
    <r>
      <rPr>
        <vertAlign val="subscript"/>
        <sz val="10"/>
        <rFont val="Arial"/>
        <family val="2"/>
      </rPr>
      <t>FLT</t>
    </r>
  </si>
  <si>
    <r>
      <t>Recommended CS Pin Filter Resistor C</t>
    </r>
    <r>
      <rPr>
        <vertAlign val="subscript"/>
        <sz val="10"/>
        <rFont val="Arial"/>
        <family val="2"/>
      </rPr>
      <t>FLT</t>
    </r>
  </si>
  <si>
    <t>Step 3: Current Sense Resistor and Noise Filter</t>
  </si>
  <si>
    <t>Step 6: Rectifier Diode(s)</t>
  </si>
  <si>
    <t>Vou2 Diode cond duration</t>
  </si>
  <si>
    <t>Vout1 Diode cond duration</t>
  </si>
  <si>
    <t>Min Diode Voltage Rating, Output #2</t>
  </si>
  <si>
    <t>Min Diode DC Current Rating, Output #2</t>
  </si>
  <si>
    <t>Step 7: Feedback, Soft-start, TC, UVLO</t>
  </si>
  <si>
    <t>Diode VF</t>
  </si>
  <si>
    <t>Vfwd22</t>
  </si>
  <si>
    <r>
      <t>Input Voltage – Nom, V</t>
    </r>
    <r>
      <rPr>
        <b/>
        <vertAlign val="subscript"/>
        <sz val="10"/>
        <color rgb="FF0000FF"/>
        <rFont val="Arial"/>
        <family val="2"/>
      </rPr>
      <t>IN(nom)</t>
    </r>
  </si>
  <si>
    <t>MOSFET Power dissipation (WC)</t>
  </si>
  <si>
    <t>Single output</t>
  </si>
  <si>
    <t>Dual</t>
  </si>
  <si>
    <t>Final</t>
  </si>
  <si>
    <t>Estimated Max MOSFET Power Dissipation</t>
  </si>
  <si>
    <t>MOSFET Loss</t>
  </si>
  <si>
    <t>Step 8:  Compensation Design</t>
  </si>
  <si>
    <t>Snubber Capacitor Voltage Rating&gt;</t>
  </si>
  <si>
    <t>Snubber Resistor Power Rating&gt;</t>
  </si>
  <si>
    <t>Initial Csnb2</t>
  </si>
  <si>
    <t>Initial Rsnb2</t>
  </si>
  <si>
    <t>Step 9:  Optional RC Snubber acorss Rectifier Diode(s)</t>
  </si>
  <si>
    <t>Step 10:  Output Zener Clamp and/or Dummy Load</t>
  </si>
  <si>
    <t>Step 11: Power Losses &amp; Thermals</t>
  </si>
  <si>
    <t>Selected Device Min Power Rating&gt;</t>
  </si>
  <si>
    <t>Rdym</t>
  </si>
  <si>
    <t>Rdym1</t>
  </si>
  <si>
    <t>Rdym2</t>
  </si>
  <si>
    <t>min Load</t>
  </si>
  <si>
    <t>min Load1</t>
  </si>
  <si>
    <t>min Load 2</t>
  </si>
  <si>
    <t xml:space="preserve">Customer Min Load </t>
  </si>
  <si>
    <t>Iout_min</t>
  </si>
  <si>
    <t>Po-min</t>
  </si>
  <si>
    <t>Required min load</t>
  </si>
  <si>
    <t>Ton Min</t>
  </si>
  <si>
    <t>Vin_max</t>
  </si>
  <si>
    <t>Fsw_min</t>
  </si>
  <si>
    <t>Po_cal</t>
  </si>
  <si>
    <t>Do you need a  Dummy Load</t>
  </si>
  <si>
    <t>Customer Min Load 1</t>
  </si>
  <si>
    <t>Customer Min Load 2</t>
  </si>
  <si>
    <t>Iout_min1</t>
  </si>
  <si>
    <t>Po-min1</t>
  </si>
  <si>
    <t>Iout_min2</t>
  </si>
  <si>
    <t>Po-min2</t>
  </si>
  <si>
    <t>Do you need a  Dummy Load1</t>
  </si>
  <si>
    <t>Do you need a  Dummy Load2</t>
  </si>
  <si>
    <t>LM5185EVM-SIO PCB Design, 2.4" x 3.6" (60mm x 90mm)</t>
  </si>
  <si>
    <t xml:space="preserve">&lt;--Please input the effective capacitance under the actual dc voltage bias of the designated outpt rail. </t>
  </si>
  <si>
    <t>Slecct  Diode Forward Drop VF, Output #2</t>
  </si>
  <si>
    <r>
      <t>Flyback Diode Voltage Drop, VF</t>
    </r>
    <r>
      <rPr>
        <b/>
        <vertAlign val="subscript"/>
        <sz val="10"/>
        <rFont val="Arial"/>
        <family val="2"/>
      </rPr>
      <t>(no-load)</t>
    </r>
  </si>
  <si>
    <r>
      <t>Flyback Diode Voltage Drop, VF</t>
    </r>
    <r>
      <rPr>
        <vertAlign val="subscript"/>
        <sz val="10"/>
        <rFont val="Arial"/>
        <family val="2"/>
      </rPr>
      <t>(full-load)</t>
    </r>
  </si>
  <si>
    <t xml:space="preserve">Important: Remember to update Cell E80 below, which is VF at no load, in order to get a more accurate output voltage setting in Step 7. </t>
  </si>
  <si>
    <r>
      <t>C</t>
    </r>
    <r>
      <rPr>
        <vertAlign val="subscript"/>
        <sz val="10"/>
        <rFont val="Arial"/>
        <family val="2"/>
      </rPr>
      <t>VCC</t>
    </r>
  </si>
  <si>
    <t>Capacitor, Ceramic, 1µF, 25V, X7R, 10%</t>
  </si>
  <si>
    <r>
      <t>C</t>
    </r>
    <r>
      <rPr>
        <vertAlign val="subscript"/>
        <sz val="10"/>
        <rFont val="Arial"/>
        <family val="2"/>
      </rPr>
      <t>COMP</t>
    </r>
  </si>
  <si>
    <r>
      <t>C</t>
    </r>
    <r>
      <rPr>
        <vertAlign val="subscript"/>
        <sz val="10"/>
        <rFont val="Arial"/>
        <family val="2"/>
      </rPr>
      <t>HF</t>
    </r>
  </si>
  <si>
    <r>
      <t>R</t>
    </r>
    <r>
      <rPr>
        <vertAlign val="subscript"/>
        <sz val="10"/>
        <rFont val="Arial"/>
        <family val="2"/>
      </rPr>
      <t>COMP</t>
    </r>
  </si>
  <si>
    <r>
      <t>R</t>
    </r>
    <r>
      <rPr>
        <vertAlign val="subscript"/>
        <sz val="10"/>
        <rFont val="Arial"/>
        <family val="2"/>
      </rPr>
      <t>CS</t>
    </r>
  </si>
  <si>
    <t>Non-inductive Chip Power Resistor, 1%</t>
  </si>
  <si>
    <r>
      <t>C</t>
    </r>
    <r>
      <rPr>
        <vertAlign val="subscript"/>
        <sz val="10"/>
        <rFont val="Arial"/>
        <family val="2"/>
      </rPr>
      <t>FLT</t>
    </r>
  </si>
  <si>
    <t>Capacitor, Ceramic, 100pF, 50V, X7R, 10%</t>
  </si>
  <si>
    <r>
      <t>R</t>
    </r>
    <r>
      <rPr>
        <vertAlign val="subscript"/>
        <sz val="10"/>
        <rFont val="Arial"/>
        <family val="2"/>
      </rPr>
      <t>FLT</t>
    </r>
  </si>
  <si>
    <r>
      <t>LM5185-Q1 Low I</t>
    </r>
    <r>
      <rPr>
        <b/>
        <vertAlign val="subscript"/>
        <sz val="16"/>
        <rFont val="Arial"/>
        <family val="2"/>
      </rPr>
      <t>Q</t>
    </r>
    <r>
      <rPr>
        <b/>
        <sz val="16"/>
        <rFont val="Arial"/>
        <family val="2"/>
      </rPr>
      <t>, High Efficiency, PSR Flyback Converter BOM</t>
    </r>
  </si>
  <si>
    <t>LM5185-Q1</t>
  </si>
  <si>
    <t>IC, LM5185-Q1, PSR Flyback Controller, 4.5V–100V Input</t>
  </si>
  <si>
    <t>HTSSOP14</t>
  </si>
  <si>
    <r>
      <t>D</t>
    </r>
    <r>
      <rPr>
        <vertAlign val="subscript"/>
        <sz val="10"/>
        <rFont val="Arial"/>
        <family val="2"/>
      </rPr>
      <t>Z1</t>
    </r>
  </si>
  <si>
    <r>
      <t>D</t>
    </r>
    <r>
      <rPr>
        <vertAlign val="subscript"/>
        <sz val="10"/>
        <rFont val="Arial"/>
        <family val="2"/>
      </rPr>
      <t>Z2</t>
    </r>
  </si>
  <si>
    <t>2510</t>
  </si>
  <si>
    <t>9.3 x 2.7</t>
  </si>
  <si>
    <t>(Always reserve the snubber position on PCB and validatate experimentally.)</t>
  </si>
  <si>
    <t>LM5185EVM-MIO PCB Design, (Multiple Outputs, coming soon)</t>
  </si>
  <si>
    <t>* Choose a transformer with saturation current rating higher than the max peak current limit setting for all operating temperatures *</t>
  </si>
  <si>
    <t xml:space="preserve"> LM5185-Q1 PSR Flyback Controller Design Tool</t>
  </si>
  <si>
    <r>
      <t>Q</t>
    </r>
    <r>
      <rPr>
        <vertAlign val="subscript"/>
        <sz val="10"/>
        <rFont val="Arial"/>
        <family val="2"/>
      </rPr>
      <t>1</t>
    </r>
  </si>
  <si>
    <t>Power MOSFET</t>
  </si>
  <si>
    <t>SO-8</t>
  </si>
  <si>
    <t>5.0 x 6.0</t>
  </si>
  <si>
    <t>5.0 x 6.4</t>
  </si>
  <si>
    <t>22mm x 17mm</t>
  </si>
  <si>
    <t>11 x 14</t>
  </si>
  <si>
    <t>23 x 17</t>
  </si>
  <si>
    <t>Toff Max</t>
  </si>
  <si>
    <r>
      <t xml:space="preserve">Estimated Thermal Impedance, </t>
    </r>
    <r>
      <rPr>
        <sz val="11"/>
        <rFont val="Symbol"/>
        <family val="1"/>
        <charset val="2"/>
      </rPr>
      <t>J</t>
    </r>
    <r>
      <rPr>
        <vertAlign val="subscript"/>
        <sz val="10"/>
        <rFont val="Arial"/>
        <family val="2"/>
      </rPr>
      <t>JA</t>
    </r>
  </si>
  <si>
    <t>Recommended Zener VoltageSelection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</si>
</sst>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 numFmtId="184" formatCode="0.000000"/>
  </numFmts>
  <fonts count="93">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sz val="36"/>
      <color rgb="FFFF0000"/>
      <name val="Arial"/>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0"/>
      <color rgb="FF0000FF"/>
      <name val="Arial"/>
      <family val="2"/>
    </font>
    <font>
      <u/>
      <sz val="10"/>
      <color theme="0" tint="-0.499984740745262"/>
      <name val="Arial"/>
      <family val="2"/>
    </font>
    <font>
      <vertAlign val="subscript"/>
      <sz val="9"/>
      <color indexed="81"/>
      <name val="Tahoma"/>
      <family val="2"/>
    </font>
    <font>
      <b/>
      <vertAlign val="subscript"/>
      <sz val="16"/>
      <name val="Arial"/>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sz val="6"/>
      <name val="ＭＳ Ｐゴシック"/>
      <family val="3"/>
      <charset val="128"/>
    </font>
    <font>
      <b/>
      <sz val="16"/>
      <name val="Calibri"/>
      <family val="2"/>
    </font>
    <font>
      <b/>
      <vertAlign val="subscript"/>
      <sz val="16"/>
      <name val="Calibri"/>
      <family val="2"/>
    </font>
    <font>
      <sz val="20"/>
      <color rgb="FFFF0000"/>
      <name val="Arial"/>
      <family val="2"/>
    </font>
    <font>
      <i/>
      <sz val="14"/>
      <color indexed="12"/>
      <name val="Arial"/>
      <family val="2"/>
    </font>
    <font>
      <vertAlign val="subscript"/>
      <sz val="10"/>
      <color theme="1"/>
      <name val="Arial"/>
      <family val="2"/>
    </font>
    <font>
      <b/>
      <i/>
      <sz val="9"/>
      <color indexed="81"/>
      <name val="Tahoma"/>
      <family val="2"/>
    </font>
    <font>
      <b/>
      <vertAlign val="subscript"/>
      <sz val="10"/>
      <color rgb="FF0000FF"/>
      <name val="Arial"/>
      <family val="2"/>
    </font>
    <font>
      <b/>
      <sz val="10"/>
      <color indexed="10"/>
      <name val="Arial"/>
      <family val="2"/>
    </font>
    <font>
      <sz val="11"/>
      <name val="Symbol"/>
      <family val="1"/>
      <charset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auto="1"/>
      </right>
      <top/>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70" fillId="0" borderId="0" applyFont="0" applyFill="0" applyBorder="0" applyAlignment="0" applyProtection="0"/>
  </cellStyleXfs>
  <cellXfs count="973">
    <xf numFmtId="0" fontId="0" fillId="0" borderId="0" xfId="0"/>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65"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2"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5" fillId="8" borderId="0" xfId="0" applyFont="1" applyFill="1" applyBorder="1" applyProtection="1"/>
    <xf numFmtId="0" fontId="46" fillId="8" borderId="0" xfId="0" applyFont="1" applyFill="1" applyBorder="1" applyProtection="1"/>
    <xf numFmtId="0" fontId="47" fillId="8" borderId="0" xfId="0" applyFont="1" applyFill="1" applyBorder="1" applyAlignment="1" applyProtection="1"/>
    <xf numFmtId="0" fontId="4" fillId="8" borderId="0" xfId="0" applyFont="1" applyFill="1" applyBorder="1" applyAlignment="1" applyProtection="1"/>
    <xf numFmtId="167" fontId="4" fillId="8" borderId="0" xfId="0" applyNumberFormat="1" applyFont="1" applyFill="1" applyBorder="1" applyAlignment="1" applyProtection="1"/>
    <xf numFmtId="0" fontId="47"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4" fillId="8" borderId="0" xfId="0" applyNumberFormat="1" applyFont="1" applyFill="1" applyBorder="1" applyAlignment="1" applyProtection="1">
      <alignment horizontal="right"/>
    </xf>
    <xf numFmtId="0" fontId="50"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3"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50"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50"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66"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0" fontId="7" fillId="0" borderId="25" xfId="0" applyFont="1" applyFill="1" applyBorder="1"/>
    <xf numFmtId="167"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applyBorder="1"/>
    <xf numFmtId="0" fontId="3" fillId="0" borderId="49" xfId="0" applyFont="1" applyBorder="1"/>
    <xf numFmtId="166" fontId="3" fillId="0" borderId="50" xfId="0" applyNumberFormat="1" applyFont="1" applyFill="1" applyBorder="1"/>
    <xf numFmtId="11" fontId="7" fillId="0" borderId="50" xfId="0" applyNumberFormat="1" applyFont="1" applyBorder="1"/>
    <xf numFmtId="0" fontId="53" fillId="0" borderId="50" xfId="0" applyFont="1" applyBorder="1"/>
    <xf numFmtId="0" fontId="49" fillId="0" borderId="0" xfId="0" applyFont="1"/>
    <xf numFmtId="0" fontId="0" fillId="0" borderId="39" xfId="0" applyBorder="1"/>
    <xf numFmtId="0" fontId="50" fillId="0" borderId="0" xfId="0" applyFont="1"/>
    <xf numFmtId="0" fontId="48" fillId="0" borderId="0" xfId="0" applyFont="1" applyFill="1" applyBorder="1"/>
    <xf numFmtId="165" fontId="7" fillId="10" borderId="0" xfId="0" applyNumberFormat="1" applyFont="1" applyFill="1" applyBorder="1"/>
    <xf numFmtId="0" fontId="0" fillId="20" borderId="0" xfId="0" applyFill="1" applyBorder="1" applyAlignment="1">
      <alignment horizontal="right"/>
    </xf>
    <xf numFmtId="166"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66"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76" fontId="0" fillId="10" borderId="0" xfId="0" applyNumberFormat="1" applyFill="1" applyBorder="1"/>
    <xf numFmtId="176"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4" fillId="3" borderId="43" xfId="4" applyFont="1" applyFill="1" applyBorder="1" applyAlignment="1">
      <alignment horizontal="center" vertical="center"/>
    </xf>
    <xf numFmtId="0" fontId="54" fillId="3" borderId="44" xfId="4" applyFont="1" applyFill="1" applyBorder="1" applyAlignment="1">
      <alignment horizontal="center" vertical="center"/>
    </xf>
    <xf numFmtId="11" fontId="49" fillId="0" borderId="0" xfId="0" applyNumberFormat="1" applyFont="1"/>
    <xf numFmtId="0" fontId="59"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66"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65"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1" fillId="8" borderId="0" xfId="0" applyFont="1" applyFill="1" applyBorder="1" applyAlignment="1" applyProtection="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65" fontId="3" fillId="4" borderId="52" xfId="4" applyNumberFormat="1" applyFill="1" applyBorder="1"/>
    <xf numFmtId="165" fontId="4" fillId="4" borderId="49" xfId="4" applyNumberFormat="1" applyFont="1" applyFill="1" applyBorder="1" applyAlignment="1"/>
    <xf numFmtId="165" fontId="7" fillId="4" borderId="50" xfId="4" applyNumberFormat="1" applyFont="1" applyFill="1" applyBorder="1" applyAlignment="1"/>
    <xf numFmtId="0" fontId="7" fillId="4" borderId="50" xfId="4" applyFont="1" applyFill="1" applyBorder="1" applyAlignment="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5" fontId="4" fillId="4" borderId="49" xfId="4" applyNumberFormat="1" applyFont="1" applyFill="1" applyBorder="1"/>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3"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66"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2"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3" fillId="0" borderId="15" xfId="4" applyFont="1" applyBorder="1"/>
    <xf numFmtId="0" fontId="3" fillId="6" borderId="8" xfId="4" applyFont="1" applyFill="1" applyBorder="1"/>
    <xf numFmtId="176" fontId="3" fillId="0" borderId="47" xfId="4" applyNumberFormat="1" applyFont="1" applyFill="1" applyBorder="1"/>
    <xf numFmtId="175"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76"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67" fontId="58" fillId="0" borderId="0" xfId="4" applyNumberFormat="1" applyFont="1"/>
    <xf numFmtId="0" fontId="58" fillId="0" borderId="0" xfId="4" applyFont="1"/>
    <xf numFmtId="0" fontId="48" fillId="0" borderId="0" xfId="4" applyNumberFormat="1" applyFont="1"/>
    <xf numFmtId="166" fontId="3" fillId="0" borderId="0" xfId="4" applyNumberFormat="1" applyFont="1"/>
    <xf numFmtId="165"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65" fontId="48" fillId="0" borderId="0" xfId="4" applyNumberFormat="1" applyFont="1"/>
    <xf numFmtId="1" fontId="4" fillId="0" borderId="0" xfId="4" applyNumberFormat="1" applyFont="1"/>
    <xf numFmtId="165"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66" fontId="7" fillId="4" borderId="50" xfId="4" applyNumberFormat="1" applyFont="1" applyFill="1" applyBorder="1" applyAlignment="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applyAlignment="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67" fontId="3" fillId="2" borderId="11" xfId="4" applyNumberFormat="1" applyFont="1" applyFill="1" applyBorder="1" applyProtection="1">
      <protection locked="0"/>
    </xf>
    <xf numFmtId="1" fontId="3" fillId="0" borderId="47" xfId="4" applyNumberFormat="1" applyFont="1" applyFill="1" applyBorder="1"/>
    <xf numFmtId="165"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4" fillId="0" borderId="0" xfId="0" applyFont="1" applyFill="1"/>
    <xf numFmtId="0" fontId="0" fillId="0" borderId="0" xfId="0" applyFill="1" applyAlignment="1"/>
    <xf numFmtId="0" fontId="15" fillId="0" borderId="0" xfId="0" applyFont="1" applyFill="1"/>
    <xf numFmtId="0" fontId="62"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9"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0" fontId="48" fillId="0" borderId="0" xfId="0" applyFont="1" applyBorder="1" applyAlignment="1">
      <alignment horizontal="left"/>
    </xf>
    <xf numFmtId="0" fontId="48"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8" fillId="0" borderId="0" xfId="4" applyFont="1" applyBorder="1" applyAlignment="1">
      <alignment horizontal="left"/>
    </xf>
    <xf numFmtId="0" fontId="48"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5"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2"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6" fillId="24" borderId="0" xfId="3" applyFont="1" applyFill="1" applyAlignment="1" applyProtection="1"/>
    <xf numFmtId="0" fontId="66" fillId="24" borderId="0" xfId="3" applyFont="1" applyFill="1" applyBorder="1" applyAlignment="1" applyProtection="1">
      <alignment horizontal="left" vertical="center"/>
    </xf>
    <xf numFmtId="169"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66" fontId="0" fillId="10" borderId="2" xfId="0" applyNumberFormat="1" applyFill="1" applyBorder="1"/>
    <xf numFmtId="166" fontId="0" fillId="18" borderId="0" xfId="0" applyNumberFormat="1" applyFill="1" applyBorder="1"/>
    <xf numFmtId="166"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66" fontId="27" fillId="0" borderId="0" xfId="0" applyNumberFormat="1" applyFont="1" applyFill="1" applyBorder="1"/>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8" fillId="0" borderId="0" xfId="4" applyFont="1" applyBorder="1" applyAlignment="1">
      <alignment horizontal="center"/>
    </xf>
    <xf numFmtId="0" fontId="48" fillId="0" borderId="0" xfId="0" applyFont="1" applyAlignment="1">
      <alignment horizontal="center"/>
    </xf>
    <xf numFmtId="0" fontId="69" fillId="0" borderId="0" xfId="4" applyFont="1" applyBorder="1" applyAlignment="1">
      <alignment horizontal="right"/>
    </xf>
    <xf numFmtId="0" fontId="69" fillId="0" borderId="22" xfId="4" applyFont="1" applyBorder="1" applyAlignment="1">
      <alignment horizontal="right"/>
    </xf>
    <xf numFmtId="0" fontId="69" fillId="0" borderId="0" xfId="0" applyFont="1" applyAlignment="1">
      <alignment horizontal="right"/>
    </xf>
    <xf numFmtId="0" fontId="69" fillId="0" borderId="0" xfId="0" applyFont="1" applyBorder="1" applyAlignment="1">
      <alignment horizontal="right"/>
    </xf>
    <xf numFmtId="0" fontId="65" fillId="0" borderId="0" xfId="0" applyFont="1"/>
    <xf numFmtId="165" fontId="7" fillId="4" borderId="63" xfId="4" applyNumberFormat="1" applyFont="1" applyFill="1" applyBorder="1" applyAlignment="1"/>
    <xf numFmtId="167" fontId="3" fillId="0" borderId="0" xfId="4" applyNumberFormat="1"/>
    <xf numFmtId="0" fontId="4" fillId="2" borderId="20" xfId="4" applyFont="1" applyFill="1" applyBorder="1" applyAlignment="1">
      <alignment horizontal="center" vertical="center" wrapText="1"/>
    </xf>
    <xf numFmtId="0" fontId="48"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65" fontId="4" fillId="4" borderId="41" xfId="4" applyNumberFormat="1" applyFont="1" applyFill="1" applyBorder="1" applyAlignment="1"/>
    <xf numFmtId="165"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64" fontId="3" fillId="0" borderId="0" xfId="7" applyNumberFormat="1" applyFont="1"/>
    <xf numFmtId="0" fontId="3" fillId="0" borderId="0" xfId="0" quotePrefix="1" applyFont="1"/>
    <xf numFmtId="0" fontId="48" fillId="0" borderId="0" xfId="0" applyFont="1" applyAlignment="1">
      <alignment horizontal="left"/>
    </xf>
    <xf numFmtId="0" fontId="4" fillId="8" borderId="11" xfId="4" applyFont="1" applyFill="1" applyBorder="1" applyAlignment="1">
      <alignment horizontal="center" vertical="center"/>
    </xf>
    <xf numFmtId="167"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4" fillId="8" borderId="0" xfId="4" applyFont="1" applyFill="1"/>
    <xf numFmtId="167" fontId="74" fillId="8" borderId="0" xfId="4" applyNumberFormat="1" applyFont="1" applyFill="1" applyAlignment="1">
      <alignment horizontal="right"/>
    </xf>
    <xf numFmtId="0" fontId="74" fillId="8" borderId="0" xfId="4" applyFont="1" applyFill="1" applyAlignment="1">
      <alignment horizontal="left" vertical="center"/>
    </xf>
    <xf numFmtId="165" fontId="74"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8" fillId="8" borderId="11" xfId="4" applyFont="1" applyFill="1" applyBorder="1" applyAlignment="1">
      <alignment horizontal="center" vertical="center"/>
    </xf>
    <xf numFmtId="0" fontId="59" fillId="8" borderId="0" xfId="4" applyFont="1" applyFill="1" applyAlignment="1">
      <alignment horizontal="left" vertical="center"/>
    </xf>
    <xf numFmtId="0" fontId="54" fillId="3" borderId="69" xfId="4" applyFont="1" applyFill="1" applyBorder="1" applyAlignment="1">
      <alignment horizontal="center" vertical="center"/>
    </xf>
    <xf numFmtId="49" fontId="72" fillId="14" borderId="68" xfId="4" applyNumberFormat="1" applyFont="1" applyFill="1" applyBorder="1" applyAlignment="1">
      <alignment horizontal="center" vertical="center"/>
    </xf>
    <xf numFmtId="0" fontId="72" fillId="14" borderId="47" xfId="4" applyFont="1" applyFill="1" applyBorder="1" applyAlignment="1">
      <alignment horizontal="center" vertical="center"/>
    </xf>
    <xf numFmtId="167" fontId="75" fillId="0" borderId="0" xfId="4" applyNumberFormat="1" applyFont="1" applyFill="1" applyAlignment="1">
      <alignment horizontal="right" vertical="center"/>
    </xf>
    <xf numFmtId="165" fontId="75" fillId="8" borderId="0" xfId="4" applyNumberFormat="1" applyFont="1" applyFill="1" applyAlignment="1">
      <alignment vertical="center"/>
    </xf>
    <xf numFmtId="49" fontId="59" fillId="8" borderId="0" xfId="4" applyNumberFormat="1" applyFont="1" applyFill="1" applyAlignment="1" applyProtection="1">
      <alignment horizontal="left" vertical="center"/>
      <protection locked="0" hidden="1"/>
    </xf>
    <xf numFmtId="0" fontId="59" fillId="8" borderId="0" xfId="4" applyFont="1" applyFill="1" applyAlignment="1" applyProtection="1">
      <alignment horizontal="left" vertical="center"/>
      <protection locked="0" hidden="1"/>
    </xf>
    <xf numFmtId="0" fontId="3" fillId="8" borderId="0" xfId="4" applyFont="1" applyFill="1" applyAlignment="1" applyProtection="1">
      <alignment vertical="center"/>
      <protection locked="0" hidden="1"/>
    </xf>
    <xf numFmtId="0" fontId="55" fillId="12" borderId="0" xfId="0" applyFont="1" applyFill="1" applyAlignment="1"/>
    <xf numFmtId="0" fontId="59" fillId="8" borderId="0" xfId="4" applyFont="1" applyFill="1"/>
    <xf numFmtId="0" fontId="75" fillId="8" borderId="0" xfId="4" applyFont="1" applyFill="1" applyAlignment="1">
      <alignment horizontal="left"/>
    </xf>
    <xf numFmtId="0" fontId="48" fillId="0" borderId="22" xfId="0" applyFont="1" applyBorder="1"/>
    <xf numFmtId="0" fontId="17" fillId="24" borderId="0" xfId="0" applyFont="1" applyFill="1" applyProtection="1"/>
    <xf numFmtId="0" fontId="17" fillId="12" borderId="35" xfId="0" applyFont="1" applyFill="1" applyBorder="1" applyProtection="1"/>
    <xf numFmtId="169" fontId="17" fillId="12" borderId="39" xfId="0" applyNumberFormat="1" applyFont="1" applyFill="1" applyBorder="1" applyAlignment="1" applyProtection="1">
      <alignment horizontal="center"/>
    </xf>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50"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1" fontId="49"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60" fillId="13" borderId="35" xfId="0" applyFont="1" applyFill="1" applyBorder="1" applyAlignment="1" applyProtection="1">
      <alignment vertical="center"/>
    </xf>
    <xf numFmtId="0" fontId="17" fillId="13" borderId="35" xfId="0" applyFont="1" applyFill="1" applyBorder="1" applyProtection="1"/>
    <xf numFmtId="0" fontId="77"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166" fontId="0" fillId="0" borderId="0" xfId="0" applyNumberFormat="1" applyFill="1" applyBorder="1"/>
    <xf numFmtId="183" fontId="0" fillId="0" borderId="0" xfId="0" applyNumberFormat="1" applyBorder="1" applyAlignment="1">
      <alignment horizontal="right"/>
    </xf>
    <xf numFmtId="183"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Border="1" applyAlignment="1">
      <alignment horizontal="left"/>
    </xf>
    <xf numFmtId="2" fontId="3" fillId="0" borderId="0" xfId="0" applyNumberFormat="1" applyFont="1"/>
    <xf numFmtId="167" fontId="3" fillId="0" borderId="0" xfId="4" applyNumberFormat="1" applyFont="1"/>
    <xf numFmtId="2" fontId="3" fillId="0" borderId="0" xfId="4" applyNumberFormat="1" applyFont="1"/>
    <xf numFmtId="1" fontId="3" fillId="0" borderId="0" xfId="4" applyNumberFormat="1" applyFont="1"/>
    <xf numFmtId="166" fontId="3" fillId="0" borderId="0" xfId="0" applyNumberFormat="1" applyFont="1"/>
    <xf numFmtId="166" fontId="4" fillId="0" borderId="0" xfId="0" applyNumberFormat="1" applyFont="1"/>
    <xf numFmtId="0" fontId="4" fillId="4" borderId="35" xfId="4" applyFont="1" applyFill="1" applyBorder="1" applyAlignment="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67" fontId="15" fillId="18" borderId="0" xfId="0" applyNumberFormat="1" applyFont="1" applyFill="1" applyBorder="1" applyAlignment="1">
      <alignment horizontal="right"/>
    </xf>
    <xf numFmtId="176" fontId="27" fillId="0" borderId="0" xfId="0" applyNumberFormat="1" applyFont="1" applyFill="1" applyBorder="1"/>
    <xf numFmtId="0" fontId="3" fillId="0" borderId="33" xfId="0" applyFont="1" applyBorder="1"/>
    <xf numFmtId="167" fontId="27" fillId="4" borderId="0" xfId="0" applyNumberFormat="1" applyFont="1" applyFill="1" applyBorder="1"/>
    <xf numFmtId="165" fontId="27" fillId="0" borderId="0" xfId="0" applyNumberFormat="1" applyFont="1" applyFill="1" applyBorder="1"/>
    <xf numFmtId="166"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17" fillId="12" borderId="40" xfId="0" applyFont="1" applyFill="1" applyBorder="1" applyProtection="1"/>
    <xf numFmtId="0" fontId="3" fillId="0" borderId="0" xfId="0" applyNumberFormat="1" applyFont="1"/>
    <xf numFmtId="1" fontId="3" fillId="0" borderId="0" xfId="0" applyNumberFormat="1" applyFont="1"/>
    <xf numFmtId="167" fontId="3" fillId="0" borderId="0" xfId="0" applyNumberFormat="1" applyFont="1"/>
    <xf numFmtId="1" fontId="50"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79" fillId="0" borderId="0" xfId="0" applyFont="1" applyAlignment="1">
      <alignment vertical="center" wrapText="1"/>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67" fontId="49" fillId="12" borderId="35" xfId="0" applyNumberFormat="1" applyFont="1" applyFill="1" applyBorder="1" applyAlignment="1" applyProtection="1">
      <alignment vertical="center"/>
    </xf>
    <xf numFmtId="165" fontId="3" fillId="0" borderId="0" xfId="0" applyNumberFormat="1" applyFont="1"/>
    <xf numFmtId="1" fontId="4" fillId="12" borderId="0" xfId="0" applyNumberFormat="1" applyFont="1" applyFill="1" applyBorder="1" applyAlignment="1" applyProtection="1">
      <alignment vertical="center"/>
    </xf>
    <xf numFmtId="1" fontId="65" fillId="0" borderId="0" xfId="0" applyNumberFormat="1" applyFont="1" applyFill="1" applyBorder="1" applyAlignment="1" applyProtection="1">
      <alignment horizontal="right" vertical="center"/>
    </xf>
    <xf numFmtId="167"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5" fillId="8" borderId="75" xfId="0" applyFont="1" applyFill="1" applyBorder="1" applyProtection="1"/>
    <xf numFmtId="0" fontId="45" fillId="8" borderId="76" xfId="0" applyFont="1" applyFill="1" applyBorder="1" applyProtection="1"/>
    <xf numFmtId="0" fontId="45"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66" fontId="4" fillId="0" borderId="2" xfId="0" applyNumberFormat="1" applyFont="1" applyFill="1" applyBorder="1"/>
    <xf numFmtId="0" fontId="48" fillId="0" borderId="0" xfId="0" applyFont="1" applyBorder="1"/>
    <xf numFmtId="0" fontId="27" fillId="18" borderId="0" xfId="0" applyNumberFormat="1" applyFont="1" applyFill="1" applyBorder="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3" fillId="8" borderId="38" xfId="0" applyFont="1" applyFill="1" applyBorder="1" applyAlignment="1" applyProtection="1">
      <alignment horizontal="right"/>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pplyProtection="1">
      <alignment horizontal="right" vertical="center"/>
    </xf>
    <xf numFmtId="166"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9" fillId="12" borderId="0" xfId="4" applyFont="1" applyFill="1" applyAlignment="1">
      <alignment horizontal="left" vertical="center"/>
    </xf>
    <xf numFmtId="0" fontId="3" fillId="12" borderId="0" xfId="4" applyFill="1" applyAlignment="1">
      <alignment vertical="center"/>
    </xf>
    <xf numFmtId="0" fontId="59" fillId="12" borderId="0" xfId="4" applyFont="1" applyFill="1" applyAlignment="1" applyProtection="1">
      <alignment horizontal="left" vertical="center"/>
      <protection locked="0" hidden="1"/>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67" fontId="3" fillId="8" borderId="63" xfId="0" applyNumberFormat="1" applyFont="1" applyFill="1" applyBorder="1" applyAlignment="1" applyProtection="1">
      <alignment horizontal="right" vertical="center"/>
    </xf>
    <xf numFmtId="0" fontId="3" fillId="8" borderId="0" xfId="0" applyNumberFormat="1" applyFont="1" applyFill="1" applyBorder="1" applyAlignment="1" applyProtection="1"/>
    <xf numFmtId="2" fontId="7" fillId="10" borderId="0" xfId="0" applyNumberFormat="1" applyFont="1" applyFill="1" applyBorder="1"/>
    <xf numFmtId="0" fontId="3" fillId="12" borderId="64" xfId="0" applyNumberFormat="1" applyFont="1" applyFill="1" applyBorder="1" applyAlignment="1" applyProtection="1">
      <alignment vertical="center"/>
    </xf>
    <xf numFmtId="164" fontId="0" fillId="0" borderId="0" xfId="0" applyNumberFormat="1"/>
    <xf numFmtId="0" fontId="3" fillId="12" borderId="23" xfId="0" applyNumberFormat="1" applyFont="1" applyFill="1" applyBorder="1" applyAlignment="1" applyProtection="1"/>
    <xf numFmtId="0" fontId="3" fillId="12" borderId="40" xfId="0" applyNumberFormat="1" applyFont="1" applyFill="1" applyBorder="1" applyAlignment="1" applyProtection="1"/>
    <xf numFmtId="2" fontId="3" fillId="8" borderId="39" xfId="0" applyNumberFormat="1" applyFont="1" applyFill="1" applyBorder="1" applyAlignment="1" applyProtection="1">
      <alignment horizontal="right"/>
    </xf>
    <xf numFmtId="168" fontId="7" fillId="0" borderId="0" xfId="0" applyNumberFormat="1" applyFont="1" applyFill="1" applyBorder="1"/>
    <xf numFmtId="11" fontId="7" fillId="0" borderId="0" xfId="0" applyNumberFormat="1" applyFont="1" applyFill="1" applyBorder="1"/>
    <xf numFmtId="0" fontId="3" fillId="0" borderId="11" xfId="0" applyFont="1" applyBorder="1"/>
    <xf numFmtId="0" fontId="0" fillId="0" borderId="11" xfId="0" applyFill="1" applyBorder="1"/>
    <xf numFmtId="0" fontId="3" fillId="0" borderId="0" xfId="4" applyFill="1"/>
    <xf numFmtId="0" fontId="80"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Font="1" applyBorder="1"/>
    <xf numFmtId="0" fontId="3" fillId="0" borderId="8" xfId="4" applyBorder="1" applyAlignment="1">
      <alignment horizontal="left"/>
    </xf>
    <xf numFmtId="0" fontId="3" fillId="0" borderId="17" xfId="4" applyBorder="1"/>
    <xf numFmtId="1" fontId="3" fillId="0" borderId="11" xfId="4" applyNumberFormat="1" applyBorder="1"/>
    <xf numFmtId="0" fontId="3" fillId="0" borderId="15" xfId="4" applyBorder="1"/>
    <xf numFmtId="0" fontId="3" fillId="0" borderId="79" xfId="4" applyFill="1" applyBorder="1"/>
    <xf numFmtId="0" fontId="3" fillId="0" borderId="17" xfId="4" applyFont="1" applyBorder="1" applyAlignment="1">
      <alignment horizontal="left"/>
    </xf>
    <xf numFmtId="167" fontId="3" fillId="0" borderId="8" xfId="4" applyNumberFormat="1" applyBorder="1"/>
    <xf numFmtId="0" fontId="3" fillId="0" borderId="17" xfId="4" applyFill="1" applyBorder="1"/>
    <xf numFmtId="11" fontId="3" fillId="0" borderId="11" xfId="4" applyNumberFormat="1" applyFill="1" applyBorder="1"/>
    <xf numFmtId="1" fontId="3" fillId="0" borderId="11" xfId="4" applyNumberFormat="1" applyFill="1" applyBorder="1"/>
    <xf numFmtId="166" fontId="3" fillId="0" borderId="11" xfId="4" applyNumberFormat="1" applyFill="1" applyBorder="1"/>
    <xf numFmtId="0" fontId="3" fillId="0" borderId="8" xfId="4" applyFill="1" applyBorder="1"/>
    <xf numFmtId="0" fontId="3" fillId="2" borderId="0" xfId="4" applyFill="1"/>
    <xf numFmtId="0" fontId="3" fillId="0" borderId="21" xfId="4" applyFill="1" applyBorder="1" applyAlignment="1">
      <alignment horizontal="left"/>
    </xf>
    <xf numFmtId="1" fontId="3" fillId="0" borderId="39" xfId="4" applyNumberFormat="1" applyBorder="1"/>
    <xf numFmtId="0" fontId="3" fillId="0" borderId="40" xfId="4" applyBorder="1"/>
    <xf numFmtId="0" fontId="3" fillId="0" borderId="39" xfId="4" applyBorder="1"/>
    <xf numFmtId="166" fontId="3" fillId="0" borderId="39" xfId="4" applyNumberFormat="1" applyBorder="1"/>
    <xf numFmtId="166" fontId="3" fillId="0" borderId="38" xfId="4" applyNumberFormat="1" applyBorder="1"/>
    <xf numFmtId="0" fontId="3" fillId="0" borderId="0" xfId="4" applyFill="1" applyBorder="1" applyAlignment="1">
      <alignment horizontal="left"/>
    </xf>
    <xf numFmtId="1" fontId="3" fillId="0" borderId="0" xfId="4" applyNumberFormat="1" applyBorder="1"/>
    <xf numFmtId="0" fontId="3" fillId="0" borderId="0" xfId="4" applyBorder="1"/>
    <xf numFmtId="166" fontId="3" fillId="0" borderId="0" xfId="4" applyNumberFormat="1" applyBorder="1"/>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0" fontId="7" fillId="0" borderId="5" xfId="4" applyFont="1" applyFill="1" applyBorder="1" applyAlignment="1">
      <alignment horizontal="center"/>
    </xf>
    <xf numFmtId="0" fontId="7" fillId="0" borderId="6" xfId="4" applyFont="1" applyFill="1" applyBorder="1" applyAlignment="1">
      <alignment horizontal="center"/>
    </xf>
    <xf numFmtId="2" fontId="7" fillId="0" borderId="7" xfId="4" applyNumberFormat="1" applyFont="1" applyFill="1" applyBorder="1" applyAlignment="1">
      <alignment horizontal="center"/>
    </xf>
    <xf numFmtId="0" fontId="7" fillId="0" borderId="0" xfId="4" applyFont="1" applyFill="1" applyBorder="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5" fontId="3" fillId="0" borderId="84" xfId="4" applyNumberFormat="1" applyBorder="1" applyAlignment="1">
      <alignment horizontal="center"/>
    </xf>
    <xf numFmtId="165" fontId="3" fillId="0" borderId="12" xfId="4" applyNumberFormat="1" applyBorder="1" applyAlignment="1">
      <alignment horizontal="center"/>
    </xf>
    <xf numFmtId="165" fontId="3" fillId="0" borderId="85" xfId="4" applyNumberFormat="1" applyBorder="1" applyAlignment="1">
      <alignment horizontal="center"/>
    </xf>
    <xf numFmtId="165" fontId="3" fillId="0" borderId="48" xfId="4" applyNumberFormat="1" applyBorder="1" applyAlignment="1">
      <alignment horizontal="center"/>
    </xf>
    <xf numFmtId="184" fontId="3" fillId="0" borderId="84" xfId="4" applyNumberFormat="1" applyBorder="1" applyAlignment="1">
      <alignment horizontal="center"/>
    </xf>
    <xf numFmtId="184"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5" fontId="3" fillId="0" borderId="11" xfId="4" applyNumberFormat="1" applyBorder="1" applyAlignment="1">
      <alignment horizontal="center"/>
    </xf>
    <xf numFmtId="165" fontId="3" fillId="0" borderId="79" xfId="4" applyNumberFormat="1" applyBorder="1" applyAlignment="1">
      <alignment horizontal="center"/>
    </xf>
    <xf numFmtId="0" fontId="3" fillId="0" borderId="0" xfId="4" applyAlignment="1">
      <alignment horizontal="center"/>
    </xf>
    <xf numFmtId="0" fontId="3" fillId="0" borderId="0" xfId="4" applyBorder="1" applyAlignment="1">
      <alignment horizontal="center"/>
    </xf>
    <xf numFmtId="165" fontId="3" fillId="0" borderId="0" xfId="4" applyNumberFormat="1" applyBorder="1" applyAlignment="1">
      <alignment horizontal="center"/>
    </xf>
    <xf numFmtId="184" fontId="3" fillId="0" borderId="0" xfId="4" applyNumberFormat="1" applyBorder="1" applyAlignment="1">
      <alignment horizontal="center"/>
    </xf>
    <xf numFmtId="2" fontId="3" fillId="0" borderId="87" xfId="4" applyNumberFormat="1" applyBorder="1" applyAlignment="1">
      <alignment horizontal="center"/>
    </xf>
    <xf numFmtId="2" fontId="3" fillId="0" borderId="0" xfId="4" applyNumberFormat="1" applyBorder="1" applyAlignment="1">
      <alignment horizontal="center"/>
    </xf>
    <xf numFmtId="2" fontId="3" fillId="0" borderId="0" xfId="4" applyNumberFormat="1" applyAlignment="1">
      <alignment horizontal="center"/>
    </xf>
    <xf numFmtId="0" fontId="3" fillId="0" borderId="0" xfId="4" applyFill="1" applyBorder="1" applyAlignment="1">
      <alignment horizontal="right"/>
    </xf>
    <xf numFmtId="165" fontId="3" fillId="0" borderId="17" xfId="4" applyNumberFormat="1" applyBorder="1" applyAlignment="1">
      <alignment horizontal="center"/>
    </xf>
    <xf numFmtId="165" fontId="3" fillId="0" borderId="8" xfId="4" applyNumberFormat="1" applyBorder="1" applyAlignment="1">
      <alignment horizontal="center"/>
    </xf>
    <xf numFmtId="184" fontId="3" fillId="0" borderId="79" xfId="4" applyNumberFormat="1" applyBorder="1" applyAlignment="1">
      <alignment horizontal="center"/>
    </xf>
    <xf numFmtId="1" fontId="3" fillId="0" borderId="0" xfId="4" applyNumberFormat="1" applyAlignment="1">
      <alignment horizontal="right"/>
    </xf>
    <xf numFmtId="0" fontId="3" fillId="0" borderId="0" xfId="4"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3" fillId="0" borderId="0" xfId="4" applyFont="1"/>
    <xf numFmtId="0" fontId="3" fillId="0" borderId="23" xfId="4" applyBorder="1"/>
    <xf numFmtId="11" fontId="3" fillId="0" borderId="0" xfId="4" applyNumberFormat="1" applyFont="1"/>
    <xf numFmtId="168" fontId="3" fillId="0" borderId="0" xfId="4" applyNumberFormat="1" applyFont="1"/>
    <xf numFmtId="2" fontId="3" fillId="29" borderId="0" xfId="4" applyNumberFormat="1" applyFill="1"/>
    <xf numFmtId="0" fontId="3" fillId="29" borderId="0" xfId="4" applyFill="1"/>
    <xf numFmtId="176" fontId="3" fillId="0" borderId="0" xfId="4" applyNumberFormat="1"/>
    <xf numFmtId="1" fontId="3" fillId="0" borderId="8" xfId="4" applyNumberFormat="1" applyBorder="1" applyAlignment="1">
      <alignment horizontal="left"/>
    </xf>
    <xf numFmtId="0" fontId="3" fillId="18" borderId="0" xfId="4" applyFill="1"/>
    <xf numFmtId="166" fontId="3" fillId="18" borderId="0" xfId="4" applyNumberFormat="1" applyFill="1"/>
    <xf numFmtId="0" fontId="3" fillId="0" borderId="0" xfId="4" quotePrefix="1" applyFill="1"/>
    <xf numFmtId="2" fontId="3" fillId="18" borderId="0" xfId="4" applyNumberFormat="1" applyFill="1"/>
    <xf numFmtId="167" fontId="3" fillId="18" borderId="0" xfId="4" applyNumberFormat="1" applyFill="1"/>
    <xf numFmtId="0" fontId="48" fillId="0" borderId="15" xfId="4" applyFont="1" applyFill="1" applyBorder="1"/>
    <xf numFmtId="2" fontId="4" fillId="0" borderId="11" xfId="4" applyNumberFormat="1" applyFont="1" applyFill="1" applyBorder="1"/>
    <xf numFmtId="0" fontId="4" fillId="0" borderId="79" xfId="4" applyFont="1" applyBorder="1"/>
    <xf numFmtId="167" fontId="4" fillId="0" borderId="11" xfId="4" applyNumberFormat="1" applyFont="1" applyFill="1" applyBorder="1"/>
    <xf numFmtId="0" fontId="82" fillId="0" borderId="79" xfId="4" applyFont="1" applyBorder="1"/>
    <xf numFmtId="0" fontId="48" fillId="0" borderId="0" xfId="4" applyFont="1"/>
    <xf numFmtId="0" fontId="3" fillId="0" borderId="80" xfId="4" applyFill="1" applyBorder="1"/>
    <xf numFmtId="0" fontId="3" fillId="0" borderId="15" xfId="4" applyFill="1" applyBorder="1"/>
    <xf numFmtId="165" fontId="7" fillId="0" borderId="0" xfId="0" applyNumberFormat="1" applyFont="1" applyBorder="1"/>
    <xf numFmtId="0" fontId="4" fillId="15" borderId="35" xfId="0" applyNumberFormat="1" applyFont="1" applyFill="1" applyBorder="1" applyAlignment="1" applyProtection="1">
      <alignment vertical="center"/>
      <protection locked="0"/>
    </xf>
    <xf numFmtId="0" fontId="4" fillId="12" borderId="64" xfId="0" applyNumberFormat="1" applyFont="1" applyFill="1" applyBorder="1" applyAlignment="1" applyProtection="1">
      <alignment vertical="center"/>
    </xf>
    <xf numFmtId="0" fontId="4" fillId="12" borderId="40" xfId="0" applyNumberFormat="1" applyFont="1" applyFill="1" applyBorder="1" applyAlignment="1" applyProtection="1">
      <alignment vertical="center"/>
    </xf>
    <xf numFmtId="0" fontId="4" fillId="11" borderId="0" xfId="0" applyFont="1" applyFill="1" applyBorder="1"/>
    <xf numFmtId="0" fontId="58" fillId="0" borderId="0" xfId="0" applyFont="1" applyBorder="1"/>
    <xf numFmtId="0" fontId="84" fillId="8" borderId="0" xfId="0" applyFont="1" applyFill="1" applyBorder="1" applyProtection="1"/>
    <xf numFmtId="0" fontId="81" fillId="12" borderId="0" xfId="0" applyNumberFormat="1" applyFont="1" applyFill="1" applyBorder="1" applyAlignment="1" applyProtection="1">
      <alignment vertical="center"/>
    </xf>
    <xf numFmtId="165" fontId="3" fillId="0" borderId="11" xfId="4" applyNumberFormat="1" applyBorder="1"/>
    <xf numFmtId="184" fontId="3" fillId="0" borderId="0" xfId="4" applyNumberFormat="1"/>
    <xf numFmtId="0" fontId="0" fillId="0" borderId="62" xfId="0" applyBorder="1"/>
    <xf numFmtId="0" fontId="0" fillId="0" borderId="64" xfId="0" applyBorder="1"/>
    <xf numFmtId="20" fontId="0" fillId="0" borderId="0" xfId="0" applyNumberFormat="1" applyBorder="1"/>
    <xf numFmtId="0" fontId="0" fillId="0" borderId="0" xfId="0" quotePrefix="1" applyBorder="1"/>
    <xf numFmtId="0" fontId="78" fillId="0" borderId="0" xfId="0" applyFont="1" applyBorder="1" applyAlignment="1">
      <alignment horizontal="right"/>
    </xf>
    <xf numFmtId="0" fontId="4" fillId="0" borderId="23" xfId="0" applyFont="1" applyBorder="1" applyAlignment="1">
      <alignment horizontal="right"/>
    </xf>
    <xf numFmtId="166" fontId="4" fillId="0" borderId="23" xfId="0" applyNumberFormat="1" applyFont="1" applyBorder="1" applyAlignment="1">
      <alignment horizontal="right"/>
    </xf>
    <xf numFmtId="166" fontId="48" fillId="0" borderId="0" xfId="0" applyNumberFormat="1" applyFont="1" applyBorder="1" applyAlignment="1">
      <alignment horizontal="left"/>
    </xf>
    <xf numFmtId="2" fontId="48" fillId="0" borderId="23" xfId="0" applyNumberFormat="1" applyFont="1" applyBorder="1" applyAlignment="1">
      <alignment horizontal="right"/>
    </xf>
    <xf numFmtId="2" fontId="48" fillId="0" borderId="0" xfId="0" applyNumberFormat="1" applyFont="1" applyBorder="1" applyAlignment="1">
      <alignment horizontal="left"/>
    </xf>
    <xf numFmtId="0" fontId="48" fillId="0" borderId="23" xfId="0" applyFont="1" applyBorder="1" applyAlignment="1">
      <alignment horizontal="right"/>
    </xf>
    <xf numFmtId="0" fontId="0" fillId="0" borderId="38" xfId="0" applyBorder="1"/>
    <xf numFmtId="0" fontId="0" fillId="0" borderId="39" xfId="0" applyBorder="1" applyAlignment="1">
      <alignment horizontal="left"/>
    </xf>
    <xf numFmtId="0" fontId="0" fillId="0" borderId="40" xfId="0" applyBorder="1"/>
    <xf numFmtId="0" fontId="4" fillId="0" borderId="62" xfId="0" applyFont="1" applyBorder="1"/>
    <xf numFmtId="0" fontId="4" fillId="8" borderId="23" xfId="0" applyFont="1" applyFill="1" applyBorder="1" applyAlignment="1" applyProtection="1"/>
    <xf numFmtId="0" fontId="22" fillId="8" borderId="38" xfId="0" applyFont="1" applyFill="1" applyBorder="1" applyAlignment="1" applyProtection="1">
      <alignment vertical="center"/>
    </xf>
    <xf numFmtId="0" fontId="47" fillId="8" borderId="39" xfId="0" applyFont="1" applyFill="1" applyBorder="1" applyAlignment="1" applyProtection="1"/>
    <xf numFmtId="0" fontId="4" fillId="8" borderId="39" xfId="0" applyFont="1" applyFill="1" applyBorder="1" applyAlignment="1" applyProtection="1"/>
    <xf numFmtId="0" fontId="4" fillId="8" borderId="40" xfId="0" applyFont="1" applyFill="1" applyBorder="1" applyAlignment="1" applyProtection="1"/>
    <xf numFmtId="0" fontId="4" fillId="12" borderId="0" xfId="0" applyNumberFormat="1" applyFont="1" applyFill="1" applyBorder="1" applyAlignment="1" applyProtection="1">
      <alignment vertical="center"/>
    </xf>
    <xf numFmtId="0" fontId="22" fillId="12" borderId="0" xfId="0" applyFont="1" applyFill="1" applyBorder="1" applyAlignment="1" applyProtection="1">
      <alignment vertical="center"/>
    </xf>
    <xf numFmtId="167" fontId="49" fillId="12" borderId="0" xfId="0" applyNumberFormat="1" applyFont="1" applyFill="1" applyBorder="1" applyAlignment="1" applyProtection="1">
      <alignment vertical="center"/>
    </xf>
    <xf numFmtId="0" fontId="10" fillId="0" borderId="0" xfId="3" applyAlignment="1" applyProtection="1"/>
    <xf numFmtId="0" fontId="50" fillId="0" borderId="0" xfId="4" applyFont="1"/>
    <xf numFmtId="0" fontId="58" fillId="0" borderId="86" xfId="4" applyFont="1" applyBorder="1" applyAlignment="1">
      <alignment horizontal="center"/>
    </xf>
    <xf numFmtId="0" fontId="58" fillId="0" borderId="74" xfId="4" applyFont="1" applyBorder="1" applyAlignment="1">
      <alignment horizontal="center"/>
    </xf>
    <xf numFmtId="165" fontId="58" fillId="0" borderId="84" xfId="4" applyNumberFormat="1" applyFont="1" applyBorder="1" applyAlignment="1">
      <alignment horizontal="center"/>
    </xf>
    <xf numFmtId="165" fontId="58" fillId="0" borderId="12" xfId="4" applyNumberFormat="1" applyFont="1" applyBorder="1" applyAlignment="1">
      <alignment horizontal="center"/>
    </xf>
    <xf numFmtId="165" fontId="58" fillId="0" borderId="85" xfId="4" applyNumberFormat="1" applyFont="1" applyBorder="1" applyAlignment="1">
      <alignment horizontal="center"/>
    </xf>
    <xf numFmtId="165" fontId="58" fillId="0" borderId="48" xfId="4" applyNumberFormat="1" applyFont="1" applyBorder="1" applyAlignment="1">
      <alignment horizontal="center"/>
    </xf>
    <xf numFmtId="165" fontId="58" fillId="0" borderId="11" xfId="4" applyNumberFormat="1" applyFont="1" applyBorder="1" applyAlignment="1">
      <alignment horizontal="center"/>
    </xf>
    <xf numFmtId="165" fontId="58" fillId="0" borderId="79" xfId="4" applyNumberFormat="1" applyFont="1" applyBorder="1" applyAlignment="1">
      <alignment horizontal="center"/>
    </xf>
    <xf numFmtId="184" fontId="58" fillId="0" borderId="84" xfId="4" applyNumberFormat="1" applyFont="1" applyBorder="1" applyAlignment="1">
      <alignment horizontal="center"/>
    </xf>
    <xf numFmtId="184" fontId="58" fillId="0" borderId="85" xfId="4" applyNumberFormat="1" applyFont="1" applyBorder="1" applyAlignment="1">
      <alignment horizontal="center"/>
    </xf>
    <xf numFmtId="2" fontId="58" fillId="0" borderId="84" xfId="4" applyNumberFormat="1" applyFont="1" applyBorder="1" applyAlignment="1">
      <alignment horizontal="center"/>
    </xf>
    <xf numFmtId="2" fontId="58" fillId="0" borderId="12" xfId="4" applyNumberFormat="1" applyFont="1" applyBorder="1" applyAlignment="1">
      <alignment horizontal="center"/>
    </xf>
    <xf numFmtId="2" fontId="58" fillId="0" borderId="79" xfId="4" applyNumberFormat="1" applyFont="1" applyBorder="1" applyAlignment="1">
      <alignment horizontal="center"/>
    </xf>
    <xf numFmtId="2" fontId="58" fillId="0" borderId="17" xfId="4" applyNumberFormat="1" applyFont="1" applyBorder="1" applyAlignment="1">
      <alignment horizontal="center"/>
    </xf>
    <xf numFmtId="1" fontId="49" fillId="12" borderId="0" xfId="0" applyNumberFormat="1" applyFont="1" applyFill="1" applyBorder="1" applyAlignment="1" applyProtection="1">
      <alignment vertical="center"/>
    </xf>
    <xf numFmtId="0" fontId="3" fillId="8" borderId="0" xfId="0" applyNumberFormat="1" applyFont="1" applyFill="1" applyBorder="1" applyAlignment="1" applyProtection="1">
      <alignment horizontal="right" vertical="center"/>
    </xf>
    <xf numFmtId="167" fontId="50" fillId="15" borderId="0" xfId="0" applyNumberFormat="1" applyFont="1" applyFill="1" applyBorder="1" applyAlignment="1" applyProtection="1">
      <alignment vertical="center"/>
      <protection locked="0"/>
    </xf>
    <xf numFmtId="0" fontId="86" fillId="0" borderId="0" xfId="0" applyFont="1"/>
    <xf numFmtId="167" fontId="3" fillId="12" borderId="0" xfId="0" applyNumberFormat="1" applyFont="1" applyFill="1" applyAlignment="1" applyProtection="1">
      <alignment horizontal="right"/>
    </xf>
    <xf numFmtId="0" fontId="0" fillId="0" borderId="0" xfId="0" quotePrefix="1" applyAlignment="1">
      <alignment wrapText="1"/>
    </xf>
    <xf numFmtId="0" fontId="0" fillId="0" borderId="0" xfId="0" applyAlignment="1">
      <alignment wrapText="1"/>
    </xf>
    <xf numFmtId="0" fontId="3" fillId="0" borderId="0" xfId="0" applyFont="1" applyAlignment="1">
      <alignment wrapText="1"/>
    </xf>
    <xf numFmtId="2" fontId="7" fillId="0" borderId="0" xfId="0" applyNumberFormat="1" applyFont="1" applyFill="1" applyBorder="1"/>
    <xf numFmtId="167" fontId="49" fillId="8" borderId="35" xfId="2" applyNumberFormat="1" applyFont="1" applyFill="1" applyBorder="1" applyAlignment="1" applyProtection="1">
      <alignment horizontal="right" vertical="center"/>
    </xf>
    <xf numFmtId="167" fontId="17" fillId="8" borderId="35" xfId="0" applyNumberFormat="1" applyFont="1" applyFill="1" applyBorder="1" applyAlignment="1" applyProtection="1">
      <alignment horizontal="right"/>
    </xf>
    <xf numFmtId="0" fontId="3" fillId="8" borderId="38" xfId="0" applyFont="1" applyFill="1" applyBorder="1" applyAlignment="1" applyProtection="1">
      <alignment vertical="center"/>
    </xf>
    <xf numFmtId="0" fontId="50" fillId="8" borderId="35" xfId="0" applyFont="1" applyFill="1" applyBorder="1" applyAlignment="1" applyProtection="1">
      <alignment horizontal="right" vertical="center"/>
    </xf>
    <xf numFmtId="0" fontId="50" fillId="12" borderId="64" xfId="0" applyNumberFormat="1" applyFont="1" applyFill="1" applyBorder="1" applyAlignment="1" applyProtection="1">
      <alignment vertical="center"/>
    </xf>
    <xf numFmtId="0" fontId="3" fillId="8" borderId="0" xfId="0" applyFont="1" applyFill="1" applyBorder="1" applyAlignment="1" applyProtection="1"/>
    <xf numFmtId="167" fontId="3" fillId="8" borderId="0" xfId="0" applyNumberFormat="1" applyFont="1" applyFill="1" applyBorder="1" applyAlignment="1" applyProtection="1"/>
    <xf numFmtId="0" fontId="87" fillId="8" borderId="39" xfId="0" applyFont="1" applyFill="1" applyBorder="1" applyAlignment="1" applyProtection="1"/>
    <xf numFmtId="0" fontId="3" fillId="8" borderId="39" xfId="0" applyFont="1" applyFill="1" applyBorder="1" applyAlignment="1" applyProtection="1"/>
    <xf numFmtId="0" fontId="49" fillId="8" borderId="39" xfId="0" applyFont="1" applyFill="1" applyBorder="1" applyAlignment="1" applyProtection="1">
      <alignment horizontal="right"/>
    </xf>
    <xf numFmtId="1" fontId="3" fillId="8" borderId="39" xfId="0" applyNumberFormat="1" applyFont="1" applyFill="1" applyBorder="1" applyAlignment="1" applyProtection="1"/>
    <xf numFmtId="0" fontId="3" fillId="8" borderId="40" xfId="0" applyFont="1" applyFill="1" applyBorder="1" applyAlignment="1" applyProtection="1"/>
    <xf numFmtId="167" fontId="79" fillId="8" borderId="0" xfId="0" applyNumberFormat="1" applyFont="1" applyFill="1" applyBorder="1" applyAlignment="1" applyProtection="1"/>
    <xf numFmtId="0" fontId="3" fillId="8" borderId="22" xfId="0" applyFont="1" applyFill="1" applyBorder="1" applyAlignment="1" applyProtection="1">
      <alignment horizontal="right"/>
    </xf>
    <xf numFmtId="0" fontId="22" fillId="12" borderId="62" xfId="0" applyFont="1" applyFill="1" applyBorder="1" applyAlignment="1" applyProtection="1">
      <alignment vertical="center"/>
    </xf>
    <xf numFmtId="0" fontId="47" fillId="8" borderId="35" xfId="0" applyFont="1" applyFill="1" applyBorder="1" applyAlignment="1" applyProtection="1"/>
    <xf numFmtId="0" fontId="3" fillId="8" borderId="35" xfId="0" applyFont="1" applyFill="1" applyBorder="1" applyAlignment="1" applyProtection="1"/>
    <xf numFmtId="0" fontId="3" fillId="8" borderId="35" xfId="0" quotePrefix="1" applyFont="1" applyFill="1" applyBorder="1" applyAlignment="1" applyProtection="1">
      <alignment horizontal="right"/>
    </xf>
    <xf numFmtId="167" fontId="3" fillId="8" borderId="35" xfId="0" applyNumberFormat="1" applyFont="1" applyFill="1" applyBorder="1" applyAlignment="1" applyProtection="1"/>
    <xf numFmtId="0" fontId="3" fillId="8" borderId="64" xfId="0" applyFont="1" applyFill="1" applyBorder="1" applyAlignment="1" applyProtection="1"/>
    <xf numFmtId="0" fontId="22" fillId="12" borderId="22" xfId="0" applyFont="1" applyFill="1" applyBorder="1" applyAlignment="1" applyProtection="1">
      <alignment vertical="center"/>
    </xf>
    <xf numFmtId="0" fontId="17" fillId="12" borderId="38" xfId="0" applyFont="1" applyFill="1" applyBorder="1" applyProtection="1"/>
    <xf numFmtId="167" fontId="3" fillId="8" borderId="0" xfId="0" applyNumberFormat="1" applyFont="1" applyFill="1" applyBorder="1" applyAlignment="1" applyProtection="1">
      <alignment horizontal="right"/>
    </xf>
    <xf numFmtId="167" fontId="3" fillId="8" borderId="39" xfId="0" applyNumberFormat="1" applyFont="1" applyFill="1" applyBorder="1" applyAlignment="1" applyProtection="1">
      <alignment horizontal="right"/>
    </xf>
    <xf numFmtId="0" fontId="3" fillId="8" borderId="64" xfId="0" applyFont="1" applyFill="1" applyBorder="1" applyAlignment="1" applyProtection="1">
      <alignment vertical="center"/>
    </xf>
    <xf numFmtId="0" fontId="50" fillId="15" borderId="39" xfId="0" applyNumberFormat="1" applyFont="1" applyFill="1" applyBorder="1" applyAlignment="1" applyProtection="1">
      <alignment horizontal="right" vertical="center"/>
      <protection locked="0"/>
    </xf>
    <xf numFmtId="0" fontId="4" fillId="8" borderId="40" xfId="0" applyFont="1" applyFill="1" applyBorder="1" applyAlignment="1" applyProtection="1">
      <alignment vertical="center"/>
    </xf>
    <xf numFmtId="0" fontId="84" fillId="8" borderId="11" xfId="0" applyFont="1" applyFill="1" applyBorder="1" applyAlignment="1" applyProtection="1">
      <alignment horizontal="right"/>
    </xf>
    <xf numFmtId="0" fontId="81" fillId="15" borderId="15" xfId="0" applyNumberFormat="1" applyFont="1" applyFill="1" applyBorder="1" applyAlignment="1" applyProtection="1">
      <alignment vertical="center"/>
      <protection locked="0"/>
    </xf>
    <xf numFmtId="0" fontId="4" fillId="0" borderId="0" xfId="0" applyFont="1" applyFill="1" applyBorder="1" applyProtection="1"/>
    <xf numFmtId="0" fontId="3" fillId="8" borderId="64" xfId="0" applyFont="1" applyFill="1" applyBorder="1" applyProtection="1"/>
    <xf numFmtId="0" fontId="3" fillId="12" borderId="40" xfId="0" applyFont="1" applyFill="1" applyBorder="1" applyProtection="1"/>
    <xf numFmtId="0" fontId="4" fillId="15" borderId="0" xfId="0" applyNumberFormat="1" applyFont="1" applyFill="1" applyBorder="1" applyAlignment="1" applyProtection="1">
      <alignment horizontal="right"/>
      <protection locked="0"/>
    </xf>
    <xf numFmtId="0" fontId="4" fillId="8" borderId="35" xfId="0" applyFont="1" applyFill="1" applyBorder="1" applyAlignment="1" applyProtection="1">
      <alignment horizontal="right" vertical="center"/>
    </xf>
    <xf numFmtId="1" fontId="3" fillId="8" borderId="35" xfId="0" applyNumberFormat="1" applyFont="1" applyFill="1" applyBorder="1" applyAlignment="1" applyProtection="1">
      <alignment horizontal="right" vertical="center"/>
    </xf>
    <xf numFmtId="0" fontId="3" fillId="8" borderId="88" xfId="0" applyFont="1" applyFill="1" applyBorder="1" applyAlignment="1" applyProtection="1">
      <alignment vertical="center"/>
    </xf>
    <xf numFmtId="0" fontId="3" fillId="8" borderId="10" xfId="0" applyFont="1" applyFill="1" applyBorder="1" applyAlignment="1" applyProtection="1">
      <alignment vertical="center"/>
    </xf>
    <xf numFmtId="0" fontId="4" fillId="8" borderId="10" xfId="0" applyFont="1" applyFill="1" applyBorder="1" applyAlignment="1" applyProtection="1">
      <alignment vertical="center"/>
    </xf>
    <xf numFmtId="0" fontId="3" fillId="8" borderId="10" xfId="0" applyFont="1" applyFill="1" applyBorder="1" applyAlignment="1" applyProtection="1">
      <alignment horizontal="right" vertical="center"/>
    </xf>
    <xf numFmtId="0" fontId="3" fillId="0" borderId="10" xfId="0" applyNumberFormat="1" applyFont="1" applyFill="1" applyBorder="1" applyAlignment="1" applyProtection="1">
      <alignment horizontal="right" vertical="center"/>
    </xf>
    <xf numFmtId="0" fontId="3" fillId="8" borderId="89" xfId="0" applyFont="1" applyFill="1" applyBorder="1" applyAlignment="1" applyProtection="1">
      <alignment vertical="center"/>
    </xf>
    <xf numFmtId="0" fontId="3" fillId="8" borderId="48" xfId="0" applyFont="1" applyFill="1" applyBorder="1" applyAlignment="1" applyProtection="1">
      <alignment vertical="center"/>
    </xf>
    <xf numFmtId="0" fontId="3" fillId="8" borderId="4" xfId="0" applyFont="1" applyFill="1" applyBorder="1" applyAlignment="1" applyProtection="1">
      <alignment vertical="center"/>
    </xf>
    <xf numFmtId="0" fontId="3" fillId="8" borderId="4" xfId="0" applyFont="1" applyFill="1" applyBorder="1" applyAlignment="1" applyProtection="1">
      <alignment horizontal="right" vertical="center"/>
    </xf>
    <xf numFmtId="0" fontId="3" fillId="8" borderId="4" xfId="0" applyNumberFormat="1" applyFont="1" applyFill="1" applyBorder="1" applyAlignment="1" applyProtection="1">
      <alignment horizontal="right" vertical="center"/>
    </xf>
    <xf numFmtId="0" fontId="3" fillId="8" borderId="16" xfId="0" applyFont="1" applyFill="1" applyBorder="1" applyAlignment="1" applyProtection="1">
      <alignment vertical="center"/>
    </xf>
    <xf numFmtId="0" fontId="22" fillId="8" borderId="0" xfId="0" applyFont="1" applyFill="1" applyBorder="1" applyAlignment="1" applyProtection="1">
      <alignment vertical="center"/>
    </xf>
    <xf numFmtId="0" fontId="45" fillId="8" borderId="62" xfId="0" applyFont="1" applyFill="1" applyBorder="1" applyProtection="1"/>
    <xf numFmtId="0" fontId="45" fillId="8" borderId="38" xfId="0" applyFont="1" applyFill="1" applyBorder="1" applyProtection="1"/>
    <xf numFmtId="0" fontId="3" fillId="8" borderId="62" xfId="0" applyFont="1" applyFill="1" applyBorder="1" applyAlignment="1" applyProtection="1">
      <alignment horizontal="right"/>
    </xf>
    <xf numFmtId="0" fontId="3" fillId="0" borderId="0" xfId="0" applyFont="1" applyFill="1" applyBorder="1" applyAlignment="1" applyProtection="1">
      <alignment horizontal="right"/>
    </xf>
    <xf numFmtId="0" fontId="49" fillId="12" borderId="0" xfId="0" applyFont="1" applyFill="1" applyBorder="1" applyAlignment="1" applyProtection="1">
      <alignment horizontal="right"/>
    </xf>
    <xf numFmtId="0" fontId="49" fillId="12" borderId="35" xfId="0" applyFont="1" applyFill="1" applyBorder="1" applyAlignment="1" applyProtection="1">
      <alignment horizontal="right"/>
    </xf>
    <xf numFmtId="0" fontId="17" fillId="12" borderId="90" xfId="0" applyFont="1" applyFill="1" applyBorder="1" applyProtection="1"/>
    <xf numFmtId="0" fontId="50" fillId="12" borderId="39" xfId="0" applyFont="1" applyFill="1" applyBorder="1" applyAlignment="1" applyProtection="1">
      <alignment horizontal="right"/>
    </xf>
    <xf numFmtId="0" fontId="3" fillId="0" borderId="0" xfId="0" applyNumberFormat="1" applyFont="1" applyFill="1" applyBorder="1" applyAlignment="1" applyProtection="1">
      <alignment vertical="center"/>
    </xf>
    <xf numFmtId="0" fontId="17" fillId="8" borderId="67" xfId="0" applyFont="1" applyFill="1" applyBorder="1" applyProtection="1"/>
    <xf numFmtId="0" fontId="3" fillId="12" borderId="0" xfId="0" applyFont="1" applyFill="1" applyBorder="1" applyAlignment="1" applyProtection="1">
      <alignment horizontal="right"/>
    </xf>
    <xf numFmtId="0" fontId="3" fillId="12" borderId="23" xfId="0" applyFont="1" applyFill="1" applyBorder="1" applyProtection="1"/>
    <xf numFmtId="0" fontId="3" fillId="0" borderId="0" xfId="0" applyFont="1" applyFill="1" applyBorder="1" applyProtection="1"/>
    <xf numFmtId="0" fontId="79" fillId="8" borderId="0" xfId="0" applyFont="1" applyFill="1" applyBorder="1" applyAlignment="1" applyProtection="1">
      <alignment horizontal="right" vertical="center"/>
    </xf>
    <xf numFmtId="0" fontId="65" fillId="8" borderId="0" xfId="0" applyFont="1" applyFill="1" applyBorder="1" applyAlignment="1" applyProtection="1">
      <alignment horizontal="right" vertical="center"/>
    </xf>
    <xf numFmtId="0" fontId="3" fillId="0" borderId="62" xfId="0" applyFont="1" applyBorder="1"/>
    <xf numFmtId="0" fontId="0" fillId="0" borderId="90" xfId="0" applyBorder="1"/>
    <xf numFmtId="0" fontId="3" fillId="0" borderId="38" xfId="0" applyFont="1" applyBorder="1"/>
    <xf numFmtId="0" fontId="4" fillId="8" borderId="35" xfId="0" applyFont="1" applyFill="1" applyBorder="1" applyAlignment="1" applyProtection="1">
      <alignment horizontal="right"/>
    </xf>
    <xf numFmtId="0" fontId="3" fillId="0"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3" fillId="8" borderId="38" xfId="0" applyFont="1" applyFill="1" applyBorder="1" applyProtection="1"/>
    <xf numFmtId="0" fontId="4" fillId="0" borderId="39" xfId="0" applyFont="1" applyFill="1" applyBorder="1" applyProtection="1"/>
    <xf numFmtId="0" fontId="3" fillId="0" borderId="39" xfId="0" applyFont="1" applyFill="1" applyBorder="1" applyAlignment="1" applyProtection="1">
      <alignment horizontal="right"/>
    </xf>
    <xf numFmtId="0" fontId="3" fillId="0" borderId="40" xfId="0" applyNumberFormat="1" applyFont="1" applyFill="1" applyBorder="1" applyAlignment="1" applyProtection="1">
      <alignment vertical="center"/>
    </xf>
    <xf numFmtId="167" fontId="3" fillId="0" borderId="39" xfId="0" applyNumberFormat="1" applyFont="1" applyFill="1" applyBorder="1" applyAlignment="1" applyProtection="1">
      <alignment horizontal="right" vertical="center"/>
    </xf>
    <xf numFmtId="0" fontId="3" fillId="12" borderId="0" xfId="0" applyFont="1" applyFill="1" applyBorder="1" applyProtection="1"/>
    <xf numFmtId="1" fontId="3" fillId="12" borderId="35" xfId="0" applyNumberFormat="1" applyFont="1" applyFill="1" applyBorder="1" applyProtection="1"/>
    <xf numFmtId="0" fontId="3" fillId="12" borderId="64" xfId="0" applyFont="1" applyFill="1" applyBorder="1" applyProtection="1"/>
    <xf numFmtId="0" fontId="3" fillId="12" borderId="0" xfId="0" applyFont="1" applyFill="1" applyBorder="1" applyAlignment="1" applyProtection="1"/>
    <xf numFmtId="0" fontId="3" fillId="12" borderId="90" xfId="0" applyFont="1" applyFill="1" applyBorder="1" applyProtection="1"/>
    <xf numFmtId="0" fontId="4" fillId="15" borderId="39" xfId="0" applyFont="1" applyFill="1" applyBorder="1" applyAlignment="1" applyProtection="1">
      <protection locked="0"/>
    </xf>
    <xf numFmtId="0" fontId="4" fillId="12" borderId="40" xfId="0" applyFont="1" applyFill="1" applyBorder="1" applyProtection="1"/>
    <xf numFmtId="167" fontId="3" fillId="12" borderId="0" xfId="0" applyNumberFormat="1" applyFont="1" applyFill="1" applyBorder="1" applyProtection="1"/>
    <xf numFmtId="0" fontId="4" fillId="8" borderId="90" xfId="0" applyFont="1" applyFill="1" applyBorder="1" applyAlignment="1" applyProtection="1">
      <alignment vertical="center"/>
    </xf>
    <xf numFmtId="0" fontId="3" fillId="8" borderId="90" xfId="0" applyNumberFormat="1" applyFont="1" applyFill="1" applyBorder="1" applyAlignment="1" applyProtection="1">
      <alignment horizontal="left" vertical="center"/>
    </xf>
    <xf numFmtId="0" fontId="3" fillId="8" borderId="90" xfId="0" applyFont="1" applyFill="1" applyBorder="1" applyAlignment="1" applyProtection="1">
      <alignment vertical="center"/>
    </xf>
    <xf numFmtId="0" fontId="3" fillId="8" borderId="35" xfId="0" applyNumberFormat="1"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40" xfId="0" applyNumberFormat="1" applyFont="1" applyFill="1" applyBorder="1" applyAlignment="1" applyProtection="1">
      <alignment horizontal="left" vertical="center"/>
    </xf>
    <xf numFmtId="0" fontId="3" fillId="8" borderId="62" xfId="0" applyFont="1" applyFill="1" applyBorder="1" applyAlignment="1" applyProtection="1">
      <alignment horizontal="right" vertical="center"/>
    </xf>
    <xf numFmtId="0" fontId="3" fillId="12" borderId="35" xfId="0" applyNumberFormat="1" applyFont="1" applyFill="1" applyBorder="1" applyAlignment="1" applyProtection="1">
      <alignment horizontal="right" vertical="center"/>
    </xf>
    <xf numFmtId="0" fontId="3" fillId="12" borderId="35" xfId="0" applyFont="1" applyFill="1" applyBorder="1" applyAlignment="1" applyProtection="1">
      <alignment vertical="center"/>
    </xf>
    <xf numFmtId="0" fontId="3" fillId="12" borderId="35" xfId="0" applyFont="1" applyFill="1" applyBorder="1" applyProtection="1"/>
    <xf numFmtId="0" fontId="3" fillId="8" borderId="22" xfId="0" applyFont="1" applyFill="1" applyBorder="1" applyAlignment="1" applyProtection="1">
      <alignment horizontal="right" vertical="center"/>
    </xf>
    <xf numFmtId="0" fontId="3" fillId="8" borderId="90" xfId="0" applyFont="1" applyFill="1" applyBorder="1" applyProtection="1"/>
    <xf numFmtId="165" fontId="17" fillId="8" borderId="39" xfId="0" applyNumberFormat="1" applyFont="1" applyFill="1" applyBorder="1" applyProtection="1"/>
    <xf numFmtId="2" fontId="3" fillId="8" borderId="39" xfId="0" applyNumberFormat="1" applyFont="1" applyFill="1" applyBorder="1" applyProtection="1"/>
    <xf numFmtId="166" fontId="3" fillId="8" borderId="39" xfId="0" applyNumberFormat="1" applyFont="1" applyFill="1" applyBorder="1" applyAlignment="1" applyProtection="1">
      <alignment horizontal="right" vertical="center"/>
    </xf>
    <xf numFmtId="0" fontId="3" fillId="8" borderId="76" xfId="0" applyFont="1" applyFill="1" applyBorder="1" applyProtection="1"/>
    <xf numFmtId="0" fontId="3" fillId="8" borderId="77" xfId="0" applyFont="1" applyFill="1" applyBorder="1" applyProtection="1"/>
    <xf numFmtId="0" fontId="3" fillId="15" borderId="0" xfId="0" applyNumberFormat="1" applyFont="1" applyFill="1" applyBorder="1" applyAlignment="1" applyProtection="1">
      <alignment horizontal="right" vertical="center"/>
      <protection locked="0"/>
    </xf>
    <xf numFmtId="166" fontId="0" fillId="30" borderId="0" xfId="0" applyNumberFormat="1" applyFill="1"/>
    <xf numFmtId="176" fontId="0" fillId="0" borderId="0" xfId="0" applyNumberFormat="1"/>
    <xf numFmtId="0" fontId="3" fillId="15" borderId="35" xfId="0" applyNumberFormat="1" applyFont="1" applyFill="1" applyBorder="1" applyAlignment="1" applyProtection="1">
      <alignment horizontal="right" vertical="center"/>
      <protection locked="0"/>
    </xf>
    <xf numFmtId="0" fontId="4" fillId="8" borderId="64" xfId="0" applyNumberFormat="1" applyFont="1" applyFill="1" applyBorder="1" applyAlignment="1" applyProtection="1">
      <alignment horizontal="left" vertical="center"/>
    </xf>
    <xf numFmtId="0" fontId="4" fillId="8" borderId="90" xfId="0" applyNumberFormat="1" applyFont="1" applyFill="1" applyBorder="1" applyAlignment="1" applyProtection="1">
      <alignment horizontal="left" vertical="center"/>
    </xf>
    <xf numFmtId="0" fontId="65" fillId="8" borderId="0" xfId="0" applyNumberFormat="1" applyFont="1" applyFill="1" applyBorder="1" applyAlignment="1" applyProtection="1">
      <alignment horizontal="right" vertical="center"/>
    </xf>
    <xf numFmtId="0" fontId="18" fillId="8" borderId="64" xfId="0" applyFont="1" applyFill="1" applyBorder="1" applyProtection="1"/>
    <xf numFmtId="0" fontId="18" fillId="8" borderId="90" xfId="0" applyFont="1" applyFill="1" applyBorder="1" applyProtection="1"/>
    <xf numFmtId="0" fontId="17" fillId="8" borderId="90" xfId="0" applyFont="1" applyFill="1" applyBorder="1" applyProtection="1"/>
    <xf numFmtId="0" fontId="3" fillId="8" borderId="38" xfId="0" applyFont="1" applyFill="1" applyBorder="1" applyAlignment="1" applyProtection="1">
      <alignment horizontal="right" vertical="center"/>
    </xf>
    <xf numFmtId="0" fontId="3" fillId="12" borderId="39" xfId="0" applyNumberFormat="1" applyFont="1" applyFill="1" applyBorder="1" applyAlignment="1" applyProtection="1">
      <alignment horizontal="right" vertical="center"/>
    </xf>
    <xf numFmtId="0" fontId="3" fillId="12" borderId="39" xfId="0" applyFont="1" applyFill="1" applyBorder="1" applyAlignment="1" applyProtection="1">
      <alignment vertical="center"/>
    </xf>
    <xf numFmtId="0" fontId="3" fillId="8" borderId="75" xfId="0" applyFont="1" applyFill="1" applyBorder="1" applyProtection="1"/>
    <xf numFmtId="0" fontId="3" fillId="15" borderId="35" xfId="0" applyFont="1" applyFill="1" applyBorder="1" applyProtection="1">
      <protection locked="0"/>
    </xf>
    <xf numFmtId="0" fontId="3" fillId="15" borderId="0" xfId="0" applyFont="1" applyFill="1" applyBorder="1" applyProtection="1">
      <protection locked="0"/>
    </xf>
    <xf numFmtId="0" fontId="65" fillId="8" borderId="0" xfId="0" applyFont="1" applyFill="1" applyBorder="1" applyAlignment="1" applyProtection="1">
      <alignment horizontal="right"/>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48" fillId="8" borderId="0" xfId="0" applyFont="1" applyFill="1" applyBorder="1" applyProtection="1"/>
    <xf numFmtId="0" fontId="58" fillId="8" borderId="0" xfId="0" applyFont="1" applyFill="1" applyBorder="1" applyProtection="1"/>
    <xf numFmtId="174" fontId="3" fillId="12" borderId="8" xfId="4" applyNumberFormat="1" applyFill="1" applyBorder="1" applyAlignment="1">
      <alignment horizontal="left" vertical="center"/>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 fontId="3" fillId="17" borderId="11" xfId="4" applyNumberFormat="1" applyFill="1" applyBorder="1" applyAlignment="1">
      <alignment horizontal="center" vertical="center"/>
    </xf>
    <xf numFmtId="181" fontId="3" fillId="12" borderId="11" xfId="4" applyNumberFormat="1" applyFill="1" applyBorder="1" applyAlignment="1">
      <alignment horizontal="center" vertical="center"/>
    </xf>
    <xf numFmtId="182" fontId="3" fillId="12" borderId="9" xfId="4" applyNumberFormat="1" applyFill="1" applyBorder="1" applyAlignment="1">
      <alignment horizontal="left" vertical="center"/>
    </xf>
    <xf numFmtId="172" fontId="3" fillId="17" borderId="11" xfId="4" applyNumberFormat="1" applyFill="1" applyBorder="1" applyAlignment="1">
      <alignment horizontal="center" vertical="center"/>
    </xf>
    <xf numFmtId="11" fontId="0" fillId="0" borderId="0" xfId="0" applyNumberFormat="1"/>
    <xf numFmtId="0" fontId="58" fillId="0" borderId="0" xfId="0" applyFont="1" applyFill="1" applyBorder="1"/>
    <xf numFmtId="0" fontId="58" fillId="0" borderId="0" xfId="0" applyFont="1"/>
    <xf numFmtId="0" fontId="3" fillId="12" borderId="23" xfId="0" applyFont="1" applyFill="1" applyBorder="1" applyAlignment="1" applyProtection="1">
      <alignment vertical="center"/>
    </xf>
    <xf numFmtId="167" fontId="49" fillId="12" borderId="0" xfId="0" applyNumberFormat="1" applyFont="1" applyFill="1" applyBorder="1" applyAlignment="1" applyProtection="1">
      <alignment horizontal="right" vertical="center"/>
    </xf>
    <xf numFmtId="167" fontId="3" fillId="8" borderId="0" xfId="0" applyNumberFormat="1" applyFont="1" applyFill="1" applyBorder="1" applyAlignment="1" applyProtection="1">
      <alignment horizontal="right" vertical="center"/>
    </xf>
    <xf numFmtId="0" fontId="81" fillId="4" borderId="43" xfId="4" applyFont="1" applyFill="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applyAlignment="1"/>
    <xf numFmtId="0" fontId="4" fillId="4" borderId="81" xfId="4" applyFont="1" applyFill="1" applyBorder="1" applyAlignment="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Font="1" applyBorder="1" applyAlignment="1">
      <alignment horizontal="center"/>
    </xf>
    <xf numFmtId="0" fontId="3" fillId="0" borderId="66" xfId="4" applyFont="1" applyBorder="1" applyAlignment="1">
      <alignment horizontal="center"/>
    </xf>
    <xf numFmtId="0" fontId="4" fillId="0" borderId="66" xfId="4" applyFont="1" applyBorder="1" applyAlignment="1">
      <alignment horizontal="center"/>
    </xf>
    <xf numFmtId="0" fontId="81"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1" fillId="4" borderId="76" xfId="4" applyFont="1" applyFill="1" applyBorder="1" applyAlignment="1">
      <alignment horizontal="center" vertical="top"/>
    </xf>
    <xf numFmtId="0" fontId="81" fillId="4" borderId="82" xfId="4" applyFont="1" applyFill="1" applyBorder="1" applyAlignment="1">
      <alignment horizontal="center" vertical="top"/>
    </xf>
    <xf numFmtId="0" fontId="81" fillId="4" borderId="65" xfId="4" applyFont="1" applyFill="1" applyBorder="1" applyAlignment="1">
      <alignment horizontal="center"/>
    </xf>
    <xf numFmtId="0" fontId="81" fillId="4" borderId="78" xfId="4" applyFont="1" applyFill="1" applyBorder="1" applyAlignment="1">
      <alignment horizontal="center"/>
    </xf>
    <xf numFmtId="0" fontId="81" fillId="4" borderId="66" xfId="4" applyFont="1" applyFill="1" applyBorder="1" applyAlignment="1">
      <alignment horizontal="center"/>
    </xf>
    <xf numFmtId="0" fontId="81" fillId="4" borderId="81" xfId="4" applyFont="1" applyFill="1" applyBorder="1" applyAlignment="1">
      <alignment horizontal="center"/>
    </xf>
    <xf numFmtId="0" fontId="4" fillId="0" borderId="0" xfId="0" applyFont="1" applyAlignment="1">
      <alignment horizontal="center"/>
    </xf>
    <xf numFmtId="0" fontId="5" fillId="3" borderId="0" xfId="0" applyFont="1" applyFill="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66" xfId="4" applyFont="1" applyFill="1" applyBorder="1" applyAlignment="1">
      <alignment horizontal="left"/>
    </xf>
    <xf numFmtId="0" fontId="4" fillId="4" borderId="78" xfId="4" applyFont="1" applyFill="1" applyBorder="1" applyAlignment="1">
      <alignment horizontal="left"/>
    </xf>
    <xf numFmtId="0" fontId="54" fillId="3" borderId="69" xfId="4" applyFont="1" applyFill="1" applyBorder="1" applyAlignment="1">
      <alignment horizontal="center" vertical="center"/>
    </xf>
    <xf numFmtId="0" fontId="54" fillId="3" borderId="71" xfId="4" applyFont="1" applyFill="1" applyBorder="1" applyAlignment="1">
      <alignment horizontal="center" vertical="center"/>
    </xf>
    <xf numFmtId="0" fontId="54" fillId="3" borderId="72" xfId="4" applyFont="1" applyFill="1" applyBorder="1" applyAlignment="1">
      <alignment horizontal="center" vertical="center"/>
    </xf>
    <xf numFmtId="182" fontId="3" fillId="12" borderId="8" xfId="4" applyNumberFormat="1" applyFill="1" applyBorder="1" applyAlignment="1">
      <alignment horizontal="left" vertical="center"/>
    </xf>
    <xf numFmtId="182" fontId="3" fillId="12" borderId="9" xfId="4" applyNumberFormat="1" applyFill="1" applyBorder="1" applyAlignment="1">
      <alignment horizontal="lef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75" fillId="8" borderId="0" xfId="4" applyFont="1" applyFill="1" applyAlignment="1">
      <alignment horizontal="right" wrapText="1"/>
    </xf>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173" fontId="3" fillId="17" borderId="8" xfId="4" applyNumberFormat="1" applyFill="1" applyBorder="1" applyAlignment="1">
      <alignment horizontal="left" vertical="center" wrapText="1"/>
    </xf>
    <xf numFmtId="173" fontId="3" fillId="17" borderId="9" xfId="4" applyNumberFormat="1" applyFill="1" applyBorder="1" applyAlignment="1">
      <alignment horizontal="left" vertical="center" wrapText="1"/>
    </xf>
    <xf numFmtId="173" fontId="3" fillId="17" borderId="15" xfId="4" applyNumberFormat="1" applyFill="1" applyBorder="1" applyAlignment="1">
      <alignment horizontal="left" vertical="center" wrapText="1"/>
    </xf>
    <xf numFmtId="182" fontId="3" fillId="12" borderId="8" xfId="4" quotePrefix="1" applyNumberFormat="1" applyFill="1" applyBorder="1" applyAlignment="1">
      <alignment horizontal="left" vertical="center"/>
    </xf>
    <xf numFmtId="0" fontId="40" fillId="12" borderId="22" xfId="0" applyFont="1" applyFill="1" applyBorder="1" applyAlignment="1" applyProtection="1">
      <alignment horizontal="left" vertical="center"/>
    </xf>
    <xf numFmtId="0" fontId="40" fillId="12" borderId="0" xfId="0" applyFont="1" applyFill="1" applyBorder="1" applyAlignment="1" applyProtection="1">
      <alignment horizontal="left" vertical="center"/>
    </xf>
  </cellXfs>
  <cellStyles count="8">
    <cellStyle name="Comma" xfId="2" builtinId="3"/>
    <cellStyle name="Comma 2" xfId="6" xr:uid="{00000000-0005-0000-0000-000001000000}"/>
    <cellStyle name="Hyperlink" xfId="3" builtinId="8"/>
    <cellStyle name="Normal" xfId="0" builtinId="0"/>
    <cellStyle name="Normal 2" xfId="4" xr:uid="{00000000-0005-0000-0000-000004000000}"/>
    <cellStyle name="Normal 3" xfId="5" xr:uid="{00000000-0005-0000-0000-000005000000}"/>
    <cellStyle name="Percent" xfId="7" builtinId="5"/>
    <cellStyle name="RowLevel_1" xfId="1" builtinId="1" iLevel="0"/>
  </cellStyles>
  <dxfs count="79">
    <dxf>
      <border>
        <left style="thin">
          <color indexed="64"/>
        </left>
        <right style="thin">
          <color indexed="64"/>
        </right>
        <top style="thin">
          <color indexed="64"/>
        </top>
        <bottom style="thin">
          <color indexed="64"/>
        </bottom>
      </border>
    </dxf>
    <dxf>
      <font>
        <color rgb="FFFFFF99"/>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right/>
        <top/>
        <bottom/>
        <vertical/>
        <horizontal/>
      </border>
    </dxf>
    <dxf>
      <font>
        <color theme="0"/>
      </font>
      <fill>
        <patternFill>
          <bgColor theme="0"/>
        </patternFill>
      </fill>
      <border>
        <right/>
        <top/>
        <bottom/>
        <vertical/>
        <horizontal/>
      </border>
    </dxf>
    <dxf>
      <font>
        <color rgb="FFFF0000"/>
      </font>
    </dxf>
    <dxf>
      <font>
        <color theme="0"/>
      </font>
      <fill>
        <patternFill>
          <bgColor theme="0"/>
        </patternFill>
      </fill>
      <border>
        <right/>
        <top/>
        <bottom/>
        <vertical/>
        <horizontal/>
      </border>
    </dxf>
    <dxf>
      <font>
        <color rgb="FFFF0000"/>
      </font>
    </dxf>
    <dxf>
      <font>
        <strike val="0"/>
        <color theme="0"/>
      </font>
      <fill>
        <patternFill>
          <bgColor rgb="FFFF0000"/>
        </patternFill>
      </fill>
    </dxf>
    <dxf>
      <font>
        <color rgb="FFFF0000"/>
      </font>
    </dxf>
    <dxf>
      <font>
        <b/>
        <i val="0"/>
        <color theme="0"/>
      </font>
      <fill>
        <patternFill patternType="solid">
          <fgColor auto="1"/>
          <bgColor rgb="FFFF0000"/>
        </patternFill>
      </fill>
    </dxf>
    <dxf>
      <font>
        <color rgb="FFFF0000"/>
      </font>
    </dxf>
    <dxf>
      <font>
        <color rgb="FFFF0000"/>
      </font>
    </dxf>
    <dxf>
      <font>
        <color rgb="FFFF0000"/>
      </font>
    </dxf>
    <dxf>
      <font>
        <strike val="0"/>
        <color theme="0"/>
      </font>
      <fill>
        <patternFill>
          <bgColor rgb="FFFF0000"/>
        </patternFill>
      </fill>
    </dxf>
    <dxf>
      <font>
        <color theme="0"/>
      </font>
      <fill>
        <patternFill>
          <bgColor theme="0"/>
        </patternFill>
      </fill>
    </dxf>
    <dxf>
      <font>
        <b/>
        <i val="0"/>
        <color rgb="FFFF0000"/>
      </font>
    </dxf>
    <dxf>
      <font>
        <strike/>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strike/>
        <color rgb="FFFF0000"/>
      </font>
    </dxf>
    <dxf>
      <font>
        <strike/>
        <color rgb="FFFF0000"/>
      </font>
    </dxf>
    <dxf>
      <font>
        <strike/>
        <color rgb="FFFF0000"/>
      </font>
    </dxf>
    <dxf>
      <font>
        <strike/>
        <color rgb="FFFF0000"/>
      </font>
    </dxf>
    <dxf>
      <font>
        <strike/>
        <color rgb="FFFF5050"/>
      </font>
    </dxf>
    <dxf>
      <font>
        <strike/>
        <color rgb="FFFF0000"/>
      </font>
    </dxf>
    <dxf>
      <font>
        <strike/>
        <color rgb="FFFF0000"/>
      </font>
    </dxf>
    <dxf>
      <font>
        <strike/>
        <color rgb="FFFF0000"/>
      </font>
    </dxf>
    <dxf>
      <font>
        <color theme="0"/>
      </font>
      <border>
        <bottom style="thin">
          <color auto="1"/>
        </bottom>
        <vertical/>
        <horizontal/>
      </border>
    </dxf>
    <dxf>
      <font>
        <color theme="0"/>
      </font>
    </dxf>
    <dxf>
      <font>
        <color theme="0"/>
      </font>
      <fill>
        <patternFill>
          <bgColor theme="0"/>
        </patternFill>
      </fill>
    </dxf>
    <dxf>
      <font>
        <strike/>
        <color rgb="FFFF0000"/>
      </font>
    </dxf>
    <dxf>
      <font>
        <strike/>
        <color rgb="FFFF0000"/>
      </font>
    </dxf>
    <dxf>
      <font>
        <strike/>
        <color rgb="FFFF0000"/>
      </font>
    </dxf>
    <dxf>
      <font>
        <strike/>
        <color rgb="FFFF0000"/>
      </font>
    </dxf>
    <dxf>
      <font>
        <strike/>
        <color rgb="FFFF0000"/>
      </font>
    </dxf>
    <dxf>
      <font>
        <b/>
        <i val="0"/>
        <condense val="0"/>
        <extend val="0"/>
        <color indexed="10"/>
      </font>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strike/>
        <color rgb="FFFF0000"/>
      </font>
    </dxf>
    <dxf>
      <font>
        <b/>
        <i val="0"/>
        <color rgb="FFFF0000"/>
      </font>
    </dxf>
    <dxf>
      <font>
        <b/>
        <i val="0"/>
        <condense val="0"/>
        <extend val="0"/>
        <color indexed="12"/>
      </font>
    </dxf>
    <dxf>
      <font>
        <b/>
        <i val="0"/>
        <condense val="0"/>
        <extend val="0"/>
        <color indexed="10"/>
      </font>
    </dxf>
    <dxf>
      <font>
        <color rgb="FFFF0000"/>
      </font>
    </dxf>
    <dxf>
      <font>
        <color theme="0"/>
      </font>
      <fill>
        <patternFill>
          <bgColor theme="0"/>
        </patternFill>
      </fill>
      <border>
        <right style="thin">
          <color auto="1"/>
        </right>
        <vertical/>
        <horizontal/>
      </border>
    </dxf>
    <dxf>
      <font>
        <color rgb="FFFF0000"/>
      </font>
    </dxf>
    <dxf>
      <font>
        <color rgb="FFFF0000"/>
      </font>
    </dxf>
    <dxf>
      <font>
        <color rgb="FFFF0000"/>
      </font>
    </dxf>
    <dxf>
      <font>
        <b/>
        <i val="0"/>
        <color rgb="FFC00000"/>
      </font>
    </dxf>
    <dxf>
      <font>
        <color theme="0"/>
      </font>
    </dxf>
    <dxf>
      <font>
        <b/>
        <i val="0"/>
        <color rgb="FFC00000"/>
      </font>
    </dxf>
    <dxf>
      <font>
        <color theme="0"/>
      </font>
      <fill>
        <patternFill>
          <bgColor theme="0"/>
        </patternFill>
      </fill>
    </dxf>
    <dxf>
      <font>
        <color rgb="FFFF0000"/>
      </font>
    </dxf>
    <dxf>
      <font>
        <strike/>
        <color rgb="FFFF0000"/>
      </font>
    </dxf>
    <dxf>
      <font>
        <color rgb="FFFF0000"/>
      </font>
    </dxf>
    <dxf>
      <font>
        <color rgb="FFFF0000"/>
      </font>
    </dxf>
    <dxf>
      <font>
        <color rgb="FFFF0000"/>
      </font>
    </dxf>
    <dxf>
      <font>
        <color rgb="FFFF0000"/>
      </font>
    </dxf>
    <dxf>
      <font>
        <b/>
        <i val="0"/>
        <color rgb="FFFF0000"/>
      </font>
    </dxf>
  </dxfs>
  <tableStyles count="0" defaultTableStyle="TableStyleMedium9" defaultPivotStyle="PivotStyleLight16"/>
  <colors>
    <mruColors>
      <color rgb="FFFFFF66"/>
      <color rgb="FFFF5050"/>
      <color rgb="FF0000FF"/>
      <color rgb="FFFFFF99"/>
      <color rgb="FF33CC33"/>
      <color rgb="FFFF9900"/>
      <color rgb="FFCCFFFF"/>
      <color rgb="FF66FFFF"/>
      <color rgb="FF00FFFF"/>
      <color rgb="FFEE61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400" b="1" i="0" u="none" strike="noStrike" baseline="0">
                <a:solidFill>
                  <a:srgbClr val="000000"/>
                </a:solidFill>
                <a:latin typeface="Arial"/>
                <a:ea typeface="Arial"/>
                <a:cs typeface="Arial"/>
              </a:defRPr>
            </a:pPr>
            <a:r>
              <a:rPr lang="en-US" sz="1400"/>
              <a:t>Bode Plot, V</a:t>
            </a:r>
            <a:r>
              <a:rPr lang="en-US" sz="1400" baseline="-25000"/>
              <a:t>IN</a:t>
            </a:r>
            <a:r>
              <a:rPr lang="en-US" sz="1400"/>
              <a:t> = V</a:t>
            </a:r>
            <a:r>
              <a:rPr lang="en-US" sz="1400" baseline="-25000"/>
              <a:t>IN(nom)</a:t>
            </a:r>
          </a:p>
        </c:rich>
      </c:tx>
      <c:layout>
        <c:manualLayout>
          <c:xMode val="edge"/>
          <c:yMode val="edge"/>
          <c:x val="4.6802568469568491E-2"/>
          <c:y val="1.6752897184919666E-2"/>
        </c:manualLayout>
      </c:layout>
      <c:overlay val="0"/>
      <c:spPr>
        <a:noFill/>
        <a:ln w="25400">
          <a:noFill/>
        </a:ln>
      </c:spPr>
    </c:title>
    <c:autoTitleDeleted val="0"/>
    <c:plotArea>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84.90712212149819</c:v>
                </c:pt>
                <c:pt idx="1">
                  <c:v>84.112513737219302</c:v>
                </c:pt>
                <c:pt idx="2">
                  <c:v>83.317022600986817</c:v>
                </c:pt>
                <c:pt idx="3">
                  <c:v>82.520770228472045</c:v>
                </c:pt>
                <c:pt idx="4">
                  <c:v>81.724377569347141</c:v>
                </c:pt>
                <c:pt idx="5">
                  <c:v>80.926600671388499</c:v>
                </c:pt>
                <c:pt idx="6">
                  <c:v>80.128637663976917</c:v>
                </c:pt>
                <c:pt idx="7">
                  <c:v>79.330014874030638</c:v>
                </c:pt>
                <c:pt idx="8">
                  <c:v>78.531354759878099</c:v>
                </c:pt>
                <c:pt idx="9">
                  <c:v>77.732082338328581</c:v>
                </c:pt>
                <c:pt idx="10">
                  <c:v>76.932677101777102</c:v>
                </c:pt>
                <c:pt idx="11">
                  <c:v>76.133036267265851</c:v>
                </c:pt>
                <c:pt idx="12">
                  <c:v>75.332738780926988</c:v>
                </c:pt>
                <c:pt idx="13">
                  <c:v>74.532546938976381</c:v>
                </c:pt>
                <c:pt idx="14">
                  <c:v>73.731806525839929</c:v>
                </c:pt>
                <c:pt idx="15">
                  <c:v>72.930800297141644</c:v>
                </c:pt>
                <c:pt idx="16">
                  <c:v>72.129428081168413</c:v>
                </c:pt>
                <c:pt idx="17">
                  <c:v>71.327756513317013</c:v>
                </c:pt>
                <c:pt idx="18">
                  <c:v>70.525491964155691</c:v>
                </c:pt>
                <c:pt idx="19">
                  <c:v>69.722773687078984</c:v>
                </c:pt>
                <c:pt idx="20">
                  <c:v>68.919347389550893</c:v>
                </c:pt>
                <c:pt idx="21">
                  <c:v>68.115261852734221</c:v>
                </c:pt>
                <c:pt idx="22">
                  <c:v>67.31020587571544</c:v>
                </c:pt>
                <c:pt idx="23">
                  <c:v>66.504210847471114</c:v>
                </c:pt>
                <c:pt idx="24">
                  <c:v>65.696870451338739</c:v>
                </c:pt>
                <c:pt idx="25">
                  <c:v>64.888069149758607</c:v>
                </c:pt>
                <c:pt idx="26">
                  <c:v>64.07733182625725</c:v>
                </c:pt>
                <c:pt idx="27">
                  <c:v>63.264576482772632</c:v>
                </c:pt>
                <c:pt idx="28">
                  <c:v>62.449369994012748</c:v>
                </c:pt>
                <c:pt idx="29">
                  <c:v>61.631748188736672</c:v>
                </c:pt>
                <c:pt idx="30">
                  <c:v>60.809770575278677</c:v>
                </c:pt>
                <c:pt idx="31">
                  <c:v>59.983932356710426</c:v>
                </c:pt>
                <c:pt idx="32">
                  <c:v>59.152918352734062</c:v>
                </c:pt>
                <c:pt idx="33">
                  <c:v>58.316450600893475</c:v>
                </c:pt>
                <c:pt idx="34">
                  <c:v>57.47288787155189</c:v>
                </c:pt>
                <c:pt idx="35">
                  <c:v>56.621575204884287</c:v>
                </c:pt>
                <c:pt idx="36">
                  <c:v>55.761124070423634</c:v>
                </c:pt>
                <c:pt idx="37">
                  <c:v>54.889675155760791</c:v>
                </c:pt>
                <c:pt idx="38">
                  <c:v>54.006556879011526</c:v>
                </c:pt>
                <c:pt idx="39">
                  <c:v>53.109475478418595</c:v>
                </c:pt>
                <c:pt idx="40">
                  <c:v>52.197141927806562</c:v>
                </c:pt>
                <c:pt idx="41">
                  <c:v>51.267881909043481</c:v>
                </c:pt>
                <c:pt idx="42">
                  <c:v>50.32034021740688</c:v>
                </c:pt>
                <c:pt idx="43">
                  <c:v>49.352964894407762</c:v>
                </c:pt>
                <c:pt idx="44">
                  <c:v>48.365071264699978</c:v>
                </c:pt>
                <c:pt idx="45">
                  <c:v>47.355977611581075</c:v>
                </c:pt>
                <c:pt idx="46">
                  <c:v>46.325983778506917</c:v>
                </c:pt>
                <c:pt idx="47">
                  <c:v>45.275644039610953</c:v>
                </c:pt>
                <c:pt idx="48">
                  <c:v>44.206741783420526</c:v>
                </c:pt>
                <c:pt idx="49">
                  <c:v>43.12129706534072</c:v>
                </c:pt>
                <c:pt idx="50">
                  <c:v>42.022499131105064</c:v>
                </c:pt>
                <c:pt idx="51">
                  <c:v>40.913747855030486</c:v>
                </c:pt>
                <c:pt idx="52">
                  <c:v>39.799535492260183</c:v>
                </c:pt>
                <c:pt idx="53">
                  <c:v>38.684244049897671</c:v>
                </c:pt>
                <c:pt idx="54">
                  <c:v>37.573044938378061</c:v>
                </c:pt>
                <c:pt idx="55">
                  <c:v>36.468373287770149</c:v>
                </c:pt>
                <c:pt idx="56">
                  <c:v>35.37570780742729</c:v>
                </c:pt>
                <c:pt idx="57">
                  <c:v>34.29767349385984</c:v>
                </c:pt>
                <c:pt idx="58">
                  <c:v>33.237712207916836</c:v>
                </c:pt>
                <c:pt idx="59">
                  <c:v>32.196924884740007</c:v>
                </c:pt>
                <c:pt idx="60">
                  <c:v>31.177055332904466</c:v>
                </c:pt>
                <c:pt idx="61">
                  <c:v>30.17837193492262</c:v>
                </c:pt>
                <c:pt idx="62">
                  <c:v>29.200148106360988</c:v>
                </c:pt>
                <c:pt idx="63">
                  <c:v>28.242591352123654</c:v>
                </c:pt>
                <c:pt idx="64">
                  <c:v>27.303803321280281</c:v>
                </c:pt>
                <c:pt idx="65">
                  <c:v>26.382749303997414</c:v>
                </c:pt>
                <c:pt idx="66">
                  <c:v>25.47778798812212</c:v>
                </c:pt>
                <c:pt idx="67">
                  <c:v>24.5874114924551</c:v>
                </c:pt>
                <c:pt idx="68">
                  <c:v>23.709733458187081</c:v>
                </c:pt>
                <c:pt idx="69">
                  <c:v>22.84342236120996</c:v>
                </c:pt>
                <c:pt idx="70">
                  <c:v>21.986833075876433</c:v>
                </c:pt>
                <c:pt idx="71">
                  <c:v>21.138786222430163</c:v>
                </c:pt>
                <c:pt idx="72">
                  <c:v>20.297874510869018</c:v>
                </c:pt>
                <c:pt idx="73">
                  <c:v>19.463208769522993</c:v>
                </c:pt>
                <c:pt idx="74">
                  <c:v>18.633603166069676</c:v>
                </c:pt>
                <c:pt idx="75">
                  <c:v>17.808328131784336</c:v>
                </c:pt>
                <c:pt idx="76">
                  <c:v>16.986436437490706</c:v>
                </c:pt>
                <c:pt idx="77">
                  <c:v>16.167524171318284</c:v>
                </c:pt>
                <c:pt idx="78">
                  <c:v>15.350969279529567</c:v>
                </c:pt>
                <c:pt idx="79">
                  <c:v>14.536750814687752</c:v>
                </c:pt>
                <c:pt idx="80">
                  <c:v>13.723016646010882</c:v>
                </c:pt>
                <c:pt idx="81">
                  <c:v>12.910466253204294</c:v>
                </c:pt>
                <c:pt idx="82">
                  <c:v>12.098134231072224</c:v>
                </c:pt>
                <c:pt idx="83">
                  <c:v>11.286198246968313</c:v>
                </c:pt>
                <c:pt idx="84">
                  <c:v>10.473631533121043</c:v>
                </c:pt>
                <c:pt idx="85">
                  <c:v>9.6604791000016235</c:v>
                </c:pt>
                <c:pt idx="86">
                  <c:v>8.8461801403601861</c:v>
                </c:pt>
                <c:pt idx="87">
                  <c:v>8.0298204618167013</c:v>
                </c:pt>
                <c:pt idx="88">
                  <c:v>7.2116504285178546</c:v>
                </c:pt>
                <c:pt idx="89">
                  <c:v>6.3904160889928265</c:v>
                </c:pt>
                <c:pt idx="90">
                  <c:v>5.5657464121662246</c:v>
                </c:pt>
                <c:pt idx="91">
                  <c:v>4.7367861012148014</c:v>
                </c:pt>
                <c:pt idx="92">
                  <c:v>3.9027413115275782</c:v>
                </c:pt>
                <c:pt idx="93">
                  <c:v>3.0623113547972203</c:v>
                </c:pt>
                <c:pt idx="94">
                  <c:v>2.8511741816526244</c:v>
                </c:pt>
                <c:pt idx="95">
                  <c:v>2.7447692485514548</c:v>
                </c:pt>
                <c:pt idx="96">
                  <c:v>2.6394586001118396</c:v>
                </c:pt>
                <c:pt idx="97">
                  <c:v>2.5328121877600522</c:v>
                </c:pt>
                <c:pt idx="98">
                  <c:v>2.4272572223273916</c:v>
                </c:pt>
                <c:pt idx="99">
                  <c:v>2.3203313116205613</c:v>
                </c:pt>
                <c:pt idx="100">
                  <c:v>2.2144944816565326</c:v>
                </c:pt>
                <c:pt idx="101">
                  <c:v>2.1073336063921242</c:v>
                </c:pt>
                <c:pt idx="102">
                  <c:v>2.001258236400616</c:v>
                </c:pt>
                <c:pt idx="103">
                  <c:v>1.8937473529892923</c:v>
                </c:pt>
                <c:pt idx="104">
                  <c:v>1.7873203969369869</c:v>
                </c:pt>
                <c:pt idx="105">
                  <c:v>1.6795062632140432</c:v>
                </c:pt>
                <c:pt idx="106">
                  <c:v>1.5727732044236955</c:v>
                </c:pt>
                <c:pt idx="107">
                  <c:v>1.464698792166764</c:v>
                </c:pt>
                <c:pt idx="108">
                  <c:v>1.3577014175935251</c:v>
                </c:pt>
                <c:pt idx="109">
                  <c:v>1.2493326928930411</c:v>
                </c:pt>
                <c:pt idx="110">
                  <c:v>1.1420373145253551</c:v>
                </c:pt>
                <c:pt idx="111">
                  <c:v>1.0332706269504162</c:v>
                </c:pt>
                <c:pt idx="112">
                  <c:v>0.92557528345259565</c:v>
                </c:pt>
                <c:pt idx="113">
                  <c:v>0.81645585363013085</c:v>
                </c:pt>
                <c:pt idx="114">
                  <c:v>0.70840451243274327</c:v>
                </c:pt>
                <c:pt idx="115">
                  <c:v>0.59890463544537476</c:v>
                </c:pt>
                <c:pt idx="116">
                  <c:v>0.49046976473413795</c:v>
                </c:pt>
                <c:pt idx="117">
                  <c:v>0.38056351436847646</c:v>
                </c:pt>
                <c:pt idx="118">
                  <c:v>0.2717193122468114</c:v>
                </c:pt>
                <c:pt idx="119">
                  <c:v>0.16144892155564433</c:v>
                </c:pt>
                <c:pt idx="120">
                  <c:v>5.2236433387616403E-2</c:v>
                </c:pt>
                <c:pt idx="121">
                  <c:v>-5.8424755659201522E-2</c:v>
                </c:pt>
                <c:pt idx="122">
                  <c:v>-0.16803205106712121</c:v>
                </c:pt>
                <c:pt idx="123">
                  <c:v>-0.27917323830446883</c:v>
                </c:pt>
                <c:pt idx="124">
                  <c:v>-0.38926324252389266</c:v>
                </c:pt>
                <c:pt idx="125">
                  <c:v>-0.50084176818376003</c:v>
                </c:pt>
                <c:pt idx="126">
                  <c:v>-0.6113730246107445</c:v>
                </c:pt>
                <c:pt idx="127">
                  <c:v>-0.72341154500214455</c:v>
                </c:pt>
                <c:pt idx="128">
                  <c:v>-0.8344066802395862</c:v>
                </c:pt>
                <c:pt idx="129">
                  <c:v>-0.9469267456267666</c:v>
                </c:pt>
                <c:pt idx="130">
                  <c:v>-1.0584073088323851</c:v>
                </c:pt>
                <c:pt idx="131">
                  <c:v>-1.1714294789163653</c:v>
                </c:pt>
                <c:pt idx="132">
                  <c:v>-1.227550612863969</c:v>
                </c:pt>
                <c:pt idx="133">
                  <c:v>-1.2834160535702746</c:v>
                </c:pt>
                <c:pt idx="134">
                  <c:v>-1.3403479059226449</c:v>
                </c:pt>
                <c:pt idx="135">
                  <c:v>-1.3970183536301732</c:v>
                </c:pt>
                <c:pt idx="136">
                  <c:v>-1.4534306417950553</c:v>
                </c:pt>
                <c:pt idx="137">
                  <c:v>-1.5095879578311846</c:v>
                </c:pt>
                <c:pt idx="138">
                  <c:v>-1.5667598009237884</c:v>
                </c:pt>
                <c:pt idx="139">
                  <c:v>-1.6236715269707958</c:v>
                </c:pt>
                <c:pt idx="140">
                  <c:v>-1.680326366673353</c:v>
                </c:pt>
                <c:pt idx="141">
                  <c:v>-1.7367274931946959</c:v>
                </c:pt>
                <c:pt idx="142">
                  <c:v>-1.7942065280960908</c:v>
                </c:pt>
                <c:pt idx="143">
                  <c:v>-1.8514262249510356</c:v>
                </c:pt>
                <c:pt idx="144">
                  <c:v>-1.9083898091299782</c:v>
                </c:pt>
                <c:pt idx="145">
                  <c:v>-1.9651004483906622</c:v>
                </c:pt>
                <c:pt idx="146">
                  <c:v>-2.0228661830052177</c:v>
                </c:pt>
                <c:pt idx="147">
                  <c:v>-2.080373648660431</c:v>
                </c:pt>
                <c:pt idx="148">
                  <c:v>-2.1376260595702581</c:v>
                </c:pt>
                <c:pt idx="149">
                  <c:v>-2.1946265723886489</c:v>
                </c:pt>
                <c:pt idx="150">
                  <c:v>-2.252687547527179</c:v>
                </c:pt>
                <c:pt idx="151">
                  <c:v>-2.3104913475907187</c:v>
                </c:pt>
                <c:pt idx="152">
                  <c:v>-2.3680411746705063</c:v>
                </c:pt>
                <c:pt idx="153">
                  <c:v>-2.4253401733627959</c:v>
                </c:pt>
                <c:pt idx="154">
                  <c:v>-2.4837314868008047</c:v>
                </c:pt>
                <c:pt idx="155">
                  <c:v>-2.5418665110519085</c:v>
                </c:pt>
                <c:pt idx="156">
                  <c:v>-2.5997484393866688</c:v>
                </c:pt>
                <c:pt idx="157">
                  <c:v>-2.6573804075562952</c:v>
                </c:pt>
                <c:pt idx="158">
                  <c:v>-2.7161087562837434</c:v>
                </c:pt>
                <c:pt idx="159">
                  <c:v>-2.7745817469637517</c:v>
                </c:pt>
                <c:pt idx="160">
                  <c:v>-2.8328025625627506</c:v>
                </c:pt>
                <c:pt idx="161">
                  <c:v>-2.8907743285276921</c:v>
                </c:pt>
                <c:pt idx="162">
                  <c:v>-2.9498204071541387</c:v>
                </c:pt>
                <c:pt idx="163">
                  <c:v>-3.0086123252516046</c:v>
                </c:pt>
                <c:pt idx="164">
                  <c:v>-3.0671532497980358</c:v>
                </c:pt>
                <c:pt idx="165">
                  <c:v>-3.1254462903777491</c:v>
                </c:pt>
                <c:pt idx="166">
                  <c:v>-3.1848687940999252</c:v>
                </c:pt>
                <c:pt idx="167">
                  <c:v>-3.2440379282607652</c:v>
                </c:pt>
                <c:pt idx="168">
                  <c:v>-3.3029568506268303</c:v>
                </c:pt>
                <c:pt idx="169">
                  <c:v>-3.3616286615227113</c:v>
                </c:pt>
                <c:pt idx="170">
                  <c:v>-3.4213075666192476</c:v>
                </c:pt>
                <c:pt idx="171">
                  <c:v>-3.4807350022050905</c:v>
                </c:pt>
                <c:pt idx="172">
                  <c:v>-3.539914095306445</c:v>
                </c:pt>
                <c:pt idx="173">
                  <c:v>-3.5988479159703193</c:v>
                </c:pt>
                <c:pt idx="174">
                  <c:v>-3.6590159930757489</c:v>
                </c:pt>
                <c:pt idx="175">
                  <c:v>-3.718932632018241</c:v>
                </c:pt>
                <c:pt idx="176">
                  <c:v>-3.7786009628968764</c:v>
                </c:pt>
                <c:pt idx="177">
                  <c:v>-3.8380240584644021</c:v>
                </c:pt>
                <c:pt idx="178">
                  <c:v>-3.8986571768771725</c:v>
                </c:pt>
                <c:pt idx="179">
                  <c:v>-3.9590392028098838</c:v>
                </c:pt>
                <c:pt idx="180">
                  <c:v>-4.0191732625341645</c:v>
                </c:pt>
                <c:pt idx="181">
                  <c:v>-4.0790624247630261</c:v>
                </c:pt>
                <c:pt idx="182">
                  <c:v>-4.1399002006994374</c:v>
                </c:pt>
                <c:pt idx="183">
                  <c:v>-4.2004894572737328</c:v>
                </c:pt>
                <c:pt idx="184">
                  <c:v>-4.2608332743995634</c:v>
                </c:pt>
                <c:pt idx="185">
                  <c:v>-4.3209346752517632</c:v>
                </c:pt>
                <c:pt idx="186">
                  <c:v>-4.3824365479778002</c:v>
                </c:pt>
                <c:pt idx="187">
                  <c:v>-4.4436888046619245</c:v>
                </c:pt>
                <c:pt idx="188">
                  <c:v>-4.5046945457459868</c:v>
                </c:pt>
                <c:pt idx="189">
                  <c:v>-4.5654568141029701</c:v>
                </c:pt>
                <c:pt idx="190">
                  <c:v>-4.6271312729833038</c:v>
                </c:pt>
                <c:pt idx="191">
                  <c:v>-4.6885590813786466</c:v>
                </c:pt>
                <c:pt idx="192">
                  <c:v>-4.7497432836519007</c:v>
                </c:pt>
                <c:pt idx="193">
                  <c:v>-4.8106868676461358</c:v>
                </c:pt>
                <c:pt idx="194">
                  <c:v>-4.8729811352564161</c:v>
                </c:pt>
                <c:pt idx="195">
                  <c:v>-4.9350282010257231</c:v>
                </c:pt>
                <c:pt idx="196">
                  <c:v>-4.9968311168852768</c:v>
                </c:pt>
                <c:pt idx="197">
                  <c:v>-5.0583928777166953</c:v>
                </c:pt>
                <c:pt idx="198">
                  <c:v>-5.1210566305647145</c:v>
                </c:pt>
                <c:pt idx="199">
                  <c:v>-5.1834746980912616</c:v>
                </c:pt>
                <c:pt idx="200">
                  <c:v>-5.2456501001322113</c:v>
                </c:pt>
                <c:pt idx="201">
                  <c:v>-5.3075857999213749</c:v>
                </c:pt>
                <c:pt idx="202">
                  <c:v>-5.3706042545070325</c:v>
                </c:pt>
                <c:pt idx="203">
                  <c:v>-5.433378698307088</c:v>
                </c:pt>
                <c:pt idx="204">
                  <c:v>-5.4959121147050025</c:v>
                </c:pt>
                <c:pt idx="205">
                  <c:v>-5.5582074310368537</c:v>
                </c:pt>
                <c:pt idx="206">
                  <c:v>-5.6217835479692448</c:v>
                </c:pt>
                <c:pt idx="207">
                  <c:v>-5.6851158122063339</c:v>
                </c:pt>
                <c:pt idx="208">
                  <c:v>-5.7482071967954145</c:v>
                </c:pt>
                <c:pt idx="209">
                  <c:v>-5.811060618636219</c:v>
                </c:pt>
                <c:pt idx="210">
                  <c:v>-5.875385384591687</c:v>
                </c:pt>
                <c:pt idx="211">
                  <c:v>-5.9394650802104803</c:v>
                </c:pt>
                <c:pt idx="212">
                  <c:v>-6.0033026914035084</c:v>
                </c:pt>
                <c:pt idx="213">
                  <c:v>-6.0669011472431116</c:v>
                </c:pt>
                <c:pt idx="214">
                  <c:v>-6.1315239721520429</c:v>
                </c:pt>
                <c:pt idx="215">
                  <c:v>-6.1959039921485335</c:v>
                </c:pt>
                <c:pt idx="216">
                  <c:v>-6.2600441408004217</c:v>
                </c:pt>
                <c:pt idx="217">
                  <c:v>-6.3239472957922818</c:v>
                </c:pt>
                <c:pt idx="218">
                  <c:v>-6.3890653073576722</c:v>
                </c:pt>
                <c:pt idx="219">
                  <c:v>-6.4539413106707038</c:v>
                </c:pt>
                <c:pt idx="220">
                  <c:v>-6.5185782118529865</c:v>
                </c:pt>
                <c:pt idx="221">
                  <c:v>-6.5829788614729914</c:v>
                </c:pt>
                <c:pt idx="222">
                  <c:v>-6.6485738956722562</c:v>
                </c:pt>
                <c:pt idx="223">
                  <c:v>-6.7139278799410747</c:v>
                </c:pt>
                <c:pt idx="224">
                  <c:v>-6.7790436881929219</c:v>
                </c:pt>
                <c:pt idx="225">
                  <c:v>-6.843924139245229</c:v>
                </c:pt>
                <c:pt idx="226">
                  <c:v>-6.9101802126381076</c:v>
                </c:pt>
                <c:pt idx="227">
                  <c:v>-6.9761948755268044</c:v>
                </c:pt>
                <c:pt idx="228">
                  <c:v>-7.0419709911080419</c:v>
                </c:pt>
                <c:pt idx="229">
                  <c:v>-7.107511367397481</c:v>
                </c:pt>
                <c:pt idx="230">
                  <c:v>-7.2410548847286478</c:v>
                </c:pt>
                <c:pt idx="231">
                  <c:v>-7.3074671634174475</c:v>
                </c:pt>
                <c:pt idx="232">
                  <c:v>-7.3736435288175475</c:v>
                </c:pt>
                <c:pt idx="233">
                  <c:v>-7.4411493241089497</c:v>
                </c:pt>
                <c:pt idx="234">
                  <c:v>-7.5084136214235127</c:v>
                </c:pt>
                <c:pt idx="235">
                  <c:v>-7.5754392446471304</c:v>
                </c:pt>
                <c:pt idx="236">
                  <c:v>-7.6422289627953788</c:v>
                </c:pt>
                <c:pt idx="237">
                  <c:v>-7.7101335186222997</c:v>
                </c:pt>
                <c:pt idx="238">
                  <c:v>-7.7777981539952332</c:v>
                </c:pt>
                <c:pt idx="239">
                  <c:v>-7.8452256417792601</c:v>
                </c:pt>
                <c:pt idx="240">
                  <c:v>-7.9124187009542837</c:v>
                </c:pt>
                <c:pt idx="241">
                  <c:v>-7.9810890611744902</c:v>
                </c:pt>
                <c:pt idx="242">
                  <c:v>-8.0495184761419498</c:v>
                </c:pt>
                <c:pt idx="243">
                  <c:v>-8.1177097106738891</c:v>
                </c:pt>
                <c:pt idx="244">
                  <c:v>-8.1856654755936802</c:v>
                </c:pt>
                <c:pt idx="245">
                  <c:v>-8.2548865979256654</c:v>
                </c:pt>
                <c:pt idx="246">
                  <c:v>-8.323867259092756</c:v>
                </c:pt>
                <c:pt idx="247">
                  <c:v>-8.3926101877317105</c:v>
                </c:pt>
                <c:pt idx="248">
                  <c:v>-8.4611180591248836</c:v>
                </c:pt>
                <c:pt idx="249">
                  <c:v>-8.5310558691748728</c:v>
                </c:pt>
                <c:pt idx="250">
                  <c:v>-8.6007525331662098</c:v>
                </c:pt>
                <c:pt idx="251">
                  <c:v>-8.6702107612716759</c:v>
                </c:pt>
                <c:pt idx="252">
                  <c:v>-8.7394332105107324</c:v>
                </c:pt>
                <c:pt idx="253">
                  <c:v>-8.8098800755733357</c:v>
                </c:pt>
                <c:pt idx="254">
                  <c:v>-8.880086512260112</c:v>
                </c:pt>
                <c:pt idx="255">
                  <c:v>-8.9500551866962237</c:v>
                </c:pt>
                <c:pt idx="256">
                  <c:v>-9.0197887127463918</c:v>
                </c:pt>
                <c:pt idx="257">
                  <c:v>-9.0910871276602165</c:v>
                </c:pt>
                <c:pt idx="258">
                  <c:v>-9.1621434626566298</c:v>
                </c:pt>
                <c:pt idx="259">
                  <c:v>-9.232960377030885</c:v>
                </c:pt>
                <c:pt idx="260">
                  <c:v>-9.3035404777676369</c:v>
                </c:pt>
                <c:pt idx="261">
                  <c:v>-9.3754823872271018</c:v>
                </c:pt>
                <c:pt idx="262">
                  <c:v>-9.4471819502249978</c:v>
                </c:pt>
                <c:pt idx="263">
                  <c:v>-9.5186417942070136</c:v>
                </c:pt>
                <c:pt idx="264">
                  <c:v>-9.5898644949415903</c:v>
                </c:pt>
                <c:pt idx="265">
                  <c:v>-9.6624274450294418</c:v>
                </c:pt>
                <c:pt idx="266">
                  <c:v>-9.734747878248303</c:v>
                </c:pt>
                <c:pt idx="267">
                  <c:v>-9.8068283868429091</c:v>
                </c:pt>
                <c:pt idx="268">
                  <c:v>-9.8786715121347228</c:v>
                </c:pt>
                <c:pt idx="269">
                  <c:v>-9.9520065284020056</c:v>
                </c:pt>
                <c:pt idx="270">
                  <c:v>-10.025097792440064</c:v>
                </c:pt>
                <c:pt idx="271">
                  <c:v>-10.097947876449808</c:v>
                </c:pt>
                <c:pt idx="272">
                  <c:v>-10.170559302102813</c:v>
                </c:pt>
                <c:pt idx="273">
                  <c:v>-10.244638673964904</c:v>
                </c:pt>
                <c:pt idx="274">
                  <c:v>-10.318473186947589</c:v>
                </c:pt>
                <c:pt idx="275">
                  <c:v>-10.392065389204539</c:v>
                </c:pt>
                <c:pt idx="276">
                  <c:v>-10.465417778896651</c:v>
                </c:pt>
                <c:pt idx="277">
                  <c:v>-10.540046520733505</c:v>
                </c:pt>
                <c:pt idx="278">
                  <c:v>-10.614430506686439</c:v>
                </c:pt>
                <c:pt idx="279">
                  <c:v>-10.68857224059817</c:v>
                </c:pt>
                <c:pt idx="280">
                  <c:v>-10.762474177422094</c:v>
                </c:pt>
                <c:pt idx="281">
                  <c:v>-10.83813087238382</c:v>
                </c:pt>
                <c:pt idx="282">
                  <c:v>-10.913539699677663</c:v>
                </c:pt>
                <c:pt idx="283">
                  <c:v>-10.988703166365386</c:v>
                </c:pt>
                <c:pt idx="284">
                  <c:v>-11.063623730530425</c:v>
                </c:pt>
                <c:pt idx="285">
                  <c:v>-11.139778581375561</c:v>
                </c:pt>
                <c:pt idx="286">
                  <c:v>-11.215685838347596</c:v>
                </c:pt>
                <c:pt idx="287">
                  <c:v>-11.29134795901021</c:v>
                </c:pt>
                <c:pt idx="288">
                  <c:v>-11.366767353269211</c:v>
                </c:pt>
                <c:pt idx="289">
                  <c:v>-11.443887502247103</c:v>
                </c:pt>
                <c:pt idx="290">
                  <c:v>-11.520757196991344</c:v>
                </c:pt>
                <c:pt idx="291">
                  <c:v>-11.59737889097107</c:v>
                </c:pt>
                <c:pt idx="292">
                  <c:v>-11.67375499019029</c:v>
                </c:pt>
                <c:pt idx="293">
                  <c:v>-11.751644370449569</c:v>
                </c:pt>
                <c:pt idx="294">
                  <c:v>-11.829281622143098</c:v>
                </c:pt>
                <c:pt idx="295">
                  <c:v>-11.906669175705476</c:v>
                </c:pt>
                <c:pt idx="296">
                  <c:v>-11.983809414833011</c:v>
                </c:pt>
                <c:pt idx="297">
                  <c:v>-12.062438720481817</c:v>
                </c:pt>
                <c:pt idx="298">
                  <c:v>-12.140814310366657</c:v>
                </c:pt>
                <c:pt idx="299">
                  <c:v>-12.218938589655259</c:v>
                </c:pt>
                <c:pt idx="300">
                  <c:v>-12.296813917606022</c:v>
                </c:pt>
                <c:pt idx="301">
                  <c:v>-12.376154532039701</c:v>
                </c:pt>
                <c:pt idx="302">
                  <c:v>-12.455239917978322</c:v>
                </c:pt>
                <c:pt idx="303">
                  <c:v>-12.534072453580965</c:v>
                </c:pt>
                <c:pt idx="304">
                  <c:v>-12.612654472013649</c:v>
                </c:pt>
                <c:pt idx="305">
                  <c:v>-12.692985698293162</c:v>
                </c:pt>
                <c:pt idx="306">
                  <c:v>-12.773058277768444</c:v>
                </c:pt>
                <c:pt idx="307">
                  <c:v>-12.852874587262592</c:v>
                </c:pt>
                <c:pt idx="308">
                  <c:v>-12.932436958923271</c:v>
                </c:pt>
                <c:pt idx="309">
                  <c:v>-13.013416289167042</c:v>
                </c:pt>
                <c:pt idx="310">
                  <c:v>-13.094135643319477</c:v>
                </c:pt>
                <c:pt idx="311">
                  <c:v>-13.174597367490751</c:v>
                </c:pt>
                <c:pt idx="312">
                  <c:v>-13.254803764211031</c:v>
                </c:pt>
                <c:pt idx="313">
                  <c:v>-13.336704032123308</c:v>
                </c:pt>
                <c:pt idx="314">
                  <c:v>-13.418341121854853</c:v>
                </c:pt>
                <c:pt idx="315">
                  <c:v>-13.499717373789728</c:v>
                </c:pt>
                <c:pt idx="316">
                  <c:v>-13.580835085251479</c:v>
                </c:pt>
                <c:pt idx="317">
                  <c:v>-13.663618678343488</c:v>
                </c:pt>
                <c:pt idx="318">
                  <c:v>-13.746136012955832</c:v>
                </c:pt>
                <c:pt idx="319">
                  <c:v>-13.828389421563871</c:v>
                </c:pt>
                <c:pt idx="320">
                  <c:v>-13.910381194200472</c:v>
                </c:pt>
                <c:pt idx="321">
                  <c:v>-13.994011264265055</c:v>
                </c:pt>
                <c:pt idx="322">
                  <c:v>-14.07737210782871</c:v>
                </c:pt>
                <c:pt idx="323">
                  <c:v>-14.160466047717556</c:v>
                </c:pt>
                <c:pt idx="324">
                  <c:v>-14.243295365016611</c:v>
                </c:pt>
                <c:pt idx="325">
                  <c:v>-14.327735789379945</c:v>
                </c:pt>
                <c:pt idx="326">
                  <c:v>-14.411904123406455</c:v>
                </c:pt>
                <c:pt idx="327">
                  <c:v>-14.495802678936908</c:v>
                </c:pt>
                <c:pt idx="328">
                  <c:v>-14.579433726840499</c:v>
                </c:pt>
                <c:pt idx="329">
                  <c:v>-14.664791344375443</c:v>
                </c:pt>
                <c:pt idx="330">
                  <c:v>-14.749873189041384</c:v>
                </c:pt>
                <c:pt idx="331">
                  <c:v>-14.834681572176558</c:v>
                </c:pt>
                <c:pt idx="332">
                  <c:v>-14.919218764705402</c:v>
                </c:pt>
                <c:pt idx="333">
                  <c:v>-15.005312892566597</c:v>
                </c:pt>
                <c:pt idx="334">
                  <c:v>-15.091128599008153</c:v>
                </c:pt>
                <c:pt idx="335">
                  <c:v>-15.176668182194369</c:v>
                </c:pt>
                <c:pt idx="336">
                  <c:v>-15.261933900757342</c:v>
                </c:pt>
                <c:pt idx="337">
                  <c:v>-15.349007770934184</c:v>
                </c:pt>
                <c:pt idx="338">
                  <c:v>-15.435798864028706</c:v>
                </c:pt>
                <c:pt idx="339">
                  <c:v>-15.522309486507728</c:v>
                </c:pt>
                <c:pt idx="340">
                  <c:v>-15.608541905724183</c:v>
                </c:pt>
                <c:pt idx="341">
                  <c:v>-15.696551363325286</c:v>
                </c:pt>
                <c:pt idx="342">
                  <c:v>-15.784273837182107</c:v>
                </c:pt>
                <c:pt idx="343">
                  <c:v>-15.871711640466978</c:v>
                </c:pt>
                <c:pt idx="344">
                  <c:v>-15.958867047722965</c:v>
                </c:pt>
                <c:pt idx="345">
                  <c:v>-16.047633666973521</c:v>
                </c:pt>
                <c:pt idx="346">
                  <c:v>-16.136110121961742</c:v>
                </c:pt>
                <c:pt idx="347">
                  <c:v>-16.224298720788042</c:v>
                </c:pt>
                <c:pt idx="348">
                  <c:v>-16.312201733689726</c:v>
                </c:pt>
                <c:pt idx="349">
                  <c:v>-16.401954937709363</c:v>
                </c:pt>
                <c:pt idx="350">
                  <c:v>-16.491413160087152</c:v>
                </c:pt>
                <c:pt idx="351">
                  <c:v>-16.580578724017169</c:v>
                </c:pt>
                <c:pt idx="352">
                  <c:v>-16.669453915174209</c:v>
                </c:pt>
                <c:pt idx="353">
                  <c:v>-16.760146705135455</c:v>
                </c:pt>
                <c:pt idx="354">
                  <c:v>-16.850539862761131</c:v>
                </c:pt>
                <c:pt idx="355">
                  <c:v>-16.940635724913623</c:v>
                </c:pt>
                <c:pt idx="356">
                  <c:v>-17.030436591330552</c:v>
                </c:pt>
                <c:pt idx="357">
                  <c:v>-17.12189296715707</c:v>
                </c:pt>
                <c:pt idx="358">
                  <c:v>-17.213046083902036</c:v>
                </c:pt>
                <c:pt idx="359">
                  <c:v>-17.30389828098096</c:v>
                </c:pt>
                <c:pt idx="360">
                  <c:v>-17.394451861323436</c:v>
                </c:pt>
                <c:pt idx="361">
                  <c:v>-17.486888048494048</c:v>
                </c:pt>
                <c:pt idx="362">
                  <c:v>-17.579015778345831</c:v>
                </c:pt>
                <c:pt idx="363">
                  <c:v>-17.670837411886819</c:v>
                </c:pt>
                <c:pt idx="364">
                  <c:v>-17.76235527389078</c:v>
                </c:pt>
                <c:pt idx="365">
                  <c:v>-17.855595277557143</c:v>
                </c:pt>
                <c:pt idx="366">
                  <c:v>-17.948522659214536</c:v>
                </c:pt>
                <c:pt idx="367">
                  <c:v>-18.041139790494821</c:v>
                </c:pt>
                <c:pt idx="368">
                  <c:v>-18.133449007277338</c:v>
                </c:pt>
                <c:pt idx="369">
                  <c:v>-18.227698889412455</c:v>
                </c:pt>
                <c:pt idx="370">
                  <c:v>-18.321630463625489</c:v>
                </c:pt>
                <c:pt idx="371">
                  <c:v>-18.415246130375415</c:v>
                </c:pt>
                <c:pt idx="372">
                  <c:v>-18.508548254490048</c:v>
                </c:pt>
                <c:pt idx="373">
                  <c:v>-18.603632208543452</c:v>
                </c:pt>
                <c:pt idx="374">
                  <c:v>-18.698393212822733</c:v>
                </c:pt>
                <c:pt idx="375">
                  <c:v>-18.792833685744398</c:v>
                </c:pt>
                <c:pt idx="376">
                  <c:v>-18.886956010432776</c:v>
                </c:pt>
                <c:pt idx="377">
                  <c:v>-18.983070272550041</c:v>
                </c:pt>
                <c:pt idx="378">
                  <c:v>-19.078855468521976</c:v>
                </c:pt>
                <c:pt idx="379">
                  <c:v>-19.174314052223021</c:v>
                </c:pt>
                <c:pt idx="380">
                  <c:v>-19.269448442236847</c:v>
                </c:pt>
                <c:pt idx="381">
                  <c:v>-19.366297773865565</c:v>
                </c:pt>
                <c:pt idx="382">
                  <c:v>-19.462813801908418</c:v>
                </c:pt>
                <c:pt idx="383">
                  <c:v>-19.558998995756877</c:v>
                </c:pt>
                <c:pt idx="384">
                  <c:v>-19.654855789892448</c:v>
                </c:pt>
                <c:pt idx="385">
                  <c:v>-19.752750019075108</c:v>
                </c:pt>
                <c:pt idx="386">
                  <c:v>-19.850304437021681</c:v>
                </c:pt>
                <c:pt idx="387">
                  <c:v>-19.947521554912417</c:v>
                </c:pt>
                <c:pt idx="388">
                  <c:v>-20.044403848901545</c:v>
                </c:pt>
                <c:pt idx="389">
                  <c:v>-20.143168070468633</c:v>
                </c:pt>
                <c:pt idx="390">
                  <c:v>-20.241587039754421</c:v>
                </c:pt>
                <c:pt idx="391">
                  <c:v>-20.33966329894551</c:v>
                </c:pt>
                <c:pt idx="392">
                  <c:v>-20.437399355287237</c:v>
                </c:pt>
                <c:pt idx="393">
                  <c:v>-20.53698125604539</c:v>
                </c:pt>
                <c:pt idx="394">
                  <c:v>-20.636212694111752</c:v>
                </c:pt>
                <c:pt idx="395">
                  <c:v>-20.735096241275475</c:v>
                </c:pt>
                <c:pt idx="396">
                  <c:v>-20.833634434490321</c:v>
                </c:pt>
                <c:pt idx="397">
                  <c:v>-20.934209467791739</c:v>
                </c:pt>
                <c:pt idx="398">
                  <c:v>-21.034427454171016</c:v>
                </c:pt>
                <c:pt idx="399">
                  <c:v>-21.134291011251975</c:v>
                </c:pt>
                <c:pt idx="400">
                  <c:v>-21.233802721635161</c:v>
                </c:pt>
                <c:pt idx="401">
                  <c:v>-21.33519955105762</c:v>
                </c:pt>
                <c:pt idx="402">
                  <c:v>-21.436233822978661</c:v>
                </c:pt>
                <c:pt idx="403">
                  <c:v>-21.536908190228537</c:v>
                </c:pt>
                <c:pt idx="404">
                  <c:v>-21.637225270615534</c:v>
                </c:pt>
                <c:pt idx="405">
                  <c:v>-21.739500470804405</c:v>
                </c:pt>
                <c:pt idx="406">
                  <c:v>-21.841407064867219</c:v>
                </c:pt>
                <c:pt idx="407">
                  <c:v>-21.9429477479658</c:v>
                </c:pt>
                <c:pt idx="408">
                  <c:v>-22.044125180115273</c:v>
                </c:pt>
                <c:pt idx="409">
                  <c:v>-22.147330259302919</c:v>
                </c:pt>
                <c:pt idx="410">
                  <c:v>-22.250160173358744</c:v>
                </c:pt>
                <c:pt idx="411">
                  <c:v>-22.352617666625815</c:v>
                </c:pt>
                <c:pt idx="412">
                  <c:v>-22.454705448059688</c:v>
                </c:pt>
                <c:pt idx="413">
                  <c:v>-22.55877998066574</c:v>
                </c:pt>
                <c:pt idx="414">
                  <c:v>-22.662473088753515</c:v>
                </c:pt>
                <c:pt idx="415">
                  <c:v>-22.765787563891312</c:v>
                </c:pt>
                <c:pt idx="416">
                  <c:v>-22.868726162057953</c:v>
                </c:pt>
                <c:pt idx="417">
                  <c:v>-22.973716561794205</c:v>
                </c:pt>
                <c:pt idx="418">
                  <c:v>-23.078318800465176</c:v>
                </c:pt>
                <c:pt idx="419">
                  <c:v>-23.182535723505111</c:v>
                </c:pt>
                <c:pt idx="420">
                  <c:v>-23.286370140450963</c:v>
                </c:pt>
                <c:pt idx="421">
                  <c:v>-23.39211029289892</c:v>
                </c:pt>
                <c:pt idx="422">
                  <c:v>-23.497456643995047</c:v>
                </c:pt>
                <c:pt idx="423">
                  <c:v>-23.602412082507701</c:v>
                </c:pt>
                <c:pt idx="424">
                  <c:v>-23.706979461184989</c:v>
                </c:pt>
                <c:pt idx="425">
                  <c:v>-23.81372030174175</c:v>
                </c:pt>
                <c:pt idx="426">
                  <c:v>-23.920059700748912</c:v>
                </c:pt>
                <c:pt idx="427">
                  <c:v>-24.026000613910309</c:v>
                </c:pt>
                <c:pt idx="428">
                  <c:v>-24.131545960407131</c:v>
                </c:pt>
                <c:pt idx="429">
                  <c:v>-24.239118284290541</c:v>
                </c:pt>
                <c:pt idx="430">
                  <c:v>-24.346282659137721</c:v>
                </c:pt>
                <c:pt idx="431">
                  <c:v>-24.453042096863882</c:v>
                </c:pt>
                <c:pt idx="432">
                  <c:v>-24.559399572552589</c:v>
                </c:pt>
                <c:pt idx="433">
                  <c:v>-24.667741246587475</c:v>
                </c:pt>
                <c:pt idx="434">
                  <c:v>-24.775668814656964</c:v>
                </c:pt>
                <c:pt idx="435">
                  <c:v>-24.883185342887558</c:v>
                </c:pt>
                <c:pt idx="436">
                  <c:v>-24.990293860314061</c:v>
                </c:pt>
                <c:pt idx="437">
                  <c:v>-25.09953999201435</c:v>
                </c:pt>
                <c:pt idx="438">
                  <c:v>-25.208364708402513</c:v>
                </c:pt>
                <c:pt idx="439">
                  <c:v>-25.316771144662098</c:v>
                </c:pt>
                <c:pt idx="440">
                  <c:v>-25.42476239840768</c:v>
                </c:pt>
                <c:pt idx="441">
                  <c:v>-25.534845209485312</c:v>
                </c:pt>
                <c:pt idx="442">
                  <c:v>-25.644499695427765</c:v>
                </c:pt>
                <c:pt idx="443">
                  <c:v>-25.753729058313994</c:v>
                </c:pt>
                <c:pt idx="444">
                  <c:v>-25.86253646223749</c:v>
                </c:pt>
                <c:pt idx="445">
                  <c:v>-25.973390031228938</c:v>
                </c:pt>
                <c:pt idx="446">
                  <c:v>-26.083808768677677</c:v>
                </c:pt>
                <c:pt idx="447">
                  <c:v>-26.193795941515006</c:v>
                </c:pt>
                <c:pt idx="448">
                  <c:v>-26.303354778331112</c:v>
                </c:pt>
                <c:pt idx="449">
                  <c:v>-26.415101734170385</c:v>
                </c:pt>
                <c:pt idx="450">
                  <c:v>-26.526406285206981</c:v>
                </c:pt>
                <c:pt idx="451">
                  <c:v>-26.637271777992755</c:v>
                </c:pt>
                <c:pt idx="452">
                  <c:v>-26.747701520185867</c:v>
                </c:pt>
                <c:pt idx="453">
                  <c:v>-26.860179104174023</c:v>
                </c:pt>
                <c:pt idx="454">
                  <c:v>-26.972207898895899</c:v>
                </c:pt>
                <c:pt idx="455">
                  <c:v>-27.083791320101916</c:v>
                </c:pt>
                <c:pt idx="456">
                  <c:v>-27.194932744295137</c:v>
                </c:pt>
                <c:pt idx="457">
                  <c:v>-27.308257360431266</c:v>
                </c:pt>
                <c:pt idx="458">
                  <c:v>-27.421125790666018</c:v>
                </c:pt>
                <c:pt idx="459">
                  <c:v>-27.533541534837738</c:v>
                </c:pt>
                <c:pt idx="460">
                  <c:v>-27.645508052997194</c:v>
                </c:pt>
                <c:pt idx="461">
                  <c:v>-27.759608718713153</c:v>
                </c:pt>
                <c:pt idx="462">
                  <c:v>-27.873246294031478</c:v>
                </c:pt>
                <c:pt idx="463">
                  <c:v>-27.986424360987549</c:v>
                </c:pt>
                <c:pt idx="464">
                  <c:v>-28.099146461366388</c:v>
                </c:pt>
                <c:pt idx="465">
                  <c:v>-28.21404201859988</c:v>
                </c:pt>
                <c:pt idx="466">
                  <c:v>-28.328467366081522</c:v>
                </c:pt>
                <c:pt idx="467">
                  <c:v>-28.442426174687768</c:v>
                </c:pt>
                <c:pt idx="468">
                  <c:v>-28.555922074534333</c:v>
                </c:pt>
                <c:pt idx="469">
                  <c:v>-28.671541928083556</c:v>
                </c:pt>
                <c:pt idx="470">
                  <c:v>-28.786684984608769</c:v>
                </c:pt>
                <c:pt idx="471">
                  <c:v>-28.901355002198876</c:v>
                </c:pt>
                <c:pt idx="472">
                  <c:v>-29.015555697754635</c:v>
                </c:pt>
                <c:pt idx="473">
                  <c:v>-29.132001146054787</c:v>
                </c:pt>
                <c:pt idx="474">
                  <c:v>-29.247962346629762</c:v>
                </c:pt>
                <c:pt idx="475">
                  <c:v>-29.363443160139045</c:v>
                </c:pt>
                <c:pt idx="476">
                  <c:v>-29.478447405469304</c:v>
                </c:pt>
                <c:pt idx="477">
                  <c:v>-29.595644536122752</c:v>
                </c:pt>
                <c:pt idx="478">
                  <c:v>-29.71235056982858</c:v>
                </c:pt>
                <c:pt idx="479">
                  <c:v>-29.828569468462845</c:v>
                </c:pt>
                <c:pt idx="480">
                  <c:v>-29.944305151638837</c:v>
                </c:pt>
                <c:pt idx="481">
                  <c:v>-30.062182866013984</c:v>
                </c:pt>
                <c:pt idx="482">
                  <c:v>-30.179563249359674</c:v>
                </c:pt>
                <c:pt idx="483">
                  <c:v>-30.296450363680485</c:v>
                </c:pt>
                <c:pt idx="484">
                  <c:v>-30.412848228325974</c:v>
                </c:pt>
                <c:pt idx="485">
                  <c:v>-30.531418877584009</c:v>
                </c:pt>
                <c:pt idx="486">
                  <c:v>-30.649485908448941</c:v>
                </c:pt>
                <c:pt idx="487">
                  <c:v>-30.767053490734831</c:v>
                </c:pt>
                <c:pt idx="488">
                  <c:v>-30.884125751193018</c:v>
                </c:pt>
                <c:pt idx="489">
                  <c:v>-31.003478444447037</c:v>
                </c:pt>
                <c:pt idx="490">
                  <c:v>-31.122320551852688</c:v>
                </c:pt>
                <c:pt idx="491">
                  <c:v>-31.240656367541352</c:v>
                </c:pt>
                <c:pt idx="492">
                  <c:v>-31.358490142054588</c:v>
                </c:pt>
                <c:pt idx="493">
                  <c:v>-31.478550746498179</c:v>
                </c:pt>
                <c:pt idx="494">
                  <c:v>-31.598094540557156</c:v>
                </c:pt>
                <c:pt idx="495">
                  <c:v>-31.717125942475015</c:v>
                </c:pt>
                <c:pt idx="496">
                  <c:v>-31.835649326506299</c:v>
                </c:pt>
                <c:pt idx="497">
                  <c:v>-31.956423724329206</c:v>
                </c:pt>
                <c:pt idx="498">
                  <c:v>-32.076675191902304</c:v>
                </c:pt>
                <c:pt idx="499">
                  <c:v>-32.196408280447514</c:v>
                </c:pt>
                <c:pt idx="500">
                  <c:v>-32.31562749682341</c:v>
                </c:pt>
                <c:pt idx="501">
                  <c:v>-32.437119954626198</c:v>
                </c:pt>
                <c:pt idx="502">
                  <c:v>-32.558083527567788</c:v>
                </c:pt>
                <c:pt idx="503">
                  <c:v>-32.678522909296021</c:v>
                </c:pt>
                <c:pt idx="504">
                  <c:v>-32.798442748763364</c:v>
                </c:pt>
                <c:pt idx="505">
                  <c:v>-32.92058232534427</c:v>
                </c:pt>
                <c:pt idx="506">
                  <c:v>-33.042187938181556</c:v>
                </c:pt>
                <c:pt idx="507">
                  <c:v>-33.163264424735665</c:v>
                </c:pt>
                <c:pt idx="508">
                  <c:v>-33.283816577613599</c:v>
                </c:pt>
                <c:pt idx="509">
                  <c:v>-33.406609121163918</c:v>
                </c:pt>
                <c:pt idx="510">
                  <c:v>-33.52886289494613</c:v>
                </c:pt>
                <c:pt idx="511">
                  <c:v>-33.650582891182601</c:v>
                </c:pt>
                <c:pt idx="512">
                  <c:v>-33.771774057168088</c:v>
                </c:pt>
                <c:pt idx="513">
                  <c:v>-33.895296085754964</c:v>
                </c:pt>
                <c:pt idx="514">
                  <c:v>-34.018274261272644</c:v>
                </c:pt>
                <c:pt idx="515">
                  <c:v>-34.140713751576605</c:v>
                </c:pt>
                <c:pt idx="516">
                  <c:v>-34.262619679535014</c:v>
                </c:pt>
                <c:pt idx="517">
                  <c:v>-34.386802192370723</c:v>
                </c:pt>
                <c:pt idx="518">
                  <c:v>-34.510436850705631</c:v>
                </c:pt>
                <c:pt idx="519">
                  <c:v>-34.633529002236976</c:v>
                </c:pt>
                <c:pt idx="520">
                  <c:v>-34.756083949878096</c:v>
                </c:pt>
                <c:pt idx="521">
                  <c:v>-34.880932000481394</c:v>
                </c:pt>
                <c:pt idx="522">
                  <c:v>-35.005228721938558</c:v>
                </c:pt>
                <c:pt idx="523">
                  <c:v>-35.128979656407317</c:v>
                </c:pt>
                <c:pt idx="524">
                  <c:v>-35.252190301666928</c:v>
                </c:pt>
                <c:pt idx="525">
                  <c:v>-35.377709569221238</c:v>
                </c:pt>
                <c:pt idx="526">
                  <c:v>-35.502674662742763</c:v>
                </c:pt>
                <c:pt idx="527">
                  <c:v>-35.627091335238397</c:v>
                </c:pt>
                <c:pt idx="528">
                  <c:v>-35.750965296002619</c:v>
                </c:pt>
                <c:pt idx="529">
                  <c:v>-35.877162620545427</c:v>
                </c:pt>
                <c:pt idx="530">
                  <c:v>-36.002803670897428</c:v>
                </c:pt>
                <c:pt idx="531">
                  <c:v>-36.127894429453967</c:v>
                </c:pt>
                <c:pt idx="532">
                  <c:v>-36.25244083589439</c:v>
                </c:pt>
                <c:pt idx="533">
                  <c:v>-36.379390175579054</c:v>
                </c:pt>
                <c:pt idx="534">
                  <c:v>-36.505781442229974</c:v>
                </c:pt>
                <c:pt idx="535">
                  <c:v>-36.631620878409862</c:v>
                </c:pt>
                <c:pt idx="536">
                  <c:v>-36.756914685295541</c:v>
                </c:pt>
                <c:pt idx="537">
                  <c:v>-36.884495208849806</c:v>
                </c:pt>
                <c:pt idx="538">
                  <c:v>-37.011518038617837</c:v>
                </c:pt>
                <c:pt idx="539">
                  <c:v>-37.137989682331344</c:v>
                </c:pt>
                <c:pt idx="540">
                  <c:v>-37.263916608362507</c:v>
                </c:pt>
                <c:pt idx="541">
                  <c:v>-37.392272159498894</c:v>
                </c:pt>
                <c:pt idx="542">
                  <c:v>-37.520070450628261</c:v>
                </c:pt>
                <c:pt idx="543">
                  <c:v>-37.647318302633686</c:v>
                </c:pt>
                <c:pt idx="544">
                  <c:v>-37.774022499566271</c:v>
                </c:pt>
                <c:pt idx="545">
                  <c:v>-37.903106035728207</c:v>
                </c:pt>
                <c:pt idx="546">
                  <c:v>-38.031634695752103</c:v>
                </c:pt>
                <c:pt idx="547">
                  <c:v>-38.15961563677503</c:v>
                </c:pt>
                <c:pt idx="548">
                  <c:v>-38.287055982536586</c:v>
                </c:pt>
                <c:pt idx="549">
                  <c:v>-38.416890833489092</c:v>
                </c:pt>
                <c:pt idx="550">
                  <c:v>-38.54617478833898</c:v>
                </c:pt>
                <c:pt idx="551">
                  <c:v>-38.674915379305197</c:v>
                </c:pt>
                <c:pt idx="552">
                  <c:v>-38.80312010967701</c:v>
                </c:pt>
                <c:pt idx="553">
                  <c:v>-38.933795714421969</c:v>
                </c:pt>
                <c:pt idx="554">
                  <c:v>-39.063925754707014</c:v>
                </c:pt>
                <c:pt idx="555">
                  <c:v>-39.193518194774221</c:v>
                </c:pt>
                <c:pt idx="556">
                  <c:v>-39.322580975656656</c:v>
                </c:pt>
                <c:pt idx="557">
                  <c:v>-39.585143529506006</c:v>
                </c:pt>
                <c:pt idx="558">
                  <c:v>-39.845587733437952</c:v>
                </c:pt>
                <c:pt idx="559">
                  <c:v>-40.109880237747248</c:v>
                </c:pt>
                <c:pt idx="560">
                  <c:v>-40.372098729598292</c:v>
                </c:pt>
                <c:pt idx="561">
                  <c:v>-40.638465227850759</c:v>
                </c:pt>
                <c:pt idx="562">
                  <c:v>-40.902810598822008</c:v>
                </c:pt>
                <c:pt idx="563">
                  <c:v>-41.17082225450978</c:v>
                </c:pt>
                <c:pt idx="564">
                  <c:v>-41.436888176649219</c:v>
                </c:pt>
                <c:pt idx="565">
                  <c:v>-41.70772843668103</c:v>
                </c:pt>
                <c:pt idx="566">
                  <c:v>-41.976700458386745</c:v>
                </c:pt>
                <c:pt idx="567">
                  <c:v>-42.250443384580969</c:v>
                </c:pt>
                <c:pt idx="568">
                  <c:v>-42.522418107495128</c:v>
                </c:pt>
                <c:pt idx="569">
                  <c:v>-42.798113585534949</c:v>
                </c:pt>
                <c:pt idx="570">
                  <c:v>-43.072179198411817</c:v>
                </c:pt>
                <c:pt idx="571">
                  <c:v>-43.352184257814763</c:v>
                </c:pt>
                <c:pt idx="572">
                  <c:v>-43.63070213326619</c:v>
                </c:pt>
                <c:pt idx="573">
                  <c:v>-43.913130985806667</c:v>
                </c:pt>
                <c:pt idx="574">
                  <c:v>-44.194272759568946</c:v>
                </c:pt>
                <c:pt idx="575">
                  <c:v>-44.481588011697838</c:v>
                </c:pt>
                <c:pt idx="576">
                  <c:v>-44.76783808326352</c:v>
                </c:pt>
                <c:pt idx="577">
                  <c:v>-45.971510834167191</c:v>
                </c:pt>
                <c:pt idx="578">
                  <c:v>-47.171637453398539</c:v>
                </c:pt>
                <c:pt idx="579">
                  <c:v>-49.86693949868021</c:v>
                </c:pt>
                <c:pt idx="580">
                  <c:v>-53.169710613624339</c:v>
                </c:pt>
                <c:pt idx="581">
                  <c:v>-57.912105461137529</c:v>
                </c:pt>
                <c:pt idx="582">
                  <c:v>-67.586263700179899</c:v>
                </c:pt>
                <c:pt idx="583">
                  <c:v>-70.64902038001604</c:v>
                </c:pt>
                <c:pt idx="584">
                  <c:v>-62.69641603217206</c:v>
                </c:pt>
                <c:pt idx="585">
                  <c:v>-61.013239959615007</c:v>
                </c:pt>
                <c:pt idx="586">
                  <c:v>-61.218192095505401</c:v>
                </c:pt>
                <c:pt idx="587">
                  <c:v>-62.351248425355152</c:v>
                </c:pt>
                <c:pt idx="588">
                  <c:v>-64.343364584013415</c:v>
                </c:pt>
                <c:pt idx="589">
                  <c:v>-68.436374119718138</c:v>
                </c:pt>
                <c:pt idx="590">
                  <c:v>-90.776516300689337</c:v>
                </c:pt>
                <c:pt idx="591">
                  <c:v>-71.364422312750349</c:v>
                </c:pt>
                <c:pt idx="592">
                  <c:v>-69.226489750423511</c:v>
                </c:pt>
                <c:pt idx="593">
                  <c:v>-70.414157572089195</c:v>
                </c:pt>
                <c:pt idx="594">
                  <c:v>-76.953474967323729</c:v>
                </c:pt>
                <c:pt idx="595">
                  <c:v>-77.086362418070877</c:v>
                </c:pt>
                <c:pt idx="596">
                  <c:v>-73.347875692425177</c:v>
                </c:pt>
                <c:pt idx="597">
                  <c:v>-76.820638169250458</c:v>
                </c:pt>
                <c:pt idx="598">
                  <c:v>-80.002598000357651</c:v>
                </c:pt>
                <c:pt idx="599">
                  <c:v>-76.260655424172015</c:v>
                </c:pt>
                <c:pt idx="600">
                  <c:v>-103.34911154849387</c:v>
                </c:pt>
              </c:numCache>
            </c:numRef>
          </c:yVal>
          <c:smooth val="1"/>
          <c:extLst>
            <c:ext xmlns:c16="http://schemas.microsoft.com/office/drawing/2014/chart" uri="{C3380CC4-5D6E-409C-BE32-E72D297353CC}">
              <c16:uniqueId val="{00000000-09BC-4E96-93F9-6DC345568360}"/>
            </c:ext>
          </c:extLst>
        </c:ser>
        <c:dLbls>
          <c:dLblPos val="r"/>
          <c:showLegendKey val="0"/>
          <c:showVal val="1"/>
          <c:showCatName val="1"/>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94.649582920028024</c:v>
                </c:pt>
                <c:pt idx="1">
                  <c:v>94.167983340719076</c:v>
                </c:pt>
                <c:pt idx="2">
                  <c:v>93.721155116114417</c:v>
                </c:pt>
                <c:pt idx="3">
                  <c:v>93.305440408879633</c:v>
                </c:pt>
                <c:pt idx="4">
                  <c:v>92.917661165543763</c:v>
                </c:pt>
                <c:pt idx="5">
                  <c:v>92.553975472890954</c:v>
                </c:pt>
                <c:pt idx="6">
                  <c:v>92.211900964060064</c:v>
                </c:pt>
                <c:pt idx="7">
                  <c:v>91.888353599461013</c:v>
                </c:pt>
                <c:pt idx="8">
                  <c:v>91.580859460957186</c:v>
                </c:pt>
                <c:pt idx="9">
                  <c:v>91.286604529109439</c:v>
                </c:pt>
                <c:pt idx="10">
                  <c:v>91.00329013567837</c:v>
                </c:pt>
                <c:pt idx="11">
                  <c:v>90.728490743096387</c:v>
                </c:pt>
                <c:pt idx="12">
                  <c:v>90.459754978921595</c:v>
                </c:pt>
                <c:pt idx="13">
                  <c:v>90.195084282645567</c:v>
                </c:pt>
                <c:pt idx="14">
                  <c:v>89.932045104943185</c:v>
                </c:pt>
                <c:pt idx="15">
                  <c:v>89.668537243091592</c:v>
                </c:pt>
                <c:pt idx="16">
                  <c:v>89.402340156907215</c:v>
                </c:pt>
                <c:pt idx="17">
                  <c:v>89.13128035939225</c:v>
                </c:pt>
                <c:pt idx="18">
                  <c:v>88.853038409102652</c:v>
                </c:pt>
                <c:pt idx="19">
                  <c:v>88.56540550451399</c:v>
                </c:pt>
                <c:pt idx="20">
                  <c:v>88.265984971804741</c:v>
                </c:pt>
                <c:pt idx="21">
                  <c:v>87.952430642400387</c:v>
                </c:pt>
                <c:pt idx="22">
                  <c:v>87.622188972303448</c:v>
                </c:pt>
                <c:pt idx="23">
                  <c:v>87.272769561509591</c:v>
                </c:pt>
                <c:pt idx="24">
                  <c:v>86.901419123921784</c:v>
                </c:pt>
                <c:pt idx="25">
                  <c:v>86.505435159817068</c:v>
                </c:pt>
                <c:pt idx="26">
                  <c:v>86.081873690061997</c:v>
                </c:pt>
                <c:pt idx="27">
                  <c:v>85.627945893857557</c:v>
                </c:pt>
                <c:pt idx="28">
                  <c:v>85.14067075057946</c:v>
                </c:pt>
                <c:pt idx="29">
                  <c:v>84.617404074007496</c:v>
                </c:pt>
                <c:pt idx="30">
                  <c:v>84.054289073080383</c:v>
                </c:pt>
                <c:pt idx="31">
                  <c:v>83.449226888346217</c:v>
                </c:pt>
                <c:pt idx="32">
                  <c:v>82.799162956969553</c:v>
                </c:pt>
                <c:pt idx="33">
                  <c:v>82.102246018132803</c:v>
                </c:pt>
                <c:pt idx="34">
                  <c:v>81.356104304859329</c:v>
                </c:pt>
                <c:pt idx="35">
                  <c:v>80.55999114257574</c:v>
                </c:pt>
                <c:pt idx="36">
                  <c:v>79.713569629124493</c:v>
                </c:pt>
                <c:pt idx="37">
                  <c:v>78.817317380122603</c:v>
                </c:pt>
                <c:pt idx="38">
                  <c:v>77.874566097193025</c:v>
                </c:pt>
                <c:pt idx="39">
                  <c:v>76.888896631003746</c:v>
                </c:pt>
                <c:pt idx="40">
                  <c:v>75.867182130830926</c:v>
                </c:pt>
                <c:pt idx="41">
                  <c:v>74.818348444055374</c:v>
                </c:pt>
                <c:pt idx="42">
                  <c:v>73.754278865853919</c:v>
                </c:pt>
                <c:pt idx="43">
                  <c:v>72.689228233162211</c:v>
                </c:pt>
                <c:pt idx="44">
                  <c:v>71.640802567953415</c:v>
                </c:pt>
                <c:pt idx="45">
                  <c:v>70.628564228371218</c:v>
                </c:pt>
                <c:pt idx="46">
                  <c:v>69.67436276372824</c:v>
                </c:pt>
                <c:pt idx="47">
                  <c:v>68.800670382385604</c:v>
                </c:pt>
                <c:pt idx="48">
                  <c:v>68.030312983024132</c:v>
                </c:pt>
                <c:pt idx="49">
                  <c:v>67.384392616463316</c:v>
                </c:pt>
                <c:pt idx="50">
                  <c:v>66.88169014802051</c:v>
                </c:pt>
                <c:pt idx="51">
                  <c:v>66.536904848774526</c:v>
                </c:pt>
                <c:pt idx="52">
                  <c:v>66.359999915076955</c:v>
                </c:pt>
                <c:pt idx="53">
                  <c:v>66.355068960955066</c:v>
                </c:pt>
                <c:pt idx="54">
                  <c:v>66.520049644253788</c:v>
                </c:pt>
                <c:pt idx="55">
                  <c:v>66.847515562602268</c:v>
                </c:pt>
                <c:pt idx="56">
                  <c:v>67.323992217534666</c:v>
                </c:pt>
                <c:pt idx="57">
                  <c:v>67.932120644644471</c:v>
                </c:pt>
                <c:pt idx="58">
                  <c:v>68.650470806011938</c:v>
                </c:pt>
                <c:pt idx="59">
                  <c:v>69.45657902101307</c:v>
                </c:pt>
                <c:pt idx="60">
                  <c:v>70.326280677347597</c:v>
                </c:pt>
                <c:pt idx="61">
                  <c:v>71.236407740847909</c:v>
                </c:pt>
                <c:pt idx="62">
                  <c:v>72.165602447387329</c:v>
                </c:pt>
                <c:pt idx="63">
                  <c:v>73.093242801805388</c:v>
                </c:pt>
                <c:pt idx="64">
                  <c:v>74.002890858584252</c:v>
                </c:pt>
                <c:pt idx="65">
                  <c:v>74.879747531907199</c:v>
                </c:pt>
                <c:pt idx="66">
                  <c:v>75.712148082508804</c:v>
                </c:pt>
                <c:pt idx="67">
                  <c:v>76.490765462871963</c:v>
                </c:pt>
                <c:pt idx="68">
                  <c:v>77.208837374688159</c:v>
                </c:pt>
                <c:pt idx="69">
                  <c:v>77.86107325760733</c:v>
                </c:pt>
                <c:pt idx="70">
                  <c:v>78.444048943063493</c:v>
                </c:pt>
                <c:pt idx="71">
                  <c:v>78.955286514589517</c:v>
                </c:pt>
                <c:pt idx="72">
                  <c:v>79.393414118269263</c:v>
                </c:pt>
                <c:pt idx="73">
                  <c:v>79.757447510771456</c:v>
                </c:pt>
                <c:pt idx="74">
                  <c:v>80.046965816827779</c:v>
                </c:pt>
                <c:pt idx="75">
                  <c:v>80.261563159519483</c:v>
                </c:pt>
                <c:pt idx="76">
                  <c:v>80.400918436881938</c:v>
                </c:pt>
                <c:pt idx="77">
                  <c:v>80.464490214677298</c:v>
                </c:pt>
                <c:pt idx="78">
                  <c:v>80.451570945947864</c:v>
                </c:pt>
                <c:pt idx="79">
                  <c:v>80.361193676869021</c:v>
                </c:pt>
                <c:pt idx="80">
                  <c:v>80.191700330235179</c:v>
                </c:pt>
                <c:pt idx="81">
                  <c:v>79.941321547008428</c:v>
                </c:pt>
                <c:pt idx="82">
                  <c:v>79.607449251116748</c:v>
                </c:pt>
                <c:pt idx="83">
                  <c:v>79.187329901675412</c:v>
                </c:pt>
                <c:pt idx="84">
                  <c:v>78.677042594199179</c:v>
                </c:pt>
                <c:pt idx="85">
                  <c:v>78.072620444311937</c:v>
                </c:pt>
                <c:pt idx="86">
                  <c:v>77.369115511987488</c:v>
                </c:pt>
                <c:pt idx="87">
                  <c:v>76.560504590351854</c:v>
                </c:pt>
                <c:pt idx="88">
                  <c:v>75.641274086221429</c:v>
                </c:pt>
                <c:pt idx="89">
                  <c:v>74.603705045976852</c:v>
                </c:pt>
                <c:pt idx="90">
                  <c:v>73.4404159980309</c:v>
                </c:pt>
                <c:pt idx="91">
                  <c:v>72.142870101751456</c:v>
                </c:pt>
                <c:pt idx="92">
                  <c:v>70.70213117097606</c:v>
                </c:pt>
                <c:pt idx="93">
                  <c:v>69.107979228714612</c:v>
                </c:pt>
                <c:pt idx="94">
                  <c:v>68.684476621877323</c:v>
                </c:pt>
                <c:pt idx="95">
                  <c:v>68.467500582949512</c:v>
                </c:pt>
                <c:pt idx="96">
                  <c:v>68.250405425168083</c:v>
                </c:pt>
                <c:pt idx="97">
                  <c:v>68.028166427617322</c:v>
                </c:pt>
                <c:pt idx="98">
                  <c:v>67.805826678033426</c:v>
                </c:pt>
                <c:pt idx="99">
                  <c:v>67.578183418039302</c:v>
                </c:pt>
                <c:pt idx="100">
                  <c:v>67.350458319370787</c:v>
                </c:pt>
                <c:pt idx="101">
                  <c:v>67.117445235495325</c:v>
                </c:pt>
                <c:pt idx="102">
                  <c:v>66.884369941089915</c:v>
                </c:pt>
                <c:pt idx="103">
                  <c:v>66.645675865686627</c:v>
                </c:pt>
                <c:pt idx="104">
                  <c:v>66.40693978799797</c:v>
                </c:pt>
                <c:pt idx="105">
                  <c:v>66.162603589385142</c:v>
                </c:pt>
                <c:pt idx="106">
                  <c:v>65.918246412991152</c:v>
                </c:pt>
                <c:pt idx="107">
                  <c:v>65.668309580368998</c:v>
                </c:pt>
                <c:pt idx="108">
                  <c:v>65.418373582111812</c:v>
                </c:pt>
                <c:pt idx="109">
                  <c:v>65.162706124850715</c:v>
                </c:pt>
                <c:pt idx="110">
                  <c:v>64.907062114840798</c:v>
                </c:pt>
                <c:pt idx="111">
                  <c:v>64.645362745019398</c:v>
                </c:pt>
                <c:pt idx="112">
                  <c:v>64.383710386909783</c:v>
                </c:pt>
                <c:pt idx="113">
                  <c:v>64.116028892580573</c:v>
                </c:pt>
                <c:pt idx="114">
                  <c:v>63.848418910723808</c:v>
                </c:pt>
                <c:pt idx="115">
                  <c:v>63.57463420161659</c:v>
                </c:pt>
                <c:pt idx="116">
                  <c:v>63.300946545285868</c:v>
                </c:pt>
                <c:pt idx="117">
                  <c:v>63.020940956656858</c:v>
                </c:pt>
                <c:pt idx="118">
                  <c:v>62.741059078460268</c:v>
                </c:pt>
                <c:pt idx="119">
                  <c:v>62.454892109614846</c:v>
                </c:pt>
                <c:pt idx="120">
                  <c:v>62.168876512939079</c:v>
                </c:pt>
                <c:pt idx="121">
                  <c:v>61.876437475594003</c:v>
                </c:pt>
                <c:pt idx="122">
                  <c:v>61.584178669577369</c:v>
                </c:pt>
                <c:pt idx="123">
                  <c:v>61.28518778127075</c:v>
                </c:pt>
                <c:pt idx="124">
                  <c:v>60.986407506483161</c:v>
                </c:pt>
                <c:pt idx="125">
                  <c:v>60.68093586102043</c:v>
                </c:pt>
                <c:pt idx="126">
                  <c:v>60.375706350702188</c:v>
                </c:pt>
                <c:pt idx="127">
                  <c:v>60.063655992966687</c:v>
                </c:pt>
                <c:pt idx="128">
                  <c:v>59.751880711778298</c:v>
                </c:pt>
                <c:pt idx="129">
                  <c:v>59.433158379792459</c:v>
                </c:pt>
                <c:pt idx="130">
                  <c:v>59.114745556870048</c:v>
                </c:pt>
                <c:pt idx="131">
                  <c:v>58.789262918190644</c:v>
                </c:pt>
                <c:pt idx="132">
                  <c:v>58.626650511462117</c:v>
                </c:pt>
                <c:pt idx="133">
                  <c:v>58.464125781724135</c:v>
                </c:pt>
                <c:pt idx="134">
                  <c:v>58.297829704869017</c:v>
                </c:pt>
                <c:pt idx="135">
                  <c:v>58.131628197919326</c:v>
                </c:pt>
                <c:pt idx="136">
                  <c:v>57.965522577972607</c:v>
                </c:pt>
                <c:pt idx="137">
                  <c:v>57.799514138611386</c:v>
                </c:pt>
                <c:pt idx="138">
                  <c:v>57.629838512999129</c:v>
                </c:pt>
                <c:pt idx="139">
                  <c:v>57.460267194512127</c:v>
                </c:pt>
                <c:pt idx="140">
                  <c:v>57.290801493986436</c:v>
                </c:pt>
                <c:pt idx="141">
                  <c:v>57.121442698798901</c:v>
                </c:pt>
                <c:pt idx="142">
                  <c:v>56.948179885259691</c:v>
                </c:pt>
                <c:pt idx="143">
                  <c:v>56.775031764596591</c:v>
                </c:pt>
                <c:pt idx="144">
                  <c:v>56.601999644945764</c:v>
                </c:pt>
                <c:pt idx="145">
                  <c:v>56.429084810904342</c:v>
                </c:pt>
                <c:pt idx="146">
                  <c:v>56.25228726485102</c:v>
                </c:pt>
                <c:pt idx="147">
                  <c:v>56.075615148481589</c:v>
                </c:pt>
                <c:pt idx="148">
                  <c:v>55.899069764557808</c:v>
                </c:pt>
                <c:pt idx="149">
                  <c:v>55.722652392230458</c:v>
                </c:pt>
                <c:pt idx="150">
                  <c:v>55.542289800865589</c:v>
                </c:pt>
                <c:pt idx="151">
                  <c:v>55.362063844570031</c:v>
                </c:pt>
                <c:pt idx="152">
                  <c:v>55.181975819819485</c:v>
                </c:pt>
                <c:pt idx="153">
                  <c:v>55.00202699936554</c:v>
                </c:pt>
                <c:pt idx="154">
                  <c:v>54.817987557851183</c:v>
                </c:pt>
                <c:pt idx="155">
                  <c:v>54.634096575807419</c:v>
                </c:pt>
                <c:pt idx="156">
                  <c:v>54.450355344006397</c:v>
                </c:pt>
                <c:pt idx="157">
                  <c:v>54.266765129300524</c:v>
                </c:pt>
                <c:pt idx="158">
                  <c:v>54.079025730609033</c:v>
                </c:pt>
                <c:pt idx="159">
                  <c:v>53.891447128032368</c:v>
                </c:pt>
                <c:pt idx="160">
                  <c:v>53.704030605029317</c:v>
                </c:pt>
                <c:pt idx="161">
                  <c:v>53.516777420902457</c:v>
                </c:pt>
                <c:pt idx="162">
                  <c:v>53.325402427095511</c:v>
                </c:pt>
                <c:pt idx="163">
                  <c:v>53.134200936166124</c:v>
                </c:pt>
                <c:pt idx="164">
                  <c:v>52.943174220686004</c:v>
                </c:pt>
                <c:pt idx="165">
                  <c:v>52.752323528837493</c:v>
                </c:pt>
                <c:pt idx="166">
                  <c:v>52.557128360713534</c:v>
                </c:pt>
                <c:pt idx="167">
                  <c:v>52.362120238940719</c:v>
                </c:pt>
                <c:pt idx="168">
                  <c:v>52.167300426338343</c:v>
                </c:pt>
                <c:pt idx="169">
                  <c:v>51.972670160980471</c:v>
                </c:pt>
                <c:pt idx="170">
                  <c:v>51.774060234666337</c:v>
                </c:pt>
                <c:pt idx="171">
                  <c:v>51.575650612326029</c:v>
                </c:pt>
                <c:pt idx="172">
                  <c:v>51.3774425365431</c:v>
                </c:pt>
                <c:pt idx="173">
                  <c:v>51.179437224969377</c:v>
                </c:pt>
                <c:pt idx="174">
                  <c:v>50.976651927988854</c:v>
                </c:pt>
                <c:pt idx="175">
                  <c:v>50.774082261031054</c:v>
                </c:pt>
                <c:pt idx="176">
                  <c:v>50.571729457616783</c:v>
                </c:pt>
                <c:pt idx="177">
                  <c:v>50.369594725735652</c:v>
                </c:pt>
                <c:pt idx="178">
                  <c:v>50.162716885565032</c:v>
                </c:pt>
                <c:pt idx="179">
                  <c:v>49.956070460912002</c:v>
                </c:pt>
                <c:pt idx="180">
                  <c:v>49.749656670745253</c:v>
                </c:pt>
                <c:pt idx="181">
                  <c:v>49.543476707911822</c:v>
                </c:pt>
                <c:pt idx="182">
                  <c:v>49.3334152450754</c:v>
                </c:pt>
                <c:pt idx="183">
                  <c:v>49.1235994821144</c:v>
                </c:pt>
                <c:pt idx="184">
                  <c:v>48.914030603911073</c:v>
                </c:pt>
                <c:pt idx="185">
                  <c:v>48.704709769058951</c:v>
                </c:pt>
                <c:pt idx="186">
                  <c:v>48.489902412885726</c:v>
                </c:pt>
                <c:pt idx="187">
                  <c:v>48.275359301493864</c:v>
                </c:pt>
                <c:pt idx="188">
                  <c:v>48.061081607875309</c:v>
                </c:pt>
                <c:pt idx="189">
                  <c:v>47.847070477748559</c:v>
                </c:pt>
                <c:pt idx="190">
                  <c:v>47.629250566766075</c:v>
                </c:pt>
                <c:pt idx="191">
                  <c:v>47.411709808573107</c:v>
                </c:pt>
                <c:pt idx="192">
                  <c:v>47.194449331356054</c:v>
                </c:pt>
                <c:pt idx="193">
                  <c:v>46.97747023588542</c:v>
                </c:pt>
                <c:pt idx="194">
                  <c:v>46.75509621991884</c:v>
                </c:pt>
                <c:pt idx="195">
                  <c:v>46.533020795477285</c:v>
                </c:pt>
                <c:pt idx="196">
                  <c:v>46.311245065224085</c:v>
                </c:pt>
                <c:pt idx="197">
                  <c:v>46.089770103455777</c:v>
                </c:pt>
                <c:pt idx="198">
                  <c:v>45.863757133628354</c:v>
                </c:pt>
                <c:pt idx="199">
                  <c:v>45.638060428592127</c:v>
                </c:pt>
                <c:pt idx="200">
                  <c:v>45.412681046071071</c:v>
                </c:pt>
                <c:pt idx="201">
                  <c:v>45.18762001490731</c:v>
                </c:pt>
                <c:pt idx="202">
                  <c:v>44.958065944588157</c:v>
                </c:pt>
                <c:pt idx="203">
                  <c:v>44.728846095202016</c:v>
                </c:pt>
                <c:pt idx="204">
                  <c:v>44.499961472960791</c:v>
                </c:pt>
                <c:pt idx="205">
                  <c:v>44.271413054705846</c:v>
                </c:pt>
                <c:pt idx="206">
                  <c:v>44.037620432775384</c:v>
                </c:pt>
                <c:pt idx="207">
                  <c:v>43.804182656967782</c:v>
                </c:pt>
                <c:pt idx="208">
                  <c:v>43.571100684913461</c:v>
                </c:pt>
                <c:pt idx="209">
                  <c:v>43.338375444006658</c:v>
                </c:pt>
                <c:pt idx="210">
                  <c:v>43.099668347637589</c:v>
                </c:pt>
                <c:pt idx="211">
                  <c:v>42.86133961685988</c:v>
                </c:pt>
                <c:pt idx="212">
                  <c:v>42.623390160757026</c:v>
                </c:pt>
                <c:pt idx="213">
                  <c:v>42.385820856941251</c:v>
                </c:pt>
                <c:pt idx="214">
                  <c:v>42.143908424668552</c:v>
                </c:pt>
                <c:pt idx="215">
                  <c:v>41.902393197680567</c:v>
                </c:pt>
                <c:pt idx="216">
                  <c:v>41.661276009328191</c:v>
                </c:pt>
                <c:pt idx="217">
                  <c:v>41.420557661141032</c:v>
                </c:pt>
                <c:pt idx="218">
                  <c:v>41.174764008591922</c:v>
                </c:pt>
                <c:pt idx="219">
                  <c:v>40.929389188216049</c:v>
                </c:pt>
                <c:pt idx="220">
                  <c:v>40.684433957776719</c:v>
                </c:pt>
                <c:pt idx="221">
                  <c:v>40.439899042505886</c:v>
                </c:pt>
                <c:pt idx="222">
                  <c:v>40.190347908411979</c:v>
                </c:pt>
                <c:pt idx="223">
                  <c:v>39.941237469621939</c:v>
                </c:pt>
                <c:pt idx="224">
                  <c:v>39.692568399084848</c:v>
                </c:pt>
                <c:pt idx="225">
                  <c:v>39.444341336579924</c:v>
                </c:pt>
                <c:pt idx="226">
                  <c:v>39.190387233890874</c:v>
                </c:pt>
                <c:pt idx="227">
                  <c:v>38.936898701787499</c:v>
                </c:pt>
                <c:pt idx="228">
                  <c:v>38.683876324312791</c:v>
                </c:pt>
                <c:pt idx="229">
                  <c:v>38.431320651369191</c:v>
                </c:pt>
                <c:pt idx="230">
                  <c:v>37.915386510084119</c:v>
                </c:pt>
                <c:pt idx="231">
                  <c:v>37.658156030027214</c:v>
                </c:pt>
                <c:pt idx="232">
                  <c:v>37.401417219956215</c:v>
                </c:pt>
                <c:pt idx="233">
                  <c:v>37.139093468190509</c:v>
                </c:pt>
                <c:pt idx="234">
                  <c:v>36.877285848255411</c:v>
                </c:pt>
                <c:pt idx="235">
                  <c:v>36.61599473130596</c:v>
                </c:pt>
                <c:pt idx="236">
                  <c:v>36.355220452730748</c:v>
                </c:pt>
                <c:pt idx="237">
                  <c:v>36.089688087841324</c:v>
                </c:pt>
                <c:pt idx="238">
                  <c:v>35.824694341640225</c:v>
                </c:pt>
                <c:pt idx="239">
                  <c:v>35.560239459390829</c:v>
                </c:pt>
                <c:pt idx="240">
                  <c:v>35.296323650367015</c:v>
                </c:pt>
                <c:pt idx="241">
                  <c:v>35.026220100053848</c:v>
                </c:pt>
                <c:pt idx="242">
                  <c:v>34.756683874201968</c:v>
                </c:pt>
                <c:pt idx="243">
                  <c:v>34.487715084974838</c:v>
                </c:pt>
                <c:pt idx="244">
                  <c:v>34.219313807641612</c:v>
                </c:pt>
                <c:pt idx="245">
                  <c:v>33.945551135954503</c:v>
                </c:pt>
                <c:pt idx="246">
                  <c:v>33.672381451864283</c:v>
                </c:pt>
                <c:pt idx="247">
                  <c:v>33.399804720814899</c:v>
                </c:pt>
                <c:pt idx="248">
                  <c:v>33.127820871020049</c:v>
                </c:pt>
                <c:pt idx="249">
                  <c:v>32.8498179037569</c:v>
                </c:pt>
                <c:pt idx="250">
                  <c:v>32.572436822395844</c:v>
                </c:pt>
                <c:pt idx="251">
                  <c:v>32.295677433047786</c:v>
                </c:pt>
                <c:pt idx="252">
                  <c:v>32.01953950403103</c:v>
                </c:pt>
                <c:pt idx="253">
                  <c:v>31.738198435006922</c:v>
                </c:pt>
                <c:pt idx="254">
                  <c:v>31.457504804422001</c:v>
                </c:pt>
                <c:pt idx="255">
                  <c:v>31.177458248563681</c:v>
                </c:pt>
                <c:pt idx="256">
                  <c:v>30.898058365951471</c:v>
                </c:pt>
                <c:pt idx="257">
                  <c:v>30.61209170464889</c:v>
                </c:pt>
                <c:pt idx="258">
                  <c:v>30.32680468242134</c:v>
                </c:pt>
                <c:pt idx="259">
                  <c:v>30.042196747130049</c:v>
                </c:pt>
                <c:pt idx="260">
                  <c:v>29.75826730832506</c:v>
                </c:pt>
                <c:pt idx="261">
                  <c:v>29.468586075396189</c:v>
                </c:pt>
                <c:pt idx="262">
                  <c:v>29.179613161943649</c:v>
                </c:pt>
                <c:pt idx="263">
                  <c:v>28.891347817528469</c:v>
                </c:pt>
                <c:pt idx="264">
                  <c:v>28.603789253483257</c:v>
                </c:pt>
                <c:pt idx="265">
                  <c:v>28.310570153080079</c:v>
                </c:pt>
                <c:pt idx="266">
                  <c:v>28.018087809604651</c:v>
                </c:pt>
                <c:pt idx="267">
                  <c:v>27.726341262543798</c:v>
                </c:pt>
                <c:pt idx="268">
                  <c:v>27.435329513483282</c:v>
                </c:pt>
                <c:pt idx="269">
                  <c:v>27.138049048522703</c:v>
                </c:pt>
                <c:pt idx="270">
                  <c:v>26.841537070166225</c:v>
                </c:pt>
                <c:pt idx="271">
                  <c:v>26.54579238831613</c:v>
                </c:pt>
                <c:pt idx="272">
                  <c:v>26.250813775204108</c:v>
                </c:pt>
                <c:pt idx="273">
                  <c:v>25.949670182550534</c:v>
                </c:pt>
                <c:pt idx="274">
                  <c:v>25.649326500283593</c:v>
                </c:pt>
                <c:pt idx="275">
                  <c:v>25.349781295393853</c:v>
                </c:pt>
                <c:pt idx="276">
                  <c:v>25.051033097728435</c:v>
                </c:pt>
                <c:pt idx="277">
                  <c:v>24.746910066849068</c:v>
                </c:pt>
                <c:pt idx="278">
                  <c:v>24.443614232324364</c:v>
                </c:pt>
                <c:pt idx="279">
                  <c:v>24.141143917420919</c:v>
                </c:pt>
                <c:pt idx="280">
                  <c:v>23.839497409419039</c:v>
                </c:pt>
                <c:pt idx="281">
                  <c:v>23.5305356360372</c:v>
                </c:pt>
                <c:pt idx="282">
                  <c:v>23.222439130069915</c:v>
                </c:pt>
                <c:pt idx="283">
                  <c:v>22.915205924122574</c:v>
                </c:pt>
                <c:pt idx="284">
                  <c:v>22.608834015329649</c:v>
                </c:pt>
                <c:pt idx="285">
                  <c:v>22.297286911383253</c:v>
                </c:pt>
                <c:pt idx="286">
                  <c:v>21.98663119996553</c:v>
                </c:pt>
                <c:pt idx="287">
                  <c:v>21.676864650078329</c:v>
                </c:pt>
                <c:pt idx="288">
                  <c:v>21.367984997039315</c:v>
                </c:pt>
                <c:pt idx="289">
                  <c:v>21.052036268117604</c:v>
                </c:pt>
                <c:pt idx="290">
                  <c:v>20.737015970951376</c:v>
                </c:pt>
                <c:pt idx="291">
                  <c:v>20.422921557400429</c:v>
                </c:pt>
                <c:pt idx="292">
                  <c:v>20.109750446899426</c:v>
                </c:pt>
                <c:pt idx="293">
                  <c:v>19.790295019672925</c:v>
                </c:pt>
                <c:pt idx="294">
                  <c:v>19.471800498488165</c:v>
                </c:pt>
                <c:pt idx="295">
                  <c:v>19.154264021909938</c:v>
                </c:pt>
                <c:pt idx="296">
                  <c:v>18.837682698004727</c:v>
                </c:pt>
                <c:pt idx="297">
                  <c:v>18.514935380478533</c:v>
                </c:pt>
                <c:pt idx="298">
                  <c:v>18.193180642639533</c:v>
                </c:pt>
                <c:pt idx="299">
                  <c:v>17.872415300952525</c:v>
                </c:pt>
                <c:pt idx="300">
                  <c:v>17.552636143678427</c:v>
                </c:pt>
                <c:pt idx="301">
                  <c:v>17.226809319534766</c:v>
                </c:pt>
                <c:pt idx="302">
                  <c:v>16.90200585794787</c:v>
                </c:pt>
                <c:pt idx="303">
                  <c:v>16.578222246173311</c:v>
                </c:pt>
                <c:pt idx="304">
                  <c:v>16.255454945916057</c:v>
                </c:pt>
                <c:pt idx="305">
                  <c:v>15.925495926430699</c:v>
                </c:pt>
                <c:pt idx="306">
                  <c:v>15.596598180338304</c:v>
                </c:pt>
                <c:pt idx="307">
                  <c:v>15.268757815627168</c:v>
                </c:pt>
                <c:pt idx="308">
                  <c:v>14.9419709173944</c:v>
                </c:pt>
                <c:pt idx="309">
                  <c:v>14.609380614357434</c:v>
                </c:pt>
                <c:pt idx="310">
                  <c:v>14.277880327768628</c:v>
                </c:pt>
                <c:pt idx="311">
                  <c:v>13.947465824272115</c:v>
                </c:pt>
                <c:pt idx="312">
                  <c:v>13.61813285102474</c:v>
                </c:pt>
                <c:pt idx="313">
                  <c:v>13.281884321657714</c:v>
                </c:pt>
                <c:pt idx="314">
                  <c:v>12.946761631778514</c:v>
                </c:pt>
                <c:pt idx="315">
                  <c:v>12.612760154355186</c:v>
                </c:pt>
                <c:pt idx="316">
                  <c:v>12.279875246354266</c:v>
                </c:pt>
                <c:pt idx="317">
                  <c:v>11.940216406802335</c:v>
                </c:pt>
                <c:pt idx="318">
                  <c:v>11.601718044348786</c:v>
                </c:pt>
                <c:pt idx="319">
                  <c:v>11.264375132539726</c:v>
                </c:pt>
                <c:pt idx="320">
                  <c:v>10.928182632826577</c:v>
                </c:pt>
                <c:pt idx="321">
                  <c:v>10.585357289289846</c:v>
                </c:pt>
                <c:pt idx="322">
                  <c:v>10.243725780358176</c:v>
                </c:pt>
                <c:pt idx="323">
                  <c:v>9.9032826766847677</c:v>
                </c:pt>
                <c:pt idx="324">
                  <c:v>9.564022541128395</c:v>
                </c:pt>
                <c:pt idx="325">
                  <c:v>9.2182698767081206</c:v>
                </c:pt>
                <c:pt idx="326">
                  <c:v>8.8737430397801234</c:v>
                </c:pt>
                <c:pt idx="327">
                  <c:v>8.5304361969024853</c:v>
                </c:pt>
                <c:pt idx="328">
                  <c:v>8.1883435114993404</c:v>
                </c:pt>
                <c:pt idx="329">
                  <c:v>7.8393159849262304</c:v>
                </c:pt>
                <c:pt idx="330">
                  <c:v>7.4915490350367406</c:v>
                </c:pt>
                <c:pt idx="331">
                  <c:v>7.1450363939835597</c:v>
                </c:pt>
                <c:pt idx="332">
                  <c:v>6.7997717957877626</c:v>
                </c:pt>
                <c:pt idx="333">
                  <c:v>6.4482964268082981</c:v>
                </c:pt>
                <c:pt idx="334">
                  <c:v>6.0981106480943197</c:v>
                </c:pt>
                <c:pt idx="335">
                  <c:v>5.7492077906706243</c:v>
                </c:pt>
                <c:pt idx="336">
                  <c:v>5.4015811927393713</c:v>
                </c:pt>
                <c:pt idx="337">
                  <c:v>5.0467509428358142</c:v>
                </c:pt>
                <c:pt idx="338">
                  <c:v>4.6932461529189027</c:v>
                </c:pt>
                <c:pt idx="339">
                  <c:v>4.341059690299943</c:v>
                </c:pt>
                <c:pt idx="340">
                  <c:v>3.9901844351841476</c:v>
                </c:pt>
                <c:pt idx="341">
                  <c:v>3.6322662494291649</c:v>
                </c:pt>
                <c:pt idx="342">
                  <c:v>3.2757076974833126</c:v>
                </c:pt>
                <c:pt idx="343">
                  <c:v>2.9205011855735847</c:v>
                </c:pt>
                <c:pt idx="344">
                  <c:v>2.5666391388768091</c:v>
                </c:pt>
                <c:pt idx="345">
                  <c:v>2.2064413767497797</c:v>
                </c:pt>
                <c:pt idx="346">
                  <c:v>1.8476314313602984</c:v>
                </c:pt>
                <c:pt idx="347">
                  <c:v>1.4902012896470467</c:v>
                </c:pt>
                <c:pt idx="348">
                  <c:v>1.1341429636852354</c:v>
                </c:pt>
                <c:pt idx="349">
                  <c:v>0.77081437809815156</c:v>
                </c:pt>
                <c:pt idx="350">
                  <c:v>0.40890845822568167</c:v>
                </c:pt>
                <c:pt idx="351">
                  <c:v>4.8416705776816116E-2</c:v>
                </c:pt>
                <c:pt idx="352">
                  <c:v>-0.31066934567928683</c:v>
                </c:pt>
                <c:pt idx="353">
                  <c:v>-0.67685756835194866</c:v>
                </c:pt>
                <c:pt idx="354">
                  <c:v>-1.0415902088055589</c:v>
                </c:pt>
                <c:pt idx="355">
                  <c:v>-1.4048762430190322</c:v>
                </c:pt>
                <c:pt idx="356">
                  <c:v>-1.76672460814018</c:v>
                </c:pt>
                <c:pt idx="357">
                  <c:v>-2.1349863386827224</c:v>
                </c:pt>
                <c:pt idx="358">
                  <c:v>-2.5017657657766392</c:v>
                </c:pt>
                <c:pt idx="359">
                  <c:v>-2.867072293045851</c:v>
                </c:pt>
                <c:pt idx="360">
                  <c:v>-3.2309152783929278</c:v>
                </c:pt>
                <c:pt idx="361">
                  <c:v>-3.6020494151247817</c:v>
                </c:pt>
                <c:pt idx="362">
                  <c:v>-3.9716680903284782</c:v>
                </c:pt>
                <c:pt idx="363">
                  <c:v>-4.3397812035878189</c:v>
                </c:pt>
                <c:pt idx="364">
                  <c:v>-4.7063986012342127</c:v>
                </c:pt>
                <c:pt idx="365">
                  <c:v>-5.0796273060011288</c:v>
                </c:pt>
                <c:pt idx="366">
                  <c:v>-5.4513137136813157</c:v>
                </c:pt>
                <c:pt idx="367">
                  <c:v>-5.8214681653357729</c:v>
                </c:pt>
                <c:pt idx="368">
                  <c:v>-6.190100941448776</c:v>
                </c:pt>
                <c:pt idx="369">
                  <c:v>-6.56618192348094</c:v>
                </c:pt>
                <c:pt idx="370">
                  <c:v>-6.9406875359101718</c:v>
                </c:pt>
                <c:pt idx="371">
                  <c:v>-7.3136286312666812</c:v>
                </c:pt>
                <c:pt idx="372">
                  <c:v>-7.6850159934638214</c:v>
                </c:pt>
                <c:pt idx="373">
                  <c:v>-8.0631812989244054</c:v>
                </c:pt>
                <c:pt idx="374">
                  <c:v>-8.4397446036587098</c:v>
                </c:pt>
                <c:pt idx="375">
                  <c:v>-8.8147172128295779</c:v>
                </c:pt>
                <c:pt idx="376">
                  <c:v>-9.188110355279747</c:v>
                </c:pt>
                <c:pt idx="377">
                  <c:v>-9.5690784757548499</c:v>
                </c:pt>
                <c:pt idx="378">
                  <c:v>-9.9484119458558098</c:v>
                </c:pt>
                <c:pt idx="379">
                  <c:v>-10.326122594632835</c:v>
                </c:pt>
                <c:pt idx="380">
                  <c:v>-10.702222166333257</c:v>
                </c:pt>
                <c:pt idx="381">
                  <c:v>-11.084763691049403</c:v>
                </c:pt>
                <c:pt idx="382">
                  <c:v>-11.465648558353877</c:v>
                </c:pt>
                <c:pt idx="383">
                  <c:v>-11.844889012774587</c:v>
                </c:pt>
                <c:pt idx="384">
                  <c:v>-12.222497206492136</c:v>
                </c:pt>
                <c:pt idx="385">
                  <c:v>-12.607782893671157</c:v>
                </c:pt>
                <c:pt idx="386">
                  <c:v>-12.991379955825664</c:v>
                </c:pt>
                <c:pt idx="387">
                  <c:v>-13.37330117020079</c:v>
                </c:pt>
                <c:pt idx="388">
                  <c:v>-13.753559212888831</c:v>
                </c:pt>
                <c:pt idx="389">
                  <c:v>-14.14084571891371</c:v>
                </c:pt>
                <c:pt idx="390">
                  <c:v>-14.526418266313613</c:v>
                </c:pt>
                <c:pt idx="391">
                  <c:v>-14.91029009843524</c:v>
                </c:pt>
                <c:pt idx="392">
                  <c:v>-15.292474349279274</c:v>
                </c:pt>
                <c:pt idx="393">
                  <c:v>-15.681510643702211</c:v>
                </c:pt>
                <c:pt idx="394">
                  <c:v>-16.068810125772444</c:v>
                </c:pt>
                <c:pt idx="395">
                  <c:v>-16.454386482919261</c:v>
                </c:pt>
                <c:pt idx="396">
                  <c:v>-16.83825328524631</c:v>
                </c:pt>
                <c:pt idx="397">
                  <c:v>-17.229681142565738</c:v>
                </c:pt>
                <c:pt idx="398">
                  <c:v>-17.619343875271824</c:v>
                </c:pt>
                <c:pt idx="399">
                  <c:v>-18.007255687432689</c:v>
                </c:pt>
                <c:pt idx="400">
                  <c:v>-18.3934306569505</c:v>
                </c:pt>
                <c:pt idx="401">
                  <c:v>-18.786541336059656</c:v>
                </c:pt>
                <c:pt idx="402">
                  <c:v>-19.177865248122657</c:v>
                </c:pt>
                <c:pt idx="403">
                  <c:v>-19.567417042267493</c:v>
                </c:pt>
                <c:pt idx="404">
                  <c:v>-19.955211233442611</c:v>
                </c:pt>
                <c:pt idx="405">
                  <c:v>-20.350189847752716</c:v>
                </c:pt>
                <c:pt idx="406">
                  <c:v>-20.74335875421059</c:v>
                </c:pt>
                <c:pt idx="407">
                  <c:v>-21.134733071173144</c:v>
                </c:pt>
                <c:pt idx="408">
                  <c:v>-21.524327774525403</c:v>
                </c:pt>
                <c:pt idx="409">
                  <c:v>-21.921340543480767</c:v>
                </c:pt>
                <c:pt idx="410">
                  <c:v>-22.316519537777026</c:v>
                </c:pt>
                <c:pt idx="411">
                  <c:v>-22.709880368995641</c:v>
                </c:pt>
                <c:pt idx="412">
                  <c:v>-23.101438497661377</c:v>
                </c:pt>
                <c:pt idx="413">
                  <c:v>-23.500223939039074</c:v>
                </c:pt>
                <c:pt idx="414">
                  <c:v>-23.897154395808286</c:v>
                </c:pt>
                <c:pt idx="415">
                  <c:v>-24.292245947034559</c:v>
                </c:pt>
                <c:pt idx="416">
                  <c:v>-24.68551451249661</c:v>
                </c:pt>
                <c:pt idx="417">
                  <c:v>-25.086226585216622</c:v>
                </c:pt>
                <c:pt idx="418">
                  <c:v>-25.485061544004282</c:v>
                </c:pt>
                <c:pt idx="419">
                  <c:v>-25.882035958763197</c:v>
                </c:pt>
                <c:pt idx="420">
                  <c:v>-26.277166231607112</c:v>
                </c:pt>
                <c:pt idx="421">
                  <c:v>-26.679152926830255</c:v>
                </c:pt>
                <c:pt idx="422">
                  <c:v>-27.079247067855221</c:v>
                </c:pt>
                <c:pt idx="423">
                  <c:v>-27.477465638466441</c:v>
                </c:pt>
                <c:pt idx="424">
                  <c:v>-27.873825447255797</c:v>
                </c:pt>
                <c:pt idx="425">
                  <c:v>-28.278027668544098</c:v>
                </c:pt>
                <c:pt idx="426">
                  <c:v>-28.680313698954706</c:v>
                </c:pt>
                <c:pt idx="427">
                  <c:v>-29.080701059506708</c:v>
                </c:pt>
                <c:pt idx="428">
                  <c:v>-29.479207086990272</c:v>
                </c:pt>
                <c:pt idx="429">
                  <c:v>-29.884971567682214</c:v>
                </c:pt>
                <c:pt idx="430">
                  <c:v>-30.288803096244749</c:v>
                </c:pt>
                <c:pt idx="431">
                  <c:v>-30.690719652236851</c:v>
                </c:pt>
                <c:pt idx="432">
                  <c:v>-31.090739023108455</c:v>
                </c:pt>
                <c:pt idx="433">
                  <c:v>-31.497829450625602</c:v>
                </c:pt>
                <c:pt idx="434">
                  <c:v>-31.902973233694524</c:v>
                </c:pt>
                <c:pt idx="435">
                  <c:v>-32.306188782177543</c:v>
                </c:pt>
                <c:pt idx="436">
                  <c:v>-32.707494306439969</c:v>
                </c:pt>
                <c:pt idx="437">
                  <c:v>-33.116420885521848</c:v>
                </c:pt>
                <c:pt idx="438">
                  <c:v>-33.523383154310011</c:v>
                </c:pt>
                <c:pt idx="439">
                  <c:v>-33.928400025831849</c:v>
                </c:pt>
                <c:pt idx="440">
                  <c:v>-34.331490205268295</c:v>
                </c:pt>
                <c:pt idx="441">
                  <c:v>-34.742004489931276</c:v>
                </c:pt>
                <c:pt idx="442">
                  <c:v>-35.15054015783457</c:v>
                </c:pt>
                <c:pt idx="443">
                  <c:v>-35.55711659576022</c:v>
                </c:pt>
                <c:pt idx="444">
                  <c:v>-35.961752974813237</c:v>
                </c:pt>
                <c:pt idx="445">
                  <c:v>-36.373622698993188</c:v>
                </c:pt>
                <c:pt idx="446">
                  <c:v>-36.783502829345906</c:v>
                </c:pt>
                <c:pt idx="447">
                  <c:v>-37.19141319699628</c:v>
                </c:pt>
                <c:pt idx="448">
                  <c:v>-37.597373410106371</c:v>
                </c:pt>
                <c:pt idx="449">
                  <c:v>-38.011073235108995</c:v>
                </c:pt>
                <c:pt idx="450">
                  <c:v>-38.422769113632285</c:v>
                </c:pt>
                <c:pt idx="451">
                  <c:v>-38.832481393384683</c:v>
                </c:pt>
                <c:pt idx="452">
                  <c:v>-39.240230190855272</c:v>
                </c:pt>
                <c:pt idx="453">
                  <c:v>-39.655181915788262</c:v>
                </c:pt>
                <c:pt idx="454">
                  <c:v>-40.068122251126738</c:v>
                </c:pt>
                <c:pt idx="455">
                  <c:v>-40.479071979876636</c:v>
                </c:pt>
                <c:pt idx="456">
                  <c:v>-40.888051646923913</c:v>
                </c:pt>
                <c:pt idx="457">
                  <c:v>-41.304717509308858</c:v>
                </c:pt>
                <c:pt idx="458">
                  <c:v>-41.719361520080838</c:v>
                </c:pt>
                <c:pt idx="459">
                  <c:v>-42.132004969591179</c:v>
                </c:pt>
                <c:pt idx="460">
                  <c:v>-42.542668902208504</c:v>
                </c:pt>
                <c:pt idx="461">
                  <c:v>-42.960825437364406</c:v>
                </c:pt>
                <c:pt idx="462">
                  <c:v>-43.376953416808362</c:v>
                </c:pt>
                <c:pt idx="463">
                  <c:v>-43.791074607552957</c:v>
                </c:pt>
                <c:pt idx="464">
                  <c:v>-44.203210523388748</c:v>
                </c:pt>
                <c:pt idx="465">
                  <c:v>-44.622972448224147</c:v>
                </c:pt>
                <c:pt idx="466">
                  <c:v>-45.040699748819094</c:v>
                </c:pt>
                <c:pt idx="467">
                  <c:v>-45.456414689316347</c:v>
                </c:pt>
                <c:pt idx="468">
                  <c:v>-45.870139273253329</c:v>
                </c:pt>
                <c:pt idx="469">
                  <c:v>-46.291301886563389</c:v>
                </c:pt>
                <c:pt idx="470">
                  <c:v>-46.710427694183039</c:v>
                </c:pt>
                <c:pt idx="471">
                  <c:v>-47.127539426897556</c:v>
                </c:pt>
                <c:pt idx="472">
                  <c:v>-47.542659548174328</c:v>
                </c:pt>
                <c:pt idx="473">
                  <c:v>-47.965652648704406</c:v>
                </c:pt>
                <c:pt idx="474">
                  <c:v>-48.386604701014278</c:v>
                </c:pt>
                <c:pt idx="475">
                  <c:v>-48.805538973882079</c:v>
                </c:pt>
                <c:pt idx="476">
                  <c:v>-49.222478461163263</c:v>
                </c:pt>
                <c:pt idx="477">
                  <c:v>-49.647101073950154</c:v>
                </c:pt>
                <c:pt idx="478">
                  <c:v>-50.069682622187116</c:v>
                </c:pt>
                <c:pt idx="479">
                  <c:v>-50.490246881898258</c:v>
                </c:pt>
                <c:pt idx="480">
                  <c:v>-50.90881734732065</c:v>
                </c:pt>
                <c:pt idx="481">
                  <c:v>-51.334889602100844</c:v>
                </c:pt>
                <c:pt idx="482">
                  <c:v>-51.758924974655599</c:v>
                </c:pt>
                <c:pt idx="483">
                  <c:v>-52.180947718560702</c:v>
                </c:pt>
                <c:pt idx="484">
                  <c:v>-52.600981799512169</c:v>
                </c:pt>
                <c:pt idx="485">
                  <c:v>-53.028635426895534</c:v>
                </c:pt>
                <c:pt idx="486">
                  <c:v>-53.454257775020523</c:v>
                </c:pt>
                <c:pt idx="487">
                  <c:v>-53.8778735969195</c:v>
                </c:pt>
                <c:pt idx="488">
                  <c:v>-54.299507351657326</c:v>
                </c:pt>
                <c:pt idx="489">
                  <c:v>-54.72915861112088</c:v>
                </c:pt>
                <c:pt idx="490">
                  <c:v>-55.156783195604532</c:v>
                </c:pt>
                <c:pt idx="491">
                  <c:v>-55.582406430085541</c:v>
                </c:pt>
                <c:pt idx="492">
                  <c:v>-56.006053338752906</c:v>
                </c:pt>
                <c:pt idx="493">
                  <c:v>-56.437538998881081</c:v>
                </c:pt>
                <c:pt idx="494">
                  <c:v>-56.867007352756957</c:v>
                </c:pt>
                <c:pt idx="495">
                  <c:v>-57.294484269221527</c:v>
                </c:pt>
                <c:pt idx="496">
                  <c:v>-57.719995310433092</c:v>
                </c:pt>
                <c:pt idx="497">
                  <c:v>-58.153450791552359</c:v>
                </c:pt>
                <c:pt idx="498">
                  <c:v>-58.584900561430828</c:v>
                </c:pt>
                <c:pt idx="499">
                  <c:v>-59.014371056797785</c:v>
                </c:pt>
                <c:pt idx="500">
                  <c:v>-59.44188840199547</c:v>
                </c:pt>
                <c:pt idx="501">
                  <c:v>-59.87745343953415</c:v>
                </c:pt>
                <c:pt idx="502">
                  <c:v>-60.311026879721936</c:v>
                </c:pt>
                <c:pt idx="503">
                  <c:v>-60.742635752605167</c:v>
                </c:pt>
                <c:pt idx="504">
                  <c:v>-61.172306770405044</c:v>
                </c:pt>
                <c:pt idx="505">
                  <c:v>-61.609862403138891</c:v>
                </c:pt>
                <c:pt idx="506">
                  <c:v>-62.045445755466403</c:v>
                </c:pt>
                <c:pt idx="507">
                  <c:v>-62.479084428095774</c:v>
                </c:pt>
                <c:pt idx="508">
                  <c:v>-62.910805699598853</c:v>
                </c:pt>
                <c:pt idx="509">
                  <c:v>-63.350519598722457</c:v>
                </c:pt>
                <c:pt idx="510">
                  <c:v>-63.788283461211989</c:v>
                </c:pt>
                <c:pt idx="511">
                  <c:v>-64.224125488971708</c:v>
                </c:pt>
                <c:pt idx="512">
                  <c:v>-64.658073557885018</c:v>
                </c:pt>
                <c:pt idx="513">
                  <c:v>-65.100377767753486</c:v>
                </c:pt>
                <c:pt idx="514">
                  <c:v>-65.540755240368185</c:v>
                </c:pt>
                <c:pt idx="515">
                  <c:v>-65.979234862130653</c:v>
                </c:pt>
                <c:pt idx="516">
                  <c:v>-66.415845189314552</c:v>
                </c:pt>
                <c:pt idx="517">
                  <c:v>-66.860662794602575</c:v>
                </c:pt>
                <c:pt idx="518">
                  <c:v>-67.303582962793655</c:v>
                </c:pt>
                <c:pt idx="519">
                  <c:v>-67.744635251213111</c:v>
                </c:pt>
                <c:pt idx="520">
                  <c:v>-68.183848884389676</c:v>
                </c:pt>
                <c:pt idx="521">
                  <c:v>-68.631380663402496</c:v>
                </c:pt>
                <c:pt idx="522">
                  <c:v>-69.077048337883753</c:v>
                </c:pt>
                <c:pt idx="523">
                  <c:v>-69.520882177590238</c:v>
                </c:pt>
                <c:pt idx="524">
                  <c:v>-69.962912117608454</c:v>
                </c:pt>
                <c:pt idx="525">
                  <c:v>-70.413374091421957</c:v>
                </c:pt>
                <c:pt idx="526">
                  <c:v>-70.862009752815538</c:v>
                </c:pt>
                <c:pt idx="527">
                  <c:v>-71.308850130815642</c:v>
                </c:pt>
                <c:pt idx="528">
                  <c:v>-71.753925918853469</c:v>
                </c:pt>
                <c:pt idx="529">
                  <c:v>-72.207551796722782</c:v>
                </c:pt>
                <c:pt idx="530">
                  <c:v>-72.659394078669635</c:v>
                </c:pt>
                <c:pt idx="531">
                  <c:v>-73.109484606207843</c:v>
                </c:pt>
                <c:pt idx="532">
                  <c:v>-73.557854885452429</c:v>
                </c:pt>
                <c:pt idx="533">
                  <c:v>-74.01513420781933</c:v>
                </c:pt>
                <c:pt idx="534">
                  <c:v>-74.470676308319241</c:v>
                </c:pt>
                <c:pt idx="535">
                  <c:v>-74.924513952183673</c:v>
                </c:pt>
                <c:pt idx="536">
                  <c:v>-75.376679570071161</c:v>
                </c:pt>
                <c:pt idx="537">
                  <c:v>-75.837415130324786</c:v>
                </c:pt>
                <c:pt idx="538">
                  <c:v>-76.296469453921191</c:v>
                </c:pt>
                <c:pt idx="539">
                  <c:v>-76.753876197998864</c:v>
                </c:pt>
                <c:pt idx="540">
                  <c:v>-77.209668688856084</c:v>
                </c:pt>
                <c:pt idx="541">
                  <c:v>-77.674631908006234</c:v>
                </c:pt>
                <c:pt idx="542">
                  <c:v>-78.137973060899014</c:v>
                </c:pt>
                <c:pt idx="543">
                  <c:v>-78.599726879006994</c:v>
                </c:pt>
                <c:pt idx="544">
                  <c:v>-79.059927767120143</c:v>
                </c:pt>
                <c:pt idx="545">
                  <c:v>-79.529217049970555</c:v>
                </c:pt>
                <c:pt idx="546">
                  <c:v>-79.996952484419637</c:v>
                </c:pt>
                <c:pt idx="547">
                  <c:v>-80.463169917444418</c:v>
                </c:pt>
                <c:pt idx="548">
                  <c:v>-80.927904876198227</c:v>
                </c:pt>
                <c:pt idx="549">
                  <c:v>-81.401887592515322</c:v>
                </c:pt>
                <c:pt idx="550">
                  <c:v>-81.874392740637063</c:v>
                </c:pt>
                <c:pt idx="551">
                  <c:v>-82.345457389784599</c:v>
                </c:pt>
                <c:pt idx="552">
                  <c:v>-82.815118298523373</c:v>
                </c:pt>
                <c:pt idx="553">
                  <c:v>-83.294419607978284</c:v>
                </c:pt>
                <c:pt idx="554">
                  <c:v>-83.772327279665092</c:v>
                </c:pt>
                <c:pt idx="555">
                  <c:v>-84.248879780983316</c:v>
                </c:pt>
                <c:pt idx="556">
                  <c:v>-84.724115279918465</c:v>
                </c:pt>
                <c:pt idx="557">
                  <c:v>-85.692935534301853</c:v>
                </c:pt>
                <c:pt idx="558">
                  <c:v>-86.656717383636305</c:v>
                </c:pt>
                <c:pt idx="559">
                  <c:v>-87.637707613459952</c:v>
                </c:pt>
                <c:pt idx="560">
                  <c:v>-88.614091609695777</c:v>
                </c:pt>
                <c:pt idx="561">
                  <c:v>-89.609214334722196</c:v>
                </c:pt>
                <c:pt idx="562">
                  <c:v>-90.600205579642761</c:v>
                </c:pt>
                <c:pt idx="563">
                  <c:v>-91.608557069922654</c:v>
                </c:pt>
                <c:pt idx="564">
                  <c:v>-92.613323776524908</c:v>
                </c:pt>
                <c:pt idx="565">
                  <c:v>-93.640077576247052</c:v>
                </c:pt>
                <c:pt idx="566">
                  <c:v>-94.663829438814901</c:v>
                </c:pt>
                <c:pt idx="567">
                  <c:v>-95.710042404207513</c:v>
                </c:pt>
                <c:pt idx="568">
                  <c:v>-96.753915028452582</c:v>
                </c:pt>
                <c:pt idx="569">
                  <c:v>-97.816675651920775</c:v>
                </c:pt>
                <c:pt idx="570">
                  <c:v>-98.877853440811123</c:v>
                </c:pt>
                <c:pt idx="571">
                  <c:v>-99.966962080848532</c:v>
                </c:pt>
                <c:pt idx="572">
                  <c:v>-101.05531267539601</c:v>
                </c:pt>
                <c:pt idx="573">
                  <c:v>-102.16413037161976</c:v>
                </c:pt>
                <c:pt idx="574">
                  <c:v>-103.27312592949949</c:v>
                </c:pt>
                <c:pt idx="575">
                  <c:v>-104.41189121176347</c:v>
                </c:pt>
                <c:pt idx="576">
                  <c:v>-105.5518815043884</c:v>
                </c:pt>
                <c:pt idx="577">
                  <c:v>-110.40381293866949</c:v>
                </c:pt>
                <c:pt idx="578">
                  <c:v>-115.32729825366516</c:v>
                </c:pt>
                <c:pt idx="579">
                  <c:v>-126.56616690677487</c:v>
                </c:pt>
                <c:pt idx="580">
                  <c:v>-140.03194448108195</c:v>
                </c:pt>
                <c:pt idx="581">
                  <c:v>-156.69567252889999</c:v>
                </c:pt>
                <c:pt idx="582">
                  <c:v>-177.35980302687892</c:v>
                </c:pt>
                <c:pt idx="583">
                  <c:v>-21.280649406778963</c:v>
                </c:pt>
                <c:pt idx="584">
                  <c:v>-45.458440365653843</c:v>
                </c:pt>
                <c:pt idx="585">
                  <c:v>-67.061272609613098</c:v>
                </c:pt>
                <c:pt idx="586">
                  <c:v>-85.867074817728223</c:v>
                </c:pt>
                <c:pt idx="587">
                  <c:v>-103.57778155892686</c:v>
                </c:pt>
                <c:pt idx="588">
                  <c:v>-123.07871624210804</c:v>
                </c:pt>
                <c:pt idx="589">
                  <c:v>-149.40929517473603</c:v>
                </c:pt>
                <c:pt idx="590">
                  <c:v>-189.01231614882528</c:v>
                </c:pt>
                <c:pt idx="591">
                  <c:v>-53.353340576449568</c:v>
                </c:pt>
                <c:pt idx="592">
                  <c:v>-87.040712742807386</c:v>
                </c:pt>
                <c:pt idx="593">
                  <c:v>-116.8103594584212</c:v>
                </c:pt>
                <c:pt idx="594">
                  <c:v>-159.68493450688334</c:v>
                </c:pt>
                <c:pt idx="595">
                  <c:v>-45.171150618627991</c:v>
                </c:pt>
                <c:pt idx="596">
                  <c:v>-93.271105987192357</c:v>
                </c:pt>
                <c:pt idx="597">
                  <c:v>-140.55125044192806</c:v>
                </c:pt>
                <c:pt idx="598">
                  <c:v>-43.736033980160784</c:v>
                </c:pt>
                <c:pt idx="599">
                  <c:v>-104.18397401438125</c:v>
                </c:pt>
                <c:pt idx="600">
                  <c:v>-184.37343628152058</c:v>
                </c:pt>
              </c:numCache>
            </c:numRef>
          </c:yVal>
          <c:smooth val="0"/>
          <c:extLst>
            <c:ext xmlns:c16="http://schemas.microsoft.com/office/drawing/2014/chart" uri="{C3380CC4-5D6E-409C-BE32-E72D297353CC}">
              <c16:uniqueId val="{00000001-09BC-4E96-93F9-6DC345568360}"/>
            </c:ext>
          </c:extLst>
        </c:ser>
        <c:ser>
          <c:idx val="2"/>
          <c:order val="2"/>
          <c:tx>
            <c:v>PM (Deg) =</c:v>
          </c:tx>
          <c:marker>
            <c:symbol val="circle"/>
            <c:size val="5"/>
            <c:spPr>
              <a:solidFill>
                <a:schemeClr val="bg1"/>
              </a:solidFill>
              <a:ln>
                <a:solidFill>
                  <a:srgbClr val="FF0000"/>
                </a:solidFill>
              </a:ln>
            </c:spPr>
          </c:marker>
          <c:dLbls>
            <c:dLbl>
              <c:idx val="0"/>
              <c:layout>
                <c:manualLayout>
                  <c:x val="3.2895277882859918E-2"/>
                  <c:y val="-5.3973971795837287E-2"/>
                </c:manualLayout>
              </c:layout>
              <c:spPr>
                <a:noFill/>
                <a:ln>
                  <a:noFill/>
                </a:ln>
                <a:effectLst/>
              </c:spPr>
              <c:txPr>
                <a:bodyPr wrap="square" lIns="38100" tIns="19050" rIns="38100" bIns="19050" anchor="ctr" anchorCtr="0">
                  <a:noAutofit/>
                </a:bodyPr>
                <a:lstStyle/>
                <a:p>
                  <a:pPr algn="l">
                    <a:defRPr sz="1000" b="1">
                      <a:solidFill>
                        <a:srgbClr val="33CC33"/>
                      </a:solidFill>
                    </a:defRPr>
                  </a:pPr>
                  <a:endParaRPr lang="en-US"/>
                </a:p>
              </c:txPr>
              <c:dLblPos val="r"/>
              <c:showLegendKey val="0"/>
              <c:showVal val="1"/>
              <c:showCatName val="0"/>
              <c:showSerName val="1"/>
              <c:showPercent val="0"/>
              <c:showBubbleSize val="0"/>
              <c:separator> </c:separator>
              <c:extLst>
                <c:ext xmlns:c15="http://schemas.microsoft.com/office/drawing/2012/chart" uri="{CE6537A1-D6FC-4f65-9D91-7224C49458BB}">
                  <c15:layout>
                    <c:manualLayout>
                      <c:w val="0.23551374200233557"/>
                      <c:h val="7.5563560514172207E-2"/>
                    </c:manualLayout>
                  </c15:layout>
                </c:ext>
                <c:ext xmlns:c16="http://schemas.microsoft.com/office/drawing/2014/chart" uri="{C3380CC4-5D6E-409C-BE32-E72D297353CC}">
                  <c16:uniqueId val="{00000006-09BC-4E96-93F9-6DC345568360}"/>
                </c:ext>
              </c:extLst>
            </c:dLbl>
            <c:spPr>
              <a:noFill/>
              <a:ln>
                <a:noFill/>
              </a:ln>
              <a:effectLst/>
            </c:spPr>
            <c:txPr>
              <a:bodyPr wrap="square" lIns="38100" tIns="19050" rIns="38100" bIns="19050" anchor="ctr" anchorCtr="0">
                <a:spAutoFit/>
              </a:bodyPr>
              <a:lstStyle/>
              <a:p>
                <a:pPr algn="l">
                  <a:defRPr sz="1000" b="0">
                    <a:solidFill>
                      <a:srgbClr val="33CC33"/>
                    </a:solidFill>
                  </a:defRPr>
                </a:pPr>
                <a:endParaRPr lang="en-US"/>
              </a:p>
            </c:txPr>
            <c:dLblPos val="r"/>
            <c:showLegendKey val="0"/>
            <c:showVal val="1"/>
            <c:showCatName val="1"/>
            <c:showSerName val="0"/>
            <c:showPercent val="0"/>
            <c:showBubbleSize val="0"/>
            <c:separator>  (space) "deg"</c:separator>
            <c:showLeaderLines val="0"/>
            <c:extLst>
              <c:ext xmlns:c15="http://schemas.microsoft.com/office/drawing/2012/chart" uri="{CE6537A1-D6FC-4f65-9D91-7224C49458BB}">
                <c15:showLeaderLines val="1"/>
              </c:ext>
            </c:extLst>
          </c:dLbls>
          <c:xVal>
            <c:numRef>
              <c:f>'Stability Calculations'!$AL$7</c:f>
              <c:numCache>
                <c:formatCode>0</c:formatCode>
                <c:ptCount val="1"/>
                <c:pt idx="0">
                  <c:v>7244.4</c:v>
                </c:pt>
              </c:numCache>
            </c:numRef>
          </c:xVal>
          <c:yVal>
            <c:numRef>
              <c:f>'Stability Calculations'!$AL$9</c:f>
              <c:numCache>
                <c:formatCode>0.0</c:formatCode>
                <c:ptCount val="1"/>
                <c:pt idx="0">
                  <c:v>62.168876512939079</c:v>
                </c:pt>
              </c:numCache>
            </c:numRef>
          </c:yVal>
          <c:smooth val="0"/>
          <c:extLst>
            <c:ext xmlns:c16="http://schemas.microsoft.com/office/drawing/2014/chart" uri="{C3380CC4-5D6E-409C-BE32-E72D297353CC}">
              <c16:uniqueId val="{00000004-09BC-4E96-93F9-6DC345568360}"/>
            </c:ext>
          </c:extLst>
        </c:ser>
        <c:ser>
          <c:idx val="3"/>
          <c:order val="3"/>
          <c:tx>
            <c:v>Fco (Hz)=</c:v>
          </c:tx>
          <c:marker>
            <c:symbol val="none"/>
          </c:marker>
          <c:dPt>
            <c:idx val="0"/>
            <c:marker>
              <c:symbol val="circle"/>
              <c:size val="5"/>
              <c:spPr>
                <a:solidFill>
                  <a:schemeClr val="bg1"/>
                </a:solidFill>
                <a:ln>
                  <a:solidFill>
                    <a:schemeClr val="tx1"/>
                  </a:solidFill>
                </a:ln>
              </c:spPr>
            </c:marker>
            <c:bubble3D val="0"/>
            <c:extLst>
              <c:ext xmlns:c16="http://schemas.microsoft.com/office/drawing/2014/chart" uri="{C3380CC4-5D6E-409C-BE32-E72D297353CC}">
                <c16:uniqueId val="{00000008-09BC-4E96-93F9-6DC345568360}"/>
              </c:ext>
            </c:extLst>
          </c:dPt>
          <c:dLbls>
            <c:dLbl>
              <c:idx val="0"/>
              <c:layout>
                <c:manualLayout>
                  <c:x val="3.6176644338231929E-2"/>
                  <c:y val="-5.1275211005060661E-2"/>
                </c:manualLayout>
              </c:layout>
              <c:dLblPos val="r"/>
              <c:showLegendKey val="0"/>
              <c:showVal val="0"/>
              <c:showCatName val="1"/>
              <c:showSerName val="1"/>
              <c:showPercent val="0"/>
              <c:showBubbleSize val="0"/>
              <c:separator> </c:separator>
              <c:extLst>
                <c:ext xmlns:c15="http://schemas.microsoft.com/office/drawing/2012/chart" uri="{CE6537A1-D6FC-4f65-9D91-7224C49458BB}">
                  <c15:layout>
                    <c:manualLayout>
                      <c:w val="0.24163848119031853"/>
                      <c:h val="7.3223374089614143E-2"/>
                    </c:manualLayout>
                  </c15:layout>
                </c:ext>
                <c:ext xmlns:c16="http://schemas.microsoft.com/office/drawing/2014/chart" uri="{C3380CC4-5D6E-409C-BE32-E72D297353CC}">
                  <c16:uniqueId val="{00000008-09BC-4E96-93F9-6DC345568360}"/>
                </c:ext>
              </c:extLst>
            </c:dLbl>
            <c:spPr>
              <a:noFill/>
              <a:ln>
                <a:noFill/>
              </a:ln>
              <a:effectLst/>
            </c:spPr>
            <c:txPr>
              <a:bodyPr wrap="square" lIns="38100" tIns="19050" rIns="38100" bIns="19050" anchor="ctr" anchorCtr="0">
                <a:spAutoFit/>
              </a:bodyPr>
              <a:lstStyle/>
              <a:p>
                <a:pPr algn="l">
                  <a:defRPr sz="1000" b="1">
                    <a:solidFill>
                      <a:srgbClr val="33CC33"/>
                    </a:solidFill>
                  </a:defRPr>
                </a:pPr>
                <a:endParaRPr lang="en-US"/>
              </a:p>
            </c:txPr>
            <c:dLblPos val="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xVal>
            <c:numRef>
              <c:f>'Stability Calculations'!$AL$7</c:f>
              <c:numCache>
                <c:formatCode>0</c:formatCode>
                <c:ptCount val="1"/>
                <c:pt idx="0">
                  <c:v>7244.4</c:v>
                </c:pt>
              </c:numCache>
            </c:numRef>
          </c:xVal>
          <c:yVal>
            <c:numRef>
              <c:f>'Stability Calculations'!$AL$8</c:f>
              <c:numCache>
                <c:formatCode>General</c:formatCode>
                <c:ptCount val="1"/>
                <c:pt idx="0">
                  <c:v>0</c:v>
                </c:pt>
              </c:numCache>
            </c:numRef>
          </c:yVal>
          <c:smooth val="0"/>
          <c:extLst>
            <c:ext xmlns:c16="http://schemas.microsoft.com/office/drawing/2014/chart" uri="{C3380CC4-5D6E-409C-BE32-E72D297353CC}">
              <c16:uniqueId val="{00000007-09BC-4E96-93F9-6DC345568360}"/>
            </c:ext>
          </c:extLst>
        </c:ser>
        <c:dLbls>
          <c:dLblPos val="r"/>
          <c:showLegendKey val="0"/>
          <c:showVal val="1"/>
          <c:showCatName val="1"/>
          <c:showSerName val="0"/>
          <c:showPercent val="0"/>
          <c:showBubbleSize val="0"/>
        </c:dLbls>
        <c:axId val="446584704"/>
        <c:axId val="446586240"/>
      </c:scatterChart>
      <c:valAx>
        <c:axId val="446572416"/>
        <c:scaling>
          <c:logBase val="10"/>
          <c:orientation val="minMax"/>
          <c:max val="1000000"/>
          <c:min val="100"/>
        </c:scaling>
        <c:delete val="0"/>
        <c:axPos val="b"/>
        <c:majorGridlines>
          <c:spPr>
            <a:ln w="3175">
              <a:solidFill>
                <a:srgbClr val="000000"/>
              </a:solidFill>
              <a:prstDash val="solid"/>
            </a:ln>
          </c:spPr>
        </c:majorGridlines>
        <c:title>
          <c:tx>
            <c:rich>
              <a:bodyPr/>
              <a:lstStyle/>
              <a:p>
                <a:pPr>
                  <a:defRPr sz="1000" b="1"/>
                </a:pPr>
                <a:r>
                  <a:rPr lang="en-US" sz="1000" b="1"/>
                  <a:t>Frequency (Hz)</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sz="1000" b="1">
                    <a:solidFill>
                      <a:srgbClr val="FF0000"/>
                    </a:solidFill>
                  </a:defRPr>
                </a:pPr>
                <a:r>
                  <a:rPr lang="en-US" sz="1000" b="1">
                    <a:solidFill>
                      <a:srgbClr val="FF0000"/>
                    </a:solidFill>
                  </a:rPr>
                  <a:t>Gain (dB)</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000" b="1" i="0" u="none" strike="noStrike" baseline="0">
                    <a:solidFill>
                      <a:srgbClr val="0000FF"/>
                    </a:solidFill>
                    <a:latin typeface="Arial"/>
                    <a:ea typeface="Arial"/>
                    <a:cs typeface="Arial"/>
                  </a:defRPr>
                </a:pPr>
                <a:r>
                  <a:rPr lang="en-US" sz="1000"/>
                  <a:t>Phase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Single'!$AN$110:$AN$210</c:f>
              <c:numCache>
                <c:formatCode>0.0</c:formatCode>
                <c:ptCount val="101"/>
                <c:pt idx="0">
                  <c:v>12</c:v>
                </c:pt>
                <c:pt idx="1">
                  <c:v>23.018848019074497</c:v>
                </c:pt>
                <c:pt idx="2">
                  <c:v>46.037696038148994</c:v>
                </c:pt>
                <c:pt idx="3">
                  <c:v>69.056544057223476</c:v>
                </c:pt>
                <c:pt idx="4">
                  <c:v>92.075392076297987</c:v>
                </c:pt>
                <c:pt idx="5">
                  <c:v>115.09424009537247</c:v>
                </c:pt>
                <c:pt idx="6">
                  <c:v>138.11308811444695</c:v>
                </c:pt>
                <c:pt idx="7">
                  <c:v>161.13193613352149</c:v>
                </c:pt>
                <c:pt idx="8">
                  <c:v>184.15078415259597</c:v>
                </c:pt>
                <c:pt idx="9">
                  <c:v>207.16963217167046</c:v>
                </c:pt>
                <c:pt idx="10">
                  <c:v>230.18848019074494</c:v>
                </c:pt>
                <c:pt idx="11">
                  <c:v>253.20732820981948</c:v>
                </c:pt>
                <c:pt idx="12">
                  <c:v>276.22617622889391</c:v>
                </c:pt>
                <c:pt idx="13">
                  <c:v>299.24502424796844</c:v>
                </c:pt>
                <c:pt idx="14">
                  <c:v>322.26387226704298</c:v>
                </c:pt>
                <c:pt idx="15">
                  <c:v>345.28272028611741</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345.15828760198485</c:v>
                </c:pt>
                <c:pt idx="47">
                  <c:v>337.96700389478275</c:v>
                </c:pt>
                <c:pt idx="48">
                  <c:v>331.0578877905528</c:v>
                </c:pt>
                <c:pt idx="49">
                  <c:v>324.41475482934368</c:v>
                </c:pt>
                <c:pt idx="50">
                  <c:v>318.02263202579343</c:v>
                </c:pt>
                <c:pt idx="51">
                  <c:v>311.86764674354106</c:v>
                </c:pt>
                <c:pt idx="52">
                  <c:v>305.70006082801615</c:v>
                </c:pt>
                <c:pt idx="53">
                  <c:v>299.39532927415229</c:v>
                </c:pt>
                <c:pt idx="54">
                  <c:v>293.43757586970293</c:v>
                </c:pt>
                <c:pt idx="55">
                  <c:v>287.84609052563036</c:v>
                </c:pt>
                <c:pt idx="56">
                  <c:v>282.44116257388066</c:v>
                </c:pt>
                <c:pt idx="57">
                  <c:v>277.21358205632868</c:v>
                </c:pt>
                <c:pt idx="58">
                  <c:v>272.15473545290115</c:v>
                </c:pt>
                <c:pt idx="59">
                  <c:v>267.2565581699705</c:v>
                </c:pt>
                <c:pt idx="60">
                  <c:v>262.51149149917615</c:v>
                </c:pt>
                <c:pt idx="61">
                  <c:v>257.91244356352246</c:v>
                </c:pt>
                <c:pt idx="62">
                  <c:v>253.45275382636768</c:v>
                </c:pt>
                <c:pt idx="63">
                  <c:v>249.1261607897697</c:v>
                </c:pt>
                <c:pt idx="64">
                  <c:v>244.9267725527489</c:v>
                </c:pt>
                <c:pt idx="65">
                  <c:v>240.84903993835255</c:v>
                </c:pt>
                <c:pt idx="66">
                  <c:v>236.88773193178605</c:v>
                </c:pt>
                <c:pt idx="67">
                  <c:v>233.03791320101288</c:v>
                </c:pt>
                <c:pt idx="68">
                  <c:v>229.29492349670554</c:v>
                </c:pt>
                <c:pt idx="69">
                  <c:v>225.65435875076159</c:v>
                </c:pt>
                <c:pt idx="70">
                  <c:v>222.11205371220237</c:v>
                </c:pt>
                <c:pt idx="71">
                  <c:v>218.66406597652235</c:v>
                </c:pt>
                <c:pt idx="72">
                  <c:v>215.30666127974899</c:v>
                </c:pt>
                <c:pt idx="73">
                  <c:v>212.03629994189268</c:v>
                </c:pt>
                <c:pt idx="74">
                  <c:v>208.84962435632809</c:v>
                </c:pt>
                <c:pt idx="75">
                  <c:v>205.7434474321565</c:v>
                </c:pt>
                <c:pt idx="76">
                  <c:v>202.71474190591906</c:v>
                </c:pt>
                <c:pt idx="77">
                  <c:v>199.76063044731731</c:v>
                </c:pt>
                <c:pt idx="78">
                  <c:v>196.87837649096633</c:v>
                </c:pt>
                <c:pt idx="79">
                  <c:v>194.06537573277669</c:v>
                </c:pt>
                <c:pt idx="80">
                  <c:v>191.3191482354255</c:v>
                </c:pt>
                <c:pt idx="81">
                  <c:v>188.63733109262034</c:v>
                </c:pt>
                <c:pt idx="82">
                  <c:v>186.01767160654779</c:v>
                </c:pt>
                <c:pt idx="83">
                  <c:v>183.45802093710577</c:v>
                </c:pt>
                <c:pt idx="84">
                  <c:v>180.95632818529216</c:v>
                </c:pt>
                <c:pt idx="85">
                  <c:v>178.51063487651328</c:v>
                </c:pt>
                <c:pt idx="86">
                  <c:v>176.11906981262584</c:v>
                </c:pt>
                <c:pt idx="87">
                  <c:v>173.77984426427676</c:v>
                </c:pt>
                <c:pt idx="88">
                  <c:v>171.49124747758205</c:v>
                </c:pt>
                <c:pt idx="89">
                  <c:v>169.25164247142581</c:v>
                </c:pt>
                <c:pt idx="90">
                  <c:v>167.05946210368401</c:v>
                </c:pt>
                <c:pt idx="91">
                  <c:v>164.91320538650811</c:v>
                </c:pt>
                <c:pt idx="92">
                  <c:v>162.81143403246438</c:v>
                </c:pt>
                <c:pt idx="93">
                  <c:v>160.75276921482939</c:v>
                </c:pt>
                <c:pt idx="94">
                  <c:v>158.7358885267079</c:v>
                </c:pt>
                <c:pt idx="95">
                  <c:v>156.75952312488099</c:v>
                </c:pt>
                <c:pt idx="96">
                  <c:v>154.82245504542598</c:v>
                </c:pt>
                <c:pt idx="97">
                  <c:v>152.92351467917214</c:v>
                </c:pt>
                <c:pt idx="98">
                  <c:v>151.06157839600036</c:v>
                </c:pt>
                <c:pt idx="99">
                  <c:v>149.23556630784771</c:v>
                </c:pt>
                <c:pt idx="100">
                  <c:v>147.44444016105928</c:v>
                </c:pt>
              </c:numCache>
            </c:numRef>
          </c:val>
          <c:smooth val="0"/>
          <c:extLst>
            <c:ext xmlns:c16="http://schemas.microsoft.com/office/drawing/2014/chart" uri="{C3380CC4-5D6E-409C-BE32-E72D297353CC}">
              <c16:uniqueId val="{00000000-3709-4335-91FB-31DC56900586}"/>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Single'!$AN$5:$AN$105</c:f>
              <c:numCache>
                <c:formatCode>0.0</c:formatCode>
                <c:ptCount val="101"/>
                <c:pt idx="0">
                  <c:v>12</c:v>
                </c:pt>
                <c:pt idx="1">
                  <c:v>23.018848019074497</c:v>
                </c:pt>
                <c:pt idx="2">
                  <c:v>46.037696038148994</c:v>
                </c:pt>
                <c:pt idx="3">
                  <c:v>69.056544057223476</c:v>
                </c:pt>
                <c:pt idx="4">
                  <c:v>92.075392076297987</c:v>
                </c:pt>
                <c:pt idx="5">
                  <c:v>115.09424009537247</c:v>
                </c:pt>
                <c:pt idx="6">
                  <c:v>138.11308811444695</c:v>
                </c:pt>
                <c:pt idx="7">
                  <c:v>161.13193613352149</c:v>
                </c:pt>
                <c:pt idx="8">
                  <c:v>184.15078415259597</c:v>
                </c:pt>
                <c:pt idx="9">
                  <c:v>207.16963217167046</c:v>
                </c:pt>
                <c:pt idx="10">
                  <c:v>230.18848019074494</c:v>
                </c:pt>
                <c:pt idx="11">
                  <c:v>253.20732820981948</c:v>
                </c:pt>
                <c:pt idx="12">
                  <c:v>276.22617622889391</c:v>
                </c:pt>
                <c:pt idx="13">
                  <c:v>299.24502424796844</c:v>
                </c:pt>
                <c:pt idx="14">
                  <c:v>322.26387226704298</c:v>
                </c:pt>
                <c:pt idx="15">
                  <c:v>345.28272028611741</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347.38304806122716</c:v>
                </c:pt>
                <c:pt idx="64">
                  <c:v>342.15100561780673</c:v>
                </c:pt>
                <c:pt idx="65">
                  <c:v>337.06997616133214</c:v>
                </c:pt>
                <c:pt idx="66">
                  <c:v>332.13354318839868</c:v>
                </c:pt>
                <c:pt idx="67">
                  <c:v>327.33564800135377</c:v>
                </c:pt>
                <c:pt idx="68">
                  <c:v>322.67056513364719</c:v>
                </c:pt>
                <c:pt idx="69">
                  <c:v>318.13287977196933</c:v>
                </c:pt>
                <c:pt idx="70">
                  <c:v>313.48851902262356</c:v>
                </c:pt>
                <c:pt idx="71">
                  <c:v>308.92724742882513</c:v>
                </c:pt>
                <c:pt idx="72">
                  <c:v>304.50855956252121</c:v>
                </c:pt>
                <c:pt idx="73">
                  <c:v>300.29066238437997</c:v>
                </c:pt>
                <c:pt idx="74">
                  <c:v>296.1792137457868</c:v>
                </c:pt>
                <c:pt idx="75">
                  <c:v>292.17022359570052</c:v>
                </c:pt>
                <c:pt idx="76">
                  <c:v>288.25989882462153</c:v>
                </c:pt>
                <c:pt idx="77">
                  <c:v>284.44463126191187</c:v>
                </c:pt>
                <c:pt idx="78">
                  <c:v>280.72098654035409</c:v>
                </c:pt>
                <c:pt idx="79">
                  <c:v>277.08569375571057</c:v>
                </c:pt>
                <c:pt idx="80">
                  <c:v>273.53563585584823</c:v>
                </c:pt>
                <c:pt idx="81">
                  <c:v>270.06784070007018</c:v>
                </c:pt>
                <c:pt idx="82">
                  <c:v>266.67947273475721</c:v>
                </c:pt>
                <c:pt idx="83">
                  <c:v>263.36782523631649</c:v>
                </c:pt>
                <c:pt idx="84">
                  <c:v>260.13031307683769</c:v>
                </c:pt>
                <c:pt idx="85">
                  <c:v>256.96446597182285</c:v>
                </c:pt>
                <c:pt idx="86">
                  <c:v>253.86792217291853</c:v>
                </c:pt>
                <c:pt idx="87">
                  <c:v>250.838422571813</c:v>
                </c:pt>
                <c:pt idx="88">
                  <c:v>247.87380518435884</c:v>
                </c:pt>
                <c:pt idx="89">
                  <c:v>244.97199998662228</c:v>
                </c:pt>
                <c:pt idx="90">
                  <c:v>242.1310240769356</c:v>
                </c:pt>
                <c:pt idx="91">
                  <c:v>239.34897714019476</c:v>
                </c:pt>
                <c:pt idx="92">
                  <c:v>236.62403719259859</c:v>
                </c:pt>
                <c:pt idx="93">
                  <c:v>233.95445658680535</c:v>
                </c:pt>
                <c:pt idx="94">
                  <c:v>231.33855825910283</c:v>
                </c:pt>
                <c:pt idx="95">
                  <c:v>228.77473220165578</c:v>
                </c:pt>
                <c:pt idx="96">
                  <c:v>226.26143214424101</c:v>
                </c:pt>
                <c:pt idx="97">
                  <c:v>223.7971724310938</c:v>
                </c:pt>
                <c:pt idx="98">
                  <c:v>221.38052507961686</c:v>
                </c:pt>
                <c:pt idx="99">
                  <c:v>219.01011700871175</c:v>
                </c:pt>
                <c:pt idx="100">
                  <c:v>216.68462742543031</c:v>
                </c:pt>
              </c:numCache>
            </c:numRef>
          </c:val>
          <c:smooth val="0"/>
          <c:extLst>
            <c:ext xmlns:c16="http://schemas.microsoft.com/office/drawing/2014/chart" uri="{C3380CC4-5D6E-409C-BE32-E72D297353CC}">
              <c16:uniqueId val="{00000001-3709-4335-91FB-31DC56900586}"/>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Single'!$AN$216:$AN$316</c:f>
              <c:numCache>
                <c:formatCode>0.0</c:formatCode>
                <c:ptCount val="101"/>
                <c:pt idx="0">
                  <c:v>12</c:v>
                </c:pt>
                <c:pt idx="1">
                  <c:v>23.018848019074497</c:v>
                </c:pt>
                <c:pt idx="2">
                  <c:v>46.037696038148994</c:v>
                </c:pt>
                <c:pt idx="3">
                  <c:v>69.056544057223476</c:v>
                </c:pt>
                <c:pt idx="4">
                  <c:v>92.075392076297987</c:v>
                </c:pt>
                <c:pt idx="5">
                  <c:v>115.09424009537247</c:v>
                </c:pt>
                <c:pt idx="6">
                  <c:v>138.11308811444695</c:v>
                </c:pt>
                <c:pt idx="7">
                  <c:v>161.13193613352149</c:v>
                </c:pt>
                <c:pt idx="8">
                  <c:v>184.15078415259597</c:v>
                </c:pt>
                <c:pt idx="9">
                  <c:v>207.16963217167046</c:v>
                </c:pt>
                <c:pt idx="10">
                  <c:v>230.18848019074494</c:v>
                </c:pt>
                <c:pt idx="11">
                  <c:v>253.20732820981948</c:v>
                </c:pt>
                <c:pt idx="12">
                  <c:v>276.22617622889391</c:v>
                </c:pt>
                <c:pt idx="13">
                  <c:v>299.24502424796844</c:v>
                </c:pt>
                <c:pt idx="14">
                  <c:v>322.26387226704298</c:v>
                </c:pt>
                <c:pt idx="15">
                  <c:v>345.28272028611741</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348.17094980715058</c:v>
                </c:pt>
                <c:pt idx="78">
                  <c:v>343.90876622412117</c:v>
                </c:pt>
                <c:pt idx="79">
                  <c:v>339.74758735604399</c:v>
                </c:pt>
                <c:pt idx="80">
                  <c:v>335.68387643047805</c:v>
                </c:pt>
                <c:pt idx="81">
                  <c:v>331.7142596814985</c:v>
                </c:pt>
                <c:pt idx="82">
                  <c:v>327.83551707208551</c:v>
                </c:pt>
                <c:pt idx="83">
                  <c:v>324.04457364276283</c:v>
                </c:pt>
                <c:pt idx="84">
                  <c:v>320.2255736580093</c:v>
                </c:pt>
                <c:pt idx="85">
                  <c:v>316.45505304343953</c:v>
                </c:pt>
                <c:pt idx="86">
                  <c:v>312.76487685392408</c:v>
                </c:pt>
                <c:pt idx="87">
                  <c:v>309.18586329480729</c:v>
                </c:pt>
                <c:pt idx="88">
                  <c:v>305.70586201117868</c:v>
                </c:pt>
                <c:pt idx="89">
                  <c:v>302.29892384626663</c:v>
                </c:pt>
                <c:pt idx="90">
                  <c:v>298.96276693550794</c:v>
                </c:pt>
                <c:pt idx="91">
                  <c:v>295.69520345020368</c:v>
                </c:pt>
                <c:pt idx="92">
                  <c:v>292.49413480288314</c:v>
                </c:pt>
                <c:pt idx="93">
                  <c:v>289.35754714306438</c:v>
                </c:pt>
                <c:pt idx="94">
                  <c:v>286.28350712309793</c:v>
                </c:pt>
                <c:pt idx="95">
                  <c:v>283.27015791538508</c:v>
                </c:pt>
                <c:pt idx="96">
                  <c:v>280.31571546373164</c:v>
                </c:pt>
                <c:pt idx="97">
                  <c:v>277.41846495293487</c:v>
                </c:pt>
                <c:pt idx="98">
                  <c:v>274.57675748192253</c:v>
                </c:pt>
                <c:pt idx="99">
                  <c:v>271.7890069268837</c:v>
                </c:pt>
                <c:pt idx="100">
                  <c:v>269.05368698185134</c:v>
                </c:pt>
              </c:numCache>
            </c:numRef>
          </c:val>
          <c:smooth val="0"/>
          <c:extLst>
            <c:ext xmlns:c16="http://schemas.microsoft.com/office/drawing/2014/chart" uri="{C3380CC4-5D6E-409C-BE32-E72D297353CC}">
              <c16:uniqueId val="{00000002-3709-4335-91FB-31DC56900586}"/>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709-4335-91FB-31DC56900586}"/>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709-4335-91FB-31DC56900586}"/>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709-4335-91FB-31DC56900586}"/>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6.4001348997027325E-3</c:v>
                </c:pt>
                <c:pt idx="1">
                  <c:v>1.2752098721134491E-2</c:v>
                </c:pt>
                <c:pt idx="2">
                  <c:v>2.5504197442268981E-2</c:v>
                </c:pt>
                <c:pt idx="3">
                  <c:v>3.825629616340346E-2</c:v>
                </c:pt>
                <c:pt idx="4">
                  <c:v>5.1008394884537962E-2</c:v>
                </c:pt>
                <c:pt idx="5">
                  <c:v>6.3760493605672444E-2</c:v>
                </c:pt>
                <c:pt idx="6">
                  <c:v>7.6512592326806919E-2</c:v>
                </c:pt>
                <c:pt idx="7">
                  <c:v>8.926469104794145E-2</c:v>
                </c:pt>
                <c:pt idx="8">
                  <c:v>0.10201678976907592</c:v>
                </c:pt>
                <c:pt idx="9">
                  <c:v>0.11476888849021041</c:v>
                </c:pt>
                <c:pt idx="10">
                  <c:v>0.12752098721134489</c:v>
                </c:pt>
                <c:pt idx="11">
                  <c:v>0.14027308593247942</c:v>
                </c:pt>
                <c:pt idx="12">
                  <c:v>0.15302518465361384</c:v>
                </c:pt>
                <c:pt idx="13">
                  <c:v>0.16577728337474837</c:v>
                </c:pt>
                <c:pt idx="14">
                  <c:v>0.1785293820958829</c:v>
                </c:pt>
                <c:pt idx="15">
                  <c:v>0.19128148081701735</c:v>
                </c:pt>
                <c:pt idx="16">
                  <c:v>0.19909850559106668</c:v>
                </c:pt>
                <c:pt idx="17">
                  <c:v>0.20547766915389684</c:v>
                </c:pt>
                <c:pt idx="18">
                  <c:v>0.21168679735908874</c:v>
                </c:pt>
                <c:pt idx="19">
                  <c:v>0.21773993014221235</c:v>
                </c:pt>
                <c:pt idx="20">
                  <c:v>0.223649280658274</c:v>
                </c:pt>
                <c:pt idx="21">
                  <c:v>0.2294255515815502</c:v>
                </c:pt>
                <c:pt idx="22">
                  <c:v>0.23507818429945349</c:v>
                </c:pt>
                <c:pt idx="23">
                  <c:v>0.24061555762137046</c:v>
                </c:pt>
                <c:pt idx="24">
                  <c:v>0.24604514796690125</c:v>
                </c:pt>
                <c:pt idx="25">
                  <c:v>0.25137365978478021</c:v>
                </c:pt>
                <c:pt idx="26">
                  <c:v>0.25660713269694196</c:v>
                </c:pt>
                <c:pt idx="27">
                  <c:v>0.261751030251404</c:v>
                </c:pt>
                <c:pt idx="28">
                  <c:v>0.26681031400094302</c:v>
                </c:pt>
                <c:pt idx="29">
                  <c:v>0.27178950576809419</c:v>
                </c:pt>
                <c:pt idx="30">
                  <c:v>0.27669274032048313</c:v>
                </c:pt>
                <c:pt idx="31">
                  <c:v>0.28152381020201767</c:v>
                </c:pt>
                <c:pt idx="32">
                  <c:v>0.28628620410197192</c:v>
                </c:pt>
                <c:pt idx="33">
                  <c:v>0.29098313986513602</c:v>
                </c:pt>
                <c:pt idx="34">
                  <c:v>0.29561759303032026</c:v>
                </c:pt>
                <c:pt idx="35">
                  <c:v>0.30019232161594822</c:v>
                </c:pt>
                <c:pt idx="36">
                  <c:v>0.30470988773881058</c:v>
                </c:pt>
                <c:pt idx="37">
                  <c:v>0.30917267654687058</c:v>
                </c:pt>
                <c:pt idx="38">
                  <c:v>0.31358291286302586</c:v>
                </c:pt>
                <c:pt idx="39">
                  <c:v>0.31794267586922742</c:v>
                </c:pt>
                <c:pt idx="40">
                  <c:v>0.32225391210576199</c:v>
                </c:pt>
                <c:pt idx="41">
                  <c:v>0.32651844701609406</c:v>
                </c:pt>
                <c:pt idx="42">
                  <c:v>0.33073799523132907</c:v>
                </c:pt>
                <c:pt idx="43">
                  <c:v>0.33491416975848487</c:v>
                </c:pt>
                <c:pt idx="44">
                  <c:v>0.33904849021206651</c:v>
                </c:pt>
                <c:pt idx="45">
                  <c:v>0.34314239020793214</c:v>
                </c:pt>
                <c:pt idx="46">
                  <c:v>0.34719722402133801</c:v>
                </c:pt>
                <c:pt idx="47">
                  <c:v>0.3512142725967195</c:v>
                </c:pt>
                <c:pt idx="48">
                  <c:v>0.35519474898471592</c:v>
                </c:pt>
                <c:pt idx="49">
                  <c:v>0.35913980327176409</c:v>
                </c:pt>
                <c:pt idx="50">
                  <c:v>0.36305052705896534</c:v>
                </c:pt>
                <c:pt idx="51">
                  <c:v>0.36692795753958563</c:v>
                </c:pt>
                <c:pt idx="52">
                  <c:v>0.37077308121828834</c:v>
                </c:pt>
                <c:pt idx="53">
                  <c:v>0.37458683730983433</c:v>
                </c:pt>
                <c:pt idx="54">
                  <c:v>0.37837012085037247</c:v>
                </c:pt>
                <c:pt idx="55">
                  <c:v>0.38212378555047827</c:v>
                </c:pt>
                <c:pt idx="56">
                  <c:v>0.38584864641566058</c:v>
                </c:pt>
                <c:pt idx="57">
                  <c:v>0.38954548215708706</c:v>
                </c:pt>
                <c:pt idx="58">
                  <c:v>0.39321503741269231</c:v>
                </c:pt>
                <c:pt idx="59">
                  <c:v>0.39685802479658183</c:v>
                </c:pt>
                <c:pt idx="60">
                  <c:v>0.40047512679267999</c:v>
                </c:pt>
                <c:pt idx="61">
                  <c:v>0.4040669975068486</c:v>
                </c:pt>
                <c:pt idx="62">
                  <c:v>0.40763426429018884</c:v>
                </c:pt>
                <c:pt idx="63">
                  <c:v>0.40810315258109664</c:v>
                </c:pt>
                <c:pt idx="64">
                  <c:v>0.40539749253065854</c:v>
                </c:pt>
                <c:pt idx="65">
                  <c:v>0.40274502173049448</c:v>
                </c:pt>
                <c:pt idx="66">
                  <c:v>0.40014403928156633</c:v>
                </c:pt>
                <c:pt idx="67">
                  <c:v>0.3975929183988236</c:v>
                </c:pt>
                <c:pt idx="68">
                  <c:v>0.39798297276888217</c:v>
                </c:pt>
                <c:pt idx="69">
                  <c:v>0.39851283769522283</c:v>
                </c:pt>
                <c:pt idx="70">
                  <c:v>0.39926121921971497</c:v>
                </c:pt>
                <c:pt idx="71">
                  <c:v>0.40003964746620885</c:v>
                </c:pt>
                <c:pt idx="72">
                  <c:v>0.40078389355221994</c:v>
                </c:pt>
                <c:pt idx="73">
                  <c:v>0.40142795974300738</c:v>
                </c:pt>
                <c:pt idx="74">
                  <c:v>0.40206384607640322</c:v>
                </c:pt>
                <c:pt idx="75">
                  <c:v>0.40269187617938296</c:v>
                </c:pt>
                <c:pt idx="76">
                  <c:v>0.40331235775340224</c:v>
                </c:pt>
                <c:pt idx="77">
                  <c:v>0.40392558354512448</c:v>
                </c:pt>
                <c:pt idx="78">
                  <c:v>0.40453183224701234</c:v>
                </c:pt>
                <c:pt idx="79">
                  <c:v>0.40513136933362298</c:v>
                </c:pt>
                <c:pt idx="80">
                  <c:v>0.40572444783890604</c:v>
                </c:pt>
                <c:pt idx="81">
                  <c:v>0.40631130907929414</c:v>
                </c:pt>
                <c:pt idx="82">
                  <c:v>0.40689218332695476</c:v>
                </c:pt>
                <c:pt idx="83">
                  <c:v>0.40746729043715901</c:v>
                </c:pt>
                <c:pt idx="84">
                  <c:v>0.40803684043337818</c:v>
                </c:pt>
                <c:pt idx="85">
                  <c:v>0.40860103405339315</c:v>
                </c:pt>
                <c:pt idx="86">
                  <c:v>0.40916006325941423</c:v>
                </c:pt>
                <c:pt idx="87">
                  <c:v>0.40971411171494754</c:v>
                </c:pt>
                <c:pt idx="88">
                  <c:v>0.41026335523091284</c:v>
                </c:pt>
                <c:pt idx="89">
                  <c:v>0.41080796218329696</c:v>
                </c:pt>
                <c:pt idx="90">
                  <c:v>0.41134809390444338</c:v>
                </c:pt>
                <c:pt idx="91">
                  <c:v>0.41188390504989669</c:v>
                </c:pt>
                <c:pt idx="92">
                  <c:v>0.4124155439425678</c:v>
                </c:pt>
                <c:pt idx="93">
                  <c:v>0.41294315289583539</c:v>
                </c:pt>
                <c:pt idx="94">
                  <c:v>0.41346686851707692</c:v>
                </c:pt>
                <c:pt idx="95">
                  <c:v>0.41398682199299369</c:v>
                </c:pt>
                <c:pt idx="96">
                  <c:v>0.4145031393579971</c:v>
                </c:pt>
                <c:pt idx="97">
                  <c:v>0.41501594174681095</c:v>
                </c:pt>
                <c:pt idx="98">
                  <c:v>0.41552534563236815</c:v>
                </c:pt>
                <c:pt idx="99">
                  <c:v>0.4160314630499885</c:v>
                </c:pt>
                <c:pt idx="100">
                  <c:v>0.41653440180875151</c:v>
                </c:pt>
              </c:numCache>
            </c:numRef>
          </c:val>
          <c:smooth val="0"/>
          <c:extLst>
            <c:ext xmlns:c16="http://schemas.microsoft.com/office/drawing/2014/chart" uri="{C3380CC4-5D6E-409C-BE32-E72D297353CC}">
              <c16:uniqueId val="{00000006-3709-4335-91FB-31DC56900586}"/>
            </c:ext>
          </c:extLst>
        </c:ser>
        <c:ser>
          <c:idx val="7"/>
          <c:order val="7"/>
          <c:spPr>
            <a:ln w="31750">
              <a:solidFill>
                <a:srgbClr val="00B050"/>
              </a:solidFill>
            </a:ln>
          </c:spPr>
          <c:marker>
            <c:symbol val="none"/>
          </c:marker>
          <c:val>
            <c:numRef>
              <c:f>'Calculations - Single'!$AW$110:$AW$210</c:f>
              <c:numCache>
                <c:formatCode>0.000</c:formatCode>
                <c:ptCount val="101"/>
                <c:pt idx="0">
                  <c:v>8.8891491142139636E-3</c:v>
                </c:pt>
                <c:pt idx="1">
                  <c:v>1.7982032031913727E-2</c:v>
                </c:pt>
                <c:pt idx="2">
                  <c:v>3.5964064063827454E-2</c:v>
                </c:pt>
                <c:pt idx="3">
                  <c:v>5.3946096095741164E-2</c:v>
                </c:pt>
                <c:pt idx="4">
                  <c:v>7.1928128127654908E-2</c:v>
                </c:pt>
                <c:pt idx="5">
                  <c:v>8.9910160159568625E-2</c:v>
                </c:pt>
                <c:pt idx="6">
                  <c:v>0.10789219219148233</c:v>
                </c:pt>
                <c:pt idx="7">
                  <c:v>0.12587422422339611</c:v>
                </c:pt>
                <c:pt idx="8">
                  <c:v>0.14385625625530982</c:v>
                </c:pt>
                <c:pt idx="9">
                  <c:v>0.16183828828722352</c:v>
                </c:pt>
                <c:pt idx="10">
                  <c:v>0.17982032031913725</c:v>
                </c:pt>
                <c:pt idx="11">
                  <c:v>0.19780235235105101</c:v>
                </c:pt>
                <c:pt idx="12">
                  <c:v>0.21578438438296466</c:v>
                </c:pt>
                <c:pt idx="13">
                  <c:v>0.23376641641487844</c:v>
                </c:pt>
                <c:pt idx="14">
                  <c:v>0.25174844844679223</c:v>
                </c:pt>
                <c:pt idx="15">
                  <c:v>0.26973048047870585</c:v>
                </c:pt>
                <c:pt idx="16">
                  <c:v>0.28086856278809852</c:v>
                </c:pt>
                <c:pt idx="17">
                  <c:v>0.29001358744466149</c:v>
                </c:pt>
                <c:pt idx="18">
                  <c:v>0.29892370027419479</c:v>
                </c:pt>
                <c:pt idx="19">
                  <c:v>0.30761837304753847</c:v>
                </c:pt>
                <c:pt idx="20">
                  <c:v>0.3161145426434751</c:v>
                </c:pt>
                <c:pt idx="21">
                  <c:v>0.32442705006108574</c:v>
                </c:pt>
                <c:pt idx="22">
                  <c:v>0.33256898627897313</c:v>
                </c:pt>
                <c:pt idx="23">
                  <c:v>0.34055196803569243</c:v>
                </c:pt>
                <c:pt idx="24">
                  <c:v>0.348386360140853</c:v>
                </c:pt>
                <c:pt idx="25">
                  <c:v>0.35608145646546019</c:v>
                </c:pt>
                <c:pt idx="26">
                  <c:v>0.36364562862693117</c:v>
                </c:pt>
                <c:pt idx="27">
                  <c:v>0.3710864491480087</c:v>
                </c:pt>
                <c:pt idx="28">
                  <c:v>0.37841079424913565</c:v>
                </c:pt>
                <c:pt idx="29">
                  <c:v>0.385624930244924</c:v>
                </c:pt>
                <c:pt idx="30">
                  <c:v>0.39273458663173971</c:v>
                </c:pt>
                <c:pt idx="31">
                  <c:v>0.39974501828921644</c:v>
                </c:pt>
                <c:pt idx="32">
                  <c:v>0.40666105871393016</c:v>
                </c:pt>
                <c:pt idx="33">
                  <c:v>0.41348716581638062</c:v>
                </c:pt>
                <c:pt idx="34">
                  <c:v>0.42022746151276447</c:v>
                </c:pt>
                <c:pt idx="35">
                  <c:v>0.42688576610905432</c:v>
                </c:pt>
                <c:pt idx="36">
                  <c:v>0.43346562829076984</c:v>
                </c:pt>
                <c:pt idx="37">
                  <c:v>0.43997035138582663</c:v>
                </c:pt>
                <c:pt idx="38">
                  <c:v>0.44640301645128366</c:v>
                </c:pt>
                <c:pt idx="39">
                  <c:v>0.45276650264111712</c:v>
                </c:pt>
                <c:pt idx="40">
                  <c:v>0.45906350523637485</c:v>
                </c:pt>
                <c:pt idx="41">
                  <c:v>0.46529655165743122</c:v>
                </c:pt>
                <c:pt idx="42">
                  <c:v>0.47146801572763242</c:v>
                </c:pt>
                <c:pt idx="43">
                  <c:v>0.47758013041616443</c:v>
                </c:pt>
                <c:pt idx="44">
                  <c:v>0.4836349992537049</c:v>
                </c:pt>
                <c:pt idx="45">
                  <c:v>0.48963460658596231</c:v>
                </c:pt>
                <c:pt idx="46">
                  <c:v>0.48872522728256851</c:v>
                </c:pt>
                <c:pt idx="47">
                  <c:v>0.48423471289466652</c:v>
                </c:pt>
                <c:pt idx="48">
                  <c:v>0.47986377631563931</c:v>
                </c:pt>
                <c:pt idx="49">
                  <c:v>0.47771095615180409</c:v>
                </c:pt>
                <c:pt idx="50">
                  <c:v>0.47860784091029845</c:v>
                </c:pt>
                <c:pt idx="51">
                  <c:v>0.47947895354689768</c:v>
                </c:pt>
                <c:pt idx="52">
                  <c:v>0.48053924843189594</c:v>
                </c:pt>
                <c:pt idx="53">
                  <c:v>0.48190408247637656</c:v>
                </c:pt>
                <c:pt idx="54">
                  <c:v>0.48312871764142717</c:v>
                </c:pt>
                <c:pt idx="55">
                  <c:v>0.48417933591823303</c:v>
                </c:pt>
                <c:pt idx="56">
                  <c:v>0.48521285833056149</c:v>
                </c:pt>
                <c:pt idx="57">
                  <c:v>0.48623018139869256</c:v>
                </c:pt>
                <c:pt idx="58">
                  <c:v>0.48723214379066959</c:v>
                </c:pt>
                <c:pt idx="59">
                  <c:v>0.48821953093152792</c:v>
                </c:pt>
                <c:pt idx="60">
                  <c:v>0.48919307917886323</c:v>
                </c:pt>
                <c:pt idx="61">
                  <c:v>0.49015347961160477</c:v>
                </c:pt>
                <c:pt idx="62">
                  <c:v>0.49110138147315852</c:v>
                </c:pt>
                <c:pt idx="63">
                  <c:v>0.49203739530515761</c:v>
                </c:pt>
                <c:pt idx="64">
                  <c:v>0.49296209580377331</c:v>
                </c:pt>
                <c:pt idx="65">
                  <c:v>0.49387602442682949</c:v>
                </c:pt>
                <c:pt idx="66">
                  <c:v>0.49477969177671871</c:v>
                </c:pt>
                <c:pt idx="67">
                  <c:v>0.49567357978129861</c:v>
                </c:pt>
                <c:pt idx="68">
                  <c:v>0.49655814369247037</c:v>
                </c:pt>
                <c:pt idx="69">
                  <c:v>0.49743381391997732</c:v>
                </c:pt>
                <c:pt idx="70">
                  <c:v>0.49830099771605901</c:v>
                </c:pt>
                <c:pt idx="71">
                  <c:v>0.49916008072492407</c:v>
                </c:pt>
                <c:pt idx="72">
                  <c:v>0.50001142840953172</c:v>
                </c:pt>
                <c:pt idx="73">
                  <c:v>0.50085538736686486</c:v>
                </c:pt>
                <c:pt idx="74">
                  <c:v>0.50169228654173759</c:v>
                </c:pt>
                <c:pt idx="75">
                  <c:v>0.50252243834814803</c:v>
                </c:pt>
                <c:pt idx="76">
                  <c:v>0.50334613970629405</c:v>
                </c:pt>
                <c:pt idx="77">
                  <c:v>0.50416367300255849</c:v>
                </c:pt>
                <c:pt idx="78">
                  <c:v>0.50497530697905868</c:v>
                </c:pt>
                <c:pt idx="79">
                  <c:v>0.50578129755871781</c:v>
                </c:pt>
                <c:pt idx="80">
                  <c:v>0.50658188861124542</c:v>
                </c:pt>
                <c:pt idx="81">
                  <c:v>0.50737731266490693</c:v>
                </c:pt>
                <c:pt idx="82">
                  <c:v>0.50816779156850611</c:v>
                </c:pt>
                <c:pt idx="83">
                  <c:v>0.50895353710759772</c:v>
                </c:pt>
                <c:pt idx="84">
                  <c:v>0.50973475157858006</c:v>
                </c:pt>
                <c:pt idx="85">
                  <c:v>0.510511628323989</c:v>
                </c:pt>
                <c:pt idx="86">
                  <c:v>0.5112843522320184</c:v>
                </c:pt>
                <c:pt idx="87">
                  <c:v>0.51205310020302808</c:v>
                </c:pt>
                <c:pt idx="88">
                  <c:v>0.51281804158555344</c:v>
                </c:pt>
                <c:pt idx="89">
                  <c:v>0.5135793385841223</c:v>
                </c:pt>
                <c:pt idx="90">
                  <c:v>0.51433714664098018</c:v>
                </c:pt>
                <c:pt idx="91">
                  <c:v>0.51509161479365406</c:v>
                </c:pt>
                <c:pt idx="92">
                  <c:v>0.51584288601011685</c:v>
                </c:pt>
                <c:pt idx="93">
                  <c:v>0.51659109750317911</c:v>
                </c:pt>
                <c:pt idx="94">
                  <c:v>0.51733638102558821</c:v>
                </c:pt>
                <c:pt idx="95">
                  <c:v>0.5180788631472073</c:v>
                </c:pt>
                <c:pt idx="96">
                  <c:v>0.51881866551552869</c:v>
                </c:pt>
                <c:pt idx="97">
                  <c:v>0.51955590510068228</c:v>
                </c:pt>
                <c:pt idx="98">
                  <c:v>0.52029069442600095</c:v>
                </c:pt>
                <c:pt idx="99">
                  <c:v>0.52102314178513187</c:v>
                </c:pt>
                <c:pt idx="100">
                  <c:v>0.52175335144659751</c:v>
                </c:pt>
              </c:numCache>
            </c:numRef>
          </c:val>
          <c:smooth val="0"/>
          <c:extLst>
            <c:ext xmlns:c16="http://schemas.microsoft.com/office/drawing/2014/chart" uri="{C3380CC4-5D6E-409C-BE32-E72D297353CC}">
              <c16:uniqueId val="{00000007-3709-4335-91FB-31DC56900586}"/>
            </c:ext>
          </c:extLst>
        </c:ser>
        <c:ser>
          <c:idx val="8"/>
          <c:order val="8"/>
          <c:spPr>
            <a:ln w="31750">
              <a:solidFill>
                <a:srgbClr val="0000FF"/>
              </a:solidFill>
            </a:ln>
          </c:spPr>
          <c:marker>
            <c:symbol val="none"/>
          </c:marker>
          <c:val>
            <c:numRef>
              <c:f>'Calculations - Single'!$AW$216:$AW$316</c:f>
              <c:numCache>
                <c:formatCode>0.000</c:formatCode>
                <c:ptCount val="101"/>
                <c:pt idx="0">
                  <c:v>5.000082335864707E-3</c:v>
                </c:pt>
                <c:pt idx="1">
                  <c:v>9.87889841692151E-3</c:v>
                </c:pt>
                <c:pt idx="2">
                  <c:v>1.975779683384302E-2</c:v>
                </c:pt>
                <c:pt idx="3">
                  <c:v>2.9636695250764521E-2</c:v>
                </c:pt>
                <c:pt idx="4">
                  <c:v>3.951559366768604E-2</c:v>
                </c:pt>
                <c:pt idx="5">
                  <c:v>4.9394492084607541E-2</c:v>
                </c:pt>
                <c:pt idx="6">
                  <c:v>5.9273390501529043E-2</c:v>
                </c:pt>
                <c:pt idx="7">
                  <c:v>6.9152288918450572E-2</c:v>
                </c:pt>
                <c:pt idx="8">
                  <c:v>7.903118733537208E-2</c:v>
                </c:pt>
                <c:pt idx="9">
                  <c:v>8.8910085752293574E-2</c:v>
                </c:pt>
                <c:pt idx="10">
                  <c:v>9.8788984169215083E-2</c:v>
                </c:pt>
                <c:pt idx="11">
                  <c:v>0.1086678825861366</c:v>
                </c:pt>
                <c:pt idx="12">
                  <c:v>0.11854678100305809</c:v>
                </c:pt>
                <c:pt idx="13">
                  <c:v>0.12842567941997962</c:v>
                </c:pt>
                <c:pt idx="14">
                  <c:v>0.13830457783690114</c:v>
                </c:pt>
                <c:pt idx="15">
                  <c:v>0.14818347625382264</c:v>
                </c:pt>
                <c:pt idx="16">
                  <c:v>0.15420451114918224</c:v>
                </c:pt>
                <c:pt idx="17">
                  <c:v>0.15910130719324173</c:v>
                </c:pt>
                <c:pt idx="18">
                  <c:v>0.16386498323018384</c:v>
                </c:pt>
                <c:pt idx="19">
                  <c:v>0.16850651469312564</c:v>
                </c:pt>
                <c:pt idx="20">
                  <c:v>0.17303544929756051</c:v>
                </c:pt>
                <c:pt idx="21">
                  <c:v>0.17746015421988168</c:v>
                </c:pt>
                <c:pt idx="22">
                  <c:v>0.18178801083764659</c:v>
                </c:pt>
                <c:pt idx="23">
                  <c:v>0.1860255700191234</c:v>
                </c:pt>
                <c:pt idx="24">
                  <c:v>0.19017867731117449</c:v>
                </c:pt>
                <c:pt idx="25">
                  <c:v>0.19425257486382716</c:v>
                </c:pt>
                <c:pt idx="26">
                  <c:v>0.19825198516643236</c:v>
                </c:pt>
                <c:pt idx="27">
                  <c:v>0.20218118041164296</c:v>
                </c:pt>
                <c:pt idx="28">
                  <c:v>0.2060440403917862</c:v>
                </c:pt>
                <c:pt idx="29">
                  <c:v>0.20984410116296823</c:v>
                </c:pt>
                <c:pt idx="30">
                  <c:v>0.21358459621486314</c:v>
                </c:pt>
                <c:pt idx="31">
                  <c:v>0.21726849151024044</c:v>
                </c:pt>
                <c:pt idx="32">
                  <c:v>0.22089851547424239</c:v>
                </c:pt>
                <c:pt idx="33">
                  <c:v>0.22447718479550949</c:v>
                </c:pt>
                <c:pt idx="34">
                  <c:v>0.22800682673255415</c:v>
                </c:pt>
                <c:pt idx="35">
                  <c:v>0.23148959848706352</c:v>
                </c:pt>
                <c:pt idx="36">
                  <c:v>0.23492750410214441</c:v>
                </c:pt>
                <c:pt idx="37">
                  <c:v>0.23832240926132822</c:v>
                </c:pt>
                <c:pt idx="38">
                  <c:v>0.24167605429852068</c:v>
                </c:pt>
                <c:pt idx="39">
                  <c:v>0.24499006567632908</c:v>
                </c:pt>
                <c:pt idx="40">
                  <c:v>0.24826596614753563</c:v>
                </c:pt>
                <c:pt idx="41">
                  <c:v>0.25150518377977843</c:v>
                </c:pt>
                <c:pt idx="42">
                  <c:v>0.25470905999510818</c:v>
                </c:pt>
                <c:pt idx="43">
                  <c:v>0.2578788567527398</c:v>
                </c:pt>
                <c:pt idx="44">
                  <c:v>0.26101576298402263</c:v>
                </c:pt>
                <c:pt idx="45">
                  <c:v>0.26412090037262581</c:v>
                </c:pt>
                <c:pt idx="46">
                  <c:v>0.26719532855957101</c:v>
                </c:pt>
                <c:pt idx="47">
                  <c:v>0.2702400498415462</c:v>
                </c:pt>
                <c:pt idx="48">
                  <c:v>0.27325601342151484</c:v>
                </c:pt>
                <c:pt idx="49">
                  <c:v>0.27624411926267961</c:v>
                </c:pt>
                <c:pt idx="50">
                  <c:v>0.2792052215901199</c:v>
                </c:pt>
                <c:pt idx="51">
                  <c:v>0.2821401320786836</c:v>
                </c:pt>
                <c:pt idx="52">
                  <c:v>0.28504962276082063</c:v>
                </c:pt>
                <c:pt idx="53">
                  <c:v>0.28793442868385205</c:v>
                </c:pt>
                <c:pt idx="54">
                  <c:v>0.29079525034256565</c:v>
                </c:pt>
                <c:pt idx="55">
                  <c:v>0.29363275590992732</c:v>
                </c:pt>
                <c:pt idx="56">
                  <c:v>0.29644758328601439</c:v>
                </c:pt>
                <c:pt idx="57">
                  <c:v>0.29924034198295113</c:v>
                </c:pt>
                <c:pt idx="58">
                  <c:v>0.30201161486161099</c:v>
                </c:pt>
                <c:pt idx="59">
                  <c:v>0.30476195973408554</c:v>
                </c:pt>
                <c:pt idx="60">
                  <c:v>0.30749191084438698</c:v>
                </c:pt>
                <c:pt idx="61">
                  <c:v>0.31020198023850482</c:v>
                </c:pt>
                <c:pt idx="62">
                  <c:v>0.31289265903375529</c:v>
                </c:pt>
                <c:pt idx="63">
                  <c:v>0.31556441859632617</c:v>
                </c:pt>
                <c:pt idx="64">
                  <c:v>0.31821771163500212</c:v>
                </c:pt>
                <c:pt idx="65">
                  <c:v>0.32085297321825007</c:v>
                </c:pt>
                <c:pt idx="66">
                  <c:v>0.32347062172112567</c:v>
                </c:pt>
                <c:pt idx="67">
                  <c:v>0.32607105970783035</c:v>
                </c:pt>
                <c:pt idx="68">
                  <c:v>0.32865467475518423</c:v>
                </c:pt>
                <c:pt idx="69">
                  <c:v>0.33122184022177642</c:v>
                </c:pt>
                <c:pt idx="70">
                  <c:v>0.33377291596711101</c:v>
                </c:pt>
                <c:pt idx="71">
                  <c:v>0.33630824902466311</c:v>
                </c:pt>
                <c:pt idx="72">
                  <c:v>0.3388281742324063</c:v>
                </c:pt>
                <c:pt idx="73">
                  <c:v>0.34133301482404743</c:v>
                </c:pt>
                <c:pt idx="74">
                  <c:v>0.34382308298392367</c:v>
                </c:pt>
                <c:pt idx="75">
                  <c:v>0.34629868036825145</c:v>
                </c:pt>
                <c:pt idx="76">
                  <c:v>0.34876009859518919</c:v>
                </c:pt>
                <c:pt idx="77">
                  <c:v>0.34937225866438271</c:v>
                </c:pt>
                <c:pt idx="78">
                  <c:v>0.34748690759780276</c:v>
                </c:pt>
                <c:pt idx="79">
                  <c:v>0.34563206744345476</c:v>
                </c:pt>
                <c:pt idx="80">
                  <c:v>0.34380693330819156</c:v>
                </c:pt>
                <c:pt idx="81">
                  <c:v>0.34201072930125559</c:v>
                </c:pt>
                <c:pt idx="82">
                  <c:v>0.34024270722786487</c:v>
                </c:pt>
                <c:pt idx="83">
                  <c:v>0.3402070162551552</c:v>
                </c:pt>
                <c:pt idx="84">
                  <c:v>0.34069258727242341</c:v>
                </c:pt>
                <c:pt idx="85">
                  <c:v>0.3412106739779705</c:v>
                </c:pt>
                <c:pt idx="86">
                  <c:v>0.34172489429084918</c:v>
                </c:pt>
                <c:pt idx="87">
                  <c:v>0.34219849797420604</c:v>
                </c:pt>
                <c:pt idx="88">
                  <c:v>0.34264131206732468</c:v>
                </c:pt>
                <c:pt idx="89">
                  <c:v>0.34307928181690295</c:v>
                </c:pt>
                <c:pt idx="90">
                  <c:v>0.34351256583358092</c:v>
                </c:pt>
                <c:pt idx="91">
                  <c:v>0.34394131620775242</c:v>
                </c:pt>
                <c:pt idx="92">
                  <c:v>0.34436567884205244</c:v>
                </c:pt>
                <c:pt idx="93">
                  <c:v>0.34478579376370583</c:v>
                </c:pt>
                <c:pt idx="94">
                  <c:v>0.34520179541814988</c:v>
                </c:pt>
                <c:pt idx="95">
                  <c:v>0.34561381294522342</c:v>
                </c:pt>
                <c:pt idx="96">
                  <c:v>0.34602197043912092</c:v>
                </c:pt>
                <c:pt idx="97">
                  <c:v>0.34642638719321434</c:v>
                </c:pt>
                <c:pt idx="98">
                  <c:v>0.34682717793075779</c:v>
                </c:pt>
                <c:pt idx="99">
                  <c:v>0.34722445302241878</c:v>
                </c:pt>
                <c:pt idx="100">
                  <c:v>0.34761831869150434</c:v>
                </c:pt>
              </c:numCache>
            </c:numRef>
          </c:val>
          <c:smooth val="0"/>
          <c:extLst>
            <c:ext xmlns:c16="http://schemas.microsoft.com/office/drawing/2014/chart" uri="{C3380CC4-5D6E-409C-BE32-E72D297353CC}">
              <c16:uniqueId val="{00000008-3709-4335-91FB-31DC56900586}"/>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13.677503241529088</c:v>
                </c:pt>
                <c:pt idx="17">
                  <c:v>14.098460672331537</c:v>
                </c:pt>
                <c:pt idx="18">
                  <c:v>14.507209369262272</c:v>
                </c:pt>
                <c:pt idx="19">
                  <c:v>14.904753774692461</c:v>
                </c:pt>
                <c:pt idx="20">
                  <c:v>15.29196771846008</c:v>
                </c:pt>
                <c:pt idx="21">
                  <c:v>15.669617026993173</c:v>
                </c:pt>
                <c:pt idx="22">
                  <c:v>16.038377336396206</c:v>
                </c:pt>
                <c:pt idx="23">
                  <c:v>16.398848297280871</c:v>
                </c:pt>
                <c:pt idx="24">
                  <c:v>16.751565026376291</c:v>
                </c:pt>
                <c:pt idx="25">
                  <c:v>17.097007430342252</c:v>
                </c:pt>
                <c:pt idx="26">
                  <c:v>17.435607865934102</c:v>
                </c:pt>
                <c:pt idx="27">
                  <c:v>17.767757485555826</c:v>
                </c:pt>
                <c:pt idx="28">
                  <c:v>18.093811533860897</c:v>
                </c:pt>
                <c:pt idx="29">
                  <c:v>18.414093799853429</c:v>
                </c:pt>
                <c:pt idx="30">
                  <c:v>18.728900383451947</c:v>
                </c:pt>
                <c:pt idx="31">
                  <c:v>19.038502901281255</c:v>
                </c:pt>
                <c:pt idx="32">
                  <c:v>19.343151230478792</c:v>
                </c:pt>
                <c:pt idx="33">
                  <c:v>19.643075869371319</c:v>
                </c:pt>
                <c:pt idx="34">
                  <c:v>19.938489978447699</c:v>
                </c:pt>
                <c:pt idx="35">
                  <c:v>20.229591153005988</c:v>
                </c:pt>
                <c:pt idx="36">
                  <c:v>20.516562969371019</c:v>
                </c:pt>
                <c:pt idx="37">
                  <c:v>20.799576339060387</c:v>
                </c:pt>
                <c:pt idx="38">
                  <c:v>21.078790699273384</c:v>
                </c:pt>
                <c:pt idx="39">
                  <c:v>21.354355063252402</c:v>
                </c:pt>
                <c:pt idx="40">
                  <c:v>21.626408950163512</c:v>
                </c:pt>
                <c:pt idx="41">
                  <c:v>21.895083210968458</c:v>
                </c:pt>
                <c:pt idx="42">
                  <c:v>22.160500764162947</c:v>
                </c:pt>
                <c:pt idx="43">
                  <c:v>22.422777253120294</c:v>
                </c:pt>
                <c:pt idx="44">
                  <c:v>22.682021635014426</c:v>
                </c:pt>
                <c:pt idx="45">
                  <c:v>22.938336709830168</c:v>
                </c:pt>
                <c:pt idx="46">
                  <c:v>23.191819596746186</c:v>
                </c:pt>
                <c:pt idx="47">
                  <c:v>23.442562164151447</c:v>
                </c:pt>
                <c:pt idx="48">
                  <c:v>23.690651418694493</c:v>
                </c:pt>
                <c:pt idx="49">
                  <c:v>24.042043898376914</c:v>
                </c:pt>
                <c:pt idx="50">
                  <c:v>24.545762657335313</c:v>
                </c:pt>
                <c:pt idx="51">
                  <c:v>25.049898771046266</c:v>
                </c:pt>
                <c:pt idx="52">
                  <c:v>25.564997720594789</c:v>
                </c:pt>
                <c:pt idx="53">
                  <c:v>26.097515586886523</c:v>
                </c:pt>
                <c:pt idx="54">
                  <c:v>26.625529547145614</c:v>
                </c:pt>
                <c:pt idx="55">
                  <c:v>27.146802413108261</c:v>
                </c:pt>
                <c:pt idx="56">
                  <c:v>27.669218821391077</c:v>
                </c:pt>
                <c:pt idx="57">
                  <c:v>28.192785751273455</c:v>
                </c:pt>
                <c:pt idx="58">
                  <c:v>28.717510239110084</c:v>
                </c:pt>
                <c:pt idx="59">
                  <c:v>29.243399378901039</c:v>
                </c:pt>
                <c:pt idx="60">
                  <c:v>29.770460322870353</c:v>
                </c:pt>
                <c:pt idx="61">
                  <c:v>30.298700282052732</c:v>
                </c:pt>
                <c:pt idx="62">
                  <c:v>30.82812652688872</c:v>
                </c:pt>
                <c:pt idx="63">
                  <c:v>31.358746387828074</c:v>
                </c:pt>
                <c:pt idx="64">
                  <c:v>31.89056725594137</c:v>
                </c:pt>
                <c:pt idx="65">
                  <c:v>32.423596583540117</c:v>
                </c:pt>
                <c:pt idx="66">
                  <c:v>32.957841884805028</c:v>
                </c:pt>
                <c:pt idx="67">
                  <c:v>33.493310736422899</c:v>
                </c:pt>
                <c:pt idx="68">
                  <c:v>34.030010778231855</c:v>
                </c:pt>
                <c:pt idx="69">
                  <c:v>34.56794971387513</c:v>
                </c:pt>
                <c:pt idx="70">
                  <c:v>35.107135311463665</c:v>
                </c:pt>
                <c:pt idx="71">
                  <c:v>35.647575404247071</c:v>
                </c:pt>
                <c:pt idx="72">
                  <c:v>36.189277891293742</c:v>
                </c:pt>
                <c:pt idx="73">
                  <c:v>36.732250738179623</c:v>
                </c:pt>
                <c:pt idx="74">
                  <c:v>37.276501977686138</c:v>
                </c:pt>
                <c:pt idx="75">
                  <c:v>37.822039710507035</c:v>
                </c:pt>
                <c:pt idx="76">
                  <c:v>38.368872105964677</c:v>
                </c:pt>
                <c:pt idx="77">
                  <c:v>38.917007402735443</c:v>
                </c:pt>
                <c:pt idx="78">
                  <c:v>39.466453909584679</c:v>
                </c:pt>
                <c:pt idx="79">
                  <c:v>40.017220006111152</c:v>
                </c:pt>
                <c:pt idx="80">
                  <c:v>40.569314143501394</c:v>
                </c:pt>
                <c:pt idx="81">
                  <c:v>41.122744845293603</c:v>
                </c:pt>
                <c:pt idx="82">
                  <c:v>41.677520708151668</c:v>
                </c:pt>
                <c:pt idx="83">
                  <c:v>42.233650402649268</c:v>
                </c:pt>
                <c:pt idx="84">
                  <c:v>42.791142674064226</c:v>
                </c:pt>
                <c:pt idx="85">
                  <c:v>43.350006343183189</c:v>
                </c:pt>
                <c:pt idx="86">
                  <c:v>43.910250307116904</c:v>
                </c:pt>
                <c:pt idx="87">
                  <c:v>44.471883540126186</c:v>
                </c:pt>
                <c:pt idx="88">
                  <c:v>45.03491509445869</c:v>
                </c:pt>
                <c:pt idx="89">
                  <c:v>45.59935410119671</c:v>
                </c:pt>
                <c:pt idx="90">
                  <c:v>46.165209771116103</c:v>
                </c:pt>
                <c:pt idx="91">
                  <c:v>46.732491395556671</c:v>
                </c:pt>
                <c:pt idx="92">
                  <c:v>47.301208347303842</c:v>
                </c:pt>
                <c:pt idx="93">
                  <c:v>47.871370081482198</c:v>
                </c:pt>
                <c:pt idx="94">
                  <c:v>48.442986136460718</c:v>
                </c:pt>
                <c:pt idx="95">
                  <c:v>49.016066134770263</c:v>
                </c:pt>
                <c:pt idx="96">
                  <c:v>49.590619784032896</c:v>
                </c:pt>
                <c:pt idx="97">
                  <c:v>50.166656877904011</c:v>
                </c:pt>
                <c:pt idx="98">
                  <c:v>50.744187297026762</c:v>
                </c:pt>
                <c:pt idx="99">
                  <c:v>51.323221009999365</c:v>
                </c:pt>
                <c:pt idx="100">
                  <c:v>51.90376807435544</c:v>
                </c:pt>
              </c:numCache>
            </c:numRef>
          </c:val>
          <c:smooth val="0"/>
          <c:extLst>
            <c:ext xmlns:c16="http://schemas.microsoft.com/office/drawing/2014/chart" uri="{C3380CC4-5D6E-409C-BE32-E72D297353CC}">
              <c16:uniqueId val="{00000000-447A-452D-BA63-8F5F5DADC23C}"/>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Single'!$AJ$5:$AJ$105</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13.677503241529088</c:v>
                </c:pt>
                <c:pt idx="17">
                  <c:v>14.098460672331537</c:v>
                </c:pt>
                <c:pt idx="18">
                  <c:v>14.507209369262272</c:v>
                </c:pt>
                <c:pt idx="19">
                  <c:v>14.904753774692461</c:v>
                </c:pt>
                <c:pt idx="20">
                  <c:v>15.29196771846008</c:v>
                </c:pt>
                <c:pt idx="21">
                  <c:v>15.669617026993173</c:v>
                </c:pt>
                <c:pt idx="22">
                  <c:v>16.038377336396206</c:v>
                </c:pt>
                <c:pt idx="23">
                  <c:v>16.398848297280871</c:v>
                </c:pt>
                <c:pt idx="24">
                  <c:v>16.751565026376291</c:v>
                </c:pt>
                <c:pt idx="25">
                  <c:v>17.097007430342252</c:v>
                </c:pt>
                <c:pt idx="26">
                  <c:v>17.435607865934102</c:v>
                </c:pt>
                <c:pt idx="27">
                  <c:v>17.767757485555826</c:v>
                </c:pt>
                <c:pt idx="28">
                  <c:v>18.093811533860897</c:v>
                </c:pt>
                <c:pt idx="29">
                  <c:v>18.414093799853429</c:v>
                </c:pt>
                <c:pt idx="30">
                  <c:v>18.728900383451947</c:v>
                </c:pt>
                <c:pt idx="31">
                  <c:v>19.038502901281255</c:v>
                </c:pt>
                <c:pt idx="32">
                  <c:v>19.343151230478792</c:v>
                </c:pt>
                <c:pt idx="33">
                  <c:v>19.643075869371319</c:v>
                </c:pt>
                <c:pt idx="34">
                  <c:v>19.938489978447699</c:v>
                </c:pt>
                <c:pt idx="35">
                  <c:v>20.229591153005988</c:v>
                </c:pt>
                <c:pt idx="36">
                  <c:v>20.516562969371019</c:v>
                </c:pt>
                <c:pt idx="37">
                  <c:v>20.799576339060387</c:v>
                </c:pt>
                <c:pt idx="38">
                  <c:v>21.078790699273384</c:v>
                </c:pt>
                <c:pt idx="39">
                  <c:v>21.354355063252402</c:v>
                </c:pt>
                <c:pt idx="40">
                  <c:v>21.626408950163512</c:v>
                </c:pt>
                <c:pt idx="41">
                  <c:v>21.895083210968458</c:v>
                </c:pt>
                <c:pt idx="42">
                  <c:v>22.160500764162947</c:v>
                </c:pt>
                <c:pt idx="43">
                  <c:v>22.422777253120294</c:v>
                </c:pt>
                <c:pt idx="44">
                  <c:v>22.682021635014426</c:v>
                </c:pt>
                <c:pt idx="45">
                  <c:v>22.938336709830168</c:v>
                </c:pt>
                <c:pt idx="46">
                  <c:v>23.191819596746186</c:v>
                </c:pt>
                <c:pt idx="47">
                  <c:v>23.442562164151447</c:v>
                </c:pt>
                <c:pt idx="48">
                  <c:v>23.690651418694493</c:v>
                </c:pt>
                <c:pt idx="49">
                  <c:v>23.93616985803704</c:v>
                </c:pt>
                <c:pt idx="50">
                  <c:v>24.179195791366734</c:v>
                </c:pt>
                <c:pt idx="51">
                  <c:v>24.419803631199049</c:v>
                </c:pt>
                <c:pt idx="52">
                  <c:v>24.658064159550531</c:v>
                </c:pt>
                <c:pt idx="53">
                  <c:v>24.894044771182045</c:v>
                </c:pt>
                <c:pt idx="54">
                  <c:v>25.127809696280956</c:v>
                </c:pt>
                <c:pt idx="55">
                  <c:v>25.35942020466754</c:v>
                </c:pt>
                <c:pt idx="56">
                  <c:v>25.588934793365272</c:v>
                </c:pt>
                <c:pt idx="57">
                  <c:v>25.816409359162062</c:v>
                </c:pt>
                <c:pt idx="58">
                  <c:v>26.04189735760481</c:v>
                </c:pt>
                <c:pt idx="59">
                  <c:v>26.265449949708486</c:v>
                </c:pt>
                <c:pt idx="60">
                  <c:v>26.487116137520498</c:v>
                </c:pt>
                <c:pt idx="61">
                  <c:v>26.706942889557933</c:v>
                </c:pt>
                <c:pt idx="62">
                  <c:v>26.924975257027221</c:v>
                </c:pt>
                <c:pt idx="63">
                  <c:v>27.141256481640863</c:v>
                </c:pt>
                <c:pt idx="64">
                  <c:v>27.355828095761986</c:v>
                </c:pt>
                <c:pt idx="65">
                  <c:v>27.568730015533749</c:v>
                </c:pt>
                <c:pt idx="66">
                  <c:v>27.780000627584876</c:v>
                </c:pt>
                <c:pt idx="67">
                  <c:v>27.989676869844835</c:v>
                </c:pt>
                <c:pt idx="68">
                  <c:v>28.404260031090928</c:v>
                </c:pt>
                <c:pt idx="69">
                  <c:v>28.829673535132134</c:v>
                </c:pt>
                <c:pt idx="70">
                  <c:v>29.266670554971739</c:v>
                </c:pt>
                <c:pt idx="71">
                  <c:v>29.706248870424854</c:v>
                </c:pt>
                <c:pt idx="72">
                  <c:v>30.145193496187733</c:v>
                </c:pt>
                <c:pt idx="73">
                  <c:v>30.579998107646727</c:v>
                </c:pt>
                <c:pt idx="74">
                  <c:v>31.015285201061069</c:v>
                </c:pt>
                <c:pt idx="75">
                  <c:v>31.451056568274804</c:v>
                </c:pt>
                <c:pt idx="76">
                  <c:v>31.887314010042221</c:v>
                </c:pt>
                <c:pt idx="77">
                  <c:v>32.324059336081596</c:v>
                </c:pt>
                <c:pt idx="78">
                  <c:v>32.76129436512938</c:v>
                </c:pt>
                <c:pt idx="79">
                  <c:v>33.199020924994905</c:v>
                </c:pt>
                <c:pt idx="80">
                  <c:v>33.637240852615676</c:v>
                </c:pt>
                <c:pt idx="81">
                  <c:v>34.075955994113073</c:v>
                </c:pt>
                <c:pt idx="82">
                  <c:v>34.515168204848628</c:v>
                </c:pt>
                <c:pt idx="83">
                  <c:v>34.954879349480827</c:v>
                </c:pt>
                <c:pt idx="84">
                  <c:v>35.395091302022337</c:v>
                </c:pt>
                <c:pt idx="85">
                  <c:v>35.835805945897732</c:v>
                </c:pt>
                <c:pt idx="86">
                  <c:v>36.277025174001864</c:v>
                </c:pt>
                <c:pt idx="87">
                  <c:v>36.718750888758535</c:v>
                </c:pt>
                <c:pt idx="88">
                  <c:v>37.160985002179793</c:v>
                </c:pt>
                <c:pt idx="89">
                  <c:v>37.603729435925622</c:v>
                </c:pt>
                <c:pt idx="90">
                  <c:v>38.046986121364291</c:v>
                </c:pt>
                <c:pt idx="91">
                  <c:v>38.490756999633049</c:v>
                </c:pt>
                <c:pt idx="92">
                  <c:v>38.935044021699369</c:v>
                </c:pt>
                <c:pt idx="93">
                  <c:v>39.379849148422686</c:v>
                </c:pt>
                <c:pt idx="94">
                  <c:v>39.825174350616663</c:v>
                </c:pt>
                <c:pt idx="95">
                  <c:v>40.271021609112005</c:v>
                </c:pt>
                <c:pt idx="96">
                  <c:v>40.717392914819591</c:v>
                </c:pt>
                <c:pt idx="97">
                  <c:v>41.164290268794382</c:v>
                </c:pt>
                <c:pt idx="98">
                  <c:v>41.611715682299575</c:v>
                </c:pt>
                <c:pt idx="99">
                  <c:v>42.059671176871532</c:v>
                </c:pt>
                <c:pt idx="100">
                  <c:v>42.508158784384982</c:v>
                </c:pt>
              </c:numCache>
            </c:numRef>
          </c:val>
          <c:smooth val="0"/>
          <c:extLst>
            <c:ext xmlns:c16="http://schemas.microsoft.com/office/drawing/2014/chart" uri="{C3380CC4-5D6E-409C-BE32-E72D297353CC}">
              <c16:uniqueId val="{00000001-447A-452D-BA63-8F5F5DADC23C}"/>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13.677503241529088</c:v>
                </c:pt>
                <c:pt idx="17">
                  <c:v>14.098460672331537</c:v>
                </c:pt>
                <c:pt idx="18">
                  <c:v>14.507209369262272</c:v>
                </c:pt>
                <c:pt idx="19">
                  <c:v>14.904753774692461</c:v>
                </c:pt>
                <c:pt idx="20">
                  <c:v>15.29196771846008</c:v>
                </c:pt>
                <c:pt idx="21">
                  <c:v>15.669617026993173</c:v>
                </c:pt>
                <c:pt idx="22">
                  <c:v>16.038377336396206</c:v>
                </c:pt>
                <c:pt idx="23">
                  <c:v>16.398848297280871</c:v>
                </c:pt>
                <c:pt idx="24">
                  <c:v>16.751565026376291</c:v>
                </c:pt>
                <c:pt idx="25">
                  <c:v>17.097007430342252</c:v>
                </c:pt>
                <c:pt idx="26">
                  <c:v>17.435607865934102</c:v>
                </c:pt>
                <c:pt idx="27">
                  <c:v>17.767757485555826</c:v>
                </c:pt>
                <c:pt idx="28">
                  <c:v>18.093811533860897</c:v>
                </c:pt>
                <c:pt idx="29">
                  <c:v>18.414093799853429</c:v>
                </c:pt>
                <c:pt idx="30">
                  <c:v>18.728900383451947</c:v>
                </c:pt>
                <c:pt idx="31">
                  <c:v>19.038502901281255</c:v>
                </c:pt>
                <c:pt idx="32">
                  <c:v>19.343151230478792</c:v>
                </c:pt>
                <c:pt idx="33">
                  <c:v>19.643075869371319</c:v>
                </c:pt>
                <c:pt idx="34">
                  <c:v>19.938489978447699</c:v>
                </c:pt>
                <c:pt idx="35">
                  <c:v>20.229591153005988</c:v>
                </c:pt>
                <c:pt idx="36">
                  <c:v>20.516562969371019</c:v>
                </c:pt>
                <c:pt idx="37">
                  <c:v>20.799576339060387</c:v>
                </c:pt>
                <c:pt idx="38">
                  <c:v>21.078790699273384</c:v>
                </c:pt>
                <c:pt idx="39">
                  <c:v>21.354355063252402</c:v>
                </c:pt>
                <c:pt idx="40">
                  <c:v>21.626408950163512</c:v>
                </c:pt>
                <c:pt idx="41">
                  <c:v>21.895083210968458</c:v>
                </c:pt>
                <c:pt idx="42">
                  <c:v>22.160500764162947</c:v>
                </c:pt>
                <c:pt idx="43">
                  <c:v>22.422777253120294</c:v>
                </c:pt>
                <c:pt idx="44">
                  <c:v>22.682021635014426</c:v>
                </c:pt>
                <c:pt idx="45">
                  <c:v>22.938336709830168</c:v>
                </c:pt>
                <c:pt idx="46">
                  <c:v>23.191819596746186</c:v>
                </c:pt>
                <c:pt idx="47">
                  <c:v>23.442562164151447</c:v>
                </c:pt>
                <c:pt idx="48">
                  <c:v>23.690651418694493</c:v>
                </c:pt>
                <c:pt idx="49">
                  <c:v>23.93616985803704</c:v>
                </c:pt>
                <c:pt idx="50">
                  <c:v>24.179195791366734</c:v>
                </c:pt>
                <c:pt idx="51">
                  <c:v>24.419803631199049</c:v>
                </c:pt>
                <c:pt idx="52">
                  <c:v>24.658064159550531</c:v>
                </c:pt>
                <c:pt idx="53">
                  <c:v>24.894044771182045</c:v>
                </c:pt>
                <c:pt idx="54">
                  <c:v>25.127809696280956</c:v>
                </c:pt>
                <c:pt idx="55">
                  <c:v>25.35942020466754</c:v>
                </c:pt>
                <c:pt idx="56">
                  <c:v>25.588934793365272</c:v>
                </c:pt>
                <c:pt idx="57">
                  <c:v>25.816409359162062</c:v>
                </c:pt>
                <c:pt idx="58">
                  <c:v>26.04189735760481</c:v>
                </c:pt>
                <c:pt idx="59">
                  <c:v>26.265449949708486</c:v>
                </c:pt>
                <c:pt idx="60">
                  <c:v>26.487116137520498</c:v>
                </c:pt>
                <c:pt idx="61">
                  <c:v>26.706942889557933</c:v>
                </c:pt>
                <c:pt idx="62">
                  <c:v>26.924975257027221</c:v>
                </c:pt>
                <c:pt idx="63">
                  <c:v>27.141256481640863</c:v>
                </c:pt>
                <c:pt idx="64">
                  <c:v>27.355828095761986</c:v>
                </c:pt>
                <c:pt idx="65">
                  <c:v>27.568730015533749</c:v>
                </c:pt>
                <c:pt idx="66">
                  <c:v>27.780000627584876</c:v>
                </c:pt>
                <c:pt idx="67">
                  <c:v>27.989676869844835</c:v>
                </c:pt>
                <c:pt idx="68">
                  <c:v>28.197794306950481</c:v>
                </c:pt>
                <c:pt idx="69">
                  <c:v>28.404387200680027</c:v>
                </c:pt>
                <c:pt idx="70">
                  <c:v>28.609488575809443</c:v>
                </c:pt>
                <c:pt idx="71">
                  <c:v>28.813130281749647</c:v>
                </c:pt>
                <c:pt idx="72">
                  <c:v>29.015343050290326</c:v>
                </c:pt>
                <c:pt idx="73">
                  <c:v>29.216156549746703</c:v>
                </c:pt>
                <c:pt idx="74">
                  <c:v>29.415599435779505</c:v>
                </c:pt>
                <c:pt idx="75">
                  <c:v>29.6136993991345</c:v>
                </c:pt>
                <c:pt idx="76">
                  <c:v>29.810483210526819</c:v>
                </c:pt>
                <c:pt idx="77">
                  <c:v>30.005976762876077</c:v>
                </c:pt>
                <c:pt idx="78">
                  <c:v>30.200205111080841</c:v>
                </c:pt>
                <c:pt idx="79">
                  <c:v>30.393192509505578</c:v>
                </c:pt>
                <c:pt idx="80">
                  <c:v>30.584962447338654</c:v>
                </c:pt>
                <c:pt idx="81">
                  <c:v>30.775537681967535</c:v>
                </c:pt>
                <c:pt idx="82">
                  <c:v>30.964940270505224</c:v>
                </c:pt>
                <c:pt idx="83">
                  <c:v>31.310095095229787</c:v>
                </c:pt>
                <c:pt idx="84">
                  <c:v>31.698371076274494</c:v>
                </c:pt>
                <c:pt idx="85">
                  <c:v>32.088838264067348</c:v>
                </c:pt>
                <c:pt idx="86">
                  <c:v>32.479711641490894</c:v>
                </c:pt>
                <c:pt idx="87">
                  <c:v>32.869101828844926</c:v>
                </c:pt>
                <c:pt idx="88">
                  <c:v>33.257443753514856</c:v>
                </c:pt>
                <c:pt idx="89">
                  <c:v>33.646043817362212</c:v>
                </c:pt>
                <c:pt idx="90">
                  <c:v>34.034902693447819</c:v>
                </c:pt>
                <c:pt idx="91">
                  <c:v>34.424021057181861</c:v>
                </c:pt>
                <c:pt idx="92">
                  <c:v>34.813399586333709</c:v>
                </c:pt>
                <c:pt idx="93">
                  <c:v>35.203038961041834</c:v>
                </c:pt>
                <c:pt idx="94">
                  <c:v>35.59293986382383</c:v>
                </c:pt>
                <c:pt idx="95">
                  <c:v>35.983102979586448</c:v>
                </c:pt>
                <c:pt idx="96">
                  <c:v>36.373528995635795</c:v>
                </c:pt>
                <c:pt idx="97">
                  <c:v>36.764218601687482</c:v>
                </c:pt>
                <c:pt idx="98">
                  <c:v>37.155172489876961</c:v>
                </c:pt>
                <c:pt idx="99">
                  <c:v>37.54639135476986</c:v>
                </c:pt>
                <c:pt idx="100">
                  <c:v>37.93787589337245</c:v>
                </c:pt>
              </c:numCache>
            </c:numRef>
          </c:val>
          <c:smooth val="0"/>
          <c:extLst>
            <c:ext xmlns:c16="http://schemas.microsoft.com/office/drawing/2014/chart" uri="{C3380CC4-5D6E-409C-BE32-E72D297353CC}">
              <c16:uniqueId val="{00000002-447A-452D-BA63-8F5F5DADC23C}"/>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1.0131536274394712</c:v>
                </c:pt>
                <c:pt idx="2">
                  <c:v>1.0263072548789423</c:v>
                </c:pt>
                <c:pt idx="3">
                  <c:v>1.0394608823184135</c:v>
                </c:pt>
                <c:pt idx="4">
                  <c:v>1.0526145097578845</c:v>
                </c:pt>
                <c:pt idx="5">
                  <c:v>1.0657681371973557</c:v>
                </c:pt>
                <c:pt idx="6">
                  <c:v>1.0789217646368268</c:v>
                </c:pt>
                <c:pt idx="7">
                  <c:v>1.092075392076298</c:v>
                </c:pt>
                <c:pt idx="8">
                  <c:v>1.105229019515769</c:v>
                </c:pt>
                <c:pt idx="9">
                  <c:v>1.1183826469552403</c:v>
                </c:pt>
                <c:pt idx="10">
                  <c:v>1.1315362743947115</c:v>
                </c:pt>
                <c:pt idx="11">
                  <c:v>1.1446899018341825</c:v>
                </c:pt>
                <c:pt idx="12">
                  <c:v>1.1578435292736537</c:v>
                </c:pt>
                <c:pt idx="13">
                  <c:v>1.1709971567131248</c:v>
                </c:pt>
                <c:pt idx="14">
                  <c:v>1.184150784152596</c:v>
                </c:pt>
                <c:pt idx="15">
                  <c:v>1.197304411592067</c:v>
                </c:pt>
                <c:pt idx="16">
                  <c:v>1.4549406727375955</c:v>
                </c:pt>
                <c:pt idx="17">
                  <c:v>1.7667609918505209</c:v>
                </c:pt>
                <c:pt idx="18">
                  <c:v>2.069537804391806</c:v>
                </c:pt>
                <c:pt idx="19">
                  <c:v>2.364015141747501</c:v>
                </c:pt>
                <c:pt idx="20">
                  <c:v>2.6508402852790711</c:v>
                </c:pt>
                <c:pt idx="21">
                  <c:v>2.9305805138221026</c:v>
                </c:pt>
                <c:pt idx="22">
                  <c:v>3.2037362985650901</c:v>
                </c:pt>
                <c:pt idx="23">
                  <c:v>3.4707518251463236</c:v>
                </c:pt>
                <c:pt idx="24">
                  <c:v>3.7320234763281164</c:v>
                </c:pt>
                <c:pt idx="25">
                  <c:v>3.9879067385251243</c:v>
                </c:pt>
                <c:pt idx="26">
                  <c:v>4.2387218760005689</c:v>
                </c:pt>
                <c:pt idx="27">
                  <c:v>4.4847586312759198</c:v>
                </c:pt>
                <c:pt idx="28">
                  <c:v>4.7262801485389359</c:v>
                </c:pt>
                <c:pt idx="29">
                  <c:v>4.9635262714963666</c:v>
                </c:pt>
                <c:pt idx="30">
                  <c:v>5.196716333421195</c:v>
                </c:pt>
                <c:pt idx="31">
                  <c:v>5.4260515318132754</c:v>
                </c:pt>
                <c:pt idx="32">
                  <c:v>5.6517169608484874</c:v>
                </c:pt>
                <c:pt idx="33">
                  <c:v>5.8738833600281382</c:v>
                </c:pt>
                <c:pt idx="34">
                  <c:v>6.0927086260106407</c:v>
                </c:pt>
                <c:pt idx="35">
                  <c:v>6.3083391256834469</c:v>
                </c:pt>
                <c:pt idx="36">
                  <c:v>6.520910841509397</c:v>
                </c:pt>
                <c:pt idx="37">
                  <c:v>6.7305503746126316</c:v>
                </c:pt>
                <c:pt idx="38">
                  <c:v>6.9373758266222589</c:v>
                </c:pt>
                <c:pt idx="39">
                  <c:v>7.1414975777178293</c:v>
                </c:pt>
                <c:pt idx="40">
                  <c:v>7.3430189754297617</c:v>
                </c:pt>
                <c:pt idx="41">
                  <c:v>7.5420369463963883</c:v>
                </c:pt>
                <c:pt idx="42">
                  <c:v>7.7386425413552695</c:v>
                </c:pt>
                <c:pt idx="43">
                  <c:v>7.9329214220644149</c:v>
                </c:pt>
                <c:pt idx="44">
                  <c:v>8.1249542975415494</c:v>
                </c:pt>
                <c:pt idx="45">
                  <c:v>8.3148173159235803</c:v>
                </c:pt>
                <c:pt idx="46">
                  <c:v>8.5025824173428539</c:v>
                </c:pt>
                <c:pt idx="47">
                  <c:v>8.6883176524578616</c:v>
                </c:pt>
                <c:pt idx="48">
                  <c:v>8.8720874706378954</c:v>
                </c:pt>
                <c:pt idx="49">
                  <c:v>9.1323781963285775</c:v>
                </c:pt>
                <c:pt idx="50">
                  <c:v>9.5055032029644284</c:v>
                </c:pt>
                <c:pt idx="51">
                  <c:v>9.8789373612688376</c:v>
                </c:pt>
                <c:pt idx="52">
                  <c:v>10.260492138712189</c:v>
                </c:pt>
                <c:pt idx="53">
                  <c:v>10.654949817446806</c:v>
                </c:pt>
                <c:pt idx="54">
                  <c:v>11.046071269490579</c:v>
                </c:pt>
                <c:pt idx="55">
                  <c:v>11.432199318351797</c:v>
                </c:pt>
                <c:pt idx="56">
                  <c:v>11.819174435598327</c:v>
                </c:pt>
                <c:pt idx="57">
                  <c:v>12.207001791066755</c:v>
                </c:pt>
                <c:pt idx="58">
                  <c:v>12.595686596871666</c:v>
                </c:pt>
                <c:pt idx="59">
                  <c:v>12.985234107827928</c:v>
                </c:pt>
                <c:pt idx="60">
                  <c:v>13.375649621879273</c:v>
                </c:pt>
                <c:pt idx="61">
                  <c:v>13.766938480532888</c:v>
                </c:pt>
                <c:pt idx="62">
                  <c:v>14.159106069300288</c:v>
                </c:pt>
                <c:pt idx="63">
                  <c:v>14.552157818144252</c:v>
                </c:pt>
                <c:pt idx="64">
                  <c:v>14.946099201931876</c:v>
                </c:pt>
                <c:pt idx="65">
                  <c:v>15.340935740893912</c:v>
                </c:pt>
                <c:pt idx="66">
                  <c:v>15.736673001090143</c:v>
                </c:pt>
                <c:pt idx="67">
                  <c:v>16.133316594881158</c:v>
                </c:pt>
                <c:pt idx="68">
                  <c:v>16.530872181406309</c:v>
                </c:pt>
                <c:pt idx="69">
                  <c:v>16.929345467067996</c:v>
                </c:pt>
                <c:pt idx="70">
                  <c:v>17.328742206022465</c:v>
                </c:pt>
                <c:pt idx="71">
                  <c:v>17.729068200676842</c:v>
                </c:pt>
                <c:pt idx="72">
                  <c:v>18.130329302192891</c:v>
                </c:pt>
                <c:pt idx="73">
                  <c:v>18.532531410997247</c:v>
                </c:pt>
                <c:pt idx="74">
                  <c:v>18.935680477298369</c:v>
                </c:pt>
                <c:pt idx="75">
                  <c:v>19.339782501610145</c:v>
                </c:pt>
                <c:pt idx="76">
                  <c:v>19.744843535282474</c:v>
                </c:pt>
                <c:pt idx="77">
                  <c:v>20.150869681038596</c:v>
                </c:pt>
                <c:pt idx="78">
                  <c:v>20.557867093519516</c:v>
                </c:pt>
                <c:pt idx="79">
                  <c:v>20.965841979835417</c:v>
                </c:pt>
                <c:pt idx="80">
                  <c:v>21.374800600124487</c:v>
                </c:pt>
                <c:pt idx="81">
                  <c:v>21.784749268118716</c:v>
                </c:pt>
                <c:pt idx="82">
                  <c:v>22.195694351717282</c:v>
                </c:pt>
                <c:pt idx="83">
                  <c:v>22.607642273567357</c:v>
                </c:pt>
                <c:pt idx="84">
                  <c:v>23.02059951165251</c:v>
                </c:pt>
                <c:pt idx="85">
                  <c:v>23.434572599888778</c:v>
                </c:pt>
                <c:pt idx="86">
                  <c:v>23.849568128728567</c:v>
                </c:pt>
                <c:pt idx="87">
                  <c:v>24.26559274577248</c:v>
                </c:pt>
                <c:pt idx="88">
                  <c:v>24.682653156389151</c:v>
                </c:pt>
                <c:pt idx="89">
                  <c:v>25.100756124343238</c:v>
                </c:pt>
                <c:pt idx="90">
                  <c:v>25.519908472431677</c:v>
                </c:pt>
                <c:pt idx="91">
                  <c:v>25.940117083128396</c:v>
                </c:pt>
                <c:pt idx="92">
                  <c:v>26.361388899237411</c:v>
                </c:pt>
                <c:pt idx="93">
                  <c:v>26.783730924554714</c:v>
                </c:pt>
                <c:pt idx="94">
                  <c:v>27.2071502245388</c:v>
                </c:pt>
                <c:pt idx="95">
                  <c:v>27.631653926990317</c:v>
                </c:pt>
                <c:pt idx="96">
                  <c:v>28.057249222740417</c:v>
                </c:pt>
                <c:pt idx="97">
                  <c:v>28.483943366348651</c:v>
                </c:pt>
                <c:pt idx="98">
                  <c:v>28.911743676809945</c:v>
                </c:pt>
                <c:pt idx="99">
                  <c:v>29.340657538271131</c:v>
                </c:pt>
                <c:pt idx="100">
                  <c:v>29.77069240075711</c:v>
                </c:pt>
              </c:numCache>
            </c:numRef>
          </c:val>
          <c:smooth val="0"/>
          <c:extLst>
            <c:ext xmlns:c16="http://schemas.microsoft.com/office/drawing/2014/chart" uri="{C3380CC4-5D6E-409C-BE32-E72D297353CC}">
              <c16:uniqueId val="{00000000-745B-46F7-8EAC-D410ADA60268}"/>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Single'!$AK$5:$AK$105</c:f>
              <c:numCache>
                <c:formatCode>0.000</c:formatCode>
                <c:ptCount val="101"/>
                <c:pt idx="0">
                  <c:v>1.0068571428571429</c:v>
                </c:pt>
                <c:pt idx="1">
                  <c:v>1.0131536274394712</c:v>
                </c:pt>
                <c:pt idx="2">
                  <c:v>1.0263072548789423</c:v>
                </c:pt>
                <c:pt idx="3">
                  <c:v>1.0394608823184135</c:v>
                </c:pt>
                <c:pt idx="4">
                  <c:v>1.0526145097578845</c:v>
                </c:pt>
                <c:pt idx="5">
                  <c:v>1.0657681371973557</c:v>
                </c:pt>
                <c:pt idx="6">
                  <c:v>1.0789217646368268</c:v>
                </c:pt>
                <c:pt idx="7">
                  <c:v>1.092075392076298</c:v>
                </c:pt>
                <c:pt idx="8">
                  <c:v>1.105229019515769</c:v>
                </c:pt>
                <c:pt idx="9">
                  <c:v>1.1183826469552403</c:v>
                </c:pt>
                <c:pt idx="10">
                  <c:v>1.1315362743947115</c:v>
                </c:pt>
                <c:pt idx="11">
                  <c:v>1.1446899018341825</c:v>
                </c:pt>
                <c:pt idx="12">
                  <c:v>1.1578435292736537</c:v>
                </c:pt>
                <c:pt idx="13">
                  <c:v>1.1709971567131248</c:v>
                </c:pt>
                <c:pt idx="14">
                  <c:v>1.184150784152596</c:v>
                </c:pt>
                <c:pt idx="15">
                  <c:v>1.197304411592067</c:v>
                </c:pt>
                <c:pt idx="16">
                  <c:v>1.4549406727375955</c:v>
                </c:pt>
                <c:pt idx="17">
                  <c:v>1.7667609918505209</c:v>
                </c:pt>
                <c:pt idx="18">
                  <c:v>2.069537804391806</c:v>
                </c:pt>
                <c:pt idx="19">
                  <c:v>2.364015141747501</c:v>
                </c:pt>
                <c:pt idx="20">
                  <c:v>2.6508402852790711</c:v>
                </c:pt>
                <c:pt idx="21">
                  <c:v>2.9305805138221026</c:v>
                </c:pt>
                <c:pt idx="22">
                  <c:v>3.2037362985650901</c:v>
                </c:pt>
                <c:pt idx="23">
                  <c:v>3.4707518251463236</c:v>
                </c:pt>
                <c:pt idx="24">
                  <c:v>3.7320234763281164</c:v>
                </c:pt>
                <c:pt idx="25">
                  <c:v>3.9879067385251243</c:v>
                </c:pt>
                <c:pt idx="26">
                  <c:v>4.2387218760005689</c:v>
                </c:pt>
                <c:pt idx="27">
                  <c:v>4.4847586312759198</c:v>
                </c:pt>
                <c:pt idx="28">
                  <c:v>4.7262801485389359</c:v>
                </c:pt>
                <c:pt idx="29">
                  <c:v>4.9635262714963666</c:v>
                </c:pt>
                <c:pt idx="30">
                  <c:v>5.196716333421195</c:v>
                </c:pt>
                <c:pt idx="31">
                  <c:v>5.4260515318132754</c:v>
                </c:pt>
                <c:pt idx="32">
                  <c:v>5.6517169608484874</c:v>
                </c:pt>
                <c:pt idx="33">
                  <c:v>5.8738833600281382</c:v>
                </c:pt>
                <c:pt idx="34">
                  <c:v>6.0927086260106407</c:v>
                </c:pt>
                <c:pt idx="35">
                  <c:v>6.3083391256834469</c:v>
                </c:pt>
                <c:pt idx="36">
                  <c:v>6.520910841509397</c:v>
                </c:pt>
                <c:pt idx="37">
                  <c:v>6.7305503746126316</c:v>
                </c:pt>
                <c:pt idx="38">
                  <c:v>6.9373758266222589</c:v>
                </c:pt>
                <c:pt idx="39">
                  <c:v>7.1414975777178293</c:v>
                </c:pt>
                <c:pt idx="40">
                  <c:v>7.3430189754297617</c:v>
                </c:pt>
                <c:pt idx="41">
                  <c:v>7.5420369463963883</c:v>
                </c:pt>
                <c:pt idx="42">
                  <c:v>7.7386425413552695</c:v>
                </c:pt>
                <c:pt idx="43">
                  <c:v>7.9329214220644149</c:v>
                </c:pt>
                <c:pt idx="44">
                  <c:v>8.1249542975415494</c:v>
                </c:pt>
                <c:pt idx="45">
                  <c:v>8.3148173159235803</c:v>
                </c:pt>
                <c:pt idx="46">
                  <c:v>8.5025824173428539</c:v>
                </c:pt>
                <c:pt idx="47">
                  <c:v>8.6883176524578616</c:v>
                </c:pt>
                <c:pt idx="48">
                  <c:v>8.8720874706378954</c:v>
                </c:pt>
                <c:pt idx="49">
                  <c:v>9.0539529812620039</c:v>
                </c:pt>
                <c:pt idx="50">
                  <c:v>9.2339721911358499</c:v>
                </c:pt>
                <c:pt idx="51">
                  <c:v>9.4122002206412692</c:v>
                </c:pt>
                <c:pt idx="52">
                  <c:v>9.5886895009016264</c:v>
                </c:pt>
                <c:pt idx="53">
                  <c:v>9.7634899539620079</c:v>
                </c:pt>
                <c:pt idx="54">
                  <c:v>9.9366491577389784</c:v>
                </c:pt>
                <c:pt idx="55">
                  <c:v>10.108212497284596</c:v>
                </c:pt>
                <c:pt idx="56">
                  <c:v>10.27822330372736</c:v>
                </c:pt>
                <c:pt idx="57">
                  <c:v>10.446722982095354</c:v>
                </c:pt>
                <c:pt idx="58">
                  <c:v>10.613751129089982</c:v>
                </c:pt>
                <c:pt idx="59">
                  <c:v>10.779345641759372</c:v>
                </c:pt>
                <c:pt idx="60">
                  <c:v>10.943542817916418</c:v>
                </c:pt>
                <c:pt idx="61">
                  <c:v>11.106377449055257</c:v>
                </c:pt>
                <c:pt idx="62">
                  <c:v>11.267882906439915</c:v>
                </c:pt>
                <c:pt idx="63">
                  <c:v>11.42809122096854</c:v>
                </c:pt>
                <c:pt idx="64">
                  <c:v>11.587033157354556</c:v>
                </c:pt>
                <c:pt idx="65">
                  <c:v>11.744738283111419</c:v>
                </c:pt>
                <c:pt idx="66">
                  <c:v>11.901235032778919</c:v>
                </c:pt>
                <c:pt idx="67">
                  <c:v>12.056550767786296</c:v>
                </c:pt>
                <c:pt idx="68">
                  <c:v>12.363649405746365</c:v>
                </c:pt>
                <c:pt idx="69">
                  <c:v>12.678770519850962</c:v>
                </c:pt>
                <c:pt idx="70">
                  <c:v>13.002472016028447</c:v>
                </c:pt>
                <c:pt idx="71">
                  <c:v>13.328085583030756</c:v>
                </c:pt>
                <c:pt idx="72">
                  <c:v>13.653229750262518</c:v>
                </c:pt>
                <c:pt idx="73">
                  <c:v>13.975307240232144</c:v>
                </c:pt>
                <c:pt idx="74">
                  <c:v>14.297742124242765</c:v>
                </c:pt>
                <c:pt idx="75">
                  <c:v>14.620535729586274</c:v>
                </c:pt>
                <c:pt idx="76">
                  <c:v>14.943689390154731</c:v>
                </c:pt>
                <c:pt idx="77">
                  <c:v>15.267204446480193</c:v>
                </c:pt>
                <c:pt idx="78">
                  <c:v>15.591082245774848</c:v>
                </c:pt>
                <c:pt idx="79">
                  <c:v>15.915324141971533</c:v>
                </c:pt>
                <c:pt idx="80">
                  <c:v>16.239931495764697</c:v>
                </c:pt>
                <c:pt idx="81">
                  <c:v>16.564905674651655</c:v>
                </c:pt>
                <c:pt idx="82">
                  <c:v>16.89024805297429</c:v>
                </c:pt>
                <c:pt idx="83">
                  <c:v>17.215960011961105</c:v>
                </c:pt>
                <c:pt idx="84">
                  <c:v>17.54204293976963</c:v>
                </c:pt>
                <c:pt idx="85">
                  <c:v>17.86849823152918</c:v>
                </c:pt>
                <c:pt idx="86">
                  <c:v>18.195327289384092</c:v>
                </c:pt>
                <c:pt idx="87">
                  <c:v>18.522531522537186</c:v>
                </c:pt>
                <c:pt idx="88">
                  <c:v>18.85011234729367</c:v>
                </c:pt>
                <c:pt idx="89">
                  <c:v>19.178071187105395</c:v>
                </c:pt>
                <c:pt idx="90">
                  <c:v>19.506409472615523</c:v>
                </c:pt>
                <c:pt idx="91">
                  <c:v>19.835128641703491</c:v>
                </c:pt>
                <c:pt idx="92">
                  <c:v>20.164230139530396</c:v>
                </c:pt>
                <c:pt idx="93">
                  <c:v>20.493715418584703</c:v>
                </c:pt>
                <c:pt idx="94">
                  <c:v>20.823585938728392</c:v>
                </c:pt>
                <c:pt idx="95">
                  <c:v>21.153843167243458</c:v>
                </c:pt>
                <c:pt idx="96">
                  <c:v>21.484488578878707</c:v>
                </c:pt>
                <c:pt idx="97">
                  <c:v>21.815523655897071</c:v>
                </c:pt>
                <c:pt idx="98">
                  <c:v>22.146949888123142</c:v>
                </c:pt>
                <c:pt idx="99">
                  <c:v>22.478768772991256</c:v>
                </c:pt>
                <c:pt idx="100">
                  <c:v>22.810981815593813</c:v>
                </c:pt>
              </c:numCache>
            </c:numRef>
          </c:val>
          <c:smooth val="0"/>
          <c:extLst>
            <c:ext xmlns:c16="http://schemas.microsoft.com/office/drawing/2014/chart" uri="{C3380CC4-5D6E-409C-BE32-E72D297353CC}">
              <c16:uniqueId val="{00000001-745B-46F7-8EAC-D410ADA60268}"/>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1.0131536274394712</c:v>
                </c:pt>
                <c:pt idx="2">
                  <c:v>1.0263072548789423</c:v>
                </c:pt>
                <c:pt idx="3">
                  <c:v>1.0394608823184135</c:v>
                </c:pt>
                <c:pt idx="4">
                  <c:v>1.0526145097578845</c:v>
                </c:pt>
                <c:pt idx="5">
                  <c:v>1.0657681371973557</c:v>
                </c:pt>
                <c:pt idx="6">
                  <c:v>1.0789217646368268</c:v>
                </c:pt>
                <c:pt idx="7">
                  <c:v>1.092075392076298</c:v>
                </c:pt>
                <c:pt idx="8">
                  <c:v>1.105229019515769</c:v>
                </c:pt>
                <c:pt idx="9">
                  <c:v>1.1183826469552403</c:v>
                </c:pt>
                <c:pt idx="10">
                  <c:v>1.1315362743947115</c:v>
                </c:pt>
                <c:pt idx="11">
                  <c:v>1.1446899018341825</c:v>
                </c:pt>
                <c:pt idx="12">
                  <c:v>1.1578435292736537</c:v>
                </c:pt>
                <c:pt idx="13">
                  <c:v>1.1709971567131248</c:v>
                </c:pt>
                <c:pt idx="14">
                  <c:v>1.184150784152596</c:v>
                </c:pt>
                <c:pt idx="15">
                  <c:v>1.197304411592067</c:v>
                </c:pt>
                <c:pt idx="16">
                  <c:v>1.4549406727375955</c:v>
                </c:pt>
                <c:pt idx="17">
                  <c:v>1.7667609918505209</c:v>
                </c:pt>
                <c:pt idx="18">
                  <c:v>2.069537804391806</c:v>
                </c:pt>
                <c:pt idx="19">
                  <c:v>2.364015141747501</c:v>
                </c:pt>
                <c:pt idx="20">
                  <c:v>2.6508402852790711</c:v>
                </c:pt>
                <c:pt idx="21">
                  <c:v>2.9305805138221026</c:v>
                </c:pt>
                <c:pt idx="22">
                  <c:v>3.2037362985650901</c:v>
                </c:pt>
                <c:pt idx="23">
                  <c:v>3.4707518251463236</c:v>
                </c:pt>
                <c:pt idx="24">
                  <c:v>3.7320234763281164</c:v>
                </c:pt>
                <c:pt idx="25">
                  <c:v>3.9879067385251243</c:v>
                </c:pt>
                <c:pt idx="26">
                  <c:v>4.2387218760005689</c:v>
                </c:pt>
                <c:pt idx="27">
                  <c:v>4.4847586312759198</c:v>
                </c:pt>
                <c:pt idx="28">
                  <c:v>4.7262801485389359</c:v>
                </c:pt>
                <c:pt idx="29">
                  <c:v>4.9635262714963666</c:v>
                </c:pt>
                <c:pt idx="30">
                  <c:v>5.196716333421195</c:v>
                </c:pt>
                <c:pt idx="31">
                  <c:v>5.4260515318132754</c:v>
                </c:pt>
                <c:pt idx="32">
                  <c:v>5.6517169608484874</c:v>
                </c:pt>
                <c:pt idx="33">
                  <c:v>5.8738833600281382</c:v>
                </c:pt>
                <c:pt idx="34">
                  <c:v>6.0927086260106407</c:v>
                </c:pt>
                <c:pt idx="35">
                  <c:v>6.3083391256834469</c:v>
                </c:pt>
                <c:pt idx="36">
                  <c:v>6.520910841509397</c:v>
                </c:pt>
                <c:pt idx="37">
                  <c:v>6.7305503746126316</c:v>
                </c:pt>
                <c:pt idx="38">
                  <c:v>6.9373758266222589</c:v>
                </c:pt>
                <c:pt idx="39">
                  <c:v>7.1414975777178293</c:v>
                </c:pt>
                <c:pt idx="40">
                  <c:v>7.3430189754297617</c:v>
                </c:pt>
                <c:pt idx="41">
                  <c:v>7.5420369463963883</c:v>
                </c:pt>
                <c:pt idx="42">
                  <c:v>7.7386425413552695</c:v>
                </c:pt>
                <c:pt idx="43">
                  <c:v>7.9329214220644149</c:v>
                </c:pt>
                <c:pt idx="44">
                  <c:v>8.1249542975415494</c:v>
                </c:pt>
                <c:pt idx="45">
                  <c:v>8.3148173159235803</c:v>
                </c:pt>
                <c:pt idx="46">
                  <c:v>8.5025824173428539</c:v>
                </c:pt>
                <c:pt idx="47">
                  <c:v>8.6883176524578616</c:v>
                </c:pt>
                <c:pt idx="48">
                  <c:v>8.8720874706378954</c:v>
                </c:pt>
                <c:pt idx="49">
                  <c:v>9.0539529812620039</c:v>
                </c:pt>
                <c:pt idx="50">
                  <c:v>9.2339721911358499</c:v>
                </c:pt>
                <c:pt idx="51">
                  <c:v>9.4122002206412692</c:v>
                </c:pt>
                <c:pt idx="52">
                  <c:v>9.5886895009016264</c:v>
                </c:pt>
                <c:pt idx="53">
                  <c:v>9.7634899539620079</c:v>
                </c:pt>
                <c:pt idx="54">
                  <c:v>9.9366491577389784</c:v>
                </c:pt>
                <c:pt idx="55">
                  <c:v>10.108212497284596</c:v>
                </c:pt>
                <c:pt idx="56">
                  <c:v>10.27822330372736</c:v>
                </c:pt>
                <c:pt idx="57">
                  <c:v>10.446722982095354</c:v>
                </c:pt>
                <c:pt idx="58">
                  <c:v>10.613751129089982</c:v>
                </c:pt>
                <c:pt idx="59">
                  <c:v>10.779345641759372</c:v>
                </c:pt>
                <c:pt idx="60">
                  <c:v>10.943542817916418</c:v>
                </c:pt>
                <c:pt idx="61">
                  <c:v>11.106377449055257</c:v>
                </c:pt>
                <c:pt idx="62">
                  <c:v>11.267882906439915</c:v>
                </c:pt>
                <c:pt idx="63">
                  <c:v>11.42809122096854</c:v>
                </c:pt>
                <c:pt idx="64">
                  <c:v>11.587033157354556</c:v>
                </c:pt>
                <c:pt idx="65">
                  <c:v>11.744738283111419</c:v>
                </c:pt>
                <c:pt idx="66">
                  <c:v>11.901235032778919</c:v>
                </c:pt>
                <c:pt idx="67">
                  <c:v>12.056550767786296</c:v>
                </c:pt>
                <c:pt idx="68">
                  <c:v>12.210711832308998</c:v>
                </c:pt>
                <c:pt idx="69">
                  <c:v>12.363743605441993</c:v>
                </c:pt>
                <c:pt idx="70">
                  <c:v>12.515670549982303</c:v>
                </c:pt>
                <c:pt idx="71">
                  <c:v>12.666516258086158</c:v>
                </c:pt>
                <c:pt idx="72">
                  <c:v>12.816303494042215</c:v>
                </c:pt>
                <c:pt idx="73">
                  <c:v>12.965054234380272</c:v>
                </c:pt>
                <c:pt idx="74">
                  <c:v>13.112789705515681</c:v>
                </c:pt>
                <c:pt idx="75">
                  <c:v>13.259530419111975</c:v>
                </c:pt>
                <c:pt idx="76">
                  <c:v>13.405296205328506</c:v>
                </c:pt>
                <c:pt idx="77">
                  <c:v>13.550106244105738</c:v>
                </c:pt>
                <c:pt idx="78">
                  <c:v>13.693979094627782</c:v>
                </c:pt>
                <c:pt idx="79">
                  <c:v>13.836932723090552</c:v>
                </c:pt>
                <c:pt idx="80">
                  <c:v>13.978984528892827</c:v>
                </c:pt>
                <c:pt idx="81">
                  <c:v>14.120151369358666</c:v>
                </c:pt>
                <c:pt idx="82">
                  <c:v>14.260449583090287</c:v>
                </c:pt>
                <c:pt idx="83">
                  <c:v>14.516119823627003</c:v>
                </c:pt>
                <c:pt idx="84">
                  <c:v>14.803731661437897</c:v>
                </c:pt>
                <c:pt idx="85">
                  <c:v>15.092966615358526</c:v>
                </c:pt>
                <c:pt idx="86">
                  <c:v>15.382502450487078</c:v>
                </c:pt>
                <c:pt idx="87">
                  <c:v>15.670939626304881</c:v>
                </c:pt>
                <c:pt idx="88">
                  <c:v>15.95860031124557</c:v>
                </c:pt>
                <c:pt idx="89">
                  <c:v>16.246452210391762</c:v>
                </c:pt>
                <c:pt idx="90">
                  <c:v>16.534495822307022</c:v>
                </c:pt>
                <c:pt idx="91">
                  <c:v>16.822731647295203</c:v>
                </c:pt>
                <c:pt idx="92">
                  <c:v>17.111160187407684</c:v>
                </c:pt>
                <c:pt idx="93">
                  <c:v>17.399781946450737</c:v>
                </c:pt>
                <c:pt idx="94">
                  <c:v>17.68859742999296</c:v>
                </c:pt>
                <c:pt idx="95">
                  <c:v>17.977607145372676</c:v>
                </c:pt>
                <c:pt idx="96">
                  <c:v>18.266811601705523</c:v>
                </c:pt>
                <c:pt idx="97">
                  <c:v>18.556211309891957</c:v>
                </c:pt>
                <c:pt idx="98">
                  <c:v>18.845806782624905</c:v>
                </c:pt>
                <c:pt idx="99">
                  <c:v>19.135598534397424</c:v>
                </c:pt>
                <c:pt idx="100">
                  <c:v>19.425587081510454</c:v>
                </c:pt>
              </c:numCache>
            </c:numRef>
          </c:val>
          <c:smooth val="0"/>
          <c:extLst>
            <c:ext xmlns:c16="http://schemas.microsoft.com/office/drawing/2014/chart" uri="{C3380CC4-5D6E-409C-BE32-E72D297353CC}">
              <c16:uniqueId val="{00000002-745B-46F7-8EAC-D410ADA60268}"/>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Single'!$CB$5:$CB$105</c:f>
              <c:numCache>
                <c:formatCode>0.00</c:formatCode>
                <c:ptCount val="101"/>
                <c:pt idx="0">
                  <c:v>9.3957602143637938E-5</c:v>
                </c:pt>
                <c:pt idx="1">
                  <c:v>73.916841487422985</c:v>
                </c:pt>
                <c:pt idx="2">
                  <c:v>74.132964078778329</c:v>
                </c:pt>
                <c:pt idx="3">
                  <c:v>74.15235921426229</c:v>
                </c:pt>
                <c:pt idx="4">
                  <c:v>74.121561095502116</c:v>
                </c:pt>
                <c:pt idx="5">
                  <c:v>74.070049130811512</c:v>
                </c:pt>
                <c:pt idx="6">
                  <c:v>74.007663464536307</c:v>
                </c:pt>
                <c:pt idx="7">
                  <c:v>73.938616680931929</c:v>
                </c:pt>
                <c:pt idx="8">
                  <c:v>73.865007204879475</c:v>
                </c:pt>
                <c:pt idx="9">
                  <c:v>73.78799250227307</c:v>
                </c:pt>
                <c:pt idx="10">
                  <c:v>73.708258911837731</c:v>
                </c:pt>
                <c:pt idx="11">
                  <c:v>73.626235381188508</c:v>
                </c:pt>
                <c:pt idx="12">
                  <c:v>73.542200396481263</c:v>
                </c:pt>
                <c:pt idx="13">
                  <c:v>73.456339581052234</c:v>
                </c:pt>
                <c:pt idx="14">
                  <c:v>73.368778614074614</c:v>
                </c:pt>
                <c:pt idx="15">
                  <c:v>73.279602980024919</c:v>
                </c:pt>
                <c:pt idx="16">
                  <c:v>73.298531319040961</c:v>
                </c:pt>
                <c:pt idx="17">
                  <c:v>73.318564902427426</c:v>
                </c:pt>
                <c:pt idx="18">
                  <c:v>73.31151626057347</c:v>
                </c:pt>
                <c:pt idx="19">
                  <c:v>73.279947671639192</c:v>
                </c:pt>
                <c:pt idx="20">
                  <c:v>73.225875259638144</c:v>
                </c:pt>
                <c:pt idx="21">
                  <c:v>73.150878635090393</c:v>
                </c:pt>
                <c:pt idx="22">
                  <c:v>73.056181975362804</c:v>
                </c:pt>
                <c:pt idx="23">
                  <c:v>72.94271448624589</c:v>
                </c:pt>
                <c:pt idx="24">
                  <c:v>72.811155677389792</c:v>
                </c:pt>
                <c:pt idx="25">
                  <c:v>72.661969223807546</c:v>
                </c:pt>
                <c:pt idx="26">
                  <c:v>72.495428062659954</c:v>
                </c:pt>
                <c:pt idx="27">
                  <c:v>72.311632598566419</c:v>
                </c:pt>
                <c:pt idx="28">
                  <c:v>72.110523342412492</c:v>
                </c:pt>
                <c:pt idx="29">
                  <c:v>71.891888911512709</c:v>
                </c:pt>
                <c:pt idx="30">
                  <c:v>71.655370022777149</c:v>
                </c:pt>
                <c:pt idx="31">
                  <c:v>71.400459881339259</c:v>
                </c:pt>
                <c:pt idx="32">
                  <c:v>71.12650118133368</c:v>
                </c:pt>
                <c:pt idx="33">
                  <c:v>70.832679776013734</c:v>
                </c:pt>
                <c:pt idx="34">
                  <c:v>70.518014927926259</c:v>
                </c:pt>
                <c:pt idx="35">
                  <c:v>70.181345905336826</c:v>
                </c:pt>
                <c:pt idx="36">
                  <c:v>69.821314538285463</c:v>
                </c:pt>
                <c:pt idx="37">
                  <c:v>69.436343176044929</c:v>
                </c:pt>
                <c:pt idx="38">
                  <c:v>69.024607285485033</c:v>
                </c:pt>
                <c:pt idx="39">
                  <c:v>68.584001682472802</c:v>
                </c:pt>
                <c:pt idx="40">
                  <c:v>68.112099077410406</c:v>
                </c:pt>
                <c:pt idx="41">
                  <c:v>67.606099216600342</c:v>
                </c:pt>
                <c:pt idx="42">
                  <c:v>67.062766379521747</c:v>
                </c:pt>
                <c:pt idx="43">
                  <c:v>66.478352301128609</c:v>
                </c:pt>
                <c:pt idx="44">
                  <c:v>65.848500661087243</c:v>
                </c:pt>
                <c:pt idx="45">
                  <c:v>65.168128022271958</c:v>
                </c:pt>
                <c:pt idx="46">
                  <c:v>64.431274368483329</c:v>
                </c:pt>
                <c:pt idx="47">
                  <c:v>63.630913978433348</c:v>
                </c:pt>
                <c:pt idx="48">
                  <c:v>62.758713967141787</c:v>
                </c:pt>
                <c:pt idx="49">
                  <c:v>61.804722949673398</c:v>
                </c:pt>
                <c:pt idx="50">
                  <c:v>60.756965193481605</c:v>
                </c:pt>
                <c:pt idx="51">
                  <c:v>59.600905148740516</c:v>
                </c:pt>
                <c:pt idx="52">
                  <c:v>58.318731479519947</c:v>
                </c:pt>
                <c:pt idx="53">
                  <c:v>56.88838551776756</c:v>
                </c:pt>
                <c:pt idx="54">
                  <c:v>55.282221095795727</c:v>
                </c:pt>
                <c:pt idx="55">
                  <c:v>53.465121693952341</c:v>
                </c:pt>
                <c:pt idx="56">
                  <c:v>51.391800089791275</c:v>
                </c:pt>
                <c:pt idx="57">
                  <c:v>49.002834226047646</c:v>
                </c:pt>
                <c:pt idx="58">
                  <c:v>46.21869100677273</c:v>
                </c:pt>
                <c:pt idx="59">
                  <c:v>42.930436558864315</c:v>
                </c:pt>
                <c:pt idx="60">
                  <c:v>38.984771440545181</c:v>
                </c:pt>
                <c:pt idx="61">
                  <c:v>34.158887762896228</c:v>
                </c:pt>
                <c:pt idx="62">
                  <c:v>28.116039604941847</c:v>
                </c:pt>
                <c:pt idx="63">
                  <c:v>23.06438554628917</c:v>
                </c:pt>
                <c:pt idx="64">
                  <c:v>20.080239094770455</c:v>
                </c:pt>
                <c:pt idx="65">
                  <c:v>16.701067497609341</c:v>
                </c:pt>
                <c:pt idx="66">
                  <c:v>12.850212095307079</c:v>
                </c:pt>
                <c:pt idx="67">
                  <c:v>8.4294260151933464</c:v>
                </c:pt>
                <c:pt idx="68">
                  <c:v>-14.27441998421099</c:v>
                </c:pt>
                <c:pt idx="69">
                  <c:v>-59.785108444227234</c:v>
                </c:pt>
                <c:pt idx="70">
                  <c:v>-199.21855476602161</c:v>
                </c:pt>
                <c:pt idx="71">
                  <c:v>-583836.08848559554</c:v>
                </c:pt>
                <c:pt idx="72">
                  <c:v>361.19619029181933</c:v>
                </c:pt>
                <c:pt idx="73">
                  <c:v>221.59716597482492</c:v>
                </c:pt>
                <c:pt idx="74">
                  <c:v>174.43057402323655</c:v>
                </c:pt>
                <c:pt idx="75">
                  <c:v>150.64944551659713</c:v>
                </c:pt>
                <c:pt idx="76">
                  <c:v>136.26321736078796</c:v>
                </c:pt>
                <c:pt idx="77">
                  <c:v>126.58264541423654</c:v>
                </c:pt>
                <c:pt idx="78">
                  <c:v>119.59153688292372</c:v>
                </c:pt>
                <c:pt idx="79">
                  <c:v>114.27949394954481</c:v>
                </c:pt>
                <c:pt idx="80">
                  <c:v>110.08413436988546</c:v>
                </c:pt>
                <c:pt idx="81">
                  <c:v>106.66742863749667</c:v>
                </c:pt>
                <c:pt idx="82">
                  <c:v>103.81385085513963</c:v>
                </c:pt>
                <c:pt idx="83">
                  <c:v>101.37938215497297</c:v>
                </c:pt>
                <c:pt idx="84">
                  <c:v>99.264018755082901</c:v>
                </c:pt>
                <c:pt idx="85">
                  <c:v>97.396045751712634</c:v>
                </c:pt>
                <c:pt idx="86">
                  <c:v>95.722591587701856</c:v>
                </c:pt>
                <c:pt idx="87">
                  <c:v>94.20371779073119</c:v>
                </c:pt>
                <c:pt idx="88">
                  <c:v>92.808589211516363</c:v>
                </c:pt>
                <c:pt idx="89">
                  <c:v>91.512915884632079</c:v>
                </c:pt>
                <c:pt idx="90">
                  <c:v>90.297197825804133</c:v>
                </c:pt>
                <c:pt idx="91">
                  <c:v>89.145491290746492</c:v>
                </c:pt>
                <c:pt idx="92">
                  <c:v>88.044522037966416</c:v>
                </c:pt>
                <c:pt idx="93">
                  <c:v>86.983034380378868</c:v>
                </c:pt>
                <c:pt idx="94">
                  <c:v>85.951303290138696</c:v>
                </c:pt>
                <c:pt idx="95">
                  <c:v>84.940760840051425</c:v>
                </c:pt>
                <c:pt idx="96">
                  <c:v>83.943703592996428</c:v>
                </c:pt>
                <c:pt idx="97">
                  <c:v>82.953057515038964</c:v>
                </c:pt>
                <c:pt idx="98">
                  <c:v>81.962183556568803</c:v>
                </c:pt>
                <c:pt idx="99">
                  <c:v>80.964711408918618</c:v>
                </c:pt>
                <c:pt idx="100">
                  <c:v>79.954391833180622</c:v>
                </c:pt>
              </c:numCache>
            </c:numRef>
          </c:val>
          <c:smooth val="0"/>
          <c:extLst>
            <c:ext xmlns:c16="http://schemas.microsoft.com/office/drawing/2014/chart" uri="{C3380CC4-5D6E-409C-BE32-E72D297353CC}">
              <c16:uniqueId val="{00000000-8093-4275-A0A4-629DC5917466}"/>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8.6799999999999988E-7</c:v>
                </c:pt>
                <c:pt idx="1">
                  <c:v>5.2080000000000002</c:v>
                </c:pt>
                <c:pt idx="2">
                  <c:v>10.416</c:v>
                </c:pt>
                <c:pt idx="3">
                  <c:v>15.623999999999997</c:v>
                </c:pt>
                <c:pt idx="4">
                  <c:v>20.832000000000001</c:v>
                </c:pt>
                <c:pt idx="5">
                  <c:v>26.039999999999996</c:v>
                </c:pt>
                <c:pt idx="6">
                  <c:v>31.247999999999994</c:v>
                </c:pt>
                <c:pt idx="7">
                  <c:v>36.455999999999996</c:v>
                </c:pt>
                <c:pt idx="8">
                  <c:v>41.664000000000001</c:v>
                </c:pt>
                <c:pt idx="9">
                  <c:v>46.872</c:v>
                </c:pt>
                <c:pt idx="10">
                  <c:v>52.079999999999991</c:v>
                </c:pt>
                <c:pt idx="11">
                  <c:v>57.287999999999997</c:v>
                </c:pt>
                <c:pt idx="12">
                  <c:v>62.495999999999988</c:v>
                </c:pt>
                <c:pt idx="13">
                  <c:v>67.703999999999994</c:v>
                </c:pt>
                <c:pt idx="14">
                  <c:v>72.911999999999992</c:v>
                </c:pt>
                <c:pt idx="15">
                  <c:v>78.11999999999999</c:v>
                </c:pt>
                <c:pt idx="16">
                  <c:v>83.328000000000003</c:v>
                </c:pt>
                <c:pt idx="17">
                  <c:v>88.536000000000001</c:v>
                </c:pt>
                <c:pt idx="18">
                  <c:v>93.744</c:v>
                </c:pt>
                <c:pt idx="19">
                  <c:v>98.95199999999997</c:v>
                </c:pt>
                <c:pt idx="20">
                  <c:v>104.15999999999998</c:v>
                </c:pt>
                <c:pt idx="21">
                  <c:v>109.36800000000001</c:v>
                </c:pt>
                <c:pt idx="22">
                  <c:v>114.57599999999999</c:v>
                </c:pt>
                <c:pt idx="23">
                  <c:v>119.78400000000001</c:v>
                </c:pt>
                <c:pt idx="24">
                  <c:v>124.99199999999998</c:v>
                </c:pt>
                <c:pt idx="25">
                  <c:v>130.19999999999999</c:v>
                </c:pt>
                <c:pt idx="26">
                  <c:v>135.40799999999999</c:v>
                </c:pt>
                <c:pt idx="27">
                  <c:v>140.61599999999999</c:v>
                </c:pt>
                <c:pt idx="28">
                  <c:v>145.82399999999998</c:v>
                </c:pt>
                <c:pt idx="29">
                  <c:v>151.03199999999998</c:v>
                </c:pt>
                <c:pt idx="30">
                  <c:v>156.23999999999998</c:v>
                </c:pt>
                <c:pt idx="31">
                  <c:v>161.44799999999998</c:v>
                </c:pt>
                <c:pt idx="32">
                  <c:v>166.65600000000001</c:v>
                </c:pt>
                <c:pt idx="33">
                  <c:v>171.86399999999998</c:v>
                </c:pt>
                <c:pt idx="34">
                  <c:v>177.072</c:v>
                </c:pt>
                <c:pt idx="35">
                  <c:v>182.28</c:v>
                </c:pt>
                <c:pt idx="36">
                  <c:v>187.488</c:v>
                </c:pt>
                <c:pt idx="37">
                  <c:v>192.69599999999997</c:v>
                </c:pt>
                <c:pt idx="38">
                  <c:v>197.90399999999994</c:v>
                </c:pt>
                <c:pt idx="39">
                  <c:v>203.11199999999997</c:v>
                </c:pt>
                <c:pt idx="40">
                  <c:v>208.31999999999996</c:v>
                </c:pt>
                <c:pt idx="41">
                  <c:v>213.52799999999996</c:v>
                </c:pt>
                <c:pt idx="42">
                  <c:v>218.73600000000002</c:v>
                </c:pt>
                <c:pt idx="43">
                  <c:v>223.94399999999999</c:v>
                </c:pt>
                <c:pt idx="44">
                  <c:v>229.15199999999999</c:v>
                </c:pt>
                <c:pt idx="45">
                  <c:v>234.36</c:v>
                </c:pt>
                <c:pt idx="46">
                  <c:v>239.56800000000001</c:v>
                </c:pt>
                <c:pt idx="47">
                  <c:v>244.77599999999995</c:v>
                </c:pt>
                <c:pt idx="48">
                  <c:v>249.98399999999995</c:v>
                </c:pt>
                <c:pt idx="49">
                  <c:v>255.19199999999998</c:v>
                </c:pt>
                <c:pt idx="50">
                  <c:v>260.39999999999998</c:v>
                </c:pt>
                <c:pt idx="51">
                  <c:v>265.60799999999995</c:v>
                </c:pt>
                <c:pt idx="52">
                  <c:v>270.81599999999997</c:v>
                </c:pt>
                <c:pt idx="53">
                  <c:v>276.024</c:v>
                </c:pt>
                <c:pt idx="54">
                  <c:v>281.23199999999997</c:v>
                </c:pt>
                <c:pt idx="55">
                  <c:v>286.44</c:v>
                </c:pt>
                <c:pt idx="56">
                  <c:v>291.64799999999997</c:v>
                </c:pt>
                <c:pt idx="57">
                  <c:v>296.85599999999994</c:v>
                </c:pt>
                <c:pt idx="58">
                  <c:v>302.06399999999996</c:v>
                </c:pt>
                <c:pt idx="59">
                  <c:v>307.27199999999993</c:v>
                </c:pt>
                <c:pt idx="60">
                  <c:v>312.47999999999996</c:v>
                </c:pt>
                <c:pt idx="61">
                  <c:v>317.68799999999999</c:v>
                </c:pt>
                <c:pt idx="62">
                  <c:v>322.89599999999996</c:v>
                </c:pt>
                <c:pt idx="63">
                  <c:v>328.10399999999998</c:v>
                </c:pt>
                <c:pt idx="64">
                  <c:v>333.31200000000001</c:v>
                </c:pt>
                <c:pt idx="65">
                  <c:v>338.51999999999992</c:v>
                </c:pt>
                <c:pt idx="66">
                  <c:v>343.72799999999995</c:v>
                </c:pt>
                <c:pt idx="67">
                  <c:v>348.93599999999998</c:v>
                </c:pt>
                <c:pt idx="68">
                  <c:v>354.14400000000001</c:v>
                </c:pt>
                <c:pt idx="69">
                  <c:v>359.35199999999998</c:v>
                </c:pt>
                <c:pt idx="70">
                  <c:v>364.56</c:v>
                </c:pt>
                <c:pt idx="71">
                  <c:v>369.76799999999992</c:v>
                </c:pt>
                <c:pt idx="72">
                  <c:v>374.976</c:v>
                </c:pt>
                <c:pt idx="73">
                  <c:v>380.18399999999997</c:v>
                </c:pt>
                <c:pt idx="74">
                  <c:v>385.39199999999994</c:v>
                </c:pt>
                <c:pt idx="75">
                  <c:v>390.59999999999997</c:v>
                </c:pt>
                <c:pt idx="76">
                  <c:v>395.80799999999988</c:v>
                </c:pt>
                <c:pt idx="77">
                  <c:v>401.01599999999991</c:v>
                </c:pt>
                <c:pt idx="78">
                  <c:v>406.22399999999993</c:v>
                </c:pt>
                <c:pt idx="79">
                  <c:v>411.43199999999996</c:v>
                </c:pt>
                <c:pt idx="80">
                  <c:v>416.63999999999993</c:v>
                </c:pt>
                <c:pt idx="81">
                  <c:v>421.84799999999996</c:v>
                </c:pt>
                <c:pt idx="82">
                  <c:v>427.05599999999993</c:v>
                </c:pt>
                <c:pt idx="83">
                  <c:v>432.26400000000001</c:v>
                </c:pt>
                <c:pt idx="84">
                  <c:v>437.47200000000004</c:v>
                </c:pt>
                <c:pt idx="85">
                  <c:v>442.67999999999995</c:v>
                </c:pt>
                <c:pt idx="86">
                  <c:v>447.88799999999998</c:v>
                </c:pt>
                <c:pt idx="87">
                  <c:v>453.096</c:v>
                </c:pt>
                <c:pt idx="88">
                  <c:v>458.30399999999997</c:v>
                </c:pt>
                <c:pt idx="89">
                  <c:v>463.51200000000006</c:v>
                </c:pt>
                <c:pt idx="90">
                  <c:v>468.72</c:v>
                </c:pt>
                <c:pt idx="91">
                  <c:v>473.92799999999994</c:v>
                </c:pt>
                <c:pt idx="92">
                  <c:v>479.13600000000002</c:v>
                </c:pt>
                <c:pt idx="93">
                  <c:v>484.34399999999999</c:v>
                </c:pt>
                <c:pt idx="94">
                  <c:v>489.55199999999991</c:v>
                </c:pt>
                <c:pt idx="95">
                  <c:v>494.76</c:v>
                </c:pt>
                <c:pt idx="96">
                  <c:v>499.9679999999999</c:v>
                </c:pt>
                <c:pt idx="97">
                  <c:v>505.17599999999993</c:v>
                </c:pt>
                <c:pt idx="98">
                  <c:v>510.38399999999996</c:v>
                </c:pt>
                <c:pt idx="99">
                  <c:v>515.59199999999998</c:v>
                </c:pt>
                <c:pt idx="100">
                  <c:v>520.79999999999995</c:v>
                </c:pt>
              </c:numCache>
            </c:numRef>
          </c:val>
          <c:smooth val="0"/>
          <c:extLst>
            <c:ext xmlns:c16="http://schemas.microsoft.com/office/drawing/2014/chart" uri="{C3380CC4-5D6E-409C-BE32-E72D297353CC}">
              <c16:uniqueId val="{00000001-8093-4275-A0A4-629DC5917466}"/>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96.36505223804545</c:v>
                </c:pt>
                <c:pt idx="1">
                  <c:v>186.96132051381579</c:v>
                </c:pt>
                <c:pt idx="2">
                  <c:v>376.64728336929551</c:v>
                </c:pt>
                <c:pt idx="3">
                  <c:v>569.11788627049123</c:v>
                </c:pt>
                <c:pt idx="4">
                  <c:v>764.43490151147216</c:v>
                </c:pt>
                <c:pt idx="5">
                  <c:v>962.66194207529838</c:v>
                </c:pt>
                <c:pt idx="6">
                  <c:v>1163.8645307095974</c:v>
                </c:pt>
                <c:pt idx="7">
                  <c:v>1368.1101721362986</c:v>
                </c:pt>
                <c:pt idx="8">
                  <c:v>1575.468428562704</c:v>
                </c:pt>
                <c:pt idx="9">
                  <c:v>1786.010998671341</c:v>
                </c:pt>
                <c:pt idx="10">
                  <c:v>1999.8118002770027</c:v>
                </c:pt>
                <c:pt idx="11">
                  <c:v>2216.9470568511824</c:v>
                </c:pt>
                <c:pt idx="12">
                  <c:v>2437.4953881266306</c:v>
                </c:pt>
                <c:pt idx="13">
                  <c:v>2661.5379050083293</c:v>
                </c:pt>
                <c:pt idx="14">
                  <c:v>2889.1583090315353</c:v>
                </c:pt>
                <c:pt idx="15">
                  <c:v>3120.4429966231291</c:v>
                </c:pt>
                <c:pt idx="16">
                  <c:v>3317.7984625497697</c:v>
                </c:pt>
                <c:pt idx="17">
                  <c:v>3511.2131097981983</c:v>
                </c:pt>
                <c:pt idx="18">
                  <c:v>3711.1903610778941</c:v>
                </c:pt>
                <c:pt idx="19">
                  <c:v>3918.3557742495618</c:v>
                </c:pt>
                <c:pt idx="20">
                  <c:v>4133.3623073964791</c:v>
                </c:pt>
                <c:pt idx="21">
                  <c:v>4356.8987143423255</c:v>
                </c:pt>
                <c:pt idx="22">
                  <c:v>4589.6979561742373</c:v>
                </c:pt>
                <c:pt idx="23">
                  <c:v>4832.5459293879067</c:v>
                </c:pt>
                <c:pt idx="24">
                  <c:v>5086.2907843447229</c:v>
                </c:pt>
                <c:pt idx="25">
                  <c:v>5351.8531021281342</c:v>
                </c:pt>
                <c:pt idx="26">
                  <c:v>5630.2372095998126</c:v>
                </c:pt>
                <c:pt idx="27">
                  <c:v>5922.5439398594381</c:v>
                </c:pt>
                <c:pt idx="28">
                  <c:v>6229.9851885270045</c:v>
                </c:pt>
                <c:pt idx="29">
                  <c:v>6553.9006768944409</c:v>
                </c:pt>
                <c:pt idx="30">
                  <c:v>6895.7774140910997</c:v>
                </c:pt>
                <c:pt idx="31">
                  <c:v>7257.2724566659617</c:v>
                </c:pt>
                <c:pt idx="32">
                  <c:v>7640.2397021113475</c:v>
                </c:pt>
                <c:pt idx="33">
                  <c:v>8046.7616321688574</c:v>
                </c:pt>
                <c:pt idx="34">
                  <c:v>8479.187155152722</c:v>
                </c:pt>
                <c:pt idx="35">
                  <c:v>8940.1770018076513</c:v>
                </c:pt>
                <c:pt idx="36">
                  <c:v>9432.7585311285366</c:v>
                </c:pt>
                <c:pt idx="37">
                  <c:v>9960.3923357530894</c:v>
                </c:pt>
                <c:pt idx="38">
                  <c:v>10527.053749968582</c:v>
                </c:pt>
                <c:pt idx="39">
                  <c:v>11137.333327022157</c:v>
                </c:pt>
                <c:pt idx="40">
                  <c:v>11796.561667445174</c:v>
                </c:pt>
                <c:pt idx="41">
                  <c:v>12510.96579461014</c:v>
                </c:pt>
                <c:pt idx="42">
                  <c:v>13287.866807606668</c:v>
                </c:pt>
                <c:pt idx="43">
                  <c:v>14135.932126051386</c:v>
                </c:pt>
                <c:pt idx="44">
                  <c:v>15065.500783915617</c:v>
                </c:pt>
                <c:pt idx="45">
                  <c:v>16089.00772026945</c:v>
                </c:pt>
                <c:pt idx="46">
                  <c:v>17221.544109117222</c:v>
                </c:pt>
                <c:pt idx="47">
                  <c:v>18481.607502946481</c:v>
                </c:pt>
                <c:pt idx="48">
                  <c:v>19892.121309390866</c:v>
                </c:pt>
                <c:pt idx="49">
                  <c:v>21481.843614280555</c:v>
                </c:pt>
                <c:pt idx="50">
                  <c:v>23287.350634064613</c:v>
                </c:pt>
                <c:pt idx="51">
                  <c:v>25355.888197832439</c:v>
                </c:pt>
                <c:pt idx="52">
                  <c:v>27749.569336303925</c:v>
                </c:pt>
                <c:pt idx="53">
                  <c:v>30551.722673599572</c:v>
                </c:pt>
                <c:pt idx="54">
                  <c:v>33876.797412173379</c:v>
                </c:pt>
                <c:pt idx="55">
                  <c:v>37886.388953395377</c:v>
                </c:pt>
                <c:pt idx="56">
                  <c:v>42816.304301078824</c:v>
                </c:pt>
                <c:pt idx="57">
                  <c:v>49024.69074437776</c:v>
                </c:pt>
                <c:pt idx="58">
                  <c:v>57083.202306528263</c:v>
                </c:pt>
                <c:pt idx="59">
                  <c:v>67963.967249096677</c:v>
                </c:pt>
                <c:pt idx="60">
                  <c:v>83464.744149803359</c:v>
                </c:pt>
                <c:pt idx="61">
                  <c:v>107321.71112928088</c:v>
                </c:pt>
                <c:pt idx="62">
                  <c:v>148786.23647818415</c:v>
                </c:pt>
                <c:pt idx="63">
                  <c:v>201257.79860533157</c:v>
                </c:pt>
                <c:pt idx="64">
                  <c:v>246632.00607445187</c:v>
                </c:pt>
                <c:pt idx="65">
                  <c:v>317406.88420262729</c:v>
                </c:pt>
                <c:pt idx="66">
                  <c:v>443198.81233351142</c:v>
                </c:pt>
                <c:pt idx="67">
                  <c:v>728938.03204928723</c:v>
                </c:pt>
                <c:pt idx="68">
                  <c:v>-569067.40398627182</c:v>
                </c:pt>
                <c:pt idx="69">
                  <c:v>-202277.7977051099</c:v>
                </c:pt>
                <c:pt idx="70">
                  <c:v>-121811.13326719948</c:v>
                </c:pt>
                <c:pt idx="71">
                  <c:v>-87412.712890318391</c:v>
                </c:pt>
                <c:pt idx="72">
                  <c:v>-68508.712454793204</c:v>
                </c:pt>
                <c:pt idx="73">
                  <c:v>-56688.590740374588</c:v>
                </c:pt>
                <c:pt idx="74">
                  <c:v>-48480.649649036823</c:v>
                </c:pt>
                <c:pt idx="75">
                  <c:v>-42450.1496097614</c:v>
                </c:pt>
                <c:pt idx="76">
                  <c:v>-37833.312993170097</c:v>
                </c:pt>
                <c:pt idx="77">
                  <c:v>-34186.15805077074</c:v>
                </c:pt>
                <c:pt idx="78">
                  <c:v>-31232.98489123959</c:v>
                </c:pt>
                <c:pt idx="79">
                  <c:v>-28793.547266907561</c:v>
                </c:pt>
                <c:pt idx="80">
                  <c:v>-26745.033357069769</c:v>
                </c:pt>
                <c:pt idx="81">
                  <c:v>-25000.877475609981</c:v>
                </c:pt>
                <c:pt idx="82">
                  <c:v>-23498.307210959567</c:v>
                </c:pt>
                <c:pt idx="83">
                  <c:v>-22190.694494659638</c:v>
                </c:pt>
                <c:pt idx="84">
                  <c:v>-21042.67913579887</c:v>
                </c:pt>
                <c:pt idx="85">
                  <c:v>-20026.959205148443</c:v>
                </c:pt>
                <c:pt idx="86">
                  <c:v>-19122.119382505563</c:v>
                </c:pt>
                <c:pt idx="87">
                  <c:v>-18311.125681612531</c:v>
                </c:pt>
                <c:pt idx="88">
                  <c:v>-17580.259599691992</c:v>
                </c:pt>
                <c:pt idx="89">
                  <c:v>-16918.348977247882</c:v>
                </c:pt>
                <c:pt idx="90">
                  <c:v>-16316.20347663895</c:v>
                </c:pt>
                <c:pt idx="91">
                  <c:v>-15766.193867224192</c:v>
                </c:pt>
                <c:pt idx="92">
                  <c:v>-15261.934118779649</c:v>
                </c:pt>
                <c:pt idx="93">
                  <c:v>-14798.03814024603</c:v>
                </c:pt>
                <c:pt idx="94">
                  <c:v>-14369.931485803365</c:v>
                </c:pt>
                <c:pt idx="95">
                  <c:v>-13973.704063694902</c:v>
                </c:pt>
                <c:pt idx="96">
                  <c:v>-13605.993795778491</c:v>
                </c:pt>
                <c:pt idx="97">
                  <c:v>-13263.893896833819</c:v>
                </c:pt>
                <c:pt idx="98">
                  <c:v>-12944.878362173149</c:v>
                </c:pt>
                <c:pt idx="99">
                  <c:v>-12646.741624115351</c:v>
                </c:pt>
                <c:pt idx="100">
                  <c:v>-12367.54933057677</c:v>
                </c:pt>
              </c:numCache>
            </c:numRef>
          </c:val>
          <c:smooth val="0"/>
          <c:extLst>
            <c:ext xmlns:c16="http://schemas.microsoft.com/office/drawing/2014/chart" uri="{C3380CC4-5D6E-409C-BE32-E72D297353CC}">
              <c16:uniqueId val="{00000002-8093-4275-A0A4-629DC5917466}"/>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72.942693809047654</c:v>
                </c:pt>
                <c:pt idx="1">
                  <c:v>151.26409457461077</c:v>
                </c:pt>
                <c:pt idx="2">
                  <c:v>297.17293758991065</c:v>
                </c:pt>
                <c:pt idx="3">
                  <c:v>443.2404618762472</c:v>
                </c:pt>
                <c:pt idx="4">
                  <c:v>589.46753523168297</c:v>
                </c:pt>
                <c:pt idx="5">
                  <c:v>735.85503179360217</c:v>
                </c:pt>
                <c:pt idx="6">
                  <c:v>882.40383209670392</c:v>
                </c:pt>
                <c:pt idx="7">
                  <c:v>1029.1148231316326</c:v>
                </c:pt>
                <c:pt idx="8">
                  <c:v>1175.9888984042534</c:v>
                </c:pt>
                <c:pt idx="9">
                  <c:v>1323.0269579955818</c:v>
                </c:pt>
                <c:pt idx="10">
                  <c:v>1470.2299086223793</c:v>
                </c:pt>
                <c:pt idx="11">
                  <c:v>1617.5986636984167</c:v>
                </c:pt>
                <c:pt idx="12">
                  <c:v>1765.1341433964162</c:v>
                </c:pt>
                <c:pt idx="13">
                  <c:v>1912.8372747106903</c:v>
                </c:pt>
                <c:pt idx="14">
                  <c:v>2060.7089915204665</c:v>
                </c:pt>
                <c:pt idx="15">
                  <c:v>2208.7502346539304</c:v>
                </c:pt>
                <c:pt idx="16">
                  <c:v>2370.26745073951</c:v>
                </c:pt>
                <c:pt idx="17">
                  <c:v>2536.9629118022449</c:v>
                </c:pt>
                <c:pt idx="18">
                  <c:v>2705.5809704708381</c:v>
                </c:pt>
                <c:pt idx="19">
                  <c:v>2876.1194329503214</c:v>
                </c:pt>
                <c:pt idx="20">
                  <c:v>3048.5796563297863</c:v>
                </c:pt>
                <c:pt idx="21">
                  <c:v>3222.9662266289301</c:v>
                </c:pt>
                <c:pt idx="22">
                  <c:v>3399.2866983264144</c:v>
                </c:pt>
                <c:pt idx="23">
                  <c:v>3577.5513829257984</c:v>
                </c:pt>
                <c:pt idx="24">
                  <c:v>3757.7731771601907</c:v>
                </c:pt>
                <c:pt idx="25">
                  <c:v>3939.9674236464293</c:v>
                </c:pt>
                <c:pt idx="26">
                  <c:v>4124.1517984277889</c:v>
                </c:pt>
                <c:pt idx="27">
                  <c:v>4310.3462210614171</c:v>
                </c:pt>
                <c:pt idx="28">
                  <c:v>4498.572783828411</c:v>
                </c:pt>
                <c:pt idx="29">
                  <c:v>4688.8556973512395</c:v>
                </c:pt>
                <c:pt idx="30">
                  <c:v>4881.2212504512863</c:v>
                </c:pt>
                <c:pt idx="31">
                  <c:v>5075.697782509118</c:v>
                </c:pt>
                <c:pt idx="32">
                  <c:v>5272.3156669305417</c:v>
                </c:pt>
                <c:pt idx="33">
                  <c:v>5471.1073045942676</c:v>
                </c:pt>
                <c:pt idx="34">
                  <c:v>5672.1071263773019</c:v>
                </c:pt>
                <c:pt idx="35">
                  <c:v>5875.3516040344994</c:v>
                </c:pt>
                <c:pt idx="36">
                  <c:v>6080.8792688573276</c:v>
                </c:pt>
                <c:pt idx="37">
                  <c:v>6288.730737661007</c:v>
                </c:pt>
                <c:pt idx="38">
                  <c:v>6498.9487457539926</c:v>
                </c:pt>
                <c:pt idx="39">
                  <c:v>6711.5781866332663</c:v>
                </c:pt>
                <c:pt idx="40">
                  <c:v>6926.6661582262705</c:v>
                </c:pt>
                <c:pt idx="41">
                  <c:v>7144.2620155683298</c:v>
                </c:pt>
                <c:pt idx="42">
                  <c:v>7364.4174298647877</c:v>
                </c:pt>
                <c:pt idx="43">
                  <c:v>7587.1864539417029</c:v>
                </c:pt>
                <c:pt idx="44">
                  <c:v>7812.6255941391146</c:v>
                </c:pt>
                <c:pt idx="45">
                  <c:v>8040.7938887476166</c:v>
                </c:pt>
                <c:pt idx="46">
                  <c:v>8271.7529931332992</c:v>
                </c:pt>
                <c:pt idx="47">
                  <c:v>8505.5672717388898</c:v>
                </c:pt>
                <c:pt idx="48">
                  <c:v>8742.3038971906226</c:v>
                </c:pt>
                <c:pt idx="49">
                  <c:v>8982.0329567818899</c:v>
                </c:pt>
                <c:pt idx="50">
                  <c:v>9224.8275666464287</c:v>
                </c:pt>
                <c:pt idx="51">
                  <c:v>9470.7639939762284</c:v>
                </c:pt>
                <c:pt idx="52">
                  <c:v>9719.9217876830062</c:v>
                </c:pt>
                <c:pt idx="53">
                  <c:v>9972.3839179477272</c:v>
                </c:pt>
                <c:pt idx="54">
                  <c:v>10228.236925149833</c:v>
                </c:pt>
                <c:pt idx="55">
                  <c:v>10487.571078718516</c:v>
                </c:pt>
                <c:pt idx="56">
                  <c:v>10750.480546501312</c:v>
                </c:pt>
                <c:pt idx="57">
                  <c:v>11017.063575302525</c:v>
                </c:pt>
                <c:pt idx="58">
                  <c:v>11287.422683304891</c:v>
                </c:pt>
                <c:pt idx="59">
                  <c:v>11561.66486515372</c:v>
                </c:pt>
                <c:pt idx="60">
                  <c:v>11839.901810553865</c:v>
                </c:pt>
                <c:pt idx="61">
                  <c:v>12122.250137306843</c:v>
                </c:pt>
                <c:pt idx="62">
                  <c:v>12408.831639799084</c:v>
                </c:pt>
                <c:pt idx="63">
                  <c:v>12599.754919951041</c:v>
                </c:pt>
                <c:pt idx="64">
                  <c:v>12687.2260018737</c:v>
                </c:pt>
                <c:pt idx="65">
                  <c:v>12774.471329212511</c:v>
                </c:pt>
                <c:pt idx="66">
                  <c:v>12861.506015837094</c:v>
                </c:pt>
                <c:pt idx="67">
                  <c:v>12948.344453798796</c:v>
                </c:pt>
                <c:pt idx="68">
                  <c:v>13295.305335546545</c:v>
                </c:pt>
                <c:pt idx="69">
                  <c:v>13665.209470652697</c:v>
                </c:pt>
                <c:pt idx="70">
                  <c:v>14057.292511206164</c:v>
                </c:pt>
                <c:pt idx="71">
                  <c:v>14463.640838705105</c:v>
                </c:pt>
                <c:pt idx="72">
                  <c:v>14881.535478081209</c:v>
                </c:pt>
                <c:pt idx="73">
                  <c:v>15307.38618085185</c:v>
                </c:pt>
                <c:pt idx="74">
                  <c:v>15747.00942379552</c:v>
                </c:pt>
                <c:pt idx="75">
                  <c:v>16201.214577389188</c:v>
                </c:pt>
                <c:pt idx="76">
                  <c:v>16670.877313570196</c:v>
                </c:pt>
                <c:pt idx="77">
                  <c:v>17156.946493389194</c:v>
                </c:pt>
                <c:pt idx="78">
                  <c:v>17660.45193310078</c:v>
                </c:pt>
                <c:pt idx="79">
                  <c:v>18182.513182149862</c:v>
                </c:pt>
                <c:pt idx="80">
                  <c:v>18724.349470205303</c:v>
                </c:pt>
                <c:pt idx="81">
                  <c:v>19287.291008923454</c:v>
                </c:pt>
                <c:pt idx="82">
                  <c:v>19872.791868619606</c:v>
                </c:pt>
                <c:pt idx="83">
                  <c:v>20482.444691899087</c:v>
                </c:pt>
                <c:pt idx="84">
                  <c:v>21117.997557350933</c:v>
                </c:pt>
                <c:pt idx="85">
                  <c:v>21781.373368926117</c:v>
                </c:pt>
                <c:pt idx="86">
                  <c:v>22474.692223543436</c:v>
                </c:pt>
                <c:pt idx="87">
                  <c:v>23200.297304573716</c:v>
                </c:pt>
                <c:pt idx="88">
                  <c:v>23960.784967054726</c:v>
                </c:pt>
                <c:pt idx="89">
                  <c:v>24759.039828184592</c:v>
                </c:pt>
                <c:pt idx="90">
                  <c:v>25598.275862246923</c:v>
                </c:pt>
                <c:pt idx="91">
                  <c:v>26482.084733758271</c:v>
                </c:pt>
                <c:pt idx="92">
                  <c:v>27414.492901133373</c:v>
                </c:pt>
                <c:pt idx="93">
                  <c:v>28400.029405446181</c:v>
                </c:pt>
                <c:pt idx="94">
                  <c:v>29443.806751899119</c:v>
                </c:pt>
                <c:pt idx="95">
                  <c:v>30551.617932229128</c:v>
                </c:pt>
                <c:pt idx="96">
                  <c:v>31730.053475257235</c:v>
                </c:pt>
                <c:pt idx="97">
                  <c:v>32986.643520799546</c:v>
                </c:pt>
                <c:pt idx="98">
                  <c:v>34330.031388605305</c:v>
                </c:pt>
                <c:pt idx="99">
                  <c:v>35770.187100213487</c:v>
                </c:pt>
                <c:pt idx="100">
                  <c:v>37318.672010999537</c:v>
                </c:pt>
              </c:numCache>
            </c:numRef>
          </c:val>
          <c:smooth val="0"/>
          <c:extLst>
            <c:ext xmlns:c16="http://schemas.microsoft.com/office/drawing/2014/chart" uri="{C3380CC4-5D6E-409C-BE32-E72D297353CC}">
              <c16:uniqueId val="{00000003-8093-4275-A0A4-629DC5917466}"/>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Single'!$AN$110:$AN$210</c:f>
              <c:numCache>
                <c:formatCode>0.0</c:formatCode>
                <c:ptCount val="101"/>
                <c:pt idx="0">
                  <c:v>12</c:v>
                </c:pt>
                <c:pt idx="1">
                  <c:v>23.018848019074497</c:v>
                </c:pt>
                <c:pt idx="2">
                  <c:v>46.037696038148994</c:v>
                </c:pt>
                <c:pt idx="3">
                  <c:v>69.056544057223476</c:v>
                </c:pt>
                <c:pt idx="4">
                  <c:v>92.075392076297987</c:v>
                </c:pt>
                <c:pt idx="5">
                  <c:v>115.09424009537247</c:v>
                </c:pt>
                <c:pt idx="6">
                  <c:v>138.11308811444695</c:v>
                </c:pt>
                <c:pt idx="7">
                  <c:v>161.13193613352149</c:v>
                </c:pt>
                <c:pt idx="8">
                  <c:v>184.15078415259597</c:v>
                </c:pt>
                <c:pt idx="9">
                  <c:v>207.16963217167046</c:v>
                </c:pt>
                <c:pt idx="10">
                  <c:v>230.18848019074494</c:v>
                </c:pt>
                <c:pt idx="11">
                  <c:v>253.20732820981948</c:v>
                </c:pt>
                <c:pt idx="12">
                  <c:v>276.22617622889391</c:v>
                </c:pt>
                <c:pt idx="13">
                  <c:v>299.24502424796844</c:v>
                </c:pt>
                <c:pt idx="14">
                  <c:v>322.26387226704298</c:v>
                </c:pt>
                <c:pt idx="15">
                  <c:v>345.28272028611741</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345.15828760198485</c:v>
                </c:pt>
                <c:pt idx="47">
                  <c:v>337.96700389478275</c:v>
                </c:pt>
                <c:pt idx="48">
                  <c:v>331.0578877905528</c:v>
                </c:pt>
                <c:pt idx="49">
                  <c:v>324.41475482934368</c:v>
                </c:pt>
                <c:pt idx="50">
                  <c:v>318.02263202579343</c:v>
                </c:pt>
                <c:pt idx="51">
                  <c:v>311.86764674354106</c:v>
                </c:pt>
                <c:pt idx="52">
                  <c:v>305.70006082801615</c:v>
                </c:pt>
                <c:pt idx="53">
                  <c:v>299.39532927415229</c:v>
                </c:pt>
                <c:pt idx="54">
                  <c:v>293.43757586970293</c:v>
                </c:pt>
                <c:pt idx="55">
                  <c:v>287.84609052563036</c:v>
                </c:pt>
                <c:pt idx="56">
                  <c:v>282.44116257388066</c:v>
                </c:pt>
                <c:pt idx="57">
                  <c:v>277.21358205632868</c:v>
                </c:pt>
                <c:pt idx="58">
                  <c:v>272.15473545290115</c:v>
                </c:pt>
                <c:pt idx="59">
                  <c:v>267.2565581699705</c:v>
                </c:pt>
                <c:pt idx="60">
                  <c:v>262.51149149917615</c:v>
                </c:pt>
                <c:pt idx="61">
                  <c:v>257.91244356352246</c:v>
                </c:pt>
                <c:pt idx="62">
                  <c:v>253.45275382636768</c:v>
                </c:pt>
                <c:pt idx="63">
                  <c:v>249.1261607897697</c:v>
                </c:pt>
                <c:pt idx="64">
                  <c:v>244.9267725527489</c:v>
                </c:pt>
                <c:pt idx="65">
                  <c:v>240.84903993835255</c:v>
                </c:pt>
                <c:pt idx="66">
                  <c:v>236.88773193178605</c:v>
                </c:pt>
                <c:pt idx="67">
                  <c:v>233.03791320101288</c:v>
                </c:pt>
                <c:pt idx="68">
                  <c:v>229.29492349670554</c:v>
                </c:pt>
                <c:pt idx="69">
                  <c:v>225.65435875076159</c:v>
                </c:pt>
                <c:pt idx="70">
                  <c:v>222.11205371220237</c:v>
                </c:pt>
                <c:pt idx="71">
                  <c:v>218.66406597652235</c:v>
                </c:pt>
                <c:pt idx="72">
                  <c:v>215.30666127974899</c:v>
                </c:pt>
                <c:pt idx="73">
                  <c:v>212.03629994189268</c:v>
                </c:pt>
                <c:pt idx="74">
                  <c:v>208.84962435632809</c:v>
                </c:pt>
                <c:pt idx="75">
                  <c:v>205.7434474321565</c:v>
                </c:pt>
                <c:pt idx="76">
                  <c:v>202.71474190591906</c:v>
                </c:pt>
                <c:pt idx="77">
                  <c:v>199.76063044731731</c:v>
                </c:pt>
                <c:pt idx="78">
                  <c:v>196.87837649096633</c:v>
                </c:pt>
                <c:pt idx="79">
                  <c:v>194.06537573277669</c:v>
                </c:pt>
                <c:pt idx="80">
                  <c:v>191.3191482354255</c:v>
                </c:pt>
                <c:pt idx="81">
                  <c:v>188.63733109262034</c:v>
                </c:pt>
                <c:pt idx="82">
                  <c:v>186.01767160654779</c:v>
                </c:pt>
                <c:pt idx="83">
                  <c:v>183.45802093710577</c:v>
                </c:pt>
                <c:pt idx="84">
                  <c:v>180.95632818529216</c:v>
                </c:pt>
                <c:pt idx="85">
                  <c:v>178.51063487651328</c:v>
                </c:pt>
                <c:pt idx="86">
                  <c:v>176.11906981262584</c:v>
                </c:pt>
                <c:pt idx="87">
                  <c:v>173.77984426427676</c:v>
                </c:pt>
                <c:pt idx="88">
                  <c:v>171.49124747758205</c:v>
                </c:pt>
                <c:pt idx="89">
                  <c:v>169.25164247142581</c:v>
                </c:pt>
                <c:pt idx="90">
                  <c:v>167.05946210368401</c:v>
                </c:pt>
                <c:pt idx="91">
                  <c:v>164.91320538650811</c:v>
                </c:pt>
                <c:pt idx="92">
                  <c:v>162.81143403246438</c:v>
                </c:pt>
                <c:pt idx="93">
                  <c:v>160.75276921482939</c:v>
                </c:pt>
                <c:pt idx="94">
                  <c:v>158.7358885267079</c:v>
                </c:pt>
                <c:pt idx="95">
                  <c:v>156.75952312488099</c:v>
                </c:pt>
                <c:pt idx="96">
                  <c:v>154.82245504542598</c:v>
                </c:pt>
                <c:pt idx="97">
                  <c:v>152.92351467917214</c:v>
                </c:pt>
                <c:pt idx="98">
                  <c:v>151.06157839600036</c:v>
                </c:pt>
                <c:pt idx="99">
                  <c:v>149.23556630784771</c:v>
                </c:pt>
                <c:pt idx="100">
                  <c:v>147.44444016105928</c:v>
                </c:pt>
              </c:numCache>
            </c:numRef>
          </c:val>
          <c:smooth val="0"/>
          <c:extLst>
            <c:ext xmlns:c16="http://schemas.microsoft.com/office/drawing/2014/chart" uri="{C3380CC4-5D6E-409C-BE32-E72D297353CC}">
              <c16:uniqueId val="{00000000-7DBB-40A7-A5BB-CF5E7DC777D9}"/>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Single'!$AN$5:$AN$105</c:f>
              <c:numCache>
                <c:formatCode>0.0</c:formatCode>
                <c:ptCount val="101"/>
                <c:pt idx="0">
                  <c:v>12</c:v>
                </c:pt>
                <c:pt idx="1">
                  <c:v>23.018848019074497</c:v>
                </c:pt>
                <c:pt idx="2">
                  <c:v>46.037696038148994</c:v>
                </c:pt>
                <c:pt idx="3">
                  <c:v>69.056544057223476</c:v>
                </c:pt>
                <c:pt idx="4">
                  <c:v>92.075392076297987</c:v>
                </c:pt>
                <c:pt idx="5">
                  <c:v>115.09424009537247</c:v>
                </c:pt>
                <c:pt idx="6">
                  <c:v>138.11308811444695</c:v>
                </c:pt>
                <c:pt idx="7">
                  <c:v>161.13193613352149</c:v>
                </c:pt>
                <c:pt idx="8">
                  <c:v>184.15078415259597</c:v>
                </c:pt>
                <c:pt idx="9">
                  <c:v>207.16963217167046</c:v>
                </c:pt>
                <c:pt idx="10">
                  <c:v>230.18848019074494</c:v>
                </c:pt>
                <c:pt idx="11">
                  <c:v>253.20732820981948</c:v>
                </c:pt>
                <c:pt idx="12">
                  <c:v>276.22617622889391</c:v>
                </c:pt>
                <c:pt idx="13">
                  <c:v>299.24502424796844</c:v>
                </c:pt>
                <c:pt idx="14">
                  <c:v>322.26387226704298</c:v>
                </c:pt>
                <c:pt idx="15">
                  <c:v>345.28272028611741</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347.38304806122716</c:v>
                </c:pt>
                <c:pt idx="64">
                  <c:v>342.15100561780673</c:v>
                </c:pt>
                <c:pt idx="65">
                  <c:v>337.06997616133214</c:v>
                </c:pt>
                <c:pt idx="66">
                  <c:v>332.13354318839868</c:v>
                </c:pt>
                <c:pt idx="67">
                  <c:v>327.33564800135377</c:v>
                </c:pt>
                <c:pt idx="68">
                  <c:v>322.67056513364719</c:v>
                </c:pt>
                <c:pt idx="69">
                  <c:v>318.13287977196933</c:v>
                </c:pt>
                <c:pt idx="70">
                  <c:v>313.48851902262356</c:v>
                </c:pt>
                <c:pt idx="71">
                  <c:v>308.92724742882513</c:v>
                </c:pt>
                <c:pt idx="72">
                  <c:v>304.50855956252121</c:v>
                </c:pt>
                <c:pt idx="73">
                  <c:v>300.29066238437997</c:v>
                </c:pt>
                <c:pt idx="74">
                  <c:v>296.1792137457868</c:v>
                </c:pt>
                <c:pt idx="75">
                  <c:v>292.17022359570052</c:v>
                </c:pt>
                <c:pt idx="76">
                  <c:v>288.25989882462153</c:v>
                </c:pt>
                <c:pt idx="77">
                  <c:v>284.44463126191187</c:v>
                </c:pt>
                <c:pt idx="78">
                  <c:v>280.72098654035409</c:v>
                </c:pt>
                <c:pt idx="79">
                  <c:v>277.08569375571057</c:v>
                </c:pt>
                <c:pt idx="80">
                  <c:v>273.53563585584823</c:v>
                </c:pt>
                <c:pt idx="81">
                  <c:v>270.06784070007018</c:v>
                </c:pt>
                <c:pt idx="82">
                  <c:v>266.67947273475721</c:v>
                </c:pt>
                <c:pt idx="83">
                  <c:v>263.36782523631649</c:v>
                </c:pt>
                <c:pt idx="84">
                  <c:v>260.13031307683769</c:v>
                </c:pt>
                <c:pt idx="85">
                  <c:v>256.96446597182285</c:v>
                </c:pt>
                <c:pt idx="86">
                  <c:v>253.86792217291853</c:v>
                </c:pt>
                <c:pt idx="87">
                  <c:v>250.838422571813</c:v>
                </c:pt>
                <c:pt idx="88">
                  <c:v>247.87380518435884</c:v>
                </c:pt>
                <c:pt idx="89">
                  <c:v>244.97199998662228</c:v>
                </c:pt>
                <c:pt idx="90">
                  <c:v>242.1310240769356</c:v>
                </c:pt>
                <c:pt idx="91">
                  <c:v>239.34897714019476</c:v>
                </c:pt>
                <c:pt idx="92">
                  <c:v>236.62403719259859</c:v>
                </c:pt>
                <c:pt idx="93">
                  <c:v>233.95445658680535</c:v>
                </c:pt>
                <c:pt idx="94">
                  <c:v>231.33855825910283</c:v>
                </c:pt>
                <c:pt idx="95">
                  <c:v>228.77473220165578</c:v>
                </c:pt>
                <c:pt idx="96">
                  <c:v>226.26143214424101</c:v>
                </c:pt>
                <c:pt idx="97">
                  <c:v>223.7971724310938</c:v>
                </c:pt>
                <c:pt idx="98">
                  <c:v>221.38052507961686</c:v>
                </c:pt>
                <c:pt idx="99">
                  <c:v>219.01011700871175</c:v>
                </c:pt>
                <c:pt idx="100">
                  <c:v>216.68462742543031</c:v>
                </c:pt>
              </c:numCache>
            </c:numRef>
          </c:val>
          <c:smooth val="0"/>
          <c:extLst>
            <c:ext xmlns:c16="http://schemas.microsoft.com/office/drawing/2014/chart" uri="{C3380CC4-5D6E-409C-BE32-E72D297353CC}">
              <c16:uniqueId val="{00000001-7DBB-40A7-A5BB-CF5E7DC777D9}"/>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Single'!$AN$216:$AN$316</c:f>
              <c:numCache>
                <c:formatCode>0.0</c:formatCode>
                <c:ptCount val="101"/>
                <c:pt idx="0">
                  <c:v>12</c:v>
                </c:pt>
                <c:pt idx="1">
                  <c:v>23.018848019074497</c:v>
                </c:pt>
                <c:pt idx="2">
                  <c:v>46.037696038148994</c:v>
                </c:pt>
                <c:pt idx="3">
                  <c:v>69.056544057223476</c:v>
                </c:pt>
                <c:pt idx="4">
                  <c:v>92.075392076297987</c:v>
                </c:pt>
                <c:pt idx="5">
                  <c:v>115.09424009537247</c:v>
                </c:pt>
                <c:pt idx="6">
                  <c:v>138.11308811444695</c:v>
                </c:pt>
                <c:pt idx="7">
                  <c:v>161.13193613352149</c:v>
                </c:pt>
                <c:pt idx="8">
                  <c:v>184.15078415259597</c:v>
                </c:pt>
                <c:pt idx="9">
                  <c:v>207.16963217167046</c:v>
                </c:pt>
                <c:pt idx="10">
                  <c:v>230.18848019074494</c:v>
                </c:pt>
                <c:pt idx="11">
                  <c:v>253.20732820981948</c:v>
                </c:pt>
                <c:pt idx="12">
                  <c:v>276.22617622889391</c:v>
                </c:pt>
                <c:pt idx="13">
                  <c:v>299.24502424796844</c:v>
                </c:pt>
                <c:pt idx="14">
                  <c:v>322.26387226704298</c:v>
                </c:pt>
                <c:pt idx="15">
                  <c:v>345.28272028611741</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348.17094980715058</c:v>
                </c:pt>
                <c:pt idx="78">
                  <c:v>343.90876622412117</c:v>
                </c:pt>
                <c:pt idx="79">
                  <c:v>339.74758735604399</c:v>
                </c:pt>
                <c:pt idx="80">
                  <c:v>335.68387643047805</c:v>
                </c:pt>
                <c:pt idx="81">
                  <c:v>331.7142596814985</c:v>
                </c:pt>
                <c:pt idx="82">
                  <c:v>327.83551707208551</c:v>
                </c:pt>
                <c:pt idx="83">
                  <c:v>324.04457364276283</c:v>
                </c:pt>
                <c:pt idx="84">
                  <c:v>320.2255736580093</c:v>
                </c:pt>
                <c:pt idx="85">
                  <c:v>316.45505304343953</c:v>
                </c:pt>
                <c:pt idx="86">
                  <c:v>312.76487685392408</c:v>
                </c:pt>
                <c:pt idx="87">
                  <c:v>309.18586329480729</c:v>
                </c:pt>
                <c:pt idx="88">
                  <c:v>305.70586201117868</c:v>
                </c:pt>
                <c:pt idx="89">
                  <c:v>302.29892384626663</c:v>
                </c:pt>
                <c:pt idx="90">
                  <c:v>298.96276693550794</c:v>
                </c:pt>
                <c:pt idx="91">
                  <c:v>295.69520345020368</c:v>
                </c:pt>
                <c:pt idx="92">
                  <c:v>292.49413480288314</c:v>
                </c:pt>
                <c:pt idx="93">
                  <c:v>289.35754714306438</c:v>
                </c:pt>
                <c:pt idx="94">
                  <c:v>286.28350712309793</c:v>
                </c:pt>
                <c:pt idx="95">
                  <c:v>283.27015791538508</c:v>
                </c:pt>
                <c:pt idx="96">
                  <c:v>280.31571546373164</c:v>
                </c:pt>
                <c:pt idx="97">
                  <c:v>277.41846495293487</c:v>
                </c:pt>
                <c:pt idx="98">
                  <c:v>274.57675748192253</c:v>
                </c:pt>
                <c:pt idx="99">
                  <c:v>271.7890069268837</c:v>
                </c:pt>
                <c:pt idx="100">
                  <c:v>269.05368698185134</c:v>
                </c:pt>
              </c:numCache>
            </c:numRef>
          </c:val>
          <c:smooth val="0"/>
          <c:extLst>
            <c:ext xmlns:c16="http://schemas.microsoft.com/office/drawing/2014/chart" uri="{C3380CC4-5D6E-409C-BE32-E72D297353CC}">
              <c16:uniqueId val="{00000002-7DBB-40A7-A5BB-CF5E7DC777D9}"/>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7DBB-40A7-A5BB-CF5E7DC777D9}"/>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7DBB-40A7-A5BB-CF5E7DC777D9}"/>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7DBB-40A7-A5BB-CF5E7DC777D9}"/>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13.677503241529088</c:v>
                </c:pt>
                <c:pt idx="17">
                  <c:v>14.098460672331537</c:v>
                </c:pt>
                <c:pt idx="18">
                  <c:v>14.507209369262272</c:v>
                </c:pt>
                <c:pt idx="19">
                  <c:v>14.904753774692461</c:v>
                </c:pt>
                <c:pt idx="20">
                  <c:v>15.29196771846008</c:v>
                </c:pt>
                <c:pt idx="21">
                  <c:v>15.669617026993173</c:v>
                </c:pt>
                <c:pt idx="22">
                  <c:v>16.038377336396206</c:v>
                </c:pt>
                <c:pt idx="23">
                  <c:v>16.398848297280871</c:v>
                </c:pt>
                <c:pt idx="24">
                  <c:v>16.751565026376291</c:v>
                </c:pt>
                <c:pt idx="25">
                  <c:v>17.097007430342252</c:v>
                </c:pt>
                <c:pt idx="26">
                  <c:v>17.435607865934102</c:v>
                </c:pt>
                <c:pt idx="27">
                  <c:v>17.767757485555826</c:v>
                </c:pt>
                <c:pt idx="28">
                  <c:v>18.093811533860897</c:v>
                </c:pt>
                <c:pt idx="29">
                  <c:v>18.414093799853429</c:v>
                </c:pt>
                <c:pt idx="30">
                  <c:v>18.728900383451947</c:v>
                </c:pt>
                <c:pt idx="31">
                  <c:v>19.038502901281255</c:v>
                </c:pt>
                <c:pt idx="32">
                  <c:v>19.343151230478792</c:v>
                </c:pt>
                <c:pt idx="33">
                  <c:v>19.643075869371319</c:v>
                </c:pt>
                <c:pt idx="34">
                  <c:v>19.938489978447699</c:v>
                </c:pt>
                <c:pt idx="35">
                  <c:v>20.229591153005988</c:v>
                </c:pt>
                <c:pt idx="36">
                  <c:v>20.516562969371019</c:v>
                </c:pt>
                <c:pt idx="37">
                  <c:v>20.799576339060387</c:v>
                </c:pt>
                <c:pt idx="38">
                  <c:v>21.078790699273384</c:v>
                </c:pt>
                <c:pt idx="39">
                  <c:v>21.354355063252402</c:v>
                </c:pt>
                <c:pt idx="40">
                  <c:v>21.626408950163512</c:v>
                </c:pt>
                <c:pt idx="41">
                  <c:v>21.895083210968458</c:v>
                </c:pt>
                <c:pt idx="42">
                  <c:v>22.160500764162947</c:v>
                </c:pt>
                <c:pt idx="43">
                  <c:v>22.422777253120294</c:v>
                </c:pt>
                <c:pt idx="44">
                  <c:v>22.682021635014426</c:v>
                </c:pt>
                <c:pt idx="45">
                  <c:v>22.938336709830168</c:v>
                </c:pt>
                <c:pt idx="46">
                  <c:v>23.191819596746186</c:v>
                </c:pt>
                <c:pt idx="47">
                  <c:v>23.442562164151447</c:v>
                </c:pt>
                <c:pt idx="48">
                  <c:v>23.690651418694493</c:v>
                </c:pt>
                <c:pt idx="49">
                  <c:v>24.042043898376914</c:v>
                </c:pt>
                <c:pt idx="50">
                  <c:v>24.545762657335313</c:v>
                </c:pt>
                <c:pt idx="51">
                  <c:v>25.049898771046266</c:v>
                </c:pt>
                <c:pt idx="52">
                  <c:v>25.564997720594789</c:v>
                </c:pt>
                <c:pt idx="53">
                  <c:v>26.097515586886523</c:v>
                </c:pt>
                <c:pt idx="54">
                  <c:v>26.625529547145614</c:v>
                </c:pt>
                <c:pt idx="55">
                  <c:v>27.146802413108261</c:v>
                </c:pt>
                <c:pt idx="56">
                  <c:v>27.669218821391077</c:v>
                </c:pt>
                <c:pt idx="57">
                  <c:v>28.192785751273455</c:v>
                </c:pt>
                <c:pt idx="58">
                  <c:v>28.717510239110084</c:v>
                </c:pt>
                <c:pt idx="59">
                  <c:v>29.243399378901039</c:v>
                </c:pt>
                <c:pt idx="60">
                  <c:v>29.770460322870353</c:v>
                </c:pt>
                <c:pt idx="61">
                  <c:v>30.298700282052732</c:v>
                </c:pt>
                <c:pt idx="62">
                  <c:v>30.82812652688872</c:v>
                </c:pt>
                <c:pt idx="63">
                  <c:v>31.358746387828074</c:v>
                </c:pt>
                <c:pt idx="64">
                  <c:v>31.89056725594137</c:v>
                </c:pt>
                <c:pt idx="65">
                  <c:v>32.423596583540117</c:v>
                </c:pt>
                <c:pt idx="66">
                  <c:v>32.957841884805028</c:v>
                </c:pt>
                <c:pt idx="67">
                  <c:v>33.493310736422899</c:v>
                </c:pt>
                <c:pt idx="68">
                  <c:v>34.030010778231855</c:v>
                </c:pt>
                <c:pt idx="69">
                  <c:v>34.56794971387513</c:v>
                </c:pt>
                <c:pt idx="70">
                  <c:v>35.107135311463665</c:v>
                </c:pt>
                <c:pt idx="71">
                  <c:v>35.647575404247071</c:v>
                </c:pt>
                <c:pt idx="72">
                  <c:v>36.189277891293742</c:v>
                </c:pt>
                <c:pt idx="73">
                  <c:v>36.732250738179623</c:v>
                </c:pt>
                <c:pt idx="74">
                  <c:v>37.276501977686138</c:v>
                </c:pt>
                <c:pt idx="75">
                  <c:v>37.822039710507035</c:v>
                </c:pt>
                <c:pt idx="76">
                  <c:v>38.368872105964677</c:v>
                </c:pt>
                <c:pt idx="77">
                  <c:v>38.917007402735443</c:v>
                </c:pt>
                <c:pt idx="78">
                  <c:v>39.466453909584679</c:v>
                </c:pt>
                <c:pt idx="79">
                  <c:v>40.017220006111152</c:v>
                </c:pt>
                <c:pt idx="80">
                  <c:v>40.569314143501394</c:v>
                </c:pt>
                <c:pt idx="81">
                  <c:v>41.122744845293603</c:v>
                </c:pt>
                <c:pt idx="82">
                  <c:v>41.677520708151668</c:v>
                </c:pt>
                <c:pt idx="83">
                  <c:v>42.233650402649268</c:v>
                </c:pt>
                <c:pt idx="84">
                  <c:v>42.791142674064226</c:v>
                </c:pt>
                <c:pt idx="85">
                  <c:v>43.350006343183189</c:v>
                </c:pt>
                <c:pt idx="86">
                  <c:v>43.910250307116904</c:v>
                </c:pt>
                <c:pt idx="87">
                  <c:v>44.471883540126186</c:v>
                </c:pt>
                <c:pt idx="88">
                  <c:v>45.03491509445869</c:v>
                </c:pt>
                <c:pt idx="89">
                  <c:v>45.59935410119671</c:v>
                </c:pt>
                <c:pt idx="90">
                  <c:v>46.165209771116103</c:v>
                </c:pt>
                <c:pt idx="91">
                  <c:v>46.732491395556671</c:v>
                </c:pt>
                <c:pt idx="92">
                  <c:v>47.301208347303842</c:v>
                </c:pt>
                <c:pt idx="93">
                  <c:v>47.871370081482198</c:v>
                </c:pt>
                <c:pt idx="94">
                  <c:v>48.442986136460718</c:v>
                </c:pt>
                <c:pt idx="95">
                  <c:v>49.016066134770263</c:v>
                </c:pt>
                <c:pt idx="96">
                  <c:v>49.590619784032896</c:v>
                </c:pt>
                <c:pt idx="97">
                  <c:v>50.166656877904011</c:v>
                </c:pt>
                <c:pt idx="98">
                  <c:v>50.744187297026762</c:v>
                </c:pt>
                <c:pt idx="99">
                  <c:v>51.323221009999365</c:v>
                </c:pt>
                <c:pt idx="100">
                  <c:v>51.90376807435544</c:v>
                </c:pt>
              </c:numCache>
            </c:numRef>
          </c:val>
          <c:smooth val="0"/>
          <c:extLst>
            <c:ext xmlns:c16="http://schemas.microsoft.com/office/drawing/2014/chart" uri="{C3380CC4-5D6E-409C-BE32-E72D297353CC}">
              <c16:uniqueId val="{00000000-DE5E-470B-BC83-CF3F840E873B}"/>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Single'!$AJ$5:$AJ$105</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13.677503241529088</c:v>
                </c:pt>
                <c:pt idx="17">
                  <c:v>14.098460672331537</c:v>
                </c:pt>
                <c:pt idx="18">
                  <c:v>14.507209369262272</c:v>
                </c:pt>
                <c:pt idx="19">
                  <c:v>14.904753774692461</c:v>
                </c:pt>
                <c:pt idx="20">
                  <c:v>15.29196771846008</c:v>
                </c:pt>
                <c:pt idx="21">
                  <c:v>15.669617026993173</c:v>
                </c:pt>
                <c:pt idx="22">
                  <c:v>16.038377336396206</c:v>
                </c:pt>
                <c:pt idx="23">
                  <c:v>16.398848297280871</c:v>
                </c:pt>
                <c:pt idx="24">
                  <c:v>16.751565026376291</c:v>
                </c:pt>
                <c:pt idx="25">
                  <c:v>17.097007430342252</c:v>
                </c:pt>
                <c:pt idx="26">
                  <c:v>17.435607865934102</c:v>
                </c:pt>
                <c:pt idx="27">
                  <c:v>17.767757485555826</c:v>
                </c:pt>
                <c:pt idx="28">
                  <c:v>18.093811533860897</c:v>
                </c:pt>
                <c:pt idx="29">
                  <c:v>18.414093799853429</c:v>
                </c:pt>
                <c:pt idx="30">
                  <c:v>18.728900383451947</c:v>
                </c:pt>
                <c:pt idx="31">
                  <c:v>19.038502901281255</c:v>
                </c:pt>
                <c:pt idx="32">
                  <c:v>19.343151230478792</c:v>
                </c:pt>
                <c:pt idx="33">
                  <c:v>19.643075869371319</c:v>
                </c:pt>
                <c:pt idx="34">
                  <c:v>19.938489978447699</c:v>
                </c:pt>
                <c:pt idx="35">
                  <c:v>20.229591153005988</c:v>
                </c:pt>
                <c:pt idx="36">
                  <c:v>20.516562969371019</c:v>
                </c:pt>
                <c:pt idx="37">
                  <c:v>20.799576339060387</c:v>
                </c:pt>
                <c:pt idx="38">
                  <c:v>21.078790699273384</c:v>
                </c:pt>
                <c:pt idx="39">
                  <c:v>21.354355063252402</c:v>
                </c:pt>
                <c:pt idx="40">
                  <c:v>21.626408950163512</c:v>
                </c:pt>
                <c:pt idx="41">
                  <c:v>21.895083210968458</c:v>
                </c:pt>
                <c:pt idx="42">
                  <c:v>22.160500764162947</c:v>
                </c:pt>
                <c:pt idx="43">
                  <c:v>22.422777253120294</c:v>
                </c:pt>
                <c:pt idx="44">
                  <c:v>22.682021635014426</c:v>
                </c:pt>
                <c:pt idx="45">
                  <c:v>22.938336709830168</c:v>
                </c:pt>
                <c:pt idx="46">
                  <c:v>23.191819596746186</c:v>
                </c:pt>
                <c:pt idx="47">
                  <c:v>23.442562164151447</c:v>
                </c:pt>
                <c:pt idx="48">
                  <c:v>23.690651418694493</c:v>
                </c:pt>
                <c:pt idx="49">
                  <c:v>23.93616985803704</c:v>
                </c:pt>
                <c:pt idx="50">
                  <c:v>24.179195791366734</c:v>
                </c:pt>
                <c:pt idx="51">
                  <c:v>24.419803631199049</c:v>
                </c:pt>
                <c:pt idx="52">
                  <c:v>24.658064159550531</c:v>
                </c:pt>
                <c:pt idx="53">
                  <c:v>24.894044771182045</c:v>
                </c:pt>
                <c:pt idx="54">
                  <c:v>25.127809696280956</c:v>
                </c:pt>
                <c:pt idx="55">
                  <c:v>25.35942020466754</c:v>
                </c:pt>
                <c:pt idx="56">
                  <c:v>25.588934793365272</c:v>
                </c:pt>
                <c:pt idx="57">
                  <c:v>25.816409359162062</c:v>
                </c:pt>
                <c:pt idx="58">
                  <c:v>26.04189735760481</c:v>
                </c:pt>
                <c:pt idx="59">
                  <c:v>26.265449949708486</c:v>
                </c:pt>
                <c:pt idx="60">
                  <c:v>26.487116137520498</c:v>
                </c:pt>
                <c:pt idx="61">
                  <c:v>26.706942889557933</c:v>
                </c:pt>
                <c:pt idx="62">
                  <c:v>26.924975257027221</c:v>
                </c:pt>
                <c:pt idx="63">
                  <c:v>27.141256481640863</c:v>
                </c:pt>
                <c:pt idx="64">
                  <c:v>27.355828095761986</c:v>
                </c:pt>
                <c:pt idx="65">
                  <c:v>27.568730015533749</c:v>
                </c:pt>
                <c:pt idx="66">
                  <c:v>27.780000627584876</c:v>
                </c:pt>
                <c:pt idx="67">
                  <c:v>27.989676869844835</c:v>
                </c:pt>
                <c:pt idx="68">
                  <c:v>28.404260031090928</c:v>
                </c:pt>
                <c:pt idx="69">
                  <c:v>28.829673535132134</c:v>
                </c:pt>
                <c:pt idx="70">
                  <c:v>29.266670554971739</c:v>
                </c:pt>
                <c:pt idx="71">
                  <c:v>29.706248870424854</c:v>
                </c:pt>
                <c:pt idx="72">
                  <c:v>30.145193496187733</c:v>
                </c:pt>
                <c:pt idx="73">
                  <c:v>30.579998107646727</c:v>
                </c:pt>
                <c:pt idx="74">
                  <c:v>31.015285201061069</c:v>
                </c:pt>
                <c:pt idx="75">
                  <c:v>31.451056568274804</c:v>
                </c:pt>
                <c:pt idx="76">
                  <c:v>31.887314010042221</c:v>
                </c:pt>
                <c:pt idx="77">
                  <c:v>32.324059336081596</c:v>
                </c:pt>
                <c:pt idx="78">
                  <c:v>32.76129436512938</c:v>
                </c:pt>
                <c:pt idx="79">
                  <c:v>33.199020924994905</c:v>
                </c:pt>
                <c:pt idx="80">
                  <c:v>33.637240852615676</c:v>
                </c:pt>
                <c:pt idx="81">
                  <c:v>34.075955994113073</c:v>
                </c:pt>
                <c:pt idx="82">
                  <c:v>34.515168204848628</c:v>
                </c:pt>
                <c:pt idx="83">
                  <c:v>34.954879349480827</c:v>
                </c:pt>
                <c:pt idx="84">
                  <c:v>35.395091302022337</c:v>
                </c:pt>
                <c:pt idx="85">
                  <c:v>35.835805945897732</c:v>
                </c:pt>
                <c:pt idx="86">
                  <c:v>36.277025174001864</c:v>
                </c:pt>
                <c:pt idx="87">
                  <c:v>36.718750888758535</c:v>
                </c:pt>
                <c:pt idx="88">
                  <c:v>37.160985002179793</c:v>
                </c:pt>
                <c:pt idx="89">
                  <c:v>37.603729435925622</c:v>
                </c:pt>
                <c:pt idx="90">
                  <c:v>38.046986121364291</c:v>
                </c:pt>
                <c:pt idx="91">
                  <c:v>38.490756999633049</c:v>
                </c:pt>
                <c:pt idx="92">
                  <c:v>38.935044021699369</c:v>
                </c:pt>
                <c:pt idx="93">
                  <c:v>39.379849148422686</c:v>
                </c:pt>
                <c:pt idx="94">
                  <c:v>39.825174350616663</c:v>
                </c:pt>
                <c:pt idx="95">
                  <c:v>40.271021609112005</c:v>
                </c:pt>
                <c:pt idx="96">
                  <c:v>40.717392914819591</c:v>
                </c:pt>
                <c:pt idx="97">
                  <c:v>41.164290268794382</c:v>
                </c:pt>
                <c:pt idx="98">
                  <c:v>41.611715682299575</c:v>
                </c:pt>
                <c:pt idx="99">
                  <c:v>42.059671176871532</c:v>
                </c:pt>
                <c:pt idx="100">
                  <c:v>42.508158784384982</c:v>
                </c:pt>
              </c:numCache>
            </c:numRef>
          </c:val>
          <c:smooth val="1"/>
          <c:extLst>
            <c:ext xmlns:c16="http://schemas.microsoft.com/office/drawing/2014/chart" uri="{C3380CC4-5D6E-409C-BE32-E72D297353CC}">
              <c16:uniqueId val="{00000001-DE5E-470B-BC83-CF3F840E873B}"/>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13.677503241529088</c:v>
                </c:pt>
                <c:pt idx="17">
                  <c:v>14.098460672331537</c:v>
                </c:pt>
                <c:pt idx="18">
                  <c:v>14.507209369262272</c:v>
                </c:pt>
                <c:pt idx="19">
                  <c:v>14.904753774692461</c:v>
                </c:pt>
                <c:pt idx="20">
                  <c:v>15.29196771846008</c:v>
                </c:pt>
                <c:pt idx="21">
                  <c:v>15.669617026993173</c:v>
                </c:pt>
                <c:pt idx="22">
                  <c:v>16.038377336396206</c:v>
                </c:pt>
                <c:pt idx="23">
                  <c:v>16.398848297280871</c:v>
                </c:pt>
                <c:pt idx="24">
                  <c:v>16.751565026376291</c:v>
                </c:pt>
                <c:pt idx="25">
                  <c:v>17.097007430342252</c:v>
                </c:pt>
                <c:pt idx="26">
                  <c:v>17.435607865934102</c:v>
                </c:pt>
                <c:pt idx="27">
                  <c:v>17.767757485555826</c:v>
                </c:pt>
                <c:pt idx="28">
                  <c:v>18.093811533860897</c:v>
                </c:pt>
                <c:pt idx="29">
                  <c:v>18.414093799853429</c:v>
                </c:pt>
                <c:pt idx="30">
                  <c:v>18.728900383451947</c:v>
                </c:pt>
                <c:pt idx="31">
                  <c:v>19.038502901281255</c:v>
                </c:pt>
                <c:pt idx="32">
                  <c:v>19.343151230478792</c:v>
                </c:pt>
                <c:pt idx="33">
                  <c:v>19.643075869371319</c:v>
                </c:pt>
                <c:pt idx="34">
                  <c:v>19.938489978447699</c:v>
                </c:pt>
                <c:pt idx="35">
                  <c:v>20.229591153005988</c:v>
                </c:pt>
                <c:pt idx="36">
                  <c:v>20.516562969371019</c:v>
                </c:pt>
                <c:pt idx="37">
                  <c:v>20.799576339060387</c:v>
                </c:pt>
                <c:pt idx="38">
                  <c:v>21.078790699273384</c:v>
                </c:pt>
                <c:pt idx="39">
                  <c:v>21.354355063252402</c:v>
                </c:pt>
                <c:pt idx="40">
                  <c:v>21.626408950163512</c:v>
                </c:pt>
                <c:pt idx="41">
                  <c:v>21.895083210968458</c:v>
                </c:pt>
                <c:pt idx="42">
                  <c:v>22.160500764162947</c:v>
                </c:pt>
                <c:pt idx="43">
                  <c:v>22.422777253120294</c:v>
                </c:pt>
                <c:pt idx="44">
                  <c:v>22.682021635014426</c:v>
                </c:pt>
                <c:pt idx="45">
                  <c:v>22.938336709830168</c:v>
                </c:pt>
                <c:pt idx="46">
                  <c:v>23.191819596746186</c:v>
                </c:pt>
                <c:pt idx="47">
                  <c:v>23.442562164151447</c:v>
                </c:pt>
                <c:pt idx="48">
                  <c:v>23.690651418694493</c:v>
                </c:pt>
                <c:pt idx="49">
                  <c:v>23.93616985803704</c:v>
                </c:pt>
                <c:pt idx="50">
                  <c:v>24.179195791366734</c:v>
                </c:pt>
                <c:pt idx="51">
                  <c:v>24.419803631199049</c:v>
                </c:pt>
                <c:pt idx="52">
                  <c:v>24.658064159550531</c:v>
                </c:pt>
                <c:pt idx="53">
                  <c:v>24.894044771182045</c:v>
                </c:pt>
                <c:pt idx="54">
                  <c:v>25.127809696280956</c:v>
                </c:pt>
                <c:pt idx="55">
                  <c:v>25.35942020466754</c:v>
                </c:pt>
                <c:pt idx="56">
                  <c:v>25.588934793365272</c:v>
                </c:pt>
                <c:pt idx="57">
                  <c:v>25.816409359162062</c:v>
                </c:pt>
                <c:pt idx="58">
                  <c:v>26.04189735760481</c:v>
                </c:pt>
                <c:pt idx="59">
                  <c:v>26.265449949708486</c:v>
                </c:pt>
                <c:pt idx="60">
                  <c:v>26.487116137520498</c:v>
                </c:pt>
                <c:pt idx="61">
                  <c:v>26.706942889557933</c:v>
                </c:pt>
                <c:pt idx="62">
                  <c:v>26.924975257027221</c:v>
                </c:pt>
                <c:pt idx="63">
                  <c:v>27.141256481640863</c:v>
                </c:pt>
                <c:pt idx="64">
                  <c:v>27.355828095761986</c:v>
                </c:pt>
                <c:pt idx="65">
                  <c:v>27.568730015533749</c:v>
                </c:pt>
                <c:pt idx="66">
                  <c:v>27.780000627584876</c:v>
                </c:pt>
                <c:pt idx="67">
                  <c:v>27.989676869844835</c:v>
                </c:pt>
                <c:pt idx="68">
                  <c:v>28.197794306950481</c:v>
                </c:pt>
                <c:pt idx="69">
                  <c:v>28.404387200680027</c:v>
                </c:pt>
                <c:pt idx="70">
                  <c:v>28.609488575809443</c:v>
                </c:pt>
                <c:pt idx="71">
                  <c:v>28.813130281749647</c:v>
                </c:pt>
                <c:pt idx="72">
                  <c:v>29.015343050290326</c:v>
                </c:pt>
                <c:pt idx="73">
                  <c:v>29.216156549746703</c:v>
                </c:pt>
                <c:pt idx="74">
                  <c:v>29.415599435779505</c:v>
                </c:pt>
                <c:pt idx="75">
                  <c:v>29.6136993991345</c:v>
                </c:pt>
                <c:pt idx="76">
                  <c:v>29.810483210526819</c:v>
                </c:pt>
                <c:pt idx="77">
                  <c:v>30.005976762876077</c:v>
                </c:pt>
                <c:pt idx="78">
                  <c:v>30.200205111080841</c:v>
                </c:pt>
                <c:pt idx="79">
                  <c:v>30.393192509505578</c:v>
                </c:pt>
                <c:pt idx="80">
                  <c:v>30.584962447338654</c:v>
                </c:pt>
                <c:pt idx="81">
                  <c:v>30.775537681967535</c:v>
                </c:pt>
                <c:pt idx="82">
                  <c:v>30.964940270505224</c:v>
                </c:pt>
                <c:pt idx="83">
                  <c:v>31.310095095229787</c:v>
                </c:pt>
                <c:pt idx="84">
                  <c:v>31.698371076274494</c:v>
                </c:pt>
                <c:pt idx="85">
                  <c:v>32.088838264067348</c:v>
                </c:pt>
                <c:pt idx="86">
                  <c:v>32.479711641490894</c:v>
                </c:pt>
                <c:pt idx="87">
                  <c:v>32.869101828844926</c:v>
                </c:pt>
                <c:pt idx="88">
                  <c:v>33.257443753514856</c:v>
                </c:pt>
                <c:pt idx="89">
                  <c:v>33.646043817362212</c:v>
                </c:pt>
                <c:pt idx="90">
                  <c:v>34.034902693447819</c:v>
                </c:pt>
                <c:pt idx="91">
                  <c:v>34.424021057181861</c:v>
                </c:pt>
                <c:pt idx="92">
                  <c:v>34.813399586333709</c:v>
                </c:pt>
                <c:pt idx="93">
                  <c:v>35.203038961041834</c:v>
                </c:pt>
                <c:pt idx="94">
                  <c:v>35.59293986382383</c:v>
                </c:pt>
                <c:pt idx="95">
                  <c:v>35.983102979586448</c:v>
                </c:pt>
                <c:pt idx="96">
                  <c:v>36.373528995635795</c:v>
                </c:pt>
                <c:pt idx="97">
                  <c:v>36.764218601687482</c:v>
                </c:pt>
                <c:pt idx="98">
                  <c:v>37.155172489876961</c:v>
                </c:pt>
                <c:pt idx="99">
                  <c:v>37.54639135476986</c:v>
                </c:pt>
                <c:pt idx="100">
                  <c:v>37.93787589337245</c:v>
                </c:pt>
              </c:numCache>
            </c:numRef>
          </c:val>
          <c:smooth val="1"/>
          <c:extLst>
            <c:ext xmlns:c16="http://schemas.microsoft.com/office/drawing/2014/chart" uri="{C3380CC4-5D6E-409C-BE32-E72D297353CC}">
              <c16:uniqueId val="{00000002-DE5E-470B-BC83-CF3F840E873B}"/>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Single'!$AN$110:$AN$210</c:f>
              <c:numCache>
                <c:formatCode>0.0</c:formatCode>
                <c:ptCount val="101"/>
                <c:pt idx="0">
                  <c:v>12</c:v>
                </c:pt>
                <c:pt idx="1">
                  <c:v>23.018848019074497</c:v>
                </c:pt>
                <c:pt idx="2">
                  <c:v>46.037696038148994</c:v>
                </c:pt>
                <c:pt idx="3">
                  <c:v>69.056544057223476</c:v>
                </c:pt>
                <c:pt idx="4">
                  <c:v>92.075392076297987</c:v>
                </c:pt>
                <c:pt idx="5">
                  <c:v>115.09424009537247</c:v>
                </c:pt>
                <c:pt idx="6">
                  <c:v>138.11308811444695</c:v>
                </c:pt>
                <c:pt idx="7">
                  <c:v>161.13193613352149</c:v>
                </c:pt>
                <c:pt idx="8">
                  <c:v>184.15078415259597</c:v>
                </c:pt>
                <c:pt idx="9">
                  <c:v>207.16963217167046</c:v>
                </c:pt>
                <c:pt idx="10">
                  <c:v>230.18848019074494</c:v>
                </c:pt>
                <c:pt idx="11">
                  <c:v>253.20732820981948</c:v>
                </c:pt>
                <c:pt idx="12">
                  <c:v>276.22617622889391</c:v>
                </c:pt>
                <c:pt idx="13">
                  <c:v>299.24502424796844</c:v>
                </c:pt>
                <c:pt idx="14">
                  <c:v>322.26387226704298</c:v>
                </c:pt>
                <c:pt idx="15">
                  <c:v>345.28272028611741</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345.15828760198485</c:v>
                </c:pt>
                <c:pt idx="47">
                  <c:v>337.96700389478275</c:v>
                </c:pt>
                <c:pt idx="48">
                  <c:v>331.0578877905528</c:v>
                </c:pt>
                <c:pt idx="49">
                  <c:v>324.41475482934368</c:v>
                </c:pt>
                <c:pt idx="50">
                  <c:v>318.02263202579343</c:v>
                </c:pt>
                <c:pt idx="51">
                  <c:v>311.86764674354106</c:v>
                </c:pt>
                <c:pt idx="52">
                  <c:v>305.70006082801615</c:v>
                </c:pt>
                <c:pt idx="53">
                  <c:v>299.39532927415229</c:v>
                </c:pt>
                <c:pt idx="54">
                  <c:v>293.43757586970293</c:v>
                </c:pt>
                <c:pt idx="55">
                  <c:v>287.84609052563036</c:v>
                </c:pt>
                <c:pt idx="56">
                  <c:v>282.44116257388066</c:v>
                </c:pt>
                <c:pt idx="57">
                  <c:v>277.21358205632868</c:v>
                </c:pt>
                <c:pt idx="58">
                  <c:v>272.15473545290115</c:v>
                </c:pt>
                <c:pt idx="59">
                  <c:v>267.2565581699705</c:v>
                </c:pt>
                <c:pt idx="60">
                  <c:v>262.51149149917615</c:v>
                </c:pt>
                <c:pt idx="61">
                  <c:v>257.91244356352246</c:v>
                </c:pt>
                <c:pt idx="62">
                  <c:v>253.45275382636768</c:v>
                </c:pt>
                <c:pt idx="63">
                  <c:v>249.1261607897697</c:v>
                </c:pt>
                <c:pt idx="64">
                  <c:v>244.9267725527489</c:v>
                </c:pt>
                <c:pt idx="65">
                  <c:v>240.84903993835255</c:v>
                </c:pt>
                <c:pt idx="66">
                  <c:v>236.88773193178605</c:v>
                </c:pt>
                <c:pt idx="67">
                  <c:v>233.03791320101288</c:v>
                </c:pt>
                <c:pt idx="68">
                  <c:v>229.29492349670554</c:v>
                </c:pt>
                <c:pt idx="69">
                  <c:v>225.65435875076159</c:v>
                </c:pt>
                <c:pt idx="70">
                  <c:v>222.11205371220237</c:v>
                </c:pt>
                <c:pt idx="71">
                  <c:v>218.66406597652235</c:v>
                </c:pt>
                <c:pt idx="72">
                  <c:v>215.30666127974899</c:v>
                </c:pt>
                <c:pt idx="73">
                  <c:v>212.03629994189268</c:v>
                </c:pt>
                <c:pt idx="74">
                  <c:v>208.84962435632809</c:v>
                </c:pt>
                <c:pt idx="75">
                  <c:v>205.7434474321565</c:v>
                </c:pt>
                <c:pt idx="76">
                  <c:v>202.71474190591906</c:v>
                </c:pt>
                <c:pt idx="77">
                  <c:v>199.76063044731731</c:v>
                </c:pt>
                <c:pt idx="78">
                  <c:v>196.87837649096633</c:v>
                </c:pt>
                <c:pt idx="79">
                  <c:v>194.06537573277669</c:v>
                </c:pt>
                <c:pt idx="80">
                  <c:v>191.3191482354255</c:v>
                </c:pt>
                <c:pt idx="81">
                  <c:v>188.63733109262034</c:v>
                </c:pt>
                <c:pt idx="82">
                  <c:v>186.01767160654779</c:v>
                </c:pt>
                <c:pt idx="83">
                  <c:v>183.45802093710577</c:v>
                </c:pt>
                <c:pt idx="84">
                  <c:v>180.95632818529216</c:v>
                </c:pt>
                <c:pt idx="85">
                  <c:v>178.51063487651328</c:v>
                </c:pt>
                <c:pt idx="86">
                  <c:v>176.11906981262584</c:v>
                </c:pt>
                <c:pt idx="87">
                  <c:v>173.77984426427676</c:v>
                </c:pt>
                <c:pt idx="88">
                  <c:v>171.49124747758205</c:v>
                </c:pt>
                <c:pt idx="89">
                  <c:v>169.25164247142581</c:v>
                </c:pt>
                <c:pt idx="90">
                  <c:v>167.05946210368401</c:v>
                </c:pt>
                <c:pt idx="91">
                  <c:v>164.91320538650811</c:v>
                </c:pt>
                <c:pt idx="92">
                  <c:v>162.81143403246438</c:v>
                </c:pt>
                <c:pt idx="93">
                  <c:v>160.75276921482939</c:v>
                </c:pt>
                <c:pt idx="94">
                  <c:v>158.7358885267079</c:v>
                </c:pt>
                <c:pt idx="95">
                  <c:v>156.75952312488099</c:v>
                </c:pt>
                <c:pt idx="96">
                  <c:v>154.82245504542598</c:v>
                </c:pt>
                <c:pt idx="97">
                  <c:v>152.92351467917214</c:v>
                </c:pt>
                <c:pt idx="98">
                  <c:v>151.06157839600036</c:v>
                </c:pt>
                <c:pt idx="99">
                  <c:v>149.23556630784771</c:v>
                </c:pt>
                <c:pt idx="100">
                  <c:v>147.44444016105928</c:v>
                </c:pt>
              </c:numCache>
            </c:numRef>
          </c:val>
          <c:smooth val="0"/>
          <c:extLst>
            <c:ext xmlns:c16="http://schemas.microsoft.com/office/drawing/2014/chart" uri="{C3380CC4-5D6E-409C-BE32-E72D297353CC}">
              <c16:uniqueId val="{00000000-33CF-4CE8-9C2E-6191AB4D2064}"/>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Single'!$AN$5:$AN$105</c:f>
              <c:numCache>
                <c:formatCode>0.0</c:formatCode>
                <c:ptCount val="101"/>
                <c:pt idx="0">
                  <c:v>12</c:v>
                </c:pt>
                <c:pt idx="1">
                  <c:v>23.018848019074497</c:v>
                </c:pt>
                <c:pt idx="2">
                  <c:v>46.037696038148994</c:v>
                </c:pt>
                <c:pt idx="3">
                  <c:v>69.056544057223476</c:v>
                </c:pt>
                <c:pt idx="4">
                  <c:v>92.075392076297987</c:v>
                </c:pt>
                <c:pt idx="5">
                  <c:v>115.09424009537247</c:v>
                </c:pt>
                <c:pt idx="6">
                  <c:v>138.11308811444695</c:v>
                </c:pt>
                <c:pt idx="7">
                  <c:v>161.13193613352149</c:v>
                </c:pt>
                <c:pt idx="8">
                  <c:v>184.15078415259597</c:v>
                </c:pt>
                <c:pt idx="9">
                  <c:v>207.16963217167046</c:v>
                </c:pt>
                <c:pt idx="10">
                  <c:v>230.18848019074494</c:v>
                </c:pt>
                <c:pt idx="11">
                  <c:v>253.20732820981948</c:v>
                </c:pt>
                <c:pt idx="12">
                  <c:v>276.22617622889391</c:v>
                </c:pt>
                <c:pt idx="13">
                  <c:v>299.24502424796844</c:v>
                </c:pt>
                <c:pt idx="14">
                  <c:v>322.26387226704298</c:v>
                </c:pt>
                <c:pt idx="15">
                  <c:v>345.28272028611741</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347.38304806122716</c:v>
                </c:pt>
                <c:pt idx="64">
                  <c:v>342.15100561780673</c:v>
                </c:pt>
                <c:pt idx="65">
                  <c:v>337.06997616133214</c:v>
                </c:pt>
                <c:pt idx="66">
                  <c:v>332.13354318839868</c:v>
                </c:pt>
                <c:pt idx="67">
                  <c:v>327.33564800135377</c:v>
                </c:pt>
                <c:pt idx="68">
                  <c:v>322.67056513364719</c:v>
                </c:pt>
                <c:pt idx="69">
                  <c:v>318.13287977196933</c:v>
                </c:pt>
                <c:pt idx="70">
                  <c:v>313.48851902262356</c:v>
                </c:pt>
                <c:pt idx="71">
                  <c:v>308.92724742882513</c:v>
                </c:pt>
                <c:pt idx="72">
                  <c:v>304.50855956252121</c:v>
                </c:pt>
                <c:pt idx="73">
                  <c:v>300.29066238437997</c:v>
                </c:pt>
                <c:pt idx="74">
                  <c:v>296.1792137457868</c:v>
                </c:pt>
                <c:pt idx="75">
                  <c:v>292.17022359570052</c:v>
                </c:pt>
                <c:pt idx="76">
                  <c:v>288.25989882462153</c:v>
                </c:pt>
                <c:pt idx="77">
                  <c:v>284.44463126191187</c:v>
                </c:pt>
                <c:pt idx="78">
                  <c:v>280.72098654035409</c:v>
                </c:pt>
                <c:pt idx="79">
                  <c:v>277.08569375571057</c:v>
                </c:pt>
                <c:pt idx="80">
                  <c:v>273.53563585584823</c:v>
                </c:pt>
                <c:pt idx="81">
                  <c:v>270.06784070007018</c:v>
                </c:pt>
                <c:pt idx="82">
                  <c:v>266.67947273475721</c:v>
                </c:pt>
                <c:pt idx="83">
                  <c:v>263.36782523631649</c:v>
                </c:pt>
                <c:pt idx="84">
                  <c:v>260.13031307683769</c:v>
                </c:pt>
                <c:pt idx="85">
                  <c:v>256.96446597182285</c:v>
                </c:pt>
                <c:pt idx="86">
                  <c:v>253.86792217291853</c:v>
                </c:pt>
                <c:pt idx="87">
                  <c:v>250.838422571813</c:v>
                </c:pt>
                <c:pt idx="88">
                  <c:v>247.87380518435884</c:v>
                </c:pt>
                <c:pt idx="89">
                  <c:v>244.97199998662228</c:v>
                </c:pt>
                <c:pt idx="90">
                  <c:v>242.1310240769356</c:v>
                </c:pt>
                <c:pt idx="91">
                  <c:v>239.34897714019476</c:v>
                </c:pt>
                <c:pt idx="92">
                  <c:v>236.62403719259859</c:v>
                </c:pt>
                <c:pt idx="93">
                  <c:v>233.95445658680535</c:v>
                </c:pt>
                <c:pt idx="94">
                  <c:v>231.33855825910283</c:v>
                </c:pt>
                <c:pt idx="95">
                  <c:v>228.77473220165578</c:v>
                </c:pt>
                <c:pt idx="96">
                  <c:v>226.26143214424101</c:v>
                </c:pt>
                <c:pt idx="97">
                  <c:v>223.7971724310938</c:v>
                </c:pt>
                <c:pt idx="98">
                  <c:v>221.38052507961686</c:v>
                </c:pt>
                <c:pt idx="99">
                  <c:v>219.01011700871175</c:v>
                </c:pt>
                <c:pt idx="100">
                  <c:v>216.68462742543031</c:v>
                </c:pt>
              </c:numCache>
            </c:numRef>
          </c:val>
          <c:smooth val="0"/>
          <c:extLst>
            <c:ext xmlns:c16="http://schemas.microsoft.com/office/drawing/2014/chart" uri="{C3380CC4-5D6E-409C-BE32-E72D297353CC}">
              <c16:uniqueId val="{00000001-33CF-4CE8-9C2E-6191AB4D2064}"/>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Single'!$AN$216:$AN$316</c:f>
              <c:numCache>
                <c:formatCode>0.0</c:formatCode>
                <c:ptCount val="101"/>
                <c:pt idx="0">
                  <c:v>12</c:v>
                </c:pt>
                <c:pt idx="1">
                  <c:v>23.018848019074497</c:v>
                </c:pt>
                <c:pt idx="2">
                  <c:v>46.037696038148994</c:v>
                </c:pt>
                <c:pt idx="3">
                  <c:v>69.056544057223476</c:v>
                </c:pt>
                <c:pt idx="4">
                  <c:v>92.075392076297987</c:v>
                </c:pt>
                <c:pt idx="5">
                  <c:v>115.09424009537247</c:v>
                </c:pt>
                <c:pt idx="6">
                  <c:v>138.11308811444695</c:v>
                </c:pt>
                <c:pt idx="7">
                  <c:v>161.13193613352149</c:v>
                </c:pt>
                <c:pt idx="8">
                  <c:v>184.15078415259597</c:v>
                </c:pt>
                <c:pt idx="9">
                  <c:v>207.16963217167046</c:v>
                </c:pt>
                <c:pt idx="10">
                  <c:v>230.18848019074494</c:v>
                </c:pt>
                <c:pt idx="11">
                  <c:v>253.20732820981948</c:v>
                </c:pt>
                <c:pt idx="12">
                  <c:v>276.22617622889391</c:v>
                </c:pt>
                <c:pt idx="13">
                  <c:v>299.24502424796844</c:v>
                </c:pt>
                <c:pt idx="14">
                  <c:v>322.26387226704298</c:v>
                </c:pt>
                <c:pt idx="15">
                  <c:v>345.28272028611741</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348.17094980715058</c:v>
                </c:pt>
                <c:pt idx="78">
                  <c:v>343.90876622412117</c:v>
                </c:pt>
                <c:pt idx="79">
                  <c:v>339.74758735604399</c:v>
                </c:pt>
                <c:pt idx="80">
                  <c:v>335.68387643047805</c:v>
                </c:pt>
                <c:pt idx="81">
                  <c:v>331.7142596814985</c:v>
                </c:pt>
                <c:pt idx="82">
                  <c:v>327.83551707208551</c:v>
                </c:pt>
                <c:pt idx="83">
                  <c:v>324.04457364276283</c:v>
                </c:pt>
                <c:pt idx="84">
                  <c:v>320.2255736580093</c:v>
                </c:pt>
                <c:pt idx="85">
                  <c:v>316.45505304343953</c:v>
                </c:pt>
                <c:pt idx="86">
                  <c:v>312.76487685392408</c:v>
                </c:pt>
                <c:pt idx="87">
                  <c:v>309.18586329480729</c:v>
                </c:pt>
                <c:pt idx="88">
                  <c:v>305.70586201117868</c:v>
                </c:pt>
                <c:pt idx="89">
                  <c:v>302.29892384626663</c:v>
                </c:pt>
                <c:pt idx="90">
                  <c:v>298.96276693550794</c:v>
                </c:pt>
                <c:pt idx="91">
                  <c:v>295.69520345020368</c:v>
                </c:pt>
                <c:pt idx="92">
                  <c:v>292.49413480288314</c:v>
                </c:pt>
                <c:pt idx="93">
                  <c:v>289.35754714306438</c:v>
                </c:pt>
                <c:pt idx="94">
                  <c:v>286.28350712309793</c:v>
                </c:pt>
                <c:pt idx="95">
                  <c:v>283.27015791538508</c:v>
                </c:pt>
                <c:pt idx="96">
                  <c:v>280.31571546373164</c:v>
                </c:pt>
                <c:pt idx="97">
                  <c:v>277.41846495293487</c:v>
                </c:pt>
                <c:pt idx="98">
                  <c:v>274.57675748192253</c:v>
                </c:pt>
                <c:pt idx="99">
                  <c:v>271.7890069268837</c:v>
                </c:pt>
                <c:pt idx="100">
                  <c:v>269.05368698185134</c:v>
                </c:pt>
              </c:numCache>
            </c:numRef>
          </c:val>
          <c:smooth val="0"/>
          <c:extLst>
            <c:ext xmlns:c16="http://schemas.microsoft.com/office/drawing/2014/chart" uri="{C3380CC4-5D6E-409C-BE32-E72D297353CC}">
              <c16:uniqueId val="{00000002-33CF-4CE8-9C2E-6191AB4D206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3CF-4CE8-9C2E-6191AB4D2064}"/>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3CF-4CE8-9C2E-6191AB4D2064}"/>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3CF-4CE8-9C2E-6191AB4D2064}"/>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6.4001348997027325E-3</c:v>
                </c:pt>
                <c:pt idx="1">
                  <c:v>1.2752098721134491E-2</c:v>
                </c:pt>
                <c:pt idx="2">
                  <c:v>2.5504197442268981E-2</c:v>
                </c:pt>
                <c:pt idx="3">
                  <c:v>3.825629616340346E-2</c:v>
                </c:pt>
                <c:pt idx="4">
                  <c:v>5.1008394884537962E-2</c:v>
                </c:pt>
                <c:pt idx="5">
                  <c:v>6.3760493605672444E-2</c:v>
                </c:pt>
                <c:pt idx="6">
                  <c:v>7.6512592326806919E-2</c:v>
                </c:pt>
                <c:pt idx="7">
                  <c:v>8.926469104794145E-2</c:v>
                </c:pt>
                <c:pt idx="8">
                  <c:v>0.10201678976907592</c:v>
                </c:pt>
                <c:pt idx="9">
                  <c:v>0.11476888849021041</c:v>
                </c:pt>
                <c:pt idx="10">
                  <c:v>0.12752098721134489</c:v>
                </c:pt>
                <c:pt idx="11">
                  <c:v>0.14027308593247942</c:v>
                </c:pt>
                <c:pt idx="12">
                  <c:v>0.15302518465361384</c:v>
                </c:pt>
                <c:pt idx="13">
                  <c:v>0.16577728337474837</c:v>
                </c:pt>
                <c:pt idx="14">
                  <c:v>0.1785293820958829</c:v>
                </c:pt>
                <c:pt idx="15">
                  <c:v>0.19128148081701735</c:v>
                </c:pt>
                <c:pt idx="16">
                  <c:v>0.19909850559106668</c:v>
                </c:pt>
                <c:pt idx="17">
                  <c:v>0.20547766915389684</c:v>
                </c:pt>
                <c:pt idx="18">
                  <c:v>0.21168679735908874</c:v>
                </c:pt>
                <c:pt idx="19">
                  <c:v>0.21773993014221235</c:v>
                </c:pt>
                <c:pt idx="20">
                  <c:v>0.223649280658274</c:v>
                </c:pt>
                <c:pt idx="21">
                  <c:v>0.2294255515815502</c:v>
                </c:pt>
                <c:pt idx="22">
                  <c:v>0.23507818429945349</c:v>
                </c:pt>
                <c:pt idx="23">
                  <c:v>0.24061555762137046</c:v>
                </c:pt>
                <c:pt idx="24">
                  <c:v>0.24604514796690125</c:v>
                </c:pt>
                <c:pt idx="25">
                  <c:v>0.25137365978478021</c:v>
                </c:pt>
                <c:pt idx="26">
                  <c:v>0.25660713269694196</c:v>
                </c:pt>
                <c:pt idx="27">
                  <c:v>0.261751030251404</c:v>
                </c:pt>
                <c:pt idx="28">
                  <c:v>0.26681031400094302</c:v>
                </c:pt>
                <c:pt idx="29">
                  <c:v>0.27178950576809419</c:v>
                </c:pt>
                <c:pt idx="30">
                  <c:v>0.27669274032048313</c:v>
                </c:pt>
                <c:pt idx="31">
                  <c:v>0.28152381020201767</c:v>
                </c:pt>
                <c:pt idx="32">
                  <c:v>0.28628620410197192</c:v>
                </c:pt>
                <c:pt idx="33">
                  <c:v>0.29098313986513602</c:v>
                </c:pt>
                <c:pt idx="34">
                  <c:v>0.29561759303032026</c:v>
                </c:pt>
                <c:pt idx="35">
                  <c:v>0.30019232161594822</c:v>
                </c:pt>
                <c:pt idx="36">
                  <c:v>0.30470988773881058</c:v>
                </c:pt>
                <c:pt idx="37">
                  <c:v>0.30917267654687058</c:v>
                </c:pt>
                <c:pt idx="38">
                  <c:v>0.31358291286302586</c:v>
                </c:pt>
                <c:pt idx="39">
                  <c:v>0.31794267586922742</c:v>
                </c:pt>
                <c:pt idx="40">
                  <c:v>0.32225391210576199</c:v>
                </c:pt>
                <c:pt idx="41">
                  <c:v>0.32651844701609406</c:v>
                </c:pt>
                <c:pt idx="42">
                  <c:v>0.33073799523132907</c:v>
                </c:pt>
                <c:pt idx="43">
                  <c:v>0.33491416975848487</c:v>
                </c:pt>
                <c:pt idx="44">
                  <c:v>0.33904849021206651</c:v>
                </c:pt>
                <c:pt idx="45">
                  <c:v>0.34314239020793214</c:v>
                </c:pt>
                <c:pt idx="46">
                  <c:v>0.34719722402133801</c:v>
                </c:pt>
                <c:pt idx="47">
                  <c:v>0.3512142725967195</c:v>
                </c:pt>
                <c:pt idx="48">
                  <c:v>0.35519474898471592</c:v>
                </c:pt>
                <c:pt idx="49">
                  <c:v>0.35913980327176409</c:v>
                </c:pt>
                <c:pt idx="50">
                  <c:v>0.36305052705896534</c:v>
                </c:pt>
                <c:pt idx="51">
                  <c:v>0.36692795753958563</c:v>
                </c:pt>
                <c:pt idx="52">
                  <c:v>0.37077308121828834</c:v>
                </c:pt>
                <c:pt idx="53">
                  <c:v>0.37458683730983433</c:v>
                </c:pt>
                <c:pt idx="54">
                  <c:v>0.37837012085037247</c:v>
                </c:pt>
                <c:pt idx="55">
                  <c:v>0.38212378555047827</c:v>
                </c:pt>
                <c:pt idx="56">
                  <c:v>0.38584864641566058</c:v>
                </c:pt>
                <c:pt idx="57">
                  <c:v>0.38954548215708706</c:v>
                </c:pt>
                <c:pt idx="58">
                  <c:v>0.39321503741269231</c:v>
                </c:pt>
                <c:pt idx="59">
                  <c:v>0.39685802479658183</c:v>
                </c:pt>
                <c:pt idx="60">
                  <c:v>0.40047512679267999</c:v>
                </c:pt>
                <c:pt idx="61">
                  <c:v>0.4040669975068486</c:v>
                </c:pt>
                <c:pt idx="62">
                  <c:v>0.40763426429018884</c:v>
                </c:pt>
                <c:pt idx="63">
                  <c:v>0.40810315258109664</c:v>
                </c:pt>
                <c:pt idx="64">
                  <c:v>0.40539749253065854</c:v>
                </c:pt>
                <c:pt idx="65">
                  <c:v>0.40274502173049448</c:v>
                </c:pt>
                <c:pt idx="66">
                  <c:v>0.40014403928156633</c:v>
                </c:pt>
                <c:pt idx="67">
                  <c:v>0.3975929183988236</c:v>
                </c:pt>
                <c:pt idx="68">
                  <c:v>0.39798297276888217</c:v>
                </c:pt>
                <c:pt idx="69">
                  <c:v>0.39851283769522283</c:v>
                </c:pt>
                <c:pt idx="70">
                  <c:v>0.39926121921971497</c:v>
                </c:pt>
                <c:pt idx="71">
                  <c:v>0.40003964746620885</c:v>
                </c:pt>
                <c:pt idx="72">
                  <c:v>0.40078389355221994</c:v>
                </c:pt>
                <c:pt idx="73">
                  <c:v>0.40142795974300738</c:v>
                </c:pt>
                <c:pt idx="74">
                  <c:v>0.40206384607640322</c:v>
                </c:pt>
                <c:pt idx="75">
                  <c:v>0.40269187617938296</c:v>
                </c:pt>
                <c:pt idx="76">
                  <c:v>0.40331235775340224</c:v>
                </c:pt>
                <c:pt idx="77">
                  <c:v>0.40392558354512448</c:v>
                </c:pt>
                <c:pt idx="78">
                  <c:v>0.40453183224701234</c:v>
                </c:pt>
                <c:pt idx="79">
                  <c:v>0.40513136933362298</c:v>
                </c:pt>
                <c:pt idx="80">
                  <c:v>0.40572444783890604</c:v>
                </c:pt>
                <c:pt idx="81">
                  <c:v>0.40631130907929414</c:v>
                </c:pt>
                <c:pt idx="82">
                  <c:v>0.40689218332695476</c:v>
                </c:pt>
                <c:pt idx="83">
                  <c:v>0.40746729043715901</c:v>
                </c:pt>
                <c:pt idx="84">
                  <c:v>0.40803684043337818</c:v>
                </c:pt>
                <c:pt idx="85">
                  <c:v>0.40860103405339315</c:v>
                </c:pt>
                <c:pt idx="86">
                  <c:v>0.40916006325941423</c:v>
                </c:pt>
                <c:pt idx="87">
                  <c:v>0.40971411171494754</c:v>
                </c:pt>
                <c:pt idx="88">
                  <c:v>0.41026335523091284</c:v>
                </c:pt>
                <c:pt idx="89">
                  <c:v>0.41080796218329696</c:v>
                </c:pt>
                <c:pt idx="90">
                  <c:v>0.41134809390444338</c:v>
                </c:pt>
                <c:pt idx="91">
                  <c:v>0.41188390504989669</c:v>
                </c:pt>
                <c:pt idx="92">
                  <c:v>0.4124155439425678</c:v>
                </c:pt>
                <c:pt idx="93">
                  <c:v>0.41294315289583539</c:v>
                </c:pt>
                <c:pt idx="94">
                  <c:v>0.41346686851707692</c:v>
                </c:pt>
                <c:pt idx="95">
                  <c:v>0.41398682199299369</c:v>
                </c:pt>
                <c:pt idx="96">
                  <c:v>0.4145031393579971</c:v>
                </c:pt>
                <c:pt idx="97">
                  <c:v>0.41501594174681095</c:v>
                </c:pt>
                <c:pt idx="98">
                  <c:v>0.41552534563236815</c:v>
                </c:pt>
                <c:pt idx="99">
                  <c:v>0.4160314630499885</c:v>
                </c:pt>
                <c:pt idx="100">
                  <c:v>0.41653440180875151</c:v>
                </c:pt>
              </c:numCache>
            </c:numRef>
          </c:val>
          <c:smooth val="0"/>
          <c:extLst>
            <c:ext xmlns:c16="http://schemas.microsoft.com/office/drawing/2014/chart" uri="{C3380CC4-5D6E-409C-BE32-E72D297353CC}">
              <c16:uniqueId val="{00000006-33CF-4CE8-9C2E-6191AB4D2064}"/>
            </c:ext>
          </c:extLst>
        </c:ser>
        <c:ser>
          <c:idx val="7"/>
          <c:order val="7"/>
          <c:spPr>
            <a:ln w="31750">
              <a:solidFill>
                <a:srgbClr val="00B050"/>
              </a:solidFill>
            </a:ln>
          </c:spPr>
          <c:marker>
            <c:symbol val="none"/>
          </c:marker>
          <c:val>
            <c:numRef>
              <c:f>'Calculations - Single'!$AW$110:$AW$210</c:f>
              <c:numCache>
                <c:formatCode>0.000</c:formatCode>
                <c:ptCount val="101"/>
                <c:pt idx="0">
                  <c:v>8.8891491142139636E-3</c:v>
                </c:pt>
                <c:pt idx="1">
                  <c:v>1.7982032031913727E-2</c:v>
                </c:pt>
                <c:pt idx="2">
                  <c:v>3.5964064063827454E-2</c:v>
                </c:pt>
                <c:pt idx="3">
                  <c:v>5.3946096095741164E-2</c:v>
                </c:pt>
                <c:pt idx="4">
                  <c:v>7.1928128127654908E-2</c:v>
                </c:pt>
                <c:pt idx="5">
                  <c:v>8.9910160159568625E-2</c:v>
                </c:pt>
                <c:pt idx="6">
                  <c:v>0.10789219219148233</c:v>
                </c:pt>
                <c:pt idx="7">
                  <c:v>0.12587422422339611</c:v>
                </c:pt>
                <c:pt idx="8">
                  <c:v>0.14385625625530982</c:v>
                </c:pt>
                <c:pt idx="9">
                  <c:v>0.16183828828722352</c:v>
                </c:pt>
                <c:pt idx="10">
                  <c:v>0.17982032031913725</c:v>
                </c:pt>
                <c:pt idx="11">
                  <c:v>0.19780235235105101</c:v>
                </c:pt>
                <c:pt idx="12">
                  <c:v>0.21578438438296466</c:v>
                </c:pt>
                <c:pt idx="13">
                  <c:v>0.23376641641487844</c:v>
                </c:pt>
                <c:pt idx="14">
                  <c:v>0.25174844844679223</c:v>
                </c:pt>
                <c:pt idx="15">
                  <c:v>0.26973048047870585</c:v>
                </c:pt>
                <c:pt idx="16">
                  <c:v>0.28086856278809852</c:v>
                </c:pt>
                <c:pt idx="17">
                  <c:v>0.29001358744466149</c:v>
                </c:pt>
                <c:pt idx="18">
                  <c:v>0.29892370027419479</c:v>
                </c:pt>
                <c:pt idx="19">
                  <c:v>0.30761837304753847</c:v>
                </c:pt>
                <c:pt idx="20">
                  <c:v>0.3161145426434751</c:v>
                </c:pt>
                <c:pt idx="21">
                  <c:v>0.32442705006108574</c:v>
                </c:pt>
                <c:pt idx="22">
                  <c:v>0.33256898627897313</c:v>
                </c:pt>
                <c:pt idx="23">
                  <c:v>0.34055196803569243</c:v>
                </c:pt>
                <c:pt idx="24">
                  <c:v>0.348386360140853</c:v>
                </c:pt>
                <c:pt idx="25">
                  <c:v>0.35608145646546019</c:v>
                </c:pt>
                <c:pt idx="26">
                  <c:v>0.36364562862693117</c:v>
                </c:pt>
                <c:pt idx="27">
                  <c:v>0.3710864491480087</c:v>
                </c:pt>
                <c:pt idx="28">
                  <c:v>0.37841079424913565</c:v>
                </c:pt>
                <c:pt idx="29">
                  <c:v>0.385624930244924</c:v>
                </c:pt>
                <c:pt idx="30">
                  <c:v>0.39273458663173971</c:v>
                </c:pt>
                <c:pt idx="31">
                  <c:v>0.39974501828921644</c:v>
                </c:pt>
                <c:pt idx="32">
                  <c:v>0.40666105871393016</c:v>
                </c:pt>
                <c:pt idx="33">
                  <c:v>0.41348716581638062</c:v>
                </c:pt>
                <c:pt idx="34">
                  <c:v>0.42022746151276447</c:v>
                </c:pt>
                <c:pt idx="35">
                  <c:v>0.42688576610905432</c:v>
                </c:pt>
                <c:pt idx="36">
                  <c:v>0.43346562829076984</c:v>
                </c:pt>
                <c:pt idx="37">
                  <c:v>0.43997035138582663</c:v>
                </c:pt>
                <c:pt idx="38">
                  <c:v>0.44640301645128366</c:v>
                </c:pt>
                <c:pt idx="39">
                  <c:v>0.45276650264111712</c:v>
                </c:pt>
                <c:pt idx="40">
                  <c:v>0.45906350523637485</c:v>
                </c:pt>
                <c:pt idx="41">
                  <c:v>0.46529655165743122</c:v>
                </c:pt>
                <c:pt idx="42">
                  <c:v>0.47146801572763242</c:v>
                </c:pt>
                <c:pt idx="43">
                  <c:v>0.47758013041616443</c:v>
                </c:pt>
                <c:pt idx="44">
                  <c:v>0.4836349992537049</c:v>
                </c:pt>
                <c:pt idx="45">
                  <c:v>0.48963460658596231</c:v>
                </c:pt>
                <c:pt idx="46">
                  <c:v>0.48872522728256851</c:v>
                </c:pt>
                <c:pt idx="47">
                  <c:v>0.48423471289466652</c:v>
                </c:pt>
                <c:pt idx="48">
                  <c:v>0.47986377631563931</c:v>
                </c:pt>
                <c:pt idx="49">
                  <c:v>0.47771095615180409</c:v>
                </c:pt>
                <c:pt idx="50">
                  <c:v>0.47860784091029845</c:v>
                </c:pt>
                <c:pt idx="51">
                  <c:v>0.47947895354689768</c:v>
                </c:pt>
                <c:pt idx="52">
                  <c:v>0.48053924843189594</c:v>
                </c:pt>
                <c:pt idx="53">
                  <c:v>0.48190408247637656</c:v>
                </c:pt>
                <c:pt idx="54">
                  <c:v>0.48312871764142717</c:v>
                </c:pt>
                <c:pt idx="55">
                  <c:v>0.48417933591823303</c:v>
                </c:pt>
                <c:pt idx="56">
                  <c:v>0.48521285833056149</c:v>
                </c:pt>
                <c:pt idx="57">
                  <c:v>0.48623018139869256</c:v>
                </c:pt>
                <c:pt idx="58">
                  <c:v>0.48723214379066959</c:v>
                </c:pt>
                <c:pt idx="59">
                  <c:v>0.48821953093152792</c:v>
                </c:pt>
                <c:pt idx="60">
                  <c:v>0.48919307917886323</c:v>
                </c:pt>
                <c:pt idx="61">
                  <c:v>0.49015347961160477</c:v>
                </c:pt>
                <c:pt idx="62">
                  <c:v>0.49110138147315852</c:v>
                </c:pt>
                <c:pt idx="63">
                  <c:v>0.49203739530515761</c:v>
                </c:pt>
                <c:pt idx="64">
                  <c:v>0.49296209580377331</c:v>
                </c:pt>
                <c:pt idx="65">
                  <c:v>0.49387602442682949</c:v>
                </c:pt>
                <c:pt idx="66">
                  <c:v>0.49477969177671871</c:v>
                </c:pt>
                <c:pt idx="67">
                  <c:v>0.49567357978129861</c:v>
                </c:pt>
                <c:pt idx="68">
                  <c:v>0.49655814369247037</c:v>
                </c:pt>
                <c:pt idx="69">
                  <c:v>0.49743381391997732</c:v>
                </c:pt>
                <c:pt idx="70">
                  <c:v>0.49830099771605901</c:v>
                </c:pt>
                <c:pt idx="71">
                  <c:v>0.49916008072492407</c:v>
                </c:pt>
                <c:pt idx="72">
                  <c:v>0.50001142840953172</c:v>
                </c:pt>
                <c:pt idx="73">
                  <c:v>0.50085538736686486</c:v>
                </c:pt>
                <c:pt idx="74">
                  <c:v>0.50169228654173759</c:v>
                </c:pt>
                <c:pt idx="75">
                  <c:v>0.50252243834814803</c:v>
                </c:pt>
                <c:pt idx="76">
                  <c:v>0.50334613970629405</c:v>
                </c:pt>
                <c:pt idx="77">
                  <c:v>0.50416367300255849</c:v>
                </c:pt>
                <c:pt idx="78">
                  <c:v>0.50497530697905868</c:v>
                </c:pt>
                <c:pt idx="79">
                  <c:v>0.50578129755871781</c:v>
                </c:pt>
                <c:pt idx="80">
                  <c:v>0.50658188861124542</c:v>
                </c:pt>
                <c:pt idx="81">
                  <c:v>0.50737731266490693</c:v>
                </c:pt>
                <c:pt idx="82">
                  <c:v>0.50816779156850611</c:v>
                </c:pt>
                <c:pt idx="83">
                  <c:v>0.50895353710759772</c:v>
                </c:pt>
                <c:pt idx="84">
                  <c:v>0.50973475157858006</c:v>
                </c:pt>
                <c:pt idx="85">
                  <c:v>0.510511628323989</c:v>
                </c:pt>
                <c:pt idx="86">
                  <c:v>0.5112843522320184</c:v>
                </c:pt>
                <c:pt idx="87">
                  <c:v>0.51205310020302808</c:v>
                </c:pt>
                <c:pt idx="88">
                  <c:v>0.51281804158555344</c:v>
                </c:pt>
                <c:pt idx="89">
                  <c:v>0.5135793385841223</c:v>
                </c:pt>
                <c:pt idx="90">
                  <c:v>0.51433714664098018</c:v>
                </c:pt>
                <c:pt idx="91">
                  <c:v>0.51509161479365406</c:v>
                </c:pt>
                <c:pt idx="92">
                  <c:v>0.51584288601011685</c:v>
                </c:pt>
                <c:pt idx="93">
                  <c:v>0.51659109750317911</c:v>
                </c:pt>
                <c:pt idx="94">
                  <c:v>0.51733638102558821</c:v>
                </c:pt>
                <c:pt idx="95">
                  <c:v>0.5180788631472073</c:v>
                </c:pt>
                <c:pt idx="96">
                  <c:v>0.51881866551552869</c:v>
                </c:pt>
                <c:pt idx="97">
                  <c:v>0.51955590510068228</c:v>
                </c:pt>
                <c:pt idx="98">
                  <c:v>0.52029069442600095</c:v>
                </c:pt>
                <c:pt idx="99">
                  <c:v>0.52102314178513187</c:v>
                </c:pt>
                <c:pt idx="100">
                  <c:v>0.52175335144659751</c:v>
                </c:pt>
              </c:numCache>
            </c:numRef>
          </c:val>
          <c:smooth val="0"/>
          <c:extLst>
            <c:ext xmlns:c16="http://schemas.microsoft.com/office/drawing/2014/chart" uri="{C3380CC4-5D6E-409C-BE32-E72D297353CC}">
              <c16:uniqueId val="{00000007-33CF-4CE8-9C2E-6191AB4D2064}"/>
            </c:ext>
          </c:extLst>
        </c:ser>
        <c:ser>
          <c:idx val="8"/>
          <c:order val="8"/>
          <c:spPr>
            <a:ln w="31750">
              <a:solidFill>
                <a:srgbClr val="0000FF"/>
              </a:solidFill>
            </a:ln>
          </c:spPr>
          <c:marker>
            <c:symbol val="none"/>
          </c:marker>
          <c:val>
            <c:numRef>
              <c:f>'Calculations - Single'!$AW$216:$AW$316</c:f>
              <c:numCache>
                <c:formatCode>0.000</c:formatCode>
                <c:ptCount val="101"/>
                <c:pt idx="0">
                  <c:v>5.000082335864707E-3</c:v>
                </c:pt>
                <c:pt idx="1">
                  <c:v>9.87889841692151E-3</c:v>
                </c:pt>
                <c:pt idx="2">
                  <c:v>1.975779683384302E-2</c:v>
                </c:pt>
                <c:pt idx="3">
                  <c:v>2.9636695250764521E-2</c:v>
                </c:pt>
                <c:pt idx="4">
                  <c:v>3.951559366768604E-2</c:v>
                </c:pt>
                <c:pt idx="5">
                  <c:v>4.9394492084607541E-2</c:v>
                </c:pt>
                <c:pt idx="6">
                  <c:v>5.9273390501529043E-2</c:v>
                </c:pt>
                <c:pt idx="7">
                  <c:v>6.9152288918450572E-2</c:v>
                </c:pt>
                <c:pt idx="8">
                  <c:v>7.903118733537208E-2</c:v>
                </c:pt>
                <c:pt idx="9">
                  <c:v>8.8910085752293574E-2</c:v>
                </c:pt>
                <c:pt idx="10">
                  <c:v>9.8788984169215083E-2</c:v>
                </c:pt>
                <c:pt idx="11">
                  <c:v>0.1086678825861366</c:v>
                </c:pt>
                <c:pt idx="12">
                  <c:v>0.11854678100305809</c:v>
                </c:pt>
                <c:pt idx="13">
                  <c:v>0.12842567941997962</c:v>
                </c:pt>
                <c:pt idx="14">
                  <c:v>0.13830457783690114</c:v>
                </c:pt>
                <c:pt idx="15">
                  <c:v>0.14818347625382264</c:v>
                </c:pt>
                <c:pt idx="16">
                  <c:v>0.15420451114918224</c:v>
                </c:pt>
                <c:pt idx="17">
                  <c:v>0.15910130719324173</c:v>
                </c:pt>
                <c:pt idx="18">
                  <c:v>0.16386498323018384</c:v>
                </c:pt>
                <c:pt idx="19">
                  <c:v>0.16850651469312564</c:v>
                </c:pt>
                <c:pt idx="20">
                  <c:v>0.17303544929756051</c:v>
                </c:pt>
                <c:pt idx="21">
                  <c:v>0.17746015421988168</c:v>
                </c:pt>
                <c:pt idx="22">
                  <c:v>0.18178801083764659</c:v>
                </c:pt>
                <c:pt idx="23">
                  <c:v>0.1860255700191234</c:v>
                </c:pt>
                <c:pt idx="24">
                  <c:v>0.19017867731117449</c:v>
                </c:pt>
                <c:pt idx="25">
                  <c:v>0.19425257486382716</c:v>
                </c:pt>
                <c:pt idx="26">
                  <c:v>0.19825198516643236</c:v>
                </c:pt>
                <c:pt idx="27">
                  <c:v>0.20218118041164296</c:v>
                </c:pt>
                <c:pt idx="28">
                  <c:v>0.2060440403917862</c:v>
                </c:pt>
                <c:pt idx="29">
                  <c:v>0.20984410116296823</c:v>
                </c:pt>
                <c:pt idx="30">
                  <c:v>0.21358459621486314</c:v>
                </c:pt>
                <c:pt idx="31">
                  <c:v>0.21726849151024044</c:v>
                </c:pt>
                <c:pt idx="32">
                  <c:v>0.22089851547424239</c:v>
                </c:pt>
                <c:pt idx="33">
                  <c:v>0.22447718479550949</c:v>
                </c:pt>
                <c:pt idx="34">
                  <c:v>0.22800682673255415</c:v>
                </c:pt>
                <c:pt idx="35">
                  <c:v>0.23148959848706352</c:v>
                </c:pt>
                <c:pt idx="36">
                  <c:v>0.23492750410214441</c:v>
                </c:pt>
                <c:pt idx="37">
                  <c:v>0.23832240926132822</c:v>
                </c:pt>
                <c:pt idx="38">
                  <c:v>0.24167605429852068</c:v>
                </c:pt>
                <c:pt idx="39">
                  <c:v>0.24499006567632908</c:v>
                </c:pt>
                <c:pt idx="40">
                  <c:v>0.24826596614753563</c:v>
                </c:pt>
                <c:pt idx="41">
                  <c:v>0.25150518377977843</c:v>
                </c:pt>
                <c:pt idx="42">
                  <c:v>0.25470905999510818</c:v>
                </c:pt>
                <c:pt idx="43">
                  <c:v>0.2578788567527398</c:v>
                </c:pt>
                <c:pt idx="44">
                  <c:v>0.26101576298402263</c:v>
                </c:pt>
                <c:pt idx="45">
                  <c:v>0.26412090037262581</c:v>
                </c:pt>
                <c:pt idx="46">
                  <c:v>0.26719532855957101</c:v>
                </c:pt>
                <c:pt idx="47">
                  <c:v>0.2702400498415462</c:v>
                </c:pt>
                <c:pt idx="48">
                  <c:v>0.27325601342151484</c:v>
                </c:pt>
                <c:pt idx="49">
                  <c:v>0.27624411926267961</c:v>
                </c:pt>
                <c:pt idx="50">
                  <c:v>0.2792052215901199</c:v>
                </c:pt>
                <c:pt idx="51">
                  <c:v>0.2821401320786836</c:v>
                </c:pt>
                <c:pt idx="52">
                  <c:v>0.28504962276082063</c:v>
                </c:pt>
                <c:pt idx="53">
                  <c:v>0.28793442868385205</c:v>
                </c:pt>
                <c:pt idx="54">
                  <c:v>0.29079525034256565</c:v>
                </c:pt>
                <c:pt idx="55">
                  <c:v>0.29363275590992732</c:v>
                </c:pt>
                <c:pt idx="56">
                  <c:v>0.29644758328601439</c:v>
                </c:pt>
                <c:pt idx="57">
                  <c:v>0.29924034198295113</c:v>
                </c:pt>
                <c:pt idx="58">
                  <c:v>0.30201161486161099</c:v>
                </c:pt>
                <c:pt idx="59">
                  <c:v>0.30476195973408554</c:v>
                </c:pt>
                <c:pt idx="60">
                  <c:v>0.30749191084438698</c:v>
                </c:pt>
                <c:pt idx="61">
                  <c:v>0.31020198023850482</c:v>
                </c:pt>
                <c:pt idx="62">
                  <c:v>0.31289265903375529</c:v>
                </c:pt>
                <c:pt idx="63">
                  <c:v>0.31556441859632617</c:v>
                </c:pt>
                <c:pt idx="64">
                  <c:v>0.31821771163500212</c:v>
                </c:pt>
                <c:pt idx="65">
                  <c:v>0.32085297321825007</c:v>
                </c:pt>
                <c:pt idx="66">
                  <c:v>0.32347062172112567</c:v>
                </c:pt>
                <c:pt idx="67">
                  <c:v>0.32607105970783035</c:v>
                </c:pt>
                <c:pt idx="68">
                  <c:v>0.32865467475518423</c:v>
                </c:pt>
                <c:pt idx="69">
                  <c:v>0.33122184022177642</c:v>
                </c:pt>
                <c:pt idx="70">
                  <c:v>0.33377291596711101</c:v>
                </c:pt>
                <c:pt idx="71">
                  <c:v>0.33630824902466311</c:v>
                </c:pt>
                <c:pt idx="72">
                  <c:v>0.3388281742324063</c:v>
                </c:pt>
                <c:pt idx="73">
                  <c:v>0.34133301482404743</c:v>
                </c:pt>
                <c:pt idx="74">
                  <c:v>0.34382308298392367</c:v>
                </c:pt>
                <c:pt idx="75">
                  <c:v>0.34629868036825145</c:v>
                </c:pt>
                <c:pt idx="76">
                  <c:v>0.34876009859518919</c:v>
                </c:pt>
                <c:pt idx="77">
                  <c:v>0.34937225866438271</c:v>
                </c:pt>
                <c:pt idx="78">
                  <c:v>0.34748690759780276</c:v>
                </c:pt>
                <c:pt idx="79">
                  <c:v>0.34563206744345476</c:v>
                </c:pt>
                <c:pt idx="80">
                  <c:v>0.34380693330819156</c:v>
                </c:pt>
                <c:pt idx="81">
                  <c:v>0.34201072930125559</c:v>
                </c:pt>
                <c:pt idx="82">
                  <c:v>0.34024270722786487</c:v>
                </c:pt>
                <c:pt idx="83">
                  <c:v>0.3402070162551552</c:v>
                </c:pt>
                <c:pt idx="84">
                  <c:v>0.34069258727242341</c:v>
                </c:pt>
                <c:pt idx="85">
                  <c:v>0.3412106739779705</c:v>
                </c:pt>
                <c:pt idx="86">
                  <c:v>0.34172489429084918</c:v>
                </c:pt>
                <c:pt idx="87">
                  <c:v>0.34219849797420604</c:v>
                </c:pt>
                <c:pt idx="88">
                  <c:v>0.34264131206732468</c:v>
                </c:pt>
                <c:pt idx="89">
                  <c:v>0.34307928181690295</c:v>
                </c:pt>
                <c:pt idx="90">
                  <c:v>0.34351256583358092</c:v>
                </c:pt>
                <c:pt idx="91">
                  <c:v>0.34394131620775242</c:v>
                </c:pt>
                <c:pt idx="92">
                  <c:v>0.34436567884205244</c:v>
                </c:pt>
                <c:pt idx="93">
                  <c:v>0.34478579376370583</c:v>
                </c:pt>
                <c:pt idx="94">
                  <c:v>0.34520179541814988</c:v>
                </c:pt>
                <c:pt idx="95">
                  <c:v>0.34561381294522342</c:v>
                </c:pt>
                <c:pt idx="96">
                  <c:v>0.34602197043912092</c:v>
                </c:pt>
                <c:pt idx="97">
                  <c:v>0.34642638719321434</c:v>
                </c:pt>
                <c:pt idx="98">
                  <c:v>0.34682717793075779</c:v>
                </c:pt>
                <c:pt idx="99">
                  <c:v>0.34722445302241878</c:v>
                </c:pt>
                <c:pt idx="100">
                  <c:v>0.34761831869150434</c:v>
                </c:pt>
              </c:numCache>
            </c:numRef>
          </c:val>
          <c:smooth val="0"/>
          <c:extLst>
            <c:ext xmlns:c16="http://schemas.microsoft.com/office/drawing/2014/chart" uri="{C3380CC4-5D6E-409C-BE32-E72D297353CC}">
              <c16:uniqueId val="{00000008-33CF-4CE8-9C2E-6191AB4D2064}"/>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13.677503241529088</c:v>
                </c:pt>
                <c:pt idx="17">
                  <c:v>14.098460672331537</c:v>
                </c:pt>
                <c:pt idx="18">
                  <c:v>14.507209369262272</c:v>
                </c:pt>
                <c:pt idx="19">
                  <c:v>14.904753774692461</c:v>
                </c:pt>
                <c:pt idx="20">
                  <c:v>15.29196771846008</c:v>
                </c:pt>
                <c:pt idx="21">
                  <c:v>15.669617026993173</c:v>
                </c:pt>
                <c:pt idx="22">
                  <c:v>16.038377336396206</c:v>
                </c:pt>
                <c:pt idx="23">
                  <c:v>16.398848297280871</c:v>
                </c:pt>
                <c:pt idx="24">
                  <c:v>16.751565026376291</c:v>
                </c:pt>
                <c:pt idx="25">
                  <c:v>17.097007430342252</c:v>
                </c:pt>
                <c:pt idx="26">
                  <c:v>17.435607865934102</c:v>
                </c:pt>
                <c:pt idx="27">
                  <c:v>17.767757485555826</c:v>
                </c:pt>
                <c:pt idx="28">
                  <c:v>18.093811533860897</c:v>
                </c:pt>
                <c:pt idx="29">
                  <c:v>18.414093799853429</c:v>
                </c:pt>
                <c:pt idx="30">
                  <c:v>18.728900383451947</c:v>
                </c:pt>
                <c:pt idx="31">
                  <c:v>19.038502901281255</c:v>
                </c:pt>
                <c:pt idx="32">
                  <c:v>19.343151230478792</c:v>
                </c:pt>
                <c:pt idx="33">
                  <c:v>19.643075869371319</c:v>
                </c:pt>
                <c:pt idx="34">
                  <c:v>19.938489978447699</c:v>
                </c:pt>
                <c:pt idx="35">
                  <c:v>20.229591153005988</c:v>
                </c:pt>
                <c:pt idx="36">
                  <c:v>20.516562969371019</c:v>
                </c:pt>
                <c:pt idx="37">
                  <c:v>20.799576339060387</c:v>
                </c:pt>
                <c:pt idx="38">
                  <c:v>21.078790699273384</c:v>
                </c:pt>
                <c:pt idx="39">
                  <c:v>21.354355063252402</c:v>
                </c:pt>
                <c:pt idx="40">
                  <c:v>21.626408950163512</c:v>
                </c:pt>
                <c:pt idx="41">
                  <c:v>21.895083210968458</c:v>
                </c:pt>
                <c:pt idx="42">
                  <c:v>22.160500764162947</c:v>
                </c:pt>
                <c:pt idx="43">
                  <c:v>22.422777253120294</c:v>
                </c:pt>
                <c:pt idx="44">
                  <c:v>22.682021635014426</c:v>
                </c:pt>
                <c:pt idx="45">
                  <c:v>22.938336709830168</c:v>
                </c:pt>
                <c:pt idx="46">
                  <c:v>23.191819596746186</c:v>
                </c:pt>
                <c:pt idx="47">
                  <c:v>23.442562164151447</c:v>
                </c:pt>
                <c:pt idx="48">
                  <c:v>23.690651418694493</c:v>
                </c:pt>
                <c:pt idx="49">
                  <c:v>24.042043898376914</c:v>
                </c:pt>
                <c:pt idx="50">
                  <c:v>24.545762657335313</c:v>
                </c:pt>
                <c:pt idx="51">
                  <c:v>25.049898771046266</c:v>
                </c:pt>
                <c:pt idx="52">
                  <c:v>25.564997720594789</c:v>
                </c:pt>
                <c:pt idx="53">
                  <c:v>26.097515586886523</c:v>
                </c:pt>
                <c:pt idx="54">
                  <c:v>26.625529547145614</c:v>
                </c:pt>
                <c:pt idx="55">
                  <c:v>27.146802413108261</c:v>
                </c:pt>
                <c:pt idx="56">
                  <c:v>27.669218821391077</c:v>
                </c:pt>
                <c:pt idx="57">
                  <c:v>28.192785751273455</c:v>
                </c:pt>
                <c:pt idx="58">
                  <c:v>28.717510239110084</c:v>
                </c:pt>
                <c:pt idx="59">
                  <c:v>29.243399378901039</c:v>
                </c:pt>
                <c:pt idx="60">
                  <c:v>29.770460322870353</c:v>
                </c:pt>
                <c:pt idx="61">
                  <c:v>30.298700282052732</c:v>
                </c:pt>
                <c:pt idx="62">
                  <c:v>30.82812652688872</c:v>
                </c:pt>
                <c:pt idx="63">
                  <c:v>31.358746387828074</c:v>
                </c:pt>
                <c:pt idx="64">
                  <c:v>31.89056725594137</c:v>
                </c:pt>
                <c:pt idx="65">
                  <c:v>32.423596583540117</c:v>
                </c:pt>
                <c:pt idx="66">
                  <c:v>32.957841884805028</c:v>
                </c:pt>
                <c:pt idx="67">
                  <c:v>33.493310736422899</c:v>
                </c:pt>
                <c:pt idx="68">
                  <c:v>34.030010778231855</c:v>
                </c:pt>
                <c:pt idx="69">
                  <c:v>34.56794971387513</c:v>
                </c:pt>
                <c:pt idx="70">
                  <c:v>35.107135311463665</c:v>
                </c:pt>
                <c:pt idx="71">
                  <c:v>35.647575404247071</c:v>
                </c:pt>
                <c:pt idx="72">
                  <c:v>36.189277891293742</c:v>
                </c:pt>
                <c:pt idx="73">
                  <c:v>36.732250738179623</c:v>
                </c:pt>
                <c:pt idx="74">
                  <c:v>37.276501977686138</c:v>
                </c:pt>
                <c:pt idx="75">
                  <c:v>37.822039710507035</c:v>
                </c:pt>
                <c:pt idx="76">
                  <c:v>38.368872105964677</c:v>
                </c:pt>
                <c:pt idx="77">
                  <c:v>38.917007402735443</c:v>
                </c:pt>
                <c:pt idx="78">
                  <c:v>39.466453909584679</c:v>
                </c:pt>
                <c:pt idx="79">
                  <c:v>40.017220006111152</c:v>
                </c:pt>
                <c:pt idx="80">
                  <c:v>40.569314143501394</c:v>
                </c:pt>
                <c:pt idx="81">
                  <c:v>41.122744845293603</c:v>
                </c:pt>
                <c:pt idx="82">
                  <c:v>41.677520708151668</c:v>
                </c:pt>
                <c:pt idx="83">
                  <c:v>42.233650402649268</c:v>
                </c:pt>
                <c:pt idx="84">
                  <c:v>42.791142674064226</c:v>
                </c:pt>
                <c:pt idx="85">
                  <c:v>43.350006343183189</c:v>
                </c:pt>
                <c:pt idx="86">
                  <c:v>43.910250307116904</c:v>
                </c:pt>
                <c:pt idx="87">
                  <c:v>44.471883540126186</c:v>
                </c:pt>
                <c:pt idx="88">
                  <c:v>45.03491509445869</c:v>
                </c:pt>
                <c:pt idx="89">
                  <c:v>45.59935410119671</c:v>
                </c:pt>
                <c:pt idx="90">
                  <c:v>46.165209771116103</c:v>
                </c:pt>
                <c:pt idx="91">
                  <c:v>46.732491395556671</c:v>
                </c:pt>
                <c:pt idx="92">
                  <c:v>47.301208347303842</c:v>
                </c:pt>
                <c:pt idx="93">
                  <c:v>47.871370081482198</c:v>
                </c:pt>
                <c:pt idx="94">
                  <c:v>48.442986136460718</c:v>
                </c:pt>
                <c:pt idx="95">
                  <c:v>49.016066134770263</c:v>
                </c:pt>
                <c:pt idx="96">
                  <c:v>49.590619784032896</c:v>
                </c:pt>
                <c:pt idx="97">
                  <c:v>50.166656877904011</c:v>
                </c:pt>
                <c:pt idx="98">
                  <c:v>50.744187297026762</c:v>
                </c:pt>
                <c:pt idx="99">
                  <c:v>51.323221009999365</c:v>
                </c:pt>
                <c:pt idx="100">
                  <c:v>51.90376807435544</c:v>
                </c:pt>
              </c:numCache>
            </c:numRef>
          </c:val>
          <c:smooth val="0"/>
          <c:extLst>
            <c:ext xmlns:c16="http://schemas.microsoft.com/office/drawing/2014/chart" uri="{C3380CC4-5D6E-409C-BE32-E72D297353CC}">
              <c16:uniqueId val="{00000000-6477-4C46-89EF-E7A1D5DEFAE7}"/>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Single'!$AJ$5:$AJ$105</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13.677503241529088</c:v>
                </c:pt>
                <c:pt idx="17">
                  <c:v>14.098460672331537</c:v>
                </c:pt>
                <c:pt idx="18">
                  <c:v>14.507209369262272</c:v>
                </c:pt>
                <c:pt idx="19">
                  <c:v>14.904753774692461</c:v>
                </c:pt>
                <c:pt idx="20">
                  <c:v>15.29196771846008</c:v>
                </c:pt>
                <c:pt idx="21">
                  <c:v>15.669617026993173</c:v>
                </c:pt>
                <c:pt idx="22">
                  <c:v>16.038377336396206</c:v>
                </c:pt>
                <c:pt idx="23">
                  <c:v>16.398848297280871</c:v>
                </c:pt>
                <c:pt idx="24">
                  <c:v>16.751565026376291</c:v>
                </c:pt>
                <c:pt idx="25">
                  <c:v>17.097007430342252</c:v>
                </c:pt>
                <c:pt idx="26">
                  <c:v>17.435607865934102</c:v>
                </c:pt>
                <c:pt idx="27">
                  <c:v>17.767757485555826</c:v>
                </c:pt>
                <c:pt idx="28">
                  <c:v>18.093811533860897</c:v>
                </c:pt>
                <c:pt idx="29">
                  <c:v>18.414093799853429</c:v>
                </c:pt>
                <c:pt idx="30">
                  <c:v>18.728900383451947</c:v>
                </c:pt>
                <c:pt idx="31">
                  <c:v>19.038502901281255</c:v>
                </c:pt>
                <c:pt idx="32">
                  <c:v>19.343151230478792</c:v>
                </c:pt>
                <c:pt idx="33">
                  <c:v>19.643075869371319</c:v>
                </c:pt>
                <c:pt idx="34">
                  <c:v>19.938489978447699</c:v>
                </c:pt>
                <c:pt idx="35">
                  <c:v>20.229591153005988</c:v>
                </c:pt>
                <c:pt idx="36">
                  <c:v>20.516562969371019</c:v>
                </c:pt>
                <c:pt idx="37">
                  <c:v>20.799576339060387</c:v>
                </c:pt>
                <c:pt idx="38">
                  <c:v>21.078790699273384</c:v>
                </c:pt>
                <c:pt idx="39">
                  <c:v>21.354355063252402</c:v>
                </c:pt>
                <c:pt idx="40">
                  <c:v>21.626408950163512</c:v>
                </c:pt>
                <c:pt idx="41">
                  <c:v>21.895083210968458</c:v>
                </c:pt>
                <c:pt idx="42">
                  <c:v>22.160500764162947</c:v>
                </c:pt>
                <c:pt idx="43">
                  <c:v>22.422777253120294</c:v>
                </c:pt>
                <c:pt idx="44">
                  <c:v>22.682021635014426</c:v>
                </c:pt>
                <c:pt idx="45">
                  <c:v>22.938336709830168</c:v>
                </c:pt>
                <c:pt idx="46">
                  <c:v>23.191819596746186</c:v>
                </c:pt>
                <c:pt idx="47">
                  <c:v>23.442562164151447</c:v>
                </c:pt>
                <c:pt idx="48">
                  <c:v>23.690651418694493</c:v>
                </c:pt>
                <c:pt idx="49">
                  <c:v>23.93616985803704</c:v>
                </c:pt>
                <c:pt idx="50">
                  <c:v>24.179195791366734</c:v>
                </c:pt>
                <c:pt idx="51">
                  <c:v>24.419803631199049</c:v>
                </c:pt>
                <c:pt idx="52">
                  <c:v>24.658064159550531</c:v>
                </c:pt>
                <c:pt idx="53">
                  <c:v>24.894044771182045</c:v>
                </c:pt>
                <c:pt idx="54">
                  <c:v>25.127809696280956</c:v>
                </c:pt>
                <c:pt idx="55">
                  <c:v>25.35942020466754</c:v>
                </c:pt>
                <c:pt idx="56">
                  <c:v>25.588934793365272</c:v>
                </c:pt>
                <c:pt idx="57">
                  <c:v>25.816409359162062</c:v>
                </c:pt>
                <c:pt idx="58">
                  <c:v>26.04189735760481</c:v>
                </c:pt>
                <c:pt idx="59">
                  <c:v>26.265449949708486</c:v>
                </c:pt>
                <c:pt idx="60">
                  <c:v>26.487116137520498</c:v>
                </c:pt>
                <c:pt idx="61">
                  <c:v>26.706942889557933</c:v>
                </c:pt>
                <c:pt idx="62">
                  <c:v>26.924975257027221</c:v>
                </c:pt>
                <c:pt idx="63">
                  <c:v>27.141256481640863</c:v>
                </c:pt>
                <c:pt idx="64">
                  <c:v>27.355828095761986</c:v>
                </c:pt>
                <c:pt idx="65">
                  <c:v>27.568730015533749</c:v>
                </c:pt>
                <c:pt idx="66">
                  <c:v>27.780000627584876</c:v>
                </c:pt>
                <c:pt idx="67">
                  <c:v>27.989676869844835</c:v>
                </c:pt>
                <c:pt idx="68">
                  <c:v>28.404260031090928</c:v>
                </c:pt>
                <c:pt idx="69">
                  <c:v>28.829673535132134</c:v>
                </c:pt>
                <c:pt idx="70">
                  <c:v>29.266670554971739</c:v>
                </c:pt>
                <c:pt idx="71">
                  <c:v>29.706248870424854</c:v>
                </c:pt>
                <c:pt idx="72">
                  <c:v>30.145193496187733</c:v>
                </c:pt>
                <c:pt idx="73">
                  <c:v>30.579998107646727</c:v>
                </c:pt>
                <c:pt idx="74">
                  <c:v>31.015285201061069</c:v>
                </c:pt>
                <c:pt idx="75">
                  <c:v>31.451056568274804</c:v>
                </c:pt>
                <c:pt idx="76">
                  <c:v>31.887314010042221</c:v>
                </c:pt>
                <c:pt idx="77">
                  <c:v>32.324059336081596</c:v>
                </c:pt>
                <c:pt idx="78">
                  <c:v>32.76129436512938</c:v>
                </c:pt>
                <c:pt idx="79">
                  <c:v>33.199020924994905</c:v>
                </c:pt>
                <c:pt idx="80">
                  <c:v>33.637240852615676</c:v>
                </c:pt>
                <c:pt idx="81">
                  <c:v>34.075955994113073</c:v>
                </c:pt>
                <c:pt idx="82">
                  <c:v>34.515168204848628</c:v>
                </c:pt>
                <c:pt idx="83">
                  <c:v>34.954879349480827</c:v>
                </c:pt>
                <c:pt idx="84">
                  <c:v>35.395091302022337</c:v>
                </c:pt>
                <c:pt idx="85">
                  <c:v>35.835805945897732</c:v>
                </c:pt>
                <c:pt idx="86">
                  <c:v>36.277025174001864</c:v>
                </c:pt>
                <c:pt idx="87">
                  <c:v>36.718750888758535</c:v>
                </c:pt>
                <c:pt idx="88">
                  <c:v>37.160985002179793</c:v>
                </c:pt>
                <c:pt idx="89">
                  <c:v>37.603729435925622</c:v>
                </c:pt>
                <c:pt idx="90">
                  <c:v>38.046986121364291</c:v>
                </c:pt>
                <c:pt idx="91">
                  <c:v>38.490756999633049</c:v>
                </c:pt>
                <c:pt idx="92">
                  <c:v>38.935044021699369</c:v>
                </c:pt>
                <c:pt idx="93">
                  <c:v>39.379849148422686</c:v>
                </c:pt>
                <c:pt idx="94">
                  <c:v>39.825174350616663</c:v>
                </c:pt>
                <c:pt idx="95">
                  <c:v>40.271021609112005</c:v>
                </c:pt>
                <c:pt idx="96">
                  <c:v>40.717392914819591</c:v>
                </c:pt>
                <c:pt idx="97">
                  <c:v>41.164290268794382</c:v>
                </c:pt>
                <c:pt idx="98">
                  <c:v>41.611715682299575</c:v>
                </c:pt>
                <c:pt idx="99">
                  <c:v>42.059671176871532</c:v>
                </c:pt>
                <c:pt idx="100">
                  <c:v>42.508158784384982</c:v>
                </c:pt>
              </c:numCache>
            </c:numRef>
          </c:val>
          <c:smooth val="0"/>
          <c:extLst>
            <c:ext xmlns:c16="http://schemas.microsoft.com/office/drawing/2014/chart" uri="{C3380CC4-5D6E-409C-BE32-E72D297353CC}">
              <c16:uniqueId val="{00000001-6477-4C46-89EF-E7A1D5DEFAE7}"/>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13.677503241529088</c:v>
                </c:pt>
                <c:pt idx="17">
                  <c:v>14.098460672331537</c:v>
                </c:pt>
                <c:pt idx="18">
                  <c:v>14.507209369262272</c:v>
                </c:pt>
                <c:pt idx="19">
                  <c:v>14.904753774692461</c:v>
                </c:pt>
                <c:pt idx="20">
                  <c:v>15.29196771846008</c:v>
                </c:pt>
                <c:pt idx="21">
                  <c:v>15.669617026993173</c:v>
                </c:pt>
                <c:pt idx="22">
                  <c:v>16.038377336396206</c:v>
                </c:pt>
                <c:pt idx="23">
                  <c:v>16.398848297280871</c:v>
                </c:pt>
                <c:pt idx="24">
                  <c:v>16.751565026376291</c:v>
                </c:pt>
                <c:pt idx="25">
                  <c:v>17.097007430342252</c:v>
                </c:pt>
                <c:pt idx="26">
                  <c:v>17.435607865934102</c:v>
                </c:pt>
                <c:pt idx="27">
                  <c:v>17.767757485555826</c:v>
                </c:pt>
                <c:pt idx="28">
                  <c:v>18.093811533860897</c:v>
                </c:pt>
                <c:pt idx="29">
                  <c:v>18.414093799853429</c:v>
                </c:pt>
                <c:pt idx="30">
                  <c:v>18.728900383451947</c:v>
                </c:pt>
                <c:pt idx="31">
                  <c:v>19.038502901281255</c:v>
                </c:pt>
                <c:pt idx="32">
                  <c:v>19.343151230478792</c:v>
                </c:pt>
                <c:pt idx="33">
                  <c:v>19.643075869371319</c:v>
                </c:pt>
                <c:pt idx="34">
                  <c:v>19.938489978447699</c:v>
                </c:pt>
                <c:pt idx="35">
                  <c:v>20.229591153005988</c:v>
                </c:pt>
                <c:pt idx="36">
                  <c:v>20.516562969371019</c:v>
                </c:pt>
                <c:pt idx="37">
                  <c:v>20.799576339060387</c:v>
                </c:pt>
                <c:pt idx="38">
                  <c:v>21.078790699273384</c:v>
                </c:pt>
                <c:pt idx="39">
                  <c:v>21.354355063252402</c:v>
                </c:pt>
                <c:pt idx="40">
                  <c:v>21.626408950163512</c:v>
                </c:pt>
                <c:pt idx="41">
                  <c:v>21.895083210968458</c:v>
                </c:pt>
                <c:pt idx="42">
                  <c:v>22.160500764162947</c:v>
                </c:pt>
                <c:pt idx="43">
                  <c:v>22.422777253120294</c:v>
                </c:pt>
                <c:pt idx="44">
                  <c:v>22.682021635014426</c:v>
                </c:pt>
                <c:pt idx="45">
                  <c:v>22.938336709830168</c:v>
                </c:pt>
                <c:pt idx="46">
                  <c:v>23.191819596746186</c:v>
                </c:pt>
                <c:pt idx="47">
                  <c:v>23.442562164151447</c:v>
                </c:pt>
                <c:pt idx="48">
                  <c:v>23.690651418694493</c:v>
                </c:pt>
                <c:pt idx="49">
                  <c:v>23.93616985803704</c:v>
                </c:pt>
                <c:pt idx="50">
                  <c:v>24.179195791366734</c:v>
                </c:pt>
                <c:pt idx="51">
                  <c:v>24.419803631199049</c:v>
                </c:pt>
                <c:pt idx="52">
                  <c:v>24.658064159550531</c:v>
                </c:pt>
                <c:pt idx="53">
                  <c:v>24.894044771182045</c:v>
                </c:pt>
                <c:pt idx="54">
                  <c:v>25.127809696280956</c:v>
                </c:pt>
                <c:pt idx="55">
                  <c:v>25.35942020466754</c:v>
                </c:pt>
                <c:pt idx="56">
                  <c:v>25.588934793365272</c:v>
                </c:pt>
                <c:pt idx="57">
                  <c:v>25.816409359162062</c:v>
                </c:pt>
                <c:pt idx="58">
                  <c:v>26.04189735760481</c:v>
                </c:pt>
                <c:pt idx="59">
                  <c:v>26.265449949708486</c:v>
                </c:pt>
                <c:pt idx="60">
                  <c:v>26.487116137520498</c:v>
                </c:pt>
                <c:pt idx="61">
                  <c:v>26.706942889557933</c:v>
                </c:pt>
                <c:pt idx="62">
                  <c:v>26.924975257027221</c:v>
                </c:pt>
                <c:pt idx="63">
                  <c:v>27.141256481640863</c:v>
                </c:pt>
                <c:pt idx="64">
                  <c:v>27.355828095761986</c:v>
                </c:pt>
                <c:pt idx="65">
                  <c:v>27.568730015533749</c:v>
                </c:pt>
                <c:pt idx="66">
                  <c:v>27.780000627584876</c:v>
                </c:pt>
                <c:pt idx="67">
                  <c:v>27.989676869844835</c:v>
                </c:pt>
                <c:pt idx="68">
                  <c:v>28.197794306950481</c:v>
                </c:pt>
                <c:pt idx="69">
                  <c:v>28.404387200680027</c:v>
                </c:pt>
                <c:pt idx="70">
                  <c:v>28.609488575809443</c:v>
                </c:pt>
                <c:pt idx="71">
                  <c:v>28.813130281749647</c:v>
                </c:pt>
                <c:pt idx="72">
                  <c:v>29.015343050290326</c:v>
                </c:pt>
                <c:pt idx="73">
                  <c:v>29.216156549746703</c:v>
                </c:pt>
                <c:pt idx="74">
                  <c:v>29.415599435779505</c:v>
                </c:pt>
                <c:pt idx="75">
                  <c:v>29.6136993991345</c:v>
                </c:pt>
                <c:pt idx="76">
                  <c:v>29.810483210526819</c:v>
                </c:pt>
                <c:pt idx="77">
                  <c:v>30.005976762876077</c:v>
                </c:pt>
                <c:pt idx="78">
                  <c:v>30.200205111080841</c:v>
                </c:pt>
                <c:pt idx="79">
                  <c:v>30.393192509505578</c:v>
                </c:pt>
                <c:pt idx="80">
                  <c:v>30.584962447338654</c:v>
                </c:pt>
                <c:pt idx="81">
                  <c:v>30.775537681967535</c:v>
                </c:pt>
                <c:pt idx="82">
                  <c:v>30.964940270505224</c:v>
                </c:pt>
                <c:pt idx="83">
                  <c:v>31.310095095229787</c:v>
                </c:pt>
                <c:pt idx="84">
                  <c:v>31.698371076274494</c:v>
                </c:pt>
                <c:pt idx="85">
                  <c:v>32.088838264067348</c:v>
                </c:pt>
                <c:pt idx="86">
                  <c:v>32.479711641490894</c:v>
                </c:pt>
                <c:pt idx="87">
                  <c:v>32.869101828844926</c:v>
                </c:pt>
                <c:pt idx="88">
                  <c:v>33.257443753514856</c:v>
                </c:pt>
                <c:pt idx="89">
                  <c:v>33.646043817362212</c:v>
                </c:pt>
                <c:pt idx="90">
                  <c:v>34.034902693447819</c:v>
                </c:pt>
                <c:pt idx="91">
                  <c:v>34.424021057181861</c:v>
                </c:pt>
                <c:pt idx="92">
                  <c:v>34.813399586333709</c:v>
                </c:pt>
                <c:pt idx="93">
                  <c:v>35.203038961041834</c:v>
                </c:pt>
                <c:pt idx="94">
                  <c:v>35.59293986382383</c:v>
                </c:pt>
                <c:pt idx="95">
                  <c:v>35.983102979586448</c:v>
                </c:pt>
                <c:pt idx="96">
                  <c:v>36.373528995635795</c:v>
                </c:pt>
                <c:pt idx="97">
                  <c:v>36.764218601687482</c:v>
                </c:pt>
                <c:pt idx="98">
                  <c:v>37.155172489876961</c:v>
                </c:pt>
                <c:pt idx="99">
                  <c:v>37.54639135476986</c:v>
                </c:pt>
                <c:pt idx="100">
                  <c:v>37.93787589337245</c:v>
                </c:pt>
              </c:numCache>
            </c:numRef>
          </c:val>
          <c:smooth val="0"/>
          <c:extLst>
            <c:ext xmlns:c16="http://schemas.microsoft.com/office/drawing/2014/chart" uri="{C3380CC4-5D6E-409C-BE32-E72D297353CC}">
              <c16:uniqueId val="{00000002-6477-4C46-89EF-E7A1D5DEFAE7}"/>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1.0131536274394712</c:v>
                </c:pt>
                <c:pt idx="2">
                  <c:v>1.0263072548789423</c:v>
                </c:pt>
                <c:pt idx="3">
                  <c:v>1.0394608823184135</c:v>
                </c:pt>
                <c:pt idx="4">
                  <c:v>1.0526145097578845</c:v>
                </c:pt>
                <c:pt idx="5">
                  <c:v>1.0657681371973557</c:v>
                </c:pt>
                <c:pt idx="6">
                  <c:v>1.0789217646368268</c:v>
                </c:pt>
                <c:pt idx="7">
                  <c:v>1.092075392076298</c:v>
                </c:pt>
                <c:pt idx="8">
                  <c:v>1.105229019515769</c:v>
                </c:pt>
                <c:pt idx="9">
                  <c:v>1.1183826469552403</c:v>
                </c:pt>
                <c:pt idx="10">
                  <c:v>1.1315362743947115</c:v>
                </c:pt>
                <c:pt idx="11">
                  <c:v>1.1446899018341825</c:v>
                </c:pt>
                <c:pt idx="12">
                  <c:v>1.1578435292736537</c:v>
                </c:pt>
                <c:pt idx="13">
                  <c:v>1.1709971567131248</c:v>
                </c:pt>
                <c:pt idx="14">
                  <c:v>1.184150784152596</c:v>
                </c:pt>
                <c:pt idx="15">
                  <c:v>1.197304411592067</c:v>
                </c:pt>
                <c:pt idx="16">
                  <c:v>1.4549406727375955</c:v>
                </c:pt>
                <c:pt idx="17">
                  <c:v>1.7667609918505209</c:v>
                </c:pt>
                <c:pt idx="18">
                  <c:v>2.069537804391806</c:v>
                </c:pt>
                <c:pt idx="19">
                  <c:v>2.364015141747501</c:v>
                </c:pt>
                <c:pt idx="20">
                  <c:v>2.6508402852790711</c:v>
                </c:pt>
                <c:pt idx="21">
                  <c:v>2.9305805138221026</c:v>
                </c:pt>
                <c:pt idx="22">
                  <c:v>3.2037362985650901</c:v>
                </c:pt>
                <c:pt idx="23">
                  <c:v>3.4707518251463236</c:v>
                </c:pt>
                <c:pt idx="24">
                  <c:v>3.7320234763281164</c:v>
                </c:pt>
                <c:pt idx="25">
                  <c:v>3.9879067385251243</c:v>
                </c:pt>
                <c:pt idx="26">
                  <c:v>4.2387218760005689</c:v>
                </c:pt>
                <c:pt idx="27">
                  <c:v>4.4847586312759198</c:v>
                </c:pt>
                <c:pt idx="28">
                  <c:v>4.7262801485389359</c:v>
                </c:pt>
                <c:pt idx="29">
                  <c:v>4.9635262714963666</c:v>
                </c:pt>
                <c:pt idx="30">
                  <c:v>5.196716333421195</c:v>
                </c:pt>
                <c:pt idx="31">
                  <c:v>5.4260515318132754</c:v>
                </c:pt>
                <c:pt idx="32">
                  <c:v>5.6517169608484874</c:v>
                </c:pt>
                <c:pt idx="33">
                  <c:v>5.8738833600281382</c:v>
                </c:pt>
                <c:pt idx="34">
                  <c:v>6.0927086260106407</c:v>
                </c:pt>
                <c:pt idx="35">
                  <c:v>6.3083391256834469</c:v>
                </c:pt>
                <c:pt idx="36">
                  <c:v>6.520910841509397</c:v>
                </c:pt>
                <c:pt idx="37">
                  <c:v>6.7305503746126316</c:v>
                </c:pt>
                <c:pt idx="38">
                  <c:v>6.9373758266222589</c:v>
                </c:pt>
                <c:pt idx="39">
                  <c:v>7.1414975777178293</c:v>
                </c:pt>
                <c:pt idx="40">
                  <c:v>7.3430189754297617</c:v>
                </c:pt>
                <c:pt idx="41">
                  <c:v>7.5420369463963883</c:v>
                </c:pt>
                <c:pt idx="42">
                  <c:v>7.7386425413552695</c:v>
                </c:pt>
                <c:pt idx="43">
                  <c:v>7.9329214220644149</c:v>
                </c:pt>
                <c:pt idx="44">
                  <c:v>8.1249542975415494</c:v>
                </c:pt>
                <c:pt idx="45">
                  <c:v>8.3148173159235803</c:v>
                </c:pt>
                <c:pt idx="46">
                  <c:v>8.5025824173428539</c:v>
                </c:pt>
                <c:pt idx="47">
                  <c:v>8.6883176524578616</c:v>
                </c:pt>
                <c:pt idx="48">
                  <c:v>8.8720874706378954</c:v>
                </c:pt>
                <c:pt idx="49">
                  <c:v>9.1323781963285775</c:v>
                </c:pt>
                <c:pt idx="50">
                  <c:v>9.5055032029644284</c:v>
                </c:pt>
                <c:pt idx="51">
                  <c:v>9.8789373612688376</c:v>
                </c:pt>
                <c:pt idx="52">
                  <c:v>10.260492138712189</c:v>
                </c:pt>
                <c:pt idx="53">
                  <c:v>10.654949817446806</c:v>
                </c:pt>
                <c:pt idx="54">
                  <c:v>11.046071269490579</c:v>
                </c:pt>
                <c:pt idx="55">
                  <c:v>11.432199318351797</c:v>
                </c:pt>
                <c:pt idx="56">
                  <c:v>11.819174435598327</c:v>
                </c:pt>
                <c:pt idx="57">
                  <c:v>12.207001791066755</c:v>
                </c:pt>
                <c:pt idx="58">
                  <c:v>12.595686596871666</c:v>
                </c:pt>
                <c:pt idx="59">
                  <c:v>12.985234107827928</c:v>
                </c:pt>
                <c:pt idx="60">
                  <c:v>13.375649621879273</c:v>
                </c:pt>
                <c:pt idx="61">
                  <c:v>13.766938480532888</c:v>
                </c:pt>
                <c:pt idx="62">
                  <c:v>14.159106069300288</c:v>
                </c:pt>
                <c:pt idx="63">
                  <c:v>14.552157818144252</c:v>
                </c:pt>
                <c:pt idx="64">
                  <c:v>14.946099201931876</c:v>
                </c:pt>
                <c:pt idx="65">
                  <c:v>15.340935740893912</c:v>
                </c:pt>
                <c:pt idx="66">
                  <c:v>15.736673001090143</c:v>
                </c:pt>
                <c:pt idx="67">
                  <c:v>16.133316594881158</c:v>
                </c:pt>
                <c:pt idx="68">
                  <c:v>16.530872181406309</c:v>
                </c:pt>
                <c:pt idx="69">
                  <c:v>16.929345467067996</c:v>
                </c:pt>
                <c:pt idx="70">
                  <c:v>17.328742206022465</c:v>
                </c:pt>
                <c:pt idx="71">
                  <c:v>17.729068200676842</c:v>
                </c:pt>
                <c:pt idx="72">
                  <c:v>18.130329302192891</c:v>
                </c:pt>
                <c:pt idx="73">
                  <c:v>18.532531410997247</c:v>
                </c:pt>
                <c:pt idx="74">
                  <c:v>18.935680477298369</c:v>
                </c:pt>
                <c:pt idx="75">
                  <c:v>19.339782501610145</c:v>
                </c:pt>
                <c:pt idx="76">
                  <c:v>19.744843535282474</c:v>
                </c:pt>
                <c:pt idx="77">
                  <c:v>20.150869681038596</c:v>
                </c:pt>
                <c:pt idx="78">
                  <c:v>20.557867093519516</c:v>
                </c:pt>
                <c:pt idx="79">
                  <c:v>20.965841979835417</c:v>
                </c:pt>
                <c:pt idx="80">
                  <c:v>21.374800600124487</c:v>
                </c:pt>
                <c:pt idx="81">
                  <c:v>21.784749268118716</c:v>
                </c:pt>
                <c:pt idx="82">
                  <c:v>22.195694351717282</c:v>
                </c:pt>
                <c:pt idx="83">
                  <c:v>22.607642273567357</c:v>
                </c:pt>
                <c:pt idx="84">
                  <c:v>23.02059951165251</c:v>
                </c:pt>
                <c:pt idx="85">
                  <c:v>23.434572599888778</c:v>
                </c:pt>
                <c:pt idx="86">
                  <c:v>23.849568128728567</c:v>
                </c:pt>
                <c:pt idx="87">
                  <c:v>24.26559274577248</c:v>
                </c:pt>
                <c:pt idx="88">
                  <c:v>24.682653156389151</c:v>
                </c:pt>
                <c:pt idx="89">
                  <c:v>25.100756124343238</c:v>
                </c:pt>
                <c:pt idx="90">
                  <c:v>25.519908472431677</c:v>
                </c:pt>
                <c:pt idx="91">
                  <c:v>25.940117083128396</c:v>
                </c:pt>
                <c:pt idx="92">
                  <c:v>26.361388899237411</c:v>
                </c:pt>
                <c:pt idx="93">
                  <c:v>26.783730924554714</c:v>
                </c:pt>
                <c:pt idx="94">
                  <c:v>27.2071502245388</c:v>
                </c:pt>
                <c:pt idx="95">
                  <c:v>27.631653926990317</c:v>
                </c:pt>
                <c:pt idx="96">
                  <c:v>28.057249222740417</c:v>
                </c:pt>
                <c:pt idx="97">
                  <c:v>28.483943366348651</c:v>
                </c:pt>
                <c:pt idx="98">
                  <c:v>28.911743676809945</c:v>
                </c:pt>
                <c:pt idx="99">
                  <c:v>29.340657538271131</c:v>
                </c:pt>
                <c:pt idx="100">
                  <c:v>29.77069240075711</c:v>
                </c:pt>
              </c:numCache>
            </c:numRef>
          </c:val>
          <c:smooth val="0"/>
          <c:extLst>
            <c:ext xmlns:c16="http://schemas.microsoft.com/office/drawing/2014/chart" uri="{C3380CC4-5D6E-409C-BE32-E72D297353CC}">
              <c16:uniqueId val="{00000000-B28B-4852-801F-8278A9821D6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Single'!$AK$5:$AK$105</c:f>
              <c:numCache>
                <c:formatCode>0.000</c:formatCode>
                <c:ptCount val="101"/>
                <c:pt idx="0">
                  <c:v>1.0068571428571429</c:v>
                </c:pt>
                <c:pt idx="1">
                  <c:v>1.0131536274394712</c:v>
                </c:pt>
                <c:pt idx="2">
                  <c:v>1.0263072548789423</c:v>
                </c:pt>
                <c:pt idx="3">
                  <c:v>1.0394608823184135</c:v>
                </c:pt>
                <c:pt idx="4">
                  <c:v>1.0526145097578845</c:v>
                </c:pt>
                <c:pt idx="5">
                  <c:v>1.0657681371973557</c:v>
                </c:pt>
                <c:pt idx="6">
                  <c:v>1.0789217646368268</c:v>
                </c:pt>
                <c:pt idx="7">
                  <c:v>1.092075392076298</c:v>
                </c:pt>
                <c:pt idx="8">
                  <c:v>1.105229019515769</c:v>
                </c:pt>
                <c:pt idx="9">
                  <c:v>1.1183826469552403</c:v>
                </c:pt>
                <c:pt idx="10">
                  <c:v>1.1315362743947115</c:v>
                </c:pt>
                <c:pt idx="11">
                  <c:v>1.1446899018341825</c:v>
                </c:pt>
                <c:pt idx="12">
                  <c:v>1.1578435292736537</c:v>
                </c:pt>
                <c:pt idx="13">
                  <c:v>1.1709971567131248</c:v>
                </c:pt>
                <c:pt idx="14">
                  <c:v>1.184150784152596</c:v>
                </c:pt>
                <c:pt idx="15">
                  <c:v>1.197304411592067</c:v>
                </c:pt>
                <c:pt idx="16">
                  <c:v>1.4549406727375955</c:v>
                </c:pt>
                <c:pt idx="17">
                  <c:v>1.7667609918505209</c:v>
                </c:pt>
                <c:pt idx="18">
                  <c:v>2.069537804391806</c:v>
                </c:pt>
                <c:pt idx="19">
                  <c:v>2.364015141747501</c:v>
                </c:pt>
                <c:pt idx="20">
                  <c:v>2.6508402852790711</c:v>
                </c:pt>
                <c:pt idx="21">
                  <c:v>2.9305805138221026</c:v>
                </c:pt>
                <c:pt idx="22">
                  <c:v>3.2037362985650901</c:v>
                </c:pt>
                <c:pt idx="23">
                  <c:v>3.4707518251463236</c:v>
                </c:pt>
                <c:pt idx="24">
                  <c:v>3.7320234763281164</c:v>
                </c:pt>
                <c:pt idx="25">
                  <c:v>3.9879067385251243</c:v>
                </c:pt>
                <c:pt idx="26">
                  <c:v>4.2387218760005689</c:v>
                </c:pt>
                <c:pt idx="27">
                  <c:v>4.4847586312759198</c:v>
                </c:pt>
                <c:pt idx="28">
                  <c:v>4.7262801485389359</c:v>
                </c:pt>
                <c:pt idx="29">
                  <c:v>4.9635262714963666</c:v>
                </c:pt>
                <c:pt idx="30">
                  <c:v>5.196716333421195</c:v>
                </c:pt>
                <c:pt idx="31">
                  <c:v>5.4260515318132754</c:v>
                </c:pt>
                <c:pt idx="32">
                  <c:v>5.6517169608484874</c:v>
                </c:pt>
                <c:pt idx="33">
                  <c:v>5.8738833600281382</c:v>
                </c:pt>
                <c:pt idx="34">
                  <c:v>6.0927086260106407</c:v>
                </c:pt>
                <c:pt idx="35">
                  <c:v>6.3083391256834469</c:v>
                </c:pt>
                <c:pt idx="36">
                  <c:v>6.520910841509397</c:v>
                </c:pt>
                <c:pt idx="37">
                  <c:v>6.7305503746126316</c:v>
                </c:pt>
                <c:pt idx="38">
                  <c:v>6.9373758266222589</c:v>
                </c:pt>
                <c:pt idx="39">
                  <c:v>7.1414975777178293</c:v>
                </c:pt>
                <c:pt idx="40">
                  <c:v>7.3430189754297617</c:v>
                </c:pt>
                <c:pt idx="41">
                  <c:v>7.5420369463963883</c:v>
                </c:pt>
                <c:pt idx="42">
                  <c:v>7.7386425413552695</c:v>
                </c:pt>
                <c:pt idx="43">
                  <c:v>7.9329214220644149</c:v>
                </c:pt>
                <c:pt idx="44">
                  <c:v>8.1249542975415494</c:v>
                </c:pt>
                <c:pt idx="45">
                  <c:v>8.3148173159235803</c:v>
                </c:pt>
                <c:pt idx="46">
                  <c:v>8.5025824173428539</c:v>
                </c:pt>
                <c:pt idx="47">
                  <c:v>8.6883176524578616</c:v>
                </c:pt>
                <c:pt idx="48">
                  <c:v>8.8720874706378954</c:v>
                </c:pt>
                <c:pt idx="49">
                  <c:v>9.0539529812620039</c:v>
                </c:pt>
                <c:pt idx="50">
                  <c:v>9.2339721911358499</c:v>
                </c:pt>
                <c:pt idx="51">
                  <c:v>9.4122002206412692</c:v>
                </c:pt>
                <c:pt idx="52">
                  <c:v>9.5886895009016264</c:v>
                </c:pt>
                <c:pt idx="53">
                  <c:v>9.7634899539620079</c:v>
                </c:pt>
                <c:pt idx="54">
                  <c:v>9.9366491577389784</c:v>
                </c:pt>
                <c:pt idx="55">
                  <c:v>10.108212497284596</c:v>
                </c:pt>
                <c:pt idx="56">
                  <c:v>10.27822330372736</c:v>
                </c:pt>
                <c:pt idx="57">
                  <c:v>10.446722982095354</c:v>
                </c:pt>
                <c:pt idx="58">
                  <c:v>10.613751129089982</c:v>
                </c:pt>
                <c:pt idx="59">
                  <c:v>10.779345641759372</c:v>
                </c:pt>
                <c:pt idx="60">
                  <c:v>10.943542817916418</c:v>
                </c:pt>
                <c:pt idx="61">
                  <c:v>11.106377449055257</c:v>
                </c:pt>
                <c:pt idx="62">
                  <c:v>11.267882906439915</c:v>
                </c:pt>
                <c:pt idx="63">
                  <c:v>11.42809122096854</c:v>
                </c:pt>
                <c:pt idx="64">
                  <c:v>11.587033157354556</c:v>
                </c:pt>
                <c:pt idx="65">
                  <c:v>11.744738283111419</c:v>
                </c:pt>
                <c:pt idx="66">
                  <c:v>11.901235032778919</c:v>
                </c:pt>
                <c:pt idx="67">
                  <c:v>12.056550767786296</c:v>
                </c:pt>
                <c:pt idx="68">
                  <c:v>12.363649405746365</c:v>
                </c:pt>
                <c:pt idx="69">
                  <c:v>12.678770519850962</c:v>
                </c:pt>
                <c:pt idx="70">
                  <c:v>13.002472016028447</c:v>
                </c:pt>
                <c:pt idx="71">
                  <c:v>13.328085583030756</c:v>
                </c:pt>
                <c:pt idx="72">
                  <c:v>13.653229750262518</c:v>
                </c:pt>
                <c:pt idx="73">
                  <c:v>13.975307240232144</c:v>
                </c:pt>
                <c:pt idx="74">
                  <c:v>14.297742124242765</c:v>
                </c:pt>
                <c:pt idx="75">
                  <c:v>14.620535729586274</c:v>
                </c:pt>
                <c:pt idx="76">
                  <c:v>14.943689390154731</c:v>
                </c:pt>
                <c:pt idx="77">
                  <c:v>15.267204446480193</c:v>
                </c:pt>
                <c:pt idx="78">
                  <c:v>15.591082245774848</c:v>
                </c:pt>
                <c:pt idx="79">
                  <c:v>15.915324141971533</c:v>
                </c:pt>
                <c:pt idx="80">
                  <c:v>16.239931495764697</c:v>
                </c:pt>
                <c:pt idx="81">
                  <c:v>16.564905674651655</c:v>
                </c:pt>
                <c:pt idx="82">
                  <c:v>16.89024805297429</c:v>
                </c:pt>
                <c:pt idx="83">
                  <c:v>17.215960011961105</c:v>
                </c:pt>
                <c:pt idx="84">
                  <c:v>17.54204293976963</c:v>
                </c:pt>
                <c:pt idx="85">
                  <c:v>17.86849823152918</c:v>
                </c:pt>
                <c:pt idx="86">
                  <c:v>18.195327289384092</c:v>
                </c:pt>
                <c:pt idx="87">
                  <c:v>18.522531522537186</c:v>
                </c:pt>
                <c:pt idx="88">
                  <c:v>18.85011234729367</c:v>
                </c:pt>
                <c:pt idx="89">
                  <c:v>19.178071187105395</c:v>
                </c:pt>
                <c:pt idx="90">
                  <c:v>19.506409472615523</c:v>
                </c:pt>
                <c:pt idx="91">
                  <c:v>19.835128641703491</c:v>
                </c:pt>
                <c:pt idx="92">
                  <c:v>20.164230139530396</c:v>
                </c:pt>
                <c:pt idx="93">
                  <c:v>20.493715418584703</c:v>
                </c:pt>
                <c:pt idx="94">
                  <c:v>20.823585938728392</c:v>
                </c:pt>
                <c:pt idx="95">
                  <c:v>21.153843167243458</c:v>
                </c:pt>
                <c:pt idx="96">
                  <c:v>21.484488578878707</c:v>
                </c:pt>
                <c:pt idx="97">
                  <c:v>21.815523655897071</c:v>
                </c:pt>
                <c:pt idx="98">
                  <c:v>22.146949888123142</c:v>
                </c:pt>
                <c:pt idx="99">
                  <c:v>22.478768772991256</c:v>
                </c:pt>
                <c:pt idx="100">
                  <c:v>22.810981815593813</c:v>
                </c:pt>
              </c:numCache>
            </c:numRef>
          </c:val>
          <c:smooth val="0"/>
          <c:extLst>
            <c:ext xmlns:c16="http://schemas.microsoft.com/office/drawing/2014/chart" uri="{C3380CC4-5D6E-409C-BE32-E72D297353CC}">
              <c16:uniqueId val="{00000001-B28B-4852-801F-8278A9821D6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1.0131536274394712</c:v>
                </c:pt>
                <c:pt idx="2">
                  <c:v>1.0263072548789423</c:v>
                </c:pt>
                <c:pt idx="3">
                  <c:v>1.0394608823184135</c:v>
                </c:pt>
                <c:pt idx="4">
                  <c:v>1.0526145097578845</c:v>
                </c:pt>
                <c:pt idx="5">
                  <c:v>1.0657681371973557</c:v>
                </c:pt>
                <c:pt idx="6">
                  <c:v>1.0789217646368268</c:v>
                </c:pt>
                <c:pt idx="7">
                  <c:v>1.092075392076298</c:v>
                </c:pt>
                <c:pt idx="8">
                  <c:v>1.105229019515769</c:v>
                </c:pt>
                <c:pt idx="9">
                  <c:v>1.1183826469552403</c:v>
                </c:pt>
                <c:pt idx="10">
                  <c:v>1.1315362743947115</c:v>
                </c:pt>
                <c:pt idx="11">
                  <c:v>1.1446899018341825</c:v>
                </c:pt>
                <c:pt idx="12">
                  <c:v>1.1578435292736537</c:v>
                </c:pt>
                <c:pt idx="13">
                  <c:v>1.1709971567131248</c:v>
                </c:pt>
                <c:pt idx="14">
                  <c:v>1.184150784152596</c:v>
                </c:pt>
                <c:pt idx="15">
                  <c:v>1.197304411592067</c:v>
                </c:pt>
                <c:pt idx="16">
                  <c:v>1.4549406727375955</c:v>
                </c:pt>
                <c:pt idx="17">
                  <c:v>1.7667609918505209</c:v>
                </c:pt>
                <c:pt idx="18">
                  <c:v>2.069537804391806</c:v>
                </c:pt>
                <c:pt idx="19">
                  <c:v>2.364015141747501</c:v>
                </c:pt>
                <c:pt idx="20">
                  <c:v>2.6508402852790711</c:v>
                </c:pt>
                <c:pt idx="21">
                  <c:v>2.9305805138221026</c:v>
                </c:pt>
                <c:pt idx="22">
                  <c:v>3.2037362985650901</c:v>
                </c:pt>
                <c:pt idx="23">
                  <c:v>3.4707518251463236</c:v>
                </c:pt>
                <c:pt idx="24">
                  <c:v>3.7320234763281164</c:v>
                </c:pt>
                <c:pt idx="25">
                  <c:v>3.9879067385251243</c:v>
                </c:pt>
                <c:pt idx="26">
                  <c:v>4.2387218760005689</c:v>
                </c:pt>
                <c:pt idx="27">
                  <c:v>4.4847586312759198</c:v>
                </c:pt>
                <c:pt idx="28">
                  <c:v>4.7262801485389359</c:v>
                </c:pt>
                <c:pt idx="29">
                  <c:v>4.9635262714963666</c:v>
                </c:pt>
                <c:pt idx="30">
                  <c:v>5.196716333421195</c:v>
                </c:pt>
                <c:pt idx="31">
                  <c:v>5.4260515318132754</c:v>
                </c:pt>
                <c:pt idx="32">
                  <c:v>5.6517169608484874</c:v>
                </c:pt>
                <c:pt idx="33">
                  <c:v>5.8738833600281382</c:v>
                </c:pt>
                <c:pt idx="34">
                  <c:v>6.0927086260106407</c:v>
                </c:pt>
                <c:pt idx="35">
                  <c:v>6.3083391256834469</c:v>
                </c:pt>
                <c:pt idx="36">
                  <c:v>6.520910841509397</c:v>
                </c:pt>
                <c:pt idx="37">
                  <c:v>6.7305503746126316</c:v>
                </c:pt>
                <c:pt idx="38">
                  <c:v>6.9373758266222589</c:v>
                </c:pt>
                <c:pt idx="39">
                  <c:v>7.1414975777178293</c:v>
                </c:pt>
                <c:pt idx="40">
                  <c:v>7.3430189754297617</c:v>
                </c:pt>
                <c:pt idx="41">
                  <c:v>7.5420369463963883</c:v>
                </c:pt>
                <c:pt idx="42">
                  <c:v>7.7386425413552695</c:v>
                </c:pt>
                <c:pt idx="43">
                  <c:v>7.9329214220644149</c:v>
                </c:pt>
                <c:pt idx="44">
                  <c:v>8.1249542975415494</c:v>
                </c:pt>
                <c:pt idx="45">
                  <c:v>8.3148173159235803</c:v>
                </c:pt>
                <c:pt idx="46">
                  <c:v>8.5025824173428539</c:v>
                </c:pt>
                <c:pt idx="47">
                  <c:v>8.6883176524578616</c:v>
                </c:pt>
                <c:pt idx="48">
                  <c:v>8.8720874706378954</c:v>
                </c:pt>
                <c:pt idx="49">
                  <c:v>9.0539529812620039</c:v>
                </c:pt>
                <c:pt idx="50">
                  <c:v>9.2339721911358499</c:v>
                </c:pt>
                <c:pt idx="51">
                  <c:v>9.4122002206412692</c:v>
                </c:pt>
                <c:pt idx="52">
                  <c:v>9.5886895009016264</c:v>
                </c:pt>
                <c:pt idx="53">
                  <c:v>9.7634899539620079</c:v>
                </c:pt>
                <c:pt idx="54">
                  <c:v>9.9366491577389784</c:v>
                </c:pt>
                <c:pt idx="55">
                  <c:v>10.108212497284596</c:v>
                </c:pt>
                <c:pt idx="56">
                  <c:v>10.27822330372736</c:v>
                </c:pt>
                <c:pt idx="57">
                  <c:v>10.446722982095354</c:v>
                </c:pt>
                <c:pt idx="58">
                  <c:v>10.613751129089982</c:v>
                </c:pt>
                <c:pt idx="59">
                  <c:v>10.779345641759372</c:v>
                </c:pt>
                <c:pt idx="60">
                  <c:v>10.943542817916418</c:v>
                </c:pt>
                <c:pt idx="61">
                  <c:v>11.106377449055257</c:v>
                </c:pt>
                <c:pt idx="62">
                  <c:v>11.267882906439915</c:v>
                </c:pt>
                <c:pt idx="63">
                  <c:v>11.42809122096854</c:v>
                </c:pt>
                <c:pt idx="64">
                  <c:v>11.587033157354556</c:v>
                </c:pt>
                <c:pt idx="65">
                  <c:v>11.744738283111419</c:v>
                </c:pt>
                <c:pt idx="66">
                  <c:v>11.901235032778919</c:v>
                </c:pt>
                <c:pt idx="67">
                  <c:v>12.056550767786296</c:v>
                </c:pt>
                <c:pt idx="68">
                  <c:v>12.210711832308998</c:v>
                </c:pt>
                <c:pt idx="69">
                  <c:v>12.363743605441993</c:v>
                </c:pt>
                <c:pt idx="70">
                  <c:v>12.515670549982303</c:v>
                </c:pt>
                <c:pt idx="71">
                  <c:v>12.666516258086158</c:v>
                </c:pt>
                <c:pt idx="72">
                  <c:v>12.816303494042215</c:v>
                </c:pt>
                <c:pt idx="73">
                  <c:v>12.965054234380272</c:v>
                </c:pt>
                <c:pt idx="74">
                  <c:v>13.112789705515681</c:v>
                </c:pt>
                <c:pt idx="75">
                  <c:v>13.259530419111975</c:v>
                </c:pt>
                <c:pt idx="76">
                  <c:v>13.405296205328506</c:v>
                </c:pt>
                <c:pt idx="77">
                  <c:v>13.550106244105738</c:v>
                </c:pt>
                <c:pt idx="78">
                  <c:v>13.693979094627782</c:v>
                </c:pt>
                <c:pt idx="79">
                  <c:v>13.836932723090552</c:v>
                </c:pt>
                <c:pt idx="80">
                  <c:v>13.978984528892827</c:v>
                </c:pt>
                <c:pt idx="81">
                  <c:v>14.120151369358666</c:v>
                </c:pt>
                <c:pt idx="82">
                  <c:v>14.260449583090287</c:v>
                </c:pt>
                <c:pt idx="83">
                  <c:v>14.516119823627003</c:v>
                </c:pt>
                <c:pt idx="84">
                  <c:v>14.803731661437897</c:v>
                </c:pt>
                <c:pt idx="85">
                  <c:v>15.092966615358526</c:v>
                </c:pt>
                <c:pt idx="86">
                  <c:v>15.382502450487078</c:v>
                </c:pt>
                <c:pt idx="87">
                  <c:v>15.670939626304881</c:v>
                </c:pt>
                <c:pt idx="88">
                  <c:v>15.95860031124557</c:v>
                </c:pt>
                <c:pt idx="89">
                  <c:v>16.246452210391762</c:v>
                </c:pt>
                <c:pt idx="90">
                  <c:v>16.534495822307022</c:v>
                </c:pt>
                <c:pt idx="91">
                  <c:v>16.822731647295203</c:v>
                </c:pt>
                <c:pt idx="92">
                  <c:v>17.111160187407684</c:v>
                </c:pt>
                <c:pt idx="93">
                  <c:v>17.399781946450737</c:v>
                </c:pt>
                <c:pt idx="94">
                  <c:v>17.68859742999296</c:v>
                </c:pt>
                <c:pt idx="95">
                  <c:v>17.977607145372676</c:v>
                </c:pt>
                <c:pt idx="96">
                  <c:v>18.266811601705523</c:v>
                </c:pt>
                <c:pt idx="97">
                  <c:v>18.556211309891957</c:v>
                </c:pt>
                <c:pt idx="98">
                  <c:v>18.845806782624905</c:v>
                </c:pt>
                <c:pt idx="99">
                  <c:v>19.135598534397424</c:v>
                </c:pt>
                <c:pt idx="100">
                  <c:v>19.425587081510454</c:v>
                </c:pt>
              </c:numCache>
            </c:numRef>
          </c:val>
          <c:smooth val="0"/>
          <c:extLst>
            <c:ext xmlns:c16="http://schemas.microsoft.com/office/drawing/2014/chart" uri="{C3380CC4-5D6E-409C-BE32-E72D297353CC}">
              <c16:uniqueId val="{00000002-B28B-4852-801F-8278A9821D66}"/>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Single'!$CB$5:$CB$105</c:f>
              <c:numCache>
                <c:formatCode>0.00</c:formatCode>
                <c:ptCount val="101"/>
                <c:pt idx="0">
                  <c:v>9.3957602143637938E-5</c:v>
                </c:pt>
                <c:pt idx="1">
                  <c:v>73.916841487422985</c:v>
                </c:pt>
                <c:pt idx="2">
                  <c:v>74.132964078778329</c:v>
                </c:pt>
                <c:pt idx="3">
                  <c:v>74.15235921426229</c:v>
                </c:pt>
                <c:pt idx="4">
                  <c:v>74.121561095502116</c:v>
                </c:pt>
                <c:pt idx="5">
                  <c:v>74.070049130811512</c:v>
                </c:pt>
                <c:pt idx="6">
                  <c:v>74.007663464536307</c:v>
                </c:pt>
                <c:pt idx="7">
                  <c:v>73.938616680931929</c:v>
                </c:pt>
                <c:pt idx="8">
                  <c:v>73.865007204879475</c:v>
                </c:pt>
                <c:pt idx="9">
                  <c:v>73.78799250227307</c:v>
                </c:pt>
                <c:pt idx="10">
                  <c:v>73.708258911837731</c:v>
                </c:pt>
                <c:pt idx="11">
                  <c:v>73.626235381188508</c:v>
                </c:pt>
                <c:pt idx="12">
                  <c:v>73.542200396481263</c:v>
                </c:pt>
                <c:pt idx="13">
                  <c:v>73.456339581052234</c:v>
                </c:pt>
                <c:pt idx="14">
                  <c:v>73.368778614074614</c:v>
                </c:pt>
                <c:pt idx="15">
                  <c:v>73.279602980024919</c:v>
                </c:pt>
                <c:pt idx="16">
                  <c:v>73.298531319040961</c:v>
                </c:pt>
                <c:pt idx="17">
                  <c:v>73.318564902427426</c:v>
                </c:pt>
                <c:pt idx="18">
                  <c:v>73.31151626057347</c:v>
                </c:pt>
                <c:pt idx="19">
                  <c:v>73.279947671639192</c:v>
                </c:pt>
                <c:pt idx="20">
                  <c:v>73.225875259638144</c:v>
                </c:pt>
                <c:pt idx="21">
                  <c:v>73.150878635090393</c:v>
                </c:pt>
                <c:pt idx="22">
                  <c:v>73.056181975362804</c:v>
                </c:pt>
                <c:pt idx="23">
                  <c:v>72.94271448624589</c:v>
                </c:pt>
                <c:pt idx="24">
                  <c:v>72.811155677389792</c:v>
                </c:pt>
                <c:pt idx="25">
                  <c:v>72.661969223807546</c:v>
                </c:pt>
                <c:pt idx="26">
                  <c:v>72.495428062659954</c:v>
                </c:pt>
                <c:pt idx="27">
                  <c:v>72.311632598566419</c:v>
                </c:pt>
                <c:pt idx="28">
                  <c:v>72.110523342412492</c:v>
                </c:pt>
                <c:pt idx="29">
                  <c:v>71.891888911512709</c:v>
                </c:pt>
                <c:pt idx="30">
                  <c:v>71.655370022777149</c:v>
                </c:pt>
                <c:pt idx="31">
                  <c:v>71.400459881339259</c:v>
                </c:pt>
                <c:pt idx="32">
                  <c:v>71.12650118133368</c:v>
                </c:pt>
                <c:pt idx="33">
                  <c:v>70.832679776013734</c:v>
                </c:pt>
                <c:pt idx="34">
                  <c:v>70.518014927926259</c:v>
                </c:pt>
                <c:pt idx="35">
                  <c:v>70.181345905336826</c:v>
                </c:pt>
                <c:pt idx="36">
                  <c:v>69.821314538285463</c:v>
                </c:pt>
                <c:pt idx="37">
                  <c:v>69.436343176044929</c:v>
                </c:pt>
                <c:pt idx="38">
                  <c:v>69.024607285485033</c:v>
                </c:pt>
                <c:pt idx="39">
                  <c:v>68.584001682472802</c:v>
                </c:pt>
                <c:pt idx="40">
                  <c:v>68.112099077410406</c:v>
                </c:pt>
                <c:pt idx="41">
                  <c:v>67.606099216600342</c:v>
                </c:pt>
                <c:pt idx="42">
                  <c:v>67.062766379521747</c:v>
                </c:pt>
                <c:pt idx="43">
                  <c:v>66.478352301128609</c:v>
                </c:pt>
                <c:pt idx="44">
                  <c:v>65.848500661087243</c:v>
                </c:pt>
                <c:pt idx="45">
                  <c:v>65.168128022271958</c:v>
                </c:pt>
                <c:pt idx="46">
                  <c:v>64.431274368483329</c:v>
                </c:pt>
                <c:pt idx="47">
                  <c:v>63.630913978433348</c:v>
                </c:pt>
                <c:pt idx="48">
                  <c:v>62.758713967141787</c:v>
                </c:pt>
                <c:pt idx="49">
                  <c:v>61.804722949673398</c:v>
                </c:pt>
                <c:pt idx="50">
                  <c:v>60.756965193481605</c:v>
                </c:pt>
                <c:pt idx="51">
                  <c:v>59.600905148740516</c:v>
                </c:pt>
                <c:pt idx="52">
                  <c:v>58.318731479519947</c:v>
                </c:pt>
                <c:pt idx="53">
                  <c:v>56.88838551776756</c:v>
                </c:pt>
                <c:pt idx="54">
                  <c:v>55.282221095795727</c:v>
                </c:pt>
                <c:pt idx="55">
                  <c:v>53.465121693952341</c:v>
                </c:pt>
                <c:pt idx="56">
                  <c:v>51.391800089791275</c:v>
                </c:pt>
                <c:pt idx="57">
                  <c:v>49.002834226047646</c:v>
                </c:pt>
                <c:pt idx="58">
                  <c:v>46.21869100677273</c:v>
                </c:pt>
                <c:pt idx="59">
                  <c:v>42.930436558864315</c:v>
                </c:pt>
                <c:pt idx="60">
                  <c:v>38.984771440545181</c:v>
                </c:pt>
                <c:pt idx="61">
                  <c:v>34.158887762896228</c:v>
                </c:pt>
                <c:pt idx="62">
                  <c:v>28.116039604941847</c:v>
                </c:pt>
                <c:pt idx="63">
                  <c:v>23.06438554628917</c:v>
                </c:pt>
                <c:pt idx="64">
                  <c:v>20.080239094770455</c:v>
                </c:pt>
                <c:pt idx="65">
                  <c:v>16.701067497609341</c:v>
                </c:pt>
                <c:pt idx="66">
                  <c:v>12.850212095307079</c:v>
                </c:pt>
                <c:pt idx="67">
                  <c:v>8.4294260151933464</c:v>
                </c:pt>
                <c:pt idx="68">
                  <c:v>-14.27441998421099</c:v>
                </c:pt>
                <c:pt idx="69">
                  <c:v>-59.785108444227234</c:v>
                </c:pt>
                <c:pt idx="70">
                  <c:v>-199.21855476602161</c:v>
                </c:pt>
                <c:pt idx="71">
                  <c:v>-583836.08848559554</c:v>
                </c:pt>
                <c:pt idx="72">
                  <c:v>361.19619029181933</c:v>
                </c:pt>
                <c:pt idx="73">
                  <c:v>221.59716597482492</c:v>
                </c:pt>
                <c:pt idx="74">
                  <c:v>174.43057402323655</c:v>
                </c:pt>
                <c:pt idx="75">
                  <c:v>150.64944551659713</c:v>
                </c:pt>
                <c:pt idx="76">
                  <c:v>136.26321736078796</c:v>
                </c:pt>
                <c:pt idx="77">
                  <c:v>126.58264541423654</c:v>
                </c:pt>
                <c:pt idx="78">
                  <c:v>119.59153688292372</c:v>
                </c:pt>
                <c:pt idx="79">
                  <c:v>114.27949394954481</c:v>
                </c:pt>
                <c:pt idx="80">
                  <c:v>110.08413436988546</c:v>
                </c:pt>
                <c:pt idx="81">
                  <c:v>106.66742863749667</c:v>
                </c:pt>
                <c:pt idx="82">
                  <c:v>103.81385085513963</c:v>
                </c:pt>
                <c:pt idx="83">
                  <c:v>101.37938215497297</c:v>
                </c:pt>
                <c:pt idx="84">
                  <c:v>99.264018755082901</c:v>
                </c:pt>
                <c:pt idx="85">
                  <c:v>97.396045751712634</c:v>
                </c:pt>
                <c:pt idx="86">
                  <c:v>95.722591587701856</c:v>
                </c:pt>
                <c:pt idx="87">
                  <c:v>94.20371779073119</c:v>
                </c:pt>
                <c:pt idx="88">
                  <c:v>92.808589211516363</c:v>
                </c:pt>
                <c:pt idx="89">
                  <c:v>91.512915884632079</c:v>
                </c:pt>
                <c:pt idx="90">
                  <c:v>90.297197825804133</c:v>
                </c:pt>
                <c:pt idx="91">
                  <c:v>89.145491290746492</c:v>
                </c:pt>
                <c:pt idx="92">
                  <c:v>88.044522037966416</c:v>
                </c:pt>
                <c:pt idx="93">
                  <c:v>86.983034380378868</c:v>
                </c:pt>
                <c:pt idx="94">
                  <c:v>85.951303290138696</c:v>
                </c:pt>
                <c:pt idx="95">
                  <c:v>84.940760840051425</c:v>
                </c:pt>
                <c:pt idx="96">
                  <c:v>83.943703592996428</c:v>
                </c:pt>
                <c:pt idx="97">
                  <c:v>82.953057515038964</c:v>
                </c:pt>
                <c:pt idx="98">
                  <c:v>81.962183556568803</c:v>
                </c:pt>
                <c:pt idx="99">
                  <c:v>80.964711408918618</c:v>
                </c:pt>
                <c:pt idx="100">
                  <c:v>79.954391833180622</c:v>
                </c:pt>
              </c:numCache>
            </c:numRef>
          </c:val>
          <c:smooth val="0"/>
          <c:extLst>
            <c:ext xmlns:c16="http://schemas.microsoft.com/office/drawing/2014/chart" uri="{C3380CC4-5D6E-409C-BE32-E72D297353CC}">
              <c16:uniqueId val="{00000000-1E04-4A6B-B26C-C435E097FB7E}"/>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val>
            <c:numRef>
              <c:f>'Calculations - Single'!$BR$5:$BR$105</c:f>
              <c:numCache>
                <c:formatCode>0.0</c:formatCode>
                <c:ptCount val="101"/>
                <c:pt idx="0">
                  <c:v>8.6799999999999988E-7</c:v>
                </c:pt>
                <c:pt idx="1">
                  <c:v>5.2080000000000002</c:v>
                </c:pt>
                <c:pt idx="2">
                  <c:v>10.416</c:v>
                </c:pt>
                <c:pt idx="3">
                  <c:v>15.623999999999997</c:v>
                </c:pt>
                <c:pt idx="4">
                  <c:v>20.832000000000001</c:v>
                </c:pt>
                <c:pt idx="5">
                  <c:v>26.039999999999996</c:v>
                </c:pt>
                <c:pt idx="6">
                  <c:v>31.247999999999994</c:v>
                </c:pt>
                <c:pt idx="7">
                  <c:v>36.455999999999996</c:v>
                </c:pt>
                <c:pt idx="8">
                  <c:v>41.664000000000001</c:v>
                </c:pt>
                <c:pt idx="9">
                  <c:v>46.872</c:v>
                </c:pt>
                <c:pt idx="10">
                  <c:v>52.079999999999991</c:v>
                </c:pt>
                <c:pt idx="11">
                  <c:v>57.287999999999997</c:v>
                </c:pt>
                <c:pt idx="12">
                  <c:v>62.495999999999988</c:v>
                </c:pt>
                <c:pt idx="13">
                  <c:v>67.703999999999994</c:v>
                </c:pt>
                <c:pt idx="14">
                  <c:v>72.911999999999992</c:v>
                </c:pt>
                <c:pt idx="15">
                  <c:v>78.11999999999999</c:v>
                </c:pt>
                <c:pt idx="16">
                  <c:v>83.328000000000003</c:v>
                </c:pt>
                <c:pt idx="17">
                  <c:v>88.536000000000001</c:v>
                </c:pt>
                <c:pt idx="18">
                  <c:v>93.744</c:v>
                </c:pt>
                <c:pt idx="19">
                  <c:v>98.95199999999997</c:v>
                </c:pt>
                <c:pt idx="20">
                  <c:v>104.15999999999998</c:v>
                </c:pt>
                <c:pt idx="21">
                  <c:v>109.36800000000001</c:v>
                </c:pt>
                <c:pt idx="22">
                  <c:v>114.57599999999999</c:v>
                </c:pt>
                <c:pt idx="23">
                  <c:v>119.78400000000001</c:v>
                </c:pt>
                <c:pt idx="24">
                  <c:v>124.99199999999998</c:v>
                </c:pt>
                <c:pt idx="25">
                  <c:v>130.19999999999999</c:v>
                </c:pt>
                <c:pt idx="26">
                  <c:v>135.40799999999999</c:v>
                </c:pt>
                <c:pt idx="27">
                  <c:v>140.61599999999999</c:v>
                </c:pt>
                <c:pt idx="28">
                  <c:v>145.82399999999998</c:v>
                </c:pt>
                <c:pt idx="29">
                  <c:v>151.03199999999998</c:v>
                </c:pt>
                <c:pt idx="30">
                  <c:v>156.23999999999998</c:v>
                </c:pt>
                <c:pt idx="31">
                  <c:v>161.44799999999998</c:v>
                </c:pt>
                <c:pt idx="32">
                  <c:v>166.65600000000001</c:v>
                </c:pt>
                <c:pt idx="33">
                  <c:v>171.86399999999998</c:v>
                </c:pt>
                <c:pt idx="34">
                  <c:v>177.072</c:v>
                </c:pt>
                <c:pt idx="35">
                  <c:v>182.28</c:v>
                </c:pt>
                <c:pt idx="36">
                  <c:v>187.488</c:v>
                </c:pt>
                <c:pt idx="37">
                  <c:v>192.69599999999997</c:v>
                </c:pt>
                <c:pt idx="38">
                  <c:v>197.90399999999994</c:v>
                </c:pt>
                <c:pt idx="39">
                  <c:v>203.11199999999997</c:v>
                </c:pt>
                <c:pt idx="40">
                  <c:v>208.31999999999996</c:v>
                </c:pt>
                <c:pt idx="41">
                  <c:v>213.52799999999996</c:v>
                </c:pt>
                <c:pt idx="42">
                  <c:v>218.73600000000002</c:v>
                </c:pt>
                <c:pt idx="43">
                  <c:v>223.94399999999999</c:v>
                </c:pt>
                <c:pt idx="44">
                  <c:v>229.15199999999999</c:v>
                </c:pt>
                <c:pt idx="45">
                  <c:v>234.36</c:v>
                </c:pt>
                <c:pt idx="46">
                  <c:v>239.56800000000001</c:v>
                </c:pt>
                <c:pt idx="47">
                  <c:v>244.77599999999995</c:v>
                </c:pt>
                <c:pt idx="48">
                  <c:v>249.98399999999995</c:v>
                </c:pt>
                <c:pt idx="49">
                  <c:v>255.19199999999998</c:v>
                </c:pt>
                <c:pt idx="50">
                  <c:v>260.39999999999998</c:v>
                </c:pt>
                <c:pt idx="51">
                  <c:v>265.60799999999995</c:v>
                </c:pt>
                <c:pt idx="52">
                  <c:v>270.81599999999997</c:v>
                </c:pt>
                <c:pt idx="53">
                  <c:v>276.024</c:v>
                </c:pt>
                <c:pt idx="54">
                  <c:v>281.23199999999997</c:v>
                </c:pt>
                <c:pt idx="55">
                  <c:v>286.44</c:v>
                </c:pt>
                <c:pt idx="56">
                  <c:v>291.64799999999997</c:v>
                </c:pt>
                <c:pt idx="57">
                  <c:v>296.85599999999994</c:v>
                </c:pt>
                <c:pt idx="58">
                  <c:v>302.06399999999996</c:v>
                </c:pt>
                <c:pt idx="59">
                  <c:v>307.27199999999993</c:v>
                </c:pt>
                <c:pt idx="60">
                  <c:v>312.47999999999996</c:v>
                </c:pt>
                <c:pt idx="61">
                  <c:v>317.68799999999999</c:v>
                </c:pt>
                <c:pt idx="62">
                  <c:v>322.89599999999996</c:v>
                </c:pt>
                <c:pt idx="63">
                  <c:v>328.10399999999998</c:v>
                </c:pt>
                <c:pt idx="64">
                  <c:v>333.31200000000001</c:v>
                </c:pt>
                <c:pt idx="65">
                  <c:v>338.51999999999992</c:v>
                </c:pt>
                <c:pt idx="66">
                  <c:v>343.72799999999995</c:v>
                </c:pt>
                <c:pt idx="67">
                  <c:v>348.93599999999998</c:v>
                </c:pt>
                <c:pt idx="68">
                  <c:v>354.14400000000001</c:v>
                </c:pt>
                <c:pt idx="69">
                  <c:v>359.35199999999998</c:v>
                </c:pt>
                <c:pt idx="70">
                  <c:v>364.56</c:v>
                </c:pt>
                <c:pt idx="71">
                  <c:v>369.76799999999992</c:v>
                </c:pt>
                <c:pt idx="72">
                  <c:v>374.976</c:v>
                </c:pt>
                <c:pt idx="73">
                  <c:v>380.18399999999997</c:v>
                </c:pt>
                <c:pt idx="74">
                  <c:v>385.39199999999994</c:v>
                </c:pt>
                <c:pt idx="75">
                  <c:v>390.59999999999997</c:v>
                </c:pt>
                <c:pt idx="76">
                  <c:v>395.80799999999988</c:v>
                </c:pt>
                <c:pt idx="77">
                  <c:v>401.01599999999991</c:v>
                </c:pt>
                <c:pt idx="78">
                  <c:v>406.22399999999993</c:v>
                </c:pt>
                <c:pt idx="79">
                  <c:v>411.43199999999996</c:v>
                </c:pt>
                <c:pt idx="80">
                  <c:v>416.63999999999993</c:v>
                </c:pt>
                <c:pt idx="81">
                  <c:v>421.84799999999996</c:v>
                </c:pt>
                <c:pt idx="82">
                  <c:v>427.05599999999993</c:v>
                </c:pt>
                <c:pt idx="83">
                  <c:v>432.26400000000001</c:v>
                </c:pt>
                <c:pt idx="84">
                  <c:v>437.47200000000004</c:v>
                </c:pt>
                <c:pt idx="85">
                  <c:v>442.67999999999995</c:v>
                </c:pt>
                <c:pt idx="86">
                  <c:v>447.88799999999998</c:v>
                </c:pt>
                <c:pt idx="87">
                  <c:v>453.096</c:v>
                </c:pt>
                <c:pt idx="88">
                  <c:v>458.30399999999997</c:v>
                </c:pt>
                <c:pt idx="89">
                  <c:v>463.51200000000006</c:v>
                </c:pt>
                <c:pt idx="90">
                  <c:v>468.72</c:v>
                </c:pt>
                <c:pt idx="91">
                  <c:v>473.92799999999994</c:v>
                </c:pt>
                <c:pt idx="92">
                  <c:v>479.13600000000002</c:v>
                </c:pt>
                <c:pt idx="93">
                  <c:v>484.34399999999999</c:v>
                </c:pt>
                <c:pt idx="94">
                  <c:v>489.55199999999991</c:v>
                </c:pt>
                <c:pt idx="95">
                  <c:v>494.76</c:v>
                </c:pt>
                <c:pt idx="96">
                  <c:v>499.9679999999999</c:v>
                </c:pt>
                <c:pt idx="97">
                  <c:v>505.17599999999993</c:v>
                </c:pt>
                <c:pt idx="98">
                  <c:v>510.38399999999996</c:v>
                </c:pt>
                <c:pt idx="99">
                  <c:v>515.59199999999998</c:v>
                </c:pt>
                <c:pt idx="100">
                  <c:v>520.79999999999995</c:v>
                </c:pt>
              </c:numCache>
            </c:numRef>
          </c:val>
          <c:smooth val="0"/>
          <c:extLst>
            <c:ext xmlns:c16="http://schemas.microsoft.com/office/drawing/2014/chart" uri="{C3380CC4-5D6E-409C-BE32-E72D297353CC}">
              <c16:uniqueId val="{00000001-1E04-4A6B-B26C-C435E097FB7E}"/>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val>
            <c:numRef>
              <c:f>'Calculations - Single'!$BM$5:$BM$105</c:f>
              <c:numCache>
                <c:formatCode>0.0000</c:formatCode>
                <c:ptCount val="101"/>
                <c:pt idx="0">
                  <c:v>9.6365052238045451E-2</c:v>
                </c:pt>
                <c:pt idx="1">
                  <c:v>0.18696132051381578</c:v>
                </c:pt>
                <c:pt idx="2">
                  <c:v>0.37664728336929548</c:v>
                </c:pt>
                <c:pt idx="3">
                  <c:v>0.5691178862704912</c:v>
                </c:pt>
                <c:pt idx="4">
                  <c:v>0.7644349015114722</c:v>
                </c:pt>
                <c:pt idx="5">
                  <c:v>0.96266194207529843</c:v>
                </c:pt>
                <c:pt idx="6">
                  <c:v>1.1638645307095974</c:v>
                </c:pt>
                <c:pt idx="7">
                  <c:v>1.3681101721362987</c:v>
                </c:pt>
                <c:pt idx="8">
                  <c:v>1.5754684285627041</c:v>
                </c:pt>
                <c:pt idx="9">
                  <c:v>1.7860109986713411</c:v>
                </c:pt>
                <c:pt idx="10">
                  <c:v>1.9998118002770027</c:v>
                </c:pt>
                <c:pt idx="11">
                  <c:v>2.2169470568511827</c:v>
                </c:pt>
                <c:pt idx="12">
                  <c:v>2.4374953881266306</c:v>
                </c:pt>
                <c:pt idx="13">
                  <c:v>2.6615379050083292</c:v>
                </c:pt>
                <c:pt idx="14">
                  <c:v>2.8891583090315351</c:v>
                </c:pt>
                <c:pt idx="15">
                  <c:v>3.1204429966231291</c:v>
                </c:pt>
                <c:pt idx="16">
                  <c:v>3.3177984625497698</c:v>
                </c:pt>
                <c:pt idx="17">
                  <c:v>3.5112131097981982</c:v>
                </c:pt>
                <c:pt idx="18">
                  <c:v>3.711190361077894</c:v>
                </c:pt>
                <c:pt idx="19">
                  <c:v>3.9183557742495618</c:v>
                </c:pt>
                <c:pt idx="20">
                  <c:v>4.1333623073964789</c:v>
                </c:pt>
                <c:pt idx="21">
                  <c:v>4.3568987143423259</c:v>
                </c:pt>
                <c:pt idx="22">
                  <c:v>4.5896979561742377</c:v>
                </c:pt>
                <c:pt idx="23">
                  <c:v>4.8325459293879067</c:v>
                </c:pt>
                <c:pt idx="24">
                  <c:v>5.0862907843447225</c:v>
                </c:pt>
                <c:pt idx="25">
                  <c:v>5.3518531021281346</c:v>
                </c:pt>
                <c:pt idx="26">
                  <c:v>5.6302372095998123</c:v>
                </c:pt>
                <c:pt idx="27">
                  <c:v>5.9225439398594384</c:v>
                </c:pt>
                <c:pt idx="28">
                  <c:v>6.2299851885270048</c:v>
                </c:pt>
                <c:pt idx="29">
                  <c:v>6.5539006768944406</c:v>
                </c:pt>
                <c:pt idx="30">
                  <c:v>6.8957774140910999</c:v>
                </c:pt>
                <c:pt idx="31">
                  <c:v>7.2572724566659614</c:v>
                </c:pt>
                <c:pt idx="32">
                  <c:v>7.6402397021113471</c:v>
                </c:pt>
                <c:pt idx="33">
                  <c:v>8.0467616321688578</c:v>
                </c:pt>
                <c:pt idx="34">
                  <c:v>8.4791871551527223</c:v>
                </c:pt>
                <c:pt idx="35">
                  <c:v>8.9401770018076512</c:v>
                </c:pt>
                <c:pt idx="36">
                  <c:v>9.4327585311285365</c:v>
                </c:pt>
                <c:pt idx="37">
                  <c:v>9.9603923357530899</c:v>
                </c:pt>
                <c:pt idx="38">
                  <c:v>10.527053749968582</c:v>
                </c:pt>
                <c:pt idx="39">
                  <c:v>11.137333327022157</c:v>
                </c:pt>
                <c:pt idx="40">
                  <c:v>11.796561667445173</c:v>
                </c:pt>
                <c:pt idx="41">
                  <c:v>12.51096579461014</c:v>
                </c:pt>
                <c:pt idx="42">
                  <c:v>13.287866807606667</c:v>
                </c:pt>
                <c:pt idx="43">
                  <c:v>14.135932126051387</c:v>
                </c:pt>
                <c:pt idx="44">
                  <c:v>15.065500783915617</c:v>
                </c:pt>
                <c:pt idx="45">
                  <c:v>16.08900772026945</c:v>
                </c:pt>
                <c:pt idx="46">
                  <c:v>17.221544109117222</c:v>
                </c:pt>
                <c:pt idx="47">
                  <c:v>18.481607502946481</c:v>
                </c:pt>
                <c:pt idx="48">
                  <c:v>19.892121309390866</c:v>
                </c:pt>
                <c:pt idx="49">
                  <c:v>21.481843614280557</c:v>
                </c:pt>
                <c:pt idx="50">
                  <c:v>23.287350634064612</c:v>
                </c:pt>
                <c:pt idx="51">
                  <c:v>25.355888197832439</c:v>
                </c:pt>
                <c:pt idx="52">
                  <c:v>27.749569336303924</c:v>
                </c:pt>
                <c:pt idx="53">
                  <c:v>30.551722673599571</c:v>
                </c:pt>
                <c:pt idx="54">
                  <c:v>33.876797412173381</c:v>
                </c:pt>
                <c:pt idx="55">
                  <c:v>37.886388953395375</c:v>
                </c:pt>
                <c:pt idx="56">
                  <c:v>42.816304301078823</c:v>
                </c:pt>
                <c:pt idx="57">
                  <c:v>49.024690744377757</c:v>
                </c:pt>
                <c:pt idx="58">
                  <c:v>57.083202306528264</c:v>
                </c:pt>
                <c:pt idx="59">
                  <c:v>67.963967249096683</c:v>
                </c:pt>
                <c:pt idx="60">
                  <c:v>83.464744149803366</c:v>
                </c:pt>
                <c:pt idx="61">
                  <c:v>107.32171112928089</c:v>
                </c:pt>
                <c:pt idx="62">
                  <c:v>148.78623647818415</c:v>
                </c:pt>
                <c:pt idx="63">
                  <c:v>201.25779860533157</c:v>
                </c:pt>
                <c:pt idx="64">
                  <c:v>246.63200607445188</c:v>
                </c:pt>
                <c:pt idx="65">
                  <c:v>317.40688420262728</c:v>
                </c:pt>
                <c:pt idx="66">
                  <c:v>443.1988123335114</c:v>
                </c:pt>
                <c:pt idx="67">
                  <c:v>728.93803204928724</c:v>
                </c:pt>
                <c:pt idx="68">
                  <c:v>-569.06740398627187</c:v>
                </c:pt>
                <c:pt idx="69">
                  <c:v>-202.27779770510989</c:v>
                </c:pt>
                <c:pt idx="70">
                  <c:v>-121.81113326719948</c:v>
                </c:pt>
                <c:pt idx="71">
                  <c:v>-87.412712890318389</c:v>
                </c:pt>
                <c:pt idx="72">
                  <c:v>-68.508712454793198</c:v>
                </c:pt>
                <c:pt idx="73">
                  <c:v>-56.688590740374586</c:v>
                </c:pt>
                <c:pt idx="74">
                  <c:v>-48.48064964903682</c:v>
                </c:pt>
                <c:pt idx="75">
                  <c:v>-42.450149609761397</c:v>
                </c:pt>
                <c:pt idx="76">
                  <c:v>-37.833312993170097</c:v>
                </c:pt>
                <c:pt idx="77">
                  <c:v>-34.186158050770743</c:v>
                </c:pt>
                <c:pt idx="78">
                  <c:v>-31.232984891239589</c:v>
                </c:pt>
                <c:pt idx="79">
                  <c:v>-28.793547266907559</c:v>
                </c:pt>
                <c:pt idx="80">
                  <c:v>-26.745033357069769</c:v>
                </c:pt>
                <c:pt idx="81">
                  <c:v>-25.000877475609983</c:v>
                </c:pt>
                <c:pt idx="82">
                  <c:v>-23.498307210959567</c:v>
                </c:pt>
                <c:pt idx="83">
                  <c:v>-22.190694494659638</c:v>
                </c:pt>
                <c:pt idx="84">
                  <c:v>-21.042679135798871</c:v>
                </c:pt>
                <c:pt idx="85">
                  <c:v>-20.026959205148444</c:v>
                </c:pt>
                <c:pt idx="86">
                  <c:v>-19.122119382505563</c:v>
                </c:pt>
                <c:pt idx="87">
                  <c:v>-18.311125681612531</c:v>
                </c:pt>
                <c:pt idx="88">
                  <c:v>-17.580259599691992</c:v>
                </c:pt>
                <c:pt idx="89">
                  <c:v>-16.918348977247881</c:v>
                </c:pt>
                <c:pt idx="90">
                  <c:v>-16.31620347663895</c:v>
                </c:pt>
                <c:pt idx="91">
                  <c:v>-15.766193867224192</c:v>
                </c:pt>
                <c:pt idx="92">
                  <c:v>-15.261934118779649</c:v>
                </c:pt>
                <c:pt idx="93">
                  <c:v>-14.79803814024603</c:v>
                </c:pt>
                <c:pt idx="94">
                  <c:v>-14.369931485803365</c:v>
                </c:pt>
                <c:pt idx="95">
                  <c:v>-13.973704063694901</c:v>
                </c:pt>
                <c:pt idx="96">
                  <c:v>-13.605993795778492</c:v>
                </c:pt>
                <c:pt idx="97">
                  <c:v>-13.263893896833819</c:v>
                </c:pt>
                <c:pt idx="98">
                  <c:v>-12.944878362173149</c:v>
                </c:pt>
                <c:pt idx="99">
                  <c:v>-12.646741624115352</c:v>
                </c:pt>
                <c:pt idx="100">
                  <c:v>-12.36754933057677</c:v>
                </c:pt>
              </c:numCache>
            </c:numRef>
          </c:val>
          <c:smooth val="0"/>
          <c:extLst>
            <c:ext xmlns:c16="http://schemas.microsoft.com/office/drawing/2014/chart" uri="{C3380CC4-5D6E-409C-BE32-E72D297353CC}">
              <c16:uniqueId val="{00000002-1E04-4A6B-B26C-C435E097FB7E}"/>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val>
            <c:numRef>
              <c:f>'Calculations - Single'!$BX$5:$BX$105</c:f>
              <c:numCache>
                <c:formatCode>0.0</c:formatCode>
                <c:ptCount val="101"/>
                <c:pt idx="0">
                  <c:v>72.942693809047654</c:v>
                </c:pt>
                <c:pt idx="1">
                  <c:v>151.26409457461077</c:v>
                </c:pt>
                <c:pt idx="2">
                  <c:v>297.17293758991065</c:v>
                </c:pt>
                <c:pt idx="3">
                  <c:v>443.2404618762472</c:v>
                </c:pt>
                <c:pt idx="4">
                  <c:v>589.46753523168297</c:v>
                </c:pt>
                <c:pt idx="5">
                  <c:v>735.85503179360217</c:v>
                </c:pt>
                <c:pt idx="6">
                  <c:v>882.40383209670392</c:v>
                </c:pt>
                <c:pt idx="7">
                  <c:v>1029.1148231316326</c:v>
                </c:pt>
                <c:pt idx="8">
                  <c:v>1175.9888984042534</c:v>
                </c:pt>
                <c:pt idx="9">
                  <c:v>1323.0269579955818</c:v>
                </c:pt>
                <c:pt idx="10">
                  <c:v>1470.2299086223793</c:v>
                </c:pt>
                <c:pt idx="11">
                  <c:v>1617.5986636984167</c:v>
                </c:pt>
                <c:pt idx="12">
                  <c:v>1765.1341433964162</c:v>
                </c:pt>
                <c:pt idx="13">
                  <c:v>1912.8372747106903</c:v>
                </c:pt>
                <c:pt idx="14">
                  <c:v>2060.7089915204665</c:v>
                </c:pt>
                <c:pt idx="15">
                  <c:v>2208.7502346539304</c:v>
                </c:pt>
                <c:pt idx="16">
                  <c:v>2370.26745073951</c:v>
                </c:pt>
                <c:pt idx="17">
                  <c:v>2536.9629118022449</c:v>
                </c:pt>
                <c:pt idx="18">
                  <c:v>2705.5809704708381</c:v>
                </c:pt>
                <c:pt idx="19">
                  <c:v>2876.1194329503214</c:v>
                </c:pt>
                <c:pt idx="20">
                  <c:v>3048.5796563297863</c:v>
                </c:pt>
                <c:pt idx="21">
                  <c:v>3222.9662266289301</c:v>
                </c:pt>
                <c:pt idx="22">
                  <c:v>3399.2866983264144</c:v>
                </c:pt>
                <c:pt idx="23">
                  <c:v>3577.5513829257984</c:v>
                </c:pt>
                <c:pt idx="24">
                  <c:v>3757.7731771601907</c:v>
                </c:pt>
                <c:pt idx="25">
                  <c:v>3939.9674236464293</c:v>
                </c:pt>
                <c:pt idx="26">
                  <c:v>4124.1517984277889</c:v>
                </c:pt>
                <c:pt idx="27">
                  <c:v>4310.3462210614171</c:v>
                </c:pt>
                <c:pt idx="28">
                  <c:v>4498.572783828411</c:v>
                </c:pt>
                <c:pt idx="29">
                  <c:v>4688.8556973512395</c:v>
                </c:pt>
                <c:pt idx="30">
                  <c:v>4881.2212504512863</c:v>
                </c:pt>
                <c:pt idx="31">
                  <c:v>5075.697782509118</c:v>
                </c:pt>
                <c:pt idx="32">
                  <c:v>5272.3156669305417</c:v>
                </c:pt>
                <c:pt idx="33">
                  <c:v>5471.1073045942676</c:v>
                </c:pt>
                <c:pt idx="34">
                  <c:v>5672.1071263773019</c:v>
                </c:pt>
                <c:pt idx="35">
                  <c:v>5875.3516040344994</c:v>
                </c:pt>
                <c:pt idx="36">
                  <c:v>6080.8792688573276</c:v>
                </c:pt>
                <c:pt idx="37">
                  <c:v>6288.730737661007</c:v>
                </c:pt>
                <c:pt idx="38">
                  <c:v>6498.9487457539926</c:v>
                </c:pt>
                <c:pt idx="39">
                  <c:v>6711.5781866332663</c:v>
                </c:pt>
                <c:pt idx="40">
                  <c:v>6926.6661582262705</c:v>
                </c:pt>
                <c:pt idx="41">
                  <c:v>7144.2620155683298</c:v>
                </c:pt>
                <c:pt idx="42">
                  <c:v>7364.4174298647877</c:v>
                </c:pt>
                <c:pt idx="43">
                  <c:v>7587.1864539417029</c:v>
                </c:pt>
                <c:pt idx="44">
                  <c:v>7812.6255941391146</c:v>
                </c:pt>
                <c:pt idx="45">
                  <c:v>8040.7938887476166</c:v>
                </c:pt>
                <c:pt idx="46">
                  <c:v>8271.7529931332992</c:v>
                </c:pt>
                <c:pt idx="47">
                  <c:v>8505.5672717388898</c:v>
                </c:pt>
                <c:pt idx="48">
                  <c:v>8742.3038971906226</c:v>
                </c:pt>
                <c:pt idx="49">
                  <c:v>8982.0329567818899</c:v>
                </c:pt>
                <c:pt idx="50">
                  <c:v>9224.8275666464287</c:v>
                </c:pt>
                <c:pt idx="51">
                  <c:v>9470.7639939762284</c:v>
                </c:pt>
                <c:pt idx="52">
                  <c:v>9719.9217876830062</c:v>
                </c:pt>
                <c:pt idx="53">
                  <c:v>9972.3839179477272</c:v>
                </c:pt>
                <c:pt idx="54">
                  <c:v>10228.236925149833</c:v>
                </c:pt>
                <c:pt idx="55">
                  <c:v>10487.571078718516</c:v>
                </c:pt>
                <c:pt idx="56">
                  <c:v>10750.480546501312</c:v>
                </c:pt>
                <c:pt idx="57">
                  <c:v>11017.063575302525</c:v>
                </c:pt>
                <c:pt idx="58">
                  <c:v>11287.422683304891</c:v>
                </c:pt>
                <c:pt idx="59">
                  <c:v>11561.66486515372</c:v>
                </c:pt>
                <c:pt idx="60">
                  <c:v>11839.901810553865</c:v>
                </c:pt>
                <c:pt idx="61">
                  <c:v>12122.250137306843</c:v>
                </c:pt>
                <c:pt idx="62">
                  <c:v>12408.831639799084</c:v>
                </c:pt>
                <c:pt idx="63">
                  <c:v>12599.754919951041</c:v>
                </c:pt>
                <c:pt idx="64">
                  <c:v>12687.2260018737</c:v>
                </c:pt>
                <c:pt idx="65">
                  <c:v>12774.471329212511</c:v>
                </c:pt>
                <c:pt idx="66">
                  <c:v>12861.506015837094</c:v>
                </c:pt>
                <c:pt idx="67">
                  <c:v>12948.344453798796</c:v>
                </c:pt>
                <c:pt idx="68">
                  <c:v>13295.305335546545</c:v>
                </c:pt>
                <c:pt idx="69">
                  <c:v>13665.209470652697</c:v>
                </c:pt>
                <c:pt idx="70">
                  <c:v>14057.292511206164</c:v>
                </c:pt>
                <c:pt idx="71">
                  <c:v>14463.640838705105</c:v>
                </c:pt>
                <c:pt idx="72">
                  <c:v>14881.535478081209</c:v>
                </c:pt>
                <c:pt idx="73">
                  <c:v>15307.38618085185</c:v>
                </c:pt>
                <c:pt idx="74">
                  <c:v>15747.00942379552</c:v>
                </c:pt>
                <c:pt idx="75">
                  <c:v>16201.214577389188</c:v>
                </c:pt>
                <c:pt idx="76">
                  <c:v>16670.877313570196</c:v>
                </c:pt>
                <c:pt idx="77">
                  <c:v>17156.946493389194</c:v>
                </c:pt>
                <c:pt idx="78">
                  <c:v>17660.45193310078</c:v>
                </c:pt>
                <c:pt idx="79">
                  <c:v>18182.513182149862</c:v>
                </c:pt>
                <c:pt idx="80">
                  <c:v>18724.349470205303</c:v>
                </c:pt>
                <c:pt idx="81">
                  <c:v>19287.291008923454</c:v>
                </c:pt>
                <c:pt idx="82">
                  <c:v>19872.791868619606</c:v>
                </c:pt>
                <c:pt idx="83">
                  <c:v>20482.444691899087</c:v>
                </c:pt>
                <c:pt idx="84">
                  <c:v>21117.997557350933</c:v>
                </c:pt>
                <c:pt idx="85">
                  <c:v>21781.373368926117</c:v>
                </c:pt>
                <c:pt idx="86">
                  <c:v>22474.692223543436</c:v>
                </c:pt>
                <c:pt idx="87">
                  <c:v>23200.297304573716</c:v>
                </c:pt>
                <c:pt idx="88">
                  <c:v>23960.784967054726</c:v>
                </c:pt>
                <c:pt idx="89">
                  <c:v>24759.039828184592</c:v>
                </c:pt>
                <c:pt idx="90">
                  <c:v>25598.275862246923</c:v>
                </c:pt>
                <c:pt idx="91">
                  <c:v>26482.084733758271</c:v>
                </c:pt>
                <c:pt idx="92">
                  <c:v>27414.492901133373</c:v>
                </c:pt>
                <c:pt idx="93">
                  <c:v>28400.029405446181</c:v>
                </c:pt>
                <c:pt idx="94">
                  <c:v>29443.806751899119</c:v>
                </c:pt>
                <c:pt idx="95">
                  <c:v>30551.617932229128</c:v>
                </c:pt>
                <c:pt idx="96">
                  <c:v>31730.053475257235</c:v>
                </c:pt>
                <c:pt idx="97">
                  <c:v>32986.643520799546</c:v>
                </c:pt>
                <c:pt idx="98">
                  <c:v>34330.031388605305</c:v>
                </c:pt>
                <c:pt idx="99">
                  <c:v>35770.187100213487</c:v>
                </c:pt>
                <c:pt idx="100">
                  <c:v>37318.672010999537</c:v>
                </c:pt>
              </c:numCache>
            </c:numRef>
          </c:val>
          <c:smooth val="0"/>
          <c:extLst>
            <c:ext xmlns:c16="http://schemas.microsoft.com/office/drawing/2014/chart" uri="{C3380CC4-5D6E-409C-BE32-E72D297353CC}">
              <c16:uniqueId val="{00000003-1E04-4A6B-B26C-C435E097FB7E}"/>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84.90712212149819</c:v>
                </c:pt>
                <c:pt idx="1">
                  <c:v>84.112513737219302</c:v>
                </c:pt>
                <c:pt idx="2">
                  <c:v>83.317022600986817</c:v>
                </c:pt>
                <c:pt idx="3">
                  <c:v>82.520770228472045</c:v>
                </c:pt>
                <c:pt idx="4">
                  <c:v>81.724377569347141</c:v>
                </c:pt>
                <c:pt idx="5">
                  <c:v>80.926600671388499</c:v>
                </c:pt>
                <c:pt idx="6">
                  <c:v>80.128637663976917</c:v>
                </c:pt>
                <c:pt idx="7">
                  <c:v>79.330014874030638</c:v>
                </c:pt>
                <c:pt idx="8">
                  <c:v>78.531354759878099</c:v>
                </c:pt>
                <c:pt idx="9">
                  <c:v>77.732082338328581</c:v>
                </c:pt>
                <c:pt idx="10">
                  <c:v>76.932677101777102</c:v>
                </c:pt>
                <c:pt idx="11">
                  <c:v>76.133036267265851</c:v>
                </c:pt>
                <c:pt idx="12">
                  <c:v>75.332738780926988</c:v>
                </c:pt>
                <c:pt idx="13">
                  <c:v>74.532546938976381</c:v>
                </c:pt>
                <c:pt idx="14">
                  <c:v>73.731806525839929</c:v>
                </c:pt>
                <c:pt idx="15">
                  <c:v>72.930800297141644</c:v>
                </c:pt>
                <c:pt idx="16">
                  <c:v>72.129428081168413</c:v>
                </c:pt>
                <c:pt idx="17">
                  <c:v>71.327756513317013</c:v>
                </c:pt>
                <c:pt idx="18">
                  <c:v>70.525491964155691</c:v>
                </c:pt>
                <c:pt idx="19">
                  <c:v>69.722773687078984</c:v>
                </c:pt>
                <c:pt idx="20">
                  <c:v>68.919347389550893</c:v>
                </c:pt>
                <c:pt idx="21">
                  <c:v>68.115261852734221</c:v>
                </c:pt>
                <c:pt idx="22">
                  <c:v>67.31020587571544</c:v>
                </c:pt>
                <c:pt idx="23">
                  <c:v>66.504210847471114</c:v>
                </c:pt>
                <c:pt idx="24">
                  <c:v>65.696870451338739</c:v>
                </c:pt>
                <c:pt idx="25">
                  <c:v>64.888069149758607</c:v>
                </c:pt>
                <c:pt idx="26">
                  <c:v>64.07733182625725</c:v>
                </c:pt>
                <c:pt idx="27">
                  <c:v>63.264576482772632</c:v>
                </c:pt>
                <c:pt idx="28">
                  <c:v>62.449369994012748</c:v>
                </c:pt>
                <c:pt idx="29">
                  <c:v>61.631748188736672</c:v>
                </c:pt>
                <c:pt idx="30">
                  <c:v>60.809770575278677</c:v>
                </c:pt>
                <c:pt idx="31">
                  <c:v>59.983932356710426</c:v>
                </c:pt>
                <c:pt idx="32">
                  <c:v>59.152918352734062</c:v>
                </c:pt>
                <c:pt idx="33">
                  <c:v>58.316450600893475</c:v>
                </c:pt>
                <c:pt idx="34">
                  <c:v>57.47288787155189</c:v>
                </c:pt>
                <c:pt idx="35">
                  <c:v>56.621575204884287</c:v>
                </c:pt>
                <c:pt idx="36">
                  <c:v>55.761124070423634</c:v>
                </c:pt>
                <c:pt idx="37">
                  <c:v>54.889675155760791</c:v>
                </c:pt>
                <c:pt idx="38">
                  <c:v>54.006556879011526</c:v>
                </c:pt>
                <c:pt idx="39">
                  <c:v>53.109475478418595</c:v>
                </c:pt>
                <c:pt idx="40">
                  <c:v>52.197141927806562</c:v>
                </c:pt>
                <c:pt idx="41">
                  <c:v>51.267881909043481</c:v>
                </c:pt>
                <c:pt idx="42">
                  <c:v>50.32034021740688</c:v>
                </c:pt>
                <c:pt idx="43">
                  <c:v>49.352964894407762</c:v>
                </c:pt>
                <c:pt idx="44">
                  <c:v>48.365071264699978</c:v>
                </c:pt>
                <c:pt idx="45">
                  <c:v>47.355977611581075</c:v>
                </c:pt>
                <c:pt idx="46">
                  <c:v>46.325983778506917</c:v>
                </c:pt>
                <c:pt idx="47">
                  <c:v>45.275644039610953</c:v>
                </c:pt>
                <c:pt idx="48">
                  <c:v>44.206741783420526</c:v>
                </c:pt>
                <c:pt idx="49">
                  <c:v>43.12129706534072</c:v>
                </c:pt>
                <c:pt idx="50">
                  <c:v>42.022499131105064</c:v>
                </c:pt>
                <c:pt idx="51">
                  <c:v>40.913747855030486</c:v>
                </c:pt>
                <c:pt idx="52">
                  <c:v>39.799535492260183</c:v>
                </c:pt>
                <c:pt idx="53">
                  <c:v>38.684244049897671</c:v>
                </c:pt>
                <c:pt idx="54">
                  <c:v>37.573044938378061</c:v>
                </c:pt>
                <c:pt idx="55">
                  <c:v>36.468373287770149</c:v>
                </c:pt>
                <c:pt idx="56">
                  <c:v>35.37570780742729</c:v>
                </c:pt>
                <c:pt idx="57">
                  <c:v>34.29767349385984</c:v>
                </c:pt>
                <c:pt idx="58">
                  <c:v>33.237712207916836</c:v>
                </c:pt>
                <c:pt idx="59">
                  <c:v>32.196924884740007</c:v>
                </c:pt>
                <c:pt idx="60">
                  <c:v>31.177055332904466</c:v>
                </c:pt>
                <c:pt idx="61">
                  <c:v>30.17837193492262</c:v>
                </c:pt>
                <c:pt idx="62">
                  <c:v>29.200148106360988</c:v>
                </c:pt>
                <c:pt idx="63">
                  <c:v>28.242591352123654</c:v>
                </c:pt>
                <c:pt idx="64">
                  <c:v>27.303803321280281</c:v>
                </c:pt>
                <c:pt idx="65">
                  <c:v>26.382749303997414</c:v>
                </c:pt>
                <c:pt idx="66">
                  <c:v>25.47778798812212</c:v>
                </c:pt>
                <c:pt idx="67">
                  <c:v>24.5874114924551</c:v>
                </c:pt>
                <c:pt idx="68">
                  <c:v>23.709733458187081</c:v>
                </c:pt>
                <c:pt idx="69">
                  <c:v>22.84342236120996</c:v>
                </c:pt>
                <c:pt idx="70">
                  <c:v>21.986833075876433</c:v>
                </c:pt>
                <c:pt idx="71">
                  <c:v>21.138786222430163</c:v>
                </c:pt>
                <c:pt idx="72">
                  <c:v>20.297874510869018</c:v>
                </c:pt>
                <c:pt idx="73">
                  <c:v>19.463208769522993</c:v>
                </c:pt>
                <c:pt idx="74">
                  <c:v>18.633603166069676</c:v>
                </c:pt>
                <c:pt idx="75">
                  <c:v>17.808328131784336</c:v>
                </c:pt>
                <c:pt idx="76">
                  <c:v>16.986436437490706</c:v>
                </c:pt>
                <c:pt idx="77">
                  <c:v>16.167524171318284</c:v>
                </c:pt>
                <c:pt idx="78">
                  <c:v>15.350969279529567</c:v>
                </c:pt>
                <c:pt idx="79">
                  <c:v>14.536750814687752</c:v>
                </c:pt>
                <c:pt idx="80">
                  <c:v>13.723016646010882</c:v>
                </c:pt>
                <c:pt idx="81">
                  <c:v>12.910466253204294</c:v>
                </c:pt>
                <c:pt idx="82">
                  <c:v>12.098134231072224</c:v>
                </c:pt>
                <c:pt idx="83">
                  <c:v>11.286198246968313</c:v>
                </c:pt>
                <c:pt idx="84">
                  <c:v>10.473631533121043</c:v>
                </c:pt>
                <c:pt idx="85">
                  <c:v>9.6604791000016235</c:v>
                </c:pt>
                <c:pt idx="86">
                  <c:v>8.8461801403601861</c:v>
                </c:pt>
                <c:pt idx="87">
                  <c:v>8.0298204618167013</c:v>
                </c:pt>
                <c:pt idx="88">
                  <c:v>7.2116504285178546</c:v>
                </c:pt>
                <c:pt idx="89">
                  <c:v>6.3904160889928265</c:v>
                </c:pt>
                <c:pt idx="90">
                  <c:v>5.5657464121662246</c:v>
                </c:pt>
                <c:pt idx="91">
                  <c:v>4.7367861012148014</c:v>
                </c:pt>
                <c:pt idx="92">
                  <c:v>3.9027413115275782</c:v>
                </c:pt>
                <c:pt idx="93">
                  <c:v>3.0623113547972203</c:v>
                </c:pt>
                <c:pt idx="94">
                  <c:v>2.8511741816526244</c:v>
                </c:pt>
                <c:pt idx="95">
                  <c:v>2.7447692485514548</c:v>
                </c:pt>
                <c:pt idx="96">
                  <c:v>2.6394586001118396</c:v>
                </c:pt>
                <c:pt idx="97">
                  <c:v>2.5328121877600522</c:v>
                </c:pt>
                <c:pt idx="98">
                  <c:v>2.4272572223273916</c:v>
                </c:pt>
                <c:pt idx="99">
                  <c:v>2.3203313116205613</c:v>
                </c:pt>
                <c:pt idx="100">
                  <c:v>2.2144944816565326</c:v>
                </c:pt>
                <c:pt idx="101">
                  <c:v>2.1073336063921242</c:v>
                </c:pt>
                <c:pt idx="102">
                  <c:v>2.001258236400616</c:v>
                </c:pt>
                <c:pt idx="103">
                  <c:v>1.8937473529892923</c:v>
                </c:pt>
                <c:pt idx="104">
                  <c:v>1.7873203969369869</c:v>
                </c:pt>
                <c:pt idx="105">
                  <c:v>1.6795062632140432</c:v>
                </c:pt>
                <c:pt idx="106">
                  <c:v>1.5727732044236955</c:v>
                </c:pt>
                <c:pt idx="107">
                  <c:v>1.464698792166764</c:v>
                </c:pt>
                <c:pt idx="108">
                  <c:v>1.3577014175935251</c:v>
                </c:pt>
                <c:pt idx="109">
                  <c:v>1.2493326928930411</c:v>
                </c:pt>
                <c:pt idx="110">
                  <c:v>1.1420373145253551</c:v>
                </c:pt>
                <c:pt idx="111">
                  <c:v>1.0332706269504162</c:v>
                </c:pt>
                <c:pt idx="112">
                  <c:v>0.92557528345259565</c:v>
                </c:pt>
                <c:pt idx="113">
                  <c:v>0.81645585363013085</c:v>
                </c:pt>
                <c:pt idx="114">
                  <c:v>0.70840451243274327</c:v>
                </c:pt>
                <c:pt idx="115">
                  <c:v>0.59890463544537476</c:v>
                </c:pt>
                <c:pt idx="116">
                  <c:v>0.49046976473413795</c:v>
                </c:pt>
                <c:pt idx="117">
                  <c:v>0.38056351436847646</c:v>
                </c:pt>
                <c:pt idx="118">
                  <c:v>0.2717193122468114</c:v>
                </c:pt>
                <c:pt idx="119">
                  <c:v>0.16144892155564433</c:v>
                </c:pt>
                <c:pt idx="120">
                  <c:v>5.2236433387616403E-2</c:v>
                </c:pt>
                <c:pt idx="121">
                  <c:v>-5.8424755659201522E-2</c:v>
                </c:pt>
                <c:pt idx="122">
                  <c:v>-0.16803205106712121</c:v>
                </c:pt>
                <c:pt idx="123">
                  <c:v>-0.27917323830446883</c:v>
                </c:pt>
                <c:pt idx="124">
                  <c:v>-0.38926324252389266</c:v>
                </c:pt>
                <c:pt idx="125">
                  <c:v>-0.50084176818376003</c:v>
                </c:pt>
                <c:pt idx="126">
                  <c:v>-0.6113730246107445</c:v>
                </c:pt>
                <c:pt idx="127">
                  <c:v>-0.72341154500214455</c:v>
                </c:pt>
                <c:pt idx="128">
                  <c:v>-0.8344066802395862</c:v>
                </c:pt>
                <c:pt idx="129">
                  <c:v>-0.9469267456267666</c:v>
                </c:pt>
                <c:pt idx="130">
                  <c:v>-1.0584073088323851</c:v>
                </c:pt>
                <c:pt idx="131">
                  <c:v>-1.1714294789163653</c:v>
                </c:pt>
                <c:pt idx="132">
                  <c:v>-1.227550612863969</c:v>
                </c:pt>
                <c:pt idx="133">
                  <c:v>-1.2834160535702746</c:v>
                </c:pt>
                <c:pt idx="134">
                  <c:v>-1.3403479059226449</c:v>
                </c:pt>
                <c:pt idx="135">
                  <c:v>-1.3970183536301732</c:v>
                </c:pt>
                <c:pt idx="136">
                  <c:v>-1.4534306417950553</c:v>
                </c:pt>
                <c:pt idx="137">
                  <c:v>-1.5095879578311846</c:v>
                </c:pt>
                <c:pt idx="138">
                  <c:v>-1.5667598009237884</c:v>
                </c:pt>
                <c:pt idx="139">
                  <c:v>-1.6236715269707958</c:v>
                </c:pt>
                <c:pt idx="140">
                  <c:v>-1.680326366673353</c:v>
                </c:pt>
                <c:pt idx="141">
                  <c:v>-1.7367274931946959</c:v>
                </c:pt>
                <c:pt idx="142">
                  <c:v>-1.7942065280960908</c:v>
                </c:pt>
                <c:pt idx="143">
                  <c:v>-1.8514262249510356</c:v>
                </c:pt>
                <c:pt idx="144">
                  <c:v>-1.9083898091299782</c:v>
                </c:pt>
                <c:pt idx="145">
                  <c:v>-1.9651004483906622</c:v>
                </c:pt>
                <c:pt idx="146">
                  <c:v>-2.0228661830052177</c:v>
                </c:pt>
                <c:pt idx="147">
                  <c:v>-2.080373648660431</c:v>
                </c:pt>
                <c:pt idx="148">
                  <c:v>-2.1376260595702581</c:v>
                </c:pt>
                <c:pt idx="149">
                  <c:v>-2.1946265723886489</c:v>
                </c:pt>
                <c:pt idx="150">
                  <c:v>-2.252687547527179</c:v>
                </c:pt>
                <c:pt idx="151">
                  <c:v>-2.3104913475907187</c:v>
                </c:pt>
                <c:pt idx="152">
                  <c:v>-2.3680411746705063</c:v>
                </c:pt>
                <c:pt idx="153">
                  <c:v>-2.4253401733627959</c:v>
                </c:pt>
                <c:pt idx="154">
                  <c:v>-2.4837314868008047</c:v>
                </c:pt>
                <c:pt idx="155">
                  <c:v>-2.5418665110519085</c:v>
                </c:pt>
                <c:pt idx="156">
                  <c:v>-2.5997484393866688</c:v>
                </c:pt>
                <c:pt idx="157">
                  <c:v>-2.6573804075562952</c:v>
                </c:pt>
                <c:pt idx="158">
                  <c:v>-2.7161087562837434</c:v>
                </c:pt>
                <c:pt idx="159">
                  <c:v>-2.7745817469637517</c:v>
                </c:pt>
                <c:pt idx="160">
                  <c:v>-2.8328025625627506</c:v>
                </c:pt>
                <c:pt idx="161">
                  <c:v>-2.8907743285276921</c:v>
                </c:pt>
                <c:pt idx="162">
                  <c:v>-2.9498204071541387</c:v>
                </c:pt>
                <c:pt idx="163">
                  <c:v>-3.0086123252516046</c:v>
                </c:pt>
                <c:pt idx="164">
                  <c:v>-3.0671532497980358</c:v>
                </c:pt>
                <c:pt idx="165">
                  <c:v>-3.1254462903777491</c:v>
                </c:pt>
                <c:pt idx="166">
                  <c:v>-3.1848687940999252</c:v>
                </c:pt>
                <c:pt idx="167">
                  <c:v>-3.2440379282607652</c:v>
                </c:pt>
                <c:pt idx="168">
                  <c:v>-3.3029568506268303</c:v>
                </c:pt>
                <c:pt idx="169">
                  <c:v>-3.3616286615227113</c:v>
                </c:pt>
                <c:pt idx="170">
                  <c:v>-3.4213075666192476</c:v>
                </c:pt>
                <c:pt idx="171">
                  <c:v>-3.4807350022050905</c:v>
                </c:pt>
                <c:pt idx="172">
                  <c:v>-3.539914095306445</c:v>
                </c:pt>
                <c:pt idx="173">
                  <c:v>-3.5988479159703193</c:v>
                </c:pt>
                <c:pt idx="174">
                  <c:v>-3.6590159930757489</c:v>
                </c:pt>
                <c:pt idx="175">
                  <c:v>-3.718932632018241</c:v>
                </c:pt>
                <c:pt idx="176">
                  <c:v>-3.7786009628968764</c:v>
                </c:pt>
                <c:pt idx="177">
                  <c:v>-3.8380240584644021</c:v>
                </c:pt>
                <c:pt idx="178">
                  <c:v>-3.8986571768771725</c:v>
                </c:pt>
                <c:pt idx="179">
                  <c:v>-3.9590392028098838</c:v>
                </c:pt>
                <c:pt idx="180">
                  <c:v>-4.0191732625341645</c:v>
                </c:pt>
                <c:pt idx="181">
                  <c:v>-4.0790624247630261</c:v>
                </c:pt>
                <c:pt idx="182">
                  <c:v>-4.1399002006994374</c:v>
                </c:pt>
                <c:pt idx="183">
                  <c:v>-4.2004894572737328</c:v>
                </c:pt>
                <c:pt idx="184">
                  <c:v>-4.2608332743995634</c:v>
                </c:pt>
                <c:pt idx="185">
                  <c:v>-4.3209346752517632</c:v>
                </c:pt>
                <c:pt idx="186">
                  <c:v>-4.3824365479778002</c:v>
                </c:pt>
                <c:pt idx="187">
                  <c:v>-4.4436888046619245</c:v>
                </c:pt>
                <c:pt idx="188">
                  <c:v>-4.5046945457459868</c:v>
                </c:pt>
                <c:pt idx="189">
                  <c:v>-4.5654568141029701</c:v>
                </c:pt>
                <c:pt idx="190">
                  <c:v>-4.6271312729833038</c:v>
                </c:pt>
                <c:pt idx="191">
                  <c:v>-4.6885590813786466</c:v>
                </c:pt>
                <c:pt idx="192">
                  <c:v>-4.7497432836519007</c:v>
                </c:pt>
                <c:pt idx="193">
                  <c:v>-4.8106868676461358</c:v>
                </c:pt>
                <c:pt idx="194">
                  <c:v>-4.8729811352564161</c:v>
                </c:pt>
                <c:pt idx="195">
                  <c:v>-4.9350282010257231</c:v>
                </c:pt>
                <c:pt idx="196">
                  <c:v>-4.9968311168852768</c:v>
                </c:pt>
                <c:pt idx="197">
                  <c:v>-5.0583928777166953</c:v>
                </c:pt>
                <c:pt idx="198">
                  <c:v>-5.1210566305647145</c:v>
                </c:pt>
                <c:pt idx="199">
                  <c:v>-5.1834746980912616</c:v>
                </c:pt>
                <c:pt idx="200">
                  <c:v>-5.2456501001322113</c:v>
                </c:pt>
                <c:pt idx="201">
                  <c:v>-5.3075857999213749</c:v>
                </c:pt>
                <c:pt idx="202">
                  <c:v>-5.3706042545070325</c:v>
                </c:pt>
                <c:pt idx="203">
                  <c:v>-5.433378698307088</c:v>
                </c:pt>
                <c:pt idx="204">
                  <c:v>-5.4959121147050025</c:v>
                </c:pt>
                <c:pt idx="205">
                  <c:v>-5.5582074310368537</c:v>
                </c:pt>
                <c:pt idx="206">
                  <c:v>-5.6217835479692448</c:v>
                </c:pt>
                <c:pt idx="207">
                  <c:v>-5.6851158122063339</c:v>
                </c:pt>
                <c:pt idx="208">
                  <c:v>-5.7482071967954145</c:v>
                </c:pt>
                <c:pt idx="209">
                  <c:v>-5.811060618636219</c:v>
                </c:pt>
                <c:pt idx="210">
                  <c:v>-5.875385384591687</c:v>
                </c:pt>
                <c:pt idx="211">
                  <c:v>-5.9394650802104803</c:v>
                </c:pt>
                <c:pt idx="212">
                  <c:v>-6.0033026914035084</c:v>
                </c:pt>
                <c:pt idx="213">
                  <c:v>-6.0669011472431116</c:v>
                </c:pt>
                <c:pt idx="214">
                  <c:v>-6.1315239721520429</c:v>
                </c:pt>
                <c:pt idx="215">
                  <c:v>-6.1959039921485335</c:v>
                </c:pt>
                <c:pt idx="216">
                  <c:v>-6.2600441408004217</c:v>
                </c:pt>
                <c:pt idx="217">
                  <c:v>-6.3239472957922818</c:v>
                </c:pt>
                <c:pt idx="218">
                  <c:v>-6.3890653073576722</c:v>
                </c:pt>
                <c:pt idx="219">
                  <c:v>-6.4539413106707038</c:v>
                </c:pt>
                <c:pt idx="220">
                  <c:v>-6.5185782118529865</c:v>
                </c:pt>
                <c:pt idx="221">
                  <c:v>-6.5829788614729914</c:v>
                </c:pt>
                <c:pt idx="222">
                  <c:v>-6.6485738956722562</c:v>
                </c:pt>
                <c:pt idx="223">
                  <c:v>-6.7139278799410747</c:v>
                </c:pt>
                <c:pt idx="224">
                  <c:v>-6.7790436881929219</c:v>
                </c:pt>
                <c:pt idx="225">
                  <c:v>-6.843924139245229</c:v>
                </c:pt>
                <c:pt idx="226">
                  <c:v>-6.9101802126381076</c:v>
                </c:pt>
                <c:pt idx="227">
                  <c:v>-6.9761948755268044</c:v>
                </c:pt>
                <c:pt idx="228">
                  <c:v>-7.0419709911080419</c:v>
                </c:pt>
                <c:pt idx="229">
                  <c:v>-7.107511367397481</c:v>
                </c:pt>
                <c:pt idx="230">
                  <c:v>-7.2410548847286478</c:v>
                </c:pt>
                <c:pt idx="231">
                  <c:v>-7.3074671634174475</c:v>
                </c:pt>
                <c:pt idx="232">
                  <c:v>-7.3736435288175475</c:v>
                </c:pt>
                <c:pt idx="233">
                  <c:v>-7.4411493241089497</c:v>
                </c:pt>
                <c:pt idx="234">
                  <c:v>-7.5084136214235127</c:v>
                </c:pt>
                <c:pt idx="235">
                  <c:v>-7.5754392446471304</c:v>
                </c:pt>
                <c:pt idx="236">
                  <c:v>-7.6422289627953788</c:v>
                </c:pt>
                <c:pt idx="237">
                  <c:v>-7.7101335186222997</c:v>
                </c:pt>
                <c:pt idx="238">
                  <c:v>-7.7777981539952332</c:v>
                </c:pt>
                <c:pt idx="239">
                  <c:v>-7.8452256417792601</c:v>
                </c:pt>
                <c:pt idx="240">
                  <c:v>-7.9124187009542837</c:v>
                </c:pt>
                <c:pt idx="241">
                  <c:v>-7.9810890611744902</c:v>
                </c:pt>
                <c:pt idx="242">
                  <c:v>-8.0495184761419498</c:v>
                </c:pt>
                <c:pt idx="243">
                  <c:v>-8.1177097106738891</c:v>
                </c:pt>
                <c:pt idx="244">
                  <c:v>-8.1856654755936802</c:v>
                </c:pt>
                <c:pt idx="245">
                  <c:v>-8.2548865979256654</c:v>
                </c:pt>
                <c:pt idx="246">
                  <c:v>-8.323867259092756</c:v>
                </c:pt>
                <c:pt idx="247">
                  <c:v>-8.3926101877317105</c:v>
                </c:pt>
                <c:pt idx="248">
                  <c:v>-8.4611180591248836</c:v>
                </c:pt>
                <c:pt idx="249">
                  <c:v>-8.5310558691748728</c:v>
                </c:pt>
                <c:pt idx="250">
                  <c:v>-8.6007525331662098</c:v>
                </c:pt>
                <c:pt idx="251">
                  <c:v>-8.6702107612716759</c:v>
                </c:pt>
                <c:pt idx="252">
                  <c:v>-8.7394332105107324</c:v>
                </c:pt>
                <c:pt idx="253">
                  <c:v>-8.8098800755733357</c:v>
                </c:pt>
                <c:pt idx="254">
                  <c:v>-8.880086512260112</c:v>
                </c:pt>
                <c:pt idx="255">
                  <c:v>-8.9500551866962237</c:v>
                </c:pt>
                <c:pt idx="256">
                  <c:v>-9.0197887127463918</c:v>
                </c:pt>
                <c:pt idx="257">
                  <c:v>-9.0910871276602165</c:v>
                </c:pt>
                <c:pt idx="258">
                  <c:v>-9.1621434626566298</c:v>
                </c:pt>
                <c:pt idx="259">
                  <c:v>-9.232960377030885</c:v>
                </c:pt>
                <c:pt idx="260">
                  <c:v>-9.3035404777676369</c:v>
                </c:pt>
                <c:pt idx="261">
                  <c:v>-9.3754823872271018</c:v>
                </c:pt>
                <c:pt idx="262">
                  <c:v>-9.4471819502249978</c:v>
                </c:pt>
                <c:pt idx="263">
                  <c:v>-9.5186417942070136</c:v>
                </c:pt>
                <c:pt idx="264">
                  <c:v>-9.5898644949415903</c:v>
                </c:pt>
                <c:pt idx="265">
                  <c:v>-9.6624274450294418</c:v>
                </c:pt>
                <c:pt idx="266">
                  <c:v>-9.734747878248303</c:v>
                </c:pt>
                <c:pt idx="267">
                  <c:v>-9.8068283868429091</c:v>
                </c:pt>
                <c:pt idx="268">
                  <c:v>-9.8786715121347228</c:v>
                </c:pt>
                <c:pt idx="269">
                  <c:v>-9.9520065284020056</c:v>
                </c:pt>
                <c:pt idx="270">
                  <c:v>-10.025097792440064</c:v>
                </c:pt>
                <c:pt idx="271">
                  <c:v>-10.097947876449808</c:v>
                </c:pt>
                <c:pt idx="272">
                  <c:v>-10.170559302102813</c:v>
                </c:pt>
                <c:pt idx="273">
                  <c:v>-10.244638673964904</c:v>
                </c:pt>
                <c:pt idx="274">
                  <c:v>-10.318473186947589</c:v>
                </c:pt>
                <c:pt idx="275">
                  <c:v>-10.392065389204539</c:v>
                </c:pt>
                <c:pt idx="276">
                  <c:v>-10.465417778896651</c:v>
                </c:pt>
                <c:pt idx="277">
                  <c:v>-10.540046520733505</c:v>
                </c:pt>
                <c:pt idx="278">
                  <c:v>-10.614430506686439</c:v>
                </c:pt>
                <c:pt idx="279">
                  <c:v>-10.68857224059817</c:v>
                </c:pt>
                <c:pt idx="280">
                  <c:v>-10.762474177422094</c:v>
                </c:pt>
                <c:pt idx="281">
                  <c:v>-10.83813087238382</c:v>
                </c:pt>
                <c:pt idx="282">
                  <c:v>-10.913539699677663</c:v>
                </c:pt>
                <c:pt idx="283">
                  <c:v>-10.988703166365386</c:v>
                </c:pt>
                <c:pt idx="284">
                  <c:v>-11.063623730530425</c:v>
                </c:pt>
                <c:pt idx="285">
                  <c:v>-11.139778581375561</c:v>
                </c:pt>
                <c:pt idx="286">
                  <c:v>-11.215685838347596</c:v>
                </c:pt>
                <c:pt idx="287">
                  <c:v>-11.29134795901021</c:v>
                </c:pt>
                <c:pt idx="288">
                  <c:v>-11.366767353269211</c:v>
                </c:pt>
                <c:pt idx="289">
                  <c:v>-11.443887502247103</c:v>
                </c:pt>
                <c:pt idx="290">
                  <c:v>-11.520757196991344</c:v>
                </c:pt>
                <c:pt idx="291">
                  <c:v>-11.59737889097107</c:v>
                </c:pt>
                <c:pt idx="292">
                  <c:v>-11.67375499019029</c:v>
                </c:pt>
                <c:pt idx="293">
                  <c:v>-11.751644370449569</c:v>
                </c:pt>
                <c:pt idx="294">
                  <c:v>-11.829281622143098</c:v>
                </c:pt>
                <c:pt idx="295">
                  <c:v>-11.906669175705476</c:v>
                </c:pt>
                <c:pt idx="296">
                  <c:v>-11.983809414833011</c:v>
                </c:pt>
                <c:pt idx="297">
                  <c:v>-12.062438720481817</c:v>
                </c:pt>
                <c:pt idx="298">
                  <c:v>-12.140814310366657</c:v>
                </c:pt>
                <c:pt idx="299">
                  <c:v>-12.218938589655259</c:v>
                </c:pt>
                <c:pt idx="300">
                  <c:v>-12.296813917606022</c:v>
                </c:pt>
                <c:pt idx="301">
                  <c:v>-12.376154532039701</c:v>
                </c:pt>
                <c:pt idx="302">
                  <c:v>-12.455239917978322</c:v>
                </c:pt>
                <c:pt idx="303">
                  <c:v>-12.534072453580965</c:v>
                </c:pt>
                <c:pt idx="304">
                  <c:v>-12.612654472013649</c:v>
                </c:pt>
                <c:pt idx="305">
                  <c:v>-12.692985698293162</c:v>
                </c:pt>
                <c:pt idx="306">
                  <c:v>-12.773058277768444</c:v>
                </c:pt>
                <c:pt idx="307">
                  <c:v>-12.852874587262592</c:v>
                </c:pt>
                <c:pt idx="308">
                  <c:v>-12.932436958923271</c:v>
                </c:pt>
                <c:pt idx="309">
                  <c:v>-13.013416289167042</c:v>
                </c:pt>
                <c:pt idx="310">
                  <c:v>-13.094135643319477</c:v>
                </c:pt>
                <c:pt idx="311">
                  <c:v>-13.174597367490751</c:v>
                </c:pt>
                <c:pt idx="312">
                  <c:v>-13.254803764211031</c:v>
                </c:pt>
                <c:pt idx="313">
                  <c:v>-13.336704032123308</c:v>
                </c:pt>
                <c:pt idx="314">
                  <c:v>-13.418341121854853</c:v>
                </c:pt>
                <c:pt idx="315">
                  <c:v>-13.499717373789728</c:v>
                </c:pt>
                <c:pt idx="316">
                  <c:v>-13.580835085251479</c:v>
                </c:pt>
                <c:pt idx="317">
                  <c:v>-13.663618678343488</c:v>
                </c:pt>
                <c:pt idx="318">
                  <c:v>-13.746136012955832</c:v>
                </c:pt>
                <c:pt idx="319">
                  <c:v>-13.828389421563871</c:v>
                </c:pt>
                <c:pt idx="320">
                  <c:v>-13.910381194200472</c:v>
                </c:pt>
                <c:pt idx="321">
                  <c:v>-13.994011264265055</c:v>
                </c:pt>
                <c:pt idx="322">
                  <c:v>-14.07737210782871</c:v>
                </c:pt>
                <c:pt idx="323">
                  <c:v>-14.160466047717556</c:v>
                </c:pt>
                <c:pt idx="324">
                  <c:v>-14.243295365016611</c:v>
                </c:pt>
                <c:pt idx="325">
                  <c:v>-14.327735789379945</c:v>
                </c:pt>
                <c:pt idx="326">
                  <c:v>-14.411904123406455</c:v>
                </c:pt>
                <c:pt idx="327">
                  <c:v>-14.495802678936908</c:v>
                </c:pt>
                <c:pt idx="328">
                  <c:v>-14.579433726840499</c:v>
                </c:pt>
                <c:pt idx="329">
                  <c:v>-14.664791344375443</c:v>
                </c:pt>
                <c:pt idx="330">
                  <c:v>-14.749873189041384</c:v>
                </c:pt>
                <c:pt idx="331">
                  <c:v>-14.834681572176558</c:v>
                </c:pt>
                <c:pt idx="332">
                  <c:v>-14.919218764705402</c:v>
                </c:pt>
                <c:pt idx="333">
                  <c:v>-15.005312892566597</c:v>
                </c:pt>
                <c:pt idx="334">
                  <c:v>-15.091128599008153</c:v>
                </c:pt>
                <c:pt idx="335">
                  <c:v>-15.176668182194369</c:v>
                </c:pt>
                <c:pt idx="336">
                  <c:v>-15.261933900757342</c:v>
                </c:pt>
                <c:pt idx="337">
                  <c:v>-15.349007770934184</c:v>
                </c:pt>
                <c:pt idx="338">
                  <c:v>-15.435798864028706</c:v>
                </c:pt>
                <c:pt idx="339">
                  <c:v>-15.522309486507728</c:v>
                </c:pt>
                <c:pt idx="340">
                  <c:v>-15.608541905724183</c:v>
                </c:pt>
                <c:pt idx="341">
                  <c:v>-15.696551363325286</c:v>
                </c:pt>
                <c:pt idx="342">
                  <c:v>-15.784273837182107</c:v>
                </c:pt>
                <c:pt idx="343">
                  <c:v>-15.871711640466978</c:v>
                </c:pt>
                <c:pt idx="344">
                  <c:v>-15.958867047722965</c:v>
                </c:pt>
                <c:pt idx="345">
                  <c:v>-16.047633666973521</c:v>
                </c:pt>
                <c:pt idx="346">
                  <c:v>-16.136110121961742</c:v>
                </c:pt>
                <c:pt idx="347">
                  <c:v>-16.224298720788042</c:v>
                </c:pt>
                <c:pt idx="348">
                  <c:v>-16.312201733689726</c:v>
                </c:pt>
                <c:pt idx="349">
                  <c:v>-16.401954937709363</c:v>
                </c:pt>
                <c:pt idx="350">
                  <c:v>-16.491413160087152</c:v>
                </c:pt>
                <c:pt idx="351">
                  <c:v>-16.580578724017169</c:v>
                </c:pt>
                <c:pt idx="352">
                  <c:v>-16.669453915174209</c:v>
                </c:pt>
                <c:pt idx="353">
                  <c:v>-16.760146705135455</c:v>
                </c:pt>
                <c:pt idx="354">
                  <c:v>-16.850539862761131</c:v>
                </c:pt>
                <c:pt idx="355">
                  <c:v>-16.940635724913623</c:v>
                </c:pt>
                <c:pt idx="356">
                  <c:v>-17.030436591330552</c:v>
                </c:pt>
                <c:pt idx="357">
                  <c:v>-17.12189296715707</c:v>
                </c:pt>
                <c:pt idx="358">
                  <c:v>-17.213046083902036</c:v>
                </c:pt>
                <c:pt idx="359">
                  <c:v>-17.30389828098096</c:v>
                </c:pt>
                <c:pt idx="360">
                  <c:v>-17.394451861323436</c:v>
                </c:pt>
                <c:pt idx="361">
                  <c:v>-17.486888048494048</c:v>
                </c:pt>
                <c:pt idx="362">
                  <c:v>-17.579015778345831</c:v>
                </c:pt>
                <c:pt idx="363">
                  <c:v>-17.670837411886819</c:v>
                </c:pt>
                <c:pt idx="364">
                  <c:v>-17.76235527389078</c:v>
                </c:pt>
                <c:pt idx="365">
                  <c:v>-17.855595277557143</c:v>
                </c:pt>
                <c:pt idx="366">
                  <c:v>-17.948522659214536</c:v>
                </c:pt>
                <c:pt idx="367">
                  <c:v>-18.041139790494821</c:v>
                </c:pt>
                <c:pt idx="368">
                  <c:v>-18.133449007277338</c:v>
                </c:pt>
                <c:pt idx="369">
                  <c:v>-18.227698889412455</c:v>
                </c:pt>
                <c:pt idx="370">
                  <c:v>-18.321630463625489</c:v>
                </c:pt>
                <c:pt idx="371">
                  <c:v>-18.415246130375415</c:v>
                </c:pt>
                <c:pt idx="372">
                  <c:v>-18.508548254490048</c:v>
                </c:pt>
                <c:pt idx="373">
                  <c:v>-18.603632208543452</c:v>
                </c:pt>
                <c:pt idx="374">
                  <c:v>-18.698393212822733</c:v>
                </c:pt>
                <c:pt idx="375">
                  <c:v>-18.792833685744398</c:v>
                </c:pt>
                <c:pt idx="376">
                  <c:v>-18.886956010432776</c:v>
                </c:pt>
                <c:pt idx="377">
                  <c:v>-18.983070272550041</c:v>
                </c:pt>
                <c:pt idx="378">
                  <c:v>-19.078855468521976</c:v>
                </c:pt>
                <c:pt idx="379">
                  <c:v>-19.174314052223021</c:v>
                </c:pt>
                <c:pt idx="380">
                  <c:v>-19.269448442236847</c:v>
                </c:pt>
                <c:pt idx="381">
                  <c:v>-19.366297773865565</c:v>
                </c:pt>
                <c:pt idx="382">
                  <c:v>-19.462813801908418</c:v>
                </c:pt>
                <c:pt idx="383">
                  <c:v>-19.558998995756877</c:v>
                </c:pt>
                <c:pt idx="384">
                  <c:v>-19.654855789892448</c:v>
                </c:pt>
                <c:pt idx="385">
                  <c:v>-19.752750019075108</c:v>
                </c:pt>
                <c:pt idx="386">
                  <c:v>-19.850304437021681</c:v>
                </c:pt>
                <c:pt idx="387">
                  <c:v>-19.947521554912417</c:v>
                </c:pt>
                <c:pt idx="388">
                  <c:v>-20.044403848901545</c:v>
                </c:pt>
                <c:pt idx="389">
                  <c:v>-20.143168070468633</c:v>
                </c:pt>
                <c:pt idx="390">
                  <c:v>-20.241587039754421</c:v>
                </c:pt>
                <c:pt idx="391">
                  <c:v>-20.33966329894551</c:v>
                </c:pt>
                <c:pt idx="392">
                  <c:v>-20.437399355287237</c:v>
                </c:pt>
                <c:pt idx="393">
                  <c:v>-20.53698125604539</c:v>
                </c:pt>
                <c:pt idx="394">
                  <c:v>-20.636212694111752</c:v>
                </c:pt>
                <c:pt idx="395">
                  <c:v>-20.735096241275475</c:v>
                </c:pt>
                <c:pt idx="396">
                  <c:v>-20.833634434490321</c:v>
                </c:pt>
                <c:pt idx="397">
                  <c:v>-20.934209467791739</c:v>
                </c:pt>
                <c:pt idx="398">
                  <c:v>-21.034427454171016</c:v>
                </c:pt>
                <c:pt idx="399">
                  <c:v>-21.134291011251975</c:v>
                </c:pt>
                <c:pt idx="400">
                  <c:v>-21.233802721635161</c:v>
                </c:pt>
                <c:pt idx="401">
                  <c:v>-21.33519955105762</c:v>
                </c:pt>
                <c:pt idx="402">
                  <c:v>-21.436233822978661</c:v>
                </c:pt>
                <c:pt idx="403">
                  <c:v>-21.536908190228537</c:v>
                </c:pt>
                <c:pt idx="404">
                  <c:v>-21.637225270615534</c:v>
                </c:pt>
                <c:pt idx="405">
                  <c:v>-21.739500470804405</c:v>
                </c:pt>
                <c:pt idx="406">
                  <c:v>-21.841407064867219</c:v>
                </c:pt>
                <c:pt idx="407">
                  <c:v>-21.9429477479658</c:v>
                </c:pt>
                <c:pt idx="408">
                  <c:v>-22.044125180115273</c:v>
                </c:pt>
                <c:pt idx="409">
                  <c:v>-22.147330259302919</c:v>
                </c:pt>
                <c:pt idx="410">
                  <c:v>-22.250160173358744</c:v>
                </c:pt>
                <c:pt idx="411">
                  <c:v>-22.352617666625815</c:v>
                </c:pt>
                <c:pt idx="412">
                  <c:v>-22.454705448059688</c:v>
                </c:pt>
                <c:pt idx="413">
                  <c:v>-22.55877998066574</c:v>
                </c:pt>
                <c:pt idx="414">
                  <c:v>-22.662473088753515</c:v>
                </c:pt>
                <c:pt idx="415">
                  <c:v>-22.765787563891312</c:v>
                </c:pt>
                <c:pt idx="416">
                  <c:v>-22.868726162057953</c:v>
                </c:pt>
                <c:pt idx="417">
                  <c:v>-22.973716561794205</c:v>
                </c:pt>
                <c:pt idx="418">
                  <c:v>-23.078318800465176</c:v>
                </c:pt>
                <c:pt idx="419">
                  <c:v>-23.182535723505111</c:v>
                </c:pt>
                <c:pt idx="420">
                  <c:v>-23.286370140450963</c:v>
                </c:pt>
                <c:pt idx="421">
                  <c:v>-23.39211029289892</c:v>
                </c:pt>
                <c:pt idx="422">
                  <c:v>-23.497456643995047</c:v>
                </c:pt>
                <c:pt idx="423">
                  <c:v>-23.602412082507701</c:v>
                </c:pt>
                <c:pt idx="424">
                  <c:v>-23.706979461184989</c:v>
                </c:pt>
                <c:pt idx="425">
                  <c:v>-23.81372030174175</c:v>
                </c:pt>
                <c:pt idx="426">
                  <c:v>-23.920059700748912</c:v>
                </c:pt>
                <c:pt idx="427">
                  <c:v>-24.026000613910309</c:v>
                </c:pt>
                <c:pt idx="428">
                  <c:v>-24.131545960407131</c:v>
                </c:pt>
                <c:pt idx="429">
                  <c:v>-24.239118284290541</c:v>
                </c:pt>
                <c:pt idx="430">
                  <c:v>-24.346282659137721</c:v>
                </c:pt>
                <c:pt idx="431">
                  <c:v>-24.453042096863882</c:v>
                </c:pt>
                <c:pt idx="432">
                  <c:v>-24.559399572552589</c:v>
                </c:pt>
                <c:pt idx="433">
                  <c:v>-24.667741246587475</c:v>
                </c:pt>
                <c:pt idx="434">
                  <c:v>-24.775668814656964</c:v>
                </c:pt>
                <c:pt idx="435">
                  <c:v>-24.883185342887558</c:v>
                </c:pt>
                <c:pt idx="436">
                  <c:v>-24.990293860314061</c:v>
                </c:pt>
                <c:pt idx="437">
                  <c:v>-25.09953999201435</c:v>
                </c:pt>
                <c:pt idx="438">
                  <c:v>-25.208364708402513</c:v>
                </c:pt>
                <c:pt idx="439">
                  <c:v>-25.316771144662098</c:v>
                </c:pt>
                <c:pt idx="440">
                  <c:v>-25.42476239840768</c:v>
                </c:pt>
                <c:pt idx="441">
                  <c:v>-25.534845209485312</c:v>
                </c:pt>
                <c:pt idx="442">
                  <c:v>-25.644499695427765</c:v>
                </c:pt>
                <c:pt idx="443">
                  <c:v>-25.753729058313994</c:v>
                </c:pt>
                <c:pt idx="444">
                  <c:v>-25.86253646223749</c:v>
                </c:pt>
                <c:pt idx="445">
                  <c:v>-25.973390031228938</c:v>
                </c:pt>
                <c:pt idx="446">
                  <c:v>-26.083808768677677</c:v>
                </c:pt>
                <c:pt idx="447">
                  <c:v>-26.193795941515006</c:v>
                </c:pt>
                <c:pt idx="448">
                  <c:v>-26.303354778331112</c:v>
                </c:pt>
                <c:pt idx="449">
                  <c:v>-26.415101734170385</c:v>
                </c:pt>
                <c:pt idx="450">
                  <c:v>-26.526406285206981</c:v>
                </c:pt>
                <c:pt idx="451">
                  <c:v>-26.637271777992755</c:v>
                </c:pt>
                <c:pt idx="452">
                  <c:v>-26.747701520185867</c:v>
                </c:pt>
                <c:pt idx="453">
                  <c:v>-26.860179104174023</c:v>
                </c:pt>
                <c:pt idx="454">
                  <c:v>-26.972207898895899</c:v>
                </c:pt>
                <c:pt idx="455">
                  <c:v>-27.083791320101916</c:v>
                </c:pt>
                <c:pt idx="456">
                  <c:v>-27.194932744295137</c:v>
                </c:pt>
                <c:pt idx="457">
                  <c:v>-27.308257360431266</c:v>
                </c:pt>
                <c:pt idx="458">
                  <c:v>-27.421125790666018</c:v>
                </c:pt>
                <c:pt idx="459">
                  <c:v>-27.533541534837738</c:v>
                </c:pt>
                <c:pt idx="460">
                  <c:v>-27.645508052997194</c:v>
                </c:pt>
                <c:pt idx="461">
                  <c:v>-27.759608718713153</c:v>
                </c:pt>
                <c:pt idx="462">
                  <c:v>-27.873246294031478</c:v>
                </c:pt>
                <c:pt idx="463">
                  <c:v>-27.986424360987549</c:v>
                </c:pt>
                <c:pt idx="464">
                  <c:v>-28.099146461366388</c:v>
                </c:pt>
                <c:pt idx="465">
                  <c:v>-28.21404201859988</c:v>
                </c:pt>
                <c:pt idx="466">
                  <c:v>-28.328467366081522</c:v>
                </c:pt>
                <c:pt idx="467">
                  <c:v>-28.442426174687768</c:v>
                </c:pt>
                <c:pt idx="468">
                  <c:v>-28.555922074534333</c:v>
                </c:pt>
                <c:pt idx="469">
                  <c:v>-28.671541928083556</c:v>
                </c:pt>
                <c:pt idx="470">
                  <c:v>-28.786684984608769</c:v>
                </c:pt>
                <c:pt idx="471">
                  <c:v>-28.901355002198876</c:v>
                </c:pt>
                <c:pt idx="472">
                  <c:v>-29.015555697754635</c:v>
                </c:pt>
                <c:pt idx="473">
                  <c:v>-29.132001146054787</c:v>
                </c:pt>
                <c:pt idx="474">
                  <c:v>-29.247962346629762</c:v>
                </c:pt>
                <c:pt idx="475">
                  <c:v>-29.363443160139045</c:v>
                </c:pt>
                <c:pt idx="476">
                  <c:v>-29.478447405469304</c:v>
                </c:pt>
                <c:pt idx="477">
                  <c:v>-29.595644536122752</c:v>
                </c:pt>
                <c:pt idx="478">
                  <c:v>-29.71235056982858</c:v>
                </c:pt>
                <c:pt idx="479">
                  <c:v>-29.828569468462845</c:v>
                </c:pt>
                <c:pt idx="480">
                  <c:v>-29.944305151638837</c:v>
                </c:pt>
                <c:pt idx="481">
                  <c:v>-30.062182866013984</c:v>
                </c:pt>
                <c:pt idx="482">
                  <c:v>-30.179563249359674</c:v>
                </c:pt>
                <c:pt idx="483">
                  <c:v>-30.296450363680485</c:v>
                </c:pt>
                <c:pt idx="484">
                  <c:v>-30.412848228325974</c:v>
                </c:pt>
                <c:pt idx="485">
                  <c:v>-30.531418877584009</c:v>
                </c:pt>
                <c:pt idx="486">
                  <c:v>-30.649485908448941</c:v>
                </c:pt>
                <c:pt idx="487">
                  <c:v>-30.767053490734831</c:v>
                </c:pt>
                <c:pt idx="488">
                  <c:v>-30.884125751193018</c:v>
                </c:pt>
                <c:pt idx="489">
                  <c:v>-31.003478444447037</c:v>
                </c:pt>
                <c:pt idx="490">
                  <c:v>-31.122320551852688</c:v>
                </c:pt>
                <c:pt idx="491">
                  <c:v>-31.240656367541352</c:v>
                </c:pt>
                <c:pt idx="492">
                  <c:v>-31.358490142054588</c:v>
                </c:pt>
                <c:pt idx="493">
                  <c:v>-31.478550746498179</c:v>
                </c:pt>
                <c:pt idx="494">
                  <c:v>-31.598094540557156</c:v>
                </c:pt>
                <c:pt idx="495">
                  <c:v>-31.717125942475015</c:v>
                </c:pt>
                <c:pt idx="496">
                  <c:v>-31.835649326506299</c:v>
                </c:pt>
                <c:pt idx="497">
                  <c:v>-31.956423724329206</c:v>
                </c:pt>
                <c:pt idx="498">
                  <c:v>-32.076675191902304</c:v>
                </c:pt>
                <c:pt idx="499">
                  <c:v>-32.196408280447514</c:v>
                </c:pt>
                <c:pt idx="500">
                  <c:v>-32.31562749682341</c:v>
                </c:pt>
                <c:pt idx="501">
                  <c:v>-32.437119954626198</c:v>
                </c:pt>
                <c:pt idx="502">
                  <c:v>-32.558083527567788</c:v>
                </c:pt>
                <c:pt idx="503">
                  <c:v>-32.678522909296021</c:v>
                </c:pt>
                <c:pt idx="504">
                  <c:v>-32.798442748763364</c:v>
                </c:pt>
                <c:pt idx="505">
                  <c:v>-32.92058232534427</c:v>
                </c:pt>
                <c:pt idx="506">
                  <c:v>-33.042187938181556</c:v>
                </c:pt>
                <c:pt idx="507">
                  <c:v>-33.163264424735665</c:v>
                </c:pt>
                <c:pt idx="508">
                  <c:v>-33.283816577613599</c:v>
                </c:pt>
                <c:pt idx="509">
                  <c:v>-33.406609121163918</c:v>
                </c:pt>
                <c:pt idx="510">
                  <c:v>-33.52886289494613</c:v>
                </c:pt>
                <c:pt idx="511">
                  <c:v>-33.650582891182601</c:v>
                </c:pt>
                <c:pt idx="512">
                  <c:v>-33.771774057168088</c:v>
                </c:pt>
                <c:pt idx="513">
                  <c:v>-33.895296085754964</c:v>
                </c:pt>
                <c:pt idx="514">
                  <c:v>-34.018274261272644</c:v>
                </c:pt>
                <c:pt idx="515">
                  <c:v>-34.140713751576605</c:v>
                </c:pt>
                <c:pt idx="516">
                  <c:v>-34.262619679535014</c:v>
                </c:pt>
                <c:pt idx="517">
                  <c:v>-34.386802192370723</c:v>
                </c:pt>
                <c:pt idx="518">
                  <c:v>-34.510436850705631</c:v>
                </c:pt>
                <c:pt idx="519">
                  <c:v>-34.633529002236976</c:v>
                </c:pt>
                <c:pt idx="520">
                  <c:v>-34.756083949878096</c:v>
                </c:pt>
                <c:pt idx="521">
                  <c:v>-34.880932000481394</c:v>
                </c:pt>
                <c:pt idx="522">
                  <c:v>-35.005228721938558</c:v>
                </c:pt>
                <c:pt idx="523">
                  <c:v>-35.128979656407317</c:v>
                </c:pt>
                <c:pt idx="524">
                  <c:v>-35.252190301666928</c:v>
                </c:pt>
                <c:pt idx="525">
                  <c:v>-35.377709569221238</c:v>
                </c:pt>
                <c:pt idx="526">
                  <c:v>-35.502674662742763</c:v>
                </c:pt>
                <c:pt idx="527">
                  <c:v>-35.627091335238397</c:v>
                </c:pt>
                <c:pt idx="528">
                  <c:v>-35.750965296002619</c:v>
                </c:pt>
                <c:pt idx="529">
                  <c:v>-35.877162620545427</c:v>
                </c:pt>
                <c:pt idx="530">
                  <c:v>-36.002803670897428</c:v>
                </c:pt>
                <c:pt idx="531">
                  <c:v>-36.127894429453967</c:v>
                </c:pt>
                <c:pt idx="532">
                  <c:v>-36.25244083589439</c:v>
                </c:pt>
                <c:pt idx="533">
                  <c:v>-36.379390175579054</c:v>
                </c:pt>
                <c:pt idx="534">
                  <c:v>-36.505781442229974</c:v>
                </c:pt>
                <c:pt idx="535">
                  <c:v>-36.631620878409862</c:v>
                </c:pt>
                <c:pt idx="536">
                  <c:v>-36.756914685295541</c:v>
                </c:pt>
                <c:pt idx="537">
                  <c:v>-36.884495208849806</c:v>
                </c:pt>
                <c:pt idx="538">
                  <c:v>-37.011518038617837</c:v>
                </c:pt>
                <c:pt idx="539">
                  <c:v>-37.137989682331344</c:v>
                </c:pt>
                <c:pt idx="540">
                  <c:v>-37.263916608362507</c:v>
                </c:pt>
                <c:pt idx="541">
                  <c:v>-37.392272159498894</c:v>
                </c:pt>
                <c:pt idx="542">
                  <c:v>-37.520070450628261</c:v>
                </c:pt>
                <c:pt idx="543">
                  <c:v>-37.647318302633686</c:v>
                </c:pt>
                <c:pt idx="544">
                  <c:v>-37.774022499566271</c:v>
                </c:pt>
                <c:pt idx="545">
                  <c:v>-37.903106035728207</c:v>
                </c:pt>
                <c:pt idx="546">
                  <c:v>-38.031634695752103</c:v>
                </c:pt>
                <c:pt idx="547">
                  <c:v>-38.15961563677503</c:v>
                </c:pt>
                <c:pt idx="548">
                  <c:v>-38.287055982536586</c:v>
                </c:pt>
                <c:pt idx="549">
                  <c:v>-38.416890833489092</c:v>
                </c:pt>
                <c:pt idx="550">
                  <c:v>-38.54617478833898</c:v>
                </c:pt>
                <c:pt idx="551">
                  <c:v>-38.674915379305197</c:v>
                </c:pt>
                <c:pt idx="552">
                  <c:v>-38.80312010967701</c:v>
                </c:pt>
                <c:pt idx="553">
                  <c:v>-38.933795714421969</c:v>
                </c:pt>
                <c:pt idx="554">
                  <c:v>-39.063925754707014</c:v>
                </c:pt>
                <c:pt idx="555">
                  <c:v>-39.193518194774221</c:v>
                </c:pt>
                <c:pt idx="556">
                  <c:v>-39.322580975656656</c:v>
                </c:pt>
                <c:pt idx="557">
                  <c:v>-39.585143529506006</c:v>
                </c:pt>
                <c:pt idx="558">
                  <c:v>-39.845587733437952</c:v>
                </c:pt>
                <c:pt idx="559">
                  <c:v>-40.109880237747248</c:v>
                </c:pt>
                <c:pt idx="560">
                  <c:v>-40.372098729598292</c:v>
                </c:pt>
                <c:pt idx="561">
                  <c:v>-40.638465227850759</c:v>
                </c:pt>
                <c:pt idx="562">
                  <c:v>-40.902810598822008</c:v>
                </c:pt>
                <c:pt idx="563">
                  <c:v>-41.17082225450978</c:v>
                </c:pt>
                <c:pt idx="564">
                  <c:v>-41.436888176649219</c:v>
                </c:pt>
                <c:pt idx="565">
                  <c:v>-41.70772843668103</c:v>
                </c:pt>
                <c:pt idx="566">
                  <c:v>-41.976700458386745</c:v>
                </c:pt>
                <c:pt idx="567">
                  <c:v>-42.250443384580969</c:v>
                </c:pt>
                <c:pt idx="568">
                  <c:v>-42.522418107495128</c:v>
                </c:pt>
                <c:pt idx="569">
                  <c:v>-42.798113585534949</c:v>
                </c:pt>
                <c:pt idx="570">
                  <c:v>-43.072179198411817</c:v>
                </c:pt>
                <c:pt idx="571">
                  <c:v>-43.352184257814763</c:v>
                </c:pt>
                <c:pt idx="572">
                  <c:v>-43.63070213326619</c:v>
                </c:pt>
                <c:pt idx="573">
                  <c:v>-43.913130985806667</c:v>
                </c:pt>
                <c:pt idx="574">
                  <c:v>-44.194272759568946</c:v>
                </c:pt>
                <c:pt idx="575">
                  <c:v>-44.481588011697838</c:v>
                </c:pt>
                <c:pt idx="576">
                  <c:v>-44.76783808326352</c:v>
                </c:pt>
                <c:pt idx="577">
                  <c:v>-45.971510834167191</c:v>
                </c:pt>
                <c:pt idx="578">
                  <c:v>-47.171637453398539</c:v>
                </c:pt>
                <c:pt idx="579">
                  <c:v>-49.86693949868021</c:v>
                </c:pt>
                <c:pt idx="580">
                  <c:v>-53.169710613624339</c:v>
                </c:pt>
                <c:pt idx="581">
                  <c:v>-57.912105461137529</c:v>
                </c:pt>
                <c:pt idx="582">
                  <c:v>-67.586263700179899</c:v>
                </c:pt>
                <c:pt idx="583">
                  <c:v>-70.64902038001604</c:v>
                </c:pt>
                <c:pt idx="584">
                  <c:v>-62.69641603217206</c:v>
                </c:pt>
                <c:pt idx="585">
                  <c:v>-61.013239959615007</c:v>
                </c:pt>
                <c:pt idx="586">
                  <c:v>-61.218192095505401</c:v>
                </c:pt>
                <c:pt idx="587">
                  <c:v>-62.351248425355152</c:v>
                </c:pt>
                <c:pt idx="588">
                  <c:v>-64.343364584013415</c:v>
                </c:pt>
                <c:pt idx="589">
                  <c:v>-68.436374119718138</c:v>
                </c:pt>
                <c:pt idx="590">
                  <c:v>-90.776516300689337</c:v>
                </c:pt>
                <c:pt idx="591">
                  <c:v>-71.364422312750349</c:v>
                </c:pt>
                <c:pt idx="592">
                  <c:v>-69.226489750423511</c:v>
                </c:pt>
                <c:pt idx="593">
                  <c:v>-70.414157572089195</c:v>
                </c:pt>
                <c:pt idx="594">
                  <c:v>-76.953474967323729</c:v>
                </c:pt>
                <c:pt idx="595">
                  <c:v>-77.086362418070877</c:v>
                </c:pt>
                <c:pt idx="596">
                  <c:v>-73.347875692425177</c:v>
                </c:pt>
                <c:pt idx="597">
                  <c:v>-76.820638169250458</c:v>
                </c:pt>
                <c:pt idx="598">
                  <c:v>-80.002598000357651</c:v>
                </c:pt>
                <c:pt idx="599">
                  <c:v>-76.260655424172015</c:v>
                </c:pt>
                <c:pt idx="600">
                  <c:v>-103.34911154849387</c:v>
                </c:pt>
              </c:numCache>
            </c:numRef>
          </c:yVal>
          <c:smooth val="0"/>
          <c:extLst>
            <c:ext xmlns:c16="http://schemas.microsoft.com/office/drawing/2014/chart" uri="{C3380CC4-5D6E-409C-BE32-E72D297353CC}">
              <c16:uniqueId val="{00000000-52E8-40C0-BDC9-E7AD10D908CE}"/>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94.649582920028024</c:v>
                </c:pt>
                <c:pt idx="1">
                  <c:v>94.167983340719076</c:v>
                </c:pt>
                <c:pt idx="2">
                  <c:v>93.721155116114417</c:v>
                </c:pt>
                <c:pt idx="3">
                  <c:v>93.305440408879633</c:v>
                </c:pt>
                <c:pt idx="4">
                  <c:v>92.917661165543763</c:v>
                </c:pt>
                <c:pt idx="5">
                  <c:v>92.553975472890954</c:v>
                </c:pt>
                <c:pt idx="6">
                  <c:v>92.211900964060064</c:v>
                </c:pt>
                <c:pt idx="7">
                  <c:v>91.888353599461013</c:v>
                </c:pt>
                <c:pt idx="8">
                  <c:v>91.580859460957186</c:v>
                </c:pt>
                <c:pt idx="9">
                  <c:v>91.286604529109439</c:v>
                </c:pt>
                <c:pt idx="10">
                  <c:v>91.00329013567837</c:v>
                </c:pt>
                <c:pt idx="11">
                  <c:v>90.728490743096387</c:v>
                </c:pt>
                <c:pt idx="12">
                  <c:v>90.459754978921595</c:v>
                </c:pt>
                <c:pt idx="13">
                  <c:v>90.195084282645567</c:v>
                </c:pt>
                <c:pt idx="14">
                  <c:v>89.932045104943185</c:v>
                </c:pt>
                <c:pt idx="15">
                  <c:v>89.668537243091592</c:v>
                </c:pt>
                <c:pt idx="16">
                  <c:v>89.402340156907215</c:v>
                </c:pt>
                <c:pt idx="17">
                  <c:v>89.13128035939225</c:v>
                </c:pt>
                <c:pt idx="18">
                  <c:v>88.853038409102652</c:v>
                </c:pt>
                <c:pt idx="19">
                  <c:v>88.56540550451399</c:v>
                </c:pt>
                <c:pt idx="20">
                  <c:v>88.265984971804741</c:v>
                </c:pt>
                <c:pt idx="21">
                  <c:v>87.952430642400387</c:v>
                </c:pt>
                <c:pt idx="22">
                  <c:v>87.622188972303448</c:v>
                </c:pt>
                <c:pt idx="23">
                  <c:v>87.272769561509591</c:v>
                </c:pt>
                <c:pt idx="24">
                  <c:v>86.901419123921784</c:v>
                </c:pt>
                <c:pt idx="25">
                  <c:v>86.505435159817068</c:v>
                </c:pt>
                <c:pt idx="26">
                  <c:v>86.081873690061997</c:v>
                </c:pt>
                <c:pt idx="27">
                  <c:v>85.627945893857557</c:v>
                </c:pt>
                <c:pt idx="28">
                  <c:v>85.14067075057946</c:v>
                </c:pt>
                <c:pt idx="29">
                  <c:v>84.617404074007496</c:v>
                </c:pt>
                <c:pt idx="30">
                  <c:v>84.054289073080383</c:v>
                </c:pt>
                <c:pt idx="31">
                  <c:v>83.449226888346217</c:v>
                </c:pt>
                <c:pt idx="32">
                  <c:v>82.799162956969553</c:v>
                </c:pt>
                <c:pt idx="33">
                  <c:v>82.102246018132803</c:v>
                </c:pt>
                <c:pt idx="34">
                  <c:v>81.356104304859329</c:v>
                </c:pt>
                <c:pt idx="35">
                  <c:v>80.55999114257574</c:v>
                </c:pt>
                <c:pt idx="36">
                  <c:v>79.713569629124493</c:v>
                </c:pt>
                <c:pt idx="37">
                  <c:v>78.817317380122603</c:v>
                </c:pt>
                <c:pt idx="38">
                  <c:v>77.874566097193025</c:v>
                </c:pt>
                <c:pt idx="39">
                  <c:v>76.888896631003746</c:v>
                </c:pt>
                <c:pt idx="40">
                  <c:v>75.867182130830926</c:v>
                </c:pt>
                <c:pt idx="41">
                  <c:v>74.818348444055374</c:v>
                </c:pt>
                <c:pt idx="42">
                  <c:v>73.754278865853919</c:v>
                </c:pt>
                <c:pt idx="43">
                  <c:v>72.689228233162211</c:v>
                </c:pt>
                <c:pt idx="44">
                  <c:v>71.640802567953415</c:v>
                </c:pt>
                <c:pt idx="45">
                  <c:v>70.628564228371218</c:v>
                </c:pt>
                <c:pt idx="46">
                  <c:v>69.67436276372824</c:v>
                </c:pt>
                <c:pt idx="47">
                  <c:v>68.800670382385604</c:v>
                </c:pt>
                <c:pt idx="48">
                  <c:v>68.030312983024132</c:v>
                </c:pt>
                <c:pt idx="49">
                  <c:v>67.384392616463316</c:v>
                </c:pt>
                <c:pt idx="50">
                  <c:v>66.88169014802051</c:v>
                </c:pt>
                <c:pt idx="51">
                  <c:v>66.536904848774526</c:v>
                </c:pt>
                <c:pt idx="52">
                  <c:v>66.359999915076955</c:v>
                </c:pt>
                <c:pt idx="53">
                  <c:v>66.355068960955066</c:v>
                </c:pt>
                <c:pt idx="54">
                  <c:v>66.520049644253788</c:v>
                </c:pt>
                <c:pt idx="55">
                  <c:v>66.847515562602268</c:v>
                </c:pt>
                <c:pt idx="56">
                  <c:v>67.323992217534666</c:v>
                </c:pt>
                <c:pt idx="57">
                  <c:v>67.932120644644471</c:v>
                </c:pt>
                <c:pt idx="58">
                  <c:v>68.650470806011938</c:v>
                </c:pt>
                <c:pt idx="59">
                  <c:v>69.45657902101307</c:v>
                </c:pt>
                <c:pt idx="60">
                  <c:v>70.326280677347597</c:v>
                </c:pt>
                <c:pt idx="61">
                  <c:v>71.236407740847909</c:v>
                </c:pt>
                <c:pt idx="62">
                  <c:v>72.165602447387329</c:v>
                </c:pt>
                <c:pt idx="63">
                  <c:v>73.093242801805388</c:v>
                </c:pt>
                <c:pt idx="64">
                  <c:v>74.002890858584252</c:v>
                </c:pt>
                <c:pt idx="65">
                  <c:v>74.879747531907199</c:v>
                </c:pt>
                <c:pt idx="66">
                  <c:v>75.712148082508804</c:v>
                </c:pt>
                <c:pt idx="67">
                  <c:v>76.490765462871963</c:v>
                </c:pt>
                <c:pt idx="68">
                  <c:v>77.208837374688159</c:v>
                </c:pt>
                <c:pt idx="69">
                  <c:v>77.86107325760733</c:v>
                </c:pt>
                <c:pt idx="70">
                  <c:v>78.444048943063493</c:v>
                </c:pt>
                <c:pt idx="71">
                  <c:v>78.955286514589517</c:v>
                </c:pt>
                <c:pt idx="72">
                  <c:v>79.393414118269263</c:v>
                </c:pt>
                <c:pt idx="73">
                  <c:v>79.757447510771456</c:v>
                </c:pt>
                <c:pt idx="74">
                  <c:v>80.046965816827779</c:v>
                </c:pt>
                <c:pt idx="75">
                  <c:v>80.261563159519483</c:v>
                </c:pt>
                <c:pt idx="76">
                  <c:v>80.400918436881938</c:v>
                </c:pt>
                <c:pt idx="77">
                  <c:v>80.464490214677298</c:v>
                </c:pt>
                <c:pt idx="78">
                  <c:v>80.451570945947864</c:v>
                </c:pt>
                <c:pt idx="79">
                  <c:v>80.361193676869021</c:v>
                </c:pt>
                <c:pt idx="80">
                  <c:v>80.191700330235179</c:v>
                </c:pt>
                <c:pt idx="81">
                  <c:v>79.941321547008428</c:v>
                </c:pt>
                <c:pt idx="82">
                  <c:v>79.607449251116748</c:v>
                </c:pt>
                <c:pt idx="83">
                  <c:v>79.187329901675412</c:v>
                </c:pt>
                <c:pt idx="84">
                  <c:v>78.677042594199179</c:v>
                </c:pt>
                <c:pt idx="85">
                  <c:v>78.072620444311937</c:v>
                </c:pt>
                <c:pt idx="86">
                  <c:v>77.369115511987488</c:v>
                </c:pt>
                <c:pt idx="87">
                  <c:v>76.560504590351854</c:v>
                </c:pt>
                <c:pt idx="88">
                  <c:v>75.641274086221429</c:v>
                </c:pt>
                <c:pt idx="89">
                  <c:v>74.603705045976852</c:v>
                </c:pt>
                <c:pt idx="90">
                  <c:v>73.4404159980309</c:v>
                </c:pt>
                <c:pt idx="91">
                  <c:v>72.142870101751456</c:v>
                </c:pt>
                <c:pt idx="92">
                  <c:v>70.70213117097606</c:v>
                </c:pt>
                <c:pt idx="93">
                  <c:v>69.107979228714612</c:v>
                </c:pt>
                <c:pt idx="94">
                  <c:v>68.684476621877323</c:v>
                </c:pt>
                <c:pt idx="95">
                  <c:v>68.467500582949512</c:v>
                </c:pt>
                <c:pt idx="96">
                  <c:v>68.250405425168083</c:v>
                </c:pt>
                <c:pt idx="97">
                  <c:v>68.028166427617322</c:v>
                </c:pt>
                <c:pt idx="98">
                  <c:v>67.805826678033426</c:v>
                </c:pt>
                <c:pt idx="99">
                  <c:v>67.578183418039302</c:v>
                </c:pt>
                <c:pt idx="100">
                  <c:v>67.350458319370787</c:v>
                </c:pt>
                <c:pt idx="101">
                  <c:v>67.117445235495325</c:v>
                </c:pt>
                <c:pt idx="102">
                  <c:v>66.884369941089915</c:v>
                </c:pt>
                <c:pt idx="103">
                  <c:v>66.645675865686627</c:v>
                </c:pt>
                <c:pt idx="104">
                  <c:v>66.40693978799797</c:v>
                </c:pt>
                <c:pt idx="105">
                  <c:v>66.162603589385142</c:v>
                </c:pt>
                <c:pt idx="106">
                  <c:v>65.918246412991152</c:v>
                </c:pt>
                <c:pt idx="107">
                  <c:v>65.668309580368998</c:v>
                </c:pt>
                <c:pt idx="108">
                  <c:v>65.418373582111812</c:v>
                </c:pt>
                <c:pt idx="109">
                  <c:v>65.162706124850715</c:v>
                </c:pt>
                <c:pt idx="110">
                  <c:v>64.907062114840798</c:v>
                </c:pt>
                <c:pt idx="111">
                  <c:v>64.645362745019398</c:v>
                </c:pt>
                <c:pt idx="112">
                  <c:v>64.383710386909783</c:v>
                </c:pt>
                <c:pt idx="113">
                  <c:v>64.116028892580573</c:v>
                </c:pt>
                <c:pt idx="114">
                  <c:v>63.848418910723808</c:v>
                </c:pt>
                <c:pt idx="115">
                  <c:v>63.57463420161659</c:v>
                </c:pt>
                <c:pt idx="116">
                  <c:v>63.300946545285868</c:v>
                </c:pt>
                <c:pt idx="117">
                  <c:v>63.020940956656858</c:v>
                </c:pt>
                <c:pt idx="118">
                  <c:v>62.741059078460268</c:v>
                </c:pt>
                <c:pt idx="119">
                  <c:v>62.454892109614846</c:v>
                </c:pt>
                <c:pt idx="120">
                  <c:v>62.168876512939079</c:v>
                </c:pt>
                <c:pt idx="121">
                  <c:v>61.876437475594003</c:v>
                </c:pt>
                <c:pt idx="122">
                  <c:v>61.584178669577369</c:v>
                </c:pt>
                <c:pt idx="123">
                  <c:v>61.28518778127075</c:v>
                </c:pt>
                <c:pt idx="124">
                  <c:v>60.986407506483161</c:v>
                </c:pt>
                <c:pt idx="125">
                  <c:v>60.68093586102043</c:v>
                </c:pt>
                <c:pt idx="126">
                  <c:v>60.375706350702188</c:v>
                </c:pt>
                <c:pt idx="127">
                  <c:v>60.063655992966687</c:v>
                </c:pt>
                <c:pt idx="128">
                  <c:v>59.751880711778298</c:v>
                </c:pt>
                <c:pt idx="129">
                  <c:v>59.433158379792459</c:v>
                </c:pt>
                <c:pt idx="130">
                  <c:v>59.114745556870048</c:v>
                </c:pt>
                <c:pt idx="131">
                  <c:v>58.789262918190644</c:v>
                </c:pt>
                <c:pt idx="132">
                  <c:v>58.626650511462117</c:v>
                </c:pt>
                <c:pt idx="133">
                  <c:v>58.464125781724135</c:v>
                </c:pt>
                <c:pt idx="134">
                  <c:v>58.297829704869017</c:v>
                </c:pt>
                <c:pt idx="135">
                  <c:v>58.131628197919326</c:v>
                </c:pt>
                <c:pt idx="136">
                  <c:v>57.965522577972607</c:v>
                </c:pt>
                <c:pt idx="137">
                  <c:v>57.799514138611386</c:v>
                </c:pt>
                <c:pt idx="138">
                  <c:v>57.629838512999129</c:v>
                </c:pt>
                <c:pt idx="139">
                  <c:v>57.460267194512127</c:v>
                </c:pt>
                <c:pt idx="140">
                  <c:v>57.290801493986436</c:v>
                </c:pt>
                <c:pt idx="141">
                  <c:v>57.121442698798901</c:v>
                </c:pt>
                <c:pt idx="142">
                  <c:v>56.948179885259691</c:v>
                </c:pt>
                <c:pt idx="143">
                  <c:v>56.775031764596591</c:v>
                </c:pt>
                <c:pt idx="144">
                  <c:v>56.601999644945764</c:v>
                </c:pt>
                <c:pt idx="145">
                  <c:v>56.429084810904342</c:v>
                </c:pt>
                <c:pt idx="146">
                  <c:v>56.25228726485102</c:v>
                </c:pt>
                <c:pt idx="147">
                  <c:v>56.075615148481589</c:v>
                </c:pt>
                <c:pt idx="148">
                  <c:v>55.899069764557808</c:v>
                </c:pt>
                <c:pt idx="149">
                  <c:v>55.722652392230458</c:v>
                </c:pt>
                <c:pt idx="150">
                  <c:v>55.542289800865589</c:v>
                </c:pt>
                <c:pt idx="151">
                  <c:v>55.362063844570031</c:v>
                </c:pt>
                <c:pt idx="152">
                  <c:v>55.181975819819485</c:v>
                </c:pt>
                <c:pt idx="153">
                  <c:v>55.00202699936554</c:v>
                </c:pt>
                <c:pt idx="154">
                  <c:v>54.817987557851183</c:v>
                </c:pt>
                <c:pt idx="155">
                  <c:v>54.634096575807419</c:v>
                </c:pt>
                <c:pt idx="156">
                  <c:v>54.450355344006397</c:v>
                </c:pt>
                <c:pt idx="157">
                  <c:v>54.266765129300524</c:v>
                </c:pt>
                <c:pt idx="158">
                  <c:v>54.079025730609033</c:v>
                </c:pt>
                <c:pt idx="159">
                  <c:v>53.891447128032368</c:v>
                </c:pt>
                <c:pt idx="160">
                  <c:v>53.704030605029317</c:v>
                </c:pt>
                <c:pt idx="161">
                  <c:v>53.516777420902457</c:v>
                </c:pt>
                <c:pt idx="162">
                  <c:v>53.325402427095511</c:v>
                </c:pt>
                <c:pt idx="163">
                  <c:v>53.134200936166124</c:v>
                </c:pt>
                <c:pt idx="164">
                  <c:v>52.943174220686004</c:v>
                </c:pt>
                <c:pt idx="165">
                  <c:v>52.752323528837493</c:v>
                </c:pt>
                <c:pt idx="166">
                  <c:v>52.557128360713534</c:v>
                </c:pt>
                <c:pt idx="167">
                  <c:v>52.362120238940719</c:v>
                </c:pt>
                <c:pt idx="168">
                  <c:v>52.167300426338343</c:v>
                </c:pt>
                <c:pt idx="169">
                  <c:v>51.972670160980471</c:v>
                </c:pt>
                <c:pt idx="170">
                  <c:v>51.774060234666337</c:v>
                </c:pt>
                <c:pt idx="171">
                  <c:v>51.575650612326029</c:v>
                </c:pt>
                <c:pt idx="172">
                  <c:v>51.3774425365431</c:v>
                </c:pt>
                <c:pt idx="173">
                  <c:v>51.179437224969377</c:v>
                </c:pt>
                <c:pt idx="174">
                  <c:v>50.976651927988854</c:v>
                </c:pt>
                <c:pt idx="175">
                  <c:v>50.774082261031054</c:v>
                </c:pt>
                <c:pt idx="176">
                  <c:v>50.571729457616783</c:v>
                </c:pt>
                <c:pt idx="177">
                  <c:v>50.369594725735652</c:v>
                </c:pt>
                <c:pt idx="178">
                  <c:v>50.162716885565032</c:v>
                </c:pt>
                <c:pt idx="179">
                  <c:v>49.956070460912002</c:v>
                </c:pt>
                <c:pt idx="180">
                  <c:v>49.749656670745253</c:v>
                </c:pt>
                <c:pt idx="181">
                  <c:v>49.543476707911822</c:v>
                </c:pt>
                <c:pt idx="182">
                  <c:v>49.3334152450754</c:v>
                </c:pt>
                <c:pt idx="183">
                  <c:v>49.1235994821144</c:v>
                </c:pt>
                <c:pt idx="184">
                  <c:v>48.914030603911073</c:v>
                </c:pt>
                <c:pt idx="185">
                  <c:v>48.704709769058951</c:v>
                </c:pt>
                <c:pt idx="186">
                  <c:v>48.489902412885726</c:v>
                </c:pt>
                <c:pt idx="187">
                  <c:v>48.275359301493864</c:v>
                </c:pt>
                <c:pt idx="188">
                  <c:v>48.061081607875309</c:v>
                </c:pt>
                <c:pt idx="189">
                  <c:v>47.847070477748559</c:v>
                </c:pt>
                <c:pt idx="190">
                  <c:v>47.629250566766075</c:v>
                </c:pt>
                <c:pt idx="191">
                  <c:v>47.411709808573107</c:v>
                </c:pt>
                <c:pt idx="192">
                  <c:v>47.194449331356054</c:v>
                </c:pt>
                <c:pt idx="193">
                  <c:v>46.97747023588542</c:v>
                </c:pt>
                <c:pt idx="194">
                  <c:v>46.75509621991884</c:v>
                </c:pt>
                <c:pt idx="195">
                  <c:v>46.533020795477285</c:v>
                </c:pt>
                <c:pt idx="196">
                  <c:v>46.311245065224085</c:v>
                </c:pt>
                <c:pt idx="197">
                  <c:v>46.089770103455777</c:v>
                </c:pt>
                <c:pt idx="198">
                  <c:v>45.863757133628354</c:v>
                </c:pt>
                <c:pt idx="199">
                  <c:v>45.638060428592127</c:v>
                </c:pt>
                <c:pt idx="200">
                  <c:v>45.412681046071071</c:v>
                </c:pt>
                <c:pt idx="201">
                  <c:v>45.18762001490731</c:v>
                </c:pt>
                <c:pt idx="202">
                  <c:v>44.958065944588157</c:v>
                </c:pt>
                <c:pt idx="203">
                  <c:v>44.728846095202016</c:v>
                </c:pt>
                <c:pt idx="204">
                  <c:v>44.499961472960791</c:v>
                </c:pt>
                <c:pt idx="205">
                  <c:v>44.271413054705846</c:v>
                </c:pt>
                <c:pt idx="206">
                  <c:v>44.037620432775384</c:v>
                </c:pt>
                <c:pt idx="207">
                  <c:v>43.804182656967782</c:v>
                </c:pt>
                <c:pt idx="208">
                  <c:v>43.571100684913461</c:v>
                </c:pt>
                <c:pt idx="209">
                  <c:v>43.338375444006658</c:v>
                </c:pt>
                <c:pt idx="210">
                  <c:v>43.099668347637589</c:v>
                </c:pt>
                <c:pt idx="211">
                  <c:v>42.86133961685988</c:v>
                </c:pt>
                <c:pt idx="212">
                  <c:v>42.623390160757026</c:v>
                </c:pt>
                <c:pt idx="213">
                  <c:v>42.385820856941251</c:v>
                </c:pt>
                <c:pt idx="214">
                  <c:v>42.143908424668552</c:v>
                </c:pt>
                <c:pt idx="215">
                  <c:v>41.902393197680567</c:v>
                </c:pt>
                <c:pt idx="216">
                  <c:v>41.661276009328191</c:v>
                </c:pt>
                <c:pt idx="217">
                  <c:v>41.420557661141032</c:v>
                </c:pt>
                <c:pt idx="218">
                  <c:v>41.174764008591922</c:v>
                </c:pt>
                <c:pt idx="219">
                  <c:v>40.929389188216049</c:v>
                </c:pt>
                <c:pt idx="220">
                  <c:v>40.684433957776719</c:v>
                </c:pt>
                <c:pt idx="221">
                  <c:v>40.439899042505886</c:v>
                </c:pt>
                <c:pt idx="222">
                  <c:v>40.190347908411979</c:v>
                </c:pt>
                <c:pt idx="223">
                  <c:v>39.941237469621939</c:v>
                </c:pt>
                <c:pt idx="224">
                  <c:v>39.692568399084848</c:v>
                </c:pt>
                <c:pt idx="225">
                  <c:v>39.444341336579924</c:v>
                </c:pt>
                <c:pt idx="226">
                  <c:v>39.190387233890874</c:v>
                </c:pt>
                <c:pt idx="227">
                  <c:v>38.936898701787499</c:v>
                </c:pt>
                <c:pt idx="228">
                  <c:v>38.683876324312791</c:v>
                </c:pt>
                <c:pt idx="229">
                  <c:v>38.431320651369191</c:v>
                </c:pt>
                <c:pt idx="230">
                  <c:v>37.915386510084119</c:v>
                </c:pt>
                <c:pt idx="231">
                  <c:v>37.658156030027214</c:v>
                </c:pt>
                <c:pt idx="232">
                  <c:v>37.401417219956215</c:v>
                </c:pt>
                <c:pt idx="233">
                  <c:v>37.139093468190509</c:v>
                </c:pt>
                <c:pt idx="234">
                  <c:v>36.877285848255411</c:v>
                </c:pt>
                <c:pt idx="235">
                  <c:v>36.61599473130596</c:v>
                </c:pt>
                <c:pt idx="236">
                  <c:v>36.355220452730748</c:v>
                </c:pt>
                <c:pt idx="237">
                  <c:v>36.089688087841324</c:v>
                </c:pt>
                <c:pt idx="238">
                  <c:v>35.824694341640225</c:v>
                </c:pt>
                <c:pt idx="239">
                  <c:v>35.560239459390829</c:v>
                </c:pt>
                <c:pt idx="240">
                  <c:v>35.296323650367015</c:v>
                </c:pt>
                <c:pt idx="241">
                  <c:v>35.026220100053848</c:v>
                </c:pt>
                <c:pt idx="242">
                  <c:v>34.756683874201968</c:v>
                </c:pt>
                <c:pt idx="243">
                  <c:v>34.487715084974838</c:v>
                </c:pt>
                <c:pt idx="244">
                  <c:v>34.219313807641612</c:v>
                </c:pt>
                <c:pt idx="245">
                  <c:v>33.945551135954503</c:v>
                </c:pt>
                <c:pt idx="246">
                  <c:v>33.672381451864283</c:v>
                </c:pt>
                <c:pt idx="247">
                  <c:v>33.399804720814899</c:v>
                </c:pt>
                <c:pt idx="248">
                  <c:v>33.127820871020049</c:v>
                </c:pt>
                <c:pt idx="249">
                  <c:v>32.8498179037569</c:v>
                </c:pt>
                <c:pt idx="250">
                  <c:v>32.572436822395844</c:v>
                </c:pt>
                <c:pt idx="251">
                  <c:v>32.295677433047786</c:v>
                </c:pt>
                <c:pt idx="252">
                  <c:v>32.01953950403103</c:v>
                </c:pt>
                <c:pt idx="253">
                  <c:v>31.738198435006922</c:v>
                </c:pt>
                <c:pt idx="254">
                  <c:v>31.457504804422001</c:v>
                </c:pt>
                <c:pt idx="255">
                  <c:v>31.177458248563681</c:v>
                </c:pt>
                <c:pt idx="256">
                  <c:v>30.898058365951471</c:v>
                </c:pt>
                <c:pt idx="257">
                  <c:v>30.61209170464889</c:v>
                </c:pt>
                <c:pt idx="258">
                  <c:v>30.32680468242134</c:v>
                </c:pt>
                <c:pt idx="259">
                  <c:v>30.042196747130049</c:v>
                </c:pt>
                <c:pt idx="260">
                  <c:v>29.75826730832506</c:v>
                </c:pt>
                <c:pt idx="261">
                  <c:v>29.468586075396189</c:v>
                </c:pt>
                <c:pt idx="262">
                  <c:v>29.179613161943649</c:v>
                </c:pt>
                <c:pt idx="263">
                  <c:v>28.891347817528469</c:v>
                </c:pt>
                <c:pt idx="264">
                  <c:v>28.603789253483257</c:v>
                </c:pt>
                <c:pt idx="265">
                  <c:v>28.310570153080079</c:v>
                </c:pt>
                <c:pt idx="266">
                  <c:v>28.018087809604651</c:v>
                </c:pt>
                <c:pt idx="267">
                  <c:v>27.726341262543798</c:v>
                </c:pt>
                <c:pt idx="268">
                  <c:v>27.435329513483282</c:v>
                </c:pt>
                <c:pt idx="269">
                  <c:v>27.138049048522703</c:v>
                </c:pt>
                <c:pt idx="270">
                  <c:v>26.841537070166225</c:v>
                </c:pt>
                <c:pt idx="271">
                  <c:v>26.54579238831613</c:v>
                </c:pt>
                <c:pt idx="272">
                  <c:v>26.250813775204108</c:v>
                </c:pt>
                <c:pt idx="273">
                  <c:v>25.949670182550534</c:v>
                </c:pt>
                <c:pt idx="274">
                  <c:v>25.649326500283593</c:v>
                </c:pt>
                <c:pt idx="275">
                  <c:v>25.349781295393853</c:v>
                </c:pt>
                <c:pt idx="276">
                  <c:v>25.051033097728435</c:v>
                </c:pt>
                <c:pt idx="277">
                  <c:v>24.746910066849068</c:v>
                </c:pt>
                <c:pt idx="278">
                  <c:v>24.443614232324364</c:v>
                </c:pt>
                <c:pt idx="279">
                  <c:v>24.141143917420919</c:v>
                </c:pt>
                <c:pt idx="280">
                  <c:v>23.839497409419039</c:v>
                </c:pt>
                <c:pt idx="281">
                  <c:v>23.5305356360372</c:v>
                </c:pt>
                <c:pt idx="282">
                  <c:v>23.222439130069915</c:v>
                </c:pt>
                <c:pt idx="283">
                  <c:v>22.915205924122574</c:v>
                </c:pt>
                <c:pt idx="284">
                  <c:v>22.608834015329649</c:v>
                </c:pt>
                <c:pt idx="285">
                  <c:v>22.297286911383253</c:v>
                </c:pt>
                <c:pt idx="286">
                  <c:v>21.98663119996553</c:v>
                </c:pt>
                <c:pt idx="287">
                  <c:v>21.676864650078329</c:v>
                </c:pt>
                <c:pt idx="288">
                  <c:v>21.367984997039315</c:v>
                </c:pt>
                <c:pt idx="289">
                  <c:v>21.052036268117604</c:v>
                </c:pt>
                <c:pt idx="290">
                  <c:v>20.737015970951376</c:v>
                </c:pt>
                <c:pt idx="291">
                  <c:v>20.422921557400429</c:v>
                </c:pt>
                <c:pt idx="292">
                  <c:v>20.109750446899426</c:v>
                </c:pt>
                <c:pt idx="293">
                  <c:v>19.790295019672925</c:v>
                </c:pt>
                <c:pt idx="294">
                  <c:v>19.471800498488165</c:v>
                </c:pt>
                <c:pt idx="295">
                  <c:v>19.154264021909938</c:v>
                </c:pt>
                <c:pt idx="296">
                  <c:v>18.837682698004727</c:v>
                </c:pt>
                <c:pt idx="297">
                  <c:v>18.514935380478533</c:v>
                </c:pt>
                <c:pt idx="298">
                  <c:v>18.193180642639533</c:v>
                </c:pt>
                <c:pt idx="299">
                  <c:v>17.872415300952525</c:v>
                </c:pt>
                <c:pt idx="300">
                  <c:v>17.552636143678427</c:v>
                </c:pt>
                <c:pt idx="301">
                  <c:v>17.226809319534766</c:v>
                </c:pt>
                <c:pt idx="302">
                  <c:v>16.90200585794787</c:v>
                </c:pt>
                <c:pt idx="303">
                  <c:v>16.578222246173311</c:v>
                </c:pt>
                <c:pt idx="304">
                  <c:v>16.255454945916057</c:v>
                </c:pt>
                <c:pt idx="305">
                  <c:v>15.925495926430699</c:v>
                </c:pt>
                <c:pt idx="306">
                  <c:v>15.596598180338304</c:v>
                </c:pt>
                <c:pt idx="307">
                  <c:v>15.268757815627168</c:v>
                </c:pt>
                <c:pt idx="308">
                  <c:v>14.9419709173944</c:v>
                </c:pt>
                <c:pt idx="309">
                  <c:v>14.609380614357434</c:v>
                </c:pt>
                <c:pt idx="310">
                  <c:v>14.277880327768628</c:v>
                </c:pt>
                <c:pt idx="311">
                  <c:v>13.947465824272115</c:v>
                </c:pt>
                <c:pt idx="312">
                  <c:v>13.61813285102474</c:v>
                </c:pt>
                <c:pt idx="313">
                  <c:v>13.281884321657714</c:v>
                </c:pt>
                <c:pt idx="314">
                  <c:v>12.946761631778514</c:v>
                </c:pt>
                <c:pt idx="315">
                  <c:v>12.612760154355186</c:v>
                </c:pt>
                <c:pt idx="316">
                  <c:v>12.279875246354266</c:v>
                </c:pt>
                <c:pt idx="317">
                  <c:v>11.940216406802335</c:v>
                </c:pt>
                <c:pt idx="318">
                  <c:v>11.601718044348786</c:v>
                </c:pt>
                <c:pt idx="319">
                  <c:v>11.264375132539726</c:v>
                </c:pt>
                <c:pt idx="320">
                  <c:v>10.928182632826577</c:v>
                </c:pt>
                <c:pt idx="321">
                  <c:v>10.585357289289846</c:v>
                </c:pt>
                <c:pt idx="322">
                  <c:v>10.243725780358176</c:v>
                </c:pt>
                <c:pt idx="323">
                  <c:v>9.9032826766847677</c:v>
                </c:pt>
                <c:pt idx="324">
                  <c:v>9.564022541128395</c:v>
                </c:pt>
                <c:pt idx="325">
                  <c:v>9.2182698767081206</c:v>
                </c:pt>
                <c:pt idx="326">
                  <c:v>8.8737430397801234</c:v>
                </c:pt>
                <c:pt idx="327">
                  <c:v>8.5304361969024853</c:v>
                </c:pt>
                <c:pt idx="328">
                  <c:v>8.1883435114993404</c:v>
                </c:pt>
                <c:pt idx="329">
                  <c:v>7.8393159849262304</c:v>
                </c:pt>
                <c:pt idx="330">
                  <c:v>7.4915490350367406</c:v>
                </c:pt>
                <c:pt idx="331">
                  <c:v>7.1450363939835597</c:v>
                </c:pt>
                <c:pt idx="332">
                  <c:v>6.7997717957877626</c:v>
                </c:pt>
                <c:pt idx="333">
                  <c:v>6.4482964268082981</c:v>
                </c:pt>
                <c:pt idx="334">
                  <c:v>6.0981106480943197</c:v>
                </c:pt>
                <c:pt idx="335">
                  <c:v>5.7492077906706243</c:v>
                </c:pt>
                <c:pt idx="336">
                  <c:v>5.4015811927393713</c:v>
                </c:pt>
                <c:pt idx="337">
                  <c:v>5.0467509428358142</c:v>
                </c:pt>
                <c:pt idx="338">
                  <c:v>4.6932461529189027</c:v>
                </c:pt>
                <c:pt idx="339">
                  <c:v>4.341059690299943</c:v>
                </c:pt>
                <c:pt idx="340">
                  <c:v>3.9901844351841476</c:v>
                </c:pt>
                <c:pt idx="341">
                  <c:v>3.6322662494291649</c:v>
                </c:pt>
                <c:pt idx="342">
                  <c:v>3.2757076974833126</c:v>
                </c:pt>
                <c:pt idx="343">
                  <c:v>2.9205011855735847</c:v>
                </c:pt>
                <c:pt idx="344">
                  <c:v>2.5666391388768091</c:v>
                </c:pt>
                <c:pt idx="345">
                  <c:v>2.2064413767497797</c:v>
                </c:pt>
                <c:pt idx="346">
                  <c:v>1.8476314313602984</c:v>
                </c:pt>
                <c:pt idx="347">
                  <c:v>1.4902012896470467</c:v>
                </c:pt>
                <c:pt idx="348">
                  <c:v>1.1341429636852354</c:v>
                </c:pt>
                <c:pt idx="349">
                  <c:v>0.77081437809815156</c:v>
                </c:pt>
                <c:pt idx="350">
                  <c:v>0.40890845822568167</c:v>
                </c:pt>
                <c:pt idx="351">
                  <c:v>4.8416705776816116E-2</c:v>
                </c:pt>
                <c:pt idx="352">
                  <c:v>-0.31066934567928683</c:v>
                </c:pt>
                <c:pt idx="353">
                  <c:v>-0.67685756835194866</c:v>
                </c:pt>
                <c:pt idx="354">
                  <c:v>-1.0415902088055589</c:v>
                </c:pt>
                <c:pt idx="355">
                  <c:v>-1.4048762430190322</c:v>
                </c:pt>
                <c:pt idx="356">
                  <c:v>-1.76672460814018</c:v>
                </c:pt>
                <c:pt idx="357">
                  <c:v>-2.1349863386827224</c:v>
                </c:pt>
                <c:pt idx="358">
                  <c:v>-2.5017657657766392</c:v>
                </c:pt>
                <c:pt idx="359">
                  <c:v>-2.867072293045851</c:v>
                </c:pt>
                <c:pt idx="360">
                  <c:v>-3.2309152783929278</c:v>
                </c:pt>
                <c:pt idx="361">
                  <c:v>-3.6020494151247817</c:v>
                </c:pt>
                <c:pt idx="362">
                  <c:v>-3.9716680903284782</c:v>
                </c:pt>
                <c:pt idx="363">
                  <c:v>-4.3397812035878189</c:v>
                </c:pt>
                <c:pt idx="364">
                  <c:v>-4.7063986012342127</c:v>
                </c:pt>
                <c:pt idx="365">
                  <c:v>-5.0796273060011288</c:v>
                </c:pt>
                <c:pt idx="366">
                  <c:v>-5.4513137136813157</c:v>
                </c:pt>
                <c:pt idx="367">
                  <c:v>-5.8214681653357729</c:v>
                </c:pt>
                <c:pt idx="368">
                  <c:v>-6.190100941448776</c:v>
                </c:pt>
                <c:pt idx="369">
                  <c:v>-6.56618192348094</c:v>
                </c:pt>
                <c:pt idx="370">
                  <c:v>-6.9406875359101718</c:v>
                </c:pt>
                <c:pt idx="371">
                  <c:v>-7.3136286312666812</c:v>
                </c:pt>
                <c:pt idx="372">
                  <c:v>-7.6850159934638214</c:v>
                </c:pt>
                <c:pt idx="373">
                  <c:v>-8.0631812989244054</c:v>
                </c:pt>
                <c:pt idx="374">
                  <c:v>-8.4397446036587098</c:v>
                </c:pt>
                <c:pt idx="375">
                  <c:v>-8.8147172128295779</c:v>
                </c:pt>
                <c:pt idx="376">
                  <c:v>-9.188110355279747</c:v>
                </c:pt>
                <c:pt idx="377">
                  <c:v>-9.5690784757548499</c:v>
                </c:pt>
                <c:pt idx="378">
                  <c:v>-9.9484119458558098</c:v>
                </c:pt>
                <c:pt idx="379">
                  <c:v>-10.326122594632835</c:v>
                </c:pt>
                <c:pt idx="380">
                  <c:v>-10.702222166333257</c:v>
                </c:pt>
                <c:pt idx="381">
                  <c:v>-11.084763691049403</c:v>
                </c:pt>
                <c:pt idx="382">
                  <c:v>-11.465648558353877</c:v>
                </c:pt>
                <c:pt idx="383">
                  <c:v>-11.844889012774587</c:v>
                </c:pt>
                <c:pt idx="384">
                  <c:v>-12.222497206492136</c:v>
                </c:pt>
                <c:pt idx="385">
                  <c:v>-12.607782893671157</c:v>
                </c:pt>
                <c:pt idx="386">
                  <c:v>-12.991379955825664</c:v>
                </c:pt>
                <c:pt idx="387">
                  <c:v>-13.37330117020079</c:v>
                </c:pt>
                <c:pt idx="388">
                  <c:v>-13.753559212888831</c:v>
                </c:pt>
                <c:pt idx="389">
                  <c:v>-14.14084571891371</c:v>
                </c:pt>
                <c:pt idx="390">
                  <c:v>-14.526418266313613</c:v>
                </c:pt>
                <c:pt idx="391">
                  <c:v>-14.91029009843524</c:v>
                </c:pt>
                <c:pt idx="392">
                  <c:v>-15.292474349279274</c:v>
                </c:pt>
                <c:pt idx="393">
                  <c:v>-15.681510643702211</c:v>
                </c:pt>
                <c:pt idx="394">
                  <c:v>-16.068810125772444</c:v>
                </c:pt>
                <c:pt idx="395">
                  <c:v>-16.454386482919261</c:v>
                </c:pt>
                <c:pt idx="396">
                  <c:v>-16.83825328524631</c:v>
                </c:pt>
                <c:pt idx="397">
                  <c:v>-17.229681142565738</c:v>
                </c:pt>
                <c:pt idx="398">
                  <c:v>-17.619343875271824</c:v>
                </c:pt>
                <c:pt idx="399">
                  <c:v>-18.007255687432689</c:v>
                </c:pt>
                <c:pt idx="400">
                  <c:v>-18.3934306569505</c:v>
                </c:pt>
                <c:pt idx="401">
                  <c:v>-18.786541336059656</c:v>
                </c:pt>
                <c:pt idx="402">
                  <c:v>-19.177865248122657</c:v>
                </c:pt>
                <c:pt idx="403">
                  <c:v>-19.567417042267493</c:v>
                </c:pt>
                <c:pt idx="404">
                  <c:v>-19.955211233442611</c:v>
                </c:pt>
                <c:pt idx="405">
                  <c:v>-20.350189847752716</c:v>
                </c:pt>
                <c:pt idx="406">
                  <c:v>-20.74335875421059</c:v>
                </c:pt>
                <c:pt idx="407">
                  <c:v>-21.134733071173144</c:v>
                </c:pt>
                <c:pt idx="408">
                  <c:v>-21.524327774525403</c:v>
                </c:pt>
                <c:pt idx="409">
                  <c:v>-21.921340543480767</c:v>
                </c:pt>
                <c:pt idx="410">
                  <c:v>-22.316519537777026</c:v>
                </c:pt>
                <c:pt idx="411">
                  <c:v>-22.709880368995641</c:v>
                </c:pt>
                <c:pt idx="412">
                  <c:v>-23.101438497661377</c:v>
                </c:pt>
                <c:pt idx="413">
                  <c:v>-23.500223939039074</c:v>
                </c:pt>
                <c:pt idx="414">
                  <c:v>-23.897154395808286</c:v>
                </c:pt>
                <c:pt idx="415">
                  <c:v>-24.292245947034559</c:v>
                </c:pt>
                <c:pt idx="416">
                  <c:v>-24.68551451249661</c:v>
                </c:pt>
                <c:pt idx="417">
                  <c:v>-25.086226585216622</c:v>
                </c:pt>
                <c:pt idx="418">
                  <c:v>-25.485061544004282</c:v>
                </c:pt>
                <c:pt idx="419">
                  <c:v>-25.882035958763197</c:v>
                </c:pt>
                <c:pt idx="420">
                  <c:v>-26.277166231607112</c:v>
                </c:pt>
                <c:pt idx="421">
                  <c:v>-26.679152926830255</c:v>
                </c:pt>
                <c:pt idx="422">
                  <c:v>-27.079247067855221</c:v>
                </c:pt>
                <c:pt idx="423">
                  <c:v>-27.477465638466441</c:v>
                </c:pt>
                <c:pt idx="424">
                  <c:v>-27.873825447255797</c:v>
                </c:pt>
                <c:pt idx="425">
                  <c:v>-28.278027668544098</c:v>
                </c:pt>
                <c:pt idx="426">
                  <c:v>-28.680313698954706</c:v>
                </c:pt>
                <c:pt idx="427">
                  <c:v>-29.080701059506708</c:v>
                </c:pt>
                <c:pt idx="428">
                  <c:v>-29.479207086990272</c:v>
                </c:pt>
                <c:pt idx="429">
                  <c:v>-29.884971567682214</c:v>
                </c:pt>
                <c:pt idx="430">
                  <c:v>-30.288803096244749</c:v>
                </c:pt>
                <c:pt idx="431">
                  <c:v>-30.690719652236851</c:v>
                </c:pt>
                <c:pt idx="432">
                  <c:v>-31.090739023108455</c:v>
                </c:pt>
                <c:pt idx="433">
                  <c:v>-31.497829450625602</c:v>
                </c:pt>
                <c:pt idx="434">
                  <c:v>-31.902973233694524</c:v>
                </c:pt>
                <c:pt idx="435">
                  <c:v>-32.306188782177543</c:v>
                </c:pt>
                <c:pt idx="436">
                  <c:v>-32.707494306439969</c:v>
                </c:pt>
                <c:pt idx="437">
                  <c:v>-33.116420885521848</c:v>
                </c:pt>
                <c:pt idx="438">
                  <c:v>-33.523383154310011</c:v>
                </c:pt>
                <c:pt idx="439">
                  <c:v>-33.928400025831849</c:v>
                </c:pt>
                <c:pt idx="440">
                  <c:v>-34.331490205268295</c:v>
                </c:pt>
                <c:pt idx="441">
                  <c:v>-34.742004489931276</c:v>
                </c:pt>
                <c:pt idx="442">
                  <c:v>-35.15054015783457</c:v>
                </c:pt>
                <c:pt idx="443">
                  <c:v>-35.55711659576022</c:v>
                </c:pt>
                <c:pt idx="444">
                  <c:v>-35.961752974813237</c:v>
                </c:pt>
                <c:pt idx="445">
                  <c:v>-36.373622698993188</c:v>
                </c:pt>
                <c:pt idx="446">
                  <c:v>-36.783502829345906</c:v>
                </c:pt>
                <c:pt idx="447">
                  <c:v>-37.19141319699628</c:v>
                </c:pt>
                <c:pt idx="448">
                  <c:v>-37.597373410106371</c:v>
                </c:pt>
                <c:pt idx="449">
                  <c:v>-38.011073235108995</c:v>
                </c:pt>
                <c:pt idx="450">
                  <c:v>-38.422769113632285</c:v>
                </c:pt>
                <c:pt idx="451">
                  <c:v>-38.832481393384683</c:v>
                </c:pt>
                <c:pt idx="452">
                  <c:v>-39.240230190855272</c:v>
                </c:pt>
                <c:pt idx="453">
                  <c:v>-39.655181915788262</c:v>
                </c:pt>
                <c:pt idx="454">
                  <c:v>-40.068122251126738</c:v>
                </c:pt>
                <c:pt idx="455">
                  <c:v>-40.479071979876636</c:v>
                </c:pt>
                <c:pt idx="456">
                  <c:v>-40.888051646923913</c:v>
                </c:pt>
                <c:pt idx="457">
                  <c:v>-41.304717509308858</c:v>
                </c:pt>
                <c:pt idx="458">
                  <c:v>-41.719361520080838</c:v>
                </c:pt>
                <c:pt idx="459">
                  <c:v>-42.132004969591179</c:v>
                </c:pt>
                <c:pt idx="460">
                  <c:v>-42.542668902208504</c:v>
                </c:pt>
                <c:pt idx="461">
                  <c:v>-42.960825437364406</c:v>
                </c:pt>
                <c:pt idx="462">
                  <c:v>-43.376953416808362</c:v>
                </c:pt>
                <c:pt idx="463">
                  <c:v>-43.791074607552957</c:v>
                </c:pt>
                <c:pt idx="464">
                  <c:v>-44.203210523388748</c:v>
                </c:pt>
                <c:pt idx="465">
                  <c:v>-44.622972448224147</c:v>
                </c:pt>
                <c:pt idx="466">
                  <c:v>-45.040699748819094</c:v>
                </c:pt>
                <c:pt idx="467">
                  <c:v>-45.456414689316347</c:v>
                </c:pt>
                <c:pt idx="468">
                  <c:v>-45.870139273253329</c:v>
                </c:pt>
                <c:pt idx="469">
                  <c:v>-46.291301886563389</c:v>
                </c:pt>
                <c:pt idx="470">
                  <c:v>-46.710427694183039</c:v>
                </c:pt>
                <c:pt idx="471">
                  <c:v>-47.127539426897556</c:v>
                </c:pt>
                <c:pt idx="472">
                  <c:v>-47.542659548174328</c:v>
                </c:pt>
                <c:pt idx="473">
                  <c:v>-47.965652648704406</c:v>
                </c:pt>
                <c:pt idx="474">
                  <c:v>-48.386604701014278</c:v>
                </c:pt>
                <c:pt idx="475">
                  <c:v>-48.805538973882079</c:v>
                </c:pt>
                <c:pt idx="476">
                  <c:v>-49.222478461163263</c:v>
                </c:pt>
                <c:pt idx="477">
                  <c:v>-49.647101073950154</c:v>
                </c:pt>
                <c:pt idx="478">
                  <c:v>-50.069682622187116</c:v>
                </c:pt>
                <c:pt idx="479">
                  <c:v>-50.490246881898258</c:v>
                </c:pt>
                <c:pt idx="480">
                  <c:v>-50.90881734732065</c:v>
                </c:pt>
                <c:pt idx="481">
                  <c:v>-51.334889602100844</c:v>
                </c:pt>
                <c:pt idx="482">
                  <c:v>-51.758924974655599</c:v>
                </c:pt>
                <c:pt idx="483">
                  <c:v>-52.180947718560702</c:v>
                </c:pt>
                <c:pt idx="484">
                  <c:v>-52.600981799512169</c:v>
                </c:pt>
                <c:pt idx="485">
                  <c:v>-53.028635426895534</c:v>
                </c:pt>
                <c:pt idx="486">
                  <c:v>-53.454257775020523</c:v>
                </c:pt>
                <c:pt idx="487">
                  <c:v>-53.8778735969195</c:v>
                </c:pt>
                <c:pt idx="488">
                  <c:v>-54.299507351657326</c:v>
                </c:pt>
                <c:pt idx="489">
                  <c:v>-54.72915861112088</c:v>
                </c:pt>
                <c:pt idx="490">
                  <c:v>-55.156783195604532</c:v>
                </c:pt>
                <c:pt idx="491">
                  <c:v>-55.582406430085541</c:v>
                </c:pt>
                <c:pt idx="492">
                  <c:v>-56.006053338752906</c:v>
                </c:pt>
                <c:pt idx="493">
                  <c:v>-56.437538998881081</c:v>
                </c:pt>
                <c:pt idx="494">
                  <c:v>-56.867007352756957</c:v>
                </c:pt>
                <c:pt idx="495">
                  <c:v>-57.294484269221527</c:v>
                </c:pt>
                <c:pt idx="496">
                  <c:v>-57.719995310433092</c:v>
                </c:pt>
                <c:pt idx="497">
                  <c:v>-58.153450791552359</c:v>
                </c:pt>
                <c:pt idx="498">
                  <c:v>-58.584900561430828</c:v>
                </c:pt>
                <c:pt idx="499">
                  <c:v>-59.014371056797785</c:v>
                </c:pt>
                <c:pt idx="500">
                  <c:v>-59.44188840199547</c:v>
                </c:pt>
                <c:pt idx="501">
                  <c:v>-59.87745343953415</c:v>
                </c:pt>
                <c:pt idx="502">
                  <c:v>-60.311026879721936</c:v>
                </c:pt>
                <c:pt idx="503">
                  <c:v>-60.742635752605167</c:v>
                </c:pt>
                <c:pt idx="504">
                  <c:v>-61.172306770405044</c:v>
                </c:pt>
                <c:pt idx="505">
                  <c:v>-61.609862403138891</c:v>
                </c:pt>
                <c:pt idx="506">
                  <c:v>-62.045445755466403</c:v>
                </c:pt>
                <c:pt idx="507">
                  <c:v>-62.479084428095774</c:v>
                </c:pt>
                <c:pt idx="508">
                  <c:v>-62.910805699598853</c:v>
                </c:pt>
                <c:pt idx="509">
                  <c:v>-63.350519598722457</c:v>
                </c:pt>
                <c:pt idx="510">
                  <c:v>-63.788283461211989</c:v>
                </c:pt>
                <c:pt idx="511">
                  <c:v>-64.224125488971708</c:v>
                </c:pt>
                <c:pt idx="512">
                  <c:v>-64.658073557885018</c:v>
                </c:pt>
                <c:pt idx="513">
                  <c:v>-65.100377767753486</c:v>
                </c:pt>
                <c:pt idx="514">
                  <c:v>-65.540755240368185</c:v>
                </c:pt>
                <c:pt idx="515">
                  <c:v>-65.979234862130653</c:v>
                </c:pt>
                <c:pt idx="516">
                  <c:v>-66.415845189314552</c:v>
                </c:pt>
                <c:pt idx="517">
                  <c:v>-66.860662794602575</c:v>
                </c:pt>
                <c:pt idx="518">
                  <c:v>-67.303582962793655</c:v>
                </c:pt>
                <c:pt idx="519">
                  <c:v>-67.744635251213111</c:v>
                </c:pt>
                <c:pt idx="520">
                  <c:v>-68.183848884389676</c:v>
                </c:pt>
                <c:pt idx="521">
                  <c:v>-68.631380663402496</c:v>
                </c:pt>
                <c:pt idx="522">
                  <c:v>-69.077048337883753</c:v>
                </c:pt>
                <c:pt idx="523">
                  <c:v>-69.520882177590238</c:v>
                </c:pt>
                <c:pt idx="524">
                  <c:v>-69.962912117608454</c:v>
                </c:pt>
                <c:pt idx="525">
                  <c:v>-70.413374091421957</c:v>
                </c:pt>
                <c:pt idx="526">
                  <c:v>-70.862009752815538</c:v>
                </c:pt>
                <c:pt idx="527">
                  <c:v>-71.308850130815642</c:v>
                </c:pt>
                <c:pt idx="528">
                  <c:v>-71.753925918853469</c:v>
                </c:pt>
                <c:pt idx="529">
                  <c:v>-72.207551796722782</c:v>
                </c:pt>
                <c:pt idx="530">
                  <c:v>-72.659394078669635</c:v>
                </c:pt>
                <c:pt idx="531">
                  <c:v>-73.109484606207843</c:v>
                </c:pt>
                <c:pt idx="532">
                  <c:v>-73.557854885452429</c:v>
                </c:pt>
                <c:pt idx="533">
                  <c:v>-74.01513420781933</c:v>
                </c:pt>
                <c:pt idx="534">
                  <c:v>-74.470676308319241</c:v>
                </c:pt>
                <c:pt idx="535">
                  <c:v>-74.924513952183673</c:v>
                </c:pt>
                <c:pt idx="536">
                  <c:v>-75.376679570071161</c:v>
                </c:pt>
                <c:pt idx="537">
                  <c:v>-75.837415130324786</c:v>
                </c:pt>
                <c:pt idx="538">
                  <c:v>-76.296469453921191</c:v>
                </c:pt>
                <c:pt idx="539">
                  <c:v>-76.753876197998864</c:v>
                </c:pt>
                <c:pt idx="540">
                  <c:v>-77.209668688856084</c:v>
                </c:pt>
                <c:pt idx="541">
                  <c:v>-77.674631908006234</c:v>
                </c:pt>
                <c:pt idx="542">
                  <c:v>-78.137973060899014</c:v>
                </c:pt>
                <c:pt idx="543">
                  <c:v>-78.599726879006994</c:v>
                </c:pt>
                <c:pt idx="544">
                  <c:v>-79.059927767120143</c:v>
                </c:pt>
                <c:pt idx="545">
                  <c:v>-79.529217049970555</c:v>
                </c:pt>
                <c:pt idx="546">
                  <c:v>-79.996952484419637</c:v>
                </c:pt>
                <c:pt idx="547">
                  <c:v>-80.463169917444418</c:v>
                </c:pt>
                <c:pt idx="548">
                  <c:v>-80.927904876198227</c:v>
                </c:pt>
                <c:pt idx="549">
                  <c:v>-81.401887592515322</c:v>
                </c:pt>
                <c:pt idx="550">
                  <c:v>-81.874392740637063</c:v>
                </c:pt>
                <c:pt idx="551">
                  <c:v>-82.345457389784599</c:v>
                </c:pt>
                <c:pt idx="552">
                  <c:v>-82.815118298523373</c:v>
                </c:pt>
                <c:pt idx="553">
                  <c:v>-83.294419607978284</c:v>
                </c:pt>
                <c:pt idx="554">
                  <c:v>-83.772327279665092</c:v>
                </c:pt>
                <c:pt idx="555">
                  <c:v>-84.248879780983316</c:v>
                </c:pt>
                <c:pt idx="556">
                  <c:v>-84.724115279918465</c:v>
                </c:pt>
                <c:pt idx="557">
                  <c:v>-85.692935534301853</c:v>
                </c:pt>
                <c:pt idx="558">
                  <c:v>-86.656717383636305</c:v>
                </c:pt>
                <c:pt idx="559">
                  <c:v>-87.637707613459952</c:v>
                </c:pt>
                <c:pt idx="560">
                  <c:v>-88.614091609695777</c:v>
                </c:pt>
                <c:pt idx="561">
                  <c:v>-89.609214334722196</c:v>
                </c:pt>
                <c:pt idx="562">
                  <c:v>-90.600205579642761</c:v>
                </c:pt>
                <c:pt idx="563">
                  <c:v>-91.608557069922654</c:v>
                </c:pt>
                <c:pt idx="564">
                  <c:v>-92.613323776524908</c:v>
                </c:pt>
                <c:pt idx="565">
                  <c:v>-93.640077576247052</c:v>
                </c:pt>
                <c:pt idx="566">
                  <c:v>-94.663829438814901</c:v>
                </c:pt>
                <c:pt idx="567">
                  <c:v>-95.710042404207513</c:v>
                </c:pt>
                <c:pt idx="568">
                  <c:v>-96.753915028452582</c:v>
                </c:pt>
                <c:pt idx="569">
                  <c:v>-97.816675651920775</c:v>
                </c:pt>
                <c:pt idx="570">
                  <c:v>-98.877853440811123</c:v>
                </c:pt>
                <c:pt idx="571">
                  <c:v>-99.966962080848532</c:v>
                </c:pt>
                <c:pt idx="572">
                  <c:v>-101.05531267539601</c:v>
                </c:pt>
                <c:pt idx="573">
                  <c:v>-102.16413037161976</c:v>
                </c:pt>
                <c:pt idx="574">
                  <c:v>-103.27312592949949</c:v>
                </c:pt>
                <c:pt idx="575">
                  <c:v>-104.41189121176347</c:v>
                </c:pt>
                <c:pt idx="576">
                  <c:v>-105.5518815043884</c:v>
                </c:pt>
                <c:pt idx="577">
                  <c:v>-110.40381293866949</c:v>
                </c:pt>
                <c:pt idx="578">
                  <c:v>-115.32729825366516</c:v>
                </c:pt>
                <c:pt idx="579">
                  <c:v>-126.56616690677487</c:v>
                </c:pt>
                <c:pt idx="580">
                  <c:v>-140.03194448108195</c:v>
                </c:pt>
                <c:pt idx="581">
                  <c:v>-156.69567252889999</c:v>
                </c:pt>
                <c:pt idx="582">
                  <c:v>-177.35980302687892</c:v>
                </c:pt>
                <c:pt idx="583">
                  <c:v>-21.280649406778963</c:v>
                </c:pt>
                <c:pt idx="584">
                  <c:v>-45.458440365653843</c:v>
                </c:pt>
                <c:pt idx="585">
                  <c:v>-67.061272609613098</c:v>
                </c:pt>
                <c:pt idx="586">
                  <c:v>-85.867074817728223</c:v>
                </c:pt>
                <c:pt idx="587">
                  <c:v>-103.57778155892686</c:v>
                </c:pt>
                <c:pt idx="588">
                  <c:v>-123.07871624210804</c:v>
                </c:pt>
                <c:pt idx="589">
                  <c:v>-149.40929517473603</c:v>
                </c:pt>
                <c:pt idx="590">
                  <c:v>-189.01231614882528</c:v>
                </c:pt>
                <c:pt idx="591">
                  <c:v>-53.353340576449568</c:v>
                </c:pt>
                <c:pt idx="592">
                  <c:v>-87.040712742807386</c:v>
                </c:pt>
                <c:pt idx="593">
                  <c:v>-116.8103594584212</c:v>
                </c:pt>
                <c:pt idx="594">
                  <c:v>-159.68493450688334</c:v>
                </c:pt>
                <c:pt idx="595">
                  <c:v>-45.171150618627991</c:v>
                </c:pt>
                <c:pt idx="596">
                  <c:v>-93.271105987192357</c:v>
                </c:pt>
                <c:pt idx="597">
                  <c:v>-140.55125044192806</c:v>
                </c:pt>
                <c:pt idx="598">
                  <c:v>-43.736033980160784</c:v>
                </c:pt>
                <c:pt idx="599">
                  <c:v>-104.18397401438125</c:v>
                </c:pt>
                <c:pt idx="600">
                  <c:v>-184.37343628152058</c:v>
                </c:pt>
              </c:numCache>
            </c:numRef>
          </c:yVal>
          <c:smooth val="0"/>
          <c:extLst>
            <c:ext xmlns:c16="http://schemas.microsoft.com/office/drawing/2014/chart" uri="{C3380CC4-5D6E-409C-BE32-E72D297353CC}">
              <c16:uniqueId val="{00000001-52E8-40C0-BDC9-E7AD10D908CE}"/>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Single'!$AN$110:$AN$210</c:f>
              <c:numCache>
                <c:formatCode>0.0</c:formatCode>
                <c:ptCount val="101"/>
                <c:pt idx="0">
                  <c:v>12</c:v>
                </c:pt>
                <c:pt idx="1">
                  <c:v>23.018848019074497</c:v>
                </c:pt>
                <c:pt idx="2">
                  <c:v>46.037696038148994</c:v>
                </c:pt>
                <c:pt idx="3">
                  <c:v>69.056544057223476</c:v>
                </c:pt>
                <c:pt idx="4">
                  <c:v>92.075392076297987</c:v>
                </c:pt>
                <c:pt idx="5">
                  <c:v>115.09424009537247</c:v>
                </c:pt>
                <c:pt idx="6">
                  <c:v>138.11308811444695</c:v>
                </c:pt>
                <c:pt idx="7">
                  <c:v>161.13193613352149</c:v>
                </c:pt>
                <c:pt idx="8">
                  <c:v>184.15078415259597</c:v>
                </c:pt>
                <c:pt idx="9">
                  <c:v>207.16963217167046</c:v>
                </c:pt>
                <c:pt idx="10">
                  <c:v>230.18848019074494</c:v>
                </c:pt>
                <c:pt idx="11">
                  <c:v>253.20732820981948</c:v>
                </c:pt>
                <c:pt idx="12">
                  <c:v>276.22617622889391</c:v>
                </c:pt>
                <c:pt idx="13">
                  <c:v>299.24502424796844</c:v>
                </c:pt>
                <c:pt idx="14">
                  <c:v>322.26387226704298</c:v>
                </c:pt>
                <c:pt idx="15">
                  <c:v>345.28272028611741</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345.15828760198485</c:v>
                </c:pt>
                <c:pt idx="47">
                  <c:v>337.96700389478275</c:v>
                </c:pt>
                <c:pt idx="48">
                  <c:v>331.0578877905528</c:v>
                </c:pt>
                <c:pt idx="49">
                  <c:v>324.41475482934368</c:v>
                </c:pt>
                <c:pt idx="50">
                  <c:v>318.02263202579343</c:v>
                </c:pt>
                <c:pt idx="51">
                  <c:v>311.86764674354106</c:v>
                </c:pt>
                <c:pt idx="52">
                  <c:v>305.70006082801615</c:v>
                </c:pt>
                <c:pt idx="53">
                  <c:v>299.39532927415229</c:v>
                </c:pt>
                <c:pt idx="54">
                  <c:v>293.43757586970293</c:v>
                </c:pt>
                <c:pt idx="55">
                  <c:v>287.84609052563036</c:v>
                </c:pt>
                <c:pt idx="56">
                  <c:v>282.44116257388066</c:v>
                </c:pt>
                <c:pt idx="57">
                  <c:v>277.21358205632868</c:v>
                </c:pt>
                <c:pt idx="58">
                  <c:v>272.15473545290115</c:v>
                </c:pt>
                <c:pt idx="59">
                  <c:v>267.2565581699705</c:v>
                </c:pt>
                <c:pt idx="60">
                  <c:v>262.51149149917615</c:v>
                </c:pt>
                <c:pt idx="61">
                  <c:v>257.91244356352246</c:v>
                </c:pt>
                <c:pt idx="62">
                  <c:v>253.45275382636768</c:v>
                </c:pt>
                <c:pt idx="63">
                  <c:v>249.1261607897697</c:v>
                </c:pt>
                <c:pt idx="64">
                  <c:v>244.9267725527489</c:v>
                </c:pt>
                <c:pt idx="65">
                  <c:v>240.84903993835255</c:v>
                </c:pt>
                <c:pt idx="66">
                  <c:v>236.88773193178605</c:v>
                </c:pt>
                <c:pt idx="67">
                  <c:v>233.03791320101288</c:v>
                </c:pt>
                <c:pt idx="68">
                  <c:v>229.29492349670554</c:v>
                </c:pt>
                <c:pt idx="69">
                  <c:v>225.65435875076159</c:v>
                </c:pt>
                <c:pt idx="70">
                  <c:v>222.11205371220237</c:v>
                </c:pt>
                <c:pt idx="71">
                  <c:v>218.66406597652235</c:v>
                </c:pt>
                <c:pt idx="72">
                  <c:v>215.30666127974899</c:v>
                </c:pt>
                <c:pt idx="73">
                  <c:v>212.03629994189268</c:v>
                </c:pt>
                <c:pt idx="74">
                  <c:v>208.84962435632809</c:v>
                </c:pt>
                <c:pt idx="75">
                  <c:v>205.7434474321565</c:v>
                </c:pt>
                <c:pt idx="76">
                  <c:v>202.71474190591906</c:v>
                </c:pt>
                <c:pt idx="77">
                  <c:v>199.76063044731731</c:v>
                </c:pt>
                <c:pt idx="78">
                  <c:v>196.87837649096633</c:v>
                </c:pt>
                <c:pt idx="79">
                  <c:v>194.06537573277669</c:v>
                </c:pt>
                <c:pt idx="80">
                  <c:v>191.3191482354255</c:v>
                </c:pt>
                <c:pt idx="81">
                  <c:v>188.63733109262034</c:v>
                </c:pt>
                <c:pt idx="82">
                  <c:v>186.01767160654779</c:v>
                </c:pt>
                <c:pt idx="83">
                  <c:v>183.45802093710577</c:v>
                </c:pt>
                <c:pt idx="84">
                  <c:v>180.95632818529216</c:v>
                </c:pt>
                <c:pt idx="85">
                  <c:v>178.51063487651328</c:v>
                </c:pt>
                <c:pt idx="86">
                  <c:v>176.11906981262584</c:v>
                </c:pt>
                <c:pt idx="87">
                  <c:v>173.77984426427676</c:v>
                </c:pt>
                <c:pt idx="88">
                  <c:v>171.49124747758205</c:v>
                </c:pt>
                <c:pt idx="89">
                  <c:v>169.25164247142581</c:v>
                </c:pt>
                <c:pt idx="90">
                  <c:v>167.05946210368401</c:v>
                </c:pt>
                <c:pt idx="91">
                  <c:v>164.91320538650811</c:v>
                </c:pt>
                <c:pt idx="92">
                  <c:v>162.81143403246438</c:v>
                </c:pt>
                <c:pt idx="93">
                  <c:v>160.75276921482939</c:v>
                </c:pt>
                <c:pt idx="94">
                  <c:v>158.7358885267079</c:v>
                </c:pt>
                <c:pt idx="95">
                  <c:v>156.75952312488099</c:v>
                </c:pt>
                <c:pt idx="96">
                  <c:v>154.82245504542598</c:v>
                </c:pt>
                <c:pt idx="97">
                  <c:v>152.92351467917214</c:v>
                </c:pt>
                <c:pt idx="98">
                  <c:v>151.06157839600036</c:v>
                </c:pt>
                <c:pt idx="99">
                  <c:v>149.23556630784771</c:v>
                </c:pt>
                <c:pt idx="100">
                  <c:v>147.44444016105928</c:v>
                </c:pt>
              </c:numCache>
            </c:numRef>
          </c:val>
          <c:smooth val="0"/>
          <c:extLst>
            <c:ext xmlns:c16="http://schemas.microsoft.com/office/drawing/2014/chart" uri="{C3380CC4-5D6E-409C-BE32-E72D297353CC}">
              <c16:uniqueId val="{00000000-D9E7-4F5E-A983-604758A0F86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Single'!$AN$5:$AN$105</c:f>
              <c:numCache>
                <c:formatCode>0.0</c:formatCode>
                <c:ptCount val="101"/>
                <c:pt idx="0">
                  <c:v>12</c:v>
                </c:pt>
                <c:pt idx="1">
                  <c:v>23.018848019074497</c:v>
                </c:pt>
                <c:pt idx="2">
                  <c:v>46.037696038148994</c:v>
                </c:pt>
                <c:pt idx="3">
                  <c:v>69.056544057223476</c:v>
                </c:pt>
                <c:pt idx="4">
                  <c:v>92.075392076297987</c:v>
                </c:pt>
                <c:pt idx="5">
                  <c:v>115.09424009537247</c:v>
                </c:pt>
                <c:pt idx="6">
                  <c:v>138.11308811444695</c:v>
                </c:pt>
                <c:pt idx="7">
                  <c:v>161.13193613352149</c:v>
                </c:pt>
                <c:pt idx="8">
                  <c:v>184.15078415259597</c:v>
                </c:pt>
                <c:pt idx="9">
                  <c:v>207.16963217167046</c:v>
                </c:pt>
                <c:pt idx="10">
                  <c:v>230.18848019074494</c:v>
                </c:pt>
                <c:pt idx="11">
                  <c:v>253.20732820981948</c:v>
                </c:pt>
                <c:pt idx="12">
                  <c:v>276.22617622889391</c:v>
                </c:pt>
                <c:pt idx="13">
                  <c:v>299.24502424796844</c:v>
                </c:pt>
                <c:pt idx="14">
                  <c:v>322.26387226704298</c:v>
                </c:pt>
                <c:pt idx="15">
                  <c:v>345.28272028611741</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347.38304806122716</c:v>
                </c:pt>
                <c:pt idx="64">
                  <c:v>342.15100561780673</c:v>
                </c:pt>
                <c:pt idx="65">
                  <c:v>337.06997616133214</c:v>
                </c:pt>
                <c:pt idx="66">
                  <c:v>332.13354318839868</c:v>
                </c:pt>
                <c:pt idx="67">
                  <c:v>327.33564800135377</c:v>
                </c:pt>
                <c:pt idx="68">
                  <c:v>322.67056513364719</c:v>
                </c:pt>
                <c:pt idx="69">
                  <c:v>318.13287977196933</c:v>
                </c:pt>
                <c:pt idx="70">
                  <c:v>313.48851902262356</c:v>
                </c:pt>
                <c:pt idx="71">
                  <c:v>308.92724742882513</c:v>
                </c:pt>
                <c:pt idx="72">
                  <c:v>304.50855956252121</c:v>
                </c:pt>
                <c:pt idx="73">
                  <c:v>300.29066238437997</c:v>
                </c:pt>
                <c:pt idx="74">
                  <c:v>296.1792137457868</c:v>
                </c:pt>
                <c:pt idx="75">
                  <c:v>292.17022359570052</c:v>
                </c:pt>
                <c:pt idx="76">
                  <c:v>288.25989882462153</c:v>
                </c:pt>
                <c:pt idx="77">
                  <c:v>284.44463126191187</c:v>
                </c:pt>
                <c:pt idx="78">
                  <c:v>280.72098654035409</c:v>
                </c:pt>
                <c:pt idx="79">
                  <c:v>277.08569375571057</c:v>
                </c:pt>
                <c:pt idx="80">
                  <c:v>273.53563585584823</c:v>
                </c:pt>
                <c:pt idx="81">
                  <c:v>270.06784070007018</c:v>
                </c:pt>
                <c:pt idx="82">
                  <c:v>266.67947273475721</c:v>
                </c:pt>
                <c:pt idx="83">
                  <c:v>263.36782523631649</c:v>
                </c:pt>
                <c:pt idx="84">
                  <c:v>260.13031307683769</c:v>
                </c:pt>
                <c:pt idx="85">
                  <c:v>256.96446597182285</c:v>
                </c:pt>
                <c:pt idx="86">
                  <c:v>253.86792217291853</c:v>
                </c:pt>
                <c:pt idx="87">
                  <c:v>250.838422571813</c:v>
                </c:pt>
                <c:pt idx="88">
                  <c:v>247.87380518435884</c:v>
                </c:pt>
                <c:pt idx="89">
                  <c:v>244.97199998662228</c:v>
                </c:pt>
                <c:pt idx="90">
                  <c:v>242.1310240769356</c:v>
                </c:pt>
                <c:pt idx="91">
                  <c:v>239.34897714019476</c:v>
                </c:pt>
                <c:pt idx="92">
                  <c:v>236.62403719259859</c:v>
                </c:pt>
                <c:pt idx="93">
                  <c:v>233.95445658680535</c:v>
                </c:pt>
                <c:pt idx="94">
                  <c:v>231.33855825910283</c:v>
                </c:pt>
                <c:pt idx="95">
                  <c:v>228.77473220165578</c:v>
                </c:pt>
                <c:pt idx="96">
                  <c:v>226.26143214424101</c:v>
                </c:pt>
                <c:pt idx="97">
                  <c:v>223.7971724310938</c:v>
                </c:pt>
                <c:pt idx="98">
                  <c:v>221.38052507961686</c:v>
                </c:pt>
                <c:pt idx="99">
                  <c:v>219.01011700871175</c:v>
                </c:pt>
                <c:pt idx="100">
                  <c:v>216.68462742543031</c:v>
                </c:pt>
              </c:numCache>
            </c:numRef>
          </c:val>
          <c:smooth val="0"/>
          <c:extLst>
            <c:ext xmlns:c16="http://schemas.microsoft.com/office/drawing/2014/chart" uri="{C3380CC4-5D6E-409C-BE32-E72D297353CC}">
              <c16:uniqueId val="{00000001-D9E7-4F5E-A983-604758A0F86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Single'!$AN$216:$AN$316</c:f>
              <c:numCache>
                <c:formatCode>0.0</c:formatCode>
                <c:ptCount val="101"/>
                <c:pt idx="0">
                  <c:v>12</c:v>
                </c:pt>
                <c:pt idx="1">
                  <c:v>23.018848019074497</c:v>
                </c:pt>
                <c:pt idx="2">
                  <c:v>46.037696038148994</c:v>
                </c:pt>
                <c:pt idx="3">
                  <c:v>69.056544057223476</c:v>
                </c:pt>
                <c:pt idx="4">
                  <c:v>92.075392076297987</c:v>
                </c:pt>
                <c:pt idx="5">
                  <c:v>115.09424009537247</c:v>
                </c:pt>
                <c:pt idx="6">
                  <c:v>138.11308811444695</c:v>
                </c:pt>
                <c:pt idx="7">
                  <c:v>161.13193613352149</c:v>
                </c:pt>
                <c:pt idx="8">
                  <c:v>184.15078415259597</c:v>
                </c:pt>
                <c:pt idx="9">
                  <c:v>207.16963217167046</c:v>
                </c:pt>
                <c:pt idx="10">
                  <c:v>230.18848019074494</c:v>
                </c:pt>
                <c:pt idx="11">
                  <c:v>253.20732820981948</c:v>
                </c:pt>
                <c:pt idx="12">
                  <c:v>276.22617622889391</c:v>
                </c:pt>
                <c:pt idx="13">
                  <c:v>299.24502424796844</c:v>
                </c:pt>
                <c:pt idx="14">
                  <c:v>322.26387226704298</c:v>
                </c:pt>
                <c:pt idx="15">
                  <c:v>345.28272028611741</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348.17094980715058</c:v>
                </c:pt>
                <c:pt idx="78">
                  <c:v>343.90876622412117</c:v>
                </c:pt>
                <c:pt idx="79">
                  <c:v>339.74758735604399</c:v>
                </c:pt>
                <c:pt idx="80">
                  <c:v>335.68387643047805</c:v>
                </c:pt>
                <c:pt idx="81">
                  <c:v>331.7142596814985</c:v>
                </c:pt>
                <c:pt idx="82">
                  <c:v>327.83551707208551</c:v>
                </c:pt>
                <c:pt idx="83">
                  <c:v>324.04457364276283</c:v>
                </c:pt>
                <c:pt idx="84">
                  <c:v>320.2255736580093</c:v>
                </c:pt>
                <c:pt idx="85">
                  <c:v>316.45505304343953</c:v>
                </c:pt>
                <c:pt idx="86">
                  <c:v>312.76487685392408</c:v>
                </c:pt>
                <c:pt idx="87">
                  <c:v>309.18586329480729</c:v>
                </c:pt>
                <c:pt idx="88">
                  <c:v>305.70586201117868</c:v>
                </c:pt>
                <c:pt idx="89">
                  <c:v>302.29892384626663</c:v>
                </c:pt>
                <c:pt idx="90">
                  <c:v>298.96276693550794</c:v>
                </c:pt>
                <c:pt idx="91">
                  <c:v>295.69520345020368</c:v>
                </c:pt>
                <c:pt idx="92">
                  <c:v>292.49413480288314</c:v>
                </c:pt>
                <c:pt idx="93">
                  <c:v>289.35754714306438</c:v>
                </c:pt>
                <c:pt idx="94">
                  <c:v>286.28350712309793</c:v>
                </c:pt>
                <c:pt idx="95">
                  <c:v>283.27015791538508</c:v>
                </c:pt>
                <c:pt idx="96">
                  <c:v>280.31571546373164</c:v>
                </c:pt>
                <c:pt idx="97">
                  <c:v>277.41846495293487</c:v>
                </c:pt>
                <c:pt idx="98">
                  <c:v>274.57675748192253</c:v>
                </c:pt>
                <c:pt idx="99">
                  <c:v>271.7890069268837</c:v>
                </c:pt>
                <c:pt idx="100">
                  <c:v>269.05368698185134</c:v>
                </c:pt>
              </c:numCache>
            </c:numRef>
          </c:val>
          <c:smooth val="0"/>
          <c:extLst>
            <c:ext xmlns:c16="http://schemas.microsoft.com/office/drawing/2014/chart" uri="{C3380CC4-5D6E-409C-BE32-E72D297353CC}">
              <c16:uniqueId val="{00000002-D9E7-4F5E-A983-604758A0F86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9E7-4F5E-A983-604758A0F86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9E7-4F5E-A983-604758A0F86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9E7-4F5E-A983-604758A0F86A}"/>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13.677503241529088</c:v>
                </c:pt>
                <c:pt idx="17">
                  <c:v>14.098460672331537</c:v>
                </c:pt>
                <c:pt idx="18">
                  <c:v>14.507209369262272</c:v>
                </c:pt>
                <c:pt idx="19">
                  <c:v>14.904753774692461</c:v>
                </c:pt>
                <c:pt idx="20">
                  <c:v>15.29196771846008</c:v>
                </c:pt>
                <c:pt idx="21">
                  <c:v>15.669617026993173</c:v>
                </c:pt>
                <c:pt idx="22">
                  <c:v>16.038377336396206</c:v>
                </c:pt>
                <c:pt idx="23">
                  <c:v>16.398848297280871</c:v>
                </c:pt>
                <c:pt idx="24">
                  <c:v>16.751565026376291</c:v>
                </c:pt>
                <c:pt idx="25">
                  <c:v>17.097007430342252</c:v>
                </c:pt>
                <c:pt idx="26">
                  <c:v>17.435607865934102</c:v>
                </c:pt>
                <c:pt idx="27">
                  <c:v>17.767757485555826</c:v>
                </c:pt>
                <c:pt idx="28">
                  <c:v>18.093811533860897</c:v>
                </c:pt>
                <c:pt idx="29">
                  <c:v>18.414093799853429</c:v>
                </c:pt>
                <c:pt idx="30">
                  <c:v>18.728900383451947</c:v>
                </c:pt>
                <c:pt idx="31">
                  <c:v>19.038502901281255</c:v>
                </c:pt>
                <c:pt idx="32">
                  <c:v>19.343151230478792</c:v>
                </c:pt>
                <c:pt idx="33">
                  <c:v>19.643075869371319</c:v>
                </c:pt>
                <c:pt idx="34">
                  <c:v>19.938489978447699</c:v>
                </c:pt>
                <c:pt idx="35">
                  <c:v>20.229591153005988</c:v>
                </c:pt>
                <c:pt idx="36">
                  <c:v>20.516562969371019</c:v>
                </c:pt>
                <c:pt idx="37">
                  <c:v>20.799576339060387</c:v>
                </c:pt>
                <c:pt idx="38">
                  <c:v>21.078790699273384</c:v>
                </c:pt>
                <c:pt idx="39">
                  <c:v>21.354355063252402</c:v>
                </c:pt>
                <c:pt idx="40">
                  <c:v>21.626408950163512</c:v>
                </c:pt>
                <c:pt idx="41">
                  <c:v>21.895083210968458</c:v>
                </c:pt>
                <c:pt idx="42">
                  <c:v>22.160500764162947</c:v>
                </c:pt>
                <c:pt idx="43">
                  <c:v>22.422777253120294</c:v>
                </c:pt>
                <c:pt idx="44">
                  <c:v>22.682021635014426</c:v>
                </c:pt>
                <c:pt idx="45">
                  <c:v>22.938336709830168</c:v>
                </c:pt>
                <c:pt idx="46">
                  <c:v>23.191819596746186</c:v>
                </c:pt>
                <c:pt idx="47">
                  <c:v>23.442562164151447</c:v>
                </c:pt>
                <c:pt idx="48">
                  <c:v>23.690651418694493</c:v>
                </c:pt>
                <c:pt idx="49">
                  <c:v>24.042043898376914</c:v>
                </c:pt>
                <c:pt idx="50">
                  <c:v>24.545762657335313</c:v>
                </c:pt>
                <c:pt idx="51">
                  <c:v>25.049898771046266</c:v>
                </c:pt>
                <c:pt idx="52">
                  <c:v>25.564997720594789</c:v>
                </c:pt>
                <c:pt idx="53">
                  <c:v>26.097515586886523</c:v>
                </c:pt>
                <c:pt idx="54">
                  <c:v>26.625529547145614</c:v>
                </c:pt>
                <c:pt idx="55">
                  <c:v>27.146802413108261</c:v>
                </c:pt>
                <c:pt idx="56">
                  <c:v>27.669218821391077</c:v>
                </c:pt>
                <c:pt idx="57">
                  <c:v>28.192785751273455</c:v>
                </c:pt>
                <c:pt idx="58">
                  <c:v>28.717510239110084</c:v>
                </c:pt>
                <c:pt idx="59">
                  <c:v>29.243399378901039</c:v>
                </c:pt>
                <c:pt idx="60">
                  <c:v>29.770460322870353</c:v>
                </c:pt>
                <c:pt idx="61">
                  <c:v>30.298700282052732</c:v>
                </c:pt>
                <c:pt idx="62">
                  <c:v>30.82812652688872</c:v>
                </c:pt>
                <c:pt idx="63">
                  <c:v>31.358746387828074</c:v>
                </c:pt>
                <c:pt idx="64">
                  <c:v>31.89056725594137</c:v>
                </c:pt>
                <c:pt idx="65">
                  <c:v>32.423596583540117</c:v>
                </c:pt>
                <c:pt idx="66">
                  <c:v>32.957841884805028</c:v>
                </c:pt>
                <c:pt idx="67">
                  <c:v>33.493310736422899</c:v>
                </c:pt>
                <c:pt idx="68">
                  <c:v>34.030010778231855</c:v>
                </c:pt>
                <c:pt idx="69">
                  <c:v>34.56794971387513</c:v>
                </c:pt>
                <c:pt idx="70">
                  <c:v>35.107135311463665</c:v>
                </c:pt>
                <c:pt idx="71">
                  <c:v>35.647575404247071</c:v>
                </c:pt>
                <c:pt idx="72">
                  <c:v>36.189277891293742</c:v>
                </c:pt>
                <c:pt idx="73">
                  <c:v>36.732250738179623</c:v>
                </c:pt>
                <c:pt idx="74">
                  <c:v>37.276501977686138</c:v>
                </c:pt>
                <c:pt idx="75">
                  <c:v>37.822039710507035</c:v>
                </c:pt>
                <c:pt idx="76">
                  <c:v>38.368872105964677</c:v>
                </c:pt>
                <c:pt idx="77">
                  <c:v>38.917007402735443</c:v>
                </c:pt>
                <c:pt idx="78">
                  <c:v>39.466453909584679</c:v>
                </c:pt>
                <c:pt idx="79">
                  <c:v>40.017220006111152</c:v>
                </c:pt>
                <c:pt idx="80">
                  <c:v>40.569314143501394</c:v>
                </c:pt>
                <c:pt idx="81">
                  <c:v>41.122744845293603</c:v>
                </c:pt>
                <c:pt idx="82">
                  <c:v>41.677520708151668</c:v>
                </c:pt>
                <c:pt idx="83">
                  <c:v>42.233650402649268</c:v>
                </c:pt>
                <c:pt idx="84">
                  <c:v>42.791142674064226</c:v>
                </c:pt>
                <c:pt idx="85">
                  <c:v>43.350006343183189</c:v>
                </c:pt>
                <c:pt idx="86">
                  <c:v>43.910250307116904</c:v>
                </c:pt>
                <c:pt idx="87">
                  <c:v>44.471883540126186</c:v>
                </c:pt>
                <c:pt idx="88">
                  <c:v>45.03491509445869</c:v>
                </c:pt>
                <c:pt idx="89">
                  <c:v>45.59935410119671</c:v>
                </c:pt>
                <c:pt idx="90">
                  <c:v>46.165209771116103</c:v>
                </c:pt>
                <c:pt idx="91">
                  <c:v>46.732491395556671</c:v>
                </c:pt>
                <c:pt idx="92">
                  <c:v>47.301208347303842</c:v>
                </c:pt>
                <c:pt idx="93">
                  <c:v>47.871370081482198</c:v>
                </c:pt>
                <c:pt idx="94">
                  <c:v>48.442986136460718</c:v>
                </c:pt>
                <c:pt idx="95">
                  <c:v>49.016066134770263</c:v>
                </c:pt>
                <c:pt idx="96">
                  <c:v>49.590619784032896</c:v>
                </c:pt>
                <c:pt idx="97">
                  <c:v>50.166656877904011</c:v>
                </c:pt>
                <c:pt idx="98">
                  <c:v>50.744187297026762</c:v>
                </c:pt>
                <c:pt idx="99">
                  <c:v>51.323221009999365</c:v>
                </c:pt>
                <c:pt idx="100">
                  <c:v>51.90376807435544</c:v>
                </c:pt>
              </c:numCache>
            </c:numRef>
          </c:val>
          <c:smooth val="0"/>
          <c:extLst>
            <c:ext xmlns:c16="http://schemas.microsoft.com/office/drawing/2014/chart" uri="{C3380CC4-5D6E-409C-BE32-E72D297353CC}">
              <c16:uniqueId val="{00000000-B744-4C18-B26C-E1D454627484}"/>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Single'!$AJ$5:$AJ$105</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13.677503241529088</c:v>
                </c:pt>
                <c:pt idx="17">
                  <c:v>14.098460672331537</c:v>
                </c:pt>
                <c:pt idx="18">
                  <c:v>14.507209369262272</c:v>
                </c:pt>
                <c:pt idx="19">
                  <c:v>14.904753774692461</c:v>
                </c:pt>
                <c:pt idx="20">
                  <c:v>15.29196771846008</c:v>
                </c:pt>
                <c:pt idx="21">
                  <c:v>15.669617026993173</c:v>
                </c:pt>
                <c:pt idx="22">
                  <c:v>16.038377336396206</c:v>
                </c:pt>
                <c:pt idx="23">
                  <c:v>16.398848297280871</c:v>
                </c:pt>
                <c:pt idx="24">
                  <c:v>16.751565026376291</c:v>
                </c:pt>
                <c:pt idx="25">
                  <c:v>17.097007430342252</c:v>
                </c:pt>
                <c:pt idx="26">
                  <c:v>17.435607865934102</c:v>
                </c:pt>
                <c:pt idx="27">
                  <c:v>17.767757485555826</c:v>
                </c:pt>
                <c:pt idx="28">
                  <c:v>18.093811533860897</c:v>
                </c:pt>
                <c:pt idx="29">
                  <c:v>18.414093799853429</c:v>
                </c:pt>
                <c:pt idx="30">
                  <c:v>18.728900383451947</c:v>
                </c:pt>
                <c:pt idx="31">
                  <c:v>19.038502901281255</c:v>
                </c:pt>
                <c:pt idx="32">
                  <c:v>19.343151230478792</c:v>
                </c:pt>
                <c:pt idx="33">
                  <c:v>19.643075869371319</c:v>
                </c:pt>
                <c:pt idx="34">
                  <c:v>19.938489978447699</c:v>
                </c:pt>
                <c:pt idx="35">
                  <c:v>20.229591153005988</c:v>
                </c:pt>
                <c:pt idx="36">
                  <c:v>20.516562969371019</c:v>
                </c:pt>
                <c:pt idx="37">
                  <c:v>20.799576339060387</c:v>
                </c:pt>
                <c:pt idx="38">
                  <c:v>21.078790699273384</c:v>
                </c:pt>
                <c:pt idx="39">
                  <c:v>21.354355063252402</c:v>
                </c:pt>
                <c:pt idx="40">
                  <c:v>21.626408950163512</c:v>
                </c:pt>
                <c:pt idx="41">
                  <c:v>21.895083210968458</c:v>
                </c:pt>
                <c:pt idx="42">
                  <c:v>22.160500764162947</c:v>
                </c:pt>
                <c:pt idx="43">
                  <c:v>22.422777253120294</c:v>
                </c:pt>
                <c:pt idx="44">
                  <c:v>22.682021635014426</c:v>
                </c:pt>
                <c:pt idx="45">
                  <c:v>22.938336709830168</c:v>
                </c:pt>
                <c:pt idx="46">
                  <c:v>23.191819596746186</c:v>
                </c:pt>
                <c:pt idx="47">
                  <c:v>23.442562164151447</c:v>
                </c:pt>
                <c:pt idx="48">
                  <c:v>23.690651418694493</c:v>
                </c:pt>
                <c:pt idx="49">
                  <c:v>23.93616985803704</c:v>
                </c:pt>
                <c:pt idx="50">
                  <c:v>24.179195791366734</c:v>
                </c:pt>
                <c:pt idx="51">
                  <c:v>24.419803631199049</c:v>
                </c:pt>
                <c:pt idx="52">
                  <c:v>24.658064159550531</c:v>
                </c:pt>
                <c:pt idx="53">
                  <c:v>24.894044771182045</c:v>
                </c:pt>
                <c:pt idx="54">
                  <c:v>25.127809696280956</c:v>
                </c:pt>
                <c:pt idx="55">
                  <c:v>25.35942020466754</c:v>
                </c:pt>
                <c:pt idx="56">
                  <c:v>25.588934793365272</c:v>
                </c:pt>
                <c:pt idx="57">
                  <c:v>25.816409359162062</c:v>
                </c:pt>
                <c:pt idx="58">
                  <c:v>26.04189735760481</c:v>
                </c:pt>
                <c:pt idx="59">
                  <c:v>26.265449949708486</c:v>
                </c:pt>
                <c:pt idx="60">
                  <c:v>26.487116137520498</c:v>
                </c:pt>
                <c:pt idx="61">
                  <c:v>26.706942889557933</c:v>
                </c:pt>
                <c:pt idx="62">
                  <c:v>26.924975257027221</c:v>
                </c:pt>
                <c:pt idx="63">
                  <c:v>27.141256481640863</c:v>
                </c:pt>
                <c:pt idx="64">
                  <c:v>27.355828095761986</c:v>
                </c:pt>
                <c:pt idx="65">
                  <c:v>27.568730015533749</c:v>
                </c:pt>
                <c:pt idx="66">
                  <c:v>27.780000627584876</c:v>
                </c:pt>
                <c:pt idx="67">
                  <c:v>27.989676869844835</c:v>
                </c:pt>
                <c:pt idx="68">
                  <c:v>28.404260031090928</c:v>
                </c:pt>
                <c:pt idx="69">
                  <c:v>28.829673535132134</c:v>
                </c:pt>
                <c:pt idx="70">
                  <c:v>29.266670554971739</c:v>
                </c:pt>
                <c:pt idx="71">
                  <c:v>29.706248870424854</c:v>
                </c:pt>
                <c:pt idx="72">
                  <c:v>30.145193496187733</c:v>
                </c:pt>
                <c:pt idx="73">
                  <c:v>30.579998107646727</c:v>
                </c:pt>
                <c:pt idx="74">
                  <c:v>31.015285201061069</c:v>
                </c:pt>
                <c:pt idx="75">
                  <c:v>31.451056568274804</c:v>
                </c:pt>
                <c:pt idx="76">
                  <c:v>31.887314010042221</c:v>
                </c:pt>
                <c:pt idx="77">
                  <c:v>32.324059336081596</c:v>
                </c:pt>
                <c:pt idx="78">
                  <c:v>32.76129436512938</c:v>
                </c:pt>
                <c:pt idx="79">
                  <c:v>33.199020924994905</c:v>
                </c:pt>
                <c:pt idx="80">
                  <c:v>33.637240852615676</c:v>
                </c:pt>
                <c:pt idx="81">
                  <c:v>34.075955994113073</c:v>
                </c:pt>
                <c:pt idx="82">
                  <c:v>34.515168204848628</c:v>
                </c:pt>
                <c:pt idx="83">
                  <c:v>34.954879349480827</c:v>
                </c:pt>
                <c:pt idx="84">
                  <c:v>35.395091302022337</c:v>
                </c:pt>
                <c:pt idx="85">
                  <c:v>35.835805945897732</c:v>
                </c:pt>
                <c:pt idx="86">
                  <c:v>36.277025174001864</c:v>
                </c:pt>
                <c:pt idx="87">
                  <c:v>36.718750888758535</c:v>
                </c:pt>
                <c:pt idx="88">
                  <c:v>37.160985002179793</c:v>
                </c:pt>
                <c:pt idx="89">
                  <c:v>37.603729435925622</c:v>
                </c:pt>
                <c:pt idx="90">
                  <c:v>38.046986121364291</c:v>
                </c:pt>
                <c:pt idx="91">
                  <c:v>38.490756999633049</c:v>
                </c:pt>
                <c:pt idx="92">
                  <c:v>38.935044021699369</c:v>
                </c:pt>
                <c:pt idx="93">
                  <c:v>39.379849148422686</c:v>
                </c:pt>
                <c:pt idx="94">
                  <c:v>39.825174350616663</c:v>
                </c:pt>
                <c:pt idx="95">
                  <c:v>40.271021609112005</c:v>
                </c:pt>
                <c:pt idx="96">
                  <c:v>40.717392914819591</c:v>
                </c:pt>
                <c:pt idx="97">
                  <c:v>41.164290268794382</c:v>
                </c:pt>
                <c:pt idx="98">
                  <c:v>41.611715682299575</c:v>
                </c:pt>
                <c:pt idx="99">
                  <c:v>42.059671176871532</c:v>
                </c:pt>
                <c:pt idx="100">
                  <c:v>42.508158784384982</c:v>
                </c:pt>
              </c:numCache>
            </c:numRef>
          </c:val>
          <c:smooth val="1"/>
          <c:extLst>
            <c:ext xmlns:c16="http://schemas.microsoft.com/office/drawing/2014/chart" uri="{C3380CC4-5D6E-409C-BE32-E72D297353CC}">
              <c16:uniqueId val="{00000001-B744-4C18-B26C-E1D454627484}"/>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13.677503241529088</c:v>
                </c:pt>
                <c:pt idx="17">
                  <c:v>14.098460672331537</c:v>
                </c:pt>
                <c:pt idx="18">
                  <c:v>14.507209369262272</c:v>
                </c:pt>
                <c:pt idx="19">
                  <c:v>14.904753774692461</c:v>
                </c:pt>
                <c:pt idx="20">
                  <c:v>15.29196771846008</c:v>
                </c:pt>
                <c:pt idx="21">
                  <c:v>15.669617026993173</c:v>
                </c:pt>
                <c:pt idx="22">
                  <c:v>16.038377336396206</c:v>
                </c:pt>
                <c:pt idx="23">
                  <c:v>16.398848297280871</c:v>
                </c:pt>
                <c:pt idx="24">
                  <c:v>16.751565026376291</c:v>
                </c:pt>
                <c:pt idx="25">
                  <c:v>17.097007430342252</c:v>
                </c:pt>
                <c:pt idx="26">
                  <c:v>17.435607865934102</c:v>
                </c:pt>
                <c:pt idx="27">
                  <c:v>17.767757485555826</c:v>
                </c:pt>
                <c:pt idx="28">
                  <c:v>18.093811533860897</c:v>
                </c:pt>
                <c:pt idx="29">
                  <c:v>18.414093799853429</c:v>
                </c:pt>
                <c:pt idx="30">
                  <c:v>18.728900383451947</c:v>
                </c:pt>
                <c:pt idx="31">
                  <c:v>19.038502901281255</c:v>
                </c:pt>
                <c:pt idx="32">
                  <c:v>19.343151230478792</c:v>
                </c:pt>
                <c:pt idx="33">
                  <c:v>19.643075869371319</c:v>
                </c:pt>
                <c:pt idx="34">
                  <c:v>19.938489978447699</c:v>
                </c:pt>
                <c:pt idx="35">
                  <c:v>20.229591153005988</c:v>
                </c:pt>
                <c:pt idx="36">
                  <c:v>20.516562969371019</c:v>
                </c:pt>
                <c:pt idx="37">
                  <c:v>20.799576339060387</c:v>
                </c:pt>
                <c:pt idx="38">
                  <c:v>21.078790699273384</c:v>
                </c:pt>
                <c:pt idx="39">
                  <c:v>21.354355063252402</c:v>
                </c:pt>
                <c:pt idx="40">
                  <c:v>21.626408950163512</c:v>
                </c:pt>
                <c:pt idx="41">
                  <c:v>21.895083210968458</c:v>
                </c:pt>
                <c:pt idx="42">
                  <c:v>22.160500764162947</c:v>
                </c:pt>
                <c:pt idx="43">
                  <c:v>22.422777253120294</c:v>
                </c:pt>
                <c:pt idx="44">
                  <c:v>22.682021635014426</c:v>
                </c:pt>
                <c:pt idx="45">
                  <c:v>22.938336709830168</c:v>
                </c:pt>
                <c:pt idx="46">
                  <c:v>23.191819596746186</c:v>
                </c:pt>
                <c:pt idx="47">
                  <c:v>23.442562164151447</c:v>
                </c:pt>
                <c:pt idx="48">
                  <c:v>23.690651418694493</c:v>
                </c:pt>
                <c:pt idx="49">
                  <c:v>23.93616985803704</c:v>
                </c:pt>
                <c:pt idx="50">
                  <c:v>24.179195791366734</c:v>
                </c:pt>
                <c:pt idx="51">
                  <c:v>24.419803631199049</c:v>
                </c:pt>
                <c:pt idx="52">
                  <c:v>24.658064159550531</c:v>
                </c:pt>
                <c:pt idx="53">
                  <c:v>24.894044771182045</c:v>
                </c:pt>
                <c:pt idx="54">
                  <c:v>25.127809696280956</c:v>
                </c:pt>
                <c:pt idx="55">
                  <c:v>25.35942020466754</c:v>
                </c:pt>
                <c:pt idx="56">
                  <c:v>25.588934793365272</c:v>
                </c:pt>
                <c:pt idx="57">
                  <c:v>25.816409359162062</c:v>
                </c:pt>
                <c:pt idx="58">
                  <c:v>26.04189735760481</c:v>
                </c:pt>
                <c:pt idx="59">
                  <c:v>26.265449949708486</c:v>
                </c:pt>
                <c:pt idx="60">
                  <c:v>26.487116137520498</c:v>
                </c:pt>
                <c:pt idx="61">
                  <c:v>26.706942889557933</c:v>
                </c:pt>
                <c:pt idx="62">
                  <c:v>26.924975257027221</c:v>
                </c:pt>
                <c:pt idx="63">
                  <c:v>27.141256481640863</c:v>
                </c:pt>
                <c:pt idx="64">
                  <c:v>27.355828095761986</c:v>
                </c:pt>
                <c:pt idx="65">
                  <c:v>27.568730015533749</c:v>
                </c:pt>
                <c:pt idx="66">
                  <c:v>27.780000627584876</c:v>
                </c:pt>
                <c:pt idx="67">
                  <c:v>27.989676869844835</c:v>
                </c:pt>
                <c:pt idx="68">
                  <c:v>28.197794306950481</c:v>
                </c:pt>
                <c:pt idx="69">
                  <c:v>28.404387200680027</c:v>
                </c:pt>
                <c:pt idx="70">
                  <c:v>28.609488575809443</c:v>
                </c:pt>
                <c:pt idx="71">
                  <c:v>28.813130281749647</c:v>
                </c:pt>
                <c:pt idx="72">
                  <c:v>29.015343050290326</c:v>
                </c:pt>
                <c:pt idx="73">
                  <c:v>29.216156549746703</c:v>
                </c:pt>
                <c:pt idx="74">
                  <c:v>29.415599435779505</c:v>
                </c:pt>
                <c:pt idx="75">
                  <c:v>29.6136993991345</c:v>
                </c:pt>
                <c:pt idx="76">
                  <c:v>29.810483210526819</c:v>
                </c:pt>
                <c:pt idx="77">
                  <c:v>30.005976762876077</c:v>
                </c:pt>
                <c:pt idx="78">
                  <c:v>30.200205111080841</c:v>
                </c:pt>
                <c:pt idx="79">
                  <c:v>30.393192509505578</c:v>
                </c:pt>
                <c:pt idx="80">
                  <c:v>30.584962447338654</c:v>
                </c:pt>
                <c:pt idx="81">
                  <c:v>30.775537681967535</c:v>
                </c:pt>
                <c:pt idx="82">
                  <c:v>30.964940270505224</c:v>
                </c:pt>
                <c:pt idx="83">
                  <c:v>31.310095095229787</c:v>
                </c:pt>
                <c:pt idx="84">
                  <c:v>31.698371076274494</c:v>
                </c:pt>
                <c:pt idx="85">
                  <c:v>32.088838264067348</c:v>
                </c:pt>
                <c:pt idx="86">
                  <c:v>32.479711641490894</c:v>
                </c:pt>
                <c:pt idx="87">
                  <c:v>32.869101828844926</c:v>
                </c:pt>
                <c:pt idx="88">
                  <c:v>33.257443753514856</c:v>
                </c:pt>
                <c:pt idx="89">
                  <c:v>33.646043817362212</c:v>
                </c:pt>
                <c:pt idx="90">
                  <c:v>34.034902693447819</c:v>
                </c:pt>
                <c:pt idx="91">
                  <c:v>34.424021057181861</c:v>
                </c:pt>
                <c:pt idx="92">
                  <c:v>34.813399586333709</c:v>
                </c:pt>
                <c:pt idx="93">
                  <c:v>35.203038961041834</c:v>
                </c:pt>
                <c:pt idx="94">
                  <c:v>35.59293986382383</c:v>
                </c:pt>
                <c:pt idx="95">
                  <c:v>35.983102979586448</c:v>
                </c:pt>
                <c:pt idx="96">
                  <c:v>36.373528995635795</c:v>
                </c:pt>
                <c:pt idx="97">
                  <c:v>36.764218601687482</c:v>
                </c:pt>
                <c:pt idx="98">
                  <c:v>37.155172489876961</c:v>
                </c:pt>
                <c:pt idx="99">
                  <c:v>37.54639135476986</c:v>
                </c:pt>
                <c:pt idx="100">
                  <c:v>37.93787589337245</c:v>
                </c:pt>
              </c:numCache>
            </c:numRef>
          </c:val>
          <c:smooth val="1"/>
          <c:extLst>
            <c:ext xmlns:c16="http://schemas.microsoft.com/office/drawing/2014/chart" uri="{C3380CC4-5D6E-409C-BE32-E72D297353CC}">
              <c16:uniqueId val="{00000002-B744-4C18-B26C-E1D454627484}"/>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24.410473562444633</c:v>
                </c:pt>
                <c:pt idx="2">
                  <c:v>73.231420687333895</c:v>
                </c:pt>
                <c:pt idx="3">
                  <c:v>73.231420687333895</c:v>
                </c:pt>
                <c:pt idx="4">
                  <c:v>97.641894249778531</c:v>
                </c:pt>
                <c:pt idx="5">
                  <c:v>122.05236781222314</c:v>
                </c:pt>
                <c:pt idx="6">
                  <c:v>146.46284137466779</c:v>
                </c:pt>
                <c:pt idx="7">
                  <c:v>170.87331493711241</c:v>
                </c:pt>
                <c:pt idx="8">
                  <c:v>195.28378849955706</c:v>
                </c:pt>
                <c:pt idx="9">
                  <c:v>219.69426206200166</c:v>
                </c:pt>
                <c:pt idx="10">
                  <c:v>244.10473562444628</c:v>
                </c:pt>
                <c:pt idx="11">
                  <c:v>268.51520918689096</c:v>
                </c:pt>
                <c:pt idx="12">
                  <c:v>292.92568274933558</c:v>
                </c:pt>
                <c:pt idx="13">
                  <c:v>317.3361563117802</c:v>
                </c:pt>
                <c:pt idx="14">
                  <c:v>341.74662987422482</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343.10498952114853</c:v>
                </c:pt>
                <c:pt idx="44">
                  <c:v>335.37664899486344</c:v>
                </c:pt>
                <c:pt idx="45">
                  <c:v>327.97252883046298</c:v>
                </c:pt>
                <c:pt idx="46">
                  <c:v>320.87279897958086</c:v>
                </c:pt>
                <c:pt idx="47">
                  <c:v>314.05920942738106</c:v>
                </c:pt>
                <c:pt idx="48">
                  <c:v>307.51493614304553</c:v>
                </c:pt>
                <c:pt idx="49">
                  <c:v>301.2244446915534</c:v>
                </c:pt>
                <c:pt idx="50">
                  <c:v>295.17336919030748</c:v>
                </c:pt>
                <c:pt idx="51">
                  <c:v>289.25057420451805</c:v>
                </c:pt>
                <c:pt idx="52">
                  <c:v>283.27221897200536</c:v>
                </c:pt>
                <c:pt idx="53">
                  <c:v>277.50423543881203</c:v>
                </c:pt>
                <c:pt idx="54">
                  <c:v>271.93566397500445</c:v>
                </c:pt>
                <c:pt idx="55">
                  <c:v>266.55629329705431</c:v>
                </c:pt>
                <c:pt idx="56">
                  <c:v>261.35659766880798</c:v>
                </c:pt>
                <c:pt idx="57">
                  <c:v>256.32768032199368</c:v>
                </c:pt>
                <c:pt idx="58">
                  <c:v>251.46122238929775</c:v>
                </c:pt>
                <c:pt idx="59">
                  <c:v>246.74943673341699</c:v>
                </c:pt>
                <c:pt idx="60">
                  <c:v>242.18502613307052</c:v>
                </c:pt>
                <c:pt idx="61">
                  <c:v>237.76114535372687</c:v>
                </c:pt>
                <c:pt idx="62">
                  <c:v>233.47136668840736</c:v>
                </c:pt>
                <c:pt idx="63">
                  <c:v>229.30964860374641</c:v>
                </c:pt>
                <c:pt idx="64">
                  <c:v>225.2703071696746</c:v>
                </c:pt>
                <c:pt idx="65">
                  <c:v>221.34798998860884</c:v>
                </c:pt>
                <c:pt idx="66">
                  <c:v>217.53765237269749</c:v>
                </c:pt>
                <c:pt idx="67">
                  <c:v>213.83453554617222</c:v>
                </c:pt>
                <c:pt idx="68">
                  <c:v>210.23414667476976</c:v>
                </c:pt>
                <c:pt idx="69">
                  <c:v>206.73224054601928</c:v>
                </c:pt>
                <c:pt idx="70">
                  <c:v>203.32480274334486</c:v>
                </c:pt>
                <c:pt idx="71">
                  <c:v>200.00803417378063</c:v>
                </c:pt>
                <c:pt idx="72">
                  <c:v>196.77833682393361</c:v>
                </c:pt>
                <c:pt idx="73">
                  <c:v>193.63230063192782</c:v>
                </c:pt>
                <c:pt idx="74">
                  <c:v>190.56669137463726</c:v>
                </c:pt>
                <c:pt idx="75">
                  <c:v>187.57843947976875</c:v>
                </c:pt>
                <c:pt idx="76">
                  <c:v>184.66462968144364</c:v>
                </c:pt>
                <c:pt idx="77">
                  <c:v>181.82249144600829</c:v>
                </c:pt>
                <c:pt idx="78">
                  <c:v>179.04939010198265</c:v>
                </c:pt>
                <c:pt idx="79">
                  <c:v>176.34281861446408</c:v>
                </c:pt>
                <c:pt idx="80">
                  <c:v>173.70038995001158</c:v>
                </c:pt>
                <c:pt idx="81">
                  <c:v>171.11982998314431</c:v>
                </c:pt>
                <c:pt idx="82">
                  <c:v>168.59897090015247</c:v>
                </c:pt>
                <c:pt idx="83">
                  <c:v>166.1357450600153</c:v>
                </c:pt>
                <c:pt idx="84">
                  <c:v>163.7281792758925</c:v>
                </c:pt>
                <c:pt idx="85">
                  <c:v>161.37438948395229</c:v>
                </c:pt>
                <c:pt idx="86">
                  <c:v>159.0725757692714</c:v>
                </c:pt>
                <c:pt idx="87">
                  <c:v>156.82101772121305</c:v>
                </c:pt>
                <c:pt idx="88">
                  <c:v>154.61807009309877</c:v>
                </c:pt>
                <c:pt idx="89">
                  <c:v>152.46215874316749</c:v>
                </c:pt>
                <c:pt idx="90">
                  <c:v>150.351776835782</c:v>
                </c:pt>
                <c:pt idx="91">
                  <c:v>148.2854812836211</c:v>
                </c:pt>
                <c:pt idx="92">
                  <c:v>146.26188941320933</c:v>
                </c:pt>
                <c:pt idx="93">
                  <c:v>144.27967583759775</c:v>
                </c:pt>
                <c:pt idx="94">
                  <c:v>142.33756952133535</c:v>
                </c:pt>
                <c:pt idx="95">
                  <c:v>140.43435102407759</c:v>
                </c:pt>
                <c:pt idx="96">
                  <c:v>138.56884991027491</c:v>
                </c:pt>
                <c:pt idx="97">
                  <c:v>136.73994231338324</c:v>
                </c:pt>
                <c:pt idx="98">
                  <c:v>134.94654864394846</c:v>
                </c:pt>
                <c:pt idx="99">
                  <c:v>133.18763143174618</c:v>
                </c:pt>
                <c:pt idx="100">
                  <c:v>131.46219329291989</c:v>
                </c:pt>
              </c:numCache>
            </c:numRef>
          </c:val>
          <c:smooth val="0"/>
          <c:extLst>
            <c:ext xmlns:c16="http://schemas.microsoft.com/office/drawing/2014/chart" uri="{C3380CC4-5D6E-409C-BE32-E72D297353CC}">
              <c16:uniqueId val="{00000000-CEA8-405E-B5B3-AF38AAF3801C}"/>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24.410473562444633</c:v>
                </c:pt>
                <c:pt idx="2">
                  <c:v>48.820947124889265</c:v>
                </c:pt>
                <c:pt idx="3">
                  <c:v>73.231420687333895</c:v>
                </c:pt>
                <c:pt idx="4">
                  <c:v>97.641894249778531</c:v>
                </c:pt>
                <c:pt idx="5">
                  <c:v>122.05236781222314</c:v>
                </c:pt>
                <c:pt idx="6">
                  <c:v>146.46284137466779</c:v>
                </c:pt>
                <c:pt idx="7">
                  <c:v>170.87331493711241</c:v>
                </c:pt>
                <c:pt idx="8">
                  <c:v>195.28378849955706</c:v>
                </c:pt>
                <c:pt idx="9">
                  <c:v>219.69426206200166</c:v>
                </c:pt>
                <c:pt idx="10">
                  <c:v>244.10473562444628</c:v>
                </c:pt>
                <c:pt idx="11">
                  <c:v>268.51520918689096</c:v>
                </c:pt>
                <c:pt idx="12">
                  <c:v>292.92568274933558</c:v>
                </c:pt>
                <c:pt idx="13">
                  <c:v>317.3361563117802</c:v>
                </c:pt>
                <c:pt idx="14">
                  <c:v>341.74662987422482</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346.9936680663547</c:v>
                </c:pt>
                <c:pt idx="60">
                  <c:v>341.37480768550802</c:v>
                </c:pt>
                <c:pt idx="61">
                  <c:v>335.92899115810985</c:v>
                </c:pt>
                <c:pt idx="62">
                  <c:v>330.64838766710926</c:v>
                </c:pt>
                <c:pt idx="63">
                  <c:v>325.52563088505025</c:v>
                </c:pt>
                <c:pt idx="64">
                  <c:v>320.55378507597879</c:v>
                </c:pt>
                <c:pt idx="65">
                  <c:v>315.72631412124571</c:v>
                </c:pt>
                <c:pt idx="66">
                  <c:v>311.03705317927262</c:v>
                </c:pt>
                <c:pt idx="67">
                  <c:v>306.48018272174204</c:v>
                </c:pt>
                <c:pt idx="68">
                  <c:v>302.05020471704103</c:v>
                </c:pt>
                <c:pt idx="69">
                  <c:v>297.54998167265842</c:v>
                </c:pt>
                <c:pt idx="70">
                  <c:v>293.16846773075042</c:v>
                </c:pt>
                <c:pt idx="71">
                  <c:v>288.90209680372107</c:v>
                </c:pt>
                <c:pt idx="72">
                  <c:v>284.74637003932588</c:v>
                </c:pt>
                <c:pt idx="73">
                  <c:v>280.69701991914468</c:v>
                </c:pt>
                <c:pt idx="74">
                  <c:v>276.7499955782244</c:v>
                </c:pt>
                <c:pt idx="75">
                  <c:v>272.90144922864152</c:v>
                </c:pt>
                <c:pt idx="76">
                  <c:v>269.14772359134054</c:v>
                </c:pt>
                <c:pt idx="77">
                  <c:v>265.48534024995291</c:v>
                </c:pt>
                <c:pt idx="78">
                  <c:v>261.91098884864334</c:v>
                </c:pt>
                <c:pt idx="79">
                  <c:v>258.42151706347022</c:v>
                </c:pt>
                <c:pt idx="80">
                  <c:v>255.01392128340305</c:v>
                </c:pt>
                <c:pt idx="81">
                  <c:v>251.68533794309101</c:v>
                </c:pt>
                <c:pt idx="82">
                  <c:v>248.43303545481888</c:v>
                </c:pt>
                <c:pt idx="83">
                  <c:v>245.25440669186912</c:v>
                </c:pt>
                <c:pt idx="84">
                  <c:v>242.146961979824</c:v>
                </c:pt>
                <c:pt idx="85">
                  <c:v>239.10832255620531</c:v>
                </c:pt>
                <c:pt idx="86">
                  <c:v>236.13621446234336</c:v>
                </c:pt>
                <c:pt idx="87">
                  <c:v>233.22846283451369</c:v>
                </c:pt>
                <c:pt idx="88">
                  <c:v>230.38298656422032</c:v>
                </c:pt>
                <c:pt idx="89">
                  <c:v>227.59779330007498</c:v>
                </c:pt>
                <c:pt idx="90">
                  <c:v>224.87097476604586</c:v>
                </c:pt>
                <c:pt idx="91">
                  <c:v>222.20070237295781</c:v>
                </c:pt>
                <c:pt idx="92">
                  <c:v>219.5852231020331</c:v>
                </c:pt>
                <c:pt idx="93">
                  <c:v>217.0228556410035</c:v>
                </c:pt>
                <c:pt idx="94">
                  <c:v>214.51198675489309</c:v>
                </c:pt>
                <c:pt idx="95">
                  <c:v>212.05106787501336</c:v>
                </c:pt>
                <c:pt idx="96">
                  <c:v>209.63861189101391</c:v>
                </c:pt>
                <c:pt idx="97">
                  <c:v>207.27319013202495</c:v>
                </c:pt>
                <c:pt idx="98">
                  <c:v>204.95342952401532</c:v>
                </c:pt>
                <c:pt idx="99">
                  <c:v>202.67800991148081</c:v>
                </c:pt>
                <c:pt idx="100">
                  <c:v>200.44566153248437</c:v>
                </c:pt>
              </c:numCache>
            </c:numRef>
          </c:val>
          <c:smooth val="0"/>
          <c:extLst>
            <c:ext xmlns:c16="http://schemas.microsoft.com/office/drawing/2014/chart" uri="{C3380CC4-5D6E-409C-BE32-E72D297353CC}">
              <c16:uniqueId val="{00000001-CEA8-405E-B5B3-AF38AAF3801C}"/>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24.410182474173688</c:v>
                </c:pt>
                <c:pt idx="2">
                  <c:v>48.820364948347375</c:v>
                </c:pt>
                <c:pt idx="3">
                  <c:v>73.23054742252107</c:v>
                </c:pt>
                <c:pt idx="4">
                  <c:v>97.640729896694751</c:v>
                </c:pt>
                <c:pt idx="5">
                  <c:v>122.05091237086843</c:v>
                </c:pt>
                <c:pt idx="6">
                  <c:v>146.46109484504214</c:v>
                </c:pt>
                <c:pt idx="7">
                  <c:v>170.87127731921581</c:v>
                </c:pt>
                <c:pt idx="8">
                  <c:v>195.2814597933895</c:v>
                </c:pt>
                <c:pt idx="9">
                  <c:v>219.69164226756317</c:v>
                </c:pt>
                <c:pt idx="10">
                  <c:v>244.10182474173686</c:v>
                </c:pt>
                <c:pt idx="11">
                  <c:v>268.51200721591056</c:v>
                </c:pt>
                <c:pt idx="12">
                  <c:v>292.92218969008428</c:v>
                </c:pt>
                <c:pt idx="13">
                  <c:v>317.33237216425795</c:v>
                </c:pt>
                <c:pt idx="14">
                  <c:v>341.74255463843161</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349.84582825912429</c:v>
                </c:pt>
                <c:pt idx="73">
                  <c:v>345.24746841868051</c:v>
                </c:pt>
                <c:pt idx="74">
                  <c:v>340.7654995553907</c:v>
                </c:pt>
                <c:pt idx="75">
                  <c:v>336.3955746442428</c:v>
                </c:pt>
                <c:pt idx="76">
                  <c:v>332.13356014251076</c:v>
                </c:pt>
                <c:pt idx="77">
                  <c:v>327.97552305415502</c:v>
                </c:pt>
                <c:pt idx="78">
                  <c:v>323.91771892306201</c:v>
                </c:pt>
                <c:pt idx="79">
                  <c:v>319.95658067825906</c:v>
                </c:pt>
                <c:pt idx="80">
                  <c:v>316.08870826142356</c:v>
                </c:pt>
                <c:pt idx="81">
                  <c:v>312.31085897343968</c:v>
                </c:pt>
                <c:pt idx="82">
                  <c:v>308.60748922151515</c:v>
                </c:pt>
                <c:pt idx="83">
                  <c:v>304.88419370178673</c:v>
                </c:pt>
                <c:pt idx="84">
                  <c:v>301.24359771632385</c:v>
                </c:pt>
                <c:pt idx="85">
                  <c:v>297.68296737425777</c:v>
                </c:pt>
                <c:pt idx="86">
                  <c:v>294.19968796025506</c:v>
                </c:pt>
                <c:pt idx="87">
                  <c:v>290.79125751065101</c:v>
                </c:pt>
                <c:pt idx="88">
                  <c:v>287.45528080066526</c:v>
                </c:pt>
                <c:pt idx="89">
                  <c:v>284.1894637123346</c:v>
                </c:pt>
                <c:pt idx="90">
                  <c:v>280.99160795533351</c:v>
                </c:pt>
                <c:pt idx="91">
                  <c:v>277.85960611515105</c:v>
                </c:pt>
                <c:pt idx="92">
                  <c:v>274.79143700518421</c:v>
                </c:pt>
                <c:pt idx="93">
                  <c:v>271.78516130121056</c:v>
                </c:pt>
                <c:pt idx="94">
                  <c:v>268.83891743841929</c:v>
                </c:pt>
                <c:pt idx="95">
                  <c:v>265.95091775276524</c:v>
                </c:pt>
                <c:pt idx="96">
                  <c:v>263.11944484983843</c:v>
                </c:pt>
                <c:pt idx="97">
                  <c:v>260.34284818574787</c:v>
                </c:pt>
                <c:pt idx="98">
                  <c:v>257.61954084572073</c:v>
                </c:pt>
                <c:pt idx="99">
                  <c:v>254.94799650720185</c:v>
                </c:pt>
                <c:pt idx="100">
                  <c:v>252.32674657524345</c:v>
                </c:pt>
              </c:numCache>
            </c:numRef>
          </c:val>
          <c:smooth val="0"/>
          <c:extLst>
            <c:ext xmlns:c16="http://schemas.microsoft.com/office/drawing/2014/chart" uri="{C3380CC4-5D6E-409C-BE32-E72D297353CC}">
              <c16:uniqueId val="{00000002-CEA8-405E-B5B3-AF38AAF3801C}"/>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CEA8-405E-B5B3-AF38AAF3801C}"/>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CEA8-405E-B5B3-AF38AAF3801C}"/>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CEA8-405E-B5B3-AF38AAF3801C}"/>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5.3334903203597506E-3</c:v>
                </c:pt>
                <c:pt idx="1">
                  <c:v>1.3636577147687309E-2</c:v>
                </c:pt>
                <c:pt idx="2">
                  <c:v>2.7273154295374618E-2</c:v>
                </c:pt>
                <c:pt idx="3">
                  <c:v>4.0909731443061925E-2</c:v>
                </c:pt>
                <c:pt idx="4">
                  <c:v>5.4546308590749236E-2</c:v>
                </c:pt>
                <c:pt idx="5">
                  <c:v>6.8182885738436547E-2</c:v>
                </c:pt>
                <c:pt idx="6">
                  <c:v>8.181946288612385E-2</c:v>
                </c:pt>
                <c:pt idx="7">
                  <c:v>9.5456040033811168E-2</c:v>
                </c:pt>
                <c:pt idx="8">
                  <c:v>0.10909261718149847</c:v>
                </c:pt>
                <c:pt idx="9">
                  <c:v>0.12272919432918576</c:v>
                </c:pt>
                <c:pt idx="10">
                  <c:v>0.13636577147687309</c:v>
                </c:pt>
                <c:pt idx="11">
                  <c:v>0.15000234862456041</c:v>
                </c:pt>
                <c:pt idx="12">
                  <c:v>0.1636389257722477</c:v>
                </c:pt>
                <c:pt idx="13">
                  <c:v>0.17727550291993502</c:v>
                </c:pt>
                <c:pt idx="14">
                  <c:v>0.19091208006762234</c:v>
                </c:pt>
                <c:pt idx="15">
                  <c:v>0.1997459235810625</c:v>
                </c:pt>
                <c:pt idx="16">
                  <c:v>0.20662581630994514</c:v>
                </c:pt>
                <c:pt idx="17">
                  <c:v>0.21331484761041586</c:v>
                </c:pt>
                <c:pt idx="18">
                  <c:v>0.21982972444875692</c:v>
                </c:pt>
                <c:pt idx="19">
                  <c:v>0.22618485991217127</c:v>
                </c:pt>
                <c:pt idx="20">
                  <c:v>0.23239279113973768</c:v>
                </c:pt>
                <c:pt idx="21">
                  <c:v>0.23846450418302287</c:v>
                </c:pt>
                <c:pt idx="22">
                  <c:v>0.2444096899388313</c:v>
                </c:pt>
                <c:pt idx="23">
                  <c:v>0.25023694822717479</c:v>
                </c:pt>
                <c:pt idx="24">
                  <c:v>0.25595395230419071</c:v>
                </c:pt>
                <c:pt idx="25">
                  <c:v>0.26156758279909764</c:v>
                </c:pt>
                <c:pt idx="26">
                  <c:v>0.26708403774603884</c:v>
                </c:pt>
                <c:pt idx="27">
                  <c:v>0.27250892372705587</c:v>
                </c:pt>
                <c:pt idx="28">
                  <c:v>0.27784733194401301</c:v>
                </c:pt>
                <c:pt idx="29">
                  <c:v>0.2831039021575667</c:v>
                </c:pt>
                <c:pt idx="30">
                  <c:v>0.28828287677746894</c:v>
                </c:pt>
                <c:pt idx="31">
                  <c:v>0.29338814689700882</c:v>
                </c:pt>
                <c:pt idx="32">
                  <c:v>0.2984232916910437</c:v>
                </c:pt>
                <c:pt idx="33">
                  <c:v>0.30339161231064266</c:v>
                </c:pt>
                <c:pt idx="34">
                  <c:v>0.30829616118562664</c:v>
                </c:pt>
                <c:pt idx="35">
                  <c:v>0.31313976747316735</c:v>
                </c:pt>
                <c:pt idx="36">
                  <c:v>0.31792505925434972</c:v>
                </c:pt>
                <c:pt idx="37">
                  <c:v>0.3226544829725731</c:v>
                </c:pt>
                <c:pt idx="38">
                  <c:v>0.32733032052140687</c:v>
                </c:pt>
                <c:pt idx="39">
                  <c:v>0.33195470432018659</c:v>
                </c:pt>
                <c:pt idx="40">
                  <c:v>0.33652963065956432</c:v>
                </c:pt>
                <c:pt idx="41">
                  <c:v>0.34105697155361731</c:v>
                </c:pt>
                <c:pt idx="42">
                  <c:v>0.34553848529780207</c:v>
                </c:pt>
                <c:pt idx="43">
                  <c:v>0.34997582590136217</c:v>
                </c:pt>
                <c:pt idx="44">
                  <c:v>0.35437055153743247</c:v>
                </c:pt>
                <c:pt idx="45">
                  <c:v>0.35872413213303278</c:v>
                </c:pt>
                <c:pt idx="46">
                  <c:v>0.36303795620357104</c:v>
                </c:pt>
                <c:pt idx="47">
                  <c:v>0.36731333702177005</c:v>
                </c:pt>
                <c:pt idx="48">
                  <c:v>0.3715515181985457</c:v>
                </c:pt>
                <c:pt idx="49">
                  <c:v>0.37575367874292243</c:v>
                </c:pt>
                <c:pt idx="50">
                  <c:v>0.3799209376592026</c:v>
                </c:pt>
                <c:pt idx="51">
                  <c:v>0.38405435813207944</c:v>
                </c:pt>
                <c:pt idx="52">
                  <c:v>0.38815495134394296</c:v>
                </c:pt>
                <c:pt idx="53">
                  <c:v>0.39222367996312418</c:v>
                </c:pt>
                <c:pt idx="54">
                  <c:v>0.39626146133709167</c:v>
                </c:pt>
                <c:pt idx="55">
                  <c:v>0.40026917042053017</c:v>
                </c:pt>
                <c:pt idx="56">
                  <c:v>0.40424764246471528</c:v>
                </c:pt>
                <c:pt idx="57">
                  <c:v>0.40819767549153946</c:v>
                </c:pt>
                <c:pt idx="58">
                  <c:v>0.41212003257289265</c:v>
                </c:pt>
                <c:pt idx="59">
                  <c:v>0.41244207103667929</c:v>
                </c:pt>
                <c:pt idx="60">
                  <c:v>0.40953722174811907</c:v>
                </c:pt>
                <c:pt idx="61">
                  <c:v>0.40669310277111914</c:v>
                </c:pt>
                <c:pt idx="62">
                  <c:v>0.40390765031846609</c:v>
                </c:pt>
                <c:pt idx="63">
                  <c:v>0.40221743835580703</c:v>
                </c:pt>
                <c:pt idx="64">
                  <c:v>0.40283716247139101</c:v>
                </c:pt>
                <c:pt idx="65">
                  <c:v>0.40344354302874624</c:v>
                </c:pt>
                <c:pt idx="66">
                  <c:v>0.40403712007329506</c:v>
                </c:pt>
                <c:pt idx="67">
                  <c:v>0.40461840407914351</c:v>
                </c:pt>
                <c:pt idx="68">
                  <c:v>0.40518787796351635</c:v>
                </c:pt>
                <c:pt idx="69">
                  <c:v>0.40594949416959114</c:v>
                </c:pt>
                <c:pt idx="70">
                  <c:v>0.40670338623025887</c:v>
                </c:pt>
                <c:pt idx="71">
                  <c:v>0.40744870485129664</c:v>
                </c:pt>
                <c:pt idx="72">
                  <c:v>0.40818581560744499</c:v>
                </c:pt>
                <c:pt idx="73">
                  <c:v>0.40891506538582528</c:v>
                </c:pt>
                <c:pt idx="74">
                  <c:v>0.40963678357234728</c:v>
                </c:pt>
                <c:pt idx="75">
                  <c:v>0.41035128314890462</c:v>
                </c:pt>
                <c:pt idx="76">
                  <c:v>0.41105886170908823</c:v>
                </c:pt>
                <c:pt idx="77">
                  <c:v>0.4117598023993907</c:v>
                </c:pt>
                <c:pt idx="78">
                  <c:v>0.41245437479220298</c:v>
                </c:pt>
                <c:pt idx="79">
                  <c:v>0.41314283569629939</c:v>
                </c:pt>
                <c:pt idx="80">
                  <c:v>0.41382542990997429</c:v>
                </c:pt>
                <c:pt idx="81">
                  <c:v>0.41450239092150654</c:v>
                </c:pt>
                <c:pt idx="82">
                  <c:v>0.41517394156120424</c:v>
                </c:pt>
                <c:pt idx="83">
                  <c:v>0.41584029460888561</c:v>
                </c:pt>
                <c:pt idx="84">
                  <c:v>0.41650165336031431</c:v>
                </c:pt>
                <c:pt idx="85">
                  <c:v>0.41715821215578403</c:v>
                </c:pt>
                <c:pt idx="86">
                  <c:v>0.41781015687377671</c:v>
                </c:pt>
                <c:pt idx="87">
                  <c:v>0.41845766539235063</c:v>
                </c:pt>
                <c:pt idx="88">
                  <c:v>0.41910090802070021</c:v>
                </c:pt>
                <c:pt idx="89">
                  <c:v>0.41974004790310798</c:v>
                </c:pt>
                <c:pt idx="90">
                  <c:v>0.42037524139733062</c:v>
                </c:pt>
                <c:pt idx="91">
                  <c:v>0.42100663842928743</c:v>
                </c:pt>
                <c:pt idx="92">
                  <c:v>0.42163438282576182</c:v>
                </c:pt>
                <c:pt idx="93">
                  <c:v>0.42225861262669495</c:v>
                </c:pt>
                <c:pt idx="94">
                  <c:v>0.42287946037851221</c:v>
                </c:pt>
                <c:pt idx="95">
                  <c:v>0.42349705340981741</c:v>
                </c:pt>
                <c:pt idx="96">
                  <c:v>0.42411151409067582</c:v>
                </c:pt>
                <c:pt idx="97">
                  <c:v>0.42472296007661847</c:v>
                </c:pt>
                <c:pt idx="98">
                  <c:v>0.42533150453840279</c:v>
                </c:pt>
                <c:pt idx="99">
                  <c:v>0.4259372563784965</c:v>
                </c:pt>
                <c:pt idx="100">
                  <c:v>0.42654032043516682</c:v>
                </c:pt>
              </c:numCache>
            </c:numRef>
          </c:val>
          <c:smooth val="0"/>
          <c:extLst>
            <c:ext xmlns:c16="http://schemas.microsoft.com/office/drawing/2014/chart" uri="{C3380CC4-5D6E-409C-BE32-E72D297353CC}">
              <c16:uniqueId val="{00000006-CEA8-405E-B5B3-AF38AAF3801C}"/>
            </c:ext>
          </c:extLst>
        </c:ser>
        <c:ser>
          <c:idx val="16"/>
          <c:order val="16"/>
          <c:spPr>
            <a:ln w="25400">
              <a:solidFill>
                <a:srgbClr val="00B050"/>
              </a:solidFill>
              <a:prstDash val="dash"/>
            </a:ln>
          </c:spPr>
          <c:marker>
            <c:symbol val="none"/>
          </c:marker>
          <c:val>
            <c:numRef>
              <c:f>'Calculations - Dual'!$AU$110:$AU$210</c:f>
              <c:numCache>
                <c:formatCode>0.000</c:formatCode>
                <c:ptCount val="101"/>
                <c:pt idx="0">
                  <c:v>7.4538447463789129E-3</c:v>
                </c:pt>
                <c:pt idx="1">
                  <c:v>1.9295697948152613E-2</c:v>
                </c:pt>
                <c:pt idx="2">
                  <c:v>5.7887093844457838E-2</c:v>
                </c:pt>
                <c:pt idx="3">
                  <c:v>5.7887093844457838E-2</c:v>
                </c:pt>
                <c:pt idx="4">
                  <c:v>7.718279179261045E-2</c:v>
                </c:pt>
                <c:pt idx="5">
                  <c:v>9.6478489740763049E-2</c:v>
                </c:pt>
                <c:pt idx="6">
                  <c:v>0.11577418768891568</c:v>
                </c:pt>
                <c:pt idx="7">
                  <c:v>0.13506988563706829</c:v>
                </c:pt>
                <c:pt idx="8">
                  <c:v>0.1543655835852209</c:v>
                </c:pt>
                <c:pt idx="9">
                  <c:v>0.17366128153337348</c:v>
                </c:pt>
                <c:pt idx="10">
                  <c:v>0.1929569794815261</c:v>
                </c:pt>
                <c:pt idx="11">
                  <c:v>0.21225267742967874</c:v>
                </c:pt>
                <c:pt idx="12">
                  <c:v>0.23154837537783135</c:v>
                </c:pt>
                <c:pt idx="13">
                  <c:v>0.25084407332598396</c:v>
                </c:pt>
                <c:pt idx="14">
                  <c:v>0.27013977127413658</c:v>
                </c:pt>
                <c:pt idx="15">
                  <c:v>0.28276559393289413</c:v>
                </c:pt>
                <c:pt idx="16">
                  <c:v>0.29269903006687381</c:v>
                </c:pt>
                <c:pt idx="17">
                  <c:v>0.3023695400968926</c:v>
                </c:pt>
                <c:pt idx="18">
                  <c:v>0.31180027951886136</c:v>
                </c:pt>
                <c:pt idx="19">
                  <c:v>0.32101122214372968</c:v>
                </c:pt>
                <c:pt idx="20">
                  <c:v>0.33001973998579459</c:v>
                </c:pt>
                <c:pt idx="21">
                  <c:v>0.3388410539883624</c:v>
                </c:pt>
                <c:pt idx="22">
                  <c:v>0.34748858909583252</c:v>
                </c:pt>
                <c:pt idx="23">
                  <c:v>0.35597425736829541</c:v>
                </c:pt>
                <c:pt idx="24">
                  <c:v>0.3643086861951953</c:v>
                </c:pt>
                <c:pt idx="25">
                  <c:v>0.3725014040832958</c:v>
                </c:pt>
                <c:pt idx="26">
                  <c:v>0.3805609932765549</c:v>
                </c:pt>
                <c:pt idx="27">
                  <c:v>0.38849521616904598</c:v>
                </c:pt>
                <c:pt idx="28">
                  <c:v>0.3963111208087971</c:v>
                </c:pt>
                <c:pt idx="29">
                  <c:v>0.40401512956950586</c:v>
                </c:pt>
                <c:pt idx="30">
                  <c:v>0.4116131141597385</c:v>
                </c:pt>
                <c:pt idx="31">
                  <c:v>0.41911045945716202</c:v>
                </c:pt>
                <c:pt idx="32">
                  <c:v>0.4265121181372547</c:v>
                </c:pt>
                <c:pt idx="33">
                  <c:v>0.43382265766847333</c:v>
                </c:pt>
                <c:pt idx="34">
                  <c:v>0.44104630093816344</c:v>
                </c:pt>
                <c:pt idx="35">
                  <c:v>0.44818696153327908</c:v>
                </c:pt>
                <c:pt idx="36">
                  <c:v>0.45524827451091671</c:v>
                </c:pt>
                <c:pt idx="37">
                  <c:v>0.4622336233437766</c:v>
                </c:pt>
                <c:pt idx="38">
                  <c:v>0.46914616360598194</c:v>
                </c:pt>
                <c:pt idx="39">
                  <c:v>0.47598884386850243</c:v>
                </c:pt>
                <c:pt idx="40">
                  <c:v>0.48276442419562754</c:v>
                </c:pt>
                <c:pt idx="41">
                  <c:v>0.48947549257066925</c:v>
                </c:pt>
                <c:pt idx="42">
                  <c:v>0.49612447952729599</c:v>
                </c:pt>
                <c:pt idx="43">
                  <c:v>0.4928101968462707</c:v>
                </c:pt>
                <c:pt idx="44">
                  <c:v>0.4879684450880839</c:v>
                </c:pt>
                <c:pt idx="45">
                  <c:v>0.48257781767054825</c:v>
                </c:pt>
                <c:pt idx="46">
                  <c:v>0.48363714907428723</c:v>
                </c:pt>
                <c:pt idx="47">
                  <c:v>0.48466477270253433</c:v>
                </c:pt>
                <c:pt idx="48">
                  <c:v>0.48566245648276046</c:v>
                </c:pt>
                <c:pt idx="49">
                  <c:v>0.48663183584225922</c:v>
                </c:pt>
                <c:pt idx="50">
                  <c:v>0.48757442599262568</c:v>
                </c:pt>
                <c:pt idx="51">
                  <c:v>0.4885841277333941</c:v>
                </c:pt>
                <c:pt idx="52">
                  <c:v>0.48983201480733013</c:v>
                </c:pt>
                <c:pt idx="53">
                  <c:v>0.49106121388467466</c:v>
                </c:pt>
                <c:pt idx="54">
                  <c:v>0.49227279376847421</c:v>
                </c:pt>
                <c:pt idx="55">
                  <c:v>0.49346775075762167</c:v>
                </c:pt>
                <c:pt idx="56">
                  <c:v>0.49464701473415479</c:v>
                </c:pt>
                <c:pt idx="57">
                  <c:v>0.4958114546476996</c:v>
                </c:pt>
                <c:pt idx="58">
                  <c:v>0.49696188346558356</c:v>
                </c:pt>
                <c:pt idx="59">
                  <c:v>0.49809906264838449</c:v>
                </c:pt>
                <c:pt idx="60">
                  <c:v>0.49922370620316203</c:v>
                </c:pt>
                <c:pt idx="61">
                  <c:v>0.50033648436014688</c:v>
                </c:pt>
                <c:pt idx="62">
                  <c:v>0.50143802691307771</c:v>
                </c:pt>
                <c:pt idx="63">
                  <c:v>0.50252892625854817</c:v>
                </c:pt>
                <c:pt idx="64">
                  <c:v>0.50360974016553961</c:v>
                </c:pt>
                <c:pt idx="65">
                  <c:v>0.50468099430267976</c:v>
                </c:pt>
                <c:pt idx="66">
                  <c:v>0.50574318454759837</c:v>
                </c:pt>
                <c:pt idx="67">
                  <c:v>0.50679677909999266</c:v>
                </c:pt>
                <c:pt idx="68">
                  <c:v>0.50784222041759719</c:v>
                </c:pt>
                <c:pt idx="69">
                  <c:v>0.50887992699213613</c:v>
                </c:pt>
                <c:pt idx="70">
                  <c:v>0.50991029498048379</c:v>
                </c:pt>
                <c:pt idx="71">
                  <c:v>0.5109336997046211</c:v>
                </c:pt>
                <c:pt idx="72">
                  <c:v>0.5119504970325397</c:v>
                </c:pt>
                <c:pt idx="73">
                  <c:v>0.51296102465097659</c:v>
                </c:pt>
                <c:pt idx="74">
                  <c:v>0.5139656032397385</c:v>
                </c:pt>
                <c:pt idx="75">
                  <c:v>0.51496453755638361</c:v>
                </c:pt>
                <c:pt idx="76">
                  <c:v>0.51595811743914355</c:v>
                </c:pt>
                <c:pt idx="77">
                  <c:v>0.51694661873519032</c:v>
                </c:pt>
                <c:pt idx="78">
                  <c:v>0.51793030416065333</c:v>
                </c:pt>
                <c:pt idx="79">
                  <c:v>0.51890942409816965</c:v>
                </c:pt>
                <c:pt idx="80">
                  <c:v>0.51988421733720391</c:v>
                </c:pt>
                <c:pt idx="81">
                  <c:v>0.52085491176186904</c:v>
                </c:pt>
                <c:pt idx="82">
                  <c:v>0.52182172499054646</c:v>
                </c:pt>
                <c:pt idx="83">
                  <c:v>0.52278486497119947</c:v>
                </c:pt>
                <c:pt idx="84">
                  <c:v>0.52374453053592374</c:v>
                </c:pt>
                <c:pt idx="85">
                  <c:v>0.52470091191795476</c:v>
                </c:pt>
                <c:pt idx="86">
                  <c:v>0.52565419123406665</c:v>
                </c:pt>
                <c:pt idx="87">
                  <c:v>0.52660454293503633</c:v>
                </c:pt>
                <c:pt idx="88">
                  <c:v>0.52755213422661584</c:v>
                </c:pt>
                <c:pt idx="89">
                  <c:v>0.52849712546324046</c:v>
                </c:pt>
                <c:pt idx="90">
                  <c:v>0.52943967051651275</c:v>
                </c:pt>
                <c:pt idx="91">
                  <c:v>0.5303799171203325</c:v>
                </c:pt>
                <c:pt idx="92">
                  <c:v>0.53131800719437738</c:v>
                </c:pt>
                <c:pt idx="93">
                  <c:v>0.53225407714751038</c:v>
                </c:pt>
                <c:pt idx="94">
                  <c:v>0.53318825816254622</c:v>
                </c:pt>
                <c:pt idx="95">
                  <c:v>0.53412067646371031</c:v>
                </c:pt>
                <c:pt idx="96">
                  <c:v>0.53505145356799588</c:v>
                </c:pt>
                <c:pt idx="97">
                  <c:v>0.53598070652155028</c:v>
                </c:pt>
                <c:pt idx="98">
                  <c:v>0.53690854812211564</c:v>
                </c:pt>
                <c:pt idx="99">
                  <c:v>0.53783508712847794</c:v>
                </c:pt>
                <c:pt idx="100">
                  <c:v>0.53876042845780348</c:v>
                </c:pt>
              </c:numCache>
            </c:numRef>
          </c:val>
          <c:smooth val="0"/>
          <c:extLst>
            <c:ext xmlns:c16="http://schemas.microsoft.com/office/drawing/2014/chart" uri="{C3380CC4-5D6E-409C-BE32-E72D297353CC}">
              <c16:uniqueId val="{00000007-CEA8-405E-B5B3-AF38AAF3801C}"/>
            </c:ext>
          </c:extLst>
        </c:ser>
        <c:ser>
          <c:idx val="17"/>
          <c:order val="17"/>
          <c:spPr>
            <a:ln w="25400">
              <a:solidFill>
                <a:srgbClr val="FF0000"/>
              </a:solidFill>
            </a:ln>
          </c:spPr>
          <c:marker>
            <c:symbol val="none"/>
          </c:marker>
          <c:val>
            <c:numRef>
              <c:f>'Calculations - Dual'!$AU$216:$AU$316</c:f>
              <c:numCache>
                <c:formatCode>0.000</c:formatCode>
                <c:ptCount val="101"/>
                <c:pt idx="0">
                  <c:v>4.1809106068952835E-3</c:v>
                </c:pt>
                <c:pt idx="1">
                  <c:v>1.0541411152610394E-2</c:v>
                </c:pt>
                <c:pt idx="2">
                  <c:v>2.1082822305220787E-2</c:v>
                </c:pt>
                <c:pt idx="3">
                  <c:v>3.1624233457831177E-2</c:v>
                </c:pt>
                <c:pt idx="4">
                  <c:v>4.2165644610441574E-2</c:v>
                </c:pt>
                <c:pt idx="5">
                  <c:v>5.2707055763051965E-2</c:v>
                </c:pt>
                <c:pt idx="6">
                  <c:v>6.3248466915662355E-2</c:v>
                </c:pt>
                <c:pt idx="7">
                  <c:v>7.3789878068272738E-2</c:v>
                </c:pt>
                <c:pt idx="8">
                  <c:v>8.4331289220883149E-2</c:v>
                </c:pt>
                <c:pt idx="9">
                  <c:v>9.4872700373493518E-2</c:v>
                </c:pt>
                <c:pt idx="10">
                  <c:v>0.10541411152610393</c:v>
                </c:pt>
                <c:pt idx="11">
                  <c:v>0.11595552267871431</c:v>
                </c:pt>
                <c:pt idx="12">
                  <c:v>0.12649693383132471</c:v>
                </c:pt>
                <c:pt idx="13">
                  <c:v>0.13703834498393511</c:v>
                </c:pt>
                <c:pt idx="14">
                  <c:v>0.14757975613654548</c:v>
                </c:pt>
                <c:pt idx="15">
                  <c:v>0.15437189955891231</c:v>
                </c:pt>
                <c:pt idx="16">
                  <c:v>0.15962978733577471</c:v>
                </c:pt>
                <c:pt idx="17">
                  <c:v>0.16473807629128157</c:v>
                </c:pt>
                <c:pt idx="18">
                  <c:v>0.16970983072093213</c:v>
                </c:pt>
                <c:pt idx="19">
                  <c:v>0.17455632179629793</c:v>
                </c:pt>
                <c:pt idx="20">
                  <c:v>0.17928735421166711</c:v>
                </c:pt>
                <c:pt idx="21">
                  <c:v>0.18391152009492165</c:v>
                </c:pt>
                <c:pt idx="22">
                  <c:v>0.18843639904930584</c:v>
                </c:pt>
                <c:pt idx="23">
                  <c:v>0.19286871766842129</c:v>
                </c:pt>
                <c:pt idx="24">
                  <c:v>0.19721447812881943</c:v>
                </c:pt>
                <c:pt idx="25">
                  <c:v>0.20147906288523745</c:v>
                </c:pt>
                <c:pt idx="26">
                  <c:v>0.20566732068188209</c:v>
                </c:pt>
                <c:pt idx="27">
                  <c:v>0.20978363780011644</c:v>
                </c:pt>
                <c:pt idx="28">
                  <c:v>0.2138319975263463</c:v>
                </c:pt>
                <c:pt idx="29">
                  <c:v>0.21781603013639542</c:v>
                </c:pt>
                <c:pt idx="30">
                  <c:v>0.22173905518169529</c:v>
                </c:pt>
                <c:pt idx="31">
                  <c:v>0.22560411747851411</c:v>
                </c:pt>
                <c:pt idx="32">
                  <c:v>0.22941401790965596</c:v>
                </c:pt>
                <c:pt idx="33">
                  <c:v>0.23317133992420849</c:v>
                </c:pt>
                <c:pt idx="34">
                  <c:v>0.23687847244761398</c:v>
                </c:pt>
                <c:pt idx="35">
                  <c:v>0.24053762977903173</c:v>
                </c:pt>
                <c:pt idx="36">
                  <c:v>0.24415086894646815</c:v>
                </c:pt>
                <c:pt idx="37">
                  <c:v>0.24772010490571181</c:v>
                </c:pt>
                <c:pt idx="38">
                  <c:v>0.25124712390169307</c:v>
                </c:pt>
                <c:pt idx="39">
                  <c:v>0.2547335952566997</c:v>
                </c:pt>
                <c:pt idx="40">
                  <c:v>0.25818108180605115</c:v>
                </c:pt>
                <c:pt idx="41">
                  <c:v>0.26159104916618603</c:v>
                </c:pt>
                <c:pt idx="42">
                  <c:v>0.26496487399094826</c:v>
                </c:pt>
                <c:pt idx="43">
                  <c:v>0.26830385134787665</c:v>
                </c:pt>
                <c:pt idx="44">
                  <c:v>0.27160920132647776</c:v>
                </c:pt>
                <c:pt idx="45">
                  <c:v>0.27488207497400424</c:v>
                </c:pt>
                <c:pt idx="46">
                  <c:v>0.27812355964052893</c:v>
                </c:pt>
                <c:pt idx="47">
                  <c:v>0.28133468380360582</c:v>
                </c:pt>
                <c:pt idx="48">
                  <c:v>0.28451642143312839</c:v>
                </c:pt>
                <c:pt idx="49">
                  <c:v>0.28766969594883329</c:v>
                </c:pt>
                <c:pt idx="50">
                  <c:v>0.29079538381596348</c:v>
                </c:pt>
                <c:pt idx="51">
                  <c:v>0.29389431781872033</c:v>
                </c:pt>
                <c:pt idx="52">
                  <c:v>0.29696729004610273</c:v>
                </c:pt>
                <c:pt idx="53">
                  <c:v>0.30001505462042383</c:v>
                </c:pt>
                <c:pt idx="54">
                  <c:v>0.30303833019509907</c:v>
                </c:pt>
                <c:pt idx="55">
                  <c:v>0.30603780224511073</c:v>
                </c:pt>
                <c:pt idx="56">
                  <c:v>0.30901412517079635</c:v>
                </c:pt>
                <c:pt idx="57">
                  <c:v>0.31196792423322606</c:v>
                </c:pt>
                <c:pt idx="58">
                  <c:v>0.31489979733735551</c:v>
                </c:pt>
                <c:pt idx="59">
                  <c:v>0.31781031667733428</c:v>
                </c:pt>
                <c:pt idx="60">
                  <c:v>0.32070003025677385</c:v>
                </c:pt>
                <c:pt idx="61">
                  <c:v>0.32356946329539449</c:v>
                </c:pt>
                <c:pt idx="62">
                  <c:v>0.32641911953225877</c:v>
                </c:pt>
                <c:pt idx="63">
                  <c:v>0.32924948243473429</c:v>
                </c:pt>
                <c:pt idx="64">
                  <c:v>0.33206101632138685</c:v>
                </c:pt>
                <c:pt idx="65">
                  <c:v>0.33485416740617469</c:v>
                </c:pt>
                <c:pt idx="66">
                  <c:v>0.33762936477058331</c:v>
                </c:pt>
                <c:pt idx="67">
                  <c:v>0.34038702126968257</c:v>
                </c:pt>
                <c:pt idx="68">
                  <c:v>0.34312753437751659</c:v>
                </c:pt>
                <c:pt idx="69">
                  <c:v>0.34585128697671569</c:v>
                </c:pt>
                <c:pt idx="70">
                  <c:v>0.34855864809676285</c:v>
                </c:pt>
                <c:pt idx="71">
                  <c:v>0.35124997360493759</c:v>
                </c:pt>
                <c:pt idx="72">
                  <c:v>0.35376970591945028</c:v>
                </c:pt>
                <c:pt idx="73">
                  <c:v>0.35174392027917939</c:v>
                </c:pt>
                <c:pt idx="74">
                  <c:v>0.34975305428465925</c:v>
                </c:pt>
                <c:pt idx="75">
                  <c:v>0.34779612767077184</c:v>
                </c:pt>
                <c:pt idx="76">
                  <c:v>0.34587219771264671</c:v>
                </c:pt>
                <c:pt idx="77">
                  <c:v>0.34349031911236644</c:v>
                </c:pt>
                <c:pt idx="78">
                  <c:v>0.34391479959336763</c:v>
                </c:pt>
                <c:pt idx="79">
                  <c:v>0.34433167033651785</c:v>
                </c:pt>
                <c:pt idx="80">
                  <c:v>0.34474118566138129</c:v>
                </c:pt>
                <c:pt idx="81">
                  <c:v>0.34514358836839931</c:v>
                </c:pt>
                <c:pt idx="82">
                  <c:v>0.34555314974232493</c:v>
                </c:pt>
                <c:pt idx="83">
                  <c:v>0.3460748112927271</c:v>
                </c:pt>
                <c:pt idx="84">
                  <c:v>0.346591113692235</c:v>
                </c:pt>
                <c:pt idx="85">
                  <c:v>0.34710224719829935</c:v>
                </c:pt>
                <c:pt idx="86">
                  <c:v>0.3476083938112578</c:v>
                </c:pt>
                <c:pt idx="87">
                  <c:v>0.34810972771954213</c:v>
                </c:pt>
                <c:pt idx="88">
                  <c:v>0.34860641571639583</c:v>
                </c:pt>
                <c:pt idx="89">
                  <c:v>0.34909861759020688</c:v>
                </c:pt>
                <c:pt idx="90">
                  <c:v>0.3495864864903836</c:v>
                </c:pt>
                <c:pt idx="91">
                  <c:v>0.35007016927054313</c:v>
                </c:pt>
                <c:pt idx="92">
                  <c:v>0.35054980681063769</c:v>
                </c:pt>
                <c:pt idx="93">
                  <c:v>0.35102553431951172</c:v>
                </c:pt>
                <c:pt idx="94">
                  <c:v>0.35149748161926131</c:v>
                </c:pt>
                <c:pt idx="95">
                  <c:v>0.3519657734126615</c:v>
                </c:pt>
                <c:pt idx="96">
                  <c:v>0.35243052953482695</c:v>
                </c:pt>
                <c:pt idx="97">
                  <c:v>0.35289186519017735</c:v>
                </c:pt>
                <c:pt idx="98">
                  <c:v>0.3533498911757022</c:v>
                </c:pt>
                <c:pt idx="99">
                  <c:v>0.35380471409143827</c:v>
                </c:pt>
                <c:pt idx="100">
                  <c:v>0.35425643653900574</c:v>
                </c:pt>
              </c:numCache>
            </c:numRef>
          </c:val>
          <c:smooth val="0"/>
          <c:extLst>
            <c:ext xmlns:c16="http://schemas.microsoft.com/office/drawing/2014/chart" uri="{C3380CC4-5D6E-409C-BE32-E72D297353CC}">
              <c16:uniqueId val="{00000008-CEA8-405E-B5B3-AF38AAF3801C}"/>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24.410473562444633</c:v>
                </c:pt>
                <c:pt idx="2">
                  <c:v>73.231420687333895</c:v>
                </c:pt>
                <c:pt idx="3">
                  <c:v>73.231420687333895</c:v>
                </c:pt>
                <c:pt idx="4">
                  <c:v>97.641894249778531</c:v>
                </c:pt>
                <c:pt idx="5">
                  <c:v>122.05236781222314</c:v>
                </c:pt>
                <c:pt idx="6">
                  <c:v>146.46284137466779</c:v>
                </c:pt>
                <c:pt idx="7">
                  <c:v>170.87331493711241</c:v>
                </c:pt>
                <c:pt idx="8">
                  <c:v>195.28378849955706</c:v>
                </c:pt>
                <c:pt idx="9">
                  <c:v>219.69426206200166</c:v>
                </c:pt>
                <c:pt idx="10">
                  <c:v>244.10473562444628</c:v>
                </c:pt>
                <c:pt idx="11">
                  <c:v>268.51520918689096</c:v>
                </c:pt>
                <c:pt idx="12">
                  <c:v>292.92568274933558</c:v>
                </c:pt>
                <c:pt idx="13">
                  <c:v>317.3361563117802</c:v>
                </c:pt>
                <c:pt idx="14">
                  <c:v>341.74662987422482</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343.10498952114853</c:v>
                </c:pt>
                <c:pt idx="44">
                  <c:v>335.37664899486344</c:v>
                </c:pt>
                <c:pt idx="45">
                  <c:v>327.97252883046298</c:v>
                </c:pt>
                <c:pt idx="46">
                  <c:v>320.87279897958086</c:v>
                </c:pt>
                <c:pt idx="47">
                  <c:v>314.05920942738106</c:v>
                </c:pt>
                <c:pt idx="48">
                  <c:v>307.51493614304553</c:v>
                </c:pt>
                <c:pt idx="49">
                  <c:v>301.2244446915534</c:v>
                </c:pt>
                <c:pt idx="50">
                  <c:v>295.17336919030748</c:v>
                </c:pt>
                <c:pt idx="51">
                  <c:v>289.25057420451805</c:v>
                </c:pt>
                <c:pt idx="52">
                  <c:v>283.27221897200536</c:v>
                </c:pt>
                <c:pt idx="53">
                  <c:v>277.50423543881203</c:v>
                </c:pt>
                <c:pt idx="54">
                  <c:v>271.93566397500445</c:v>
                </c:pt>
                <c:pt idx="55">
                  <c:v>266.55629329705431</c:v>
                </c:pt>
                <c:pt idx="56">
                  <c:v>261.35659766880798</c:v>
                </c:pt>
                <c:pt idx="57">
                  <c:v>256.32768032199368</c:v>
                </c:pt>
                <c:pt idx="58">
                  <c:v>251.46122238929775</c:v>
                </c:pt>
                <c:pt idx="59">
                  <c:v>246.74943673341699</c:v>
                </c:pt>
                <c:pt idx="60">
                  <c:v>242.18502613307052</c:v>
                </c:pt>
                <c:pt idx="61">
                  <c:v>237.76114535372687</c:v>
                </c:pt>
                <c:pt idx="62">
                  <c:v>233.47136668840736</c:v>
                </c:pt>
                <c:pt idx="63">
                  <c:v>229.30964860374641</c:v>
                </c:pt>
                <c:pt idx="64">
                  <c:v>225.2703071696746</c:v>
                </c:pt>
                <c:pt idx="65">
                  <c:v>221.34798998860884</c:v>
                </c:pt>
                <c:pt idx="66">
                  <c:v>217.53765237269749</c:v>
                </c:pt>
                <c:pt idx="67">
                  <c:v>213.83453554617222</c:v>
                </c:pt>
                <c:pt idx="68">
                  <c:v>210.23414667476976</c:v>
                </c:pt>
                <c:pt idx="69">
                  <c:v>206.73224054601928</c:v>
                </c:pt>
                <c:pt idx="70">
                  <c:v>203.32480274334486</c:v>
                </c:pt>
                <c:pt idx="71">
                  <c:v>200.00803417378063</c:v>
                </c:pt>
                <c:pt idx="72">
                  <c:v>196.77833682393361</c:v>
                </c:pt>
                <c:pt idx="73">
                  <c:v>193.63230063192782</c:v>
                </c:pt>
                <c:pt idx="74">
                  <c:v>190.56669137463726</c:v>
                </c:pt>
                <c:pt idx="75">
                  <c:v>187.57843947976875</c:v>
                </c:pt>
                <c:pt idx="76">
                  <c:v>184.66462968144364</c:v>
                </c:pt>
                <c:pt idx="77">
                  <c:v>181.82249144600829</c:v>
                </c:pt>
                <c:pt idx="78">
                  <c:v>179.04939010198265</c:v>
                </c:pt>
                <c:pt idx="79">
                  <c:v>176.34281861446408</c:v>
                </c:pt>
                <c:pt idx="80">
                  <c:v>173.70038995001158</c:v>
                </c:pt>
                <c:pt idx="81">
                  <c:v>171.11982998314431</c:v>
                </c:pt>
                <c:pt idx="82">
                  <c:v>168.59897090015247</c:v>
                </c:pt>
                <c:pt idx="83">
                  <c:v>166.1357450600153</c:v>
                </c:pt>
                <c:pt idx="84">
                  <c:v>163.7281792758925</c:v>
                </c:pt>
                <c:pt idx="85">
                  <c:v>161.37438948395229</c:v>
                </c:pt>
                <c:pt idx="86">
                  <c:v>159.0725757692714</c:v>
                </c:pt>
                <c:pt idx="87">
                  <c:v>156.82101772121305</c:v>
                </c:pt>
                <c:pt idx="88">
                  <c:v>154.61807009309877</c:v>
                </c:pt>
                <c:pt idx="89">
                  <c:v>152.46215874316749</c:v>
                </c:pt>
                <c:pt idx="90">
                  <c:v>150.351776835782</c:v>
                </c:pt>
                <c:pt idx="91">
                  <c:v>148.2854812836211</c:v>
                </c:pt>
                <c:pt idx="92">
                  <c:v>146.26188941320933</c:v>
                </c:pt>
                <c:pt idx="93">
                  <c:v>144.27967583759775</c:v>
                </c:pt>
                <c:pt idx="94">
                  <c:v>142.33756952133535</c:v>
                </c:pt>
                <c:pt idx="95">
                  <c:v>140.43435102407759</c:v>
                </c:pt>
                <c:pt idx="96">
                  <c:v>138.56884991027491</c:v>
                </c:pt>
                <c:pt idx="97">
                  <c:v>136.73994231338324</c:v>
                </c:pt>
                <c:pt idx="98">
                  <c:v>134.94654864394846</c:v>
                </c:pt>
                <c:pt idx="99">
                  <c:v>133.18763143174618</c:v>
                </c:pt>
                <c:pt idx="100">
                  <c:v>131.46219329291989</c:v>
                </c:pt>
              </c:numCache>
            </c:numRef>
          </c:val>
          <c:smooth val="0"/>
          <c:extLst>
            <c:ext xmlns:c16="http://schemas.microsoft.com/office/drawing/2014/chart" uri="{C3380CC4-5D6E-409C-BE32-E72D297353CC}">
              <c16:uniqueId val="{00000009-CEA8-405E-B5B3-AF38AAF3801C}"/>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24.410473562444633</c:v>
                </c:pt>
                <c:pt idx="2">
                  <c:v>48.820947124889265</c:v>
                </c:pt>
                <c:pt idx="3">
                  <c:v>73.231420687333895</c:v>
                </c:pt>
                <c:pt idx="4">
                  <c:v>97.641894249778531</c:v>
                </c:pt>
                <c:pt idx="5">
                  <c:v>122.05236781222314</c:v>
                </c:pt>
                <c:pt idx="6">
                  <c:v>146.46284137466779</c:v>
                </c:pt>
                <c:pt idx="7">
                  <c:v>170.87331493711241</c:v>
                </c:pt>
                <c:pt idx="8">
                  <c:v>195.28378849955706</c:v>
                </c:pt>
                <c:pt idx="9">
                  <c:v>219.69426206200166</c:v>
                </c:pt>
                <c:pt idx="10">
                  <c:v>244.10473562444628</c:v>
                </c:pt>
                <c:pt idx="11">
                  <c:v>268.51520918689096</c:v>
                </c:pt>
                <c:pt idx="12">
                  <c:v>292.92568274933558</c:v>
                </c:pt>
                <c:pt idx="13">
                  <c:v>317.3361563117802</c:v>
                </c:pt>
                <c:pt idx="14">
                  <c:v>341.74662987422482</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346.9936680663547</c:v>
                </c:pt>
                <c:pt idx="60">
                  <c:v>341.37480768550802</c:v>
                </c:pt>
                <c:pt idx="61">
                  <c:v>335.92899115810985</c:v>
                </c:pt>
                <c:pt idx="62">
                  <c:v>330.64838766710926</c:v>
                </c:pt>
                <c:pt idx="63">
                  <c:v>325.52563088505025</c:v>
                </c:pt>
                <c:pt idx="64">
                  <c:v>320.55378507597879</c:v>
                </c:pt>
                <c:pt idx="65">
                  <c:v>315.72631412124571</c:v>
                </c:pt>
                <c:pt idx="66">
                  <c:v>311.03705317927262</c:v>
                </c:pt>
                <c:pt idx="67">
                  <c:v>306.48018272174204</c:v>
                </c:pt>
                <c:pt idx="68">
                  <c:v>302.05020471704103</c:v>
                </c:pt>
                <c:pt idx="69">
                  <c:v>297.54998167265842</c:v>
                </c:pt>
                <c:pt idx="70">
                  <c:v>293.16846773075042</c:v>
                </c:pt>
                <c:pt idx="71">
                  <c:v>288.90209680372107</c:v>
                </c:pt>
                <c:pt idx="72">
                  <c:v>284.74637003932588</c:v>
                </c:pt>
                <c:pt idx="73">
                  <c:v>280.69701991914468</c:v>
                </c:pt>
                <c:pt idx="74">
                  <c:v>276.7499955782244</c:v>
                </c:pt>
                <c:pt idx="75">
                  <c:v>272.90144922864152</c:v>
                </c:pt>
                <c:pt idx="76">
                  <c:v>269.14772359134054</c:v>
                </c:pt>
                <c:pt idx="77">
                  <c:v>265.48534024995291</c:v>
                </c:pt>
                <c:pt idx="78">
                  <c:v>261.91098884864334</c:v>
                </c:pt>
                <c:pt idx="79">
                  <c:v>258.42151706347022</c:v>
                </c:pt>
                <c:pt idx="80">
                  <c:v>255.01392128340305</c:v>
                </c:pt>
                <c:pt idx="81">
                  <c:v>251.68533794309101</c:v>
                </c:pt>
                <c:pt idx="82">
                  <c:v>248.43303545481888</c:v>
                </c:pt>
                <c:pt idx="83">
                  <c:v>245.25440669186912</c:v>
                </c:pt>
                <c:pt idx="84">
                  <c:v>242.146961979824</c:v>
                </c:pt>
                <c:pt idx="85">
                  <c:v>239.10832255620531</c:v>
                </c:pt>
                <c:pt idx="86">
                  <c:v>236.13621446234336</c:v>
                </c:pt>
                <c:pt idx="87">
                  <c:v>233.22846283451369</c:v>
                </c:pt>
                <c:pt idx="88">
                  <c:v>230.38298656422032</c:v>
                </c:pt>
                <c:pt idx="89">
                  <c:v>227.59779330007498</c:v>
                </c:pt>
                <c:pt idx="90">
                  <c:v>224.87097476604586</c:v>
                </c:pt>
                <c:pt idx="91">
                  <c:v>222.20070237295781</c:v>
                </c:pt>
                <c:pt idx="92">
                  <c:v>219.5852231020331</c:v>
                </c:pt>
                <c:pt idx="93">
                  <c:v>217.0228556410035</c:v>
                </c:pt>
                <c:pt idx="94">
                  <c:v>214.51198675489309</c:v>
                </c:pt>
                <c:pt idx="95">
                  <c:v>212.05106787501336</c:v>
                </c:pt>
                <c:pt idx="96">
                  <c:v>209.63861189101391</c:v>
                </c:pt>
                <c:pt idx="97">
                  <c:v>207.27319013202495</c:v>
                </c:pt>
                <c:pt idx="98">
                  <c:v>204.95342952401532</c:v>
                </c:pt>
                <c:pt idx="99">
                  <c:v>202.67800991148081</c:v>
                </c:pt>
                <c:pt idx="100">
                  <c:v>200.44566153248437</c:v>
                </c:pt>
              </c:numCache>
            </c:numRef>
          </c:val>
          <c:smooth val="0"/>
          <c:extLst>
            <c:ext xmlns:c16="http://schemas.microsoft.com/office/drawing/2014/chart" uri="{C3380CC4-5D6E-409C-BE32-E72D297353CC}">
              <c16:uniqueId val="{0000000A-CEA8-405E-B5B3-AF38AAF3801C}"/>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24.410182474173688</c:v>
                </c:pt>
                <c:pt idx="2">
                  <c:v>48.820364948347375</c:v>
                </c:pt>
                <c:pt idx="3">
                  <c:v>73.23054742252107</c:v>
                </c:pt>
                <c:pt idx="4">
                  <c:v>97.640729896694751</c:v>
                </c:pt>
                <c:pt idx="5">
                  <c:v>122.05091237086843</c:v>
                </c:pt>
                <c:pt idx="6">
                  <c:v>146.46109484504214</c:v>
                </c:pt>
                <c:pt idx="7">
                  <c:v>170.87127731921581</c:v>
                </c:pt>
                <c:pt idx="8">
                  <c:v>195.2814597933895</c:v>
                </c:pt>
                <c:pt idx="9">
                  <c:v>219.69164226756317</c:v>
                </c:pt>
                <c:pt idx="10">
                  <c:v>244.10182474173686</c:v>
                </c:pt>
                <c:pt idx="11">
                  <c:v>268.51200721591056</c:v>
                </c:pt>
                <c:pt idx="12">
                  <c:v>292.92218969008428</c:v>
                </c:pt>
                <c:pt idx="13">
                  <c:v>317.33237216425795</c:v>
                </c:pt>
                <c:pt idx="14">
                  <c:v>341.74255463843161</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349.84582825912429</c:v>
                </c:pt>
                <c:pt idx="73">
                  <c:v>345.24746841868051</c:v>
                </c:pt>
                <c:pt idx="74">
                  <c:v>340.7654995553907</c:v>
                </c:pt>
                <c:pt idx="75">
                  <c:v>336.3955746442428</c:v>
                </c:pt>
                <c:pt idx="76">
                  <c:v>332.13356014251076</c:v>
                </c:pt>
                <c:pt idx="77">
                  <c:v>327.97552305415502</c:v>
                </c:pt>
                <c:pt idx="78">
                  <c:v>323.91771892306201</c:v>
                </c:pt>
                <c:pt idx="79">
                  <c:v>319.95658067825906</c:v>
                </c:pt>
                <c:pt idx="80">
                  <c:v>316.08870826142356</c:v>
                </c:pt>
                <c:pt idx="81">
                  <c:v>312.31085897343968</c:v>
                </c:pt>
                <c:pt idx="82">
                  <c:v>308.60748922151515</c:v>
                </c:pt>
                <c:pt idx="83">
                  <c:v>304.88419370178673</c:v>
                </c:pt>
                <c:pt idx="84">
                  <c:v>301.24359771632385</c:v>
                </c:pt>
                <c:pt idx="85">
                  <c:v>297.68296737425777</c:v>
                </c:pt>
                <c:pt idx="86">
                  <c:v>294.19968796025506</c:v>
                </c:pt>
                <c:pt idx="87">
                  <c:v>290.79125751065101</c:v>
                </c:pt>
                <c:pt idx="88">
                  <c:v>287.45528080066526</c:v>
                </c:pt>
                <c:pt idx="89">
                  <c:v>284.1894637123346</c:v>
                </c:pt>
                <c:pt idx="90">
                  <c:v>280.99160795533351</c:v>
                </c:pt>
                <c:pt idx="91">
                  <c:v>277.85960611515105</c:v>
                </c:pt>
                <c:pt idx="92">
                  <c:v>274.79143700518421</c:v>
                </c:pt>
                <c:pt idx="93">
                  <c:v>271.78516130121056</c:v>
                </c:pt>
                <c:pt idx="94">
                  <c:v>268.83891743841929</c:v>
                </c:pt>
                <c:pt idx="95">
                  <c:v>265.95091775276524</c:v>
                </c:pt>
                <c:pt idx="96">
                  <c:v>263.11944484983843</c:v>
                </c:pt>
                <c:pt idx="97">
                  <c:v>260.34284818574787</c:v>
                </c:pt>
                <c:pt idx="98">
                  <c:v>257.61954084572073</c:v>
                </c:pt>
                <c:pt idx="99">
                  <c:v>254.94799650720185</c:v>
                </c:pt>
                <c:pt idx="100">
                  <c:v>252.32674657524345</c:v>
                </c:pt>
              </c:numCache>
            </c:numRef>
          </c:val>
          <c:smooth val="0"/>
          <c:extLst>
            <c:ext xmlns:c16="http://schemas.microsoft.com/office/drawing/2014/chart" uri="{C3380CC4-5D6E-409C-BE32-E72D297353CC}">
              <c16:uniqueId val="{0000000B-CEA8-405E-B5B3-AF38AAF3801C}"/>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CEA8-405E-B5B3-AF38AAF3801C}"/>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CEA8-405E-B5B3-AF38AAF3801C}"/>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CEA8-405E-B5B3-AF38AAF3801C}"/>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5.3334903203597506E-3</c:v>
                </c:pt>
                <c:pt idx="1">
                  <c:v>1.3636577147687309E-2</c:v>
                </c:pt>
                <c:pt idx="2">
                  <c:v>2.7273154295374618E-2</c:v>
                </c:pt>
                <c:pt idx="3">
                  <c:v>4.0909731443061925E-2</c:v>
                </c:pt>
                <c:pt idx="4">
                  <c:v>5.4546308590749236E-2</c:v>
                </c:pt>
                <c:pt idx="5">
                  <c:v>6.8182885738436547E-2</c:v>
                </c:pt>
                <c:pt idx="6">
                  <c:v>8.181946288612385E-2</c:v>
                </c:pt>
                <c:pt idx="7">
                  <c:v>9.5456040033811168E-2</c:v>
                </c:pt>
                <c:pt idx="8">
                  <c:v>0.10909261718149847</c:v>
                </c:pt>
                <c:pt idx="9">
                  <c:v>0.12272919432918576</c:v>
                </c:pt>
                <c:pt idx="10">
                  <c:v>0.13636577147687309</c:v>
                </c:pt>
                <c:pt idx="11">
                  <c:v>0.15000234862456041</c:v>
                </c:pt>
                <c:pt idx="12">
                  <c:v>0.1636389257722477</c:v>
                </c:pt>
                <c:pt idx="13">
                  <c:v>0.17727550291993502</c:v>
                </c:pt>
                <c:pt idx="14">
                  <c:v>0.19091208006762234</c:v>
                </c:pt>
                <c:pt idx="15">
                  <c:v>0.1997459235810625</c:v>
                </c:pt>
                <c:pt idx="16">
                  <c:v>0.20662581630994514</c:v>
                </c:pt>
                <c:pt idx="17">
                  <c:v>0.21331484761041586</c:v>
                </c:pt>
                <c:pt idx="18">
                  <c:v>0.21982972444875692</c:v>
                </c:pt>
                <c:pt idx="19">
                  <c:v>0.22618485991217127</c:v>
                </c:pt>
                <c:pt idx="20">
                  <c:v>0.23239279113973768</c:v>
                </c:pt>
                <c:pt idx="21">
                  <c:v>0.23846450418302287</c:v>
                </c:pt>
                <c:pt idx="22">
                  <c:v>0.2444096899388313</c:v>
                </c:pt>
                <c:pt idx="23">
                  <c:v>0.25023694822717479</c:v>
                </c:pt>
                <c:pt idx="24">
                  <c:v>0.25595395230419071</c:v>
                </c:pt>
                <c:pt idx="25">
                  <c:v>0.26156758279909764</c:v>
                </c:pt>
                <c:pt idx="26">
                  <c:v>0.26708403774603884</c:v>
                </c:pt>
                <c:pt idx="27">
                  <c:v>0.27250892372705587</c:v>
                </c:pt>
                <c:pt idx="28">
                  <c:v>0.27784733194401301</c:v>
                </c:pt>
                <c:pt idx="29">
                  <c:v>0.2831039021575667</c:v>
                </c:pt>
                <c:pt idx="30">
                  <c:v>0.28828287677746894</c:v>
                </c:pt>
                <c:pt idx="31">
                  <c:v>0.29338814689700882</c:v>
                </c:pt>
                <c:pt idx="32">
                  <c:v>0.2984232916910437</c:v>
                </c:pt>
                <c:pt idx="33">
                  <c:v>0.30339161231064266</c:v>
                </c:pt>
                <c:pt idx="34">
                  <c:v>0.30829616118562664</c:v>
                </c:pt>
                <c:pt idx="35">
                  <c:v>0.31313976747316735</c:v>
                </c:pt>
                <c:pt idx="36">
                  <c:v>0.31792505925434972</c:v>
                </c:pt>
                <c:pt idx="37">
                  <c:v>0.3226544829725731</c:v>
                </c:pt>
                <c:pt idx="38">
                  <c:v>0.32733032052140687</c:v>
                </c:pt>
                <c:pt idx="39">
                  <c:v>0.33195470432018659</c:v>
                </c:pt>
                <c:pt idx="40">
                  <c:v>0.33652963065956432</c:v>
                </c:pt>
                <c:pt idx="41">
                  <c:v>0.34105697155361731</c:v>
                </c:pt>
                <c:pt idx="42">
                  <c:v>0.34553848529780207</c:v>
                </c:pt>
                <c:pt idx="43">
                  <c:v>0.34997582590136217</c:v>
                </c:pt>
                <c:pt idx="44">
                  <c:v>0.35437055153743247</c:v>
                </c:pt>
                <c:pt idx="45">
                  <c:v>0.35872413213303278</c:v>
                </c:pt>
                <c:pt idx="46">
                  <c:v>0.36303795620357104</c:v>
                </c:pt>
                <c:pt idx="47">
                  <c:v>0.36731333702177005</c:v>
                </c:pt>
                <c:pt idx="48">
                  <c:v>0.3715515181985457</c:v>
                </c:pt>
                <c:pt idx="49">
                  <c:v>0.37575367874292243</c:v>
                </c:pt>
                <c:pt idx="50">
                  <c:v>0.3799209376592026</c:v>
                </c:pt>
                <c:pt idx="51">
                  <c:v>0.38405435813207944</c:v>
                </c:pt>
                <c:pt idx="52">
                  <c:v>0.38815495134394296</c:v>
                </c:pt>
                <c:pt idx="53">
                  <c:v>0.39222367996312418</c:v>
                </c:pt>
                <c:pt idx="54">
                  <c:v>0.39626146133709167</c:v>
                </c:pt>
                <c:pt idx="55">
                  <c:v>0.40026917042053017</c:v>
                </c:pt>
                <c:pt idx="56">
                  <c:v>0.40424764246471528</c:v>
                </c:pt>
                <c:pt idx="57">
                  <c:v>0.40819767549153946</c:v>
                </c:pt>
                <c:pt idx="58">
                  <c:v>0.41212003257289265</c:v>
                </c:pt>
                <c:pt idx="59">
                  <c:v>0.41244207103667929</c:v>
                </c:pt>
                <c:pt idx="60">
                  <c:v>0.40953722174811907</c:v>
                </c:pt>
                <c:pt idx="61">
                  <c:v>0.40669310277111914</c:v>
                </c:pt>
                <c:pt idx="62">
                  <c:v>0.40390765031846609</c:v>
                </c:pt>
                <c:pt idx="63">
                  <c:v>0.40221743835580703</c:v>
                </c:pt>
                <c:pt idx="64">
                  <c:v>0.40283716247139101</c:v>
                </c:pt>
                <c:pt idx="65">
                  <c:v>0.40344354302874624</c:v>
                </c:pt>
                <c:pt idx="66">
                  <c:v>0.40403712007329506</c:v>
                </c:pt>
                <c:pt idx="67">
                  <c:v>0.40461840407914351</c:v>
                </c:pt>
                <c:pt idx="68">
                  <c:v>0.40518787796351635</c:v>
                </c:pt>
                <c:pt idx="69">
                  <c:v>0.40594949416959114</c:v>
                </c:pt>
                <c:pt idx="70">
                  <c:v>0.40670338623025887</c:v>
                </c:pt>
                <c:pt idx="71">
                  <c:v>0.40744870485129664</c:v>
                </c:pt>
                <c:pt idx="72">
                  <c:v>0.40818581560744499</c:v>
                </c:pt>
                <c:pt idx="73">
                  <c:v>0.40891506538582528</c:v>
                </c:pt>
                <c:pt idx="74">
                  <c:v>0.40963678357234728</c:v>
                </c:pt>
                <c:pt idx="75">
                  <c:v>0.41035128314890462</c:v>
                </c:pt>
                <c:pt idx="76">
                  <c:v>0.41105886170908823</c:v>
                </c:pt>
                <c:pt idx="77">
                  <c:v>0.4117598023993907</c:v>
                </c:pt>
                <c:pt idx="78">
                  <c:v>0.41245437479220298</c:v>
                </c:pt>
                <c:pt idx="79">
                  <c:v>0.41314283569629939</c:v>
                </c:pt>
                <c:pt idx="80">
                  <c:v>0.41382542990997429</c:v>
                </c:pt>
                <c:pt idx="81">
                  <c:v>0.41450239092150654</c:v>
                </c:pt>
                <c:pt idx="82">
                  <c:v>0.41517394156120424</c:v>
                </c:pt>
                <c:pt idx="83">
                  <c:v>0.41584029460888561</c:v>
                </c:pt>
                <c:pt idx="84">
                  <c:v>0.41650165336031431</c:v>
                </c:pt>
                <c:pt idx="85">
                  <c:v>0.41715821215578403</c:v>
                </c:pt>
                <c:pt idx="86">
                  <c:v>0.41781015687377671</c:v>
                </c:pt>
                <c:pt idx="87">
                  <c:v>0.41845766539235063</c:v>
                </c:pt>
                <c:pt idx="88">
                  <c:v>0.41910090802070021</c:v>
                </c:pt>
                <c:pt idx="89">
                  <c:v>0.41974004790310798</c:v>
                </c:pt>
                <c:pt idx="90">
                  <c:v>0.42037524139733062</c:v>
                </c:pt>
                <c:pt idx="91">
                  <c:v>0.42100663842928743</c:v>
                </c:pt>
                <c:pt idx="92">
                  <c:v>0.42163438282576182</c:v>
                </c:pt>
                <c:pt idx="93">
                  <c:v>0.42225861262669495</c:v>
                </c:pt>
                <c:pt idx="94">
                  <c:v>0.42287946037851221</c:v>
                </c:pt>
                <c:pt idx="95">
                  <c:v>0.42349705340981741</c:v>
                </c:pt>
                <c:pt idx="96">
                  <c:v>0.42411151409067582</c:v>
                </c:pt>
                <c:pt idx="97">
                  <c:v>0.42472296007661847</c:v>
                </c:pt>
                <c:pt idx="98">
                  <c:v>0.42533150453840279</c:v>
                </c:pt>
                <c:pt idx="99">
                  <c:v>0.4259372563784965</c:v>
                </c:pt>
                <c:pt idx="100">
                  <c:v>0.42654032043516682</c:v>
                </c:pt>
              </c:numCache>
            </c:numRef>
          </c:val>
          <c:smooth val="0"/>
          <c:extLst>
            <c:ext xmlns:c16="http://schemas.microsoft.com/office/drawing/2014/chart" uri="{C3380CC4-5D6E-409C-BE32-E72D297353CC}">
              <c16:uniqueId val="{0000000F-CEA8-405E-B5B3-AF38AAF3801C}"/>
            </c:ext>
          </c:extLst>
        </c:ser>
        <c:ser>
          <c:idx val="7"/>
          <c:order val="7"/>
          <c:spPr>
            <a:ln w="25400">
              <a:solidFill>
                <a:srgbClr val="00B050"/>
              </a:solidFill>
              <a:prstDash val="dash"/>
            </a:ln>
          </c:spPr>
          <c:marker>
            <c:symbol val="none"/>
          </c:marker>
          <c:val>
            <c:numRef>
              <c:f>'Calculations - Dual'!$AU$110:$AU$210</c:f>
              <c:numCache>
                <c:formatCode>0.000</c:formatCode>
                <c:ptCount val="101"/>
                <c:pt idx="0">
                  <c:v>7.4538447463789129E-3</c:v>
                </c:pt>
                <c:pt idx="1">
                  <c:v>1.9295697948152613E-2</c:v>
                </c:pt>
                <c:pt idx="2">
                  <c:v>5.7887093844457838E-2</c:v>
                </c:pt>
                <c:pt idx="3">
                  <c:v>5.7887093844457838E-2</c:v>
                </c:pt>
                <c:pt idx="4">
                  <c:v>7.718279179261045E-2</c:v>
                </c:pt>
                <c:pt idx="5">
                  <c:v>9.6478489740763049E-2</c:v>
                </c:pt>
                <c:pt idx="6">
                  <c:v>0.11577418768891568</c:v>
                </c:pt>
                <c:pt idx="7">
                  <c:v>0.13506988563706829</c:v>
                </c:pt>
                <c:pt idx="8">
                  <c:v>0.1543655835852209</c:v>
                </c:pt>
                <c:pt idx="9">
                  <c:v>0.17366128153337348</c:v>
                </c:pt>
                <c:pt idx="10">
                  <c:v>0.1929569794815261</c:v>
                </c:pt>
                <c:pt idx="11">
                  <c:v>0.21225267742967874</c:v>
                </c:pt>
                <c:pt idx="12">
                  <c:v>0.23154837537783135</c:v>
                </c:pt>
                <c:pt idx="13">
                  <c:v>0.25084407332598396</c:v>
                </c:pt>
                <c:pt idx="14">
                  <c:v>0.27013977127413658</c:v>
                </c:pt>
                <c:pt idx="15">
                  <c:v>0.28276559393289413</c:v>
                </c:pt>
                <c:pt idx="16">
                  <c:v>0.29269903006687381</c:v>
                </c:pt>
                <c:pt idx="17">
                  <c:v>0.3023695400968926</c:v>
                </c:pt>
                <c:pt idx="18">
                  <c:v>0.31180027951886136</c:v>
                </c:pt>
                <c:pt idx="19">
                  <c:v>0.32101122214372968</c:v>
                </c:pt>
                <c:pt idx="20">
                  <c:v>0.33001973998579459</c:v>
                </c:pt>
                <c:pt idx="21">
                  <c:v>0.3388410539883624</c:v>
                </c:pt>
                <c:pt idx="22">
                  <c:v>0.34748858909583252</c:v>
                </c:pt>
                <c:pt idx="23">
                  <c:v>0.35597425736829541</c:v>
                </c:pt>
                <c:pt idx="24">
                  <c:v>0.3643086861951953</c:v>
                </c:pt>
                <c:pt idx="25">
                  <c:v>0.3725014040832958</c:v>
                </c:pt>
                <c:pt idx="26">
                  <c:v>0.3805609932765549</c:v>
                </c:pt>
                <c:pt idx="27">
                  <c:v>0.38849521616904598</c:v>
                </c:pt>
                <c:pt idx="28">
                  <c:v>0.3963111208087971</c:v>
                </c:pt>
                <c:pt idx="29">
                  <c:v>0.40401512956950586</c:v>
                </c:pt>
                <c:pt idx="30">
                  <c:v>0.4116131141597385</c:v>
                </c:pt>
                <c:pt idx="31">
                  <c:v>0.41911045945716202</c:v>
                </c:pt>
                <c:pt idx="32">
                  <c:v>0.4265121181372547</c:v>
                </c:pt>
                <c:pt idx="33">
                  <c:v>0.43382265766847333</c:v>
                </c:pt>
                <c:pt idx="34">
                  <c:v>0.44104630093816344</c:v>
                </c:pt>
                <c:pt idx="35">
                  <c:v>0.44818696153327908</c:v>
                </c:pt>
                <c:pt idx="36">
                  <c:v>0.45524827451091671</c:v>
                </c:pt>
                <c:pt idx="37">
                  <c:v>0.4622336233437766</c:v>
                </c:pt>
                <c:pt idx="38">
                  <c:v>0.46914616360598194</c:v>
                </c:pt>
                <c:pt idx="39">
                  <c:v>0.47598884386850243</c:v>
                </c:pt>
                <c:pt idx="40">
                  <c:v>0.48276442419562754</c:v>
                </c:pt>
                <c:pt idx="41">
                  <c:v>0.48947549257066925</c:v>
                </c:pt>
                <c:pt idx="42">
                  <c:v>0.49612447952729599</c:v>
                </c:pt>
                <c:pt idx="43">
                  <c:v>0.4928101968462707</c:v>
                </c:pt>
                <c:pt idx="44">
                  <c:v>0.4879684450880839</c:v>
                </c:pt>
                <c:pt idx="45">
                  <c:v>0.48257781767054825</c:v>
                </c:pt>
                <c:pt idx="46">
                  <c:v>0.48363714907428723</c:v>
                </c:pt>
                <c:pt idx="47">
                  <c:v>0.48466477270253433</c:v>
                </c:pt>
                <c:pt idx="48">
                  <c:v>0.48566245648276046</c:v>
                </c:pt>
                <c:pt idx="49">
                  <c:v>0.48663183584225922</c:v>
                </c:pt>
                <c:pt idx="50">
                  <c:v>0.48757442599262568</c:v>
                </c:pt>
                <c:pt idx="51">
                  <c:v>0.4885841277333941</c:v>
                </c:pt>
                <c:pt idx="52">
                  <c:v>0.48983201480733013</c:v>
                </c:pt>
                <c:pt idx="53">
                  <c:v>0.49106121388467466</c:v>
                </c:pt>
                <c:pt idx="54">
                  <c:v>0.49227279376847421</c:v>
                </c:pt>
                <c:pt idx="55">
                  <c:v>0.49346775075762167</c:v>
                </c:pt>
                <c:pt idx="56">
                  <c:v>0.49464701473415479</c:v>
                </c:pt>
                <c:pt idx="57">
                  <c:v>0.4958114546476996</c:v>
                </c:pt>
                <c:pt idx="58">
                  <c:v>0.49696188346558356</c:v>
                </c:pt>
                <c:pt idx="59">
                  <c:v>0.49809906264838449</c:v>
                </c:pt>
                <c:pt idx="60">
                  <c:v>0.49922370620316203</c:v>
                </c:pt>
                <c:pt idx="61">
                  <c:v>0.50033648436014688</c:v>
                </c:pt>
                <c:pt idx="62">
                  <c:v>0.50143802691307771</c:v>
                </c:pt>
                <c:pt idx="63">
                  <c:v>0.50252892625854817</c:v>
                </c:pt>
                <c:pt idx="64">
                  <c:v>0.50360974016553961</c:v>
                </c:pt>
                <c:pt idx="65">
                  <c:v>0.50468099430267976</c:v>
                </c:pt>
                <c:pt idx="66">
                  <c:v>0.50574318454759837</c:v>
                </c:pt>
                <c:pt idx="67">
                  <c:v>0.50679677909999266</c:v>
                </c:pt>
                <c:pt idx="68">
                  <c:v>0.50784222041759719</c:v>
                </c:pt>
                <c:pt idx="69">
                  <c:v>0.50887992699213613</c:v>
                </c:pt>
                <c:pt idx="70">
                  <c:v>0.50991029498048379</c:v>
                </c:pt>
                <c:pt idx="71">
                  <c:v>0.5109336997046211</c:v>
                </c:pt>
                <c:pt idx="72">
                  <c:v>0.5119504970325397</c:v>
                </c:pt>
                <c:pt idx="73">
                  <c:v>0.51296102465097659</c:v>
                </c:pt>
                <c:pt idx="74">
                  <c:v>0.5139656032397385</c:v>
                </c:pt>
                <c:pt idx="75">
                  <c:v>0.51496453755638361</c:v>
                </c:pt>
                <c:pt idx="76">
                  <c:v>0.51595811743914355</c:v>
                </c:pt>
                <c:pt idx="77">
                  <c:v>0.51694661873519032</c:v>
                </c:pt>
                <c:pt idx="78">
                  <c:v>0.51793030416065333</c:v>
                </c:pt>
                <c:pt idx="79">
                  <c:v>0.51890942409816965</c:v>
                </c:pt>
                <c:pt idx="80">
                  <c:v>0.51988421733720391</c:v>
                </c:pt>
                <c:pt idx="81">
                  <c:v>0.52085491176186904</c:v>
                </c:pt>
                <c:pt idx="82">
                  <c:v>0.52182172499054646</c:v>
                </c:pt>
                <c:pt idx="83">
                  <c:v>0.52278486497119947</c:v>
                </c:pt>
                <c:pt idx="84">
                  <c:v>0.52374453053592374</c:v>
                </c:pt>
                <c:pt idx="85">
                  <c:v>0.52470091191795476</c:v>
                </c:pt>
                <c:pt idx="86">
                  <c:v>0.52565419123406665</c:v>
                </c:pt>
                <c:pt idx="87">
                  <c:v>0.52660454293503633</c:v>
                </c:pt>
                <c:pt idx="88">
                  <c:v>0.52755213422661584</c:v>
                </c:pt>
                <c:pt idx="89">
                  <c:v>0.52849712546324046</c:v>
                </c:pt>
                <c:pt idx="90">
                  <c:v>0.52943967051651275</c:v>
                </c:pt>
                <c:pt idx="91">
                  <c:v>0.5303799171203325</c:v>
                </c:pt>
                <c:pt idx="92">
                  <c:v>0.53131800719437738</c:v>
                </c:pt>
                <c:pt idx="93">
                  <c:v>0.53225407714751038</c:v>
                </c:pt>
                <c:pt idx="94">
                  <c:v>0.53318825816254622</c:v>
                </c:pt>
                <c:pt idx="95">
                  <c:v>0.53412067646371031</c:v>
                </c:pt>
                <c:pt idx="96">
                  <c:v>0.53505145356799588</c:v>
                </c:pt>
                <c:pt idx="97">
                  <c:v>0.53598070652155028</c:v>
                </c:pt>
                <c:pt idx="98">
                  <c:v>0.53690854812211564</c:v>
                </c:pt>
                <c:pt idx="99">
                  <c:v>0.53783508712847794</c:v>
                </c:pt>
                <c:pt idx="100">
                  <c:v>0.53876042845780348</c:v>
                </c:pt>
              </c:numCache>
            </c:numRef>
          </c:val>
          <c:smooth val="0"/>
          <c:extLst>
            <c:ext xmlns:c16="http://schemas.microsoft.com/office/drawing/2014/chart" uri="{C3380CC4-5D6E-409C-BE32-E72D297353CC}">
              <c16:uniqueId val="{00000010-CEA8-405E-B5B3-AF38AAF3801C}"/>
            </c:ext>
          </c:extLst>
        </c:ser>
        <c:ser>
          <c:idx val="8"/>
          <c:order val="8"/>
          <c:spPr>
            <a:ln w="25400">
              <a:solidFill>
                <a:srgbClr val="FF0000"/>
              </a:solidFill>
            </a:ln>
          </c:spPr>
          <c:marker>
            <c:symbol val="none"/>
          </c:marker>
          <c:val>
            <c:numRef>
              <c:f>'Calculations - Dual'!$AU$216:$AU$316</c:f>
              <c:numCache>
                <c:formatCode>0.000</c:formatCode>
                <c:ptCount val="101"/>
                <c:pt idx="0">
                  <c:v>4.1809106068952835E-3</c:v>
                </c:pt>
                <c:pt idx="1">
                  <c:v>1.0541411152610394E-2</c:v>
                </c:pt>
                <c:pt idx="2">
                  <c:v>2.1082822305220787E-2</c:v>
                </c:pt>
                <c:pt idx="3">
                  <c:v>3.1624233457831177E-2</c:v>
                </c:pt>
                <c:pt idx="4">
                  <c:v>4.2165644610441574E-2</c:v>
                </c:pt>
                <c:pt idx="5">
                  <c:v>5.2707055763051965E-2</c:v>
                </c:pt>
                <c:pt idx="6">
                  <c:v>6.3248466915662355E-2</c:v>
                </c:pt>
                <c:pt idx="7">
                  <c:v>7.3789878068272738E-2</c:v>
                </c:pt>
                <c:pt idx="8">
                  <c:v>8.4331289220883149E-2</c:v>
                </c:pt>
                <c:pt idx="9">
                  <c:v>9.4872700373493518E-2</c:v>
                </c:pt>
                <c:pt idx="10">
                  <c:v>0.10541411152610393</c:v>
                </c:pt>
                <c:pt idx="11">
                  <c:v>0.11595552267871431</c:v>
                </c:pt>
                <c:pt idx="12">
                  <c:v>0.12649693383132471</c:v>
                </c:pt>
                <c:pt idx="13">
                  <c:v>0.13703834498393511</c:v>
                </c:pt>
                <c:pt idx="14">
                  <c:v>0.14757975613654548</c:v>
                </c:pt>
                <c:pt idx="15">
                  <c:v>0.15437189955891231</c:v>
                </c:pt>
                <c:pt idx="16">
                  <c:v>0.15962978733577471</c:v>
                </c:pt>
                <c:pt idx="17">
                  <c:v>0.16473807629128157</c:v>
                </c:pt>
                <c:pt idx="18">
                  <c:v>0.16970983072093213</c:v>
                </c:pt>
                <c:pt idx="19">
                  <c:v>0.17455632179629793</c:v>
                </c:pt>
                <c:pt idx="20">
                  <c:v>0.17928735421166711</c:v>
                </c:pt>
                <c:pt idx="21">
                  <c:v>0.18391152009492165</c:v>
                </c:pt>
                <c:pt idx="22">
                  <c:v>0.18843639904930584</c:v>
                </c:pt>
                <c:pt idx="23">
                  <c:v>0.19286871766842129</c:v>
                </c:pt>
                <c:pt idx="24">
                  <c:v>0.19721447812881943</c:v>
                </c:pt>
                <c:pt idx="25">
                  <c:v>0.20147906288523745</c:v>
                </c:pt>
                <c:pt idx="26">
                  <c:v>0.20566732068188209</c:v>
                </c:pt>
                <c:pt idx="27">
                  <c:v>0.20978363780011644</c:v>
                </c:pt>
                <c:pt idx="28">
                  <c:v>0.2138319975263463</c:v>
                </c:pt>
                <c:pt idx="29">
                  <c:v>0.21781603013639542</c:v>
                </c:pt>
                <c:pt idx="30">
                  <c:v>0.22173905518169529</c:v>
                </c:pt>
                <c:pt idx="31">
                  <c:v>0.22560411747851411</c:v>
                </c:pt>
                <c:pt idx="32">
                  <c:v>0.22941401790965596</c:v>
                </c:pt>
                <c:pt idx="33">
                  <c:v>0.23317133992420849</c:v>
                </c:pt>
                <c:pt idx="34">
                  <c:v>0.23687847244761398</c:v>
                </c:pt>
                <c:pt idx="35">
                  <c:v>0.24053762977903173</c:v>
                </c:pt>
                <c:pt idx="36">
                  <c:v>0.24415086894646815</c:v>
                </c:pt>
                <c:pt idx="37">
                  <c:v>0.24772010490571181</c:v>
                </c:pt>
                <c:pt idx="38">
                  <c:v>0.25124712390169307</c:v>
                </c:pt>
                <c:pt idx="39">
                  <c:v>0.2547335952566997</c:v>
                </c:pt>
                <c:pt idx="40">
                  <c:v>0.25818108180605115</c:v>
                </c:pt>
                <c:pt idx="41">
                  <c:v>0.26159104916618603</c:v>
                </c:pt>
                <c:pt idx="42">
                  <c:v>0.26496487399094826</c:v>
                </c:pt>
                <c:pt idx="43">
                  <c:v>0.26830385134787665</c:v>
                </c:pt>
                <c:pt idx="44">
                  <c:v>0.27160920132647776</c:v>
                </c:pt>
                <c:pt idx="45">
                  <c:v>0.27488207497400424</c:v>
                </c:pt>
                <c:pt idx="46">
                  <c:v>0.27812355964052893</c:v>
                </c:pt>
                <c:pt idx="47">
                  <c:v>0.28133468380360582</c:v>
                </c:pt>
                <c:pt idx="48">
                  <c:v>0.28451642143312839</c:v>
                </c:pt>
                <c:pt idx="49">
                  <c:v>0.28766969594883329</c:v>
                </c:pt>
                <c:pt idx="50">
                  <c:v>0.29079538381596348</c:v>
                </c:pt>
                <c:pt idx="51">
                  <c:v>0.29389431781872033</c:v>
                </c:pt>
                <c:pt idx="52">
                  <c:v>0.29696729004610273</c:v>
                </c:pt>
                <c:pt idx="53">
                  <c:v>0.30001505462042383</c:v>
                </c:pt>
                <c:pt idx="54">
                  <c:v>0.30303833019509907</c:v>
                </c:pt>
                <c:pt idx="55">
                  <c:v>0.30603780224511073</c:v>
                </c:pt>
                <c:pt idx="56">
                  <c:v>0.30901412517079635</c:v>
                </c:pt>
                <c:pt idx="57">
                  <c:v>0.31196792423322606</c:v>
                </c:pt>
                <c:pt idx="58">
                  <c:v>0.31489979733735551</c:v>
                </c:pt>
                <c:pt idx="59">
                  <c:v>0.31781031667733428</c:v>
                </c:pt>
                <c:pt idx="60">
                  <c:v>0.32070003025677385</c:v>
                </c:pt>
                <c:pt idx="61">
                  <c:v>0.32356946329539449</c:v>
                </c:pt>
                <c:pt idx="62">
                  <c:v>0.32641911953225877</c:v>
                </c:pt>
                <c:pt idx="63">
                  <c:v>0.32924948243473429</c:v>
                </c:pt>
                <c:pt idx="64">
                  <c:v>0.33206101632138685</c:v>
                </c:pt>
                <c:pt idx="65">
                  <c:v>0.33485416740617469</c:v>
                </c:pt>
                <c:pt idx="66">
                  <c:v>0.33762936477058331</c:v>
                </c:pt>
                <c:pt idx="67">
                  <c:v>0.34038702126968257</c:v>
                </c:pt>
                <c:pt idx="68">
                  <c:v>0.34312753437751659</c:v>
                </c:pt>
                <c:pt idx="69">
                  <c:v>0.34585128697671569</c:v>
                </c:pt>
                <c:pt idx="70">
                  <c:v>0.34855864809676285</c:v>
                </c:pt>
                <c:pt idx="71">
                  <c:v>0.35124997360493759</c:v>
                </c:pt>
                <c:pt idx="72">
                  <c:v>0.35376970591945028</c:v>
                </c:pt>
                <c:pt idx="73">
                  <c:v>0.35174392027917939</c:v>
                </c:pt>
                <c:pt idx="74">
                  <c:v>0.34975305428465925</c:v>
                </c:pt>
                <c:pt idx="75">
                  <c:v>0.34779612767077184</c:v>
                </c:pt>
                <c:pt idx="76">
                  <c:v>0.34587219771264671</c:v>
                </c:pt>
                <c:pt idx="77">
                  <c:v>0.34349031911236644</c:v>
                </c:pt>
                <c:pt idx="78">
                  <c:v>0.34391479959336763</c:v>
                </c:pt>
                <c:pt idx="79">
                  <c:v>0.34433167033651785</c:v>
                </c:pt>
                <c:pt idx="80">
                  <c:v>0.34474118566138129</c:v>
                </c:pt>
                <c:pt idx="81">
                  <c:v>0.34514358836839931</c:v>
                </c:pt>
                <c:pt idx="82">
                  <c:v>0.34555314974232493</c:v>
                </c:pt>
                <c:pt idx="83">
                  <c:v>0.3460748112927271</c:v>
                </c:pt>
                <c:pt idx="84">
                  <c:v>0.346591113692235</c:v>
                </c:pt>
                <c:pt idx="85">
                  <c:v>0.34710224719829935</c:v>
                </c:pt>
                <c:pt idx="86">
                  <c:v>0.3476083938112578</c:v>
                </c:pt>
                <c:pt idx="87">
                  <c:v>0.34810972771954213</c:v>
                </c:pt>
                <c:pt idx="88">
                  <c:v>0.34860641571639583</c:v>
                </c:pt>
                <c:pt idx="89">
                  <c:v>0.34909861759020688</c:v>
                </c:pt>
                <c:pt idx="90">
                  <c:v>0.3495864864903836</c:v>
                </c:pt>
                <c:pt idx="91">
                  <c:v>0.35007016927054313</c:v>
                </c:pt>
                <c:pt idx="92">
                  <c:v>0.35054980681063769</c:v>
                </c:pt>
                <c:pt idx="93">
                  <c:v>0.35102553431951172</c:v>
                </c:pt>
                <c:pt idx="94">
                  <c:v>0.35149748161926131</c:v>
                </c:pt>
                <c:pt idx="95">
                  <c:v>0.3519657734126615</c:v>
                </c:pt>
                <c:pt idx="96">
                  <c:v>0.35243052953482695</c:v>
                </c:pt>
                <c:pt idx="97">
                  <c:v>0.35289186519017735</c:v>
                </c:pt>
                <c:pt idx="98">
                  <c:v>0.3533498911757022</c:v>
                </c:pt>
                <c:pt idx="99">
                  <c:v>0.35380471409143827</c:v>
                </c:pt>
                <c:pt idx="100">
                  <c:v>0.35425643653900574</c:v>
                </c:pt>
              </c:numCache>
            </c:numRef>
          </c:val>
          <c:smooth val="0"/>
          <c:extLst>
            <c:ext xmlns:c16="http://schemas.microsoft.com/office/drawing/2014/chart" uri="{C3380CC4-5D6E-409C-BE32-E72D297353CC}">
              <c16:uniqueId val="{00000011-CEA8-405E-B5B3-AF38AAF3801C}"/>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13.60672102833218</c:v>
                </c:pt>
                <c:pt idx="16">
                  <c:v>14.05296105045888</c:v>
                </c:pt>
                <c:pt idx="17">
                  <c:v>14.485460690933216</c:v>
                </c:pt>
                <c:pt idx="18">
                  <c:v>14.905416081794851</c:v>
                </c:pt>
                <c:pt idx="19">
                  <c:v>15.313859269115859</c:v>
                </c:pt>
                <c:pt idx="20">
                  <c:v>15.711688096991452</c:v>
                </c:pt>
                <c:pt idx="21">
                  <c:v>16.099689437998489</c:v>
                </c:pt>
                <c:pt idx="22">
                  <c:v>16.478557495814286</c:v>
                </c:pt>
                <c:pt idx="23">
                  <c:v>16.848908400419131</c:v>
                </c:pt>
                <c:pt idx="24">
                  <c:v>17.211291974415268</c:v>
                </c:pt>
                <c:pt idx="25">
                  <c:v>17.566201313073599</c:v>
                </c:pt>
                <c:pt idx="26">
                  <c:v>17.914080655012295</c:v>
                </c:pt>
                <c:pt idx="27">
                  <c:v>18.255331902135957</c:v>
                </c:pt>
                <c:pt idx="28">
                  <c:v>18.590320061795602</c:v>
                </c:pt>
                <c:pt idx="29">
                  <c:v>18.919377821240769</c:v>
                </c:pt>
                <c:pt idx="30">
                  <c:v>19.242809417694556</c:v>
                </c:pt>
                <c:pt idx="31">
                  <c:v>19.560893932245826</c:v>
                </c:pt>
                <c:pt idx="32">
                  <c:v>19.873888109059802</c:v>
                </c:pt>
                <c:pt idx="33">
                  <c:v>20.182028780929972</c:v>
                </c:pt>
                <c:pt idx="34">
                  <c:v>20.485534966340101</c:v>
                </c:pt>
                <c:pt idx="35">
                  <c:v>20.784609690826528</c:v>
                </c:pt>
                <c:pt idx="36">
                  <c:v>21.079441575688314</c:v>
                </c:pt>
                <c:pt idx="37">
                  <c:v>21.370206229367895</c:v>
                </c:pt>
                <c:pt idx="38">
                  <c:v>21.657067470656582</c:v>
                </c:pt>
                <c:pt idx="39">
                  <c:v>21.940178407921589</c:v>
                </c:pt>
                <c:pt idx="40">
                  <c:v>22.219682394541234</c:v>
                </c:pt>
                <c:pt idx="41">
                  <c:v>22.495713877473257</c:v>
                </c:pt>
                <c:pt idx="42">
                  <c:v>22.768399153212332</c:v>
                </c:pt>
                <c:pt idx="43">
                  <c:v>23.037857043198638</c:v>
                </c:pt>
                <c:pt idx="44">
                  <c:v>23.304199498925389</c:v>
                </c:pt>
                <c:pt idx="45">
                  <c:v>23.534072539522658</c:v>
                </c:pt>
                <c:pt idx="46">
                  <c:v>24.074194310120813</c:v>
                </c:pt>
                <c:pt idx="47">
                  <c:v>24.614920192444444</c:v>
                </c:pt>
                <c:pt idx="48">
                  <c:v>25.156245950798354</c:v>
                </c:pt>
                <c:pt idx="49">
                  <c:v>25.698167493847201</c:v>
                </c:pt>
                <c:pt idx="50">
                  <c:v>26.240680867166301</c:v>
                </c:pt>
                <c:pt idx="51">
                  <c:v>26.788589440789487</c:v>
                </c:pt>
                <c:pt idx="52">
                  <c:v>27.351236005755023</c:v>
                </c:pt>
                <c:pt idx="53">
                  <c:v>27.915524143218946</c:v>
                </c:pt>
                <c:pt idx="54">
                  <c:v>28.481467055791196</c:v>
                </c:pt>
                <c:pt idx="55">
                  <c:v>29.049078087343691</c:v>
                </c:pt>
                <c:pt idx="56">
                  <c:v>29.618370724904679</c:v>
                </c:pt>
                <c:pt idx="57">
                  <c:v>30.189358600583702</c:v>
                </c:pt>
                <c:pt idx="58">
                  <c:v>30.762055493527836</c:v>
                </c:pt>
                <c:pt idx="59">
                  <c:v>31.336475331909455</c:v>
                </c:pt>
                <c:pt idx="60">
                  <c:v>31.912632194946479</c:v>
                </c:pt>
                <c:pt idx="61">
                  <c:v>32.49054031495556</c:v>
                </c:pt>
                <c:pt idx="62">
                  <c:v>33.07021407943877</c:v>
                </c:pt>
                <c:pt idx="63">
                  <c:v>33.651668033204615</c:v>
                </c:pt>
                <c:pt idx="64">
                  <c:v>34.234916880523848</c:v>
                </c:pt>
                <c:pt idx="65">
                  <c:v>34.819975487320868</c:v>
                </c:pt>
                <c:pt idx="66">
                  <c:v>35.406858883401405</c:v>
                </c:pt>
                <c:pt idx="67">
                  <c:v>35.995582264717008</c:v>
                </c:pt>
                <c:pt idx="68">
                  <c:v>36.586160995667356</c:v>
                </c:pt>
                <c:pt idx="69">
                  <c:v>37.178610611440838</c:v>
                </c:pt>
                <c:pt idx="70">
                  <c:v>37.77294682039431</c:v>
                </c:pt>
                <c:pt idx="71">
                  <c:v>38.36918550647276</c:v>
                </c:pt>
                <c:pt idx="72">
                  <c:v>38.967342731669625</c:v>
                </c:pt>
                <c:pt idx="73">
                  <c:v>39.567434738528661</c:v>
                </c:pt>
                <c:pt idx="74">
                  <c:v>40.169477952688062</c:v>
                </c:pt>
                <c:pt idx="75">
                  <c:v>40.773488985467679</c:v>
                </c:pt>
                <c:pt idx="76">
                  <c:v>41.379484636500386</c:v>
                </c:pt>
                <c:pt idx="77">
                  <c:v>41.987481896408113</c:v>
                </c:pt>
                <c:pt idx="78">
                  <c:v>42.597497949523849</c:v>
                </c:pt>
                <c:pt idx="79">
                  <c:v>43.209550176660152</c:v>
                </c:pt>
                <c:pt idx="80">
                  <c:v>43.823656157925477</c:v>
                </c:pt>
                <c:pt idx="81">
                  <c:v>44.439833675588787</c:v>
                </c:pt>
                <c:pt idx="82">
                  <c:v>45.058100716994048</c:v>
                </c:pt>
                <c:pt idx="83">
                  <c:v>45.67847547752514</c:v>
                </c:pt>
                <c:pt idx="84">
                  <c:v>46.300976363622212</c:v>
                </c:pt>
                <c:pt idx="85">
                  <c:v>46.92562199585096</c:v>
                </c:pt>
                <c:pt idx="86">
                  <c:v>47.552431212025446</c:v>
                </c:pt>
                <c:pt idx="87">
                  <c:v>48.181423070385705</c:v>
                </c:pt>
                <c:pt idx="88">
                  <c:v>48.81261685283139</c:v>
                </c:pt>
                <c:pt idx="89">
                  <c:v>49.44603206821246</c:v>
                </c:pt>
                <c:pt idx="90">
                  <c:v>50.081688455678133</c:v>
                </c:pt>
                <c:pt idx="91">
                  <c:v>50.719605988085313</c:v>
                </c:pt>
                <c:pt idx="92">
                  <c:v>51.359804875467781</c:v>
                </c:pt>
                <c:pt idx="93">
                  <c:v>52.002305568567316</c:v>
                </c:pt>
                <c:pt idx="94">
                  <c:v>52.647128762428018</c:v>
                </c:pt>
                <c:pt idx="95">
                  <c:v>53.294295400055461</c:v>
                </c:pt>
                <c:pt idx="96">
                  <c:v>53.943826676141562</c:v>
                </c:pt>
                <c:pt idx="97">
                  <c:v>54.595744040856943</c:v>
                </c:pt>
                <c:pt idx="98">
                  <c:v>55.25006920371198</c:v>
                </c:pt>
                <c:pt idx="99">
                  <c:v>55.906824137488243</c:v>
                </c:pt>
                <c:pt idx="100">
                  <c:v>56.566031082241423</c:v>
                </c:pt>
              </c:numCache>
            </c:numRef>
          </c:val>
          <c:smooth val="0"/>
          <c:extLst>
            <c:ext xmlns:c16="http://schemas.microsoft.com/office/drawing/2014/chart" uri="{C3380CC4-5D6E-409C-BE32-E72D297353CC}">
              <c16:uniqueId val="{00000000-E5BE-46CE-908E-4F68425D4B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Dual'!$AI$5:$AI$105</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13.60672102833218</c:v>
                </c:pt>
                <c:pt idx="16">
                  <c:v>14.05296105045888</c:v>
                </c:pt>
                <c:pt idx="17">
                  <c:v>14.485460690933216</c:v>
                </c:pt>
                <c:pt idx="18">
                  <c:v>14.905416081794851</c:v>
                </c:pt>
                <c:pt idx="19">
                  <c:v>15.313859269115859</c:v>
                </c:pt>
                <c:pt idx="20">
                  <c:v>15.711688096991452</c:v>
                </c:pt>
                <c:pt idx="21">
                  <c:v>16.099689437998489</c:v>
                </c:pt>
                <c:pt idx="22">
                  <c:v>16.478557495814286</c:v>
                </c:pt>
                <c:pt idx="23">
                  <c:v>16.848908400419131</c:v>
                </c:pt>
                <c:pt idx="24">
                  <c:v>17.211291974415268</c:v>
                </c:pt>
                <c:pt idx="25">
                  <c:v>17.566201313073599</c:v>
                </c:pt>
                <c:pt idx="26">
                  <c:v>17.914080655012295</c:v>
                </c:pt>
                <c:pt idx="27">
                  <c:v>18.255331902135957</c:v>
                </c:pt>
                <c:pt idx="28">
                  <c:v>18.590320061795602</c:v>
                </c:pt>
                <c:pt idx="29">
                  <c:v>18.919377821240769</c:v>
                </c:pt>
                <c:pt idx="30">
                  <c:v>19.242809417694556</c:v>
                </c:pt>
                <c:pt idx="31">
                  <c:v>19.560893932245826</c:v>
                </c:pt>
                <c:pt idx="32">
                  <c:v>19.873888109059802</c:v>
                </c:pt>
                <c:pt idx="33">
                  <c:v>20.182028780929972</c:v>
                </c:pt>
                <c:pt idx="34">
                  <c:v>20.485534966340101</c:v>
                </c:pt>
                <c:pt idx="35">
                  <c:v>20.784609690826528</c:v>
                </c:pt>
                <c:pt idx="36">
                  <c:v>21.079441575688314</c:v>
                </c:pt>
                <c:pt idx="37">
                  <c:v>21.370206229367895</c:v>
                </c:pt>
                <c:pt idx="38">
                  <c:v>21.657067470656582</c:v>
                </c:pt>
                <c:pt idx="39">
                  <c:v>21.940178407921589</c:v>
                </c:pt>
                <c:pt idx="40">
                  <c:v>22.219682394541234</c:v>
                </c:pt>
                <c:pt idx="41">
                  <c:v>22.495713877473257</c:v>
                </c:pt>
                <c:pt idx="42">
                  <c:v>22.768399153212332</c:v>
                </c:pt>
                <c:pt idx="43">
                  <c:v>23.037857043198638</c:v>
                </c:pt>
                <c:pt idx="44">
                  <c:v>23.304199498925389</c:v>
                </c:pt>
                <c:pt idx="45">
                  <c:v>23.567532145487181</c:v>
                </c:pt>
                <c:pt idx="46">
                  <c:v>23.827954771054703</c:v>
                </c:pt>
                <c:pt idx="47">
                  <c:v>24.085561768708775</c:v>
                </c:pt>
                <c:pt idx="48">
                  <c:v>24.340442536181275</c:v>
                </c:pt>
                <c:pt idx="49">
                  <c:v>24.592681838303037</c:v>
                </c:pt>
                <c:pt idx="50">
                  <c:v>24.842360136324753</c:v>
                </c:pt>
                <c:pt idx="51">
                  <c:v>25.089553887738106</c:v>
                </c:pt>
                <c:pt idx="52">
                  <c:v>25.334335819763886</c:v>
                </c:pt>
                <c:pt idx="53">
                  <c:v>25.576775179279906</c:v>
                </c:pt>
                <c:pt idx="54">
                  <c:v>25.816937961622902</c:v>
                </c:pt>
                <c:pt idx="55">
                  <c:v>26.054887120406853</c:v>
                </c:pt>
                <c:pt idx="56">
                  <c:v>26.290682760247975</c:v>
                </c:pt>
                <c:pt idx="57">
                  <c:v>26.524382314068259</c:v>
                </c:pt>
                <c:pt idx="58">
                  <c:v>26.756040706459434</c:v>
                </c:pt>
                <c:pt idx="59">
                  <c:v>26.985710504423846</c:v>
                </c:pt>
                <c:pt idx="60">
                  <c:v>27.213442056664359</c:v>
                </c:pt>
                <c:pt idx="61">
                  <c:v>27.439283622468821</c:v>
                </c:pt>
                <c:pt idx="62">
                  <c:v>27.663281491123627</c:v>
                </c:pt>
                <c:pt idx="63">
                  <c:v>27.957667964882969</c:v>
                </c:pt>
                <c:pt idx="64">
                  <c:v>28.411465351498972</c:v>
                </c:pt>
                <c:pt idx="65">
                  <c:v>28.865513684575074</c:v>
                </c:pt>
                <c:pt idx="66">
                  <c:v>29.319811584162323</c:v>
                </c:pt>
                <c:pt idx="67">
                  <c:v>29.774357703499803</c:v>
                </c:pt>
                <c:pt idx="68">
                  <c:v>30.229150727765205</c:v>
                </c:pt>
                <c:pt idx="69">
                  <c:v>30.694710862709652</c:v>
                </c:pt>
                <c:pt idx="70">
                  <c:v>31.161014597988576</c:v>
                </c:pt>
                <c:pt idx="71">
                  <c:v>31.628002426271209</c:v>
                </c:pt>
                <c:pt idx="72">
                  <c:v>32.095677704571678</c:v>
                </c:pt>
                <c:pt idx="73">
                  <c:v>32.564043811681465</c:v>
                </c:pt>
                <c:pt idx="74">
                  <c:v>33.033104148346155</c:v>
                </c:pt>
                <c:pt idx="75">
                  <c:v>33.50286213744414</c:v>
                </c:pt>
                <c:pt idx="76">
                  <c:v>33.973321224166966</c:v>
                </c:pt>
                <c:pt idx="77">
                  <c:v>34.44448487620145</c:v>
                </c:pt>
                <c:pt idx="78">
                  <c:v>34.916356583913618</c:v>
                </c:pt>
                <c:pt idx="79">
                  <c:v>35.388939860534393</c:v>
                </c:pt>
                <c:pt idx="80">
                  <c:v>35.862238242347225</c:v>
                </c:pt>
                <c:pt idx="81">
                  <c:v>36.336255288877432</c:v>
                </c:pt>
                <c:pt idx="82">
                  <c:v>36.810994583083435</c:v>
                </c:pt>
                <c:pt idx="83">
                  <c:v>37.286459731550039</c:v>
                </c:pt>
                <c:pt idx="84">
                  <c:v>37.762654364683456</c:v>
                </c:pt>
                <c:pt idx="85">
                  <c:v>38.23958213690824</c:v>
                </c:pt>
                <c:pt idx="86">
                  <c:v>38.717246726866414</c:v>
                </c:pt>
                <c:pt idx="87">
                  <c:v>39.1956518376183</c:v>
                </c:pt>
                <c:pt idx="88">
                  <c:v>39.674801196845557</c:v>
                </c:pt>
                <c:pt idx="89">
                  <c:v>40.154698557056115</c:v>
                </c:pt>
                <c:pt idx="90">
                  <c:v>40.635347695791268</c:v>
                </c:pt>
                <c:pt idx="91">
                  <c:v>41.116752415834696</c:v>
                </c:pt>
                <c:pt idx="92">
                  <c:v>41.598916545423812</c:v>
                </c:pt>
                <c:pt idx="93">
                  <c:v>42.081843938462981</c:v>
                </c:pt>
                <c:pt idx="94">
                  <c:v>42.565538474739071</c:v>
                </c:pt>
                <c:pt idx="95">
                  <c:v>43.050004060139116</c:v>
                </c:pt>
                <c:pt idx="96">
                  <c:v>43.535244626870124</c:v>
                </c:pt>
                <c:pt idx="97">
                  <c:v>44.021264133681242</c:v>
                </c:pt>
                <c:pt idx="98">
                  <c:v>44.508066566088054</c:v>
                </c:pt>
                <c:pt idx="99">
                  <c:v>44.995655936599164</c:v>
                </c:pt>
                <c:pt idx="100">
                  <c:v>45.484036284945255</c:v>
                </c:pt>
              </c:numCache>
            </c:numRef>
          </c:val>
          <c:smooth val="0"/>
          <c:extLst>
            <c:ext xmlns:c16="http://schemas.microsoft.com/office/drawing/2014/chart" uri="{C3380CC4-5D6E-409C-BE32-E72D297353CC}">
              <c16:uniqueId val="{00000001-E5BE-46CE-908E-4F68425D4B37}"/>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13.60672102833218</c:v>
                </c:pt>
                <c:pt idx="16">
                  <c:v>14.05296105045888</c:v>
                </c:pt>
                <c:pt idx="17">
                  <c:v>14.485460690933216</c:v>
                </c:pt>
                <c:pt idx="18">
                  <c:v>14.905416081794851</c:v>
                </c:pt>
                <c:pt idx="19">
                  <c:v>15.313859269115859</c:v>
                </c:pt>
                <c:pt idx="20">
                  <c:v>15.711688096991452</c:v>
                </c:pt>
                <c:pt idx="21">
                  <c:v>16.099689437998489</c:v>
                </c:pt>
                <c:pt idx="22">
                  <c:v>16.478557495814286</c:v>
                </c:pt>
                <c:pt idx="23">
                  <c:v>16.848908400419131</c:v>
                </c:pt>
                <c:pt idx="24">
                  <c:v>17.211291974415268</c:v>
                </c:pt>
                <c:pt idx="25">
                  <c:v>17.566201313073599</c:v>
                </c:pt>
                <c:pt idx="26">
                  <c:v>17.914080655012295</c:v>
                </c:pt>
                <c:pt idx="27">
                  <c:v>18.255331902135957</c:v>
                </c:pt>
                <c:pt idx="28">
                  <c:v>18.590320061795602</c:v>
                </c:pt>
                <c:pt idx="29">
                  <c:v>18.919377821240769</c:v>
                </c:pt>
                <c:pt idx="30">
                  <c:v>19.242809417694556</c:v>
                </c:pt>
                <c:pt idx="31">
                  <c:v>19.560893932245826</c:v>
                </c:pt>
                <c:pt idx="32">
                  <c:v>19.873888109059802</c:v>
                </c:pt>
                <c:pt idx="33">
                  <c:v>20.182028780929972</c:v>
                </c:pt>
                <c:pt idx="34">
                  <c:v>20.485534966340101</c:v>
                </c:pt>
                <c:pt idx="35">
                  <c:v>20.784609690826528</c:v>
                </c:pt>
                <c:pt idx="36">
                  <c:v>21.079441575688314</c:v>
                </c:pt>
                <c:pt idx="37">
                  <c:v>21.370206229367895</c:v>
                </c:pt>
                <c:pt idx="38">
                  <c:v>21.657067470656582</c:v>
                </c:pt>
                <c:pt idx="39">
                  <c:v>21.940178407921589</c:v>
                </c:pt>
                <c:pt idx="40">
                  <c:v>22.219682394541234</c:v>
                </c:pt>
                <c:pt idx="41">
                  <c:v>22.495713877473257</c:v>
                </c:pt>
                <c:pt idx="42">
                  <c:v>22.768399153212332</c:v>
                </c:pt>
                <c:pt idx="43">
                  <c:v>23.037857043198638</c:v>
                </c:pt>
                <c:pt idx="44">
                  <c:v>23.304199498925389</c:v>
                </c:pt>
                <c:pt idx="45">
                  <c:v>23.567532145487181</c:v>
                </c:pt>
                <c:pt idx="46">
                  <c:v>23.827954771054703</c:v>
                </c:pt>
                <c:pt idx="47">
                  <c:v>24.085561768708775</c:v>
                </c:pt>
                <c:pt idx="48">
                  <c:v>24.340442536181275</c:v>
                </c:pt>
                <c:pt idx="49">
                  <c:v>24.592681838303037</c:v>
                </c:pt>
                <c:pt idx="50">
                  <c:v>24.842360136324753</c:v>
                </c:pt>
                <c:pt idx="51">
                  <c:v>25.089553887738106</c:v>
                </c:pt>
                <c:pt idx="52">
                  <c:v>25.334335819763886</c:v>
                </c:pt>
                <c:pt idx="53">
                  <c:v>25.576775179279906</c:v>
                </c:pt>
                <c:pt idx="54">
                  <c:v>25.816937961622902</c:v>
                </c:pt>
                <c:pt idx="55">
                  <c:v>26.054887120406853</c:v>
                </c:pt>
                <c:pt idx="56">
                  <c:v>26.290682760247975</c:v>
                </c:pt>
                <c:pt idx="57">
                  <c:v>26.524382314068259</c:v>
                </c:pt>
                <c:pt idx="58">
                  <c:v>26.756040706459434</c:v>
                </c:pt>
                <c:pt idx="59">
                  <c:v>26.985710504423846</c:v>
                </c:pt>
                <c:pt idx="60">
                  <c:v>27.213442056664359</c:v>
                </c:pt>
                <c:pt idx="61">
                  <c:v>27.439283622468821</c:v>
                </c:pt>
                <c:pt idx="62">
                  <c:v>27.663281491123627</c:v>
                </c:pt>
                <c:pt idx="63">
                  <c:v>27.885480092693403</c:v>
                </c:pt>
                <c:pt idx="64">
                  <c:v>28.105922100917759</c:v>
                </c:pt>
                <c:pt idx="65">
                  <c:v>28.324648528899953</c:v>
                </c:pt>
                <c:pt idx="66">
                  <c:v>28.541698818195307</c:v>
                </c:pt>
                <c:pt idx="67">
                  <c:v>28.757110921847289</c:v>
                </c:pt>
                <c:pt idx="68">
                  <c:v>28.970921381866432</c:v>
                </c:pt>
                <c:pt idx="69">
                  <c:v>29.183165401599993</c:v>
                </c:pt>
                <c:pt idx="70">
                  <c:v>29.393876913398138</c:v>
                </c:pt>
                <c:pt idx="71">
                  <c:v>29.603088641945071</c:v>
                </c:pt>
                <c:pt idx="72">
                  <c:v>29.810832163589701</c:v>
                </c:pt>
                <c:pt idx="73">
                  <c:v>30.017137961980509</c:v>
                </c:pt>
                <c:pt idx="74">
                  <c:v>30.222035480282077</c:v>
                </c:pt>
                <c:pt idx="75">
                  <c:v>30.425553170226596</c:v>
                </c:pt>
                <c:pt idx="76">
                  <c:v>30.627718538231719</c:v>
                </c:pt>
                <c:pt idx="77">
                  <c:v>30.784639475146861</c:v>
                </c:pt>
                <c:pt idx="78">
                  <c:v>31.190898980121737</c:v>
                </c:pt>
                <c:pt idx="79">
                  <c:v>31.597289885300711</c:v>
                </c:pt>
                <c:pt idx="80">
                  <c:v>32.003811560208582</c:v>
                </c:pt>
                <c:pt idx="81">
                  <c:v>32.410463386661355</c:v>
                </c:pt>
                <c:pt idx="82">
                  <c:v>32.817950220912621</c:v>
                </c:pt>
                <c:pt idx="83">
                  <c:v>33.23162795061053</c:v>
                </c:pt>
                <c:pt idx="84">
                  <c:v>33.645661141300941</c:v>
                </c:pt>
                <c:pt idx="85">
                  <c:v>34.060051011771172</c:v>
                </c:pt>
                <c:pt idx="86">
                  <c:v>34.474798786290506</c:v>
                </c:pt>
                <c:pt idx="87">
                  <c:v>34.889905694640952</c:v>
                </c:pt>
                <c:pt idx="88">
                  <c:v>35.305372972148355</c:v>
                </c:pt>
                <c:pt idx="89">
                  <c:v>35.721201859713716</c:v>
                </c:pt>
                <c:pt idx="90">
                  <c:v>36.137393603844622</c:v>
                </c:pt>
                <c:pt idx="91">
                  <c:v>36.553949456686965</c:v>
                </c:pt>
                <c:pt idx="92">
                  <c:v>36.970870676056954</c:v>
                </c:pt>
                <c:pt idx="93">
                  <c:v>37.388158525473102</c:v>
                </c:pt>
                <c:pt idx="94">
                  <c:v>37.805814274188663</c:v>
                </c:pt>
                <c:pt idx="95">
                  <c:v>38.223839197224251</c:v>
                </c:pt>
                <c:pt idx="96">
                  <c:v>38.642234575400572</c:v>
                </c:pt>
                <c:pt idx="97">
                  <c:v>39.06100169537148</c:v>
                </c:pt>
                <c:pt idx="98">
                  <c:v>39.480141849657215</c:v>
                </c:pt>
                <c:pt idx="99">
                  <c:v>39.899656336677864</c:v>
                </c:pt>
                <c:pt idx="100">
                  <c:v>40.319546460787151</c:v>
                </c:pt>
              </c:numCache>
            </c:numRef>
          </c:val>
          <c:smooth val="0"/>
          <c:extLst>
            <c:ext xmlns:c16="http://schemas.microsoft.com/office/drawing/2014/chart" uri="{C3380CC4-5D6E-409C-BE32-E72D297353CC}">
              <c16:uniqueId val="{00000002-E5BE-46CE-908E-4F68425D4B37}"/>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1.0139488420356826</c:v>
                </c:pt>
                <c:pt idx="2">
                  <c:v>1.041846526107048</c:v>
                </c:pt>
                <c:pt idx="3">
                  <c:v>1.041846526107048</c:v>
                </c:pt>
                <c:pt idx="4">
                  <c:v>1.0557953681427306</c:v>
                </c:pt>
                <c:pt idx="5">
                  <c:v>1.0697442101784131</c:v>
                </c:pt>
                <c:pt idx="6">
                  <c:v>1.083693052214096</c:v>
                </c:pt>
                <c:pt idx="7">
                  <c:v>1.0976418942497785</c:v>
                </c:pt>
                <c:pt idx="8">
                  <c:v>1.1115907362854611</c:v>
                </c:pt>
                <c:pt idx="9">
                  <c:v>1.1255395783211437</c:v>
                </c:pt>
                <c:pt idx="10">
                  <c:v>1.1394884203568265</c:v>
                </c:pt>
                <c:pt idx="11">
                  <c:v>1.1534372623925091</c:v>
                </c:pt>
                <c:pt idx="12">
                  <c:v>1.1673861044281917</c:v>
                </c:pt>
                <c:pt idx="13">
                  <c:v>1.1813349464638745</c:v>
                </c:pt>
                <c:pt idx="14">
                  <c:v>1.1952837884995571</c:v>
                </c:pt>
                <c:pt idx="15">
                  <c:v>1.4025094037028487</c:v>
                </c:pt>
                <c:pt idx="16">
                  <c:v>1.7330575682411449</c:v>
                </c:pt>
                <c:pt idx="17">
                  <c:v>2.053427672296209</c:v>
                </c:pt>
                <c:pt idx="18">
                  <c:v>2.3645057396011233</c:v>
                </c:pt>
                <c:pt idx="19">
                  <c:v>2.6670562487277962</c:v>
                </c:pt>
                <c:pt idx="20">
                  <c:v>2.9617442693763838</c:v>
                </c:pt>
                <c:pt idx="21">
                  <c:v>3.2491526701223368</c:v>
                </c:pt>
                <c:pt idx="22">
                  <c:v>3.5297956759118163</c:v>
                </c:pt>
                <c:pt idx="23">
                  <c:v>3.8041296793228119</c:v>
                </c:pt>
                <c:pt idx="24">
                  <c:v>4.0725619563569877</c:v>
                </c:pt>
                <c:pt idx="25">
                  <c:v>4.3354577627705666</c:v>
                </c:pt>
                <c:pt idx="26">
                  <c:v>4.5931461642066385</c:v>
                </c:pt>
                <c:pt idx="27">
                  <c:v>4.8459248657797209</c:v>
                </c:pt>
                <c:pt idx="28">
                  <c:v>5.0940642433053833</c:v>
                </c:pt>
                <c:pt idx="29">
                  <c:v>5.3378107317832857</c:v>
                </c:pt>
                <c:pt idx="30">
                  <c:v>5.5773896921194233</c:v>
                </c:pt>
                <c:pt idx="31">
                  <c:v>5.8130078510462901</c:v>
                </c:pt>
                <c:pt idx="32">
                  <c:v>6.0448553894270143</c:v>
                </c:pt>
                <c:pt idx="33">
                  <c:v>6.2731077389604728</c:v>
                </c:pt>
                <c:pt idx="34">
                  <c:v>6.4979271355605679</c:v>
                </c:pt>
                <c:pt idx="35">
                  <c:v>6.7194639685134776</c:v>
                </c:pt>
                <c:pt idx="36">
                  <c:v>6.9378579572999852</c:v>
                </c:pt>
                <c:pt idx="37">
                  <c:v>7.1532391822478232</c:v>
                </c:pt>
                <c:pt idx="38">
                  <c:v>7.3657289906098136</c:v>
                </c:pt>
                <c:pt idx="39">
                  <c:v>7.5754407959912999</c:v>
                </c:pt>
                <c:pt idx="40">
                  <c:v>7.7824807860799261</c:v>
                </c:pt>
                <c:pt idx="41">
                  <c:v>7.9869485512147582</c:v>
                </c:pt>
                <c:pt idx="42">
                  <c:v>8.1889376443548123</c:v>
                </c:pt>
                <c:pt idx="43">
                  <c:v>8.3885360813817051</c:v>
                </c:pt>
                <c:pt idx="44">
                  <c:v>8.5858267893274469</c:v>
                </c:pt>
                <c:pt idx="45">
                  <c:v>8.7561031156957956</c:v>
                </c:pt>
                <c:pt idx="46">
                  <c:v>9.1561933161388716</c:v>
                </c:pt>
                <c:pt idx="47">
                  <c:v>9.5567310067489704</c:v>
                </c:pt>
                <c:pt idx="48">
                  <c:v>9.9577130499740889</c:v>
                </c:pt>
                <c:pt idx="49">
                  <c:v>10.359136415195456</c:v>
                </c:pt>
                <c:pt idx="50">
                  <c:v>10.760998173209604</c:v>
                </c:pt>
                <c:pt idx="51">
                  <c:v>11.166856375893445</c:v>
                </c:pt>
                <c:pt idx="52">
                  <c:v>11.583631609201252</c:v>
                </c:pt>
                <c:pt idx="53">
                  <c:v>12.001622822137488</c:v>
                </c:pt>
                <c:pt idx="54">
                  <c:v>12.420839794413229</c:v>
                </c:pt>
                <c:pt idx="55">
                  <c:v>12.841292410378042</c:v>
                </c:pt>
                <c:pt idx="56">
                  <c:v>13.262990660423217</c:v>
                </c:pt>
                <c:pt idx="57">
                  <c:v>13.685944642407678</c:v>
                </c:pt>
                <c:pt idx="58">
                  <c:v>14.110164563107039</c:v>
                </c:pt>
                <c:pt idx="59">
                  <c:v>14.535660739686014</c:v>
                </c:pt>
                <c:pt idx="60">
                  <c:v>14.962443601194924</c:v>
                </c:pt>
                <c:pt idx="61">
                  <c:v>15.390523690090536</c:v>
                </c:pt>
                <c:pt idx="62">
                  <c:v>15.819911663781804</c:v>
                </c:pt>
                <c:pt idx="63">
                  <c:v>16.250618296200948</c:v>
                </c:pt>
                <c:pt idx="64">
                  <c:v>16.68265447940038</c:v>
                </c:pt>
                <c:pt idx="65">
                  <c:v>17.116031225175949</c:v>
                </c:pt>
                <c:pt idx="66">
                  <c:v>17.550759666717088</c:v>
                </c:pt>
                <c:pt idx="67">
                  <c:v>17.986851060284202</c:v>
                </c:pt>
                <c:pt idx="68">
                  <c:v>18.424316786914087</c:v>
                </c:pt>
                <c:pt idx="69">
                  <c:v>18.863168354153707</c:v>
                </c:pt>
                <c:pt idx="70">
                  <c:v>19.303417397822944</c:v>
                </c:pt>
                <c:pt idx="71">
                  <c:v>19.745075683806981</c:v>
                </c:pt>
                <c:pt idx="72">
                  <c:v>20.188155109878732</c:v>
                </c:pt>
                <c:pt idx="73">
                  <c:v>20.632667707552091</c:v>
                </c:pt>
                <c:pt idx="74">
                  <c:v>21.078625643966465</c:v>
                </c:pt>
                <c:pt idx="75">
                  <c:v>21.526041223803215</c:v>
                </c:pt>
                <c:pt idx="76">
                  <c:v>21.974926891234851</c:v>
                </c:pt>
                <c:pt idx="77">
                  <c:v>22.425295231907242</c:v>
                </c:pt>
                <c:pt idx="78">
                  <c:v>22.877158974955936</c:v>
                </c:pt>
                <c:pt idx="79">
                  <c:v>23.3305309950569</c:v>
                </c:pt>
                <c:pt idx="80">
                  <c:v>23.785424314512696</c:v>
                </c:pt>
                <c:pt idx="81">
                  <c:v>24.241852105374406</c:v>
                </c:pt>
                <c:pt idx="82">
                  <c:v>24.699827691600529</c:v>
                </c:pt>
                <c:pt idx="83">
                  <c:v>25.159364551253187</c:v>
                </c:pt>
                <c:pt idx="84">
                  <c:v>25.6204763187325</c:v>
                </c:pt>
                <c:pt idx="85">
                  <c:v>26.083176787050089</c:v>
                </c:pt>
                <c:pt idx="86">
                  <c:v>26.547479910142304</c:v>
                </c:pt>
                <c:pt idx="87">
                  <c:v>27.013399805223976</c:v>
                </c:pt>
                <c:pt idx="88">
                  <c:v>27.480950755183745</c:v>
                </c:pt>
                <c:pt idx="89">
                  <c:v>27.950147211021573</c:v>
                </c:pt>
                <c:pt idx="90">
                  <c:v>28.421003794329476</c:v>
                </c:pt>
                <c:pt idx="91">
                  <c:v>28.893535299816278</c:v>
                </c:pt>
                <c:pt idx="92">
                  <c:v>29.367756697877365</c:v>
                </c:pt>
                <c:pt idx="93">
                  <c:v>29.843683137210355</c:v>
                </c:pt>
                <c:pt idx="94">
                  <c:v>30.32132994747754</c:v>
                </c:pt>
                <c:pt idx="95">
                  <c:v>30.800712642016386</c:v>
                </c:pt>
                <c:pt idx="96">
                  <c:v>31.281846920598685</c:v>
                </c:pt>
                <c:pt idx="97">
                  <c:v>31.764748672239705</c:v>
                </c:pt>
                <c:pt idx="98">
                  <c:v>32.249433978058256</c:v>
                </c:pt>
                <c:pt idx="99">
                  <c:v>32.735919114188818</c:v>
                </c:pt>
                <c:pt idx="100">
                  <c:v>33.224220554746729</c:v>
                </c:pt>
              </c:numCache>
            </c:numRef>
          </c:val>
          <c:smooth val="0"/>
          <c:extLst>
            <c:ext xmlns:c16="http://schemas.microsoft.com/office/drawing/2014/chart" uri="{C3380CC4-5D6E-409C-BE32-E72D297353CC}">
              <c16:uniqueId val="{00000000-DC32-4242-87FA-45A0737872EA}"/>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Dual'!$AJ$5:$AJ$105</c:f>
              <c:numCache>
                <c:formatCode>0.000</c:formatCode>
                <c:ptCount val="101"/>
                <c:pt idx="0">
                  <c:v>1.0057142857142858</c:v>
                </c:pt>
                <c:pt idx="1">
                  <c:v>1.0139488420356826</c:v>
                </c:pt>
                <c:pt idx="2">
                  <c:v>1.0278976840713654</c:v>
                </c:pt>
                <c:pt idx="3">
                  <c:v>1.041846526107048</c:v>
                </c:pt>
                <c:pt idx="4">
                  <c:v>1.0557953681427306</c:v>
                </c:pt>
                <c:pt idx="5">
                  <c:v>1.0697442101784131</c:v>
                </c:pt>
                <c:pt idx="6">
                  <c:v>1.083693052214096</c:v>
                </c:pt>
                <c:pt idx="7">
                  <c:v>1.0976418942497785</c:v>
                </c:pt>
                <c:pt idx="8">
                  <c:v>1.1115907362854611</c:v>
                </c:pt>
                <c:pt idx="9">
                  <c:v>1.1255395783211437</c:v>
                </c:pt>
                <c:pt idx="10">
                  <c:v>1.1394884203568265</c:v>
                </c:pt>
                <c:pt idx="11">
                  <c:v>1.1534372623925091</c:v>
                </c:pt>
                <c:pt idx="12">
                  <c:v>1.1673861044281917</c:v>
                </c:pt>
                <c:pt idx="13">
                  <c:v>1.1813349464638745</c:v>
                </c:pt>
                <c:pt idx="14">
                  <c:v>1.1952837884995571</c:v>
                </c:pt>
                <c:pt idx="15">
                  <c:v>1.4025094037028487</c:v>
                </c:pt>
                <c:pt idx="16">
                  <c:v>1.7330575682411449</c:v>
                </c:pt>
                <c:pt idx="17">
                  <c:v>2.053427672296209</c:v>
                </c:pt>
                <c:pt idx="18">
                  <c:v>2.3645057396011233</c:v>
                </c:pt>
                <c:pt idx="19">
                  <c:v>2.6670562487277962</c:v>
                </c:pt>
                <c:pt idx="20">
                  <c:v>2.9617442693763838</c:v>
                </c:pt>
                <c:pt idx="21">
                  <c:v>3.2491526701223368</c:v>
                </c:pt>
                <c:pt idx="22">
                  <c:v>3.5297956759118163</c:v>
                </c:pt>
                <c:pt idx="23">
                  <c:v>3.8041296793228119</c:v>
                </c:pt>
                <c:pt idx="24">
                  <c:v>4.0725619563569877</c:v>
                </c:pt>
                <c:pt idx="25">
                  <c:v>4.3354577627705666</c:v>
                </c:pt>
                <c:pt idx="26">
                  <c:v>4.5931461642066385</c:v>
                </c:pt>
                <c:pt idx="27">
                  <c:v>4.8459248657797209</c:v>
                </c:pt>
                <c:pt idx="28">
                  <c:v>5.0940642433053833</c:v>
                </c:pt>
                <c:pt idx="29">
                  <c:v>5.3378107317832857</c:v>
                </c:pt>
                <c:pt idx="30">
                  <c:v>5.5773896921194233</c:v>
                </c:pt>
                <c:pt idx="31">
                  <c:v>5.8130078510462901</c:v>
                </c:pt>
                <c:pt idx="32">
                  <c:v>6.0448553894270143</c:v>
                </c:pt>
                <c:pt idx="33">
                  <c:v>6.2731077389604728</c:v>
                </c:pt>
                <c:pt idx="34">
                  <c:v>6.4979271355605679</c:v>
                </c:pt>
                <c:pt idx="35">
                  <c:v>6.7194639685134776</c:v>
                </c:pt>
                <c:pt idx="36">
                  <c:v>6.9378579572999852</c:v>
                </c:pt>
                <c:pt idx="37">
                  <c:v>7.1532391822478232</c:v>
                </c:pt>
                <c:pt idx="38">
                  <c:v>7.3657289906098136</c:v>
                </c:pt>
                <c:pt idx="39">
                  <c:v>7.5754407959912999</c:v>
                </c:pt>
                <c:pt idx="40">
                  <c:v>7.7824807860799261</c:v>
                </c:pt>
                <c:pt idx="41">
                  <c:v>7.9869485512147582</c:v>
                </c:pt>
                <c:pt idx="42">
                  <c:v>8.1889376443548123</c:v>
                </c:pt>
                <c:pt idx="43">
                  <c:v>8.3885360813817051</c:v>
                </c:pt>
                <c:pt idx="44">
                  <c:v>8.5858267893274469</c:v>
                </c:pt>
                <c:pt idx="45">
                  <c:v>8.7808880090028492</c:v>
                </c:pt>
                <c:pt idx="46">
                  <c:v>8.9737936575713828</c:v>
                </c:pt>
                <c:pt idx="47">
                  <c:v>9.1646136558336586</c:v>
                </c:pt>
                <c:pt idx="48">
                  <c:v>9.3534142243318072</c:v>
                </c:pt>
                <c:pt idx="49">
                  <c:v>9.5402581518294074</c:v>
                </c:pt>
                <c:pt idx="50">
                  <c:v>9.7252050392529021</c:v>
                </c:pt>
                <c:pt idx="51">
                  <c:v>9.9083115217813109</c:v>
                </c:pt>
                <c:pt idx="52">
                  <c:v>10.089631471430039</c:v>
                </c:pt>
                <c:pt idx="53">
                  <c:v>10.269216182182646</c:v>
                </c:pt>
                <c:pt idx="54">
                  <c:v>10.447114539473754</c:v>
                </c:pt>
                <c:pt idx="55">
                  <c:v>10.623373175610014</c:v>
                </c:pt>
                <c:pt idx="56">
                  <c:v>10.798036612529362</c:v>
                </c:pt>
                <c:pt idx="57">
                  <c:v>10.971147393136981</c:v>
                </c:pt>
                <c:pt idx="58">
                  <c:v>11.14274620231563</c:v>
                </c:pt>
                <c:pt idx="59">
                  <c:v>11.312871978585564</c:v>
                </c:pt>
                <c:pt idx="60">
                  <c:v>11.48156201728224</c:v>
                </c:pt>
                <c:pt idx="61">
                  <c:v>11.648852066026286</c:v>
                </c:pt>
                <c:pt idx="62">
                  <c:v>11.814776413177993</c:v>
                </c:pt>
                <c:pt idx="63">
                  <c:v>12.032840467814543</c:v>
                </c:pt>
                <c:pt idx="64">
                  <c:v>12.368986680122694</c:v>
                </c:pt>
                <c:pt idx="65">
                  <c:v>12.705318778697585</c:v>
                </c:pt>
                <c:pt idx="66">
                  <c:v>13.041835741354806</c:v>
                </c:pt>
                <c:pt idx="67">
                  <c:v>13.378536570493678</c:v>
                </c:pt>
                <c:pt idx="68">
                  <c:v>13.715420292171757</c:v>
                </c:pt>
                <c:pt idx="69">
                  <c:v>14.060279651389866</c:v>
                </c:pt>
                <c:pt idx="70">
                  <c:v>14.405689825670546</c:v>
                </c:pt>
                <c:pt idx="71">
                  <c:v>14.751606735509535</c:v>
                </c:pt>
                <c:pt idx="72">
                  <c:v>15.098032867583957</c:v>
                </c:pt>
                <c:pt idx="73">
                  <c:v>15.444970724702319</c:v>
                </c:pt>
                <c:pt idx="74">
                  <c:v>15.792422825935422</c:v>
                </c:pt>
                <c:pt idx="75">
                  <c:v>16.140391706748744</c:v>
                </c:pt>
                <c:pt idx="76">
                  <c:v>16.488879919136021</c:v>
                </c:pt>
                <c:pt idx="77">
                  <c:v>16.837890031754156</c:v>
                </c:pt>
                <c:pt idx="78">
                  <c:v>17.187424630059468</c:v>
                </c:pt>
                <c:pt idx="79">
                  <c:v>17.537486316445225</c:v>
                </c:pt>
                <c:pt idx="80">
                  <c:v>17.888077710380657</c:v>
                </c:pt>
                <c:pt idx="81">
                  <c:v>18.239201448551182</c:v>
                </c:pt>
                <c:pt idx="82">
                  <c:v>18.590860185000075</c:v>
                </c:pt>
                <c:pt idx="83">
                  <c:v>18.943056591271631</c:v>
                </c:pt>
                <c:pt idx="84">
                  <c:v>19.295793356555642</c:v>
                </c:pt>
                <c:pt idx="85">
                  <c:v>19.64907318783326</c:v>
                </c:pt>
                <c:pt idx="86">
                  <c:v>20.002898810024501</c:v>
                </c:pt>
                <c:pt idx="87">
                  <c:v>20.35727296613701</c:v>
                </c:pt>
                <c:pt idx="88">
                  <c:v>20.71219841741646</c:v>
                </c:pt>
                <c:pt idx="89">
                  <c:v>21.067677943498353</c:v>
                </c:pt>
                <c:pt idx="90">
                  <c:v>21.423714342561432</c:v>
                </c:pt>
                <c:pt idx="91">
                  <c:v>21.780310431482487</c:v>
                </c:pt>
                <c:pt idx="92">
                  <c:v>22.137469045992944</c:v>
                </c:pt>
                <c:pt idx="93">
                  <c:v>22.495193040836774</c:v>
                </c:pt>
                <c:pt idx="94">
                  <c:v>22.853485289930173</c:v>
                </c:pt>
                <c:pt idx="95">
                  <c:v>23.212348686522798</c:v>
                </c:pt>
                <c:pt idx="96">
                  <c:v>23.571786143360583</c:v>
                </c:pt>
                <c:pt idx="97">
                  <c:v>23.931800592850301</c:v>
                </c:pt>
                <c:pt idx="98">
                  <c:v>24.292394987225716</c:v>
                </c:pt>
                <c:pt idx="99">
                  <c:v>24.653572298715428</c:v>
                </c:pt>
                <c:pt idx="100">
                  <c:v>25.015335519712533</c:v>
                </c:pt>
              </c:numCache>
            </c:numRef>
          </c:val>
          <c:smooth val="0"/>
          <c:extLst>
            <c:ext xmlns:c16="http://schemas.microsoft.com/office/drawing/2014/chart" uri="{C3380CC4-5D6E-409C-BE32-E72D297353CC}">
              <c16:uniqueId val="{00000001-DC32-4242-87FA-45A0737872EA}"/>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1.0139486756995277</c:v>
                </c:pt>
                <c:pt idx="2">
                  <c:v>1.0278973513990557</c:v>
                </c:pt>
                <c:pt idx="3">
                  <c:v>1.0418460270985834</c:v>
                </c:pt>
                <c:pt idx="4">
                  <c:v>1.0557947027981114</c:v>
                </c:pt>
                <c:pt idx="5">
                  <c:v>1.0697433784976391</c:v>
                </c:pt>
                <c:pt idx="6">
                  <c:v>1.0836920541971669</c:v>
                </c:pt>
                <c:pt idx="7">
                  <c:v>1.0976407298966948</c:v>
                </c:pt>
                <c:pt idx="8">
                  <c:v>1.1115894055962225</c:v>
                </c:pt>
                <c:pt idx="9">
                  <c:v>1.1255380812957503</c:v>
                </c:pt>
                <c:pt idx="10">
                  <c:v>1.1394867569952782</c:v>
                </c:pt>
                <c:pt idx="11">
                  <c:v>1.153435432694806</c:v>
                </c:pt>
                <c:pt idx="12">
                  <c:v>1.1673841083943339</c:v>
                </c:pt>
                <c:pt idx="13">
                  <c:v>1.1813327840938617</c:v>
                </c:pt>
                <c:pt idx="14">
                  <c:v>1.1952814597933894</c:v>
                </c:pt>
                <c:pt idx="15">
                  <c:v>1.4025094037028487</c:v>
                </c:pt>
                <c:pt idx="16">
                  <c:v>1.7330575682411449</c:v>
                </c:pt>
                <c:pt idx="17">
                  <c:v>2.053427672296209</c:v>
                </c:pt>
                <c:pt idx="18">
                  <c:v>2.3645057396011233</c:v>
                </c:pt>
                <c:pt idx="19">
                  <c:v>2.6670562487277962</c:v>
                </c:pt>
                <c:pt idx="20">
                  <c:v>2.9617442693763838</c:v>
                </c:pt>
                <c:pt idx="21">
                  <c:v>3.2491526701223368</c:v>
                </c:pt>
                <c:pt idx="22">
                  <c:v>3.5297956759118163</c:v>
                </c:pt>
                <c:pt idx="23">
                  <c:v>3.8041296793228119</c:v>
                </c:pt>
                <c:pt idx="24">
                  <c:v>4.0725619563569877</c:v>
                </c:pt>
                <c:pt idx="25">
                  <c:v>4.3354577627705666</c:v>
                </c:pt>
                <c:pt idx="26">
                  <c:v>4.5931461642066385</c:v>
                </c:pt>
                <c:pt idx="27">
                  <c:v>4.8459248657797209</c:v>
                </c:pt>
                <c:pt idx="28">
                  <c:v>5.0940642433053833</c:v>
                </c:pt>
                <c:pt idx="29">
                  <c:v>5.3378107317832857</c:v>
                </c:pt>
                <c:pt idx="30">
                  <c:v>5.5773896921194233</c:v>
                </c:pt>
                <c:pt idx="31">
                  <c:v>5.8130078510462901</c:v>
                </c:pt>
                <c:pt idx="32">
                  <c:v>6.0448553894270143</c:v>
                </c:pt>
                <c:pt idx="33">
                  <c:v>6.2731077389604728</c:v>
                </c:pt>
                <c:pt idx="34">
                  <c:v>6.4979271355605679</c:v>
                </c:pt>
                <c:pt idx="35">
                  <c:v>6.7194639685134776</c:v>
                </c:pt>
                <c:pt idx="36">
                  <c:v>6.9378579572999852</c:v>
                </c:pt>
                <c:pt idx="37">
                  <c:v>7.1532391822478232</c:v>
                </c:pt>
                <c:pt idx="38">
                  <c:v>7.3657289906098136</c:v>
                </c:pt>
                <c:pt idx="39">
                  <c:v>7.5754407959912999</c:v>
                </c:pt>
                <c:pt idx="40">
                  <c:v>7.7824807860799261</c:v>
                </c:pt>
                <c:pt idx="41">
                  <c:v>7.9869485512147582</c:v>
                </c:pt>
                <c:pt idx="42">
                  <c:v>8.1889376443548123</c:v>
                </c:pt>
                <c:pt idx="43">
                  <c:v>8.3885360813817051</c:v>
                </c:pt>
                <c:pt idx="44">
                  <c:v>8.5858267893274469</c:v>
                </c:pt>
                <c:pt idx="45">
                  <c:v>8.7808880090028492</c:v>
                </c:pt>
                <c:pt idx="46">
                  <c:v>8.9737936575713828</c:v>
                </c:pt>
                <c:pt idx="47">
                  <c:v>9.1646136558336586</c:v>
                </c:pt>
                <c:pt idx="48">
                  <c:v>9.3534142243318072</c:v>
                </c:pt>
                <c:pt idx="49">
                  <c:v>9.5402581518294074</c:v>
                </c:pt>
                <c:pt idx="50">
                  <c:v>9.7252050392529021</c:v>
                </c:pt>
                <c:pt idx="51">
                  <c:v>9.9083115217813109</c:v>
                </c:pt>
                <c:pt idx="52">
                  <c:v>10.089631471430039</c:v>
                </c:pt>
                <c:pt idx="53">
                  <c:v>10.269216182182646</c:v>
                </c:pt>
                <c:pt idx="54">
                  <c:v>10.447114539473754</c:v>
                </c:pt>
                <c:pt idx="55">
                  <c:v>10.623373175610014</c:v>
                </c:pt>
                <c:pt idx="56">
                  <c:v>10.798036612529362</c:v>
                </c:pt>
                <c:pt idx="57">
                  <c:v>10.971147393136981</c:v>
                </c:pt>
                <c:pt idx="58">
                  <c:v>11.14274620231563</c:v>
                </c:pt>
                <c:pt idx="59">
                  <c:v>11.312871978585564</c:v>
                </c:pt>
                <c:pt idx="60">
                  <c:v>11.48156201728224</c:v>
                </c:pt>
                <c:pt idx="61">
                  <c:v>11.648852066026286</c:v>
                </c:pt>
                <c:pt idx="62">
                  <c:v>11.814776413177993</c:v>
                </c:pt>
                <c:pt idx="63">
                  <c:v>11.979367969896346</c:v>
                </c:pt>
                <c:pt idx="64">
                  <c:v>12.142658346358832</c:v>
                </c:pt>
                <c:pt idx="65">
                  <c:v>12.30467792264194</c:v>
                </c:pt>
                <c:pt idx="66">
                  <c:v>12.465455914712573</c:v>
                </c:pt>
                <c:pt idx="67">
                  <c:v>12.625020435936262</c:v>
                </c:pt>
                <c:pt idx="68">
                  <c:v>12.783398554468961</c:v>
                </c:pt>
                <c:pt idx="69">
                  <c:v>12.940616346864191</c:v>
                </c:pt>
                <c:pt idx="70">
                  <c:v>13.096698948196149</c:v>
                </c:pt>
                <c:pt idx="71">
                  <c:v>13.251670598971655</c:v>
                </c:pt>
                <c:pt idx="72">
                  <c:v>13.405554689078787</c:v>
                </c:pt>
                <c:pt idx="73">
                  <c:v>13.558373798997906</c:v>
                </c:pt>
                <c:pt idx="74">
                  <c:v>13.710149738480551</c:v>
                </c:pt>
                <c:pt idx="75">
                  <c:v>13.860903582883898</c:v>
                </c:pt>
                <c:pt idx="76">
                  <c:v>14.010655707332134</c:v>
                </c:pt>
                <c:pt idx="77">
                  <c:v>14.126893438380389</c:v>
                </c:pt>
                <c:pt idx="78">
                  <c:v>14.427826405028444</c:v>
                </c:pt>
                <c:pt idx="79">
                  <c:v>14.728856705161018</c:v>
                </c:pt>
                <c:pt idx="80">
                  <c:v>15.029983871759441</c:v>
                </c:pt>
                <c:pt idx="81">
                  <c:v>15.331207446909644</c:v>
                </c:pt>
                <c:pt idx="82">
                  <c:v>15.633049546355025</c:v>
                </c:pt>
                <c:pt idx="83">
                  <c:v>15.939477494279402</c:v>
                </c:pt>
                <c:pt idx="84">
                  <c:v>16.24616874664267</c:v>
                </c:pt>
                <c:pt idx="85">
                  <c:v>16.553124206250249</c:v>
                </c:pt>
                <c:pt idx="86">
                  <c:v>16.860344779968273</c:v>
                </c:pt>
                <c:pt idx="87">
                  <c:v>17.167831378746381</c:v>
                </c:pt>
                <c:pt idx="88">
                  <c:v>17.475584917640752</c:v>
                </c:pt>
                <c:pt idx="89">
                  <c:v>17.783606315837318</c:v>
                </c:pt>
                <c:pt idx="90">
                  <c:v>18.091896496675027</c:v>
                </c:pt>
                <c:pt idx="91">
                  <c:v>18.400456387669355</c:v>
                </c:pt>
                <c:pt idx="92">
                  <c:v>18.709286920536012</c:v>
                </c:pt>
                <c:pt idx="93">
                  <c:v>19.018389031214642</c:v>
                </c:pt>
                <c:pt idx="94">
                  <c:v>19.327763659892831</c:v>
                </c:pt>
                <c:pt idx="95">
                  <c:v>19.637411751030307</c:v>
                </c:pt>
                <c:pt idx="96">
                  <c:v>19.947334253383136</c:v>
                </c:pt>
                <c:pt idx="97">
                  <c:v>20.257532120028252</c:v>
                </c:pt>
                <c:pt idx="98">
                  <c:v>20.56800630838806</c:v>
                </c:pt>
                <c:pt idx="99">
                  <c:v>20.878757780255206</c:v>
                </c:pt>
                <c:pt idx="100">
                  <c:v>21.189787501817641</c:v>
                </c:pt>
              </c:numCache>
            </c:numRef>
          </c:val>
          <c:smooth val="0"/>
          <c:extLst>
            <c:ext xmlns:c16="http://schemas.microsoft.com/office/drawing/2014/chart" uri="{C3380CC4-5D6E-409C-BE32-E72D297353CC}">
              <c16:uniqueId val="{00000002-DC32-4242-87FA-45A0737872EA}"/>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1.195943181888036E-4</c:v>
                </c:pt>
                <c:pt idx="1">
                  <c:v>70.874336591381152</c:v>
                </c:pt>
                <c:pt idx="2">
                  <c:v>63.591962502130492</c:v>
                </c:pt>
                <c:pt idx="3">
                  <c:v>56.039794046062454</c:v>
                </c:pt>
                <c:pt idx="4">
                  <c:v>49.103024913949547</c:v>
                </c:pt>
                <c:pt idx="5">
                  <c:v>43.039575240804545</c:v>
                </c:pt>
                <c:pt idx="6">
                  <c:v>37.854564606610573</c:v>
                </c:pt>
                <c:pt idx="7">
                  <c:v>33.458560093399065</c:v>
                </c:pt>
                <c:pt idx="8">
                  <c:v>29.737254877613122</c:v>
                </c:pt>
                <c:pt idx="9">
                  <c:v>26.580047523964108</c:v>
                </c:pt>
                <c:pt idx="10">
                  <c:v>23.890022201612275</c:v>
                </c:pt>
                <c:pt idx="11">
                  <c:v>21.585948534420552</c:v>
                </c:pt>
                <c:pt idx="12">
                  <c:v>19.601158428146881</c:v>
                </c:pt>
                <c:pt idx="13">
                  <c:v>17.881438421474666</c:v>
                </c:pt>
                <c:pt idx="14">
                  <c:v>16.382826331267754</c:v>
                </c:pt>
                <c:pt idx="15">
                  <c:v>15.830584317255273</c:v>
                </c:pt>
                <c:pt idx="16">
                  <c:v>15.590486763586178</c:v>
                </c:pt>
                <c:pt idx="17">
                  <c:v>15.362459231666618</c:v>
                </c:pt>
                <c:pt idx="18">
                  <c:v>15.145018149352222</c:v>
                </c:pt>
                <c:pt idx="19">
                  <c:v>14.936917332194961</c:v>
                </c:pt>
                <c:pt idx="20">
                  <c:v>14.737099854171326</c:v>
                </c:pt>
                <c:pt idx="21">
                  <c:v>14.544661362684701</c:v>
                </c:pt>
                <c:pt idx="22">
                  <c:v>14.358821716888089</c:v>
                </c:pt>
                <c:pt idx="23">
                  <c:v>14.178902772730964</c:v>
                </c:pt>
                <c:pt idx="24">
                  <c:v>14.004310769334067</c:v>
                </c:pt>
                <c:pt idx="25">
                  <c:v>13.834522201174082</c:v>
                </c:pt>
                <c:pt idx="26">
                  <c:v>13.669072358267357</c:v>
                </c:pt>
                <c:pt idx="27">
                  <c:v>13.507545925767422</c:v>
                </c:pt>
                <c:pt idx="28">
                  <c:v>13.349569183284594</c:v>
                </c:pt>
                <c:pt idx="29">
                  <c:v>13.194803451232302</c:v>
                </c:pt>
                <c:pt idx="30">
                  <c:v>13.042939508857131</c:v>
                </c:pt>
                <c:pt idx="31">
                  <c:v>12.893692764530776</c:v>
                </c:pt>
                <c:pt idx="32">
                  <c:v>12.746798998892835</c:v>
                </c:pt>
                <c:pt idx="33">
                  <c:v>12.602010529199269</c:v>
                </c:pt>
                <c:pt idx="34">
                  <c:v>12.459092661075461</c:v>
                </c:pt>
                <c:pt idx="35">
                  <c:v>12.31782030308122</c:v>
                </c:pt>
                <c:pt idx="36">
                  <c:v>12.177974620457018</c:v>
                </c:pt>
                <c:pt idx="37">
                  <c:v>12.039339596629759</c:v>
                </c:pt>
                <c:pt idx="38">
                  <c:v>11.901698352971463</c:v>
                </c:pt>
                <c:pt idx="39">
                  <c:v>11.764829046019619</c:v>
                </c:pt>
                <c:pt idx="40">
                  <c:v>11.628500112011036</c:v>
                </c:pt>
                <c:pt idx="41">
                  <c:v>11.492464553266339</c:v>
                </c:pt>
                <c:pt idx="42">
                  <c:v>11.356452846999963</c:v>
                </c:pt>
                <c:pt idx="43">
                  <c:v>11.220163883919062</c:v>
                </c:pt>
                <c:pt idx="44">
                  <c:v>11.083253077516989</c:v>
                </c:pt>
                <c:pt idx="45">
                  <c:v>10.945316367950696</c:v>
                </c:pt>
                <c:pt idx="46">
                  <c:v>10.805868177740365</c:v>
                </c:pt>
                <c:pt idx="47">
                  <c:v>10.664310283972165</c:v>
                </c:pt>
                <c:pt idx="48">
                  <c:v>10.519886729251342</c:v>
                </c:pt>
                <c:pt idx="49">
                  <c:v>10.371616683639711</c:v>
                </c:pt>
                <c:pt idx="50">
                  <c:v>10.218191364233885</c:v>
                </c:pt>
                <c:pt idx="51">
                  <c:v>10.057810157055679</c:v>
                </c:pt>
                <c:pt idx="52">
                  <c:v>9.8879093229281008</c:v>
                </c:pt>
                <c:pt idx="53">
                  <c:v>9.7046908276553676</c:v>
                </c:pt>
                <c:pt idx="54">
                  <c:v>9.5022551696184028</c:v>
                </c:pt>
                <c:pt idx="55">
                  <c:v>9.2708863266319081</c:v>
                </c:pt>
                <c:pt idx="56">
                  <c:v>8.9933329271933804</c:v>
                </c:pt>
                <c:pt idx="57">
                  <c:v>8.6356933475300792</c:v>
                </c:pt>
                <c:pt idx="58">
                  <c:v>8.1208553769780689</c:v>
                </c:pt>
                <c:pt idx="59">
                  <c:v>7.709867934100247</c:v>
                </c:pt>
                <c:pt idx="60">
                  <c:v>7.4967900960398843</c:v>
                </c:pt>
                <c:pt idx="61">
                  <c:v>7.0809340673281245</c:v>
                </c:pt>
                <c:pt idx="62">
                  <c:v>6.312579355755461</c:v>
                </c:pt>
                <c:pt idx="63">
                  <c:v>2.3085827307280979</c:v>
                </c:pt>
                <c:pt idx="64">
                  <c:v>23.118114250400364</c:v>
                </c:pt>
                <c:pt idx="65">
                  <c:v>14.764069401776975</c:v>
                </c:pt>
                <c:pt idx="66">
                  <c:v>13.302044295166668</c:v>
                </c:pt>
                <c:pt idx="67">
                  <c:v>12.692514294216739</c:v>
                </c:pt>
                <c:pt idx="68">
                  <c:v>12.353951112229232</c:v>
                </c:pt>
                <c:pt idx="69">
                  <c:v>12.129516414908451</c:v>
                </c:pt>
                <c:pt idx="70">
                  <c:v>11.968306667245917</c:v>
                </c:pt>
                <c:pt idx="71">
                  <c:v>11.841639085054007</c:v>
                </c:pt>
                <c:pt idx="72">
                  <c:v>11.734594120224809</c:v>
                </c:pt>
                <c:pt idx="73">
                  <c:v>11.63861513368979</c:v>
                </c:pt>
                <c:pt idx="74">
                  <c:v>11.548410626346136</c:v>
                </c:pt>
                <c:pt idx="75">
                  <c:v>11.460504262525781</c:v>
                </c:pt>
                <c:pt idx="76">
                  <c:v>11.372493279475172</c:v>
                </c:pt>
                <c:pt idx="77">
                  <c:v>11.282641840301208</c:v>
                </c:pt>
                <c:pt idx="78">
                  <c:v>11.189645118309553</c:v>
                </c:pt>
                <c:pt idx="79">
                  <c:v>11.09248588243117</c:v>
                </c:pt>
                <c:pt idx="80">
                  <c:v>10.990343798315623</c:v>
                </c:pt>
                <c:pt idx="81">
                  <c:v>10.882536079567666</c:v>
                </c:pt>
                <c:pt idx="82">
                  <c:v>10.768477473900907</c:v>
                </c:pt>
                <c:pt idx="83">
                  <c:v>10.647652554147768</c:v>
                </c:pt>
                <c:pt idx="84">
                  <c:v>10.519596056668847</c:v>
                </c:pt>
                <c:pt idx="85">
                  <c:v>10.383878609542524</c:v>
                </c:pt>
                <c:pt idx="86">
                  <c:v>10.240096146385016</c:v>
                </c:pt>
                <c:pt idx="87">
                  <c:v>10.087861886417816</c:v>
                </c:pt>
                <c:pt idx="88">
                  <c:v>9.9268001293068053</c:v>
                </c:pt>
                <c:pt idx="89">
                  <c:v>9.7565413501362297</c:v>
                </c:pt>
                <c:pt idx="90">
                  <c:v>9.5767182355085918</c:v>
                </c:pt>
                <c:pt idx="91">
                  <c:v>9.386962405944173</c:v>
                </c:pt>
                <c:pt idx="92">
                  <c:v>9.1869016406713833</c:v>
                </c:pt>
                <c:pt idx="93">
                  <c:v>8.9761574698994409</c:v>
                </c:pt>
                <c:pt idx="94">
                  <c:v>8.7543430339762764</c:v>
                </c:pt>
                <c:pt idx="95">
                  <c:v>8.5210611331359232</c:v>
                </c:pt>
                <c:pt idx="96">
                  <c:v>8.2759024089185615</c:v>
                </c:pt>
                <c:pt idx="97">
                  <c:v>8.018443610864292</c:v>
                </c:pt>
                <c:pt idx="98">
                  <c:v>7.748245911139036</c:v>
                </c:pt>
                <c:pt idx="99">
                  <c:v>7.4648532363068041</c:v>
                </c:pt>
                <c:pt idx="100">
                  <c:v>7.1673601049098767</c:v>
                </c:pt>
              </c:numCache>
            </c:numRef>
          </c:val>
          <c:smooth val="0"/>
          <c:extLst>
            <c:ext xmlns:c16="http://schemas.microsoft.com/office/drawing/2014/chart" uri="{C3380CC4-5D6E-409C-BE32-E72D297353CC}">
              <c16:uniqueId val="{00000000-AC8A-4551-AD17-C0E237FEA675}"/>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1.7359999999999998E-6</c:v>
                </c:pt>
                <c:pt idx="1">
                  <c:v>9.548</c:v>
                </c:pt>
                <c:pt idx="2">
                  <c:v>19.096</c:v>
                </c:pt>
                <c:pt idx="3">
                  <c:v>28.643999999999995</c:v>
                </c:pt>
                <c:pt idx="4">
                  <c:v>38.192</c:v>
                </c:pt>
                <c:pt idx="5">
                  <c:v>47.739999999999988</c:v>
                </c:pt>
                <c:pt idx="6">
                  <c:v>57.28799999999999</c:v>
                </c:pt>
                <c:pt idx="7">
                  <c:v>66.835999999999999</c:v>
                </c:pt>
                <c:pt idx="8">
                  <c:v>76.384</c:v>
                </c:pt>
                <c:pt idx="9">
                  <c:v>85.931999999999988</c:v>
                </c:pt>
                <c:pt idx="10">
                  <c:v>95.479999999999976</c:v>
                </c:pt>
                <c:pt idx="11">
                  <c:v>105.02799999999999</c:v>
                </c:pt>
                <c:pt idx="12">
                  <c:v>114.57599999999998</c:v>
                </c:pt>
                <c:pt idx="13">
                  <c:v>124.124</c:v>
                </c:pt>
                <c:pt idx="14">
                  <c:v>133.672</c:v>
                </c:pt>
                <c:pt idx="15">
                  <c:v>143.22</c:v>
                </c:pt>
                <c:pt idx="16">
                  <c:v>152.768</c:v>
                </c:pt>
                <c:pt idx="17">
                  <c:v>162.316</c:v>
                </c:pt>
                <c:pt idx="18">
                  <c:v>171.86399999999998</c:v>
                </c:pt>
                <c:pt idx="19">
                  <c:v>181.41199999999995</c:v>
                </c:pt>
                <c:pt idx="20">
                  <c:v>190.95999999999995</c:v>
                </c:pt>
                <c:pt idx="21">
                  <c:v>200.50800000000001</c:v>
                </c:pt>
                <c:pt idx="22">
                  <c:v>210.05599999999998</c:v>
                </c:pt>
                <c:pt idx="23">
                  <c:v>219.60400000000001</c:v>
                </c:pt>
                <c:pt idx="24">
                  <c:v>229.15199999999996</c:v>
                </c:pt>
                <c:pt idx="25">
                  <c:v>238.69999999999996</c:v>
                </c:pt>
                <c:pt idx="26">
                  <c:v>248.24799999999999</c:v>
                </c:pt>
                <c:pt idx="27">
                  <c:v>257.79600000000005</c:v>
                </c:pt>
                <c:pt idx="28">
                  <c:v>267.34399999999999</c:v>
                </c:pt>
                <c:pt idx="29">
                  <c:v>276.892</c:v>
                </c:pt>
                <c:pt idx="30">
                  <c:v>286.44</c:v>
                </c:pt>
                <c:pt idx="31">
                  <c:v>295.988</c:v>
                </c:pt>
                <c:pt idx="32">
                  <c:v>305.536</c:v>
                </c:pt>
                <c:pt idx="33">
                  <c:v>315.084</c:v>
                </c:pt>
                <c:pt idx="34">
                  <c:v>324.63200000000001</c:v>
                </c:pt>
                <c:pt idx="35">
                  <c:v>334.17999999999995</c:v>
                </c:pt>
                <c:pt idx="36">
                  <c:v>343.72799999999995</c:v>
                </c:pt>
                <c:pt idx="37">
                  <c:v>353.27599999999995</c:v>
                </c:pt>
                <c:pt idx="38">
                  <c:v>362.8239999999999</c:v>
                </c:pt>
                <c:pt idx="39">
                  <c:v>372.3719999999999</c:v>
                </c:pt>
                <c:pt idx="40">
                  <c:v>381.9199999999999</c:v>
                </c:pt>
                <c:pt idx="41">
                  <c:v>391.4679999999999</c:v>
                </c:pt>
                <c:pt idx="42">
                  <c:v>401.01600000000002</c:v>
                </c:pt>
                <c:pt idx="43">
                  <c:v>410.56399999999991</c:v>
                </c:pt>
                <c:pt idx="44">
                  <c:v>420.11199999999997</c:v>
                </c:pt>
                <c:pt idx="45">
                  <c:v>429.66</c:v>
                </c:pt>
                <c:pt idx="46">
                  <c:v>439.20800000000003</c:v>
                </c:pt>
                <c:pt idx="47">
                  <c:v>448.75599999999991</c:v>
                </c:pt>
                <c:pt idx="48">
                  <c:v>458.30399999999992</c:v>
                </c:pt>
                <c:pt idx="49">
                  <c:v>467.85199999999992</c:v>
                </c:pt>
                <c:pt idx="50">
                  <c:v>477.39999999999992</c:v>
                </c:pt>
                <c:pt idx="51">
                  <c:v>486.94799999999992</c:v>
                </c:pt>
                <c:pt idx="52">
                  <c:v>496.49599999999998</c:v>
                </c:pt>
                <c:pt idx="53">
                  <c:v>506.04399999999993</c:v>
                </c:pt>
                <c:pt idx="54">
                  <c:v>515.5920000000001</c:v>
                </c:pt>
                <c:pt idx="55">
                  <c:v>525.14</c:v>
                </c:pt>
                <c:pt idx="56">
                  <c:v>534.68799999999999</c:v>
                </c:pt>
                <c:pt idx="57">
                  <c:v>544.23599999999999</c:v>
                </c:pt>
                <c:pt idx="58">
                  <c:v>553.78399999999999</c:v>
                </c:pt>
                <c:pt idx="59">
                  <c:v>563.33199999999999</c:v>
                </c:pt>
                <c:pt idx="60">
                  <c:v>572.88</c:v>
                </c:pt>
                <c:pt idx="61">
                  <c:v>582.428</c:v>
                </c:pt>
                <c:pt idx="62">
                  <c:v>591.976</c:v>
                </c:pt>
                <c:pt idx="63">
                  <c:v>601.524</c:v>
                </c:pt>
                <c:pt idx="64">
                  <c:v>611.072</c:v>
                </c:pt>
                <c:pt idx="65">
                  <c:v>620.62</c:v>
                </c:pt>
                <c:pt idx="66">
                  <c:v>630.16800000000001</c:v>
                </c:pt>
                <c:pt idx="67">
                  <c:v>639.71599999999989</c:v>
                </c:pt>
                <c:pt idx="68">
                  <c:v>649.26400000000001</c:v>
                </c:pt>
                <c:pt idx="69">
                  <c:v>658.8119999999999</c:v>
                </c:pt>
                <c:pt idx="70">
                  <c:v>668.3599999999999</c:v>
                </c:pt>
                <c:pt idx="71">
                  <c:v>677.9079999999999</c:v>
                </c:pt>
                <c:pt idx="72">
                  <c:v>687.4559999999999</c:v>
                </c:pt>
                <c:pt idx="73">
                  <c:v>697.00399999999991</c:v>
                </c:pt>
                <c:pt idx="74">
                  <c:v>706.55199999999991</c:v>
                </c:pt>
                <c:pt idx="75">
                  <c:v>716.09999999999991</c:v>
                </c:pt>
                <c:pt idx="76">
                  <c:v>725.6479999999998</c:v>
                </c:pt>
                <c:pt idx="77">
                  <c:v>735.19599999999991</c:v>
                </c:pt>
                <c:pt idx="78">
                  <c:v>744.7439999999998</c:v>
                </c:pt>
                <c:pt idx="79">
                  <c:v>754.29199999999992</c:v>
                </c:pt>
                <c:pt idx="80">
                  <c:v>763.8399999999998</c:v>
                </c:pt>
                <c:pt idx="81">
                  <c:v>773.38799999999992</c:v>
                </c:pt>
                <c:pt idx="82">
                  <c:v>782.93599999999981</c:v>
                </c:pt>
                <c:pt idx="83">
                  <c:v>792.48399999999992</c:v>
                </c:pt>
                <c:pt idx="84">
                  <c:v>802.03200000000004</c:v>
                </c:pt>
                <c:pt idx="85">
                  <c:v>811.57999999999993</c:v>
                </c:pt>
                <c:pt idx="86">
                  <c:v>821.12799999999982</c:v>
                </c:pt>
                <c:pt idx="87">
                  <c:v>830.67599999999993</c:v>
                </c:pt>
                <c:pt idx="88">
                  <c:v>840.22399999999993</c:v>
                </c:pt>
                <c:pt idx="89">
                  <c:v>849.77199999999993</c:v>
                </c:pt>
                <c:pt idx="90">
                  <c:v>859.32</c:v>
                </c:pt>
                <c:pt idx="91">
                  <c:v>868.86799999999994</c:v>
                </c:pt>
                <c:pt idx="92">
                  <c:v>878.41600000000005</c:v>
                </c:pt>
                <c:pt idx="93">
                  <c:v>887.96399999999994</c:v>
                </c:pt>
                <c:pt idx="94">
                  <c:v>897.51199999999983</c:v>
                </c:pt>
                <c:pt idx="95">
                  <c:v>907.06</c:v>
                </c:pt>
                <c:pt idx="96">
                  <c:v>916.60799999999983</c:v>
                </c:pt>
                <c:pt idx="97">
                  <c:v>926.15599999999995</c:v>
                </c:pt>
                <c:pt idx="98">
                  <c:v>935.70399999999984</c:v>
                </c:pt>
                <c:pt idx="99">
                  <c:v>945.25199999999995</c:v>
                </c:pt>
                <c:pt idx="100">
                  <c:v>954.79999999999984</c:v>
                </c:pt>
              </c:numCache>
            </c:numRef>
          </c:val>
          <c:smooth val="0"/>
          <c:extLst>
            <c:ext xmlns:c16="http://schemas.microsoft.com/office/drawing/2014/chart" uri="{C3380CC4-5D6E-409C-BE32-E72D297353CC}">
              <c16:uniqueId val="{00000001-AC8A-4551-AD17-C0E237FEA675}"/>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80.285760904911257</c:v>
                </c:pt>
                <c:pt idx="1">
                  <c:v>194.51400432473804</c:v>
                </c:pt>
                <c:pt idx="2">
                  <c:v>392.06239950973981</c:v>
                </c:pt>
                <c:pt idx="3">
                  <c:v>592.71674783584501</c:v>
                </c:pt>
                <c:pt idx="4">
                  <c:v>796.55087968885744</c:v>
                </c:pt>
                <c:pt idx="5">
                  <c:v>1003.640984134263</c:v>
                </c:pt>
                <c:pt idx="6">
                  <c:v>1214.0657038673169</c:v>
                </c:pt>
                <c:pt idx="7">
                  <c:v>1427.9062347870838</c:v>
                </c:pt>
                <c:pt idx="8">
                  <c:v>1645.2464304593025</c:v>
                </c:pt>
                <c:pt idx="9">
                  <c:v>1866.1729117503999</c:v>
                </c:pt>
                <c:pt idx="10">
                  <c:v>2090.7751819338114</c:v>
                </c:pt>
                <c:pt idx="11">
                  <c:v>2319.1457475899256</c:v>
                </c:pt>
                <c:pt idx="12">
                  <c:v>2551.380245642762</c:v>
                </c:pt>
                <c:pt idx="13">
                  <c:v>2787.5775768998847</c:v>
                </c:pt>
                <c:pt idx="14">
                  <c:v>3027.8400464872811</c:v>
                </c:pt>
                <c:pt idx="15">
                  <c:v>3225.7677140751275</c:v>
                </c:pt>
                <c:pt idx="16">
                  <c:v>3425.1310400442758</c:v>
                </c:pt>
                <c:pt idx="17">
                  <c:v>3631.7701499940345</c:v>
                </c:pt>
                <c:pt idx="18">
                  <c:v>3846.4286918697035</c:v>
                </c:pt>
                <c:pt idx="19">
                  <c:v>4069.8858341599607</c:v>
                </c:pt>
                <c:pt idx="20">
                  <c:v>4302.9676456840116</c:v>
                </c:pt>
                <c:pt idx="21">
                  <c:v>4546.5585707578821</c:v>
                </c:pt>
                <c:pt idx="22">
                  <c:v>4801.6134550196248</c:v>
                </c:pt>
                <c:pt idx="23">
                  <c:v>5069.1705416867326</c:v>
                </c:pt>
                <c:pt idx="24">
                  <c:v>5350.3658579270668</c:v>
                </c:pt>
                <c:pt idx="25">
                  <c:v>5646.4494403107319</c:v>
                </c:pt>
                <c:pt idx="26">
                  <c:v>5958.8039052334925</c:v>
                </c:pt>
                <c:pt idx="27">
                  <c:v>6288.9659562845463</c:v>
                </c:pt>
                <c:pt idx="28">
                  <c:v>6638.6515402265741</c:v>
                </c:pt>
                <c:pt idx="29">
                  <c:v>7009.7855241379621</c:v>
                </c:pt>
                <c:pt idx="30">
                  <c:v>7404.5369796662562</c:v>
                </c:pt>
                <c:pt idx="31">
                  <c:v>7825.3614424982643</c:v>
                </c:pt>
                <c:pt idx="32">
                  <c:v>8275.0518890360236</c:v>
                </c:pt>
                <c:pt idx="33">
                  <c:v>8756.8006703384435</c:v>
                </c:pt>
                <c:pt idx="34">
                  <c:v>9274.2753117776174</c:v>
                </c:pt>
                <c:pt idx="35">
                  <c:v>9831.7119917002765</c:v>
                </c:pt>
                <c:pt idx="36">
                  <c:v>10434.031749528922</c:v>
                </c:pt>
                <c:pt idx="37">
                  <c:v>11086.986183834562</c:v>
                </c:pt>
                <c:pt idx="38">
                  <c:v>11797.341793189707</c:v>
                </c:pt>
                <c:pt idx="39">
                  <c:v>12573.115502979328</c:v>
                </c:pt>
                <c:pt idx="40">
                  <c:v>13423.878794586766</c:v>
                </c:pt>
                <c:pt idx="41">
                  <c:v>14361.154966594142</c:v>
                </c:pt>
                <c:pt idx="42">
                  <c:v>15398.944616133085</c:v>
                </c:pt>
                <c:pt idx="43">
                  <c:v>16554.430391625083</c:v>
                </c:pt>
                <c:pt idx="44">
                  <c:v>17848.936694865271</c:v>
                </c:pt>
                <c:pt idx="45">
                  <c:v>19309.258860224036</c:v>
                </c:pt>
                <c:pt idx="46">
                  <c:v>20969.53916461339</c:v>
                </c:pt>
                <c:pt idx="47">
                  <c:v>22873.971474846385</c:v>
                </c:pt>
                <c:pt idx="48">
                  <c:v>25080.795500222797</c:v>
                </c:pt>
                <c:pt idx="49">
                  <c:v>27668.359983909206</c:v>
                </c:pt>
                <c:pt idx="50">
                  <c:v>30744.623268769014</c:v>
                </c:pt>
                <c:pt idx="51">
                  <c:v>34462.602019292506</c:v>
                </c:pt>
                <c:pt idx="52">
                  <c:v>39046.61902728006</c:v>
                </c:pt>
                <c:pt idx="53">
                  <c:v>44839.318491820057</c:v>
                </c:pt>
                <c:pt idx="54">
                  <c:v>52391.53065419331</c:v>
                </c:pt>
                <c:pt idx="55">
                  <c:v>62648.707387631868</c:v>
                </c:pt>
                <c:pt idx="56">
                  <c:v>77381.418988977734</c:v>
                </c:pt>
                <c:pt idx="57">
                  <c:v>100336.68313575974</c:v>
                </c:pt>
                <c:pt idx="58">
                  <c:v>141063.35001656358</c:v>
                </c:pt>
                <c:pt idx="59">
                  <c:v>191914.02970763366</c:v>
                </c:pt>
                <c:pt idx="60">
                  <c:v>237899.69263460275</c:v>
                </c:pt>
                <c:pt idx="61">
                  <c:v>311719.05030941236</c:v>
                </c:pt>
                <c:pt idx="62">
                  <c:v>449603.07885970164</c:v>
                </c:pt>
                <c:pt idx="63">
                  <c:v>2338541.2018429851</c:v>
                </c:pt>
                <c:pt idx="64">
                  <c:v>-318319.84558704024</c:v>
                </c:pt>
                <c:pt idx="65">
                  <c:v>-150668.15992996813</c:v>
                </c:pt>
                <c:pt idx="66">
                  <c:v>-99402.326281672096</c:v>
                </c:pt>
                <c:pt idx="67">
                  <c:v>-74562.66007326018</c:v>
                </c:pt>
                <c:pt idx="68">
                  <c:v>-59907.666122001865</c:v>
                </c:pt>
                <c:pt idx="69">
                  <c:v>-49922.487498258379</c:v>
                </c:pt>
                <c:pt idx="70">
                  <c:v>-42912.691935810042</c:v>
                </c:pt>
                <c:pt idx="71">
                  <c:v>-37723.543656548012</c:v>
                </c:pt>
                <c:pt idx="72">
                  <c:v>-33728.547687994331</c:v>
                </c:pt>
                <c:pt idx="73">
                  <c:v>-30559.04724403191</c:v>
                </c:pt>
                <c:pt idx="74">
                  <c:v>-27983.954850131955</c:v>
                </c:pt>
                <c:pt idx="75">
                  <c:v>-25851.058555192845</c:v>
                </c:pt>
                <c:pt idx="76">
                  <c:v>-24056.015544745194</c:v>
                </c:pt>
                <c:pt idx="77">
                  <c:v>-22524.9061480647</c:v>
                </c:pt>
                <c:pt idx="78">
                  <c:v>-21203.899349567215</c:v>
                </c:pt>
                <c:pt idx="79">
                  <c:v>-20052.862951179875</c:v>
                </c:pt>
                <c:pt idx="80">
                  <c:v>-19041.266842054574</c:v>
                </c:pt>
                <c:pt idx="81">
                  <c:v>-18145.473481847741</c:v>
                </c:pt>
                <c:pt idx="82">
                  <c:v>-17346.896853586033</c:v>
                </c:pt>
                <c:pt idx="83">
                  <c:v>-16630.721594042243</c:v>
                </c:pt>
                <c:pt idx="84">
                  <c:v>-15984.993045592331</c:v>
                </c:pt>
                <c:pt idx="85">
                  <c:v>-15399.958683516368</c:v>
                </c:pt>
                <c:pt idx="86">
                  <c:v>-14867.58346778233</c:v>
                </c:pt>
                <c:pt idx="87">
                  <c:v>-14381.187790924758</c:v>
                </c:pt>
                <c:pt idx="88">
                  <c:v>-13935.173305262993</c:v>
                </c:pt>
                <c:pt idx="89">
                  <c:v>-13524.812711389031</c:v>
                </c:pt>
                <c:pt idx="90">
                  <c:v>-13146.086751152696</c:v>
                </c:pt>
                <c:pt idx="91">
                  <c:v>-12795.556484511408</c:v>
                </c:pt>
                <c:pt idx="92">
                  <c:v>-12470.262250206952</c:v>
                </c:pt>
                <c:pt idx="93">
                  <c:v>-12167.643025238824</c:v>
                </c:pt>
                <c:pt idx="94">
                  <c:v>-11885.471534868315</c:v>
                </c:pt>
                <c:pt idx="95">
                  <c:v>-11621.801637238566</c:v>
                </c:pt>
                <c:pt idx="96">
                  <c:v>-11374.925356571004</c:v>
                </c:pt>
                <c:pt idx="97">
                  <c:v>-11143.337561933638</c:v>
                </c:pt>
                <c:pt idx="98">
                  <c:v>-10925.706750107725</c:v>
                </c:pt>
                <c:pt idx="99">
                  <c:v>-10720.850736320444</c:v>
                </c:pt>
                <c:pt idx="100">
                  <c:v>-10527.716317232751</c:v>
                </c:pt>
              </c:numCache>
            </c:numRef>
          </c:val>
          <c:smooth val="0"/>
          <c:extLst>
            <c:ext xmlns:c16="http://schemas.microsoft.com/office/drawing/2014/chart" uri="{C3380CC4-5D6E-409C-BE32-E72D297353CC}">
              <c16:uniqueId val="{00000002-AC8A-4551-AD17-C0E237FEA675}"/>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71.895198039024862</c:v>
                </c:pt>
                <c:pt idx="1">
                  <c:v>239.76178287574223</c:v>
                </c:pt>
                <c:pt idx="2">
                  <c:v>825.49727050144213</c:v>
                </c:pt>
                <c:pt idx="3">
                  <c:v>1920.2450827224377</c:v>
                </c:pt>
                <c:pt idx="4">
                  <c:v>3643.0857827419632</c:v>
                </c:pt>
                <c:pt idx="5">
                  <c:v>6095.2112389237845</c:v>
                </c:pt>
                <c:pt idx="6">
                  <c:v>9366.7932550027144</c:v>
                </c:pt>
                <c:pt idx="7">
                  <c:v>13540.372375334733</c:v>
                </c:pt>
                <c:pt idx="8">
                  <c:v>18692.833525809867</c:v>
                </c:pt>
                <c:pt idx="9">
                  <c:v>24896.678463210148</c:v>
                </c:pt>
                <c:pt idx="10">
                  <c:v>32220.902470984307</c:v>
                </c:pt>
                <c:pt idx="11">
                  <c:v>40731.628737792511</c:v>
                </c:pt>
                <c:pt idx="12">
                  <c:v>50492.584898281122</c:v>
                </c:pt>
                <c:pt idx="13">
                  <c:v>61565.47175709041</c:v>
                </c:pt>
                <c:pt idx="14">
                  <c:v>74010.255529309085</c:v>
                </c:pt>
                <c:pt idx="15">
                  <c:v>82764.569123381982</c:v>
                </c:pt>
                <c:pt idx="16">
                  <c:v>89978.92255528862</c:v>
                </c:pt>
                <c:pt idx="17">
                  <c:v>97358.029215979113</c:v>
                </c:pt>
                <c:pt idx="18">
                  <c:v>104900.74793979491</c:v>
                </c:pt>
                <c:pt idx="19">
                  <c:v>112606.44580355364</c:v>
                </c:pt>
                <c:pt idx="20">
                  <c:v>120474.9374209806</c:v>
                </c:pt>
                <c:pt idx="21">
                  <c:v>128506.43668829395</c:v>
                </c:pt>
                <c:pt idx="22">
                  <c:v>136701.51816771369</c:v>
                </c:pt>
                <c:pt idx="23">
                  <c:v>145061.08604310115</c:v>
                </c:pt>
                <c:pt idx="24">
                  <c:v>153586.349107824</c:v>
                </c:pt>
                <c:pt idx="25">
                  <c:v>162278.80062157588</c:v>
                </c:pt>
                <c:pt idx="26">
                  <c:v>171140.20214698894</c:v>
                </c:pt>
                <c:pt idx="27">
                  <c:v>180172.57067936071</c:v>
                </c:pt>
                <c:pt idx="28">
                  <c:v>189378.16853440466</c:v>
                </c:pt>
                <c:pt idx="29">
                  <c:v>198759.49557391554</c:v>
                </c:pt>
                <c:pt idx="30">
                  <c:v>208319.28343745804</c:v>
                </c:pt>
                <c:pt idx="31">
                  <c:v>218060.49151667248</c:v>
                </c:pt>
                <c:pt idx="32">
                  <c:v>227986.30446254037</c:v>
                </c:pt>
                <c:pt idx="33">
                  <c:v>238100.13105858795</c:v>
                </c:pt>
                <c:pt idx="34">
                  <c:v>248405.60432718106</c:v>
                </c:pt>
                <c:pt idx="35">
                  <c:v>258906.58276379344</c:v>
                </c:pt>
                <c:pt idx="36">
                  <c:v>269607.15261683386</c:v>
                </c:pt>
                <c:pt idx="37">
                  <c:v>280511.63114946947</c:v>
                </c:pt>
                <c:pt idx="38">
                  <c:v>291624.57083571039</c:v>
                </c:pt>
                <c:pt idx="39">
                  <c:v>302950.76445650333</c:v>
                </c:pt>
                <c:pt idx="40">
                  <c:v>314495.25107321929</c:v>
                </c:pt>
                <c:pt idx="41">
                  <c:v>326263.32286614657</c:v>
                </c:pt>
                <c:pt idx="42">
                  <c:v>338260.53283471387</c:v>
                </c:pt>
                <c:pt idx="43">
                  <c:v>350492.70336445334</c:v>
                </c:pt>
                <c:pt idx="44">
                  <c:v>362965.93567337072</c:v>
                </c:pt>
                <c:pt idx="45">
                  <c:v>375686.62015760742</c:v>
                </c:pt>
                <c:pt idx="46">
                  <c:v>388661.44766321837</c:v>
                </c:pt>
                <c:pt idx="47">
                  <c:v>401897.4217176364</c:v>
                </c:pt>
                <c:pt idx="48">
                  <c:v>415401.87176114024</c:v>
                </c:pt>
                <c:pt idx="49">
                  <c:v>429182.46742541093</c:v>
                </c:pt>
                <c:pt idx="50">
                  <c:v>443247.23391321057</c:v>
                </c:pt>
                <c:pt idx="51">
                  <c:v>457604.56854040897</c:v>
                </c:pt>
                <c:pt idx="52">
                  <c:v>472263.25850909622</c:v>
                </c:pt>
                <c:pt idx="53">
                  <c:v>487232.49998849415</c:v>
                </c:pt>
                <c:pt idx="54">
                  <c:v>502521.91858884506</c:v>
                </c:pt>
                <c:pt idx="55">
                  <c:v>518141.59132252948</c:v>
                </c:pt>
                <c:pt idx="56">
                  <c:v>534102.07015650545</c:v>
                </c:pt>
                <c:pt idx="57">
                  <c:v>550414.40727074072</c:v>
                </c:pt>
                <c:pt idx="58">
                  <c:v>567090.18214891141</c:v>
                </c:pt>
                <c:pt idx="59">
                  <c:v>570275.93906280573</c:v>
                </c:pt>
                <c:pt idx="60">
                  <c:v>561097.36663087097</c:v>
                </c:pt>
                <c:pt idx="61">
                  <c:v>552204.25009292457</c:v>
                </c:pt>
                <c:pt idx="62">
                  <c:v>543584.08561462094</c:v>
                </c:pt>
                <c:pt idx="63">
                  <c:v>540080.0728586684</c:v>
                </c:pt>
                <c:pt idx="64">
                  <c:v>547575.09769348404</c:v>
                </c:pt>
                <c:pt idx="65">
                  <c:v>555326.20431196352</c:v>
                </c:pt>
                <c:pt idx="66">
                  <c:v>563349.6431789354</c:v>
                </c:pt>
                <c:pt idx="67">
                  <c:v>571662.75505373988</c:v>
                </c:pt>
                <c:pt idx="68">
                  <c:v>580284.08628114848</c:v>
                </c:pt>
                <c:pt idx="69">
                  <c:v>589112.76863380242</c:v>
                </c:pt>
                <c:pt idx="70">
                  <c:v>598312.63808723202</c:v>
                </c:pt>
                <c:pt idx="71">
                  <c:v>607911.12703013769</c:v>
                </c:pt>
                <c:pt idx="72">
                  <c:v>617937.15974900266</c:v>
                </c:pt>
                <c:pt idx="73">
                  <c:v>628422.2244029165</c:v>
                </c:pt>
                <c:pt idx="74">
                  <c:v>639400.68556535966</c:v>
                </c:pt>
                <c:pt idx="75">
                  <c:v>650910.14178040635</c:v>
                </c:pt>
                <c:pt idx="76">
                  <c:v>662991.83604168578</c:v>
                </c:pt>
                <c:pt idx="77">
                  <c:v>675691.12871543737</c:v>
                </c:pt>
                <c:pt idx="78">
                  <c:v>689058.04442352522</c:v>
                </c:pt>
                <c:pt idx="79">
                  <c:v>703147.90688095579</c:v>
                </c:pt>
                <c:pt idx="80">
                  <c:v>718022.07877952745</c:v>
                </c:pt>
                <c:pt idx="81">
                  <c:v>733748.82770066475</c:v>
                </c:pt>
                <c:pt idx="82">
                  <c:v>750404.343959174</c:v>
                </c:pt>
                <c:pt idx="83">
                  <c:v>768073.94253598212</c:v>
                </c:pt>
                <c:pt idx="84">
                  <c:v>786853.48926828487</c:v>
                </c:pt>
                <c:pt idx="85">
                  <c:v>806851.10179391655</c:v>
                </c:pt>
                <c:pt idx="86">
                  <c:v>828189.18916339055</c:v>
                </c:pt>
                <c:pt idx="87">
                  <c:v>851006.91159816924</c:v>
                </c:pt>
                <c:pt idx="88">
                  <c:v>875463.16506468225</c:v>
                </c:pt>
                <c:pt idx="89">
                  <c:v>901740.22622446925</c:v>
                </c:pt>
                <c:pt idx="90">
                  <c:v>930048.2348624469</c:v>
                </c:pt>
                <c:pt idx="91">
                  <c:v>960630.74732942006</c:v>
                </c:pt>
                <c:pt idx="92">
                  <c:v>993771.6720400335</c:v>
                </c:pt>
                <c:pt idx="93">
                  <c:v>1029804.0057632058</c:v>
                </c:pt>
                <c:pt idx="94">
                  <c:v>1069120.9409863958</c:v>
                </c:pt>
                <c:pt idx="95">
                  <c:v>1112190.130804657</c:v>
                </c:pt>
                <c:pt idx="96">
                  <c:v>1159572.2107242453</c:v>
                </c:pt>
                <c:pt idx="97">
                  <c:v>1211945.1371305094</c:v>
                </c:pt>
                <c:pt idx="98">
                  <c:v>1270136.5913771191</c:v>
                </c:pt>
                <c:pt idx="99">
                  <c:v>1335167.7502997727</c:v>
                </c:pt>
                <c:pt idx="100">
                  <c:v>1408313.3636165238</c:v>
                </c:pt>
              </c:numCache>
            </c:numRef>
          </c:val>
          <c:smooth val="0"/>
          <c:extLst>
            <c:ext xmlns:c16="http://schemas.microsoft.com/office/drawing/2014/chart" uri="{C3380CC4-5D6E-409C-BE32-E72D297353CC}">
              <c16:uniqueId val="{00000003-AC8A-4551-AD17-C0E237FEA675}"/>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24.410473562444633</c:v>
                </c:pt>
                <c:pt idx="2">
                  <c:v>73.231420687333895</c:v>
                </c:pt>
                <c:pt idx="3">
                  <c:v>73.231420687333895</c:v>
                </c:pt>
                <c:pt idx="4">
                  <c:v>97.641894249778531</c:v>
                </c:pt>
                <c:pt idx="5">
                  <c:v>122.05236781222314</c:v>
                </c:pt>
                <c:pt idx="6">
                  <c:v>146.46284137466779</c:v>
                </c:pt>
                <c:pt idx="7">
                  <c:v>170.87331493711241</c:v>
                </c:pt>
                <c:pt idx="8">
                  <c:v>195.28378849955706</c:v>
                </c:pt>
                <c:pt idx="9">
                  <c:v>219.69426206200166</c:v>
                </c:pt>
                <c:pt idx="10">
                  <c:v>244.10473562444628</c:v>
                </c:pt>
                <c:pt idx="11">
                  <c:v>268.51520918689096</c:v>
                </c:pt>
                <c:pt idx="12">
                  <c:v>292.92568274933558</c:v>
                </c:pt>
                <c:pt idx="13">
                  <c:v>317.3361563117802</c:v>
                </c:pt>
                <c:pt idx="14">
                  <c:v>341.74662987422482</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343.10498952114853</c:v>
                </c:pt>
                <c:pt idx="44">
                  <c:v>335.37664899486344</c:v>
                </c:pt>
                <c:pt idx="45">
                  <c:v>327.97252883046298</c:v>
                </c:pt>
                <c:pt idx="46">
                  <c:v>320.87279897958086</c:v>
                </c:pt>
                <c:pt idx="47">
                  <c:v>314.05920942738106</c:v>
                </c:pt>
                <c:pt idx="48">
                  <c:v>307.51493614304553</c:v>
                </c:pt>
                <c:pt idx="49">
                  <c:v>301.2244446915534</c:v>
                </c:pt>
                <c:pt idx="50">
                  <c:v>295.17336919030748</c:v>
                </c:pt>
                <c:pt idx="51">
                  <c:v>289.25057420451805</c:v>
                </c:pt>
                <c:pt idx="52">
                  <c:v>283.27221897200536</c:v>
                </c:pt>
                <c:pt idx="53">
                  <c:v>277.50423543881203</c:v>
                </c:pt>
                <c:pt idx="54">
                  <c:v>271.93566397500445</c:v>
                </c:pt>
                <c:pt idx="55">
                  <c:v>266.55629329705431</c:v>
                </c:pt>
                <c:pt idx="56">
                  <c:v>261.35659766880798</c:v>
                </c:pt>
                <c:pt idx="57">
                  <c:v>256.32768032199368</c:v>
                </c:pt>
                <c:pt idx="58">
                  <c:v>251.46122238929775</c:v>
                </c:pt>
                <c:pt idx="59">
                  <c:v>246.74943673341699</c:v>
                </c:pt>
                <c:pt idx="60">
                  <c:v>242.18502613307052</c:v>
                </c:pt>
                <c:pt idx="61">
                  <c:v>237.76114535372687</c:v>
                </c:pt>
                <c:pt idx="62">
                  <c:v>233.47136668840736</c:v>
                </c:pt>
                <c:pt idx="63">
                  <c:v>229.30964860374641</c:v>
                </c:pt>
                <c:pt idx="64">
                  <c:v>225.2703071696746</c:v>
                </c:pt>
                <c:pt idx="65">
                  <c:v>221.34798998860884</c:v>
                </c:pt>
                <c:pt idx="66">
                  <c:v>217.53765237269749</c:v>
                </c:pt>
                <c:pt idx="67">
                  <c:v>213.83453554617222</c:v>
                </c:pt>
                <c:pt idx="68">
                  <c:v>210.23414667476976</c:v>
                </c:pt>
                <c:pt idx="69">
                  <c:v>206.73224054601928</c:v>
                </c:pt>
                <c:pt idx="70">
                  <c:v>203.32480274334486</c:v>
                </c:pt>
                <c:pt idx="71">
                  <c:v>200.00803417378063</c:v>
                </c:pt>
                <c:pt idx="72">
                  <c:v>196.77833682393361</c:v>
                </c:pt>
                <c:pt idx="73">
                  <c:v>193.63230063192782</c:v>
                </c:pt>
                <c:pt idx="74">
                  <c:v>190.56669137463726</c:v>
                </c:pt>
                <c:pt idx="75">
                  <c:v>187.57843947976875</c:v>
                </c:pt>
                <c:pt idx="76">
                  <c:v>184.66462968144364</c:v>
                </c:pt>
                <c:pt idx="77">
                  <c:v>181.82249144600829</c:v>
                </c:pt>
                <c:pt idx="78">
                  <c:v>179.04939010198265</c:v>
                </c:pt>
                <c:pt idx="79">
                  <c:v>176.34281861446408</c:v>
                </c:pt>
                <c:pt idx="80">
                  <c:v>173.70038995001158</c:v>
                </c:pt>
                <c:pt idx="81">
                  <c:v>171.11982998314431</c:v>
                </c:pt>
                <c:pt idx="82">
                  <c:v>168.59897090015247</c:v>
                </c:pt>
                <c:pt idx="83">
                  <c:v>166.1357450600153</c:v>
                </c:pt>
                <c:pt idx="84">
                  <c:v>163.7281792758925</c:v>
                </c:pt>
                <c:pt idx="85">
                  <c:v>161.37438948395229</c:v>
                </c:pt>
                <c:pt idx="86">
                  <c:v>159.0725757692714</c:v>
                </c:pt>
                <c:pt idx="87">
                  <c:v>156.82101772121305</c:v>
                </c:pt>
                <c:pt idx="88">
                  <c:v>154.61807009309877</c:v>
                </c:pt>
                <c:pt idx="89">
                  <c:v>152.46215874316749</c:v>
                </c:pt>
                <c:pt idx="90">
                  <c:v>150.351776835782</c:v>
                </c:pt>
                <c:pt idx="91">
                  <c:v>148.2854812836211</c:v>
                </c:pt>
                <c:pt idx="92">
                  <c:v>146.26188941320933</c:v>
                </c:pt>
                <c:pt idx="93">
                  <c:v>144.27967583759775</c:v>
                </c:pt>
                <c:pt idx="94">
                  <c:v>142.33756952133535</c:v>
                </c:pt>
                <c:pt idx="95">
                  <c:v>140.43435102407759</c:v>
                </c:pt>
                <c:pt idx="96">
                  <c:v>138.56884991027491</c:v>
                </c:pt>
                <c:pt idx="97">
                  <c:v>136.73994231338324</c:v>
                </c:pt>
                <c:pt idx="98">
                  <c:v>134.94654864394846</c:v>
                </c:pt>
                <c:pt idx="99">
                  <c:v>133.18763143174618</c:v>
                </c:pt>
                <c:pt idx="100">
                  <c:v>131.46219329291989</c:v>
                </c:pt>
              </c:numCache>
            </c:numRef>
          </c:val>
          <c:smooth val="0"/>
          <c:extLst>
            <c:ext xmlns:c16="http://schemas.microsoft.com/office/drawing/2014/chart" uri="{C3380CC4-5D6E-409C-BE32-E72D297353CC}">
              <c16:uniqueId val="{00000000-14B5-4C6D-ADBB-33FE896DCEBE}"/>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24.410473562444633</c:v>
                </c:pt>
                <c:pt idx="2">
                  <c:v>48.820947124889265</c:v>
                </c:pt>
                <c:pt idx="3">
                  <c:v>73.231420687333895</c:v>
                </c:pt>
                <c:pt idx="4">
                  <c:v>97.641894249778531</c:v>
                </c:pt>
                <c:pt idx="5">
                  <c:v>122.05236781222314</c:v>
                </c:pt>
                <c:pt idx="6">
                  <c:v>146.46284137466779</c:v>
                </c:pt>
                <c:pt idx="7">
                  <c:v>170.87331493711241</c:v>
                </c:pt>
                <c:pt idx="8">
                  <c:v>195.28378849955706</c:v>
                </c:pt>
                <c:pt idx="9">
                  <c:v>219.69426206200166</c:v>
                </c:pt>
                <c:pt idx="10">
                  <c:v>244.10473562444628</c:v>
                </c:pt>
                <c:pt idx="11">
                  <c:v>268.51520918689096</c:v>
                </c:pt>
                <c:pt idx="12">
                  <c:v>292.92568274933558</c:v>
                </c:pt>
                <c:pt idx="13">
                  <c:v>317.3361563117802</c:v>
                </c:pt>
                <c:pt idx="14">
                  <c:v>341.74662987422482</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346.9936680663547</c:v>
                </c:pt>
                <c:pt idx="60">
                  <c:v>341.37480768550802</c:v>
                </c:pt>
                <c:pt idx="61">
                  <c:v>335.92899115810985</c:v>
                </c:pt>
                <c:pt idx="62">
                  <c:v>330.64838766710926</c:v>
                </c:pt>
                <c:pt idx="63">
                  <c:v>325.52563088505025</c:v>
                </c:pt>
                <c:pt idx="64">
                  <c:v>320.55378507597879</c:v>
                </c:pt>
                <c:pt idx="65">
                  <c:v>315.72631412124571</c:v>
                </c:pt>
                <c:pt idx="66">
                  <c:v>311.03705317927262</c:v>
                </c:pt>
                <c:pt idx="67">
                  <c:v>306.48018272174204</c:v>
                </c:pt>
                <c:pt idx="68">
                  <c:v>302.05020471704103</c:v>
                </c:pt>
                <c:pt idx="69">
                  <c:v>297.54998167265842</c:v>
                </c:pt>
                <c:pt idx="70">
                  <c:v>293.16846773075042</c:v>
                </c:pt>
                <c:pt idx="71">
                  <c:v>288.90209680372107</c:v>
                </c:pt>
                <c:pt idx="72">
                  <c:v>284.74637003932588</c:v>
                </c:pt>
                <c:pt idx="73">
                  <c:v>280.69701991914468</c:v>
                </c:pt>
                <c:pt idx="74">
                  <c:v>276.7499955782244</c:v>
                </c:pt>
                <c:pt idx="75">
                  <c:v>272.90144922864152</c:v>
                </c:pt>
                <c:pt idx="76">
                  <c:v>269.14772359134054</c:v>
                </c:pt>
                <c:pt idx="77">
                  <c:v>265.48534024995291</c:v>
                </c:pt>
                <c:pt idx="78">
                  <c:v>261.91098884864334</c:v>
                </c:pt>
                <c:pt idx="79">
                  <c:v>258.42151706347022</c:v>
                </c:pt>
                <c:pt idx="80">
                  <c:v>255.01392128340305</c:v>
                </c:pt>
                <c:pt idx="81">
                  <c:v>251.68533794309101</c:v>
                </c:pt>
                <c:pt idx="82">
                  <c:v>248.43303545481888</c:v>
                </c:pt>
                <c:pt idx="83">
                  <c:v>245.25440669186912</c:v>
                </c:pt>
                <c:pt idx="84">
                  <c:v>242.146961979824</c:v>
                </c:pt>
                <c:pt idx="85">
                  <c:v>239.10832255620531</c:v>
                </c:pt>
                <c:pt idx="86">
                  <c:v>236.13621446234336</c:v>
                </c:pt>
                <c:pt idx="87">
                  <c:v>233.22846283451369</c:v>
                </c:pt>
                <c:pt idx="88">
                  <c:v>230.38298656422032</c:v>
                </c:pt>
                <c:pt idx="89">
                  <c:v>227.59779330007498</c:v>
                </c:pt>
                <c:pt idx="90">
                  <c:v>224.87097476604586</c:v>
                </c:pt>
                <c:pt idx="91">
                  <c:v>222.20070237295781</c:v>
                </c:pt>
                <c:pt idx="92">
                  <c:v>219.5852231020331</c:v>
                </c:pt>
                <c:pt idx="93">
                  <c:v>217.0228556410035</c:v>
                </c:pt>
                <c:pt idx="94">
                  <c:v>214.51198675489309</c:v>
                </c:pt>
                <c:pt idx="95">
                  <c:v>212.05106787501336</c:v>
                </c:pt>
                <c:pt idx="96">
                  <c:v>209.63861189101391</c:v>
                </c:pt>
                <c:pt idx="97">
                  <c:v>207.27319013202495</c:v>
                </c:pt>
                <c:pt idx="98">
                  <c:v>204.95342952401532</c:v>
                </c:pt>
                <c:pt idx="99">
                  <c:v>202.67800991148081</c:v>
                </c:pt>
                <c:pt idx="100">
                  <c:v>200.44566153248437</c:v>
                </c:pt>
              </c:numCache>
            </c:numRef>
          </c:val>
          <c:smooth val="0"/>
          <c:extLst>
            <c:ext xmlns:c16="http://schemas.microsoft.com/office/drawing/2014/chart" uri="{C3380CC4-5D6E-409C-BE32-E72D297353CC}">
              <c16:uniqueId val="{00000001-14B5-4C6D-ADBB-33FE896DCEBE}"/>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24.410182474173688</c:v>
                </c:pt>
                <c:pt idx="2">
                  <c:v>48.820364948347375</c:v>
                </c:pt>
                <c:pt idx="3">
                  <c:v>73.23054742252107</c:v>
                </c:pt>
                <c:pt idx="4">
                  <c:v>97.640729896694751</c:v>
                </c:pt>
                <c:pt idx="5">
                  <c:v>122.05091237086843</c:v>
                </c:pt>
                <c:pt idx="6">
                  <c:v>146.46109484504214</c:v>
                </c:pt>
                <c:pt idx="7">
                  <c:v>170.87127731921581</c:v>
                </c:pt>
                <c:pt idx="8">
                  <c:v>195.2814597933895</c:v>
                </c:pt>
                <c:pt idx="9">
                  <c:v>219.69164226756317</c:v>
                </c:pt>
                <c:pt idx="10">
                  <c:v>244.10182474173686</c:v>
                </c:pt>
                <c:pt idx="11">
                  <c:v>268.51200721591056</c:v>
                </c:pt>
                <c:pt idx="12">
                  <c:v>292.92218969008428</c:v>
                </c:pt>
                <c:pt idx="13">
                  <c:v>317.33237216425795</c:v>
                </c:pt>
                <c:pt idx="14">
                  <c:v>341.74255463843161</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349.84582825912429</c:v>
                </c:pt>
                <c:pt idx="73">
                  <c:v>345.24746841868051</c:v>
                </c:pt>
                <c:pt idx="74">
                  <c:v>340.7654995553907</c:v>
                </c:pt>
                <c:pt idx="75">
                  <c:v>336.3955746442428</c:v>
                </c:pt>
                <c:pt idx="76">
                  <c:v>332.13356014251076</c:v>
                </c:pt>
                <c:pt idx="77">
                  <c:v>327.97552305415502</c:v>
                </c:pt>
                <c:pt idx="78">
                  <c:v>323.91771892306201</c:v>
                </c:pt>
                <c:pt idx="79">
                  <c:v>319.95658067825906</c:v>
                </c:pt>
                <c:pt idx="80">
                  <c:v>316.08870826142356</c:v>
                </c:pt>
                <c:pt idx="81">
                  <c:v>312.31085897343968</c:v>
                </c:pt>
                <c:pt idx="82">
                  <c:v>308.60748922151515</c:v>
                </c:pt>
                <c:pt idx="83">
                  <c:v>304.88419370178673</c:v>
                </c:pt>
                <c:pt idx="84">
                  <c:v>301.24359771632385</c:v>
                </c:pt>
                <c:pt idx="85">
                  <c:v>297.68296737425777</c:v>
                </c:pt>
                <c:pt idx="86">
                  <c:v>294.19968796025506</c:v>
                </c:pt>
                <c:pt idx="87">
                  <c:v>290.79125751065101</c:v>
                </c:pt>
                <c:pt idx="88">
                  <c:v>287.45528080066526</c:v>
                </c:pt>
                <c:pt idx="89">
                  <c:v>284.1894637123346</c:v>
                </c:pt>
                <c:pt idx="90">
                  <c:v>280.99160795533351</c:v>
                </c:pt>
                <c:pt idx="91">
                  <c:v>277.85960611515105</c:v>
                </c:pt>
                <c:pt idx="92">
                  <c:v>274.79143700518421</c:v>
                </c:pt>
                <c:pt idx="93">
                  <c:v>271.78516130121056</c:v>
                </c:pt>
                <c:pt idx="94">
                  <c:v>268.83891743841929</c:v>
                </c:pt>
                <c:pt idx="95">
                  <c:v>265.95091775276524</c:v>
                </c:pt>
                <c:pt idx="96">
                  <c:v>263.11944484983843</c:v>
                </c:pt>
                <c:pt idx="97">
                  <c:v>260.34284818574787</c:v>
                </c:pt>
                <c:pt idx="98">
                  <c:v>257.61954084572073</c:v>
                </c:pt>
                <c:pt idx="99">
                  <c:v>254.94799650720185</c:v>
                </c:pt>
                <c:pt idx="100">
                  <c:v>252.32674657524345</c:v>
                </c:pt>
              </c:numCache>
            </c:numRef>
          </c:val>
          <c:smooth val="0"/>
          <c:extLst>
            <c:ext xmlns:c16="http://schemas.microsoft.com/office/drawing/2014/chart" uri="{C3380CC4-5D6E-409C-BE32-E72D297353CC}">
              <c16:uniqueId val="{00000002-14B5-4C6D-ADBB-33FE896DCEBE}"/>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B5-4C6D-ADBB-33FE896DCEBE}"/>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B5-4C6D-ADBB-33FE896DCEBE}"/>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B5-4C6D-ADBB-33FE896DCEBE}"/>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24.410473562444633</c:v>
                </c:pt>
                <c:pt idx="2">
                  <c:v>73.231420687333895</c:v>
                </c:pt>
                <c:pt idx="3">
                  <c:v>73.231420687333895</c:v>
                </c:pt>
                <c:pt idx="4">
                  <c:v>97.641894249778531</c:v>
                </c:pt>
                <c:pt idx="5">
                  <c:v>122.05236781222314</c:v>
                </c:pt>
                <c:pt idx="6">
                  <c:v>146.46284137466779</c:v>
                </c:pt>
                <c:pt idx="7">
                  <c:v>170.87331493711241</c:v>
                </c:pt>
                <c:pt idx="8">
                  <c:v>195.28378849955706</c:v>
                </c:pt>
                <c:pt idx="9">
                  <c:v>219.69426206200166</c:v>
                </c:pt>
                <c:pt idx="10">
                  <c:v>244.10473562444628</c:v>
                </c:pt>
                <c:pt idx="11">
                  <c:v>268.51520918689096</c:v>
                </c:pt>
                <c:pt idx="12">
                  <c:v>292.92568274933558</c:v>
                </c:pt>
                <c:pt idx="13">
                  <c:v>317.3361563117802</c:v>
                </c:pt>
                <c:pt idx="14">
                  <c:v>341.74662987422482</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343.10498952114853</c:v>
                </c:pt>
                <c:pt idx="44">
                  <c:v>335.37664899486344</c:v>
                </c:pt>
                <c:pt idx="45">
                  <c:v>327.97252883046298</c:v>
                </c:pt>
                <c:pt idx="46">
                  <c:v>320.87279897958086</c:v>
                </c:pt>
                <c:pt idx="47">
                  <c:v>314.05920942738106</c:v>
                </c:pt>
                <c:pt idx="48">
                  <c:v>307.51493614304553</c:v>
                </c:pt>
                <c:pt idx="49">
                  <c:v>301.2244446915534</c:v>
                </c:pt>
                <c:pt idx="50">
                  <c:v>295.17336919030748</c:v>
                </c:pt>
                <c:pt idx="51">
                  <c:v>289.25057420451805</c:v>
                </c:pt>
                <c:pt idx="52">
                  <c:v>283.27221897200536</c:v>
                </c:pt>
                <c:pt idx="53">
                  <c:v>277.50423543881203</c:v>
                </c:pt>
                <c:pt idx="54">
                  <c:v>271.93566397500445</c:v>
                </c:pt>
                <c:pt idx="55">
                  <c:v>266.55629329705431</c:v>
                </c:pt>
                <c:pt idx="56">
                  <c:v>261.35659766880798</c:v>
                </c:pt>
                <c:pt idx="57">
                  <c:v>256.32768032199368</c:v>
                </c:pt>
                <c:pt idx="58">
                  <c:v>251.46122238929775</c:v>
                </c:pt>
                <c:pt idx="59">
                  <c:v>246.74943673341699</c:v>
                </c:pt>
                <c:pt idx="60">
                  <c:v>242.18502613307052</c:v>
                </c:pt>
                <c:pt idx="61">
                  <c:v>237.76114535372687</c:v>
                </c:pt>
                <c:pt idx="62">
                  <c:v>233.47136668840736</c:v>
                </c:pt>
                <c:pt idx="63">
                  <c:v>229.30964860374641</c:v>
                </c:pt>
                <c:pt idx="64">
                  <c:v>225.2703071696746</c:v>
                </c:pt>
                <c:pt idx="65">
                  <c:v>221.34798998860884</c:v>
                </c:pt>
                <c:pt idx="66">
                  <c:v>217.53765237269749</c:v>
                </c:pt>
                <c:pt idx="67">
                  <c:v>213.83453554617222</c:v>
                </c:pt>
                <c:pt idx="68">
                  <c:v>210.23414667476976</c:v>
                </c:pt>
                <c:pt idx="69">
                  <c:v>206.73224054601928</c:v>
                </c:pt>
                <c:pt idx="70">
                  <c:v>203.32480274334486</c:v>
                </c:pt>
                <c:pt idx="71">
                  <c:v>200.00803417378063</c:v>
                </c:pt>
                <c:pt idx="72">
                  <c:v>196.77833682393361</c:v>
                </c:pt>
                <c:pt idx="73">
                  <c:v>193.63230063192782</c:v>
                </c:pt>
                <c:pt idx="74">
                  <c:v>190.56669137463726</c:v>
                </c:pt>
                <c:pt idx="75">
                  <c:v>187.57843947976875</c:v>
                </c:pt>
                <c:pt idx="76">
                  <c:v>184.66462968144364</c:v>
                </c:pt>
                <c:pt idx="77">
                  <c:v>181.82249144600829</c:v>
                </c:pt>
                <c:pt idx="78">
                  <c:v>179.04939010198265</c:v>
                </c:pt>
                <c:pt idx="79">
                  <c:v>176.34281861446408</c:v>
                </c:pt>
                <c:pt idx="80">
                  <c:v>173.70038995001158</c:v>
                </c:pt>
                <c:pt idx="81">
                  <c:v>171.11982998314431</c:v>
                </c:pt>
                <c:pt idx="82">
                  <c:v>168.59897090015247</c:v>
                </c:pt>
                <c:pt idx="83">
                  <c:v>166.1357450600153</c:v>
                </c:pt>
                <c:pt idx="84">
                  <c:v>163.7281792758925</c:v>
                </c:pt>
                <c:pt idx="85">
                  <c:v>161.37438948395229</c:v>
                </c:pt>
                <c:pt idx="86">
                  <c:v>159.0725757692714</c:v>
                </c:pt>
                <c:pt idx="87">
                  <c:v>156.82101772121305</c:v>
                </c:pt>
                <c:pt idx="88">
                  <c:v>154.61807009309877</c:v>
                </c:pt>
                <c:pt idx="89">
                  <c:v>152.46215874316749</c:v>
                </c:pt>
                <c:pt idx="90">
                  <c:v>150.351776835782</c:v>
                </c:pt>
                <c:pt idx="91">
                  <c:v>148.2854812836211</c:v>
                </c:pt>
                <c:pt idx="92">
                  <c:v>146.26188941320933</c:v>
                </c:pt>
                <c:pt idx="93">
                  <c:v>144.27967583759775</c:v>
                </c:pt>
                <c:pt idx="94">
                  <c:v>142.33756952133535</c:v>
                </c:pt>
                <c:pt idx="95">
                  <c:v>140.43435102407759</c:v>
                </c:pt>
                <c:pt idx="96">
                  <c:v>138.56884991027491</c:v>
                </c:pt>
                <c:pt idx="97">
                  <c:v>136.73994231338324</c:v>
                </c:pt>
                <c:pt idx="98">
                  <c:v>134.94654864394846</c:v>
                </c:pt>
                <c:pt idx="99">
                  <c:v>133.18763143174618</c:v>
                </c:pt>
                <c:pt idx="100">
                  <c:v>131.46219329291989</c:v>
                </c:pt>
              </c:numCache>
            </c:numRef>
          </c:val>
          <c:smooth val="0"/>
          <c:extLst>
            <c:ext xmlns:c16="http://schemas.microsoft.com/office/drawing/2014/chart" uri="{C3380CC4-5D6E-409C-BE32-E72D297353CC}">
              <c16:uniqueId val="{00000006-14B5-4C6D-ADBB-33FE896DCEBE}"/>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24.410473562444633</c:v>
                </c:pt>
                <c:pt idx="2">
                  <c:v>48.820947124889265</c:v>
                </c:pt>
                <c:pt idx="3">
                  <c:v>73.231420687333895</c:v>
                </c:pt>
                <c:pt idx="4">
                  <c:v>97.641894249778531</c:v>
                </c:pt>
                <c:pt idx="5">
                  <c:v>122.05236781222314</c:v>
                </c:pt>
                <c:pt idx="6">
                  <c:v>146.46284137466779</c:v>
                </c:pt>
                <c:pt idx="7">
                  <c:v>170.87331493711241</c:v>
                </c:pt>
                <c:pt idx="8">
                  <c:v>195.28378849955706</c:v>
                </c:pt>
                <c:pt idx="9">
                  <c:v>219.69426206200166</c:v>
                </c:pt>
                <c:pt idx="10">
                  <c:v>244.10473562444628</c:v>
                </c:pt>
                <c:pt idx="11">
                  <c:v>268.51520918689096</c:v>
                </c:pt>
                <c:pt idx="12">
                  <c:v>292.92568274933558</c:v>
                </c:pt>
                <c:pt idx="13">
                  <c:v>317.3361563117802</c:v>
                </c:pt>
                <c:pt idx="14">
                  <c:v>341.74662987422482</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346.9936680663547</c:v>
                </c:pt>
                <c:pt idx="60">
                  <c:v>341.37480768550802</c:v>
                </c:pt>
                <c:pt idx="61">
                  <c:v>335.92899115810985</c:v>
                </c:pt>
                <c:pt idx="62">
                  <c:v>330.64838766710926</c:v>
                </c:pt>
                <c:pt idx="63">
                  <c:v>325.52563088505025</c:v>
                </c:pt>
                <c:pt idx="64">
                  <c:v>320.55378507597879</c:v>
                </c:pt>
                <c:pt idx="65">
                  <c:v>315.72631412124571</c:v>
                </c:pt>
                <c:pt idx="66">
                  <c:v>311.03705317927262</c:v>
                </c:pt>
                <c:pt idx="67">
                  <c:v>306.48018272174204</c:v>
                </c:pt>
                <c:pt idx="68">
                  <c:v>302.05020471704103</c:v>
                </c:pt>
                <c:pt idx="69">
                  <c:v>297.54998167265842</c:v>
                </c:pt>
                <c:pt idx="70">
                  <c:v>293.16846773075042</c:v>
                </c:pt>
                <c:pt idx="71">
                  <c:v>288.90209680372107</c:v>
                </c:pt>
                <c:pt idx="72">
                  <c:v>284.74637003932588</c:v>
                </c:pt>
                <c:pt idx="73">
                  <c:v>280.69701991914468</c:v>
                </c:pt>
                <c:pt idx="74">
                  <c:v>276.7499955782244</c:v>
                </c:pt>
                <c:pt idx="75">
                  <c:v>272.90144922864152</c:v>
                </c:pt>
                <c:pt idx="76">
                  <c:v>269.14772359134054</c:v>
                </c:pt>
                <c:pt idx="77">
                  <c:v>265.48534024995291</c:v>
                </c:pt>
                <c:pt idx="78">
                  <c:v>261.91098884864334</c:v>
                </c:pt>
                <c:pt idx="79">
                  <c:v>258.42151706347022</c:v>
                </c:pt>
                <c:pt idx="80">
                  <c:v>255.01392128340305</c:v>
                </c:pt>
                <c:pt idx="81">
                  <c:v>251.68533794309101</c:v>
                </c:pt>
                <c:pt idx="82">
                  <c:v>248.43303545481888</c:v>
                </c:pt>
                <c:pt idx="83">
                  <c:v>245.25440669186912</c:v>
                </c:pt>
                <c:pt idx="84">
                  <c:v>242.146961979824</c:v>
                </c:pt>
                <c:pt idx="85">
                  <c:v>239.10832255620531</c:v>
                </c:pt>
                <c:pt idx="86">
                  <c:v>236.13621446234336</c:v>
                </c:pt>
                <c:pt idx="87">
                  <c:v>233.22846283451369</c:v>
                </c:pt>
                <c:pt idx="88">
                  <c:v>230.38298656422032</c:v>
                </c:pt>
                <c:pt idx="89">
                  <c:v>227.59779330007498</c:v>
                </c:pt>
                <c:pt idx="90">
                  <c:v>224.87097476604586</c:v>
                </c:pt>
                <c:pt idx="91">
                  <c:v>222.20070237295781</c:v>
                </c:pt>
                <c:pt idx="92">
                  <c:v>219.5852231020331</c:v>
                </c:pt>
                <c:pt idx="93">
                  <c:v>217.0228556410035</c:v>
                </c:pt>
                <c:pt idx="94">
                  <c:v>214.51198675489309</c:v>
                </c:pt>
                <c:pt idx="95">
                  <c:v>212.05106787501336</c:v>
                </c:pt>
                <c:pt idx="96">
                  <c:v>209.63861189101391</c:v>
                </c:pt>
                <c:pt idx="97">
                  <c:v>207.27319013202495</c:v>
                </c:pt>
                <c:pt idx="98">
                  <c:v>204.95342952401532</c:v>
                </c:pt>
                <c:pt idx="99">
                  <c:v>202.67800991148081</c:v>
                </c:pt>
                <c:pt idx="100">
                  <c:v>200.44566153248437</c:v>
                </c:pt>
              </c:numCache>
            </c:numRef>
          </c:val>
          <c:smooth val="0"/>
          <c:extLst>
            <c:ext xmlns:c16="http://schemas.microsoft.com/office/drawing/2014/chart" uri="{C3380CC4-5D6E-409C-BE32-E72D297353CC}">
              <c16:uniqueId val="{00000007-14B5-4C6D-ADBB-33FE896DCEBE}"/>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24.410182474173688</c:v>
                </c:pt>
                <c:pt idx="2">
                  <c:v>48.820364948347375</c:v>
                </c:pt>
                <c:pt idx="3">
                  <c:v>73.23054742252107</c:v>
                </c:pt>
                <c:pt idx="4">
                  <c:v>97.640729896694751</c:v>
                </c:pt>
                <c:pt idx="5">
                  <c:v>122.05091237086843</c:v>
                </c:pt>
                <c:pt idx="6">
                  <c:v>146.46109484504214</c:v>
                </c:pt>
                <c:pt idx="7">
                  <c:v>170.87127731921581</c:v>
                </c:pt>
                <c:pt idx="8">
                  <c:v>195.2814597933895</c:v>
                </c:pt>
                <c:pt idx="9">
                  <c:v>219.69164226756317</c:v>
                </c:pt>
                <c:pt idx="10">
                  <c:v>244.10182474173686</c:v>
                </c:pt>
                <c:pt idx="11">
                  <c:v>268.51200721591056</c:v>
                </c:pt>
                <c:pt idx="12">
                  <c:v>292.92218969008428</c:v>
                </c:pt>
                <c:pt idx="13">
                  <c:v>317.33237216425795</c:v>
                </c:pt>
                <c:pt idx="14">
                  <c:v>341.74255463843161</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349.84582825912429</c:v>
                </c:pt>
                <c:pt idx="73">
                  <c:v>345.24746841868051</c:v>
                </c:pt>
                <c:pt idx="74">
                  <c:v>340.7654995553907</c:v>
                </c:pt>
                <c:pt idx="75">
                  <c:v>336.3955746442428</c:v>
                </c:pt>
                <c:pt idx="76">
                  <c:v>332.13356014251076</c:v>
                </c:pt>
                <c:pt idx="77">
                  <c:v>327.97552305415502</c:v>
                </c:pt>
                <c:pt idx="78">
                  <c:v>323.91771892306201</c:v>
                </c:pt>
                <c:pt idx="79">
                  <c:v>319.95658067825906</c:v>
                </c:pt>
                <c:pt idx="80">
                  <c:v>316.08870826142356</c:v>
                </c:pt>
                <c:pt idx="81">
                  <c:v>312.31085897343968</c:v>
                </c:pt>
                <c:pt idx="82">
                  <c:v>308.60748922151515</c:v>
                </c:pt>
                <c:pt idx="83">
                  <c:v>304.88419370178673</c:v>
                </c:pt>
                <c:pt idx="84">
                  <c:v>301.24359771632385</c:v>
                </c:pt>
                <c:pt idx="85">
                  <c:v>297.68296737425777</c:v>
                </c:pt>
                <c:pt idx="86">
                  <c:v>294.19968796025506</c:v>
                </c:pt>
                <c:pt idx="87">
                  <c:v>290.79125751065101</c:v>
                </c:pt>
                <c:pt idx="88">
                  <c:v>287.45528080066526</c:v>
                </c:pt>
                <c:pt idx="89">
                  <c:v>284.1894637123346</c:v>
                </c:pt>
                <c:pt idx="90">
                  <c:v>280.99160795533351</c:v>
                </c:pt>
                <c:pt idx="91">
                  <c:v>277.85960611515105</c:v>
                </c:pt>
                <c:pt idx="92">
                  <c:v>274.79143700518421</c:v>
                </c:pt>
                <c:pt idx="93">
                  <c:v>271.78516130121056</c:v>
                </c:pt>
                <c:pt idx="94">
                  <c:v>268.83891743841929</c:v>
                </c:pt>
                <c:pt idx="95">
                  <c:v>265.95091775276524</c:v>
                </c:pt>
                <c:pt idx="96">
                  <c:v>263.11944484983843</c:v>
                </c:pt>
                <c:pt idx="97">
                  <c:v>260.34284818574787</c:v>
                </c:pt>
                <c:pt idx="98">
                  <c:v>257.61954084572073</c:v>
                </c:pt>
                <c:pt idx="99">
                  <c:v>254.94799650720185</c:v>
                </c:pt>
                <c:pt idx="100">
                  <c:v>252.32674657524345</c:v>
                </c:pt>
              </c:numCache>
            </c:numRef>
          </c:val>
          <c:smooth val="0"/>
          <c:extLst>
            <c:ext xmlns:c16="http://schemas.microsoft.com/office/drawing/2014/chart" uri="{C3380CC4-5D6E-409C-BE32-E72D297353CC}">
              <c16:uniqueId val="{00000008-14B5-4C6D-ADBB-33FE896DCEBE}"/>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14B5-4C6D-ADBB-33FE896DCEBE}"/>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14B5-4C6D-ADBB-33FE896DCEBE}"/>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14B5-4C6D-ADBB-33FE896DCEBE}"/>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24.410473562444633</c:v>
                </c:pt>
                <c:pt idx="2">
                  <c:v>73.231420687333895</c:v>
                </c:pt>
                <c:pt idx="3">
                  <c:v>73.231420687333895</c:v>
                </c:pt>
                <c:pt idx="4">
                  <c:v>97.641894249778531</c:v>
                </c:pt>
                <c:pt idx="5">
                  <c:v>122.05236781222314</c:v>
                </c:pt>
                <c:pt idx="6">
                  <c:v>146.46284137466779</c:v>
                </c:pt>
                <c:pt idx="7">
                  <c:v>170.87331493711241</c:v>
                </c:pt>
                <c:pt idx="8">
                  <c:v>195.28378849955706</c:v>
                </c:pt>
                <c:pt idx="9">
                  <c:v>219.69426206200166</c:v>
                </c:pt>
                <c:pt idx="10">
                  <c:v>244.10473562444628</c:v>
                </c:pt>
                <c:pt idx="11">
                  <c:v>268.51520918689096</c:v>
                </c:pt>
                <c:pt idx="12">
                  <c:v>292.92568274933558</c:v>
                </c:pt>
                <c:pt idx="13">
                  <c:v>317.3361563117802</c:v>
                </c:pt>
                <c:pt idx="14">
                  <c:v>341.74662987422482</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343.10498952114853</c:v>
                </c:pt>
                <c:pt idx="44">
                  <c:v>335.37664899486344</c:v>
                </c:pt>
                <c:pt idx="45">
                  <c:v>327.97252883046298</c:v>
                </c:pt>
                <c:pt idx="46">
                  <c:v>320.87279897958086</c:v>
                </c:pt>
                <c:pt idx="47">
                  <c:v>314.05920942738106</c:v>
                </c:pt>
                <c:pt idx="48">
                  <c:v>307.51493614304553</c:v>
                </c:pt>
                <c:pt idx="49">
                  <c:v>301.2244446915534</c:v>
                </c:pt>
                <c:pt idx="50">
                  <c:v>295.17336919030748</c:v>
                </c:pt>
                <c:pt idx="51">
                  <c:v>289.25057420451805</c:v>
                </c:pt>
                <c:pt idx="52">
                  <c:v>283.27221897200536</c:v>
                </c:pt>
                <c:pt idx="53">
                  <c:v>277.50423543881203</c:v>
                </c:pt>
                <c:pt idx="54">
                  <c:v>271.93566397500445</c:v>
                </c:pt>
                <c:pt idx="55">
                  <c:v>266.55629329705431</c:v>
                </c:pt>
                <c:pt idx="56">
                  <c:v>261.35659766880798</c:v>
                </c:pt>
                <c:pt idx="57">
                  <c:v>256.32768032199368</c:v>
                </c:pt>
                <c:pt idx="58">
                  <c:v>251.46122238929775</c:v>
                </c:pt>
                <c:pt idx="59">
                  <c:v>246.74943673341699</c:v>
                </c:pt>
                <c:pt idx="60">
                  <c:v>242.18502613307052</c:v>
                </c:pt>
                <c:pt idx="61">
                  <c:v>237.76114535372687</c:v>
                </c:pt>
                <c:pt idx="62">
                  <c:v>233.47136668840736</c:v>
                </c:pt>
                <c:pt idx="63">
                  <c:v>229.30964860374641</c:v>
                </c:pt>
                <c:pt idx="64">
                  <c:v>225.2703071696746</c:v>
                </c:pt>
                <c:pt idx="65">
                  <c:v>221.34798998860884</c:v>
                </c:pt>
                <c:pt idx="66">
                  <c:v>217.53765237269749</c:v>
                </c:pt>
                <c:pt idx="67">
                  <c:v>213.83453554617222</c:v>
                </c:pt>
                <c:pt idx="68">
                  <c:v>210.23414667476976</c:v>
                </c:pt>
                <c:pt idx="69">
                  <c:v>206.73224054601928</c:v>
                </c:pt>
                <c:pt idx="70">
                  <c:v>203.32480274334486</c:v>
                </c:pt>
                <c:pt idx="71">
                  <c:v>200.00803417378063</c:v>
                </c:pt>
                <c:pt idx="72">
                  <c:v>196.77833682393361</c:v>
                </c:pt>
                <c:pt idx="73">
                  <c:v>193.63230063192782</c:v>
                </c:pt>
                <c:pt idx="74">
                  <c:v>190.56669137463726</c:v>
                </c:pt>
                <c:pt idx="75">
                  <c:v>187.57843947976875</c:v>
                </c:pt>
                <c:pt idx="76">
                  <c:v>184.66462968144364</c:v>
                </c:pt>
                <c:pt idx="77">
                  <c:v>181.82249144600829</c:v>
                </c:pt>
                <c:pt idx="78">
                  <c:v>179.04939010198265</c:v>
                </c:pt>
                <c:pt idx="79">
                  <c:v>176.34281861446408</c:v>
                </c:pt>
                <c:pt idx="80">
                  <c:v>173.70038995001158</c:v>
                </c:pt>
                <c:pt idx="81">
                  <c:v>171.11982998314431</c:v>
                </c:pt>
                <c:pt idx="82">
                  <c:v>168.59897090015247</c:v>
                </c:pt>
                <c:pt idx="83">
                  <c:v>166.1357450600153</c:v>
                </c:pt>
                <c:pt idx="84">
                  <c:v>163.7281792758925</c:v>
                </c:pt>
                <c:pt idx="85">
                  <c:v>161.37438948395229</c:v>
                </c:pt>
                <c:pt idx="86">
                  <c:v>159.0725757692714</c:v>
                </c:pt>
                <c:pt idx="87">
                  <c:v>156.82101772121305</c:v>
                </c:pt>
                <c:pt idx="88">
                  <c:v>154.61807009309877</c:v>
                </c:pt>
                <c:pt idx="89">
                  <c:v>152.46215874316749</c:v>
                </c:pt>
                <c:pt idx="90">
                  <c:v>150.351776835782</c:v>
                </c:pt>
                <c:pt idx="91">
                  <c:v>148.2854812836211</c:v>
                </c:pt>
                <c:pt idx="92">
                  <c:v>146.26188941320933</c:v>
                </c:pt>
                <c:pt idx="93">
                  <c:v>144.27967583759775</c:v>
                </c:pt>
                <c:pt idx="94">
                  <c:v>142.33756952133535</c:v>
                </c:pt>
                <c:pt idx="95">
                  <c:v>140.43435102407759</c:v>
                </c:pt>
                <c:pt idx="96">
                  <c:v>138.56884991027491</c:v>
                </c:pt>
                <c:pt idx="97">
                  <c:v>136.73994231338324</c:v>
                </c:pt>
                <c:pt idx="98">
                  <c:v>134.94654864394846</c:v>
                </c:pt>
                <c:pt idx="99">
                  <c:v>133.18763143174618</c:v>
                </c:pt>
                <c:pt idx="100">
                  <c:v>131.46219329291989</c:v>
                </c:pt>
              </c:numCache>
            </c:numRef>
          </c:val>
          <c:smooth val="0"/>
          <c:extLst>
            <c:ext xmlns:c16="http://schemas.microsoft.com/office/drawing/2014/chart" uri="{C3380CC4-5D6E-409C-BE32-E72D297353CC}">
              <c16:uniqueId val="{00000000-DE77-4B43-A489-D4421C0BE99A}"/>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24.410473562444633</c:v>
                </c:pt>
                <c:pt idx="2">
                  <c:v>48.820947124889265</c:v>
                </c:pt>
                <c:pt idx="3">
                  <c:v>73.231420687333895</c:v>
                </c:pt>
                <c:pt idx="4">
                  <c:v>97.641894249778531</c:v>
                </c:pt>
                <c:pt idx="5">
                  <c:v>122.05236781222314</c:v>
                </c:pt>
                <c:pt idx="6">
                  <c:v>146.46284137466779</c:v>
                </c:pt>
                <c:pt idx="7">
                  <c:v>170.87331493711241</c:v>
                </c:pt>
                <c:pt idx="8">
                  <c:v>195.28378849955706</c:v>
                </c:pt>
                <c:pt idx="9">
                  <c:v>219.69426206200166</c:v>
                </c:pt>
                <c:pt idx="10">
                  <c:v>244.10473562444628</c:v>
                </c:pt>
                <c:pt idx="11">
                  <c:v>268.51520918689096</c:v>
                </c:pt>
                <c:pt idx="12">
                  <c:v>292.92568274933558</c:v>
                </c:pt>
                <c:pt idx="13">
                  <c:v>317.3361563117802</c:v>
                </c:pt>
                <c:pt idx="14">
                  <c:v>341.74662987422482</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346.9936680663547</c:v>
                </c:pt>
                <c:pt idx="60">
                  <c:v>341.37480768550802</c:v>
                </c:pt>
                <c:pt idx="61">
                  <c:v>335.92899115810985</c:v>
                </c:pt>
                <c:pt idx="62">
                  <c:v>330.64838766710926</c:v>
                </c:pt>
                <c:pt idx="63">
                  <c:v>325.52563088505025</c:v>
                </c:pt>
                <c:pt idx="64">
                  <c:v>320.55378507597879</c:v>
                </c:pt>
                <c:pt idx="65">
                  <c:v>315.72631412124571</c:v>
                </c:pt>
                <c:pt idx="66">
                  <c:v>311.03705317927262</c:v>
                </c:pt>
                <c:pt idx="67">
                  <c:v>306.48018272174204</c:v>
                </c:pt>
                <c:pt idx="68">
                  <c:v>302.05020471704103</c:v>
                </c:pt>
                <c:pt idx="69">
                  <c:v>297.54998167265842</c:v>
                </c:pt>
                <c:pt idx="70">
                  <c:v>293.16846773075042</c:v>
                </c:pt>
                <c:pt idx="71">
                  <c:v>288.90209680372107</c:v>
                </c:pt>
                <c:pt idx="72">
                  <c:v>284.74637003932588</c:v>
                </c:pt>
                <c:pt idx="73">
                  <c:v>280.69701991914468</c:v>
                </c:pt>
                <c:pt idx="74">
                  <c:v>276.7499955782244</c:v>
                </c:pt>
                <c:pt idx="75">
                  <c:v>272.90144922864152</c:v>
                </c:pt>
                <c:pt idx="76">
                  <c:v>269.14772359134054</c:v>
                </c:pt>
                <c:pt idx="77">
                  <c:v>265.48534024995291</c:v>
                </c:pt>
                <c:pt idx="78">
                  <c:v>261.91098884864334</c:v>
                </c:pt>
                <c:pt idx="79">
                  <c:v>258.42151706347022</c:v>
                </c:pt>
                <c:pt idx="80">
                  <c:v>255.01392128340305</c:v>
                </c:pt>
                <c:pt idx="81">
                  <c:v>251.68533794309101</c:v>
                </c:pt>
                <c:pt idx="82">
                  <c:v>248.43303545481888</c:v>
                </c:pt>
                <c:pt idx="83">
                  <c:v>245.25440669186912</c:v>
                </c:pt>
                <c:pt idx="84">
                  <c:v>242.146961979824</c:v>
                </c:pt>
                <c:pt idx="85">
                  <c:v>239.10832255620531</c:v>
                </c:pt>
                <c:pt idx="86">
                  <c:v>236.13621446234336</c:v>
                </c:pt>
                <c:pt idx="87">
                  <c:v>233.22846283451369</c:v>
                </c:pt>
                <c:pt idx="88">
                  <c:v>230.38298656422032</c:v>
                </c:pt>
                <c:pt idx="89">
                  <c:v>227.59779330007498</c:v>
                </c:pt>
                <c:pt idx="90">
                  <c:v>224.87097476604586</c:v>
                </c:pt>
                <c:pt idx="91">
                  <c:v>222.20070237295781</c:v>
                </c:pt>
                <c:pt idx="92">
                  <c:v>219.5852231020331</c:v>
                </c:pt>
                <c:pt idx="93">
                  <c:v>217.0228556410035</c:v>
                </c:pt>
                <c:pt idx="94">
                  <c:v>214.51198675489309</c:v>
                </c:pt>
                <c:pt idx="95">
                  <c:v>212.05106787501336</c:v>
                </c:pt>
                <c:pt idx="96">
                  <c:v>209.63861189101391</c:v>
                </c:pt>
                <c:pt idx="97">
                  <c:v>207.27319013202495</c:v>
                </c:pt>
                <c:pt idx="98">
                  <c:v>204.95342952401532</c:v>
                </c:pt>
                <c:pt idx="99">
                  <c:v>202.67800991148081</c:v>
                </c:pt>
                <c:pt idx="100">
                  <c:v>200.44566153248437</c:v>
                </c:pt>
              </c:numCache>
            </c:numRef>
          </c:val>
          <c:smooth val="0"/>
          <c:extLst>
            <c:ext xmlns:c16="http://schemas.microsoft.com/office/drawing/2014/chart" uri="{C3380CC4-5D6E-409C-BE32-E72D297353CC}">
              <c16:uniqueId val="{00000001-DE77-4B43-A489-D4421C0BE99A}"/>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24.410182474173688</c:v>
                </c:pt>
                <c:pt idx="2">
                  <c:v>48.820364948347375</c:v>
                </c:pt>
                <c:pt idx="3">
                  <c:v>73.23054742252107</c:v>
                </c:pt>
                <c:pt idx="4">
                  <c:v>97.640729896694751</c:v>
                </c:pt>
                <c:pt idx="5">
                  <c:v>122.05091237086843</c:v>
                </c:pt>
                <c:pt idx="6">
                  <c:v>146.46109484504214</c:v>
                </c:pt>
                <c:pt idx="7">
                  <c:v>170.87127731921581</c:v>
                </c:pt>
                <c:pt idx="8">
                  <c:v>195.2814597933895</c:v>
                </c:pt>
                <c:pt idx="9">
                  <c:v>219.69164226756317</c:v>
                </c:pt>
                <c:pt idx="10">
                  <c:v>244.10182474173686</c:v>
                </c:pt>
                <c:pt idx="11">
                  <c:v>268.51200721591056</c:v>
                </c:pt>
                <c:pt idx="12">
                  <c:v>292.92218969008428</c:v>
                </c:pt>
                <c:pt idx="13">
                  <c:v>317.33237216425795</c:v>
                </c:pt>
                <c:pt idx="14">
                  <c:v>341.74255463843161</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349.84582825912429</c:v>
                </c:pt>
                <c:pt idx="73">
                  <c:v>345.24746841868051</c:v>
                </c:pt>
                <c:pt idx="74">
                  <c:v>340.7654995553907</c:v>
                </c:pt>
                <c:pt idx="75">
                  <c:v>336.3955746442428</c:v>
                </c:pt>
                <c:pt idx="76">
                  <c:v>332.13356014251076</c:v>
                </c:pt>
                <c:pt idx="77">
                  <c:v>327.97552305415502</c:v>
                </c:pt>
                <c:pt idx="78">
                  <c:v>323.91771892306201</c:v>
                </c:pt>
                <c:pt idx="79">
                  <c:v>319.95658067825906</c:v>
                </c:pt>
                <c:pt idx="80">
                  <c:v>316.08870826142356</c:v>
                </c:pt>
                <c:pt idx="81">
                  <c:v>312.31085897343968</c:v>
                </c:pt>
                <c:pt idx="82">
                  <c:v>308.60748922151515</c:v>
                </c:pt>
                <c:pt idx="83">
                  <c:v>304.88419370178673</c:v>
                </c:pt>
                <c:pt idx="84">
                  <c:v>301.24359771632385</c:v>
                </c:pt>
                <c:pt idx="85">
                  <c:v>297.68296737425777</c:v>
                </c:pt>
                <c:pt idx="86">
                  <c:v>294.19968796025506</c:v>
                </c:pt>
                <c:pt idx="87">
                  <c:v>290.79125751065101</c:v>
                </c:pt>
                <c:pt idx="88">
                  <c:v>287.45528080066526</c:v>
                </c:pt>
                <c:pt idx="89">
                  <c:v>284.1894637123346</c:v>
                </c:pt>
                <c:pt idx="90">
                  <c:v>280.99160795533351</c:v>
                </c:pt>
                <c:pt idx="91">
                  <c:v>277.85960611515105</c:v>
                </c:pt>
                <c:pt idx="92">
                  <c:v>274.79143700518421</c:v>
                </c:pt>
                <c:pt idx="93">
                  <c:v>271.78516130121056</c:v>
                </c:pt>
                <c:pt idx="94">
                  <c:v>268.83891743841929</c:v>
                </c:pt>
                <c:pt idx="95">
                  <c:v>265.95091775276524</c:v>
                </c:pt>
                <c:pt idx="96">
                  <c:v>263.11944484983843</c:v>
                </c:pt>
                <c:pt idx="97">
                  <c:v>260.34284818574787</c:v>
                </c:pt>
                <c:pt idx="98">
                  <c:v>257.61954084572073</c:v>
                </c:pt>
                <c:pt idx="99">
                  <c:v>254.94799650720185</c:v>
                </c:pt>
                <c:pt idx="100">
                  <c:v>252.32674657524345</c:v>
                </c:pt>
              </c:numCache>
            </c:numRef>
          </c:val>
          <c:smooth val="0"/>
          <c:extLst>
            <c:ext xmlns:c16="http://schemas.microsoft.com/office/drawing/2014/chart" uri="{C3380CC4-5D6E-409C-BE32-E72D297353CC}">
              <c16:uniqueId val="{00000002-DE77-4B43-A489-D4421C0BE99A}"/>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E77-4B43-A489-D4421C0BE99A}"/>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E77-4B43-A489-D4421C0BE99A}"/>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E77-4B43-A489-D4421C0BE99A}"/>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5.3334903203597506E-3</c:v>
                </c:pt>
                <c:pt idx="1">
                  <c:v>1.3636577147687309E-2</c:v>
                </c:pt>
                <c:pt idx="2">
                  <c:v>2.7273154295374618E-2</c:v>
                </c:pt>
                <c:pt idx="3">
                  <c:v>4.0909731443061925E-2</c:v>
                </c:pt>
                <c:pt idx="4">
                  <c:v>5.4546308590749236E-2</c:v>
                </c:pt>
                <c:pt idx="5">
                  <c:v>6.8182885738436547E-2</c:v>
                </c:pt>
                <c:pt idx="6">
                  <c:v>8.181946288612385E-2</c:v>
                </c:pt>
                <c:pt idx="7">
                  <c:v>9.5456040033811168E-2</c:v>
                </c:pt>
                <c:pt idx="8">
                  <c:v>0.10909261718149847</c:v>
                </c:pt>
                <c:pt idx="9">
                  <c:v>0.12272919432918576</c:v>
                </c:pt>
                <c:pt idx="10">
                  <c:v>0.13636577147687309</c:v>
                </c:pt>
                <c:pt idx="11">
                  <c:v>0.15000234862456041</c:v>
                </c:pt>
                <c:pt idx="12">
                  <c:v>0.1636389257722477</c:v>
                </c:pt>
                <c:pt idx="13">
                  <c:v>0.17727550291993502</c:v>
                </c:pt>
                <c:pt idx="14">
                  <c:v>0.19091208006762234</c:v>
                </c:pt>
                <c:pt idx="15">
                  <c:v>0.1997459235810625</c:v>
                </c:pt>
                <c:pt idx="16">
                  <c:v>0.20662581630994514</c:v>
                </c:pt>
                <c:pt idx="17">
                  <c:v>0.21331484761041586</c:v>
                </c:pt>
                <c:pt idx="18">
                  <c:v>0.21982972444875692</c:v>
                </c:pt>
                <c:pt idx="19">
                  <c:v>0.22618485991217127</c:v>
                </c:pt>
                <c:pt idx="20">
                  <c:v>0.23239279113973768</c:v>
                </c:pt>
                <c:pt idx="21">
                  <c:v>0.23846450418302287</c:v>
                </c:pt>
                <c:pt idx="22">
                  <c:v>0.2444096899388313</c:v>
                </c:pt>
                <c:pt idx="23">
                  <c:v>0.25023694822717479</c:v>
                </c:pt>
                <c:pt idx="24">
                  <c:v>0.25595395230419071</c:v>
                </c:pt>
                <c:pt idx="25">
                  <c:v>0.26156758279909764</c:v>
                </c:pt>
                <c:pt idx="26">
                  <c:v>0.26708403774603884</c:v>
                </c:pt>
                <c:pt idx="27">
                  <c:v>0.27250892372705587</c:v>
                </c:pt>
                <c:pt idx="28">
                  <c:v>0.27784733194401301</c:v>
                </c:pt>
                <c:pt idx="29">
                  <c:v>0.2831039021575667</c:v>
                </c:pt>
                <c:pt idx="30">
                  <c:v>0.28828287677746894</c:v>
                </c:pt>
                <c:pt idx="31">
                  <c:v>0.29338814689700882</c:v>
                </c:pt>
                <c:pt idx="32">
                  <c:v>0.2984232916910437</c:v>
                </c:pt>
                <c:pt idx="33">
                  <c:v>0.30339161231064266</c:v>
                </c:pt>
                <c:pt idx="34">
                  <c:v>0.30829616118562664</c:v>
                </c:pt>
                <c:pt idx="35">
                  <c:v>0.31313976747316735</c:v>
                </c:pt>
                <c:pt idx="36">
                  <c:v>0.31792505925434972</c:v>
                </c:pt>
                <c:pt idx="37">
                  <c:v>0.3226544829725731</c:v>
                </c:pt>
                <c:pt idx="38">
                  <c:v>0.32733032052140687</c:v>
                </c:pt>
                <c:pt idx="39">
                  <c:v>0.33195470432018659</c:v>
                </c:pt>
                <c:pt idx="40">
                  <c:v>0.33652963065956432</c:v>
                </c:pt>
                <c:pt idx="41">
                  <c:v>0.34105697155361731</c:v>
                </c:pt>
                <c:pt idx="42">
                  <c:v>0.34553848529780207</c:v>
                </c:pt>
                <c:pt idx="43">
                  <c:v>0.34997582590136217</c:v>
                </c:pt>
                <c:pt idx="44">
                  <c:v>0.35437055153743247</c:v>
                </c:pt>
                <c:pt idx="45">
                  <c:v>0.35872413213303278</c:v>
                </c:pt>
                <c:pt idx="46">
                  <c:v>0.36303795620357104</c:v>
                </c:pt>
                <c:pt idx="47">
                  <c:v>0.36731333702177005</c:v>
                </c:pt>
                <c:pt idx="48">
                  <c:v>0.3715515181985457</c:v>
                </c:pt>
                <c:pt idx="49">
                  <c:v>0.37575367874292243</c:v>
                </c:pt>
                <c:pt idx="50">
                  <c:v>0.3799209376592026</c:v>
                </c:pt>
                <c:pt idx="51">
                  <c:v>0.38405435813207944</c:v>
                </c:pt>
                <c:pt idx="52">
                  <c:v>0.38815495134394296</c:v>
                </c:pt>
                <c:pt idx="53">
                  <c:v>0.39222367996312418</c:v>
                </c:pt>
                <c:pt idx="54">
                  <c:v>0.39626146133709167</c:v>
                </c:pt>
                <c:pt idx="55">
                  <c:v>0.40026917042053017</c:v>
                </c:pt>
                <c:pt idx="56">
                  <c:v>0.40424764246471528</c:v>
                </c:pt>
                <c:pt idx="57">
                  <c:v>0.40819767549153946</c:v>
                </c:pt>
                <c:pt idx="58">
                  <c:v>0.41212003257289265</c:v>
                </c:pt>
                <c:pt idx="59">
                  <c:v>0.41244207103667929</c:v>
                </c:pt>
                <c:pt idx="60">
                  <c:v>0.40953722174811907</c:v>
                </c:pt>
                <c:pt idx="61">
                  <c:v>0.40669310277111914</c:v>
                </c:pt>
                <c:pt idx="62">
                  <c:v>0.40390765031846609</c:v>
                </c:pt>
                <c:pt idx="63">
                  <c:v>0.40221743835580703</c:v>
                </c:pt>
                <c:pt idx="64">
                  <c:v>0.40283716247139101</c:v>
                </c:pt>
                <c:pt idx="65">
                  <c:v>0.40344354302874624</c:v>
                </c:pt>
                <c:pt idx="66">
                  <c:v>0.40403712007329506</c:v>
                </c:pt>
                <c:pt idx="67">
                  <c:v>0.40461840407914351</c:v>
                </c:pt>
                <c:pt idx="68">
                  <c:v>0.40518787796351635</c:v>
                </c:pt>
                <c:pt idx="69">
                  <c:v>0.40594949416959114</c:v>
                </c:pt>
                <c:pt idx="70">
                  <c:v>0.40670338623025887</c:v>
                </c:pt>
                <c:pt idx="71">
                  <c:v>0.40744870485129664</c:v>
                </c:pt>
                <c:pt idx="72">
                  <c:v>0.40818581560744499</c:v>
                </c:pt>
                <c:pt idx="73">
                  <c:v>0.40891506538582528</c:v>
                </c:pt>
                <c:pt idx="74">
                  <c:v>0.40963678357234728</c:v>
                </c:pt>
                <c:pt idx="75">
                  <c:v>0.41035128314890462</c:v>
                </c:pt>
                <c:pt idx="76">
                  <c:v>0.41105886170908823</c:v>
                </c:pt>
                <c:pt idx="77">
                  <c:v>0.4117598023993907</c:v>
                </c:pt>
                <c:pt idx="78">
                  <c:v>0.41245437479220298</c:v>
                </c:pt>
                <c:pt idx="79">
                  <c:v>0.41314283569629939</c:v>
                </c:pt>
                <c:pt idx="80">
                  <c:v>0.41382542990997429</c:v>
                </c:pt>
                <c:pt idx="81">
                  <c:v>0.41450239092150654</c:v>
                </c:pt>
                <c:pt idx="82">
                  <c:v>0.41517394156120424</c:v>
                </c:pt>
                <c:pt idx="83">
                  <c:v>0.41584029460888561</c:v>
                </c:pt>
                <c:pt idx="84">
                  <c:v>0.41650165336031431</c:v>
                </c:pt>
                <c:pt idx="85">
                  <c:v>0.41715821215578403</c:v>
                </c:pt>
                <c:pt idx="86">
                  <c:v>0.41781015687377671</c:v>
                </c:pt>
                <c:pt idx="87">
                  <c:v>0.41845766539235063</c:v>
                </c:pt>
                <c:pt idx="88">
                  <c:v>0.41910090802070021</c:v>
                </c:pt>
                <c:pt idx="89">
                  <c:v>0.41974004790310798</c:v>
                </c:pt>
                <c:pt idx="90">
                  <c:v>0.42037524139733062</c:v>
                </c:pt>
                <c:pt idx="91">
                  <c:v>0.42100663842928743</c:v>
                </c:pt>
                <c:pt idx="92">
                  <c:v>0.42163438282576182</c:v>
                </c:pt>
                <c:pt idx="93">
                  <c:v>0.42225861262669495</c:v>
                </c:pt>
                <c:pt idx="94">
                  <c:v>0.42287946037851221</c:v>
                </c:pt>
                <c:pt idx="95">
                  <c:v>0.42349705340981741</c:v>
                </c:pt>
                <c:pt idx="96">
                  <c:v>0.42411151409067582</c:v>
                </c:pt>
                <c:pt idx="97">
                  <c:v>0.42472296007661847</c:v>
                </c:pt>
                <c:pt idx="98">
                  <c:v>0.42533150453840279</c:v>
                </c:pt>
                <c:pt idx="99">
                  <c:v>0.4259372563784965</c:v>
                </c:pt>
                <c:pt idx="100">
                  <c:v>0.42654032043516682</c:v>
                </c:pt>
              </c:numCache>
            </c:numRef>
          </c:val>
          <c:smooth val="0"/>
          <c:extLst>
            <c:ext xmlns:c16="http://schemas.microsoft.com/office/drawing/2014/chart" uri="{C3380CC4-5D6E-409C-BE32-E72D297353CC}">
              <c16:uniqueId val="{00000006-DE77-4B43-A489-D4421C0BE99A}"/>
            </c:ext>
          </c:extLst>
        </c:ser>
        <c:ser>
          <c:idx val="16"/>
          <c:order val="16"/>
          <c:spPr>
            <a:ln w="25400">
              <a:solidFill>
                <a:srgbClr val="00B050"/>
              </a:solidFill>
              <a:prstDash val="dash"/>
            </a:ln>
          </c:spPr>
          <c:marker>
            <c:symbol val="none"/>
          </c:marker>
          <c:val>
            <c:numRef>
              <c:f>'Calculations - Dual'!$AU$110:$AU$210</c:f>
              <c:numCache>
                <c:formatCode>0.000</c:formatCode>
                <c:ptCount val="101"/>
                <c:pt idx="0">
                  <c:v>7.4538447463789129E-3</c:v>
                </c:pt>
                <c:pt idx="1">
                  <c:v>1.9295697948152613E-2</c:v>
                </c:pt>
                <c:pt idx="2">
                  <c:v>5.7887093844457838E-2</c:v>
                </c:pt>
                <c:pt idx="3">
                  <c:v>5.7887093844457838E-2</c:v>
                </c:pt>
                <c:pt idx="4">
                  <c:v>7.718279179261045E-2</c:v>
                </c:pt>
                <c:pt idx="5">
                  <c:v>9.6478489740763049E-2</c:v>
                </c:pt>
                <c:pt idx="6">
                  <c:v>0.11577418768891568</c:v>
                </c:pt>
                <c:pt idx="7">
                  <c:v>0.13506988563706829</c:v>
                </c:pt>
                <c:pt idx="8">
                  <c:v>0.1543655835852209</c:v>
                </c:pt>
                <c:pt idx="9">
                  <c:v>0.17366128153337348</c:v>
                </c:pt>
                <c:pt idx="10">
                  <c:v>0.1929569794815261</c:v>
                </c:pt>
                <c:pt idx="11">
                  <c:v>0.21225267742967874</c:v>
                </c:pt>
                <c:pt idx="12">
                  <c:v>0.23154837537783135</c:v>
                </c:pt>
                <c:pt idx="13">
                  <c:v>0.25084407332598396</c:v>
                </c:pt>
                <c:pt idx="14">
                  <c:v>0.27013977127413658</c:v>
                </c:pt>
                <c:pt idx="15">
                  <c:v>0.28276559393289413</c:v>
                </c:pt>
                <c:pt idx="16">
                  <c:v>0.29269903006687381</c:v>
                </c:pt>
                <c:pt idx="17">
                  <c:v>0.3023695400968926</c:v>
                </c:pt>
                <c:pt idx="18">
                  <c:v>0.31180027951886136</c:v>
                </c:pt>
                <c:pt idx="19">
                  <c:v>0.32101122214372968</c:v>
                </c:pt>
                <c:pt idx="20">
                  <c:v>0.33001973998579459</c:v>
                </c:pt>
                <c:pt idx="21">
                  <c:v>0.3388410539883624</c:v>
                </c:pt>
                <c:pt idx="22">
                  <c:v>0.34748858909583252</c:v>
                </c:pt>
                <c:pt idx="23">
                  <c:v>0.35597425736829541</c:v>
                </c:pt>
                <c:pt idx="24">
                  <c:v>0.3643086861951953</c:v>
                </c:pt>
                <c:pt idx="25">
                  <c:v>0.3725014040832958</c:v>
                </c:pt>
                <c:pt idx="26">
                  <c:v>0.3805609932765549</c:v>
                </c:pt>
                <c:pt idx="27">
                  <c:v>0.38849521616904598</c:v>
                </c:pt>
                <c:pt idx="28">
                  <c:v>0.3963111208087971</c:v>
                </c:pt>
                <c:pt idx="29">
                  <c:v>0.40401512956950586</c:v>
                </c:pt>
                <c:pt idx="30">
                  <c:v>0.4116131141597385</c:v>
                </c:pt>
                <c:pt idx="31">
                  <c:v>0.41911045945716202</c:v>
                </c:pt>
                <c:pt idx="32">
                  <c:v>0.4265121181372547</c:v>
                </c:pt>
                <c:pt idx="33">
                  <c:v>0.43382265766847333</c:v>
                </c:pt>
                <c:pt idx="34">
                  <c:v>0.44104630093816344</c:v>
                </c:pt>
                <c:pt idx="35">
                  <c:v>0.44818696153327908</c:v>
                </c:pt>
                <c:pt idx="36">
                  <c:v>0.45524827451091671</c:v>
                </c:pt>
                <c:pt idx="37">
                  <c:v>0.4622336233437766</c:v>
                </c:pt>
                <c:pt idx="38">
                  <c:v>0.46914616360598194</c:v>
                </c:pt>
                <c:pt idx="39">
                  <c:v>0.47598884386850243</c:v>
                </c:pt>
                <c:pt idx="40">
                  <c:v>0.48276442419562754</c:v>
                </c:pt>
                <c:pt idx="41">
                  <c:v>0.48947549257066925</c:v>
                </c:pt>
                <c:pt idx="42">
                  <c:v>0.49612447952729599</c:v>
                </c:pt>
                <c:pt idx="43">
                  <c:v>0.4928101968462707</c:v>
                </c:pt>
                <c:pt idx="44">
                  <c:v>0.4879684450880839</c:v>
                </c:pt>
                <c:pt idx="45">
                  <c:v>0.48257781767054825</c:v>
                </c:pt>
                <c:pt idx="46">
                  <c:v>0.48363714907428723</c:v>
                </c:pt>
                <c:pt idx="47">
                  <c:v>0.48466477270253433</c:v>
                </c:pt>
                <c:pt idx="48">
                  <c:v>0.48566245648276046</c:v>
                </c:pt>
                <c:pt idx="49">
                  <c:v>0.48663183584225922</c:v>
                </c:pt>
                <c:pt idx="50">
                  <c:v>0.48757442599262568</c:v>
                </c:pt>
                <c:pt idx="51">
                  <c:v>0.4885841277333941</c:v>
                </c:pt>
                <c:pt idx="52">
                  <c:v>0.48983201480733013</c:v>
                </c:pt>
                <c:pt idx="53">
                  <c:v>0.49106121388467466</c:v>
                </c:pt>
                <c:pt idx="54">
                  <c:v>0.49227279376847421</c:v>
                </c:pt>
                <c:pt idx="55">
                  <c:v>0.49346775075762167</c:v>
                </c:pt>
                <c:pt idx="56">
                  <c:v>0.49464701473415479</c:v>
                </c:pt>
                <c:pt idx="57">
                  <c:v>0.4958114546476996</c:v>
                </c:pt>
                <c:pt idx="58">
                  <c:v>0.49696188346558356</c:v>
                </c:pt>
                <c:pt idx="59">
                  <c:v>0.49809906264838449</c:v>
                </c:pt>
                <c:pt idx="60">
                  <c:v>0.49922370620316203</c:v>
                </c:pt>
                <c:pt idx="61">
                  <c:v>0.50033648436014688</c:v>
                </c:pt>
                <c:pt idx="62">
                  <c:v>0.50143802691307771</c:v>
                </c:pt>
                <c:pt idx="63">
                  <c:v>0.50252892625854817</c:v>
                </c:pt>
                <c:pt idx="64">
                  <c:v>0.50360974016553961</c:v>
                </c:pt>
                <c:pt idx="65">
                  <c:v>0.50468099430267976</c:v>
                </c:pt>
                <c:pt idx="66">
                  <c:v>0.50574318454759837</c:v>
                </c:pt>
                <c:pt idx="67">
                  <c:v>0.50679677909999266</c:v>
                </c:pt>
                <c:pt idx="68">
                  <c:v>0.50784222041759719</c:v>
                </c:pt>
                <c:pt idx="69">
                  <c:v>0.50887992699213613</c:v>
                </c:pt>
                <c:pt idx="70">
                  <c:v>0.50991029498048379</c:v>
                </c:pt>
                <c:pt idx="71">
                  <c:v>0.5109336997046211</c:v>
                </c:pt>
                <c:pt idx="72">
                  <c:v>0.5119504970325397</c:v>
                </c:pt>
                <c:pt idx="73">
                  <c:v>0.51296102465097659</c:v>
                </c:pt>
                <c:pt idx="74">
                  <c:v>0.5139656032397385</c:v>
                </c:pt>
                <c:pt idx="75">
                  <c:v>0.51496453755638361</c:v>
                </c:pt>
                <c:pt idx="76">
                  <c:v>0.51595811743914355</c:v>
                </c:pt>
                <c:pt idx="77">
                  <c:v>0.51694661873519032</c:v>
                </c:pt>
                <c:pt idx="78">
                  <c:v>0.51793030416065333</c:v>
                </c:pt>
                <c:pt idx="79">
                  <c:v>0.51890942409816965</c:v>
                </c:pt>
                <c:pt idx="80">
                  <c:v>0.51988421733720391</c:v>
                </c:pt>
                <c:pt idx="81">
                  <c:v>0.52085491176186904</c:v>
                </c:pt>
                <c:pt idx="82">
                  <c:v>0.52182172499054646</c:v>
                </c:pt>
                <c:pt idx="83">
                  <c:v>0.52278486497119947</c:v>
                </c:pt>
                <c:pt idx="84">
                  <c:v>0.52374453053592374</c:v>
                </c:pt>
                <c:pt idx="85">
                  <c:v>0.52470091191795476</c:v>
                </c:pt>
                <c:pt idx="86">
                  <c:v>0.52565419123406665</c:v>
                </c:pt>
                <c:pt idx="87">
                  <c:v>0.52660454293503633</c:v>
                </c:pt>
                <c:pt idx="88">
                  <c:v>0.52755213422661584</c:v>
                </c:pt>
                <c:pt idx="89">
                  <c:v>0.52849712546324046</c:v>
                </c:pt>
                <c:pt idx="90">
                  <c:v>0.52943967051651275</c:v>
                </c:pt>
                <c:pt idx="91">
                  <c:v>0.5303799171203325</c:v>
                </c:pt>
                <c:pt idx="92">
                  <c:v>0.53131800719437738</c:v>
                </c:pt>
                <c:pt idx="93">
                  <c:v>0.53225407714751038</c:v>
                </c:pt>
                <c:pt idx="94">
                  <c:v>0.53318825816254622</c:v>
                </c:pt>
                <c:pt idx="95">
                  <c:v>0.53412067646371031</c:v>
                </c:pt>
                <c:pt idx="96">
                  <c:v>0.53505145356799588</c:v>
                </c:pt>
                <c:pt idx="97">
                  <c:v>0.53598070652155028</c:v>
                </c:pt>
                <c:pt idx="98">
                  <c:v>0.53690854812211564</c:v>
                </c:pt>
                <c:pt idx="99">
                  <c:v>0.53783508712847794</c:v>
                </c:pt>
                <c:pt idx="100">
                  <c:v>0.53876042845780348</c:v>
                </c:pt>
              </c:numCache>
            </c:numRef>
          </c:val>
          <c:smooth val="0"/>
          <c:extLst>
            <c:ext xmlns:c16="http://schemas.microsoft.com/office/drawing/2014/chart" uri="{C3380CC4-5D6E-409C-BE32-E72D297353CC}">
              <c16:uniqueId val="{00000007-DE77-4B43-A489-D4421C0BE99A}"/>
            </c:ext>
          </c:extLst>
        </c:ser>
        <c:ser>
          <c:idx val="17"/>
          <c:order val="17"/>
          <c:spPr>
            <a:ln w="25400">
              <a:solidFill>
                <a:srgbClr val="FF0000"/>
              </a:solidFill>
            </a:ln>
          </c:spPr>
          <c:marker>
            <c:symbol val="none"/>
          </c:marker>
          <c:val>
            <c:numRef>
              <c:f>'Calculations - Dual'!$AU$216:$AU$316</c:f>
              <c:numCache>
                <c:formatCode>0.000</c:formatCode>
                <c:ptCount val="101"/>
                <c:pt idx="0">
                  <c:v>4.1809106068952835E-3</c:v>
                </c:pt>
                <c:pt idx="1">
                  <c:v>1.0541411152610394E-2</c:v>
                </c:pt>
                <c:pt idx="2">
                  <c:v>2.1082822305220787E-2</c:v>
                </c:pt>
                <c:pt idx="3">
                  <c:v>3.1624233457831177E-2</c:v>
                </c:pt>
                <c:pt idx="4">
                  <c:v>4.2165644610441574E-2</c:v>
                </c:pt>
                <c:pt idx="5">
                  <c:v>5.2707055763051965E-2</c:v>
                </c:pt>
                <c:pt idx="6">
                  <c:v>6.3248466915662355E-2</c:v>
                </c:pt>
                <c:pt idx="7">
                  <c:v>7.3789878068272738E-2</c:v>
                </c:pt>
                <c:pt idx="8">
                  <c:v>8.4331289220883149E-2</c:v>
                </c:pt>
                <c:pt idx="9">
                  <c:v>9.4872700373493518E-2</c:v>
                </c:pt>
                <c:pt idx="10">
                  <c:v>0.10541411152610393</c:v>
                </c:pt>
                <c:pt idx="11">
                  <c:v>0.11595552267871431</c:v>
                </c:pt>
                <c:pt idx="12">
                  <c:v>0.12649693383132471</c:v>
                </c:pt>
                <c:pt idx="13">
                  <c:v>0.13703834498393511</c:v>
                </c:pt>
                <c:pt idx="14">
                  <c:v>0.14757975613654548</c:v>
                </c:pt>
                <c:pt idx="15">
                  <c:v>0.15437189955891231</c:v>
                </c:pt>
                <c:pt idx="16">
                  <c:v>0.15962978733577471</c:v>
                </c:pt>
                <c:pt idx="17">
                  <c:v>0.16473807629128157</c:v>
                </c:pt>
                <c:pt idx="18">
                  <c:v>0.16970983072093213</c:v>
                </c:pt>
                <c:pt idx="19">
                  <c:v>0.17455632179629793</c:v>
                </c:pt>
                <c:pt idx="20">
                  <c:v>0.17928735421166711</c:v>
                </c:pt>
                <c:pt idx="21">
                  <c:v>0.18391152009492165</c:v>
                </c:pt>
                <c:pt idx="22">
                  <c:v>0.18843639904930584</c:v>
                </c:pt>
                <c:pt idx="23">
                  <c:v>0.19286871766842129</c:v>
                </c:pt>
                <c:pt idx="24">
                  <c:v>0.19721447812881943</c:v>
                </c:pt>
                <c:pt idx="25">
                  <c:v>0.20147906288523745</c:v>
                </c:pt>
                <c:pt idx="26">
                  <c:v>0.20566732068188209</c:v>
                </c:pt>
                <c:pt idx="27">
                  <c:v>0.20978363780011644</c:v>
                </c:pt>
                <c:pt idx="28">
                  <c:v>0.2138319975263463</c:v>
                </c:pt>
                <c:pt idx="29">
                  <c:v>0.21781603013639542</c:v>
                </c:pt>
                <c:pt idx="30">
                  <c:v>0.22173905518169529</c:v>
                </c:pt>
                <c:pt idx="31">
                  <c:v>0.22560411747851411</c:v>
                </c:pt>
                <c:pt idx="32">
                  <c:v>0.22941401790965596</c:v>
                </c:pt>
                <c:pt idx="33">
                  <c:v>0.23317133992420849</c:v>
                </c:pt>
                <c:pt idx="34">
                  <c:v>0.23687847244761398</c:v>
                </c:pt>
                <c:pt idx="35">
                  <c:v>0.24053762977903173</c:v>
                </c:pt>
                <c:pt idx="36">
                  <c:v>0.24415086894646815</c:v>
                </c:pt>
                <c:pt idx="37">
                  <c:v>0.24772010490571181</c:v>
                </c:pt>
                <c:pt idx="38">
                  <c:v>0.25124712390169307</c:v>
                </c:pt>
                <c:pt idx="39">
                  <c:v>0.2547335952566997</c:v>
                </c:pt>
                <c:pt idx="40">
                  <c:v>0.25818108180605115</c:v>
                </c:pt>
                <c:pt idx="41">
                  <c:v>0.26159104916618603</c:v>
                </c:pt>
                <c:pt idx="42">
                  <c:v>0.26496487399094826</c:v>
                </c:pt>
                <c:pt idx="43">
                  <c:v>0.26830385134787665</c:v>
                </c:pt>
                <c:pt idx="44">
                  <c:v>0.27160920132647776</c:v>
                </c:pt>
                <c:pt idx="45">
                  <c:v>0.27488207497400424</c:v>
                </c:pt>
                <c:pt idx="46">
                  <c:v>0.27812355964052893</c:v>
                </c:pt>
                <c:pt idx="47">
                  <c:v>0.28133468380360582</c:v>
                </c:pt>
                <c:pt idx="48">
                  <c:v>0.28451642143312839</c:v>
                </c:pt>
                <c:pt idx="49">
                  <c:v>0.28766969594883329</c:v>
                </c:pt>
                <c:pt idx="50">
                  <c:v>0.29079538381596348</c:v>
                </c:pt>
                <c:pt idx="51">
                  <c:v>0.29389431781872033</c:v>
                </c:pt>
                <c:pt idx="52">
                  <c:v>0.29696729004610273</c:v>
                </c:pt>
                <c:pt idx="53">
                  <c:v>0.30001505462042383</c:v>
                </c:pt>
                <c:pt idx="54">
                  <c:v>0.30303833019509907</c:v>
                </c:pt>
                <c:pt idx="55">
                  <c:v>0.30603780224511073</c:v>
                </c:pt>
                <c:pt idx="56">
                  <c:v>0.30901412517079635</c:v>
                </c:pt>
                <c:pt idx="57">
                  <c:v>0.31196792423322606</c:v>
                </c:pt>
                <c:pt idx="58">
                  <c:v>0.31489979733735551</c:v>
                </c:pt>
                <c:pt idx="59">
                  <c:v>0.31781031667733428</c:v>
                </c:pt>
                <c:pt idx="60">
                  <c:v>0.32070003025677385</c:v>
                </c:pt>
                <c:pt idx="61">
                  <c:v>0.32356946329539449</c:v>
                </c:pt>
                <c:pt idx="62">
                  <c:v>0.32641911953225877</c:v>
                </c:pt>
                <c:pt idx="63">
                  <c:v>0.32924948243473429</c:v>
                </c:pt>
                <c:pt idx="64">
                  <c:v>0.33206101632138685</c:v>
                </c:pt>
                <c:pt idx="65">
                  <c:v>0.33485416740617469</c:v>
                </c:pt>
                <c:pt idx="66">
                  <c:v>0.33762936477058331</c:v>
                </c:pt>
                <c:pt idx="67">
                  <c:v>0.34038702126968257</c:v>
                </c:pt>
                <c:pt idx="68">
                  <c:v>0.34312753437751659</c:v>
                </c:pt>
                <c:pt idx="69">
                  <c:v>0.34585128697671569</c:v>
                </c:pt>
                <c:pt idx="70">
                  <c:v>0.34855864809676285</c:v>
                </c:pt>
                <c:pt idx="71">
                  <c:v>0.35124997360493759</c:v>
                </c:pt>
                <c:pt idx="72">
                  <c:v>0.35376970591945028</c:v>
                </c:pt>
                <c:pt idx="73">
                  <c:v>0.35174392027917939</c:v>
                </c:pt>
                <c:pt idx="74">
                  <c:v>0.34975305428465925</c:v>
                </c:pt>
                <c:pt idx="75">
                  <c:v>0.34779612767077184</c:v>
                </c:pt>
                <c:pt idx="76">
                  <c:v>0.34587219771264671</c:v>
                </c:pt>
                <c:pt idx="77">
                  <c:v>0.34349031911236644</c:v>
                </c:pt>
                <c:pt idx="78">
                  <c:v>0.34391479959336763</c:v>
                </c:pt>
                <c:pt idx="79">
                  <c:v>0.34433167033651785</c:v>
                </c:pt>
                <c:pt idx="80">
                  <c:v>0.34474118566138129</c:v>
                </c:pt>
                <c:pt idx="81">
                  <c:v>0.34514358836839931</c:v>
                </c:pt>
                <c:pt idx="82">
                  <c:v>0.34555314974232493</c:v>
                </c:pt>
                <c:pt idx="83">
                  <c:v>0.3460748112927271</c:v>
                </c:pt>
                <c:pt idx="84">
                  <c:v>0.346591113692235</c:v>
                </c:pt>
                <c:pt idx="85">
                  <c:v>0.34710224719829935</c:v>
                </c:pt>
                <c:pt idx="86">
                  <c:v>0.3476083938112578</c:v>
                </c:pt>
                <c:pt idx="87">
                  <c:v>0.34810972771954213</c:v>
                </c:pt>
                <c:pt idx="88">
                  <c:v>0.34860641571639583</c:v>
                </c:pt>
                <c:pt idx="89">
                  <c:v>0.34909861759020688</c:v>
                </c:pt>
                <c:pt idx="90">
                  <c:v>0.3495864864903836</c:v>
                </c:pt>
                <c:pt idx="91">
                  <c:v>0.35007016927054313</c:v>
                </c:pt>
                <c:pt idx="92">
                  <c:v>0.35054980681063769</c:v>
                </c:pt>
                <c:pt idx="93">
                  <c:v>0.35102553431951172</c:v>
                </c:pt>
                <c:pt idx="94">
                  <c:v>0.35149748161926131</c:v>
                </c:pt>
                <c:pt idx="95">
                  <c:v>0.3519657734126615</c:v>
                </c:pt>
                <c:pt idx="96">
                  <c:v>0.35243052953482695</c:v>
                </c:pt>
                <c:pt idx="97">
                  <c:v>0.35289186519017735</c:v>
                </c:pt>
                <c:pt idx="98">
                  <c:v>0.3533498911757022</c:v>
                </c:pt>
                <c:pt idx="99">
                  <c:v>0.35380471409143827</c:v>
                </c:pt>
                <c:pt idx="100">
                  <c:v>0.35425643653900574</c:v>
                </c:pt>
              </c:numCache>
            </c:numRef>
          </c:val>
          <c:smooth val="0"/>
          <c:extLst>
            <c:ext xmlns:c16="http://schemas.microsoft.com/office/drawing/2014/chart" uri="{C3380CC4-5D6E-409C-BE32-E72D297353CC}">
              <c16:uniqueId val="{00000008-DE77-4B43-A489-D4421C0BE99A}"/>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24.410473562444633</c:v>
                </c:pt>
                <c:pt idx="2">
                  <c:v>73.231420687333895</c:v>
                </c:pt>
                <c:pt idx="3">
                  <c:v>73.231420687333895</c:v>
                </c:pt>
                <c:pt idx="4">
                  <c:v>97.641894249778531</c:v>
                </c:pt>
                <c:pt idx="5">
                  <c:v>122.05236781222314</c:v>
                </c:pt>
                <c:pt idx="6">
                  <c:v>146.46284137466779</c:v>
                </c:pt>
                <c:pt idx="7">
                  <c:v>170.87331493711241</c:v>
                </c:pt>
                <c:pt idx="8">
                  <c:v>195.28378849955706</c:v>
                </c:pt>
                <c:pt idx="9">
                  <c:v>219.69426206200166</c:v>
                </c:pt>
                <c:pt idx="10">
                  <c:v>244.10473562444628</c:v>
                </c:pt>
                <c:pt idx="11">
                  <c:v>268.51520918689096</c:v>
                </c:pt>
                <c:pt idx="12">
                  <c:v>292.92568274933558</c:v>
                </c:pt>
                <c:pt idx="13">
                  <c:v>317.3361563117802</c:v>
                </c:pt>
                <c:pt idx="14">
                  <c:v>341.74662987422482</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343.10498952114853</c:v>
                </c:pt>
                <c:pt idx="44">
                  <c:v>335.37664899486344</c:v>
                </c:pt>
                <c:pt idx="45">
                  <c:v>327.97252883046298</c:v>
                </c:pt>
                <c:pt idx="46">
                  <c:v>320.87279897958086</c:v>
                </c:pt>
                <c:pt idx="47">
                  <c:v>314.05920942738106</c:v>
                </c:pt>
                <c:pt idx="48">
                  <c:v>307.51493614304553</c:v>
                </c:pt>
                <c:pt idx="49">
                  <c:v>301.2244446915534</c:v>
                </c:pt>
                <c:pt idx="50">
                  <c:v>295.17336919030748</c:v>
                </c:pt>
                <c:pt idx="51">
                  <c:v>289.25057420451805</c:v>
                </c:pt>
                <c:pt idx="52">
                  <c:v>283.27221897200536</c:v>
                </c:pt>
                <c:pt idx="53">
                  <c:v>277.50423543881203</c:v>
                </c:pt>
                <c:pt idx="54">
                  <c:v>271.93566397500445</c:v>
                </c:pt>
                <c:pt idx="55">
                  <c:v>266.55629329705431</c:v>
                </c:pt>
                <c:pt idx="56">
                  <c:v>261.35659766880798</c:v>
                </c:pt>
                <c:pt idx="57">
                  <c:v>256.32768032199368</c:v>
                </c:pt>
                <c:pt idx="58">
                  <c:v>251.46122238929775</c:v>
                </c:pt>
                <c:pt idx="59">
                  <c:v>246.74943673341699</c:v>
                </c:pt>
                <c:pt idx="60">
                  <c:v>242.18502613307052</c:v>
                </c:pt>
                <c:pt idx="61">
                  <c:v>237.76114535372687</c:v>
                </c:pt>
                <c:pt idx="62">
                  <c:v>233.47136668840736</c:v>
                </c:pt>
                <c:pt idx="63">
                  <c:v>229.30964860374641</c:v>
                </c:pt>
                <c:pt idx="64">
                  <c:v>225.2703071696746</c:v>
                </c:pt>
                <c:pt idx="65">
                  <c:v>221.34798998860884</c:v>
                </c:pt>
                <c:pt idx="66">
                  <c:v>217.53765237269749</c:v>
                </c:pt>
                <c:pt idx="67">
                  <c:v>213.83453554617222</c:v>
                </c:pt>
                <c:pt idx="68">
                  <c:v>210.23414667476976</c:v>
                </c:pt>
                <c:pt idx="69">
                  <c:v>206.73224054601928</c:v>
                </c:pt>
                <c:pt idx="70">
                  <c:v>203.32480274334486</c:v>
                </c:pt>
                <c:pt idx="71">
                  <c:v>200.00803417378063</c:v>
                </c:pt>
                <c:pt idx="72">
                  <c:v>196.77833682393361</c:v>
                </c:pt>
                <c:pt idx="73">
                  <c:v>193.63230063192782</c:v>
                </c:pt>
                <c:pt idx="74">
                  <c:v>190.56669137463726</c:v>
                </c:pt>
                <c:pt idx="75">
                  <c:v>187.57843947976875</c:v>
                </c:pt>
                <c:pt idx="76">
                  <c:v>184.66462968144364</c:v>
                </c:pt>
                <c:pt idx="77">
                  <c:v>181.82249144600829</c:v>
                </c:pt>
                <c:pt idx="78">
                  <c:v>179.04939010198265</c:v>
                </c:pt>
                <c:pt idx="79">
                  <c:v>176.34281861446408</c:v>
                </c:pt>
                <c:pt idx="80">
                  <c:v>173.70038995001158</c:v>
                </c:pt>
                <c:pt idx="81">
                  <c:v>171.11982998314431</c:v>
                </c:pt>
                <c:pt idx="82">
                  <c:v>168.59897090015247</c:v>
                </c:pt>
                <c:pt idx="83">
                  <c:v>166.1357450600153</c:v>
                </c:pt>
                <c:pt idx="84">
                  <c:v>163.7281792758925</c:v>
                </c:pt>
                <c:pt idx="85">
                  <c:v>161.37438948395229</c:v>
                </c:pt>
                <c:pt idx="86">
                  <c:v>159.0725757692714</c:v>
                </c:pt>
                <c:pt idx="87">
                  <c:v>156.82101772121305</c:v>
                </c:pt>
                <c:pt idx="88">
                  <c:v>154.61807009309877</c:v>
                </c:pt>
                <c:pt idx="89">
                  <c:v>152.46215874316749</c:v>
                </c:pt>
                <c:pt idx="90">
                  <c:v>150.351776835782</c:v>
                </c:pt>
                <c:pt idx="91">
                  <c:v>148.2854812836211</c:v>
                </c:pt>
                <c:pt idx="92">
                  <c:v>146.26188941320933</c:v>
                </c:pt>
                <c:pt idx="93">
                  <c:v>144.27967583759775</c:v>
                </c:pt>
                <c:pt idx="94">
                  <c:v>142.33756952133535</c:v>
                </c:pt>
                <c:pt idx="95">
                  <c:v>140.43435102407759</c:v>
                </c:pt>
                <c:pt idx="96">
                  <c:v>138.56884991027491</c:v>
                </c:pt>
                <c:pt idx="97">
                  <c:v>136.73994231338324</c:v>
                </c:pt>
                <c:pt idx="98">
                  <c:v>134.94654864394846</c:v>
                </c:pt>
                <c:pt idx="99">
                  <c:v>133.18763143174618</c:v>
                </c:pt>
                <c:pt idx="100">
                  <c:v>131.46219329291989</c:v>
                </c:pt>
              </c:numCache>
            </c:numRef>
          </c:val>
          <c:smooth val="0"/>
          <c:extLst>
            <c:ext xmlns:c16="http://schemas.microsoft.com/office/drawing/2014/chart" uri="{C3380CC4-5D6E-409C-BE32-E72D297353CC}">
              <c16:uniqueId val="{00000009-DE77-4B43-A489-D4421C0BE99A}"/>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24.410473562444633</c:v>
                </c:pt>
                <c:pt idx="2">
                  <c:v>48.820947124889265</c:v>
                </c:pt>
                <c:pt idx="3">
                  <c:v>73.231420687333895</c:v>
                </c:pt>
                <c:pt idx="4">
                  <c:v>97.641894249778531</c:v>
                </c:pt>
                <c:pt idx="5">
                  <c:v>122.05236781222314</c:v>
                </c:pt>
                <c:pt idx="6">
                  <c:v>146.46284137466779</c:v>
                </c:pt>
                <c:pt idx="7">
                  <c:v>170.87331493711241</c:v>
                </c:pt>
                <c:pt idx="8">
                  <c:v>195.28378849955706</c:v>
                </c:pt>
                <c:pt idx="9">
                  <c:v>219.69426206200166</c:v>
                </c:pt>
                <c:pt idx="10">
                  <c:v>244.10473562444628</c:v>
                </c:pt>
                <c:pt idx="11">
                  <c:v>268.51520918689096</c:v>
                </c:pt>
                <c:pt idx="12">
                  <c:v>292.92568274933558</c:v>
                </c:pt>
                <c:pt idx="13">
                  <c:v>317.3361563117802</c:v>
                </c:pt>
                <c:pt idx="14">
                  <c:v>341.74662987422482</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346.9936680663547</c:v>
                </c:pt>
                <c:pt idx="60">
                  <c:v>341.37480768550802</c:v>
                </c:pt>
                <c:pt idx="61">
                  <c:v>335.92899115810985</c:v>
                </c:pt>
                <c:pt idx="62">
                  <c:v>330.64838766710926</c:v>
                </c:pt>
                <c:pt idx="63">
                  <c:v>325.52563088505025</c:v>
                </c:pt>
                <c:pt idx="64">
                  <c:v>320.55378507597879</c:v>
                </c:pt>
                <c:pt idx="65">
                  <c:v>315.72631412124571</c:v>
                </c:pt>
                <c:pt idx="66">
                  <c:v>311.03705317927262</c:v>
                </c:pt>
                <c:pt idx="67">
                  <c:v>306.48018272174204</c:v>
                </c:pt>
                <c:pt idx="68">
                  <c:v>302.05020471704103</c:v>
                </c:pt>
                <c:pt idx="69">
                  <c:v>297.54998167265842</c:v>
                </c:pt>
                <c:pt idx="70">
                  <c:v>293.16846773075042</c:v>
                </c:pt>
                <c:pt idx="71">
                  <c:v>288.90209680372107</c:v>
                </c:pt>
                <c:pt idx="72">
                  <c:v>284.74637003932588</c:v>
                </c:pt>
                <c:pt idx="73">
                  <c:v>280.69701991914468</c:v>
                </c:pt>
                <c:pt idx="74">
                  <c:v>276.7499955782244</c:v>
                </c:pt>
                <c:pt idx="75">
                  <c:v>272.90144922864152</c:v>
                </c:pt>
                <c:pt idx="76">
                  <c:v>269.14772359134054</c:v>
                </c:pt>
                <c:pt idx="77">
                  <c:v>265.48534024995291</c:v>
                </c:pt>
                <c:pt idx="78">
                  <c:v>261.91098884864334</c:v>
                </c:pt>
                <c:pt idx="79">
                  <c:v>258.42151706347022</c:v>
                </c:pt>
                <c:pt idx="80">
                  <c:v>255.01392128340305</c:v>
                </c:pt>
                <c:pt idx="81">
                  <c:v>251.68533794309101</c:v>
                </c:pt>
                <c:pt idx="82">
                  <c:v>248.43303545481888</c:v>
                </c:pt>
                <c:pt idx="83">
                  <c:v>245.25440669186912</c:v>
                </c:pt>
                <c:pt idx="84">
                  <c:v>242.146961979824</c:v>
                </c:pt>
                <c:pt idx="85">
                  <c:v>239.10832255620531</c:v>
                </c:pt>
                <c:pt idx="86">
                  <c:v>236.13621446234336</c:v>
                </c:pt>
                <c:pt idx="87">
                  <c:v>233.22846283451369</c:v>
                </c:pt>
                <c:pt idx="88">
                  <c:v>230.38298656422032</c:v>
                </c:pt>
                <c:pt idx="89">
                  <c:v>227.59779330007498</c:v>
                </c:pt>
                <c:pt idx="90">
                  <c:v>224.87097476604586</c:v>
                </c:pt>
                <c:pt idx="91">
                  <c:v>222.20070237295781</c:v>
                </c:pt>
                <c:pt idx="92">
                  <c:v>219.5852231020331</c:v>
                </c:pt>
                <c:pt idx="93">
                  <c:v>217.0228556410035</c:v>
                </c:pt>
                <c:pt idx="94">
                  <c:v>214.51198675489309</c:v>
                </c:pt>
                <c:pt idx="95">
                  <c:v>212.05106787501336</c:v>
                </c:pt>
                <c:pt idx="96">
                  <c:v>209.63861189101391</c:v>
                </c:pt>
                <c:pt idx="97">
                  <c:v>207.27319013202495</c:v>
                </c:pt>
                <c:pt idx="98">
                  <c:v>204.95342952401532</c:v>
                </c:pt>
                <c:pt idx="99">
                  <c:v>202.67800991148081</c:v>
                </c:pt>
                <c:pt idx="100">
                  <c:v>200.44566153248437</c:v>
                </c:pt>
              </c:numCache>
            </c:numRef>
          </c:val>
          <c:smooth val="0"/>
          <c:extLst>
            <c:ext xmlns:c16="http://schemas.microsoft.com/office/drawing/2014/chart" uri="{C3380CC4-5D6E-409C-BE32-E72D297353CC}">
              <c16:uniqueId val="{0000000A-DE77-4B43-A489-D4421C0BE99A}"/>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24.410182474173688</c:v>
                </c:pt>
                <c:pt idx="2">
                  <c:v>48.820364948347375</c:v>
                </c:pt>
                <c:pt idx="3">
                  <c:v>73.23054742252107</c:v>
                </c:pt>
                <c:pt idx="4">
                  <c:v>97.640729896694751</c:v>
                </c:pt>
                <c:pt idx="5">
                  <c:v>122.05091237086843</c:v>
                </c:pt>
                <c:pt idx="6">
                  <c:v>146.46109484504214</c:v>
                </c:pt>
                <c:pt idx="7">
                  <c:v>170.87127731921581</c:v>
                </c:pt>
                <c:pt idx="8">
                  <c:v>195.2814597933895</c:v>
                </c:pt>
                <c:pt idx="9">
                  <c:v>219.69164226756317</c:v>
                </c:pt>
                <c:pt idx="10">
                  <c:v>244.10182474173686</c:v>
                </c:pt>
                <c:pt idx="11">
                  <c:v>268.51200721591056</c:v>
                </c:pt>
                <c:pt idx="12">
                  <c:v>292.92218969008428</c:v>
                </c:pt>
                <c:pt idx="13">
                  <c:v>317.33237216425795</c:v>
                </c:pt>
                <c:pt idx="14">
                  <c:v>341.74255463843161</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349.84582825912429</c:v>
                </c:pt>
                <c:pt idx="73">
                  <c:v>345.24746841868051</c:v>
                </c:pt>
                <c:pt idx="74">
                  <c:v>340.7654995553907</c:v>
                </c:pt>
                <c:pt idx="75">
                  <c:v>336.3955746442428</c:v>
                </c:pt>
                <c:pt idx="76">
                  <c:v>332.13356014251076</c:v>
                </c:pt>
                <c:pt idx="77">
                  <c:v>327.97552305415502</c:v>
                </c:pt>
                <c:pt idx="78">
                  <c:v>323.91771892306201</c:v>
                </c:pt>
                <c:pt idx="79">
                  <c:v>319.95658067825906</c:v>
                </c:pt>
                <c:pt idx="80">
                  <c:v>316.08870826142356</c:v>
                </c:pt>
                <c:pt idx="81">
                  <c:v>312.31085897343968</c:v>
                </c:pt>
                <c:pt idx="82">
                  <c:v>308.60748922151515</c:v>
                </c:pt>
                <c:pt idx="83">
                  <c:v>304.88419370178673</c:v>
                </c:pt>
                <c:pt idx="84">
                  <c:v>301.24359771632385</c:v>
                </c:pt>
                <c:pt idx="85">
                  <c:v>297.68296737425777</c:v>
                </c:pt>
                <c:pt idx="86">
                  <c:v>294.19968796025506</c:v>
                </c:pt>
                <c:pt idx="87">
                  <c:v>290.79125751065101</c:v>
                </c:pt>
                <c:pt idx="88">
                  <c:v>287.45528080066526</c:v>
                </c:pt>
                <c:pt idx="89">
                  <c:v>284.1894637123346</c:v>
                </c:pt>
                <c:pt idx="90">
                  <c:v>280.99160795533351</c:v>
                </c:pt>
                <c:pt idx="91">
                  <c:v>277.85960611515105</c:v>
                </c:pt>
                <c:pt idx="92">
                  <c:v>274.79143700518421</c:v>
                </c:pt>
                <c:pt idx="93">
                  <c:v>271.78516130121056</c:v>
                </c:pt>
                <c:pt idx="94">
                  <c:v>268.83891743841929</c:v>
                </c:pt>
                <c:pt idx="95">
                  <c:v>265.95091775276524</c:v>
                </c:pt>
                <c:pt idx="96">
                  <c:v>263.11944484983843</c:v>
                </c:pt>
                <c:pt idx="97">
                  <c:v>260.34284818574787</c:v>
                </c:pt>
                <c:pt idx="98">
                  <c:v>257.61954084572073</c:v>
                </c:pt>
                <c:pt idx="99">
                  <c:v>254.94799650720185</c:v>
                </c:pt>
                <c:pt idx="100">
                  <c:v>252.32674657524345</c:v>
                </c:pt>
              </c:numCache>
            </c:numRef>
          </c:val>
          <c:smooth val="0"/>
          <c:extLst>
            <c:ext xmlns:c16="http://schemas.microsoft.com/office/drawing/2014/chart" uri="{C3380CC4-5D6E-409C-BE32-E72D297353CC}">
              <c16:uniqueId val="{0000000B-DE77-4B43-A489-D4421C0BE99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DE77-4B43-A489-D4421C0BE99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DE77-4B43-A489-D4421C0BE99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DE77-4B43-A489-D4421C0BE99A}"/>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5.3334903203597506E-3</c:v>
                </c:pt>
                <c:pt idx="1">
                  <c:v>1.3636577147687309E-2</c:v>
                </c:pt>
                <c:pt idx="2">
                  <c:v>2.7273154295374618E-2</c:v>
                </c:pt>
                <c:pt idx="3">
                  <c:v>4.0909731443061925E-2</c:v>
                </c:pt>
                <c:pt idx="4">
                  <c:v>5.4546308590749236E-2</c:v>
                </c:pt>
                <c:pt idx="5">
                  <c:v>6.8182885738436547E-2</c:v>
                </c:pt>
                <c:pt idx="6">
                  <c:v>8.181946288612385E-2</c:v>
                </c:pt>
                <c:pt idx="7">
                  <c:v>9.5456040033811168E-2</c:v>
                </c:pt>
                <c:pt idx="8">
                  <c:v>0.10909261718149847</c:v>
                </c:pt>
                <c:pt idx="9">
                  <c:v>0.12272919432918576</c:v>
                </c:pt>
                <c:pt idx="10">
                  <c:v>0.13636577147687309</c:v>
                </c:pt>
                <c:pt idx="11">
                  <c:v>0.15000234862456041</c:v>
                </c:pt>
                <c:pt idx="12">
                  <c:v>0.1636389257722477</c:v>
                </c:pt>
                <c:pt idx="13">
                  <c:v>0.17727550291993502</c:v>
                </c:pt>
                <c:pt idx="14">
                  <c:v>0.19091208006762234</c:v>
                </c:pt>
                <c:pt idx="15">
                  <c:v>0.1997459235810625</c:v>
                </c:pt>
                <c:pt idx="16">
                  <c:v>0.20662581630994514</c:v>
                </c:pt>
                <c:pt idx="17">
                  <c:v>0.21331484761041586</c:v>
                </c:pt>
                <c:pt idx="18">
                  <c:v>0.21982972444875692</c:v>
                </c:pt>
                <c:pt idx="19">
                  <c:v>0.22618485991217127</c:v>
                </c:pt>
                <c:pt idx="20">
                  <c:v>0.23239279113973768</c:v>
                </c:pt>
                <c:pt idx="21">
                  <c:v>0.23846450418302287</c:v>
                </c:pt>
                <c:pt idx="22">
                  <c:v>0.2444096899388313</c:v>
                </c:pt>
                <c:pt idx="23">
                  <c:v>0.25023694822717479</c:v>
                </c:pt>
                <c:pt idx="24">
                  <c:v>0.25595395230419071</c:v>
                </c:pt>
                <c:pt idx="25">
                  <c:v>0.26156758279909764</c:v>
                </c:pt>
                <c:pt idx="26">
                  <c:v>0.26708403774603884</c:v>
                </c:pt>
                <c:pt idx="27">
                  <c:v>0.27250892372705587</c:v>
                </c:pt>
                <c:pt idx="28">
                  <c:v>0.27784733194401301</c:v>
                </c:pt>
                <c:pt idx="29">
                  <c:v>0.2831039021575667</c:v>
                </c:pt>
                <c:pt idx="30">
                  <c:v>0.28828287677746894</c:v>
                </c:pt>
                <c:pt idx="31">
                  <c:v>0.29338814689700882</c:v>
                </c:pt>
                <c:pt idx="32">
                  <c:v>0.2984232916910437</c:v>
                </c:pt>
                <c:pt idx="33">
                  <c:v>0.30339161231064266</c:v>
                </c:pt>
                <c:pt idx="34">
                  <c:v>0.30829616118562664</c:v>
                </c:pt>
                <c:pt idx="35">
                  <c:v>0.31313976747316735</c:v>
                </c:pt>
                <c:pt idx="36">
                  <c:v>0.31792505925434972</c:v>
                </c:pt>
                <c:pt idx="37">
                  <c:v>0.3226544829725731</c:v>
                </c:pt>
                <c:pt idx="38">
                  <c:v>0.32733032052140687</c:v>
                </c:pt>
                <c:pt idx="39">
                  <c:v>0.33195470432018659</c:v>
                </c:pt>
                <c:pt idx="40">
                  <c:v>0.33652963065956432</c:v>
                </c:pt>
                <c:pt idx="41">
                  <c:v>0.34105697155361731</c:v>
                </c:pt>
                <c:pt idx="42">
                  <c:v>0.34553848529780207</c:v>
                </c:pt>
                <c:pt idx="43">
                  <c:v>0.34997582590136217</c:v>
                </c:pt>
                <c:pt idx="44">
                  <c:v>0.35437055153743247</c:v>
                </c:pt>
                <c:pt idx="45">
                  <c:v>0.35872413213303278</c:v>
                </c:pt>
                <c:pt idx="46">
                  <c:v>0.36303795620357104</c:v>
                </c:pt>
                <c:pt idx="47">
                  <c:v>0.36731333702177005</c:v>
                </c:pt>
                <c:pt idx="48">
                  <c:v>0.3715515181985457</c:v>
                </c:pt>
                <c:pt idx="49">
                  <c:v>0.37575367874292243</c:v>
                </c:pt>
                <c:pt idx="50">
                  <c:v>0.3799209376592026</c:v>
                </c:pt>
                <c:pt idx="51">
                  <c:v>0.38405435813207944</c:v>
                </c:pt>
                <c:pt idx="52">
                  <c:v>0.38815495134394296</c:v>
                </c:pt>
                <c:pt idx="53">
                  <c:v>0.39222367996312418</c:v>
                </c:pt>
                <c:pt idx="54">
                  <c:v>0.39626146133709167</c:v>
                </c:pt>
                <c:pt idx="55">
                  <c:v>0.40026917042053017</c:v>
                </c:pt>
                <c:pt idx="56">
                  <c:v>0.40424764246471528</c:v>
                </c:pt>
                <c:pt idx="57">
                  <c:v>0.40819767549153946</c:v>
                </c:pt>
                <c:pt idx="58">
                  <c:v>0.41212003257289265</c:v>
                </c:pt>
                <c:pt idx="59">
                  <c:v>0.41244207103667929</c:v>
                </c:pt>
                <c:pt idx="60">
                  <c:v>0.40953722174811907</c:v>
                </c:pt>
                <c:pt idx="61">
                  <c:v>0.40669310277111914</c:v>
                </c:pt>
                <c:pt idx="62">
                  <c:v>0.40390765031846609</c:v>
                </c:pt>
                <c:pt idx="63">
                  <c:v>0.40221743835580703</c:v>
                </c:pt>
                <c:pt idx="64">
                  <c:v>0.40283716247139101</c:v>
                </c:pt>
                <c:pt idx="65">
                  <c:v>0.40344354302874624</c:v>
                </c:pt>
                <c:pt idx="66">
                  <c:v>0.40403712007329506</c:v>
                </c:pt>
                <c:pt idx="67">
                  <c:v>0.40461840407914351</c:v>
                </c:pt>
                <c:pt idx="68">
                  <c:v>0.40518787796351635</c:v>
                </c:pt>
                <c:pt idx="69">
                  <c:v>0.40594949416959114</c:v>
                </c:pt>
                <c:pt idx="70">
                  <c:v>0.40670338623025887</c:v>
                </c:pt>
                <c:pt idx="71">
                  <c:v>0.40744870485129664</c:v>
                </c:pt>
                <c:pt idx="72">
                  <c:v>0.40818581560744499</c:v>
                </c:pt>
                <c:pt idx="73">
                  <c:v>0.40891506538582528</c:v>
                </c:pt>
                <c:pt idx="74">
                  <c:v>0.40963678357234728</c:v>
                </c:pt>
                <c:pt idx="75">
                  <c:v>0.41035128314890462</c:v>
                </c:pt>
                <c:pt idx="76">
                  <c:v>0.41105886170908823</c:v>
                </c:pt>
                <c:pt idx="77">
                  <c:v>0.4117598023993907</c:v>
                </c:pt>
                <c:pt idx="78">
                  <c:v>0.41245437479220298</c:v>
                </c:pt>
                <c:pt idx="79">
                  <c:v>0.41314283569629939</c:v>
                </c:pt>
                <c:pt idx="80">
                  <c:v>0.41382542990997429</c:v>
                </c:pt>
                <c:pt idx="81">
                  <c:v>0.41450239092150654</c:v>
                </c:pt>
                <c:pt idx="82">
                  <c:v>0.41517394156120424</c:v>
                </c:pt>
                <c:pt idx="83">
                  <c:v>0.41584029460888561</c:v>
                </c:pt>
                <c:pt idx="84">
                  <c:v>0.41650165336031431</c:v>
                </c:pt>
                <c:pt idx="85">
                  <c:v>0.41715821215578403</c:v>
                </c:pt>
                <c:pt idx="86">
                  <c:v>0.41781015687377671</c:v>
                </c:pt>
                <c:pt idx="87">
                  <c:v>0.41845766539235063</c:v>
                </c:pt>
                <c:pt idx="88">
                  <c:v>0.41910090802070021</c:v>
                </c:pt>
                <c:pt idx="89">
                  <c:v>0.41974004790310798</c:v>
                </c:pt>
                <c:pt idx="90">
                  <c:v>0.42037524139733062</c:v>
                </c:pt>
                <c:pt idx="91">
                  <c:v>0.42100663842928743</c:v>
                </c:pt>
                <c:pt idx="92">
                  <c:v>0.42163438282576182</c:v>
                </c:pt>
                <c:pt idx="93">
                  <c:v>0.42225861262669495</c:v>
                </c:pt>
                <c:pt idx="94">
                  <c:v>0.42287946037851221</c:v>
                </c:pt>
                <c:pt idx="95">
                  <c:v>0.42349705340981741</c:v>
                </c:pt>
                <c:pt idx="96">
                  <c:v>0.42411151409067582</c:v>
                </c:pt>
                <c:pt idx="97">
                  <c:v>0.42472296007661847</c:v>
                </c:pt>
                <c:pt idx="98">
                  <c:v>0.42533150453840279</c:v>
                </c:pt>
                <c:pt idx="99">
                  <c:v>0.4259372563784965</c:v>
                </c:pt>
                <c:pt idx="100">
                  <c:v>0.42654032043516682</c:v>
                </c:pt>
              </c:numCache>
            </c:numRef>
          </c:val>
          <c:smooth val="0"/>
          <c:extLst>
            <c:ext xmlns:c16="http://schemas.microsoft.com/office/drawing/2014/chart" uri="{C3380CC4-5D6E-409C-BE32-E72D297353CC}">
              <c16:uniqueId val="{0000000F-DE77-4B43-A489-D4421C0BE99A}"/>
            </c:ext>
          </c:extLst>
        </c:ser>
        <c:ser>
          <c:idx val="7"/>
          <c:order val="7"/>
          <c:spPr>
            <a:ln w="25400">
              <a:solidFill>
                <a:srgbClr val="00B050"/>
              </a:solidFill>
              <a:prstDash val="dash"/>
            </a:ln>
          </c:spPr>
          <c:marker>
            <c:symbol val="none"/>
          </c:marker>
          <c:val>
            <c:numRef>
              <c:f>'Calculations - Dual'!$AU$110:$AU$210</c:f>
              <c:numCache>
                <c:formatCode>0.000</c:formatCode>
                <c:ptCount val="101"/>
                <c:pt idx="0">
                  <c:v>7.4538447463789129E-3</c:v>
                </c:pt>
                <c:pt idx="1">
                  <c:v>1.9295697948152613E-2</c:v>
                </c:pt>
                <c:pt idx="2">
                  <c:v>5.7887093844457838E-2</c:v>
                </c:pt>
                <c:pt idx="3">
                  <c:v>5.7887093844457838E-2</c:v>
                </c:pt>
                <c:pt idx="4">
                  <c:v>7.718279179261045E-2</c:v>
                </c:pt>
                <c:pt idx="5">
                  <c:v>9.6478489740763049E-2</c:v>
                </c:pt>
                <c:pt idx="6">
                  <c:v>0.11577418768891568</c:v>
                </c:pt>
                <c:pt idx="7">
                  <c:v>0.13506988563706829</c:v>
                </c:pt>
                <c:pt idx="8">
                  <c:v>0.1543655835852209</c:v>
                </c:pt>
                <c:pt idx="9">
                  <c:v>0.17366128153337348</c:v>
                </c:pt>
                <c:pt idx="10">
                  <c:v>0.1929569794815261</c:v>
                </c:pt>
                <c:pt idx="11">
                  <c:v>0.21225267742967874</c:v>
                </c:pt>
                <c:pt idx="12">
                  <c:v>0.23154837537783135</c:v>
                </c:pt>
                <c:pt idx="13">
                  <c:v>0.25084407332598396</c:v>
                </c:pt>
                <c:pt idx="14">
                  <c:v>0.27013977127413658</c:v>
                </c:pt>
                <c:pt idx="15">
                  <c:v>0.28276559393289413</c:v>
                </c:pt>
                <c:pt idx="16">
                  <c:v>0.29269903006687381</c:v>
                </c:pt>
                <c:pt idx="17">
                  <c:v>0.3023695400968926</c:v>
                </c:pt>
                <c:pt idx="18">
                  <c:v>0.31180027951886136</c:v>
                </c:pt>
                <c:pt idx="19">
                  <c:v>0.32101122214372968</c:v>
                </c:pt>
                <c:pt idx="20">
                  <c:v>0.33001973998579459</c:v>
                </c:pt>
                <c:pt idx="21">
                  <c:v>0.3388410539883624</c:v>
                </c:pt>
                <c:pt idx="22">
                  <c:v>0.34748858909583252</c:v>
                </c:pt>
                <c:pt idx="23">
                  <c:v>0.35597425736829541</c:v>
                </c:pt>
                <c:pt idx="24">
                  <c:v>0.3643086861951953</c:v>
                </c:pt>
                <c:pt idx="25">
                  <c:v>0.3725014040832958</c:v>
                </c:pt>
                <c:pt idx="26">
                  <c:v>0.3805609932765549</c:v>
                </c:pt>
                <c:pt idx="27">
                  <c:v>0.38849521616904598</c:v>
                </c:pt>
                <c:pt idx="28">
                  <c:v>0.3963111208087971</c:v>
                </c:pt>
                <c:pt idx="29">
                  <c:v>0.40401512956950586</c:v>
                </c:pt>
                <c:pt idx="30">
                  <c:v>0.4116131141597385</c:v>
                </c:pt>
                <c:pt idx="31">
                  <c:v>0.41911045945716202</c:v>
                </c:pt>
                <c:pt idx="32">
                  <c:v>0.4265121181372547</c:v>
                </c:pt>
                <c:pt idx="33">
                  <c:v>0.43382265766847333</c:v>
                </c:pt>
                <c:pt idx="34">
                  <c:v>0.44104630093816344</c:v>
                </c:pt>
                <c:pt idx="35">
                  <c:v>0.44818696153327908</c:v>
                </c:pt>
                <c:pt idx="36">
                  <c:v>0.45524827451091671</c:v>
                </c:pt>
                <c:pt idx="37">
                  <c:v>0.4622336233437766</c:v>
                </c:pt>
                <c:pt idx="38">
                  <c:v>0.46914616360598194</c:v>
                </c:pt>
                <c:pt idx="39">
                  <c:v>0.47598884386850243</c:v>
                </c:pt>
                <c:pt idx="40">
                  <c:v>0.48276442419562754</c:v>
                </c:pt>
                <c:pt idx="41">
                  <c:v>0.48947549257066925</c:v>
                </c:pt>
                <c:pt idx="42">
                  <c:v>0.49612447952729599</c:v>
                </c:pt>
                <c:pt idx="43">
                  <c:v>0.4928101968462707</c:v>
                </c:pt>
                <c:pt idx="44">
                  <c:v>0.4879684450880839</c:v>
                </c:pt>
                <c:pt idx="45">
                  <c:v>0.48257781767054825</c:v>
                </c:pt>
                <c:pt idx="46">
                  <c:v>0.48363714907428723</c:v>
                </c:pt>
                <c:pt idx="47">
                  <c:v>0.48466477270253433</c:v>
                </c:pt>
                <c:pt idx="48">
                  <c:v>0.48566245648276046</c:v>
                </c:pt>
                <c:pt idx="49">
                  <c:v>0.48663183584225922</c:v>
                </c:pt>
                <c:pt idx="50">
                  <c:v>0.48757442599262568</c:v>
                </c:pt>
                <c:pt idx="51">
                  <c:v>0.4885841277333941</c:v>
                </c:pt>
                <c:pt idx="52">
                  <c:v>0.48983201480733013</c:v>
                </c:pt>
                <c:pt idx="53">
                  <c:v>0.49106121388467466</c:v>
                </c:pt>
                <c:pt idx="54">
                  <c:v>0.49227279376847421</c:v>
                </c:pt>
                <c:pt idx="55">
                  <c:v>0.49346775075762167</c:v>
                </c:pt>
                <c:pt idx="56">
                  <c:v>0.49464701473415479</c:v>
                </c:pt>
                <c:pt idx="57">
                  <c:v>0.4958114546476996</c:v>
                </c:pt>
                <c:pt idx="58">
                  <c:v>0.49696188346558356</c:v>
                </c:pt>
                <c:pt idx="59">
                  <c:v>0.49809906264838449</c:v>
                </c:pt>
                <c:pt idx="60">
                  <c:v>0.49922370620316203</c:v>
                </c:pt>
                <c:pt idx="61">
                  <c:v>0.50033648436014688</c:v>
                </c:pt>
                <c:pt idx="62">
                  <c:v>0.50143802691307771</c:v>
                </c:pt>
                <c:pt idx="63">
                  <c:v>0.50252892625854817</c:v>
                </c:pt>
                <c:pt idx="64">
                  <c:v>0.50360974016553961</c:v>
                </c:pt>
                <c:pt idx="65">
                  <c:v>0.50468099430267976</c:v>
                </c:pt>
                <c:pt idx="66">
                  <c:v>0.50574318454759837</c:v>
                </c:pt>
                <c:pt idx="67">
                  <c:v>0.50679677909999266</c:v>
                </c:pt>
                <c:pt idx="68">
                  <c:v>0.50784222041759719</c:v>
                </c:pt>
                <c:pt idx="69">
                  <c:v>0.50887992699213613</c:v>
                </c:pt>
                <c:pt idx="70">
                  <c:v>0.50991029498048379</c:v>
                </c:pt>
                <c:pt idx="71">
                  <c:v>0.5109336997046211</c:v>
                </c:pt>
                <c:pt idx="72">
                  <c:v>0.5119504970325397</c:v>
                </c:pt>
                <c:pt idx="73">
                  <c:v>0.51296102465097659</c:v>
                </c:pt>
                <c:pt idx="74">
                  <c:v>0.5139656032397385</c:v>
                </c:pt>
                <c:pt idx="75">
                  <c:v>0.51496453755638361</c:v>
                </c:pt>
                <c:pt idx="76">
                  <c:v>0.51595811743914355</c:v>
                </c:pt>
                <c:pt idx="77">
                  <c:v>0.51694661873519032</c:v>
                </c:pt>
                <c:pt idx="78">
                  <c:v>0.51793030416065333</c:v>
                </c:pt>
                <c:pt idx="79">
                  <c:v>0.51890942409816965</c:v>
                </c:pt>
                <c:pt idx="80">
                  <c:v>0.51988421733720391</c:v>
                </c:pt>
                <c:pt idx="81">
                  <c:v>0.52085491176186904</c:v>
                </c:pt>
                <c:pt idx="82">
                  <c:v>0.52182172499054646</c:v>
                </c:pt>
                <c:pt idx="83">
                  <c:v>0.52278486497119947</c:v>
                </c:pt>
                <c:pt idx="84">
                  <c:v>0.52374453053592374</c:v>
                </c:pt>
                <c:pt idx="85">
                  <c:v>0.52470091191795476</c:v>
                </c:pt>
                <c:pt idx="86">
                  <c:v>0.52565419123406665</c:v>
                </c:pt>
                <c:pt idx="87">
                  <c:v>0.52660454293503633</c:v>
                </c:pt>
                <c:pt idx="88">
                  <c:v>0.52755213422661584</c:v>
                </c:pt>
                <c:pt idx="89">
                  <c:v>0.52849712546324046</c:v>
                </c:pt>
                <c:pt idx="90">
                  <c:v>0.52943967051651275</c:v>
                </c:pt>
                <c:pt idx="91">
                  <c:v>0.5303799171203325</c:v>
                </c:pt>
                <c:pt idx="92">
                  <c:v>0.53131800719437738</c:v>
                </c:pt>
                <c:pt idx="93">
                  <c:v>0.53225407714751038</c:v>
                </c:pt>
                <c:pt idx="94">
                  <c:v>0.53318825816254622</c:v>
                </c:pt>
                <c:pt idx="95">
                  <c:v>0.53412067646371031</c:v>
                </c:pt>
                <c:pt idx="96">
                  <c:v>0.53505145356799588</c:v>
                </c:pt>
                <c:pt idx="97">
                  <c:v>0.53598070652155028</c:v>
                </c:pt>
                <c:pt idx="98">
                  <c:v>0.53690854812211564</c:v>
                </c:pt>
                <c:pt idx="99">
                  <c:v>0.53783508712847794</c:v>
                </c:pt>
                <c:pt idx="100">
                  <c:v>0.53876042845780348</c:v>
                </c:pt>
              </c:numCache>
            </c:numRef>
          </c:val>
          <c:smooth val="0"/>
          <c:extLst>
            <c:ext xmlns:c16="http://schemas.microsoft.com/office/drawing/2014/chart" uri="{C3380CC4-5D6E-409C-BE32-E72D297353CC}">
              <c16:uniqueId val="{00000010-DE77-4B43-A489-D4421C0BE99A}"/>
            </c:ext>
          </c:extLst>
        </c:ser>
        <c:ser>
          <c:idx val="8"/>
          <c:order val="8"/>
          <c:spPr>
            <a:ln w="25400">
              <a:solidFill>
                <a:srgbClr val="FF0000"/>
              </a:solidFill>
            </a:ln>
          </c:spPr>
          <c:marker>
            <c:symbol val="none"/>
          </c:marker>
          <c:val>
            <c:numRef>
              <c:f>'Calculations - Dual'!$AU$216:$AU$316</c:f>
              <c:numCache>
                <c:formatCode>0.000</c:formatCode>
                <c:ptCount val="101"/>
                <c:pt idx="0">
                  <c:v>4.1809106068952835E-3</c:v>
                </c:pt>
                <c:pt idx="1">
                  <c:v>1.0541411152610394E-2</c:v>
                </c:pt>
                <c:pt idx="2">
                  <c:v>2.1082822305220787E-2</c:v>
                </c:pt>
                <c:pt idx="3">
                  <c:v>3.1624233457831177E-2</c:v>
                </c:pt>
                <c:pt idx="4">
                  <c:v>4.2165644610441574E-2</c:v>
                </c:pt>
                <c:pt idx="5">
                  <c:v>5.2707055763051965E-2</c:v>
                </c:pt>
                <c:pt idx="6">
                  <c:v>6.3248466915662355E-2</c:v>
                </c:pt>
                <c:pt idx="7">
                  <c:v>7.3789878068272738E-2</c:v>
                </c:pt>
                <c:pt idx="8">
                  <c:v>8.4331289220883149E-2</c:v>
                </c:pt>
                <c:pt idx="9">
                  <c:v>9.4872700373493518E-2</c:v>
                </c:pt>
                <c:pt idx="10">
                  <c:v>0.10541411152610393</c:v>
                </c:pt>
                <c:pt idx="11">
                  <c:v>0.11595552267871431</c:v>
                </c:pt>
                <c:pt idx="12">
                  <c:v>0.12649693383132471</c:v>
                </c:pt>
                <c:pt idx="13">
                  <c:v>0.13703834498393511</c:v>
                </c:pt>
                <c:pt idx="14">
                  <c:v>0.14757975613654548</c:v>
                </c:pt>
                <c:pt idx="15">
                  <c:v>0.15437189955891231</c:v>
                </c:pt>
                <c:pt idx="16">
                  <c:v>0.15962978733577471</c:v>
                </c:pt>
                <c:pt idx="17">
                  <c:v>0.16473807629128157</c:v>
                </c:pt>
                <c:pt idx="18">
                  <c:v>0.16970983072093213</c:v>
                </c:pt>
                <c:pt idx="19">
                  <c:v>0.17455632179629793</c:v>
                </c:pt>
                <c:pt idx="20">
                  <c:v>0.17928735421166711</c:v>
                </c:pt>
                <c:pt idx="21">
                  <c:v>0.18391152009492165</c:v>
                </c:pt>
                <c:pt idx="22">
                  <c:v>0.18843639904930584</c:v>
                </c:pt>
                <c:pt idx="23">
                  <c:v>0.19286871766842129</c:v>
                </c:pt>
                <c:pt idx="24">
                  <c:v>0.19721447812881943</c:v>
                </c:pt>
                <c:pt idx="25">
                  <c:v>0.20147906288523745</c:v>
                </c:pt>
                <c:pt idx="26">
                  <c:v>0.20566732068188209</c:v>
                </c:pt>
                <c:pt idx="27">
                  <c:v>0.20978363780011644</c:v>
                </c:pt>
                <c:pt idx="28">
                  <c:v>0.2138319975263463</c:v>
                </c:pt>
                <c:pt idx="29">
                  <c:v>0.21781603013639542</c:v>
                </c:pt>
                <c:pt idx="30">
                  <c:v>0.22173905518169529</c:v>
                </c:pt>
                <c:pt idx="31">
                  <c:v>0.22560411747851411</c:v>
                </c:pt>
                <c:pt idx="32">
                  <c:v>0.22941401790965596</c:v>
                </c:pt>
                <c:pt idx="33">
                  <c:v>0.23317133992420849</c:v>
                </c:pt>
                <c:pt idx="34">
                  <c:v>0.23687847244761398</c:v>
                </c:pt>
                <c:pt idx="35">
                  <c:v>0.24053762977903173</c:v>
                </c:pt>
                <c:pt idx="36">
                  <c:v>0.24415086894646815</c:v>
                </c:pt>
                <c:pt idx="37">
                  <c:v>0.24772010490571181</c:v>
                </c:pt>
                <c:pt idx="38">
                  <c:v>0.25124712390169307</c:v>
                </c:pt>
                <c:pt idx="39">
                  <c:v>0.2547335952566997</c:v>
                </c:pt>
                <c:pt idx="40">
                  <c:v>0.25818108180605115</c:v>
                </c:pt>
                <c:pt idx="41">
                  <c:v>0.26159104916618603</c:v>
                </c:pt>
                <c:pt idx="42">
                  <c:v>0.26496487399094826</c:v>
                </c:pt>
                <c:pt idx="43">
                  <c:v>0.26830385134787665</c:v>
                </c:pt>
                <c:pt idx="44">
                  <c:v>0.27160920132647776</c:v>
                </c:pt>
                <c:pt idx="45">
                  <c:v>0.27488207497400424</c:v>
                </c:pt>
                <c:pt idx="46">
                  <c:v>0.27812355964052893</c:v>
                </c:pt>
                <c:pt idx="47">
                  <c:v>0.28133468380360582</c:v>
                </c:pt>
                <c:pt idx="48">
                  <c:v>0.28451642143312839</c:v>
                </c:pt>
                <c:pt idx="49">
                  <c:v>0.28766969594883329</c:v>
                </c:pt>
                <c:pt idx="50">
                  <c:v>0.29079538381596348</c:v>
                </c:pt>
                <c:pt idx="51">
                  <c:v>0.29389431781872033</c:v>
                </c:pt>
                <c:pt idx="52">
                  <c:v>0.29696729004610273</c:v>
                </c:pt>
                <c:pt idx="53">
                  <c:v>0.30001505462042383</c:v>
                </c:pt>
                <c:pt idx="54">
                  <c:v>0.30303833019509907</c:v>
                </c:pt>
                <c:pt idx="55">
                  <c:v>0.30603780224511073</c:v>
                </c:pt>
                <c:pt idx="56">
                  <c:v>0.30901412517079635</c:v>
                </c:pt>
                <c:pt idx="57">
                  <c:v>0.31196792423322606</c:v>
                </c:pt>
                <c:pt idx="58">
                  <c:v>0.31489979733735551</c:v>
                </c:pt>
                <c:pt idx="59">
                  <c:v>0.31781031667733428</c:v>
                </c:pt>
                <c:pt idx="60">
                  <c:v>0.32070003025677385</c:v>
                </c:pt>
                <c:pt idx="61">
                  <c:v>0.32356946329539449</c:v>
                </c:pt>
                <c:pt idx="62">
                  <c:v>0.32641911953225877</c:v>
                </c:pt>
                <c:pt idx="63">
                  <c:v>0.32924948243473429</c:v>
                </c:pt>
                <c:pt idx="64">
                  <c:v>0.33206101632138685</c:v>
                </c:pt>
                <c:pt idx="65">
                  <c:v>0.33485416740617469</c:v>
                </c:pt>
                <c:pt idx="66">
                  <c:v>0.33762936477058331</c:v>
                </c:pt>
                <c:pt idx="67">
                  <c:v>0.34038702126968257</c:v>
                </c:pt>
                <c:pt idx="68">
                  <c:v>0.34312753437751659</c:v>
                </c:pt>
                <c:pt idx="69">
                  <c:v>0.34585128697671569</c:v>
                </c:pt>
                <c:pt idx="70">
                  <c:v>0.34855864809676285</c:v>
                </c:pt>
                <c:pt idx="71">
                  <c:v>0.35124997360493759</c:v>
                </c:pt>
                <c:pt idx="72">
                  <c:v>0.35376970591945028</c:v>
                </c:pt>
                <c:pt idx="73">
                  <c:v>0.35174392027917939</c:v>
                </c:pt>
                <c:pt idx="74">
                  <c:v>0.34975305428465925</c:v>
                </c:pt>
                <c:pt idx="75">
                  <c:v>0.34779612767077184</c:v>
                </c:pt>
                <c:pt idx="76">
                  <c:v>0.34587219771264671</c:v>
                </c:pt>
                <c:pt idx="77">
                  <c:v>0.34349031911236644</c:v>
                </c:pt>
                <c:pt idx="78">
                  <c:v>0.34391479959336763</c:v>
                </c:pt>
                <c:pt idx="79">
                  <c:v>0.34433167033651785</c:v>
                </c:pt>
                <c:pt idx="80">
                  <c:v>0.34474118566138129</c:v>
                </c:pt>
                <c:pt idx="81">
                  <c:v>0.34514358836839931</c:v>
                </c:pt>
                <c:pt idx="82">
                  <c:v>0.34555314974232493</c:v>
                </c:pt>
                <c:pt idx="83">
                  <c:v>0.3460748112927271</c:v>
                </c:pt>
                <c:pt idx="84">
                  <c:v>0.346591113692235</c:v>
                </c:pt>
                <c:pt idx="85">
                  <c:v>0.34710224719829935</c:v>
                </c:pt>
                <c:pt idx="86">
                  <c:v>0.3476083938112578</c:v>
                </c:pt>
                <c:pt idx="87">
                  <c:v>0.34810972771954213</c:v>
                </c:pt>
                <c:pt idx="88">
                  <c:v>0.34860641571639583</c:v>
                </c:pt>
                <c:pt idx="89">
                  <c:v>0.34909861759020688</c:v>
                </c:pt>
                <c:pt idx="90">
                  <c:v>0.3495864864903836</c:v>
                </c:pt>
                <c:pt idx="91">
                  <c:v>0.35007016927054313</c:v>
                </c:pt>
                <c:pt idx="92">
                  <c:v>0.35054980681063769</c:v>
                </c:pt>
                <c:pt idx="93">
                  <c:v>0.35102553431951172</c:v>
                </c:pt>
                <c:pt idx="94">
                  <c:v>0.35149748161926131</c:v>
                </c:pt>
                <c:pt idx="95">
                  <c:v>0.3519657734126615</c:v>
                </c:pt>
                <c:pt idx="96">
                  <c:v>0.35243052953482695</c:v>
                </c:pt>
                <c:pt idx="97">
                  <c:v>0.35289186519017735</c:v>
                </c:pt>
                <c:pt idx="98">
                  <c:v>0.3533498911757022</c:v>
                </c:pt>
                <c:pt idx="99">
                  <c:v>0.35380471409143827</c:v>
                </c:pt>
                <c:pt idx="100">
                  <c:v>0.35425643653900574</c:v>
                </c:pt>
              </c:numCache>
            </c:numRef>
          </c:val>
          <c:smooth val="0"/>
          <c:extLst>
            <c:ext xmlns:c16="http://schemas.microsoft.com/office/drawing/2014/chart" uri="{C3380CC4-5D6E-409C-BE32-E72D297353CC}">
              <c16:uniqueId val="{00000011-DE77-4B43-A489-D4421C0BE99A}"/>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13.60672102833218</c:v>
                </c:pt>
                <c:pt idx="16">
                  <c:v>14.05296105045888</c:v>
                </c:pt>
                <c:pt idx="17">
                  <c:v>14.485460690933216</c:v>
                </c:pt>
                <c:pt idx="18">
                  <c:v>14.905416081794851</c:v>
                </c:pt>
                <c:pt idx="19">
                  <c:v>15.313859269115859</c:v>
                </c:pt>
                <c:pt idx="20">
                  <c:v>15.711688096991452</c:v>
                </c:pt>
                <c:pt idx="21">
                  <c:v>16.099689437998489</c:v>
                </c:pt>
                <c:pt idx="22">
                  <c:v>16.478557495814286</c:v>
                </c:pt>
                <c:pt idx="23">
                  <c:v>16.848908400419131</c:v>
                </c:pt>
                <c:pt idx="24">
                  <c:v>17.211291974415268</c:v>
                </c:pt>
                <c:pt idx="25">
                  <c:v>17.566201313073599</c:v>
                </c:pt>
                <c:pt idx="26">
                  <c:v>17.914080655012295</c:v>
                </c:pt>
                <c:pt idx="27">
                  <c:v>18.255331902135957</c:v>
                </c:pt>
                <c:pt idx="28">
                  <c:v>18.590320061795602</c:v>
                </c:pt>
                <c:pt idx="29">
                  <c:v>18.919377821240769</c:v>
                </c:pt>
                <c:pt idx="30">
                  <c:v>19.242809417694556</c:v>
                </c:pt>
                <c:pt idx="31">
                  <c:v>19.560893932245826</c:v>
                </c:pt>
                <c:pt idx="32">
                  <c:v>19.873888109059802</c:v>
                </c:pt>
                <c:pt idx="33">
                  <c:v>20.182028780929972</c:v>
                </c:pt>
                <c:pt idx="34">
                  <c:v>20.485534966340101</c:v>
                </c:pt>
                <c:pt idx="35">
                  <c:v>20.784609690826528</c:v>
                </c:pt>
                <c:pt idx="36">
                  <c:v>21.079441575688314</c:v>
                </c:pt>
                <c:pt idx="37">
                  <c:v>21.370206229367895</c:v>
                </c:pt>
                <c:pt idx="38">
                  <c:v>21.657067470656582</c:v>
                </c:pt>
                <c:pt idx="39">
                  <c:v>21.940178407921589</c:v>
                </c:pt>
                <c:pt idx="40">
                  <c:v>22.219682394541234</c:v>
                </c:pt>
                <c:pt idx="41">
                  <c:v>22.495713877473257</c:v>
                </c:pt>
                <c:pt idx="42">
                  <c:v>22.768399153212332</c:v>
                </c:pt>
                <c:pt idx="43">
                  <c:v>23.037857043198638</c:v>
                </c:pt>
                <c:pt idx="44">
                  <c:v>23.304199498925389</c:v>
                </c:pt>
                <c:pt idx="45">
                  <c:v>23.534072539522658</c:v>
                </c:pt>
                <c:pt idx="46">
                  <c:v>24.074194310120813</c:v>
                </c:pt>
                <c:pt idx="47">
                  <c:v>24.614920192444444</c:v>
                </c:pt>
                <c:pt idx="48">
                  <c:v>25.156245950798354</c:v>
                </c:pt>
                <c:pt idx="49">
                  <c:v>25.698167493847201</c:v>
                </c:pt>
                <c:pt idx="50">
                  <c:v>26.240680867166301</c:v>
                </c:pt>
                <c:pt idx="51">
                  <c:v>26.788589440789487</c:v>
                </c:pt>
                <c:pt idx="52">
                  <c:v>27.351236005755023</c:v>
                </c:pt>
                <c:pt idx="53">
                  <c:v>27.915524143218946</c:v>
                </c:pt>
                <c:pt idx="54">
                  <c:v>28.481467055791196</c:v>
                </c:pt>
                <c:pt idx="55">
                  <c:v>29.049078087343691</c:v>
                </c:pt>
                <c:pt idx="56">
                  <c:v>29.618370724904679</c:v>
                </c:pt>
                <c:pt idx="57">
                  <c:v>30.189358600583702</c:v>
                </c:pt>
                <c:pt idx="58">
                  <c:v>30.762055493527836</c:v>
                </c:pt>
                <c:pt idx="59">
                  <c:v>31.336475331909455</c:v>
                </c:pt>
                <c:pt idx="60">
                  <c:v>31.912632194946479</c:v>
                </c:pt>
                <c:pt idx="61">
                  <c:v>32.49054031495556</c:v>
                </c:pt>
                <c:pt idx="62">
                  <c:v>33.07021407943877</c:v>
                </c:pt>
                <c:pt idx="63">
                  <c:v>33.651668033204615</c:v>
                </c:pt>
                <c:pt idx="64">
                  <c:v>34.234916880523848</c:v>
                </c:pt>
                <c:pt idx="65">
                  <c:v>34.819975487320868</c:v>
                </c:pt>
                <c:pt idx="66">
                  <c:v>35.406858883401405</c:v>
                </c:pt>
                <c:pt idx="67">
                  <c:v>35.995582264717008</c:v>
                </c:pt>
                <c:pt idx="68">
                  <c:v>36.586160995667356</c:v>
                </c:pt>
                <c:pt idx="69">
                  <c:v>37.178610611440838</c:v>
                </c:pt>
                <c:pt idx="70">
                  <c:v>37.77294682039431</c:v>
                </c:pt>
                <c:pt idx="71">
                  <c:v>38.36918550647276</c:v>
                </c:pt>
                <c:pt idx="72">
                  <c:v>38.967342731669625</c:v>
                </c:pt>
                <c:pt idx="73">
                  <c:v>39.567434738528661</c:v>
                </c:pt>
                <c:pt idx="74">
                  <c:v>40.169477952688062</c:v>
                </c:pt>
                <c:pt idx="75">
                  <c:v>40.773488985467679</c:v>
                </c:pt>
                <c:pt idx="76">
                  <c:v>41.379484636500386</c:v>
                </c:pt>
                <c:pt idx="77">
                  <c:v>41.987481896408113</c:v>
                </c:pt>
                <c:pt idx="78">
                  <c:v>42.597497949523849</c:v>
                </c:pt>
                <c:pt idx="79">
                  <c:v>43.209550176660152</c:v>
                </c:pt>
                <c:pt idx="80">
                  <c:v>43.823656157925477</c:v>
                </c:pt>
                <c:pt idx="81">
                  <c:v>44.439833675588787</c:v>
                </c:pt>
                <c:pt idx="82">
                  <c:v>45.058100716994048</c:v>
                </c:pt>
                <c:pt idx="83">
                  <c:v>45.67847547752514</c:v>
                </c:pt>
                <c:pt idx="84">
                  <c:v>46.300976363622212</c:v>
                </c:pt>
                <c:pt idx="85">
                  <c:v>46.92562199585096</c:v>
                </c:pt>
                <c:pt idx="86">
                  <c:v>47.552431212025446</c:v>
                </c:pt>
                <c:pt idx="87">
                  <c:v>48.181423070385705</c:v>
                </c:pt>
                <c:pt idx="88">
                  <c:v>48.81261685283139</c:v>
                </c:pt>
                <c:pt idx="89">
                  <c:v>49.44603206821246</c:v>
                </c:pt>
                <c:pt idx="90">
                  <c:v>50.081688455678133</c:v>
                </c:pt>
                <c:pt idx="91">
                  <c:v>50.719605988085313</c:v>
                </c:pt>
                <c:pt idx="92">
                  <c:v>51.359804875467781</c:v>
                </c:pt>
                <c:pt idx="93">
                  <c:v>52.002305568567316</c:v>
                </c:pt>
                <c:pt idx="94">
                  <c:v>52.647128762428018</c:v>
                </c:pt>
                <c:pt idx="95">
                  <c:v>53.294295400055461</c:v>
                </c:pt>
                <c:pt idx="96">
                  <c:v>53.943826676141562</c:v>
                </c:pt>
                <c:pt idx="97">
                  <c:v>54.595744040856943</c:v>
                </c:pt>
                <c:pt idx="98">
                  <c:v>55.25006920371198</c:v>
                </c:pt>
                <c:pt idx="99">
                  <c:v>55.906824137488243</c:v>
                </c:pt>
                <c:pt idx="100">
                  <c:v>56.566031082241423</c:v>
                </c:pt>
              </c:numCache>
            </c:numRef>
          </c:val>
          <c:smooth val="0"/>
          <c:extLst>
            <c:ext xmlns:c16="http://schemas.microsoft.com/office/drawing/2014/chart" uri="{C3380CC4-5D6E-409C-BE32-E72D297353CC}">
              <c16:uniqueId val="{00000000-FDDF-4115-9ADD-DED190BC6BDF}"/>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Dual'!$AI$5:$AI$105</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13.60672102833218</c:v>
                </c:pt>
                <c:pt idx="16">
                  <c:v>14.05296105045888</c:v>
                </c:pt>
                <c:pt idx="17">
                  <c:v>14.485460690933216</c:v>
                </c:pt>
                <c:pt idx="18">
                  <c:v>14.905416081794851</c:v>
                </c:pt>
                <c:pt idx="19">
                  <c:v>15.313859269115859</c:v>
                </c:pt>
                <c:pt idx="20">
                  <c:v>15.711688096991452</c:v>
                </c:pt>
                <c:pt idx="21">
                  <c:v>16.099689437998489</c:v>
                </c:pt>
                <c:pt idx="22">
                  <c:v>16.478557495814286</c:v>
                </c:pt>
                <c:pt idx="23">
                  <c:v>16.848908400419131</c:v>
                </c:pt>
                <c:pt idx="24">
                  <c:v>17.211291974415268</c:v>
                </c:pt>
                <c:pt idx="25">
                  <c:v>17.566201313073599</c:v>
                </c:pt>
                <c:pt idx="26">
                  <c:v>17.914080655012295</c:v>
                </c:pt>
                <c:pt idx="27">
                  <c:v>18.255331902135957</c:v>
                </c:pt>
                <c:pt idx="28">
                  <c:v>18.590320061795602</c:v>
                </c:pt>
                <c:pt idx="29">
                  <c:v>18.919377821240769</c:v>
                </c:pt>
                <c:pt idx="30">
                  <c:v>19.242809417694556</c:v>
                </c:pt>
                <c:pt idx="31">
                  <c:v>19.560893932245826</c:v>
                </c:pt>
                <c:pt idx="32">
                  <c:v>19.873888109059802</c:v>
                </c:pt>
                <c:pt idx="33">
                  <c:v>20.182028780929972</c:v>
                </c:pt>
                <c:pt idx="34">
                  <c:v>20.485534966340101</c:v>
                </c:pt>
                <c:pt idx="35">
                  <c:v>20.784609690826528</c:v>
                </c:pt>
                <c:pt idx="36">
                  <c:v>21.079441575688314</c:v>
                </c:pt>
                <c:pt idx="37">
                  <c:v>21.370206229367895</c:v>
                </c:pt>
                <c:pt idx="38">
                  <c:v>21.657067470656582</c:v>
                </c:pt>
                <c:pt idx="39">
                  <c:v>21.940178407921589</c:v>
                </c:pt>
                <c:pt idx="40">
                  <c:v>22.219682394541234</c:v>
                </c:pt>
                <c:pt idx="41">
                  <c:v>22.495713877473257</c:v>
                </c:pt>
                <c:pt idx="42">
                  <c:v>22.768399153212332</c:v>
                </c:pt>
                <c:pt idx="43">
                  <c:v>23.037857043198638</c:v>
                </c:pt>
                <c:pt idx="44">
                  <c:v>23.304199498925389</c:v>
                </c:pt>
                <c:pt idx="45">
                  <c:v>23.567532145487181</c:v>
                </c:pt>
                <c:pt idx="46">
                  <c:v>23.827954771054703</c:v>
                </c:pt>
                <c:pt idx="47">
                  <c:v>24.085561768708775</c:v>
                </c:pt>
                <c:pt idx="48">
                  <c:v>24.340442536181275</c:v>
                </c:pt>
                <c:pt idx="49">
                  <c:v>24.592681838303037</c:v>
                </c:pt>
                <c:pt idx="50">
                  <c:v>24.842360136324753</c:v>
                </c:pt>
                <c:pt idx="51">
                  <c:v>25.089553887738106</c:v>
                </c:pt>
                <c:pt idx="52">
                  <c:v>25.334335819763886</c:v>
                </c:pt>
                <c:pt idx="53">
                  <c:v>25.576775179279906</c:v>
                </c:pt>
                <c:pt idx="54">
                  <c:v>25.816937961622902</c:v>
                </c:pt>
                <c:pt idx="55">
                  <c:v>26.054887120406853</c:v>
                </c:pt>
                <c:pt idx="56">
                  <c:v>26.290682760247975</c:v>
                </c:pt>
                <c:pt idx="57">
                  <c:v>26.524382314068259</c:v>
                </c:pt>
                <c:pt idx="58">
                  <c:v>26.756040706459434</c:v>
                </c:pt>
                <c:pt idx="59">
                  <c:v>26.985710504423846</c:v>
                </c:pt>
                <c:pt idx="60">
                  <c:v>27.213442056664359</c:v>
                </c:pt>
                <c:pt idx="61">
                  <c:v>27.439283622468821</c:v>
                </c:pt>
                <c:pt idx="62">
                  <c:v>27.663281491123627</c:v>
                </c:pt>
                <c:pt idx="63">
                  <c:v>27.957667964882969</c:v>
                </c:pt>
                <c:pt idx="64">
                  <c:v>28.411465351498972</c:v>
                </c:pt>
                <c:pt idx="65">
                  <c:v>28.865513684575074</c:v>
                </c:pt>
                <c:pt idx="66">
                  <c:v>29.319811584162323</c:v>
                </c:pt>
                <c:pt idx="67">
                  <c:v>29.774357703499803</c:v>
                </c:pt>
                <c:pt idx="68">
                  <c:v>30.229150727765205</c:v>
                </c:pt>
                <c:pt idx="69">
                  <c:v>30.694710862709652</c:v>
                </c:pt>
                <c:pt idx="70">
                  <c:v>31.161014597988576</c:v>
                </c:pt>
                <c:pt idx="71">
                  <c:v>31.628002426271209</c:v>
                </c:pt>
                <c:pt idx="72">
                  <c:v>32.095677704571678</c:v>
                </c:pt>
                <c:pt idx="73">
                  <c:v>32.564043811681465</c:v>
                </c:pt>
                <c:pt idx="74">
                  <c:v>33.033104148346155</c:v>
                </c:pt>
                <c:pt idx="75">
                  <c:v>33.50286213744414</c:v>
                </c:pt>
                <c:pt idx="76">
                  <c:v>33.973321224166966</c:v>
                </c:pt>
                <c:pt idx="77">
                  <c:v>34.44448487620145</c:v>
                </c:pt>
                <c:pt idx="78">
                  <c:v>34.916356583913618</c:v>
                </c:pt>
                <c:pt idx="79">
                  <c:v>35.388939860534393</c:v>
                </c:pt>
                <c:pt idx="80">
                  <c:v>35.862238242347225</c:v>
                </c:pt>
                <c:pt idx="81">
                  <c:v>36.336255288877432</c:v>
                </c:pt>
                <c:pt idx="82">
                  <c:v>36.810994583083435</c:v>
                </c:pt>
                <c:pt idx="83">
                  <c:v>37.286459731550039</c:v>
                </c:pt>
                <c:pt idx="84">
                  <c:v>37.762654364683456</c:v>
                </c:pt>
                <c:pt idx="85">
                  <c:v>38.23958213690824</c:v>
                </c:pt>
                <c:pt idx="86">
                  <c:v>38.717246726866414</c:v>
                </c:pt>
                <c:pt idx="87">
                  <c:v>39.1956518376183</c:v>
                </c:pt>
                <c:pt idx="88">
                  <c:v>39.674801196845557</c:v>
                </c:pt>
                <c:pt idx="89">
                  <c:v>40.154698557056115</c:v>
                </c:pt>
                <c:pt idx="90">
                  <c:v>40.635347695791268</c:v>
                </c:pt>
                <c:pt idx="91">
                  <c:v>41.116752415834696</c:v>
                </c:pt>
                <c:pt idx="92">
                  <c:v>41.598916545423812</c:v>
                </c:pt>
                <c:pt idx="93">
                  <c:v>42.081843938462981</c:v>
                </c:pt>
                <c:pt idx="94">
                  <c:v>42.565538474739071</c:v>
                </c:pt>
                <c:pt idx="95">
                  <c:v>43.050004060139116</c:v>
                </c:pt>
                <c:pt idx="96">
                  <c:v>43.535244626870124</c:v>
                </c:pt>
                <c:pt idx="97">
                  <c:v>44.021264133681242</c:v>
                </c:pt>
                <c:pt idx="98">
                  <c:v>44.508066566088054</c:v>
                </c:pt>
                <c:pt idx="99">
                  <c:v>44.995655936599164</c:v>
                </c:pt>
                <c:pt idx="100">
                  <c:v>45.484036284945255</c:v>
                </c:pt>
              </c:numCache>
            </c:numRef>
          </c:val>
          <c:smooth val="0"/>
          <c:extLst>
            <c:ext xmlns:c16="http://schemas.microsoft.com/office/drawing/2014/chart" uri="{C3380CC4-5D6E-409C-BE32-E72D297353CC}">
              <c16:uniqueId val="{00000001-FDDF-4115-9ADD-DED190BC6BDF}"/>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13.60672102833218</c:v>
                </c:pt>
                <c:pt idx="16">
                  <c:v>14.05296105045888</c:v>
                </c:pt>
                <c:pt idx="17">
                  <c:v>14.485460690933216</c:v>
                </c:pt>
                <c:pt idx="18">
                  <c:v>14.905416081794851</c:v>
                </c:pt>
                <c:pt idx="19">
                  <c:v>15.313859269115859</c:v>
                </c:pt>
                <c:pt idx="20">
                  <c:v>15.711688096991452</c:v>
                </c:pt>
                <c:pt idx="21">
                  <c:v>16.099689437998489</c:v>
                </c:pt>
                <c:pt idx="22">
                  <c:v>16.478557495814286</c:v>
                </c:pt>
                <c:pt idx="23">
                  <c:v>16.848908400419131</c:v>
                </c:pt>
                <c:pt idx="24">
                  <c:v>17.211291974415268</c:v>
                </c:pt>
                <c:pt idx="25">
                  <c:v>17.566201313073599</c:v>
                </c:pt>
                <c:pt idx="26">
                  <c:v>17.914080655012295</c:v>
                </c:pt>
                <c:pt idx="27">
                  <c:v>18.255331902135957</c:v>
                </c:pt>
                <c:pt idx="28">
                  <c:v>18.590320061795602</c:v>
                </c:pt>
                <c:pt idx="29">
                  <c:v>18.919377821240769</c:v>
                </c:pt>
                <c:pt idx="30">
                  <c:v>19.242809417694556</c:v>
                </c:pt>
                <c:pt idx="31">
                  <c:v>19.560893932245826</c:v>
                </c:pt>
                <c:pt idx="32">
                  <c:v>19.873888109059802</c:v>
                </c:pt>
                <c:pt idx="33">
                  <c:v>20.182028780929972</c:v>
                </c:pt>
                <c:pt idx="34">
                  <c:v>20.485534966340101</c:v>
                </c:pt>
                <c:pt idx="35">
                  <c:v>20.784609690826528</c:v>
                </c:pt>
                <c:pt idx="36">
                  <c:v>21.079441575688314</c:v>
                </c:pt>
                <c:pt idx="37">
                  <c:v>21.370206229367895</c:v>
                </c:pt>
                <c:pt idx="38">
                  <c:v>21.657067470656582</c:v>
                </c:pt>
                <c:pt idx="39">
                  <c:v>21.940178407921589</c:v>
                </c:pt>
                <c:pt idx="40">
                  <c:v>22.219682394541234</c:v>
                </c:pt>
                <c:pt idx="41">
                  <c:v>22.495713877473257</c:v>
                </c:pt>
                <c:pt idx="42">
                  <c:v>22.768399153212332</c:v>
                </c:pt>
                <c:pt idx="43">
                  <c:v>23.037857043198638</c:v>
                </c:pt>
                <c:pt idx="44">
                  <c:v>23.304199498925389</c:v>
                </c:pt>
                <c:pt idx="45">
                  <c:v>23.567532145487181</c:v>
                </c:pt>
                <c:pt idx="46">
                  <c:v>23.827954771054703</c:v>
                </c:pt>
                <c:pt idx="47">
                  <c:v>24.085561768708775</c:v>
                </c:pt>
                <c:pt idx="48">
                  <c:v>24.340442536181275</c:v>
                </c:pt>
                <c:pt idx="49">
                  <c:v>24.592681838303037</c:v>
                </c:pt>
                <c:pt idx="50">
                  <c:v>24.842360136324753</c:v>
                </c:pt>
                <c:pt idx="51">
                  <c:v>25.089553887738106</c:v>
                </c:pt>
                <c:pt idx="52">
                  <c:v>25.334335819763886</c:v>
                </c:pt>
                <c:pt idx="53">
                  <c:v>25.576775179279906</c:v>
                </c:pt>
                <c:pt idx="54">
                  <c:v>25.816937961622902</c:v>
                </c:pt>
                <c:pt idx="55">
                  <c:v>26.054887120406853</c:v>
                </c:pt>
                <c:pt idx="56">
                  <c:v>26.290682760247975</c:v>
                </c:pt>
                <c:pt idx="57">
                  <c:v>26.524382314068259</c:v>
                </c:pt>
                <c:pt idx="58">
                  <c:v>26.756040706459434</c:v>
                </c:pt>
                <c:pt idx="59">
                  <c:v>26.985710504423846</c:v>
                </c:pt>
                <c:pt idx="60">
                  <c:v>27.213442056664359</c:v>
                </c:pt>
                <c:pt idx="61">
                  <c:v>27.439283622468821</c:v>
                </c:pt>
                <c:pt idx="62">
                  <c:v>27.663281491123627</c:v>
                </c:pt>
                <c:pt idx="63">
                  <c:v>27.885480092693403</c:v>
                </c:pt>
                <c:pt idx="64">
                  <c:v>28.105922100917759</c:v>
                </c:pt>
                <c:pt idx="65">
                  <c:v>28.324648528899953</c:v>
                </c:pt>
                <c:pt idx="66">
                  <c:v>28.541698818195307</c:v>
                </c:pt>
                <c:pt idx="67">
                  <c:v>28.757110921847289</c:v>
                </c:pt>
                <c:pt idx="68">
                  <c:v>28.970921381866432</c:v>
                </c:pt>
                <c:pt idx="69">
                  <c:v>29.183165401599993</c:v>
                </c:pt>
                <c:pt idx="70">
                  <c:v>29.393876913398138</c:v>
                </c:pt>
                <c:pt idx="71">
                  <c:v>29.603088641945071</c:v>
                </c:pt>
                <c:pt idx="72">
                  <c:v>29.810832163589701</c:v>
                </c:pt>
                <c:pt idx="73">
                  <c:v>30.017137961980509</c:v>
                </c:pt>
                <c:pt idx="74">
                  <c:v>30.222035480282077</c:v>
                </c:pt>
                <c:pt idx="75">
                  <c:v>30.425553170226596</c:v>
                </c:pt>
                <c:pt idx="76">
                  <c:v>30.627718538231719</c:v>
                </c:pt>
                <c:pt idx="77">
                  <c:v>30.784639475146861</c:v>
                </c:pt>
                <c:pt idx="78">
                  <c:v>31.190898980121737</c:v>
                </c:pt>
                <c:pt idx="79">
                  <c:v>31.597289885300711</c:v>
                </c:pt>
                <c:pt idx="80">
                  <c:v>32.003811560208582</c:v>
                </c:pt>
                <c:pt idx="81">
                  <c:v>32.410463386661355</c:v>
                </c:pt>
                <c:pt idx="82">
                  <c:v>32.817950220912621</c:v>
                </c:pt>
                <c:pt idx="83">
                  <c:v>33.23162795061053</c:v>
                </c:pt>
                <c:pt idx="84">
                  <c:v>33.645661141300941</c:v>
                </c:pt>
                <c:pt idx="85">
                  <c:v>34.060051011771172</c:v>
                </c:pt>
                <c:pt idx="86">
                  <c:v>34.474798786290506</c:v>
                </c:pt>
                <c:pt idx="87">
                  <c:v>34.889905694640952</c:v>
                </c:pt>
                <c:pt idx="88">
                  <c:v>35.305372972148355</c:v>
                </c:pt>
                <c:pt idx="89">
                  <c:v>35.721201859713716</c:v>
                </c:pt>
                <c:pt idx="90">
                  <c:v>36.137393603844622</c:v>
                </c:pt>
                <c:pt idx="91">
                  <c:v>36.553949456686965</c:v>
                </c:pt>
                <c:pt idx="92">
                  <c:v>36.970870676056954</c:v>
                </c:pt>
                <c:pt idx="93">
                  <c:v>37.388158525473102</c:v>
                </c:pt>
                <c:pt idx="94">
                  <c:v>37.805814274188663</c:v>
                </c:pt>
                <c:pt idx="95">
                  <c:v>38.223839197224251</c:v>
                </c:pt>
                <c:pt idx="96">
                  <c:v>38.642234575400572</c:v>
                </c:pt>
                <c:pt idx="97">
                  <c:v>39.06100169537148</c:v>
                </c:pt>
                <c:pt idx="98">
                  <c:v>39.480141849657215</c:v>
                </c:pt>
                <c:pt idx="99">
                  <c:v>39.899656336677864</c:v>
                </c:pt>
                <c:pt idx="100">
                  <c:v>40.319546460787151</c:v>
                </c:pt>
              </c:numCache>
            </c:numRef>
          </c:val>
          <c:smooth val="0"/>
          <c:extLst>
            <c:ext xmlns:c16="http://schemas.microsoft.com/office/drawing/2014/chart" uri="{C3380CC4-5D6E-409C-BE32-E72D297353CC}">
              <c16:uniqueId val="{00000002-FDDF-4115-9ADD-DED190BC6BDF}"/>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1.0139488420356826</c:v>
                </c:pt>
                <c:pt idx="2">
                  <c:v>1.041846526107048</c:v>
                </c:pt>
                <c:pt idx="3">
                  <c:v>1.041846526107048</c:v>
                </c:pt>
                <c:pt idx="4">
                  <c:v>1.0557953681427306</c:v>
                </c:pt>
                <c:pt idx="5">
                  <c:v>1.0697442101784131</c:v>
                </c:pt>
                <c:pt idx="6">
                  <c:v>1.083693052214096</c:v>
                </c:pt>
                <c:pt idx="7">
                  <c:v>1.0976418942497785</c:v>
                </c:pt>
                <c:pt idx="8">
                  <c:v>1.1115907362854611</c:v>
                </c:pt>
                <c:pt idx="9">
                  <c:v>1.1255395783211437</c:v>
                </c:pt>
                <c:pt idx="10">
                  <c:v>1.1394884203568265</c:v>
                </c:pt>
                <c:pt idx="11">
                  <c:v>1.1534372623925091</c:v>
                </c:pt>
                <c:pt idx="12">
                  <c:v>1.1673861044281917</c:v>
                </c:pt>
                <c:pt idx="13">
                  <c:v>1.1813349464638745</c:v>
                </c:pt>
                <c:pt idx="14">
                  <c:v>1.1952837884995571</c:v>
                </c:pt>
                <c:pt idx="15">
                  <c:v>1.4025094037028487</c:v>
                </c:pt>
                <c:pt idx="16">
                  <c:v>1.7330575682411449</c:v>
                </c:pt>
                <c:pt idx="17">
                  <c:v>2.053427672296209</c:v>
                </c:pt>
                <c:pt idx="18">
                  <c:v>2.3645057396011233</c:v>
                </c:pt>
                <c:pt idx="19">
                  <c:v>2.6670562487277962</c:v>
                </c:pt>
                <c:pt idx="20">
                  <c:v>2.9617442693763838</c:v>
                </c:pt>
                <c:pt idx="21">
                  <c:v>3.2491526701223368</c:v>
                </c:pt>
                <c:pt idx="22">
                  <c:v>3.5297956759118163</c:v>
                </c:pt>
                <c:pt idx="23">
                  <c:v>3.8041296793228119</c:v>
                </c:pt>
                <c:pt idx="24">
                  <c:v>4.0725619563569877</c:v>
                </c:pt>
                <c:pt idx="25">
                  <c:v>4.3354577627705666</c:v>
                </c:pt>
                <c:pt idx="26">
                  <c:v>4.5931461642066385</c:v>
                </c:pt>
                <c:pt idx="27">
                  <c:v>4.8459248657797209</c:v>
                </c:pt>
                <c:pt idx="28">
                  <c:v>5.0940642433053833</c:v>
                </c:pt>
                <c:pt idx="29">
                  <c:v>5.3378107317832857</c:v>
                </c:pt>
                <c:pt idx="30">
                  <c:v>5.5773896921194233</c:v>
                </c:pt>
                <c:pt idx="31">
                  <c:v>5.8130078510462901</c:v>
                </c:pt>
                <c:pt idx="32">
                  <c:v>6.0448553894270143</c:v>
                </c:pt>
                <c:pt idx="33">
                  <c:v>6.2731077389604728</c:v>
                </c:pt>
                <c:pt idx="34">
                  <c:v>6.4979271355605679</c:v>
                </c:pt>
                <c:pt idx="35">
                  <c:v>6.7194639685134776</c:v>
                </c:pt>
                <c:pt idx="36">
                  <c:v>6.9378579572999852</c:v>
                </c:pt>
                <c:pt idx="37">
                  <c:v>7.1532391822478232</c:v>
                </c:pt>
                <c:pt idx="38">
                  <c:v>7.3657289906098136</c:v>
                </c:pt>
                <c:pt idx="39">
                  <c:v>7.5754407959912999</c:v>
                </c:pt>
                <c:pt idx="40">
                  <c:v>7.7824807860799261</c:v>
                </c:pt>
                <c:pt idx="41">
                  <c:v>7.9869485512147582</c:v>
                </c:pt>
                <c:pt idx="42">
                  <c:v>8.1889376443548123</c:v>
                </c:pt>
                <c:pt idx="43">
                  <c:v>8.3885360813817051</c:v>
                </c:pt>
                <c:pt idx="44">
                  <c:v>8.5858267893274469</c:v>
                </c:pt>
                <c:pt idx="45">
                  <c:v>8.7561031156957956</c:v>
                </c:pt>
                <c:pt idx="46">
                  <c:v>9.1561933161388716</c:v>
                </c:pt>
                <c:pt idx="47">
                  <c:v>9.5567310067489704</c:v>
                </c:pt>
                <c:pt idx="48">
                  <c:v>9.9577130499740889</c:v>
                </c:pt>
                <c:pt idx="49">
                  <c:v>10.359136415195456</c:v>
                </c:pt>
                <c:pt idx="50">
                  <c:v>10.760998173209604</c:v>
                </c:pt>
                <c:pt idx="51">
                  <c:v>11.166856375893445</c:v>
                </c:pt>
                <c:pt idx="52">
                  <c:v>11.583631609201252</c:v>
                </c:pt>
                <c:pt idx="53">
                  <c:v>12.001622822137488</c:v>
                </c:pt>
                <c:pt idx="54">
                  <c:v>12.420839794413229</c:v>
                </c:pt>
                <c:pt idx="55">
                  <c:v>12.841292410378042</c:v>
                </c:pt>
                <c:pt idx="56">
                  <c:v>13.262990660423217</c:v>
                </c:pt>
                <c:pt idx="57">
                  <c:v>13.685944642407678</c:v>
                </c:pt>
                <c:pt idx="58">
                  <c:v>14.110164563107039</c:v>
                </c:pt>
                <c:pt idx="59">
                  <c:v>14.535660739686014</c:v>
                </c:pt>
                <c:pt idx="60">
                  <c:v>14.962443601194924</c:v>
                </c:pt>
                <c:pt idx="61">
                  <c:v>15.390523690090536</c:v>
                </c:pt>
                <c:pt idx="62">
                  <c:v>15.819911663781804</c:v>
                </c:pt>
                <c:pt idx="63">
                  <c:v>16.250618296200948</c:v>
                </c:pt>
                <c:pt idx="64">
                  <c:v>16.68265447940038</c:v>
                </c:pt>
                <c:pt idx="65">
                  <c:v>17.116031225175949</c:v>
                </c:pt>
                <c:pt idx="66">
                  <c:v>17.550759666717088</c:v>
                </c:pt>
                <c:pt idx="67">
                  <c:v>17.986851060284202</c:v>
                </c:pt>
                <c:pt idx="68">
                  <c:v>18.424316786914087</c:v>
                </c:pt>
                <c:pt idx="69">
                  <c:v>18.863168354153707</c:v>
                </c:pt>
                <c:pt idx="70">
                  <c:v>19.303417397822944</c:v>
                </c:pt>
                <c:pt idx="71">
                  <c:v>19.745075683806981</c:v>
                </c:pt>
                <c:pt idx="72">
                  <c:v>20.188155109878732</c:v>
                </c:pt>
                <c:pt idx="73">
                  <c:v>20.632667707552091</c:v>
                </c:pt>
                <c:pt idx="74">
                  <c:v>21.078625643966465</c:v>
                </c:pt>
                <c:pt idx="75">
                  <c:v>21.526041223803215</c:v>
                </c:pt>
                <c:pt idx="76">
                  <c:v>21.974926891234851</c:v>
                </c:pt>
                <c:pt idx="77">
                  <c:v>22.425295231907242</c:v>
                </c:pt>
                <c:pt idx="78">
                  <c:v>22.877158974955936</c:v>
                </c:pt>
                <c:pt idx="79">
                  <c:v>23.3305309950569</c:v>
                </c:pt>
                <c:pt idx="80">
                  <c:v>23.785424314512696</c:v>
                </c:pt>
                <c:pt idx="81">
                  <c:v>24.241852105374406</c:v>
                </c:pt>
                <c:pt idx="82">
                  <c:v>24.699827691600529</c:v>
                </c:pt>
                <c:pt idx="83">
                  <c:v>25.159364551253187</c:v>
                </c:pt>
                <c:pt idx="84">
                  <c:v>25.6204763187325</c:v>
                </c:pt>
                <c:pt idx="85">
                  <c:v>26.083176787050089</c:v>
                </c:pt>
                <c:pt idx="86">
                  <c:v>26.547479910142304</c:v>
                </c:pt>
                <c:pt idx="87">
                  <c:v>27.013399805223976</c:v>
                </c:pt>
                <c:pt idx="88">
                  <c:v>27.480950755183745</c:v>
                </c:pt>
                <c:pt idx="89">
                  <c:v>27.950147211021573</c:v>
                </c:pt>
                <c:pt idx="90">
                  <c:v>28.421003794329476</c:v>
                </c:pt>
                <c:pt idx="91">
                  <c:v>28.893535299816278</c:v>
                </c:pt>
                <c:pt idx="92">
                  <c:v>29.367756697877365</c:v>
                </c:pt>
                <c:pt idx="93">
                  <c:v>29.843683137210355</c:v>
                </c:pt>
                <c:pt idx="94">
                  <c:v>30.32132994747754</c:v>
                </c:pt>
                <c:pt idx="95">
                  <c:v>30.800712642016386</c:v>
                </c:pt>
                <c:pt idx="96">
                  <c:v>31.281846920598685</c:v>
                </c:pt>
                <c:pt idx="97">
                  <c:v>31.764748672239705</c:v>
                </c:pt>
                <c:pt idx="98">
                  <c:v>32.249433978058256</c:v>
                </c:pt>
                <c:pt idx="99">
                  <c:v>32.735919114188818</c:v>
                </c:pt>
                <c:pt idx="100">
                  <c:v>33.224220554746729</c:v>
                </c:pt>
              </c:numCache>
            </c:numRef>
          </c:val>
          <c:smooth val="0"/>
          <c:extLst>
            <c:ext xmlns:c16="http://schemas.microsoft.com/office/drawing/2014/chart" uri="{C3380CC4-5D6E-409C-BE32-E72D297353CC}">
              <c16:uniqueId val="{00000000-3C9D-44D2-AF55-BD525814CC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Dual'!$AJ$5:$AJ$105</c:f>
              <c:numCache>
                <c:formatCode>0.000</c:formatCode>
                <c:ptCount val="101"/>
                <c:pt idx="0">
                  <c:v>1.0057142857142858</c:v>
                </c:pt>
                <c:pt idx="1">
                  <c:v>1.0139488420356826</c:v>
                </c:pt>
                <c:pt idx="2">
                  <c:v>1.0278976840713654</c:v>
                </c:pt>
                <c:pt idx="3">
                  <c:v>1.041846526107048</c:v>
                </c:pt>
                <c:pt idx="4">
                  <c:v>1.0557953681427306</c:v>
                </c:pt>
                <c:pt idx="5">
                  <c:v>1.0697442101784131</c:v>
                </c:pt>
                <c:pt idx="6">
                  <c:v>1.083693052214096</c:v>
                </c:pt>
                <c:pt idx="7">
                  <c:v>1.0976418942497785</c:v>
                </c:pt>
                <c:pt idx="8">
                  <c:v>1.1115907362854611</c:v>
                </c:pt>
                <c:pt idx="9">
                  <c:v>1.1255395783211437</c:v>
                </c:pt>
                <c:pt idx="10">
                  <c:v>1.1394884203568265</c:v>
                </c:pt>
                <c:pt idx="11">
                  <c:v>1.1534372623925091</c:v>
                </c:pt>
                <c:pt idx="12">
                  <c:v>1.1673861044281917</c:v>
                </c:pt>
                <c:pt idx="13">
                  <c:v>1.1813349464638745</c:v>
                </c:pt>
                <c:pt idx="14">
                  <c:v>1.1952837884995571</c:v>
                </c:pt>
                <c:pt idx="15">
                  <c:v>1.4025094037028487</c:v>
                </c:pt>
                <c:pt idx="16">
                  <c:v>1.7330575682411449</c:v>
                </c:pt>
                <c:pt idx="17">
                  <c:v>2.053427672296209</c:v>
                </c:pt>
                <c:pt idx="18">
                  <c:v>2.3645057396011233</c:v>
                </c:pt>
                <c:pt idx="19">
                  <c:v>2.6670562487277962</c:v>
                </c:pt>
                <c:pt idx="20">
                  <c:v>2.9617442693763838</c:v>
                </c:pt>
                <c:pt idx="21">
                  <c:v>3.2491526701223368</c:v>
                </c:pt>
                <c:pt idx="22">
                  <c:v>3.5297956759118163</c:v>
                </c:pt>
                <c:pt idx="23">
                  <c:v>3.8041296793228119</c:v>
                </c:pt>
                <c:pt idx="24">
                  <c:v>4.0725619563569877</c:v>
                </c:pt>
                <c:pt idx="25">
                  <c:v>4.3354577627705666</c:v>
                </c:pt>
                <c:pt idx="26">
                  <c:v>4.5931461642066385</c:v>
                </c:pt>
                <c:pt idx="27">
                  <c:v>4.8459248657797209</c:v>
                </c:pt>
                <c:pt idx="28">
                  <c:v>5.0940642433053833</c:v>
                </c:pt>
                <c:pt idx="29">
                  <c:v>5.3378107317832857</c:v>
                </c:pt>
                <c:pt idx="30">
                  <c:v>5.5773896921194233</c:v>
                </c:pt>
                <c:pt idx="31">
                  <c:v>5.8130078510462901</c:v>
                </c:pt>
                <c:pt idx="32">
                  <c:v>6.0448553894270143</c:v>
                </c:pt>
                <c:pt idx="33">
                  <c:v>6.2731077389604728</c:v>
                </c:pt>
                <c:pt idx="34">
                  <c:v>6.4979271355605679</c:v>
                </c:pt>
                <c:pt idx="35">
                  <c:v>6.7194639685134776</c:v>
                </c:pt>
                <c:pt idx="36">
                  <c:v>6.9378579572999852</c:v>
                </c:pt>
                <c:pt idx="37">
                  <c:v>7.1532391822478232</c:v>
                </c:pt>
                <c:pt idx="38">
                  <c:v>7.3657289906098136</c:v>
                </c:pt>
                <c:pt idx="39">
                  <c:v>7.5754407959912999</c:v>
                </c:pt>
                <c:pt idx="40">
                  <c:v>7.7824807860799261</c:v>
                </c:pt>
                <c:pt idx="41">
                  <c:v>7.9869485512147582</c:v>
                </c:pt>
                <c:pt idx="42">
                  <c:v>8.1889376443548123</c:v>
                </c:pt>
                <c:pt idx="43">
                  <c:v>8.3885360813817051</c:v>
                </c:pt>
                <c:pt idx="44">
                  <c:v>8.5858267893274469</c:v>
                </c:pt>
                <c:pt idx="45">
                  <c:v>8.7808880090028492</c:v>
                </c:pt>
                <c:pt idx="46">
                  <c:v>8.9737936575713828</c:v>
                </c:pt>
                <c:pt idx="47">
                  <c:v>9.1646136558336586</c:v>
                </c:pt>
                <c:pt idx="48">
                  <c:v>9.3534142243318072</c:v>
                </c:pt>
                <c:pt idx="49">
                  <c:v>9.5402581518294074</c:v>
                </c:pt>
                <c:pt idx="50">
                  <c:v>9.7252050392529021</c:v>
                </c:pt>
                <c:pt idx="51">
                  <c:v>9.9083115217813109</c:v>
                </c:pt>
                <c:pt idx="52">
                  <c:v>10.089631471430039</c:v>
                </c:pt>
                <c:pt idx="53">
                  <c:v>10.269216182182646</c:v>
                </c:pt>
                <c:pt idx="54">
                  <c:v>10.447114539473754</c:v>
                </c:pt>
                <c:pt idx="55">
                  <c:v>10.623373175610014</c:v>
                </c:pt>
                <c:pt idx="56">
                  <c:v>10.798036612529362</c:v>
                </c:pt>
                <c:pt idx="57">
                  <c:v>10.971147393136981</c:v>
                </c:pt>
                <c:pt idx="58">
                  <c:v>11.14274620231563</c:v>
                </c:pt>
                <c:pt idx="59">
                  <c:v>11.312871978585564</c:v>
                </c:pt>
                <c:pt idx="60">
                  <c:v>11.48156201728224</c:v>
                </c:pt>
                <c:pt idx="61">
                  <c:v>11.648852066026286</c:v>
                </c:pt>
                <c:pt idx="62">
                  <c:v>11.814776413177993</c:v>
                </c:pt>
                <c:pt idx="63">
                  <c:v>12.032840467814543</c:v>
                </c:pt>
                <c:pt idx="64">
                  <c:v>12.368986680122694</c:v>
                </c:pt>
                <c:pt idx="65">
                  <c:v>12.705318778697585</c:v>
                </c:pt>
                <c:pt idx="66">
                  <c:v>13.041835741354806</c:v>
                </c:pt>
                <c:pt idx="67">
                  <c:v>13.378536570493678</c:v>
                </c:pt>
                <c:pt idx="68">
                  <c:v>13.715420292171757</c:v>
                </c:pt>
                <c:pt idx="69">
                  <c:v>14.060279651389866</c:v>
                </c:pt>
                <c:pt idx="70">
                  <c:v>14.405689825670546</c:v>
                </c:pt>
                <c:pt idx="71">
                  <c:v>14.751606735509535</c:v>
                </c:pt>
                <c:pt idx="72">
                  <c:v>15.098032867583957</c:v>
                </c:pt>
                <c:pt idx="73">
                  <c:v>15.444970724702319</c:v>
                </c:pt>
                <c:pt idx="74">
                  <c:v>15.792422825935422</c:v>
                </c:pt>
                <c:pt idx="75">
                  <c:v>16.140391706748744</c:v>
                </c:pt>
                <c:pt idx="76">
                  <c:v>16.488879919136021</c:v>
                </c:pt>
                <c:pt idx="77">
                  <c:v>16.837890031754156</c:v>
                </c:pt>
                <c:pt idx="78">
                  <c:v>17.187424630059468</c:v>
                </c:pt>
                <c:pt idx="79">
                  <c:v>17.537486316445225</c:v>
                </c:pt>
                <c:pt idx="80">
                  <c:v>17.888077710380657</c:v>
                </c:pt>
                <c:pt idx="81">
                  <c:v>18.239201448551182</c:v>
                </c:pt>
                <c:pt idx="82">
                  <c:v>18.590860185000075</c:v>
                </c:pt>
                <c:pt idx="83">
                  <c:v>18.943056591271631</c:v>
                </c:pt>
                <c:pt idx="84">
                  <c:v>19.295793356555642</c:v>
                </c:pt>
                <c:pt idx="85">
                  <c:v>19.64907318783326</c:v>
                </c:pt>
                <c:pt idx="86">
                  <c:v>20.002898810024501</c:v>
                </c:pt>
                <c:pt idx="87">
                  <c:v>20.35727296613701</c:v>
                </c:pt>
                <c:pt idx="88">
                  <c:v>20.71219841741646</c:v>
                </c:pt>
                <c:pt idx="89">
                  <c:v>21.067677943498353</c:v>
                </c:pt>
                <c:pt idx="90">
                  <c:v>21.423714342561432</c:v>
                </c:pt>
                <c:pt idx="91">
                  <c:v>21.780310431482487</c:v>
                </c:pt>
                <c:pt idx="92">
                  <c:v>22.137469045992944</c:v>
                </c:pt>
                <c:pt idx="93">
                  <c:v>22.495193040836774</c:v>
                </c:pt>
                <c:pt idx="94">
                  <c:v>22.853485289930173</c:v>
                </c:pt>
                <c:pt idx="95">
                  <c:v>23.212348686522798</c:v>
                </c:pt>
                <c:pt idx="96">
                  <c:v>23.571786143360583</c:v>
                </c:pt>
                <c:pt idx="97">
                  <c:v>23.931800592850301</c:v>
                </c:pt>
                <c:pt idx="98">
                  <c:v>24.292394987225716</c:v>
                </c:pt>
                <c:pt idx="99">
                  <c:v>24.653572298715428</c:v>
                </c:pt>
                <c:pt idx="100">
                  <c:v>25.015335519712533</c:v>
                </c:pt>
              </c:numCache>
            </c:numRef>
          </c:val>
          <c:smooth val="0"/>
          <c:extLst>
            <c:ext xmlns:c16="http://schemas.microsoft.com/office/drawing/2014/chart" uri="{C3380CC4-5D6E-409C-BE32-E72D297353CC}">
              <c16:uniqueId val="{00000001-3C9D-44D2-AF55-BD525814CC37}"/>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1.0139486756995277</c:v>
                </c:pt>
                <c:pt idx="2">
                  <c:v>1.0278973513990557</c:v>
                </c:pt>
                <c:pt idx="3">
                  <c:v>1.0418460270985834</c:v>
                </c:pt>
                <c:pt idx="4">
                  <c:v>1.0557947027981114</c:v>
                </c:pt>
                <c:pt idx="5">
                  <c:v>1.0697433784976391</c:v>
                </c:pt>
                <c:pt idx="6">
                  <c:v>1.0836920541971669</c:v>
                </c:pt>
                <c:pt idx="7">
                  <c:v>1.0976407298966948</c:v>
                </c:pt>
                <c:pt idx="8">
                  <c:v>1.1115894055962225</c:v>
                </c:pt>
                <c:pt idx="9">
                  <c:v>1.1255380812957503</c:v>
                </c:pt>
                <c:pt idx="10">
                  <c:v>1.1394867569952782</c:v>
                </c:pt>
                <c:pt idx="11">
                  <c:v>1.153435432694806</c:v>
                </c:pt>
                <c:pt idx="12">
                  <c:v>1.1673841083943339</c:v>
                </c:pt>
                <c:pt idx="13">
                  <c:v>1.1813327840938617</c:v>
                </c:pt>
                <c:pt idx="14">
                  <c:v>1.1952814597933894</c:v>
                </c:pt>
                <c:pt idx="15">
                  <c:v>1.4025094037028487</c:v>
                </c:pt>
                <c:pt idx="16">
                  <c:v>1.7330575682411449</c:v>
                </c:pt>
                <c:pt idx="17">
                  <c:v>2.053427672296209</c:v>
                </c:pt>
                <c:pt idx="18">
                  <c:v>2.3645057396011233</c:v>
                </c:pt>
                <c:pt idx="19">
                  <c:v>2.6670562487277962</c:v>
                </c:pt>
                <c:pt idx="20">
                  <c:v>2.9617442693763838</c:v>
                </c:pt>
                <c:pt idx="21">
                  <c:v>3.2491526701223368</c:v>
                </c:pt>
                <c:pt idx="22">
                  <c:v>3.5297956759118163</c:v>
                </c:pt>
                <c:pt idx="23">
                  <c:v>3.8041296793228119</c:v>
                </c:pt>
                <c:pt idx="24">
                  <c:v>4.0725619563569877</c:v>
                </c:pt>
                <c:pt idx="25">
                  <c:v>4.3354577627705666</c:v>
                </c:pt>
                <c:pt idx="26">
                  <c:v>4.5931461642066385</c:v>
                </c:pt>
                <c:pt idx="27">
                  <c:v>4.8459248657797209</c:v>
                </c:pt>
                <c:pt idx="28">
                  <c:v>5.0940642433053833</c:v>
                </c:pt>
                <c:pt idx="29">
                  <c:v>5.3378107317832857</c:v>
                </c:pt>
                <c:pt idx="30">
                  <c:v>5.5773896921194233</c:v>
                </c:pt>
                <c:pt idx="31">
                  <c:v>5.8130078510462901</c:v>
                </c:pt>
                <c:pt idx="32">
                  <c:v>6.0448553894270143</c:v>
                </c:pt>
                <c:pt idx="33">
                  <c:v>6.2731077389604728</c:v>
                </c:pt>
                <c:pt idx="34">
                  <c:v>6.4979271355605679</c:v>
                </c:pt>
                <c:pt idx="35">
                  <c:v>6.7194639685134776</c:v>
                </c:pt>
                <c:pt idx="36">
                  <c:v>6.9378579572999852</c:v>
                </c:pt>
                <c:pt idx="37">
                  <c:v>7.1532391822478232</c:v>
                </c:pt>
                <c:pt idx="38">
                  <c:v>7.3657289906098136</c:v>
                </c:pt>
                <c:pt idx="39">
                  <c:v>7.5754407959912999</c:v>
                </c:pt>
                <c:pt idx="40">
                  <c:v>7.7824807860799261</c:v>
                </c:pt>
                <c:pt idx="41">
                  <c:v>7.9869485512147582</c:v>
                </c:pt>
                <c:pt idx="42">
                  <c:v>8.1889376443548123</c:v>
                </c:pt>
                <c:pt idx="43">
                  <c:v>8.3885360813817051</c:v>
                </c:pt>
                <c:pt idx="44">
                  <c:v>8.5858267893274469</c:v>
                </c:pt>
                <c:pt idx="45">
                  <c:v>8.7808880090028492</c:v>
                </c:pt>
                <c:pt idx="46">
                  <c:v>8.9737936575713828</c:v>
                </c:pt>
                <c:pt idx="47">
                  <c:v>9.1646136558336586</c:v>
                </c:pt>
                <c:pt idx="48">
                  <c:v>9.3534142243318072</c:v>
                </c:pt>
                <c:pt idx="49">
                  <c:v>9.5402581518294074</c:v>
                </c:pt>
                <c:pt idx="50">
                  <c:v>9.7252050392529021</c:v>
                </c:pt>
                <c:pt idx="51">
                  <c:v>9.9083115217813109</c:v>
                </c:pt>
                <c:pt idx="52">
                  <c:v>10.089631471430039</c:v>
                </c:pt>
                <c:pt idx="53">
                  <c:v>10.269216182182646</c:v>
                </c:pt>
                <c:pt idx="54">
                  <c:v>10.447114539473754</c:v>
                </c:pt>
                <c:pt idx="55">
                  <c:v>10.623373175610014</c:v>
                </c:pt>
                <c:pt idx="56">
                  <c:v>10.798036612529362</c:v>
                </c:pt>
                <c:pt idx="57">
                  <c:v>10.971147393136981</c:v>
                </c:pt>
                <c:pt idx="58">
                  <c:v>11.14274620231563</c:v>
                </c:pt>
                <c:pt idx="59">
                  <c:v>11.312871978585564</c:v>
                </c:pt>
                <c:pt idx="60">
                  <c:v>11.48156201728224</c:v>
                </c:pt>
                <c:pt idx="61">
                  <c:v>11.648852066026286</c:v>
                </c:pt>
                <c:pt idx="62">
                  <c:v>11.814776413177993</c:v>
                </c:pt>
                <c:pt idx="63">
                  <c:v>11.979367969896346</c:v>
                </c:pt>
                <c:pt idx="64">
                  <c:v>12.142658346358832</c:v>
                </c:pt>
                <c:pt idx="65">
                  <c:v>12.30467792264194</c:v>
                </c:pt>
                <c:pt idx="66">
                  <c:v>12.465455914712573</c:v>
                </c:pt>
                <c:pt idx="67">
                  <c:v>12.625020435936262</c:v>
                </c:pt>
                <c:pt idx="68">
                  <c:v>12.783398554468961</c:v>
                </c:pt>
                <c:pt idx="69">
                  <c:v>12.940616346864191</c:v>
                </c:pt>
                <c:pt idx="70">
                  <c:v>13.096698948196149</c:v>
                </c:pt>
                <c:pt idx="71">
                  <c:v>13.251670598971655</c:v>
                </c:pt>
                <c:pt idx="72">
                  <c:v>13.405554689078787</c:v>
                </c:pt>
                <c:pt idx="73">
                  <c:v>13.558373798997906</c:v>
                </c:pt>
                <c:pt idx="74">
                  <c:v>13.710149738480551</c:v>
                </c:pt>
                <c:pt idx="75">
                  <c:v>13.860903582883898</c:v>
                </c:pt>
                <c:pt idx="76">
                  <c:v>14.010655707332134</c:v>
                </c:pt>
                <c:pt idx="77">
                  <c:v>14.126893438380389</c:v>
                </c:pt>
                <c:pt idx="78">
                  <c:v>14.427826405028444</c:v>
                </c:pt>
                <c:pt idx="79">
                  <c:v>14.728856705161018</c:v>
                </c:pt>
                <c:pt idx="80">
                  <c:v>15.029983871759441</c:v>
                </c:pt>
                <c:pt idx="81">
                  <c:v>15.331207446909644</c:v>
                </c:pt>
                <c:pt idx="82">
                  <c:v>15.633049546355025</c:v>
                </c:pt>
                <c:pt idx="83">
                  <c:v>15.939477494279402</c:v>
                </c:pt>
                <c:pt idx="84">
                  <c:v>16.24616874664267</c:v>
                </c:pt>
                <c:pt idx="85">
                  <c:v>16.553124206250249</c:v>
                </c:pt>
                <c:pt idx="86">
                  <c:v>16.860344779968273</c:v>
                </c:pt>
                <c:pt idx="87">
                  <c:v>17.167831378746381</c:v>
                </c:pt>
                <c:pt idx="88">
                  <c:v>17.475584917640752</c:v>
                </c:pt>
                <c:pt idx="89">
                  <c:v>17.783606315837318</c:v>
                </c:pt>
                <c:pt idx="90">
                  <c:v>18.091896496675027</c:v>
                </c:pt>
                <c:pt idx="91">
                  <c:v>18.400456387669355</c:v>
                </c:pt>
                <c:pt idx="92">
                  <c:v>18.709286920536012</c:v>
                </c:pt>
                <c:pt idx="93">
                  <c:v>19.018389031214642</c:v>
                </c:pt>
                <c:pt idx="94">
                  <c:v>19.327763659892831</c:v>
                </c:pt>
                <c:pt idx="95">
                  <c:v>19.637411751030307</c:v>
                </c:pt>
                <c:pt idx="96">
                  <c:v>19.947334253383136</c:v>
                </c:pt>
                <c:pt idx="97">
                  <c:v>20.257532120028252</c:v>
                </c:pt>
                <c:pt idx="98">
                  <c:v>20.56800630838806</c:v>
                </c:pt>
                <c:pt idx="99">
                  <c:v>20.878757780255206</c:v>
                </c:pt>
                <c:pt idx="100">
                  <c:v>21.189787501817641</c:v>
                </c:pt>
              </c:numCache>
            </c:numRef>
          </c:val>
          <c:smooth val="0"/>
          <c:extLst>
            <c:ext xmlns:c16="http://schemas.microsoft.com/office/drawing/2014/chart" uri="{C3380CC4-5D6E-409C-BE32-E72D297353CC}">
              <c16:uniqueId val="{00000002-3C9D-44D2-AF55-BD525814CC37}"/>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Calculations'!$AD$13:$AD$613</c:f>
              <c:numCache>
                <c:formatCode>0.00</c:formatCode>
                <c:ptCount val="601"/>
                <c:pt idx="0">
                  <c:v>84.00270601594363</c:v>
                </c:pt>
                <c:pt idx="1">
                  <c:v>83.20823112245958</c:v>
                </c:pt>
                <c:pt idx="2">
                  <c:v>82.412900458977788</c:v>
                </c:pt>
                <c:pt idx="3">
                  <c:v>81.616840998218379</c:v>
                </c:pt>
                <c:pt idx="4">
                  <c:v>80.820680084955313</c:v>
                </c:pt>
                <c:pt idx="5">
                  <c:v>80.023182062162363</c:v>
                </c:pt>
                <c:pt idx="6">
                  <c:v>79.225554188314206</c:v>
                </c:pt>
                <c:pt idx="7">
                  <c:v>78.427334403333305</c:v>
                </c:pt>
                <c:pt idx="8">
                  <c:v>77.629158549167471</c:v>
                </c:pt>
                <c:pt idx="9">
                  <c:v>76.830468457634595</c:v>
                </c:pt>
                <c:pt idx="10">
                  <c:v>76.031763074963095</c:v>
                </c:pt>
                <c:pt idx="11">
                  <c:v>75.232963414883955</c:v>
                </c:pt>
                <c:pt idx="12">
                  <c:v>74.433677502663699</c:v>
                </c:pt>
                <c:pt idx="13">
                  <c:v>73.634700931183275</c:v>
                </c:pt>
                <c:pt idx="14">
                  <c:v>72.835421576123196</c:v>
                </c:pt>
                <c:pt idx="15">
                  <c:v>72.036171159854547</c:v>
                </c:pt>
                <c:pt idx="16">
                  <c:v>71.236908980113157</c:v>
                </c:pt>
                <c:pt idx="17">
                  <c:v>70.43777252268967</c:v>
                </c:pt>
                <c:pt idx="18">
                  <c:v>69.63855436434342</c:v>
                </c:pt>
                <c:pt idx="19">
                  <c:v>68.839495440169003</c:v>
                </c:pt>
                <c:pt idx="20">
                  <c:v>68.040464994124733</c:v>
                </c:pt>
                <c:pt idx="21">
                  <c:v>67.241657983789779</c:v>
                </c:pt>
                <c:pt idx="22">
                  <c:v>66.442940407593341</c:v>
                </c:pt>
                <c:pt idx="23">
                  <c:v>65.644552542642344</c:v>
                </c:pt>
                <c:pt idx="24">
                  <c:v>64.846341452197223</c:v>
                </c:pt>
                <c:pt idx="25">
                  <c:v>64.048490373923272</c:v>
                </c:pt>
                <c:pt idx="26">
                  <c:v>63.250884647296566</c:v>
                </c:pt>
                <c:pt idx="27">
                  <c:v>62.453863293891047</c:v>
                </c:pt>
                <c:pt idx="28">
                  <c:v>61.657496988776821</c:v>
                </c:pt>
                <c:pt idx="29">
                  <c:v>60.862401552485949</c:v>
                </c:pt>
                <c:pt idx="30">
                  <c:v>60.067378999204415</c:v>
                </c:pt>
                <c:pt idx="31">
                  <c:v>59.273716057120524</c:v>
                </c:pt>
                <c:pt idx="32">
                  <c:v>58.481083683207054</c:v>
                </c:pt>
                <c:pt idx="33">
                  <c:v>57.690296581977648</c:v>
                </c:pt>
                <c:pt idx="34">
                  <c:v>56.901043362707924</c:v>
                </c:pt>
                <c:pt idx="35">
                  <c:v>56.114124179224511</c:v>
                </c:pt>
                <c:pt idx="36">
                  <c:v>55.329840257607536</c:v>
                </c:pt>
                <c:pt idx="37">
                  <c:v>54.548272320450558</c:v>
                </c:pt>
                <c:pt idx="38">
                  <c:v>53.770757284598083</c:v>
                </c:pt>
                <c:pt idx="39">
                  <c:v>52.997366562533529</c:v>
                </c:pt>
                <c:pt idx="40">
                  <c:v>52.229214544812464</c:v>
                </c:pt>
                <c:pt idx="41">
                  <c:v>51.467193268799498</c:v>
                </c:pt>
                <c:pt idx="42">
                  <c:v>50.712520375914771</c:v>
                </c:pt>
                <c:pt idx="43">
                  <c:v>49.966260687180657</c:v>
                </c:pt>
                <c:pt idx="44">
                  <c:v>49.230087144500054</c:v>
                </c:pt>
                <c:pt idx="45">
                  <c:v>48.505524795664314</c:v>
                </c:pt>
                <c:pt idx="46">
                  <c:v>47.794599273816011</c:v>
                </c:pt>
                <c:pt idx="47">
                  <c:v>47.099241276000484</c:v>
                </c:pt>
                <c:pt idx="48">
                  <c:v>46.421894713005443</c:v>
                </c:pt>
                <c:pt idx="49">
                  <c:v>45.764821330614694</c:v>
                </c:pt>
                <c:pt idx="50">
                  <c:v>45.130675351356103</c:v>
                </c:pt>
                <c:pt idx="51">
                  <c:v>44.521914954948983</c:v>
                </c:pt>
                <c:pt idx="52">
                  <c:v>43.941300992261596</c:v>
                </c:pt>
                <c:pt idx="53">
                  <c:v>43.391227680790152</c:v>
                </c:pt>
                <c:pt idx="54">
                  <c:v>42.874171814344528</c:v>
                </c:pt>
                <c:pt idx="55">
                  <c:v>42.391080571327819</c:v>
                </c:pt>
                <c:pt idx="56">
                  <c:v>41.943995063039992</c:v>
                </c:pt>
                <c:pt idx="57">
                  <c:v>41.533386554085823</c:v>
                </c:pt>
                <c:pt idx="58">
                  <c:v>41.159714147133961</c:v>
                </c:pt>
                <c:pt idx="59">
                  <c:v>40.822241956404454</c:v>
                </c:pt>
                <c:pt idx="60">
                  <c:v>40.520135365712108</c:v>
                </c:pt>
                <c:pt idx="61">
                  <c:v>40.251779477580655</c:v>
                </c:pt>
                <c:pt idx="62">
                  <c:v>40.015066741575318</c:v>
                </c:pt>
                <c:pt idx="63">
                  <c:v>39.807921491637003</c:v>
                </c:pt>
                <c:pt idx="64">
                  <c:v>39.627665381663228</c:v>
                </c:pt>
                <c:pt idx="65">
                  <c:v>39.471779048317678</c:v>
                </c:pt>
                <c:pt idx="66">
                  <c:v>39.337651029011766</c:v>
                </c:pt>
                <c:pt idx="67">
                  <c:v>39.222779285774905</c:v>
                </c:pt>
                <c:pt idx="68">
                  <c:v>39.124749628655017</c:v>
                </c:pt>
                <c:pt idx="69">
                  <c:v>39.041382397520259</c:v>
                </c:pt>
                <c:pt idx="70">
                  <c:v>38.970648621133648</c:v>
                </c:pt>
                <c:pt idx="71">
                  <c:v>38.910754203077104</c:v>
                </c:pt>
                <c:pt idx="72">
                  <c:v>38.860078964818968</c:v>
                </c:pt>
                <c:pt idx="73">
                  <c:v>38.817219346475568</c:v>
                </c:pt>
                <c:pt idx="74">
                  <c:v>38.780925251844607</c:v>
                </c:pt>
                <c:pt idx="75">
                  <c:v>38.750123849040065</c:v>
                </c:pt>
                <c:pt idx="76">
                  <c:v>38.723870877568928</c:v>
                </c:pt>
                <c:pt idx="77">
                  <c:v>38.701359406435522</c:v>
                </c:pt>
                <c:pt idx="78">
                  <c:v>38.68187605082997</c:v>
                </c:pt>
                <c:pt idx="79">
                  <c:v>38.664805759329234</c:v>
                </c:pt>
                <c:pt idx="80">
                  <c:v>38.649566907881272</c:v>
                </c:pt>
                <c:pt idx="81">
                  <c:v>38.635683937491187</c:v>
                </c:pt>
                <c:pt idx="82">
                  <c:v>38.622689342207778</c:v>
                </c:pt>
                <c:pt idx="83">
                  <c:v>38.610161929312156</c:v>
                </c:pt>
                <c:pt idx="84">
                  <c:v>38.597675779029089</c:v>
                </c:pt>
                <c:pt idx="85">
                  <c:v>38.584823259013319</c:v>
                </c:pt>
                <c:pt idx="86">
                  <c:v>38.571176641318942</c:v>
                </c:pt>
                <c:pt idx="87">
                  <c:v>38.556277528293272</c:v>
                </c:pt>
                <c:pt idx="88">
                  <c:v>38.539652007415754</c:v>
                </c:pt>
                <c:pt idx="89">
                  <c:v>38.520746828055024</c:v>
                </c:pt>
                <c:pt idx="90">
                  <c:v>38.498960901409184</c:v>
                </c:pt>
                <c:pt idx="91">
                  <c:v>38.473601922782265</c:v>
                </c:pt>
                <c:pt idx="92">
                  <c:v>38.443883148816667</c:v>
                </c:pt>
                <c:pt idx="93">
                  <c:v>38.408886173165385</c:v>
                </c:pt>
                <c:pt idx="94">
                  <c:v>38.399197572069298</c:v>
                </c:pt>
                <c:pt idx="95">
                  <c:v>38.394168741122215</c:v>
                </c:pt>
                <c:pt idx="96">
                  <c:v>38.389092782809648</c:v>
                </c:pt>
                <c:pt idx="97">
                  <c:v>38.383850376980739</c:v>
                </c:pt>
                <c:pt idx="98">
                  <c:v>38.378558644442627</c:v>
                </c:pt>
                <c:pt idx="99">
                  <c:v>38.373091837033357</c:v>
                </c:pt>
                <c:pt idx="100">
                  <c:v>38.367573425320657</c:v>
                </c:pt>
                <c:pt idx="101">
                  <c:v>38.361875297925764</c:v>
                </c:pt>
                <c:pt idx="102">
                  <c:v>38.356123289995324</c:v>
                </c:pt>
                <c:pt idx="103">
                  <c:v>38.350178172726487</c:v>
                </c:pt>
                <c:pt idx="104">
                  <c:v>38.344176740448404</c:v>
                </c:pt>
                <c:pt idx="105">
                  <c:v>38.337977139165304</c:v>
                </c:pt>
                <c:pt idx="106">
                  <c:v>38.331718792718142</c:v>
                </c:pt>
                <c:pt idx="107">
                  <c:v>38.325257173555379</c:v>
                </c:pt>
                <c:pt idx="108">
                  <c:v>38.318734388473317</c:v>
                </c:pt>
                <c:pt idx="109">
                  <c:v>38.311998583733882</c:v>
                </c:pt>
                <c:pt idx="110">
                  <c:v>38.305199120325668</c:v>
                </c:pt>
                <c:pt idx="111">
                  <c:v>38.298171903825285</c:v>
                </c:pt>
                <c:pt idx="112">
                  <c:v>38.291078377241689</c:v>
                </c:pt>
                <c:pt idx="113">
                  <c:v>38.283751368463072</c:v>
                </c:pt>
                <c:pt idx="114">
                  <c:v>38.27635541634934</c:v>
                </c:pt>
                <c:pt idx="115">
                  <c:v>38.268715351127149</c:v>
                </c:pt>
                <c:pt idx="116">
                  <c:v>38.261003643137684</c:v>
                </c:pt>
                <c:pt idx="117">
                  <c:v>38.253036896187552</c:v>
                </c:pt>
                <c:pt idx="118">
                  <c:v>38.244995743958107</c:v>
                </c:pt>
                <c:pt idx="119">
                  <c:v>38.23669339102598</c:v>
                </c:pt>
                <c:pt idx="120">
                  <c:v>38.228313904321837</c:v>
                </c:pt>
                <c:pt idx="121">
                  <c:v>38.219661894754552</c:v>
                </c:pt>
                <c:pt idx="122">
                  <c:v>38.210929969909905</c:v>
                </c:pt>
                <c:pt idx="123">
                  <c:v>38.201908668162773</c:v>
                </c:pt>
                <c:pt idx="124">
                  <c:v>38.19280452582516</c:v>
                </c:pt>
                <c:pt idx="125">
                  <c:v>38.183404269371685</c:v>
                </c:pt>
                <c:pt idx="126">
                  <c:v>38.173918299559098</c:v>
                </c:pt>
                <c:pt idx="127">
                  <c:v>38.164124050532003</c:v>
                </c:pt>
                <c:pt idx="128">
                  <c:v>38.154241179198259</c:v>
                </c:pt>
                <c:pt idx="129">
                  <c:v>38.144037594056677</c:v>
                </c:pt>
                <c:pt idx="130">
                  <c:v>38.133742448538548</c:v>
                </c:pt>
                <c:pt idx="131">
                  <c:v>38.123113892407353</c:v>
                </c:pt>
                <c:pt idx="132">
                  <c:v>38.117764126363006</c:v>
                </c:pt>
                <c:pt idx="133">
                  <c:v>38.112390816546238</c:v>
                </c:pt>
                <c:pt idx="134">
                  <c:v>38.106865474129478</c:v>
                </c:pt>
                <c:pt idx="135">
                  <c:v>38.101315639656605</c:v>
                </c:pt>
                <c:pt idx="136">
                  <c:v>38.095741407069468</c:v>
                </c:pt>
                <c:pt idx="137">
                  <c:v>38.090142870740898</c:v>
                </c:pt>
                <c:pt idx="138">
                  <c:v>38.084392187359363</c:v>
                </c:pt>
                <c:pt idx="139">
                  <c:v>38.07861628510399</c:v>
                </c:pt>
                <c:pt idx="140">
                  <c:v>38.072815266225597</c:v>
                </c:pt>
                <c:pt idx="141">
                  <c:v>38.066989233383296</c:v>
                </c:pt>
                <c:pt idx="142">
                  <c:v>38.060999242218955</c:v>
                </c:pt>
                <c:pt idx="143">
                  <c:v>38.054983255660744</c:v>
                </c:pt>
                <c:pt idx="144">
                  <c:v>38.048941385078635</c:v>
                </c:pt>
                <c:pt idx="145">
                  <c:v>38.042873742227187</c:v>
                </c:pt>
                <c:pt idx="146">
                  <c:v>38.036638990043542</c:v>
                </c:pt>
                <c:pt idx="147">
                  <c:v>38.030377495639655</c:v>
                </c:pt>
                <c:pt idx="148">
                  <c:v>38.024089379869764</c:v>
                </c:pt>
                <c:pt idx="149">
                  <c:v>38.017774763944885</c:v>
                </c:pt>
                <c:pt idx="150">
                  <c:v>38.011286845792846</c:v>
                </c:pt>
                <c:pt idx="151">
                  <c:v>38.004771445651599</c:v>
                </c:pt>
                <c:pt idx="152">
                  <c:v>37.998228694396126</c:v>
                </c:pt>
                <c:pt idx="153">
                  <c:v>37.991658723226685</c:v>
                </c:pt>
                <c:pt idx="154">
                  <c:v>37.98490604036833</c:v>
                </c:pt>
                <c:pt idx="155">
                  <c:v>37.978125120084059</c:v>
                </c:pt>
                <c:pt idx="156">
                  <c:v>37.971316104016907</c:v>
                </c:pt>
                <c:pt idx="157">
                  <c:v>37.964479134099733</c:v>
                </c:pt>
                <c:pt idx="158">
                  <c:v>37.957452978488305</c:v>
                </c:pt>
                <c:pt idx="159">
                  <c:v>37.950397843790391</c:v>
                </c:pt>
                <c:pt idx="160">
                  <c:v>37.943313883003412</c:v>
                </c:pt>
                <c:pt idx="161">
                  <c:v>37.936201249374115</c:v>
                </c:pt>
                <c:pt idx="162">
                  <c:v>37.928896078398601</c:v>
                </c:pt>
                <c:pt idx="163">
                  <c:v>37.921561230184743</c:v>
                </c:pt>
                <c:pt idx="164">
                  <c:v>37.914196869464007</c:v>
                </c:pt>
                <c:pt idx="165">
                  <c:v>37.906803161170352</c:v>
                </c:pt>
                <c:pt idx="166">
                  <c:v>37.899203803094892</c:v>
                </c:pt>
                <c:pt idx="167">
                  <c:v>37.891574038720215</c:v>
                </c:pt>
                <c:pt idx="168">
                  <c:v>37.883914045550689</c:v>
                </c:pt>
                <c:pt idx="169">
                  <c:v>37.876224001240431</c:v>
                </c:pt>
                <c:pt idx="170">
                  <c:v>37.868338094012458</c:v>
                </c:pt>
                <c:pt idx="171">
                  <c:v>37.860421207159106</c:v>
                </c:pt>
                <c:pt idx="172">
                  <c:v>37.852473530390597</c:v>
                </c:pt>
                <c:pt idx="173">
                  <c:v>37.844495253505848</c:v>
                </c:pt>
                <c:pt idx="174">
                  <c:v>37.83628427536987</c:v>
                </c:pt>
                <c:pt idx="175">
                  <c:v>37.828041539023658</c:v>
                </c:pt>
                <c:pt idx="176">
                  <c:v>37.81976724915971</c:v>
                </c:pt>
                <c:pt idx="177">
                  <c:v>37.811461610491214</c:v>
                </c:pt>
                <c:pt idx="178">
                  <c:v>37.802919434283858</c:v>
                </c:pt>
                <c:pt idx="179">
                  <c:v>37.794344783652299</c:v>
                </c:pt>
                <c:pt idx="180">
                  <c:v>37.785737878732398</c:v>
                </c:pt>
                <c:pt idx="181">
                  <c:v>37.777098939602297</c:v>
                </c:pt>
                <c:pt idx="182">
                  <c:v>37.768254448201901</c:v>
                </c:pt>
                <c:pt idx="183">
                  <c:v>37.7593770906619</c:v>
                </c:pt>
                <c:pt idx="184">
                  <c:v>37.750467100221734</c:v>
                </c:pt>
                <c:pt idx="185">
                  <c:v>37.741524709976332</c:v>
                </c:pt>
                <c:pt idx="186">
                  <c:v>37.732303341057666</c:v>
                </c:pt>
                <c:pt idx="187">
                  <c:v>37.723048267442174</c:v>
                </c:pt>
                <c:pt idx="188">
                  <c:v>37.713759741346365</c:v>
                </c:pt>
                <c:pt idx="189">
                  <c:v>37.704438014739416</c:v>
                </c:pt>
                <c:pt idx="190">
                  <c:v>37.69490449623131</c:v>
                </c:pt>
                <c:pt idx="191">
                  <c:v>37.685337025404024</c:v>
                </c:pt>
                <c:pt idx="192">
                  <c:v>37.675735868004473</c:v>
                </c:pt>
                <c:pt idx="193">
                  <c:v>37.666101289425171</c:v>
                </c:pt>
                <c:pt idx="194">
                  <c:v>37.656179649851794</c:v>
                </c:pt>
                <c:pt idx="195">
                  <c:v>37.646223378777506</c:v>
                </c:pt>
                <c:pt idx="196">
                  <c:v>37.636232761718873</c:v>
                </c:pt>
                <c:pt idx="197">
                  <c:v>37.626208083708036</c:v>
                </c:pt>
                <c:pt idx="198">
                  <c:v>37.615928995373892</c:v>
                </c:pt>
                <c:pt idx="199">
                  <c:v>37.60561493821519</c:v>
                </c:pt>
                <c:pt idx="200">
                  <c:v>37.595266214692714</c:v>
                </c:pt>
                <c:pt idx="201">
                  <c:v>37.584883126645266</c:v>
                </c:pt>
                <c:pt idx="202">
                  <c:v>37.574242380027428</c:v>
                </c:pt>
                <c:pt idx="203">
                  <c:v>37.563566414835392</c:v>
                </c:pt>
                <c:pt idx="204">
                  <c:v>37.552855550577313</c:v>
                </c:pt>
                <c:pt idx="205">
                  <c:v>37.54211010598911</c:v>
                </c:pt>
                <c:pt idx="206">
                  <c:v>37.531066133157132</c:v>
                </c:pt>
                <c:pt idx="207">
                  <c:v>37.519986541200446</c:v>
                </c:pt>
                <c:pt idx="208">
                  <c:v>37.508871670167224</c:v>
                </c:pt>
                <c:pt idx="209">
                  <c:v>37.497721859157245</c:v>
                </c:pt>
                <c:pt idx="210">
                  <c:v>37.48623158775775</c:v>
                </c:pt>
                <c:pt idx="211">
                  <c:v>37.474705164682838</c:v>
                </c:pt>
                <c:pt idx="212">
                  <c:v>37.463142954293936</c:v>
                </c:pt>
                <c:pt idx="213">
                  <c:v>37.451545319794796</c:v>
                </c:pt>
                <c:pt idx="214">
                  <c:v>37.439680388262019</c:v>
                </c:pt>
                <c:pt idx="215">
                  <c:v>37.427779365694583</c:v>
                </c:pt>
                <c:pt idx="216">
                  <c:v>37.415842633576759</c:v>
                </c:pt>
                <c:pt idx="217">
                  <c:v>37.403870572038748</c:v>
                </c:pt>
                <c:pt idx="218">
                  <c:v>37.391589379734029</c:v>
                </c:pt>
                <c:pt idx="219">
                  <c:v>37.37927202848249</c:v>
                </c:pt>
                <c:pt idx="220">
                  <c:v>37.366918920464563</c:v>
                </c:pt>
                <c:pt idx="221">
                  <c:v>37.354530456277494</c:v>
                </c:pt>
                <c:pt idx="222">
                  <c:v>37.341829684376904</c:v>
                </c:pt>
                <c:pt idx="223">
                  <c:v>37.329092803829994</c:v>
                </c:pt>
                <c:pt idx="224">
                  <c:v>37.316320237343575</c:v>
                </c:pt>
                <c:pt idx="225">
                  <c:v>37.303512405794727</c:v>
                </c:pt>
                <c:pt idx="226">
                  <c:v>37.290349220035971</c:v>
                </c:pt>
                <c:pt idx="227">
                  <c:v>37.277149878807684</c:v>
                </c:pt>
                <c:pt idx="228">
                  <c:v>37.263914829109744</c:v>
                </c:pt>
                <c:pt idx="229">
                  <c:v>37.250644515823062</c:v>
                </c:pt>
                <c:pt idx="230">
                  <c:v>37.22335026808156</c:v>
                </c:pt>
                <c:pt idx="231">
                  <c:v>37.209649523190613</c:v>
                </c:pt>
                <c:pt idx="232">
                  <c:v>37.195913656609633</c:v>
                </c:pt>
                <c:pt idx="233">
                  <c:v>37.181815820553545</c:v>
                </c:pt>
                <c:pt idx="234">
                  <c:v>37.167682161573211</c:v>
                </c:pt>
                <c:pt idx="235">
                  <c:v>37.153513174416403</c:v>
                </c:pt>
                <c:pt idx="236">
                  <c:v>37.139309351067098</c:v>
                </c:pt>
                <c:pt idx="237">
                  <c:v>37.124781938188832</c:v>
                </c:pt>
                <c:pt idx="238">
                  <c:v>37.110219286950027</c:v>
                </c:pt>
                <c:pt idx="239">
                  <c:v>37.095621910862945</c:v>
                </c:pt>
                <c:pt idx="240">
                  <c:v>37.080990320357536</c:v>
                </c:pt>
                <c:pt idx="241">
                  <c:v>37.065949620304544</c:v>
                </c:pt>
                <c:pt idx="242">
                  <c:v>37.050874011290581</c:v>
                </c:pt>
                <c:pt idx="243">
                  <c:v>37.035764033680771</c:v>
                </c:pt>
                <c:pt idx="244">
                  <c:v>37.020620224349763</c:v>
                </c:pt>
                <c:pt idx="245">
                  <c:v>37.005106408786126</c:v>
                </c:pt>
                <c:pt idx="246">
                  <c:v>36.989558368485383</c:v>
                </c:pt>
                <c:pt idx="247">
                  <c:v>36.973976665393884</c:v>
                </c:pt>
                <c:pt idx="248">
                  <c:v>36.958361857576932</c:v>
                </c:pt>
                <c:pt idx="249">
                  <c:v>36.942332454323463</c:v>
                </c:pt>
                <c:pt idx="250">
                  <c:v>36.92626948476196</c:v>
                </c:pt>
                <c:pt idx="251">
                  <c:v>36.910173536033469</c:v>
                </c:pt>
                <c:pt idx="252">
                  <c:v>36.894045190946095</c:v>
                </c:pt>
                <c:pt idx="253">
                  <c:v>36.877542674295967</c:v>
                </c:pt>
                <c:pt idx="254">
                  <c:v>36.861007589979963</c:v>
                </c:pt>
                <c:pt idx="255">
                  <c:v>36.844440544538386</c:v>
                </c:pt>
                <c:pt idx="256">
                  <c:v>36.827842139755738</c:v>
                </c:pt>
                <c:pt idx="257">
                  <c:v>36.810781761741389</c:v>
                </c:pt>
                <c:pt idx="258">
                  <c:v>36.79368964625192</c:v>
                </c:pt>
                <c:pt idx="259">
                  <c:v>36.776566427412924</c:v>
                </c:pt>
                <c:pt idx="260">
                  <c:v>36.759412734054578</c:v>
                </c:pt>
                <c:pt idx="261">
                  <c:v>36.741838312538746</c:v>
                </c:pt>
                <c:pt idx="262">
                  <c:v>36.72423332901468</c:v>
                </c:pt>
                <c:pt idx="263">
                  <c:v>36.706598438964789</c:v>
                </c:pt>
                <c:pt idx="264">
                  <c:v>36.688934292071224</c:v>
                </c:pt>
                <c:pt idx="265">
                  <c:v>36.670848039686</c:v>
                </c:pt>
                <c:pt idx="266">
                  <c:v>36.652732570012596</c:v>
                </c:pt>
                <c:pt idx="267">
                  <c:v>36.634588558239642</c:v>
                </c:pt>
                <c:pt idx="268">
                  <c:v>36.616416673239549</c:v>
                </c:pt>
                <c:pt idx="269">
                  <c:v>36.597777654814301</c:v>
                </c:pt>
                <c:pt idx="270">
                  <c:v>36.579110800195252</c:v>
                </c:pt>
                <c:pt idx="271">
                  <c:v>36.5604168073613</c:v>
                </c:pt>
                <c:pt idx="272">
                  <c:v>36.541696367386848</c:v>
                </c:pt>
                <c:pt idx="273">
                  <c:v>36.522507731583751</c:v>
                </c:pt>
                <c:pt idx="274">
                  <c:v>36.503292829519332</c:v>
                </c:pt>
                <c:pt idx="275">
                  <c:v>36.484052379955969</c:v>
                </c:pt>
                <c:pt idx="276">
                  <c:v>36.464787094152676</c:v>
                </c:pt>
                <c:pt idx="277">
                  <c:v>36.445097414476933</c:v>
                </c:pt>
                <c:pt idx="278">
                  <c:v>36.425383331514134</c:v>
                </c:pt>
                <c:pt idx="279">
                  <c:v>36.405645577663563</c:v>
                </c:pt>
                <c:pt idx="280">
                  <c:v>36.385884877289065</c:v>
                </c:pt>
                <c:pt idx="281">
                  <c:v>36.365565763448764</c:v>
                </c:pt>
                <c:pt idx="282">
                  <c:v>36.345223966163765</c:v>
                </c:pt>
                <c:pt idx="283">
                  <c:v>36.324860244015149</c:v>
                </c:pt>
                <c:pt idx="284">
                  <c:v>36.304475346793282</c:v>
                </c:pt>
                <c:pt idx="285">
                  <c:v>36.283666192498025</c:v>
                </c:pt>
                <c:pt idx="286">
                  <c:v>36.262836564335331</c:v>
                </c:pt>
                <c:pt idx="287">
                  <c:v>36.241987229508482</c:v>
                </c:pt>
                <c:pt idx="288">
                  <c:v>36.221118945906461</c:v>
                </c:pt>
                <c:pt idx="289">
                  <c:v>36.199692059683485</c:v>
                </c:pt>
                <c:pt idx="290">
                  <c:v>36.178246817865791</c:v>
                </c:pt>
                <c:pt idx="291">
                  <c:v>36.156784008472883</c:v>
                </c:pt>
                <c:pt idx="292">
                  <c:v>36.135304409451557</c:v>
                </c:pt>
                <c:pt idx="293">
                  <c:v>36.113311857862968</c:v>
                </c:pt>
                <c:pt idx="294">
                  <c:v>36.091303347139529</c:v>
                </c:pt>
                <c:pt idx="295">
                  <c:v>36.06927967811351</c:v>
                </c:pt>
                <c:pt idx="296">
                  <c:v>36.047241640876855</c:v>
                </c:pt>
                <c:pt idx="297">
                  <c:v>36.02469177792392</c:v>
                </c:pt>
                <c:pt idx="298">
                  <c:v>36.002128527352227</c:v>
                </c:pt>
                <c:pt idx="299">
                  <c:v>35.979552699683452</c:v>
                </c:pt>
                <c:pt idx="300">
                  <c:v>35.956965094047938</c:v>
                </c:pt>
                <c:pt idx="301">
                  <c:v>35.933867214378338</c:v>
                </c:pt>
                <c:pt idx="302">
                  <c:v>35.910758682761156</c:v>
                </c:pt>
                <c:pt idx="303">
                  <c:v>35.887640316173147</c:v>
                </c:pt>
                <c:pt idx="304">
                  <c:v>35.86451291957173</c:v>
                </c:pt>
                <c:pt idx="305">
                  <c:v>35.840786294616358</c:v>
                </c:pt>
                <c:pt idx="306">
                  <c:v>35.817051848996179</c:v>
                </c:pt>
                <c:pt idx="307">
                  <c:v>35.793310412254854</c:v>
                </c:pt>
                <c:pt idx="308">
                  <c:v>35.769562801123797</c:v>
                </c:pt>
                <c:pt idx="309">
                  <c:v>35.745309225873235</c:v>
                </c:pt>
                <c:pt idx="310">
                  <c:v>35.721050893946874</c:v>
                </c:pt>
                <c:pt idx="311">
                  <c:v>35.696788634265737</c:v>
                </c:pt>
                <c:pt idx="312">
                  <c:v>35.672523262373069</c:v>
                </c:pt>
                <c:pt idx="313">
                  <c:v>35.647663663719378</c:v>
                </c:pt>
                <c:pt idx="314">
                  <c:v>35.622802489255456</c:v>
                </c:pt>
                <c:pt idx="315">
                  <c:v>35.597940572921885</c:v>
                </c:pt>
                <c:pt idx="316">
                  <c:v>35.57307873455369</c:v>
                </c:pt>
                <c:pt idx="317">
                  <c:v>35.547625869863644</c:v>
                </c:pt>
                <c:pt idx="318">
                  <c:v>35.522174781421569</c:v>
                </c:pt>
                <c:pt idx="319">
                  <c:v>35.496726304120642</c:v>
                </c:pt>
                <c:pt idx="320">
                  <c:v>35.471281258062895</c:v>
                </c:pt>
                <c:pt idx="321">
                  <c:v>35.445248858794976</c:v>
                </c:pt>
                <c:pt idx="322">
                  <c:v>35.419221742909237</c:v>
                </c:pt>
                <c:pt idx="323">
                  <c:v>35.39320074214038</c:v>
                </c:pt>
                <c:pt idx="324">
                  <c:v>35.367186672796272</c:v>
                </c:pt>
                <c:pt idx="325">
                  <c:v>35.340589378900695</c:v>
                </c:pt>
                <c:pt idx="326">
                  <c:v>35.314001013610095</c:v>
                </c:pt>
                <c:pt idx="327">
                  <c:v>35.28742240138952</c:v>
                </c:pt>
                <c:pt idx="328">
                  <c:v>35.260854350698686</c:v>
                </c:pt>
                <c:pt idx="329">
                  <c:v>35.233662254905248</c:v>
                </c:pt>
                <c:pt idx="330">
                  <c:v>35.206482897243433</c:v>
                </c:pt>
                <c:pt idx="331">
                  <c:v>35.17931709488473</c:v>
                </c:pt>
                <c:pt idx="332">
                  <c:v>35.152165648370335</c:v>
                </c:pt>
                <c:pt idx="333">
                  <c:v>35.124440580608578</c:v>
                </c:pt>
                <c:pt idx="334">
                  <c:v>35.096732135984723</c:v>
                </c:pt>
                <c:pt idx="335">
                  <c:v>35.069041116073464</c:v>
                </c:pt>
                <c:pt idx="336">
                  <c:v>35.041368305374469</c:v>
                </c:pt>
                <c:pt idx="337">
                  <c:v>35.013036926185777</c:v>
                </c:pt>
                <c:pt idx="338">
                  <c:v>34.984726272967819</c:v>
                </c:pt>
                <c:pt idx="339">
                  <c:v>34.956437135272942</c:v>
                </c:pt>
                <c:pt idx="340">
                  <c:v>34.92817028498537</c:v>
                </c:pt>
                <c:pt idx="341">
                  <c:v>34.899251075750371</c:v>
                </c:pt>
                <c:pt idx="342">
                  <c:v>34.870356815398154</c:v>
                </c:pt>
                <c:pt idx="343">
                  <c:v>34.841488276817408</c:v>
                </c:pt>
                <c:pt idx="344">
                  <c:v>34.812646214717134</c:v>
                </c:pt>
                <c:pt idx="345">
                  <c:v>34.783203313365604</c:v>
                </c:pt>
                <c:pt idx="346">
                  <c:v>34.753789592228735</c:v>
                </c:pt>
                <c:pt idx="347">
                  <c:v>34.724405799637012</c:v>
                </c:pt>
                <c:pt idx="348">
                  <c:v>34.695052665429301</c:v>
                </c:pt>
                <c:pt idx="349">
                  <c:v>34.6650161340769</c:v>
                </c:pt>
                <c:pt idx="350">
                  <c:v>34.635013267227926</c:v>
                </c:pt>
                <c:pt idx="351">
                  <c:v>34.605044791206382</c:v>
                </c:pt>
                <c:pt idx="352">
                  <c:v>34.575111413398844</c:v>
                </c:pt>
                <c:pt idx="353">
                  <c:v>34.544502416933113</c:v>
                </c:pt>
                <c:pt idx="354">
                  <c:v>34.51393165120669</c:v>
                </c:pt>
                <c:pt idx="355">
                  <c:v>34.483399815930817</c:v>
                </c:pt>
                <c:pt idx="356">
                  <c:v>34.452907591532508</c:v>
                </c:pt>
                <c:pt idx="357">
                  <c:v>34.421792169601808</c:v>
                </c:pt>
                <c:pt idx="358">
                  <c:v>34.390719480934052</c:v>
                </c:pt>
                <c:pt idx="359">
                  <c:v>34.359690191449559</c:v>
                </c:pt>
                <c:pt idx="360">
                  <c:v>34.328704947649861</c:v>
                </c:pt>
                <c:pt idx="361">
                  <c:v>34.297016728083058</c:v>
                </c:pt>
                <c:pt idx="362">
                  <c:v>34.265376022132884</c:v>
                </c:pt>
                <c:pt idx="363">
                  <c:v>34.233783463546303</c:v>
                </c:pt>
                <c:pt idx="364">
                  <c:v>34.202239666400402</c:v>
                </c:pt>
                <c:pt idx="365">
                  <c:v>34.170045914084696</c:v>
                </c:pt>
                <c:pt idx="366">
                  <c:v>34.137904350945966</c:v>
                </c:pt>
                <c:pt idx="367">
                  <c:v>34.105815571849632</c:v>
                </c:pt>
                <c:pt idx="368">
                  <c:v>34.073780151958026</c:v>
                </c:pt>
                <c:pt idx="369">
                  <c:v>34.041017170782425</c:v>
                </c:pt>
                <c:pt idx="370">
                  <c:v>34.008311351185775</c:v>
                </c:pt>
                <c:pt idx="371">
                  <c:v>33.975663250038821</c:v>
                </c:pt>
                <c:pt idx="372">
                  <c:v>33.943073404373798</c:v>
                </c:pt>
                <c:pt idx="373">
                  <c:v>33.909809554050923</c:v>
                </c:pt>
                <c:pt idx="374">
                  <c:v>33.876607689875371</c:v>
                </c:pt>
                <c:pt idx="375">
                  <c:v>33.84346832459098</c:v>
                </c:pt>
                <c:pt idx="376">
                  <c:v>33.810391951188052</c:v>
                </c:pt>
                <c:pt idx="377">
                  <c:v>33.776566300892675</c:v>
                </c:pt>
                <c:pt idx="378">
                  <c:v>33.742807771739763</c:v>
                </c:pt>
                <c:pt idx="379">
                  <c:v>33.709116832570999</c:v>
                </c:pt>
                <c:pt idx="380">
                  <c:v>33.675493932472378</c:v>
                </c:pt>
                <c:pt idx="381">
                  <c:v>33.641218199499711</c:v>
                </c:pt>
                <c:pt idx="382">
                  <c:v>33.607014351728296</c:v>
                </c:pt>
                <c:pt idx="383">
                  <c:v>33.572882807128074</c:v>
                </c:pt>
                <c:pt idx="384">
                  <c:v>33.538823964226232</c:v>
                </c:pt>
                <c:pt idx="385">
                  <c:v>33.503996859629204</c:v>
                </c:pt>
                <c:pt idx="386">
                  <c:v>33.469246891881362</c:v>
                </c:pt>
                <c:pt idx="387">
                  <c:v>33.434574429553223</c:v>
                </c:pt>
                <c:pt idx="388">
                  <c:v>33.399979821912488</c:v>
                </c:pt>
                <c:pt idx="389">
                  <c:v>33.364671319473707</c:v>
                </c:pt>
                <c:pt idx="390">
                  <c:v>33.329444969923038</c:v>
                </c:pt>
                <c:pt idx="391">
                  <c:v>33.29430108776026</c:v>
                </c:pt>
                <c:pt idx="392">
                  <c:v>33.259239968537166</c:v>
                </c:pt>
                <c:pt idx="393">
                  <c:v>33.223477285147396</c:v>
                </c:pt>
                <c:pt idx="394">
                  <c:v>33.187801690429993</c:v>
                </c:pt>
                <c:pt idx="395">
                  <c:v>33.152213442221608</c:v>
                </c:pt>
                <c:pt idx="396">
                  <c:v>33.116712779877297</c:v>
                </c:pt>
                <c:pt idx="397">
                  <c:v>33.080441284237281</c:v>
                </c:pt>
                <c:pt idx="398">
                  <c:v>33.044262129981639</c:v>
                </c:pt>
                <c:pt idx="399">
                  <c:v>33.008175517451313</c:v>
                </c:pt>
                <c:pt idx="400">
                  <c:v>32.972181628916388</c:v>
                </c:pt>
                <c:pt idx="401">
                  <c:v>32.935471296052214</c:v>
                </c:pt>
                <c:pt idx="402">
                  <c:v>32.898858250574136</c:v>
                </c:pt>
                <c:pt idx="403">
                  <c:v>32.862342632225484</c:v>
                </c:pt>
                <c:pt idx="404">
                  <c:v>32.825924563284758</c:v>
                </c:pt>
                <c:pt idx="405">
                  <c:v>32.788763443939757</c:v>
                </c:pt>
                <c:pt idx="406">
                  <c:v>32.751704653895807</c:v>
                </c:pt>
                <c:pt idx="407">
                  <c:v>32.714748270857939</c:v>
                </c:pt>
                <c:pt idx="408">
                  <c:v>32.677894355700985</c:v>
                </c:pt>
                <c:pt idx="409">
                  <c:v>32.640271997014473</c:v>
                </c:pt>
                <c:pt idx="410">
                  <c:v>32.602757104963914</c:v>
                </c:pt>
                <c:pt idx="411">
                  <c:v>32.565349693570049</c:v>
                </c:pt>
                <c:pt idx="412">
                  <c:v>32.528049760693648</c:v>
                </c:pt>
                <c:pt idx="413">
                  <c:v>32.48999635587856</c:v>
                </c:pt>
                <c:pt idx="414">
                  <c:v>32.452055416545278</c:v>
                </c:pt>
                <c:pt idx="415">
                  <c:v>32.414226891396943</c:v>
                </c:pt>
                <c:pt idx="416">
                  <c:v>32.376510713751358</c:v>
                </c:pt>
                <c:pt idx="417">
                  <c:v>32.338017441570258</c:v>
                </c:pt>
                <c:pt idx="418">
                  <c:v>32.299641713793598</c:v>
                </c:pt>
                <c:pt idx="419">
                  <c:v>32.261383412309257</c:v>
                </c:pt>
                <c:pt idx="420">
                  <c:v>32.22324240443119</c:v>
                </c:pt>
                <c:pt idx="421">
                  <c:v>32.18437829294546</c:v>
                </c:pt>
                <c:pt idx="422">
                  <c:v>32.145636400012791</c:v>
                </c:pt>
                <c:pt idx="423">
                  <c:v>32.107016540218595</c:v>
                </c:pt>
                <c:pt idx="424">
                  <c:v>32.068518514533501</c:v>
                </c:pt>
                <c:pt idx="425">
                  <c:v>32.029199340844052</c:v>
                </c:pt>
                <c:pt idx="426">
                  <c:v>31.990007606248476</c:v>
                </c:pt>
                <c:pt idx="427">
                  <c:v>31.950943055645652</c:v>
                </c:pt>
                <c:pt idx="428">
                  <c:v>31.912005421207262</c:v>
                </c:pt>
                <c:pt idx="429">
                  <c:v>31.872301135990003</c:v>
                </c:pt>
                <c:pt idx="430">
                  <c:v>31.832729080816978</c:v>
                </c:pt>
                <c:pt idx="431">
                  <c:v>31.793288930959541</c:v>
                </c:pt>
                <c:pt idx="432">
                  <c:v>31.753980349987671</c:v>
                </c:pt>
                <c:pt idx="433">
                  <c:v>31.713921629318659</c:v>
                </c:pt>
                <c:pt idx="434">
                  <c:v>31.673999727536284</c:v>
                </c:pt>
                <c:pt idx="435">
                  <c:v>31.634214250328128</c:v>
                </c:pt>
                <c:pt idx="436">
                  <c:v>31.594564792777277</c:v>
                </c:pt>
                <c:pt idx="437">
                  <c:v>31.554109196049822</c:v>
                </c:pt>
                <c:pt idx="438">
                  <c:v>31.513795300489381</c:v>
                </c:pt>
                <c:pt idx="439">
                  <c:v>31.47362264018243</c:v>
                </c:pt>
                <c:pt idx="440">
                  <c:v>31.433590739699895</c:v>
                </c:pt>
                <c:pt idx="441">
                  <c:v>31.392770575976975</c:v>
                </c:pt>
                <c:pt idx="442">
                  <c:v>31.352096777464009</c:v>
                </c:pt>
                <c:pt idx="443">
                  <c:v>31.311568806912572</c:v>
                </c:pt>
                <c:pt idx="444">
                  <c:v>31.271186118716251</c:v>
                </c:pt>
                <c:pt idx="445">
                  <c:v>31.230032937998157</c:v>
                </c:pt>
                <c:pt idx="446">
                  <c:v>31.189030556936892</c:v>
                </c:pt>
                <c:pt idx="447">
                  <c:v>31.148178367695309</c:v>
                </c:pt>
                <c:pt idx="448">
                  <c:v>31.107475755291084</c:v>
                </c:pt>
                <c:pt idx="449">
                  <c:v>31.065950912919224</c:v>
                </c:pt>
                <c:pt idx="450">
                  <c:v>31.024581584967802</c:v>
                </c:pt>
                <c:pt idx="451">
                  <c:v>30.983367090771971</c:v>
                </c:pt>
                <c:pt idx="452">
                  <c:v>30.942306743738488</c:v>
                </c:pt>
                <c:pt idx="453">
                  <c:v>30.900477362992007</c:v>
                </c:pt>
                <c:pt idx="454">
                  <c:v>30.858807704486534</c:v>
                </c:pt>
                <c:pt idx="455">
                  <c:v>30.817297017608706</c:v>
                </c:pt>
                <c:pt idx="456">
                  <c:v>30.775944547098256</c:v>
                </c:pt>
                <c:pt idx="457">
                  <c:v>30.733773816835104</c:v>
                </c:pt>
                <c:pt idx="458">
                  <c:v>30.691767286510697</c:v>
                </c:pt>
                <c:pt idx="459">
                  <c:v>30.649924133347568</c:v>
                </c:pt>
                <c:pt idx="460">
                  <c:v>30.608243531209084</c:v>
                </c:pt>
                <c:pt idx="461">
                  <c:v>30.565764094229472</c:v>
                </c:pt>
                <c:pt idx="462">
                  <c:v>30.523453073067195</c:v>
                </c:pt>
                <c:pt idx="463">
                  <c:v>30.481309574394032</c:v>
                </c:pt>
                <c:pt idx="464">
                  <c:v>30.43933270284381</c:v>
                </c:pt>
                <c:pt idx="465">
                  <c:v>30.396543593159258</c:v>
                </c:pt>
                <c:pt idx="466">
                  <c:v>30.353927110180624</c:v>
                </c:pt>
                <c:pt idx="467">
                  <c:v>30.311482289832817</c:v>
                </c:pt>
                <c:pt idx="468">
                  <c:v>30.269208167342558</c:v>
                </c:pt>
                <c:pt idx="469">
                  <c:v>30.226141535306713</c:v>
                </c:pt>
                <c:pt idx="470">
                  <c:v>30.183251466050905</c:v>
                </c:pt>
                <c:pt idx="471">
                  <c:v>30.140536926914677</c:v>
                </c:pt>
                <c:pt idx="472">
                  <c:v>30.097996885895569</c:v>
                </c:pt>
                <c:pt idx="473">
                  <c:v>30.054620685103075</c:v>
                </c:pt>
                <c:pt idx="474">
                  <c:v>30.011425230047351</c:v>
                </c:pt>
                <c:pt idx="475">
                  <c:v>29.968409417174378</c:v>
                </c:pt>
                <c:pt idx="476">
                  <c:v>29.925572144960864</c:v>
                </c:pt>
                <c:pt idx="477">
                  <c:v>29.881919441448165</c:v>
                </c:pt>
                <c:pt idx="478">
                  <c:v>29.838451377974845</c:v>
                </c:pt>
                <c:pt idx="479">
                  <c:v>29.795166782570568</c:v>
                </c:pt>
                <c:pt idx="480">
                  <c:v>29.752064486676794</c:v>
                </c:pt>
                <c:pt idx="481">
                  <c:v>29.708167167448629</c:v>
                </c:pt>
                <c:pt idx="482">
                  <c:v>29.664458091679204</c:v>
                </c:pt>
                <c:pt idx="483">
                  <c:v>29.620936021788911</c:v>
                </c:pt>
                <c:pt idx="484">
                  <c:v>29.577599724986683</c:v>
                </c:pt>
                <c:pt idx="485">
                  <c:v>29.533458484114558</c:v>
                </c:pt>
                <c:pt idx="486">
                  <c:v>29.489509059214527</c:v>
                </c:pt>
                <c:pt idx="487">
                  <c:v>29.445750147531825</c:v>
                </c:pt>
                <c:pt idx="488">
                  <c:v>29.402180452478191</c:v>
                </c:pt>
                <c:pt idx="489">
                  <c:v>29.357767362950796</c:v>
                </c:pt>
                <c:pt idx="490">
                  <c:v>29.313549883954678</c:v>
                </c:pt>
                <c:pt idx="491">
                  <c:v>29.269526645328206</c:v>
                </c:pt>
                <c:pt idx="492">
                  <c:v>29.225696284475099</c:v>
                </c:pt>
                <c:pt idx="493">
                  <c:v>29.181044184581065</c:v>
                </c:pt>
                <c:pt idx="494">
                  <c:v>29.136591182187487</c:v>
                </c:pt>
                <c:pt idx="495">
                  <c:v>29.092335842971497</c:v>
                </c:pt>
                <c:pt idx="496">
                  <c:v>29.048276741557256</c:v>
                </c:pt>
                <c:pt idx="497">
                  <c:v>29.003388717158881</c:v>
                </c:pt>
                <c:pt idx="498">
                  <c:v>28.958703227312682</c:v>
                </c:pt>
                <c:pt idx="499">
                  <c:v>28.914218774184516</c:v>
                </c:pt>
                <c:pt idx="500">
                  <c:v>28.869933870266941</c:v>
                </c:pt>
                <c:pt idx="501">
                  <c:v>28.82481371713159</c:v>
                </c:pt>
                <c:pt idx="502">
                  <c:v>28.779899479489185</c:v>
                </c:pt>
                <c:pt idx="503">
                  <c:v>28.735189596728254</c:v>
                </c:pt>
                <c:pt idx="504">
                  <c:v>28.69068251994026</c:v>
                </c:pt>
                <c:pt idx="505">
                  <c:v>28.645362118028785</c:v>
                </c:pt>
                <c:pt idx="506">
                  <c:v>28.600250697792791</c:v>
                </c:pt>
                <c:pt idx="507">
                  <c:v>28.555346639603624</c:v>
                </c:pt>
                <c:pt idx="508">
                  <c:v>28.510648336874659</c:v>
                </c:pt>
                <c:pt idx="509">
                  <c:v>28.46513125513512</c:v>
                </c:pt>
                <c:pt idx="510">
                  <c:v>28.419826161290395</c:v>
                </c:pt>
                <c:pt idx="511">
                  <c:v>28.374731377653085</c:v>
                </c:pt>
                <c:pt idx="512">
                  <c:v>28.329845240904664</c:v>
                </c:pt>
                <c:pt idx="513">
                  <c:v>28.28410922594837</c:v>
                </c:pt>
                <c:pt idx="514">
                  <c:v>28.238588388043205</c:v>
                </c:pt>
                <c:pt idx="515">
                  <c:v>28.193280989471887</c:v>
                </c:pt>
                <c:pt idx="516">
                  <c:v>28.148185308235259</c:v>
                </c:pt>
                <c:pt idx="517">
                  <c:v>28.102262491120143</c:v>
                </c:pt>
                <c:pt idx="518">
                  <c:v>28.056557715406193</c:v>
                </c:pt>
                <c:pt idx="519">
                  <c:v>28.011069187470579</c:v>
                </c:pt>
                <c:pt idx="520">
                  <c:v>27.96579513070791</c:v>
                </c:pt>
                <c:pt idx="521">
                  <c:v>27.91969073050694</c:v>
                </c:pt>
                <c:pt idx="522">
                  <c:v>27.873807160841658</c:v>
                </c:pt>
                <c:pt idx="523">
                  <c:v>27.828142573378706</c:v>
                </c:pt>
                <c:pt idx="524">
                  <c:v>27.782695138083678</c:v>
                </c:pt>
                <c:pt idx="525">
                  <c:v>27.736414842424946</c:v>
                </c:pt>
                <c:pt idx="526">
                  <c:v>27.690358086657106</c:v>
                </c:pt>
                <c:pt idx="527">
                  <c:v>27.644522969008722</c:v>
                </c:pt>
                <c:pt idx="528">
                  <c:v>27.59890760726914</c:v>
                </c:pt>
                <c:pt idx="529">
                  <c:v>27.552457530551031</c:v>
                </c:pt>
                <c:pt idx="530">
                  <c:v>27.506233619004007</c:v>
                </c:pt>
                <c:pt idx="531">
                  <c:v>27.460233918767763</c:v>
                </c:pt>
                <c:pt idx="532">
                  <c:v>27.414456496782798</c:v>
                </c:pt>
                <c:pt idx="533">
                  <c:v>27.367819133746561</c:v>
                </c:pt>
                <c:pt idx="534">
                  <c:v>27.321410708244368</c:v>
                </c:pt>
                <c:pt idx="535">
                  <c:v>27.275229212662108</c:v>
                </c:pt>
                <c:pt idx="536">
                  <c:v>27.229272661447975</c:v>
                </c:pt>
                <c:pt idx="537">
                  <c:v>27.182503337709587</c:v>
                </c:pt>
                <c:pt idx="538">
                  <c:v>27.135965157602691</c:v>
                </c:pt>
                <c:pt idx="539">
                  <c:v>27.089656067481052</c:v>
                </c:pt>
                <c:pt idx="540">
                  <c:v>27.043574036905294</c:v>
                </c:pt>
                <c:pt idx="541">
                  <c:v>26.996632347934057</c:v>
                </c:pt>
                <c:pt idx="542">
                  <c:v>26.949924382165204</c:v>
                </c:pt>
                <c:pt idx="543">
                  <c:v>26.903448035259231</c:v>
                </c:pt>
                <c:pt idx="544">
                  <c:v>26.857201227293626</c:v>
                </c:pt>
                <c:pt idx="545">
                  <c:v>26.810118584786316</c:v>
                </c:pt>
                <c:pt idx="546">
                  <c:v>26.763271910383367</c:v>
                </c:pt>
                <c:pt idx="547">
                  <c:v>26.71665905382801</c:v>
                </c:pt>
                <c:pt idx="548">
                  <c:v>26.670277890413281</c:v>
                </c:pt>
                <c:pt idx="549">
                  <c:v>26.62306193139624</c:v>
                </c:pt>
                <c:pt idx="550">
                  <c:v>26.576084084482012</c:v>
                </c:pt>
                <c:pt idx="551">
                  <c:v>26.529342155192808</c:v>
                </c:pt>
                <c:pt idx="552">
                  <c:v>26.48283397570134</c:v>
                </c:pt>
                <c:pt idx="553">
                  <c:v>26.435470804366453</c:v>
                </c:pt>
                <c:pt idx="554">
                  <c:v>26.38834800595799</c:v>
                </c:pt>
                <c:pt idx="555">
                  <c:v>26.341463340457629</c:v>
                </c:pt>
                <c:pt idx="556">
                  <c:v>26.294814595615005</c:v>
                </c:pt>
                <c:pt idx="557">
                  <c:v>26.200054967293873</c:v>
                </c:pt>
                <c:pt idx="558">
                  <c:v>26.106256305353984</c:v>
                </c:pt>
                <c:pt idx="559">
                  <c:v>26.011283224740616</c:v>
                </c:pt>
                <c:pt idx="560">
                  <c:v>25.917278212801801</c:v>
                </c:pt>
                <c:pt idx="561">
                  <c:v>25.822026623551189</c:v>
                </c:pt>
                <c:pt idx="562">
                  <c:v>25.72775143995257</c:v>
                </c:pt>
                <c:pt idx="563">
                  <c:v>25.632441954219413</c:v>
                </c:pt>
                <c:pt idx="564">
                  <c:v>25.53811261598343</c:v>
                </c:pt>
                <c:pt idx="565">
                  <c:v>25.442403124775499</c:v>
                </c:pt>
                <c:pt idx="566">
                  <c:v>25.347684448712112</c:v>
                </c:pt>
                <c:pt idx="567">
                  <c:v>25.251644271460648</c:v>
                </c:pt>
                <c:pt idx="568">
                  <c:v>25.156604106795935</c:v>
                </c:pt>
                <c:pt idx="569">
                  <c:v>25.06067313893363</c:v>
                </c:pt>
                <c:pt idx="570">
                  <c:v>24.965742182594113</c:v>
                </c:pt>
                <c:pt idx="571">
                  <c:v>24.869226275345508</c:v>
                </c:pt>
                <c:pt idx="572">
                  <c:v>24.77372473304186</c:v>
                </c:pt>
                <c:pt idx="573">
                  <c:v>24.677423452110499</c:v>
                </c:pt>
                <c:pt idx="574">
                  <c:v>24.582134130885059</c:v>
                </c:pt>
                <c:pt idx="575">
                  <c:v>24.485377644921652</c:v>
                </c:pt>
                <c:pt idx="576">
                  <c:v>24.389644658758126</c:v>
                </c:pt>
                <c:pt idx="577">
                  <c:v>23.995229465767775</c:v>
                </c:pt>
                <c:pt idx="578">
                  <c:v>23.617360035148948</c:v>
                </c:pt>
                <c:pt idx="579">
                  <c:v>22.841081108587964</c:v>
                </c:pt>
                <c:pt idx="580">
                  <c:v>22.060214179214075</c:v>
                </c:pt>
                <c:pt idx="581">
                  <c:v>21.276459088704076</c:v>
                </c:pt>
                <c:pt idx="582">
                  <c:v>20.489803141221337</c:v>
                </c:pt>
                <c:pt idx="583">
                  <c:v>19.701244863059799</c:v>
                </c:pt>
                <c:pt idx="584">
                  <c:v>18.910545166032563</c:v>
                </c:pt>
                <c:pt idx="585">
                  <c:v>18.118458912387069</c:v>
                </c:pt>
                <c:pt idx="586">
                  <c:v>17.325126182881995</c:v>
                </c:pt>
                <c:pt idx="587">
                  <c:v>16.530338015098597</c:v>
                </c:pt>
                <c:pt idx="588">
                  <c:v>15.735035003876536</c:v>
                </c:pt>
                <c:pt idx="589">
                  <c:v>14.938730665842376</c:v>
                </c:pt>
                <c:pt idx="590">
                  <c:v>14.141854786846677</c:v>
                </c:pt>
                <c:pt idx="591">
                  <c:v>13.344446498592063</c:v>
                </c:pt>
                <c:pt idx="592">
                  <c:v>12.546705354120943</c:v>
                </c:pt>
                <c:pt idx="593">
                  <c:v>11.748471235652362</c:v>
                </c:pt>
                <c:pt idx="594">
                  <c:v>10.950017890773648</c:v>
                </c:pt>
                <c:pt idx="595">
                  <c:v>10.151235075080109</c:v>
                </c:pt>
                <c:pt idx="596">
                  <c:v>9.3523260173649128</c:v>
                </c:pt>
                <c:pt idx="597">
                  <c:v>8.5531532099492313</c:v>
                </c:pt>
                <c:pt idx="598">
                  <c:v>7.753941657441171</c:v>
                </c:pt>
                <c:pt idx="599">
                  <c:v>6.9545103900287017</c:v>
                </c:pt>
                <c:pt idx="600">
                  <c:v>6.15500159992986</c:v>
                </c:pt>
              </c:numCache>
            </c:numRef>
          </c:yVal>
          <c:smooth val="0"/>
          <c:extLst>
            <c:ext xmlns:c16="http://schemas.microsoft.com/office/drawing/2014/chart" uri="{C3380CC4-5D6E-409C-BE32-E72D297353CC}">
              <c16:uniqueId val="{00000000-C943-44AE-BE69-B37F145E1EAF}"/>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Calculations'!$AE$13:$AE$613</c:f>
              <c:numCache>
                <c:formatCode>0.00</c:formatCode>
                <c:ptCount val="601"/>
                <c:pt idx="0">
                  <c:v>-84.642767031982103</c:v>
                </c:pt>
                <c:pt idx="1">
                  <c:v>-85.056086315577176</c:v>
                </c:pt>
                <c:pt idx="2">
                  <c:v>-85.42805638863102</c:v>
                </c:pt>
                <c:pt idx="3">
                  <c:v>-85.76169932521519</c:v>
                </c:pt>
                <c:pt idx="4">
                  <c:v>-86.059557759082395</c:v>
                </c:pt>
                <c:pt idx="5">
                  <c:v>-86.324555662079504</c:v>
                </c:pt>
                <c:pt idx="6">
                  <c:v>-86.558470314025314</c:v>
                </c:pt>
                <c:pt idx="7">
                  <c:v>-86.763398504231517</c:v>
                </c:pt>
                <c:pt idx="8">
                  <c:v>-86.940898696963529</c:v>
                </c:pt>
                <c:pt idx="9">
                  <c:v>-87.092587945707649</c:v>
                </c:pt>
                <c:pt idx="10">
                  <c:v>-87.219640527681022</c:v>
                </c:pt>
                <c:pt idx="11">
                  <c:v>-87.323147871854175</c:v>
                </c:pt>
                <c:pt idx="12">
                  <c:v>-87.404018391278726</c:v>
                </c:pt>
                <c:pt idx="13">
                  <c:v>-87.462853253345088</c:v>
                </c:pt>
                <c:pt idx="14">
                  <c:v>-87.500199478921658</c:v>
                </c:pt>
                <c:pt idx="15">
                  <c:v>-87.516348764189544</c:v>
                </c:pt>
                <c:pt idx="16">
                  <c:v>-87.511440240746794</c:v>
                </c:pt>
                <c:pt idx="17">
                  <c:v>-87.485437447124554</c:v>
                </c:pt>
                <c:pt idx="18">
                  <c:v>-87.438113789791657</c:v>
                </c:pt>
                <c:pt idx="19">
                  <c:v>-87.369083443916026</c:v>
                </c:pt>
                <c:pt idx="20">
                  <c:v>-87.277754421310178</c:v>
                </c:pt>
                <c:pt idx="21">
                  <c:v>-87.163381200030656</c:v>
                </c:pt>
                <c:pt idx="22">
                  <c:v>-87.024982898748007</c:v>
                </c:pt>
                <c:pt idx="23">
                  <c:v>-86.86143991208732</c:v>
                </c:pt>
                <c:pt idx="24">
                  <c:v>-86.671349306528725</c:v>
                </c:pt>
                <c:pt idx="25">
                  <c:v>-86.453158702976552</c:v>
                </c:pt>
                <c:pt idx="26">
                  <c:v>-86.205004047220953</c:v>
                </c:pt>
                <c:pt idx="27">
                  <c:v>-85.924915589094951</c:v>
                </c:pt>
                <c:pt idx="28">
                  <c:v>-85.61059561956607</c:v>
                </c:pt>
                <c:pt idx="29">
                  <c:v>-85.259721961023246</c:v>
                </c:pt>
                <c:pt idx="30">
                  <c:v>-84.868846579017529</c:v>
                </c:pt>
                <c:pt idx="31">
                  <c:v>-84.435351314989063</c:v>
                </c:pt>
                <c:pt idx="32">
                  <c:v>-83.955515529624407</c:v>
                </c:pt>
                <c:pt idx="33">
                  <c:v>-83.425945339346285</c:v>
                </c:pt>
                <c:pt idx="34">
                  <c:v>-82.842169087657581</c:v>
                </c:pt>
                <c:pt idx="35">
                  <c:v>-82.200110683875835</c:v>
                </c:pt>
                <c:pt idx="36">
                  <c:v>-81.494979702152705</c:v>
                </c:pt>
                <c:pt idx="37">
                  <c:v>-80.721324870073587</c:v>
                </c:pt>
                <c:pt idx="38">
                  <c:v>-79.874563828711544</c:v>
                </c:pt>
                <c:pt idx="39">
                  <c:v>-78.948458375538664</c:v>
                </c:pt>
                <c:pt idx="40">
                  <c:v>-77.937559953403337</c:v>
                </c:pt>
                <c:pt idx="41">
                  <c:v>-76.835906366589924</c:v>
                </c:pt>
                <c:pt idx="42">
                  <c:v>-75.637785409928455</c:v>
                </c:pt>
                <c:pt idx="43">
                  <c:v>-74.337110474680074</c:v>
                </c:pt>
                <c:pt idx="44">
                  <c:v>-72.928833741892532</c:v>
                </c:pt>
                <c:pt idx="45">
                  <c:v>-71.407871245706502</c:v>
                </c:pt>
                <c:pt idx="46">
                  <c:v>-69.770604622282718</c:v>
                </c:pt>
                <c:pt idx="47">
                  <c:v>-68.013962701059896</c:v>
                </c:pt>
                <c:pt idx="48">
                  <c:v>-66.137249350583943</c:v>
                </c:pt>
                <c:pt idx="49">
                  <c:v>-64.140836394851434</c:v>
                </c:pt>
                <c:pt idx="50">
                  <c:v>-62.028239150889384</c:v>
                </c:pt>
                <c:pt idx="51">
                  <c:v>-59.804887684980748</c:v>
                </c:pt>
                <c:pt idx="52">
                  <c:v>-57.480420946926287</c:v>
                </c:pt>
                <c:pt idx="53">
                  <c:v>-55.066844109979883</c:v>
                </c:pt>
                <c:pt idx="54">
                  <c:v>-52.580874047598691</c:v>
                </c:pt>
                <c:pt idx="55">
                  <c:v>-50.036205694237275</c:v>
                </c:pt>
                <c:pt idx="56">
                  <c:v>-47.456578210943782</c:v>
                </c:pt>
                <c:pt idx="57">
                  <c:v>-44.862097718067638</c:v>
                </c:pt>
                <c:pt idx="58">
                  <c:v>-42.277204497881996</c:v>
                </c:pt>
                <c:pt idx="59">
                  <c:v>-39.72233156947474</c:v>
                </c:pt>
                <c:pt idx="60">
                  <c:v>-37.220272665412125</c:v>
                </c:pt>
                <c:pt idx="61">
                  <c:v>-34.790103934333139</c:v>
                </c:pt>
                <c:pt idx="62">
                  <c:v>-32.447574783304077</c:v>
                </c:pt>
                <c:pt idx="63">
                  <c:v>-30.20904345448308</c:v>
                </c:pt>
                <c:pt idx="64">
                  <c:v>-28.083765714125736</c:v>
                </c:pt>
                <c:pt idx="65">
                  <c:v>-26.080657194024113</c:v>
                </c:pt>
                <c:pt idx="66">
                  <c:v>-24.204787189540671</c:v>
                </c:pt>
                <c:pt idx="67">
                  <c:v>-22.459137119907961</c:v>
                </c:pt>
                <c:pt idx="68">
                  <c:v>-20.843819590642035</c:v>
                </c:pt>
                <c:pt idx="69">
                  <c:v>-19.358172259829583</c:v>
                </c:pt>
                <c:pt idx="70">
                  <c:v>-17.999464661659292</c:v>
                </c:pt>
                <c:pt idx="71">
                  <c:v>-16.764581899821319</c:v>
                </c:pt>
                <c:pt idx="72">
                  <c:v>-15.649236391377704</c:v>
                </c:pt>
                <c:pt idx="73">
                  <c:v>-14.649318413149429</c:v>
                </c:pt>
                <c:pt idx="74">
                  <c:v>-13.760060473115146</c:v>
                </c:pt>
                <c:pt idx="75">
                  <c:v>-12.977159859304898</c:v>
                </c:pt>
                <c:pt idx="76">
                  <c:v>-12.296204787304767</c:v>
                </c:pt>
                <c:pt idx="77">
                  <c:v>-11.713480976501245</c:v>
                </c:pt>
                <c:pt idx="78">
                  <c:v>-11.225389881144881</c:v>
                </c:pt>
                <c:pt idx="79">
                  <c:v>-10.829039595964652</c:v>
                </c:pt>
                <c:pt idx="80">
                  <c:v>-10.521214051779197</c:v>
                </c:pt>
                <c:pt idx="81">
                  <c:v>-10.300369830818331</c:v>
                </c:pt>
                <c:pt idx="82">
                  <c:v>-10.164842790354122</c:v>
                </c:pt>
                <c:pt idx="83">
                  <c:v>-10.11378123135523</c:v>
                </c:pt>
                <c:pt idx="84">
                  <c:v>-10.146781726941516</c:v>
                </c:pt>
                <c:pt idx="85">
                  <c:v>-10.264067447808111</c:v>
                </c:pt>
                <c:pt idx="86">
                  <c:v>-10.466423489266161</c:v>
                </c:pt>
                <c:pt idx="87">
                  <c:v>-10.75538531493704</c:v>
                </c:pt>
                <c:pt idx="88">
                  <c:v>-11.132608557588108</c:v>
                </c:pt>
                <c:pt idx="89">
                  <c:v>-11.600847419364408</c:v>
                </c:pt>
                <c:pt idx="90">
                  <c:v>-12.162941966281796</c:v>
                </c:pt>
                <c:pt idx="91">
                  <c:v>-12.822385767919556</c:v>
                </c:pt>
                <c:pt idx="92">
                  <c:v>-13.582934697838741</c:v>
                </c:pt>
                <c:pt idx="93">
                  <c:v>-14.449014730458661</c:v>
                </c:pt>
                <c:pt idx="94">
                  <c:v>-14.682424621690609</c:v>
                </c:pt>
                <c:pt idx="95">
                  <c:v>-14.80246779435185</c:v>
                </c:pt>
                <c:pt idx="96">
                  <c:v>-14.922869514500306</c:v>
                </c:pt>
                <c:pt idx="97">
                  <c:v>-15.04641356460019</c:v>
                </c:pt>
                <c:pt idx="98">
                  <c:v>-15.170293482762517</c:v>
                </c:pt>
                <c:pt idx="99">
                  <c:v>-15.297405062224801</c:v>
                </c:pt>
                <c:pt idx="100">
                  <c:v>-15.42482958072789</c:v>
                </c:pt>
                <c:pt idx="101">
                  <c:v>-15.555476773017327</c:v>
                </c:pt>
                <c:pt idx="102">
                  <c:v>-15.686413203179505</c:v>
                </c:pt>
                <c:pt idx="103">
                  <c:v>-15.820757230720943</c:v>
                </c:pt>
                <c:pt idx="104">
                  <c:v>-15.955366830413421</c:v>
                </c:pt>
                <c:pt idx="105">
                  <c:v>-16.093372303087058</c:v>
                </c:pt>
                <c:pt idx="106">
                  <c:v>-16.23161880016287</c:v>
                </c:pt>
                <c:pt idx="107">
                  <c:v>-16.373247193630625</c:v>
                </c:pt>
                <c:pt idx="108">
                  <c:v>-16.515091242593385</c:v>
                </c:pt>
                <c:pt idx="109">
                  <c:v>-16.66040002662093</c:v>
                </c:pt>
                <c:pt idx="110">
                  <c:v>-16.805898578389296</c:v>
                </c:pt>
                <c:pt idx="111">
                  <c:v>-16.955042531502549</c:v>
                </c:pt>
                <c:pt idx="112">
                  <c:v>-17.104349957673687</c:v>
                </c:pt>
                <c:pt idx="113">
                  <c:v>-17.257283607853207</c:v>
                </c:pt>
                <c:pt idx="114">
                  <c:v>-17.410353465374264</c:v>
                </c:pt>
                <c:pt idx="115">
                  <c:v>-17.567127589522464</c:v>
                </c:pt>
                <c:pt idx="116">
                  <c:v>-17.724009867739078</c:v>
                </c:pt>
                <c:pt idx="117">
                  <c:v>-17.884672511586448</c:v>
                </c:pt>
                <c:pt idx="118">
                  <c:v>-18.045414384950337</c:v>
                </c:pt>
                <c:pt idx="119">
                  <c:v>-18.209910830186811</c:v>
                </c:pt>
                <c:pt idx="120">
                  <c:v>-18.37445657839633</c:v>
                </c:pt>
                <c:pt idx="121">
                  <c:v>-18.542828518234238</c:v>
                </c:pt>
                <c:pt idx="122">
                  <c:v>-18.711218898933708</c:v>
                </c:pt>
                <c:pt idx="123">
                  <c:v>-18.883604571497802</c:v>
                </c:pt>
                <c:pt idx="124">
                  <c:v>-19.055976784026324</c:v>
                </c:pt>
                <c:pt idx="125">
                  <c:v>-19.232311198620682</c:v>
                </c:pt>
                <c:pt idx="126">
                  <c:v>-19.40859913310166</c:v>
                </c:pt>
                <c:pt idx="127">
                  <c:v>-19.588913319024432</c:v>
                </c:pt>
                <c:pt idx="128">
                  <c:v>-19.769146844644698</c:v>
                </c:pt>
                <c:pt idx="129">
                  <c:v>-19.95346783273925</c:v>
                </c:pt>
                <c:pt idx="130">
                  <c:v>-20.137672750961851</c:v>
                </c:pt>
                <c:pt idx="131">
                  <c:v>-20.326023342407577</c:v>
                </c:pt>
                <c:pt idx="132">
                  <c:v>-20.420142291282311</c:v>
                </c:pt>
                <c:pt idx="133">
                  <c:v>-20.514221159012092</c:v>
                </c:pt>
                <c:pt idx="134">
                  <c:v>-20.610493006685143</c:v>
                </c:pt>
                <c:pt idx="135">
                  <c:v>-20.706718980642894</c:v>
                </c:pt>
                <c:pt idx="136">
                  <c:v>-20.802897184448536</c:v>
                </c:pt>
                <c:pt idx="137">
                  <c:v>-20.899025759653227</c:v>
                </c:pt>
                <c:pt idx="138">
                  <c:v>-20.997283591086454</c:v>
                </c:pt>
                <c:pt idx="139">
                  <c:v>-21.095485700661381</c:v>
                </c:pt>
                <c:pt idx="140">
                  <c:v>-21.193630217649869</c:v>
                </c:pt>
                <c:pt idx="141">
                  <c:v>-21.291715308881344</c:v>
                </c:pt>
                <c:pt idx="142">
                  <c:v>-21.392062901469394</c:v>
                </c:pt>
                <c:pt idx="143">
                  <c:v>-21.492344445276242</c:v>
                </c:pt>
                <c:pt idx="144">
                  <c:v>-21.592558089944202</c:v>
                </c:pt>
                <c:pt idx="145">
                  <c:v>-21.692702022439967</c:v>
                </c:pt>
                <c:pt idx="146">
                  <c:v>-21.795091695113353</c:v>
                </c:pt>
                <c:pt idx="147">
                  <c:v>-21.897404664353445</c:v>
                </c:pt>
                <c:pt idx="148">
                  <c:v>-21.99963910366737</c:v>
                </c:pt>
                <c:pt idx="149">
                  <c:v>-22.101793223621776</c:v>
                </c:pt>
                <c:pt idx="150">
                  <c:v>-22.206224333760954</c:v>
                </c:pt>
                <c:pt idx="151">
                  <c:v>-22.310567692794969</c:v>
                </c:pt>
                <c:pt idx="152">
                  <c:v>-22.414821498988534</c:v>
                </c:pt>
                <c:pt idx="153">
                  <c:v>-22.518983987445765</c:v>
                </c:pt>
                <c:pt idx="154">
                  <c:v>-22.625502140054699</c:v>
                </c:pt>
                <c:pt idx="155">
                  <c:v>-22.731920998008757</c:v>
                </c:pt>
                <c:pt idx="156">
                  <c:v>-22.838238783087153</c:v>
                </c:pt>
                <c:pt idx="157">
                  <c:v>-22.944453753799472</c:v>
                </c:pt>
                <c:pt idx="158">
                  <c:v>-23.053052187802781</c:v>
                </c:pt>
                <c:pt idx="159">
                  <c:v>-23.161539350055918</c:v>
                </c:pt>
                <c:pt idx="160">
                  <c:v>-23.269913487588713</c:v>
                </c:pt>
                <c:pt idx="161">
                  <c:v>-23.378172884091338</c:v>
                </c:pt>
                <c:pt idx="162">
                  <c:v>-23.488793263937104</c:v>
                </c:pt>
                <c:pt idx="163">
                  <c:v>-23.599290063305013</c:v>
                </c:pt>
                <c:pt idx="164">
                  <c:v>-23.709661558771067</c:v>
                </c:pt>
                <c:pt idx="165">
                  <c:v>-23.81990606347679</c:v>
                </c:pt>
                <c:pt idx="166">
                  <c:v>-23.932632941482478</c:v>
                </c:pt>
                <c:pt idx="167">
                  <c:v>-24.045223267511989</c:v>
                </c:pt>
                <c:pt idx="168">
                  <c:v>-24.157675345500916</c:v>
                </c:pt>
                <c:pt idx="169">
                  <c:v>-24.269987516022596</c:v>
                </c:pt>
                <c:pt idx="170">
                  <c:v>-24.384563687778343</c:v>
                </c:pt>
                <c:pt idx="171">
                  <c:v>-24.498990496440598</c:v>
                </c:pt>
                <c:pt idx="172">
                  <c:v>-24.613266286600428</c:v>
                </c:pt>
                <c:pt idx="173">
                  <c:v>-24.727389439288693</c:v>
                </c:pt>
                <c:pt idx="174">
                  <c:v>-24.844229530974246</c:v>
                </c:pt>
                <c:pt idx="175">
                  <c:v>-24.960905860058972</c:v>
                </c:pt>
                <c:pt idx="176">
                  <c:v>-25.077416796099602</c:v>
                </c:pt>
                <c:pt idx="177">
                  <c:v>-25.193760745482177</c:v>
                </c:pt>
                <c:pt idx="178">
                  <c:v>-25.312790786641784</c:v>
                </c:pt>
                <c:pt idx="179">
                  <c:v>-25.431642255771134</c:v>
                </c:pt>
                <c:pt idx="180">
                  <c:v>-25.550313553906701</c:v>
                </c:pt>
                <c:pt idx="181">
                  <c:v>-25.668803119263298</c:v>
                </c:pt>
                <c:pt idx="182">
                  <c:v>-25.789473673055461</c:v>
                </c:pt>
                <c:pt idx="183">
                  <c:v>-25.909951984544225</c:v>
                </c:pt>
                <c:pt idx="184">
                  <c:v>-26.030236510831173</c:v>
                </c:pt>
                <c:pt idx="185">
                  <c:v>-26.15032574593149</c:v>
                </c:pt>
                <c:pt idx="186">
                  <c:v>-26.273506597421747</c:v>
                </c:pt>
                <c:pt idx="187">
                  <c:v>-26.396478181854786</c:v>
                </c:pt>
                <c:pt idx="188">
                  <c:v>-26.519238982464238</c:v>
                </c:pt>
                <c:pt idx="189">
                  <c:v>-26.641787520262135</c:v>
                </c:pt>
                <c:pt idx="190">
                  <c:v>-26.766454900126529</c:v>
                </c:pt>
                <c:pt idx="191">
                  <c:v>-26.890898853354791</c:v>
                </c:pt>
                <c:pt idx="192">
                  <c:v>-27.01511793075656</c:v>
                </c:pt>
                <c:pt idx="193">
                  <c:v>-27.139110720603369</c:v>
                </c:pt>
                <c:pt idx="194">
                  <c:v>-27.266117551649181</c:v>
                </c:pt>
                <c:pt idx="195">
                  <c:v>-27.392883179726923</c:v>
                </c:pt>
                <c:pt idx="196">
                  <c:v>-27.519406197179549</c:v>
                </c:pt>
                <c:pt idx="197">
                  <c:v>-27.645685234589589</c:v>
                </c:pt>
                <c:pt idx="198">
                  <c:v>-27.774476068053776</c:v>
                </c:pt>
                <c:pt idx="199">
                  <c:v>-27.903009346640747</c:v>
                </c:pt>
                <c:pt idx="200">
                  <c:v>-28.031283727760574</c:v>
                </c:pt>
                <c:pt idx="201">
                  <c:v>-28.159297907235441</c:v>
                </c:pt>
                <c:pt idx="202">
                  <c:v>-28.289785306016043</c:v>
                </c:pt>
                <c:pt idx="203">
                  <c:v>-28.419998600914859</c:v>
                </c:pt>
                <c:pt idx="204">
                  <c:v>-28.549936521274923</c:v>
                </c:pt>
                <c:pt idx="205">
                  <c:v>-28.679597834986971</c:v>
                </c:pt>
                <c:pt idx="206">
                  <c:v>-28.812144584315256</c:v>
                </c:pt>
                <c:pt idx="207">
                  <c:v>-28.944398523862699</c:v>
                </c:pt>
                <c:pt idx="208">
                  <c:v>-29.076358449702592</c:v>
                </c:pt>
                <c:pt idx="209">
                  <c:v>-29.208023197078251</c:v>
                </c:pt>
                <c:pt idx="210">
                  <c:v>-29.342974325330442</c:v>
                </c:pt>
                <c:pt idx="211">
                  <c:v>-29.47761156775357</c:v>
                </c:pt>
                <c:pt idx="212">
                  <c:v>-29.611933785598755</c:v>
                </c:pt>
                <c:pt idx="213">
                  <c:v>-29.745939880367533</c:v>
                </c:pt>
                <c:pt idx="214">
                  <c:v>-29.882290456932932</c:v>
                </c:pt>
                <c:pt idx="215">
                  <c:v>-30.018309998122071</c:v>
                </c:pt>
                <c:pt idx="216">
                  <c:v>-30.153997462723158</c:v>
                </c:pt>
                <c:pt idx="217">
                  <c:v>-30.289351849716518</c:v>
                </c:pt>
                <c:pt idx="218">
                  <c:v>-30.427446934900988</c:v>
                </c:pt>
                <c:pt idx="219">
                  <c:v>-30.565191587152462</c:v>
                </c:pt>
                <c:pt idx="220">
                  <c:v>-30.702584860757497</c:v>
                </c:pt>
                <c:pt idx="221">
                  <c:v>-30.839625850593297</c:v>
                </c:pt>
                <c:pt idx="222">
                  <c:v>-30.979356841935953</c:v>
                </c:pt>
                <c:pt idx="223">
                  <c:v>-31.118717880925619</c:v>
                </c:pt>
                <c:pt idx="224">
                  <c:v>-31.257708126909908</c:v>
                </c:pt>
                <c:pt idx="225">
                  <c:v>-31.396326780138185</c:v>
                </c:pt>
                <c:pt idx="226">
                  <c:v>-31.538013709786814</c:v>
                </c:pt>
                <c:pt idx="227">
                  <c:v>-31.679308721221574</c:v>
                </c:pt>
                <c:pt idx="228">
                  <c:v>-31.820211081845841</c:v>
                </c:pt>
                <c:pt idx="229">
                  <c:v>-31.960720100679566</c:v>
                </c:pt>
                <c:pt idx="230">
                  <c:v>-32.247340394459542</c:v>
                </c:pt>
                <c:pt idx="231">
                  <c:v>-32.390028867860629</c:v>
                </c:pt>
                <c:pt idx="232">
                  <c:v>-32.532302118133913</c:v>
                </c:pt>
                <c:pt idx="233">
                  <c:v>-32.677522097658823</c:v>
                </c:pt>
                <c:pt idx="234">
                  <c:v>-32.822305828962634</c:v>
                </c:pt>
                <c:pt idx="235">
                  <c:v>-32.966652832298458</c:v>
                </c:pt>
                <c:pt idx="236">
                  <c:v>-33.110562670571831</c:v>
                </c:pt>
                <c:pt idx="237">
                  <c:v>-33.256941448555587</c:v>
                </c:pt>
                <c:pt idx="238">
                  <c:v>-33.402864354077806</c:v>
                </c:pt>
                <c:pt idx="239">
                  <c:v>-33.548331054516034</c:v>
                </c:pt>
                <c:pt idx="240">
                  <c:v>-33.693341259718729</c:v>
                </c:pt>
                <c:pt idx="241">
                  <c:v>-33.841584700017108</c:v>
                </c:pt>
                <c:pt idx="242">
                  <c:v>-33.989347518196091</c:v>
                </c:pt>
                <c:pt idx="243">
                  <c:v>-34.136629534618805</c:v>
                </c:pt>
                <c:pt idx="244">
                  <c:v>-34.283430612744901</c:v>
                </c:pt>
                <c:pt idx="245">
                  <c:v>-34.432987759082224</c:v>
                </c:pt>
                <c:pt idx="246">
                  <c:v>-34.5820422604097</c:v>
                </c:pt>
                <c:pt idx="247">
                  <c:v>-34.730594104504377</c:v>
                </c:pt>
                <c:pt idx="248">
                  <c:v>-34.878643322202315</c:v>
                </c:pt>
                <c:pt idx="249">
                  <c:v>-35.029782408268076</c:v>
                </c:pt>
                <c:pt idx="250">
                  <c:v>-35.180394250479942</c:v>
                </c:pt>
                <c:pt idx="251">
                  <c:v>-35.330479016327544</c:v>
                </c:pt>
                <c:pt idx="252">
                  <c:v>-35.480036916588702</c:v>
                </c:pt>
                <c:pt idx="253">
                  <c:v>-35.632216617178855</c:v>
                </c:pt>
                <c:pt idx="254">
                  <c:v>-35.78384749300313</c:v>
                </c:pt>
                <c:pt idx="255">
                  <c:v>-35.934929901890293</c:v>
                </c:pt>
                <c:pt idx="256">
                  <c:v>-36.085464244517176</c:v>
                </c:pt>
                <c:pt idx="257">
                  <c:v>-36.239329356594745</c:v>
                </c:pt>
                <c:pt idx="258">
                  <c:v>-36.392618625742891</c:v>
                </c:pt>
                <c:pt idx="259">
                  <c:v>-36.545332618561069</c:v>
                </c:pt>
                <c:pt idx="260">
                  <c:v>-36.697471944705185</c:v>
                </c:pt>
                <c:pt idx="261">
                  <c:v>-36.852475256194666</c:v>
                </c:pt>
                <c:pt idx="262">
                  <c:v>-37.00687890614229</c:v>
                </c:pt>
                <c:pt idx="263">
                  <c:v>-37.160683679623837</c:v>
                </c:pt>
                <c:pt idx="264">
                  <c:v>-37.313890404274119</c:v>
                </c:pt>
                <c:pt idx="265">
                  <c:v>-37.469884496522319</c:v>
                </c:pt>
                <c:pt idx="266">
                  <c:v>-37.625255544931839</c:v>
                </c:pt>
                <c:pt idx="267">
                  <c:v>-37.780004564400919</c:v>
                </c:pt>
                <c:pt idx="268">
                  <c:v>-37.934132611623589</c:v>
                </c:pt>
                <c:pt idx="269">
                  <c:v>-38.091341053002452</c:v>
                </c:pt>
                <c:pt idx="270">
                  <c:v>-38.247900534198813</c:v>
                </c:pt>
                <c:pt idx="271">
                  <c:v>-38.403812319375568</c:v>
                </c:pt>
                <c:pt idx="272">
                  <c:v>-38.55907771383545</c:v>
                </c:pt>
                <c:pt idx="273">
                  <c:v>-38.717336994326459</c:v>
                </c:pt>
                <c:pt idx="274">
                  <c:v>-38.87492192892195</c:v>
                </c:pt>
                <c:pt idx="275">
                  <c:v>-39.031834043859789</c:v>
                </c:pt>
                <c:pt idx="276">
                  <c:v>-39.188074905533369</c:v>
                </c:pt>
                <c:pt idx="277">
                  <c:v>-39.346865174760246</c:v>
                </c:pt>
                <c:pt idx="278">
                  <c:v>-39.50495948270774</c:v>
                </c:pt>
                <c:pt idx="279">
                  <c:v>-39.662359617001883</c:v>
                </c:pt>
                <c:pt idx="280">
                  <c:v>-39.819067403758986</c:v>
                </c:pt>
                <c:pt idx="281">
                  <c:v>-39.979301321210791</c:v>
                </c:pt>
                <c:pt idx="282">
                  <c:v>-40.13880889886498</c:v>
                </c:pt>
                <c:pt idx="283">
                  <c:v>-40.297592234080717</c:v>
                </c:pt>
                <c:pt idx="284">
                  <c:v>-40.455653461720111</c:v>
                </c:pt>
                <c:pt idx="285">
                  <c:v>-40.616099752021398</c:v>
                </c:pt>
                <c:pt idx="286">
                  <c:v>-40.775799683201733</c:v>
                </c:pt>
                <c:pt idx="287">
                  <c:v>-40.934755631670228</c:v>
                </c:pt>
                <c:pt idx="288">
                  <c:v>-41.09297000899582</c:v>
                </c:pt>
                <c:pt idx="289">
                  <c:v>-41.254508113724896</c:v>
                </c:pt>
                <c:pt idx="290">
                  <c:v>-41.415271043668533</c:v>
                </c:pt>
                <c:pt idx="291">
                  <c:v>-41.575261509316427</c:v>
                </c:pt>
                <c:pt idx="292">
                  <c:v>-41.734482254513757</c:v>
                </c:pt>
                <c:pt idx="293">
                  <c:v>-41.896588758393136</c:v>
                </c:pt>
                <c:pt idx="294">
                  <c:v>-42.057895467271557</c:v>
                </c:pt>
                <c:pt idx="295">
                  <c:v>-42.218405419433587</c:v>
                </c:pt>
                <c:pt idx="296">
                  <c:v>-42.37812168400216</c:v>
                </c:pt>
                <c:pt idx="297">
                  <c:v>-42.540627950560605</c:v>
                </c:pt>
                <c:pt idx="298">
                  <c:v>-42.702310854176048</c:v>
                </c:pt>
                <c:pt idx="299">
                  <c:v>-42.863173767960163</c:v>
                </c:pt>
                <c:pt idx="300">
                  <c:v>-43.023220092949686</c:v>
                </c:pt>
                <c:pt idx="301">
                  <c:v>-43.185961302286827</c:v>
                </c:pt>
                <c:pt idx="302">
                  <c:v>-43.347856717953761</c:v>
                </c:pt>
                <c:pt idx="303">
                  <c:v>-43.508910052962456</c:v>
                </c:pt>
                <c:pt idx="304">
                  <c:v>-43.669125044951393</c:v>
                </c:pt>
                <c:pt idx="305">
                  <c:v>-43.832565177778186</c:v>
                </c:pt>
                <c:pt idx="306">
                  <c:v>-43.995131633604785</c:v>
                </c:pt>
                <c:pt idx="307">
                  <c:v>-44.156828515513446</c:v>
                </c:pt>
                <c:pt idx="308">
                  <c:v>-44.317659947859397</c:v>
                </c:pt>
                <c:pt idx="309">
                  <c:v>-44.480991856706353</c:v>
                </c:pt>
                <c:pt idx="310">
                  <c:v>-44.643430209213875</c:v>
                </c:pt>
                <c:pt idx="311">
                  <c:v>-44.804979455631759</c:v>
                </c:pt>
                <c:pt idx="312">
                  <c:v>-44.965644063379344</c:v>
                </c:pt>
                <c:pt idx="313">
                  <c:v>-45.129314739894355</c:v>
                </c:pt>
                <c:pt idx="314">
                  <c:v>-45.29206663793255</c:v>
                </c:pt>
                <c:pt idx="315">
                  <c:v>-45.453904606813239</c:v>
                </c:pt>
                <c:pt idx="316">
                  <c:v>-45.614833508777693</c:v>
                </c:pt>
                <c:pt idx="317">
                  <c:v>-45.778657349339944</c:v>
                </c:pt>
                <c:pt idx="318">
                  <c:v>-45.941538668629121</c:v>
                </c:pt>
                <c:pt idx="319">
                  <c:v>-46.103482717550669</c:v>
                </c:pt>
                <c:pt idx="320">
                  <c:v>-46.264494755229634</c:v>
                </c:pt>
                <c:pt idx="321">
                  <c:v>-46.428291976964026</c:v>
                </c:pt>
                <c:pt idx="322">
                  <c:v>-46.591124495631846</c:v>
                </c:pt>
                <c:pt idx="323">
                  <c:v>-46.75299796360688</c:v>
                </c:pt>
                <c:pt idx="324">
                  <c:v>-46.913918036357245</c:v>
                </c:pt>
                <c:pt idx="325">
                  <c:v>-47.077515135762198</c:v>
                </c:pt>
                <c:pt idx="326">
                  <c:v>-47.240126980722856</c:v>
                </c:pt>
                <c:pt idx="327">
                  <c:v>-47.401759622346539</c:v>
                </c:pt>
                <c:pt idx="328">
                  <c:v>-47.562419109323926</c:v>
                </c:pt>
                <c:pt idx="329">
                  <c:v>-47.725921385241648</c:v>
                </c:pt>
                <c:pt idx="330">
                  <c:v>-47.888416192401593</c:v>
                </c:pt>
                <c:pt idx="331">
                  <c:v>-48.049910007711013</c:v>
                </c:pt>
                <c:pt idx="332">
                  <c:v>-48.210409299746843</c:v>
                </c:pt>
                <c:pt idx="333">
                  <c:v>-48.37337146739258</c:v>
                </c:pt>
                <c:pt idx="334">
                  <c:v>-48.535309094565278</c:v>
                </c:pt>
                <c:pt idx="335">
                  <c:v>-48.696229044933524</c:v>
                </c:pt>
                <c:pt idx="336">
                  <c:v>-48.856138167639564</c:v>
                </c:pt>
                <c:pt idx="337">
                  <c:v>-49.018925481964139</c:v>
                </c:pt>
                <c:pt idx="338">
                  <c:v>-49.180666313129429</c:v>
                </c:pt>
                <c:pt idx="339">
                  <c:v>-49.341367970883283</c:v>
                </c:pt>
                <c:pt idx="340">
                  <c:v>-49.501037743730862</c:v>
                </c:pt>
                <c:pt idx="341">
                  <c:v>-49.663465746830944</c:v>
                </c:pt>
                <c:pt idx="342">
                  <c:v>-49.82482729425471</c:v>
                </c:pt>
                <c:pt idx="343">
                  <c:v>-49.985130133362986</c:v>
                </c:pt>
                <c:pt idx="344">
                  <c:v>-50.144381983197192</c:v>
                </c:pt>
                <c:pt idx="345">
                  <c:v>-50.306028998005445</c:v>
                </c:pt>
                <c:pt idx="346">
                  <c:v>-50.466594885518369</c:v>
                </c:pt>
                <c:pt idx="347">
                  <c:v>-50.626087782132338</c:v>
                </c:pt>
                <c:pt idx="348">
                  <c:v>-50.784515788769276</c:v>
                </c:pt>
                <c:pt idx="349">
                  <c:v>-50.945712156623934</c:v>
                </c:pt>
                <c:pt idx="350">
                  <c:v>-51.105808145826849</c:v>
                </c:pt>
                <c:pt idx="351">
                  <c:v>-51.264812342289609</c:v>
                </c:pt>
                <c:pt idx="352">
                  <c:v>-51.422733288628308</c:v>
                </c:pt>
                <c:pt idx="353">
                  <c:v>-51.583300886734136</c:v>
                </c:pt>
                <c:pt idx="354">
                  <c:v>-51.742751015981362</c:v>
                </c:pt>
                <c:pt idx="355">
                  <c:v>-51.901092696870123</c:v>
                </c:pt>
                <c:pt idx="356">
                  <c:v>-52.058334898534646</c:v>
                </c:pt>
                <c:pt idx="357">
                  <c:v>-52.217878925850698</c:v>
                </c:pt>
                <c:pt idx="358">
                  <c:v>-52.376293774574535</c:v>
                </c:pt>
                <c:pt idx="359">
                  <c:v>-52.53358884204475</c:v>
                </c:pt>
                <c:pt idx="360">
                  <c:v>-52.689773466329221</c:v>
                </c:pt>
                <c:pt idx="361">
                  <c:v>-52.848593606603337</c:v>
                </c:pt>
                <c:pt idx="362">
                  <c:v>-53.006268582398228</c:v>
                </c:pt>
                <c:pt idx="363">
                  <c:v>-53.162808228080323</c:v>
                </c:pt>
                <c:pt idx="364">
                  <c:v>-53.318222310066403</c:v>
                </c:pt>
                <c:pt idx="365">
                  <c:v>-53.475936775335832</c:v>
                </c:pt>
                <c:pt idx="366">
                  <c:v>-53.63249551384564</c:v>
                </c:pt>
                <c:pt idx="367">
                  <c:v>-53.787908734111326</c:v>
                </c:pt>
                <c:pt idx="368">
                  <c:v>-53.942186568334634</c:v>
                </c:pt>
                <c:pt idx="369">
                  <c:v>-54.099070636671762</c:v>
                </c:pt>
                <c:pt idx="370">
                  <c:v>-54.254784385250964</c:v>
                </c:pt>
                <c:pt idx="371">
                  <c:v>-54.409338456396469</c:v>
                </c:pt>
                <c:pt idx="372">
                  <c:v>-54.562743406903721</c:v>
                </c:pt>
                <c:pt idx="373">
                  <c:v>-54.718429722855895</c:v>
                </c:pt>
                <c:pt idx="374">
                  <c:v>-54.872936567501071</c:v>
                </c:pt>
                <c:pt idx="375">
                  <c:v>-55.026274949102074</c:v>
                </c:pt>
                <c:pt idx="376">
                  <c:v>-55.178455781654947</c:v>
                </c:pt>
                <c:pt idx="377">
                  <c:v>-55.333197480381962</c:v>
                </c:pt>
                <c:pt idx="378">
                  <c:v>-55.486746771143508</c:v>
                </c:pt>
                <c:pt idx="379">
                  <c:v>-55.63911508662968</c:v>
                </c:pt>
                <c:pt idx="380">
                  <c:v>-55.79031375561803</c:v>
                </c:pt>
                <c:pt idx="381">
                  <c:v>-55.943570067589356</c:v>
                </c:pt>
                <c:pt idx="382">
                  <c:v>-56.095629418793585</c:v>
                </c:pt>
                <c:pt idx="383">
                  <c:v>-56.246503550291244</c:v>
                </c:pt>
                <c:pt idx="384">
                  <c:v>-56.396204090789837</c:v>
                </c:pt>
                <c:pt idx="385">
                  <c:v>-56.54840914884106</c:v>
                </c:pt>
                <c:pt idx="386">
                  <c:v>-56.699406091229115</c:v>
                </c:pt>
                <c:pt idx="387">
                  <c:v>-56.849207067842748</c:v>
                </c:pt>
                <c:pt idx="388">
                  <c:v>-56.997824106308322</c:v>
                </c:pt>
                <c:pt idx="389">
                  <c:v>-57.148642924391055</c:v>
                </c:pt>
                <c:pt idx="390">
                  <c:v>-57.298247851381404</c:v>
                </c:pt>
                <c:pt idx="391">
                  <c:v>-57.446651369488329</c:v>
                </c:pt>
                <c:pt idx="392">
                  <c:v>-57.593865829565402</c:v>
                </c:pt>
                <c:pt idx="393">
                  <c:v>-57.74316983855276</c:v>
                </c:pt>
                <c:pt idx="394">
                  <c:v>-57.891256477170799</c:v>
                </c:pt>
                <c:pt idx="395">
                  <c:v>-58.038138526241575</c:v>
                </c:pt>
                <c:pt idx="396">
                  <c:v>-58.18382862647465</c:v>
                </c:pt>
                <c:pt idx="397">
                  <c:v>-58.331833069964539</c:v>
                </c:pt>
                <c:pt idx="398">
                  <c:v>-58.478613386516599</c:v>
                </c:pt>
                <c:pt idx="399">
                  <c:v>-58.62418270923159</c:v>
                </c:pt>
                <c:pt idx="400">
                  <c:v>-58.768554021404171</c:v>
                </c:pt>
                <c:pt idx="401">
                  <c:v>-58.914958770741151</c:v>
                </c:pt>
                <c:pt idx="402">
                  <c:v>-59.060137797115566</c:v>
                </c:pt>
                <c:pt idx="403">
                  <c:v>-59.2041045049384</c:v>
                </c:pt>
                <c:pt idx="404">
                  <c:v>-59.346872140208589</c:v>
                </c:pt>
                <c:pt idx="405">
                  <c:v>-59.491721526140914</c:v>
                </c:pt>
                <c:pt idx="406">
                  <c:v>-59.635343163214081</c:v>
                </c:pt>
                <c:pt idx="407">
                  <c:v>-59.777750734431272</c:v>
                </c:pt>
                <c:pt idx="408">
                  <c:v>-59.918957755562424</c:v>
                </c:pt>
                <c:pt idx="409">
                  <c:v>-60.062286279507774</c:v>
                </c:pt>
                <c:pt idx="410">
                  <c:v>-60.204384729325945</c:v>
                </c:pt>
                <c:pt idx="411">
                  <c:v>-60.345267072358027</c:v>
                </c:pt>
                <c:pt idx="412">
                  <c:v>-60.484947099683602</c:v>
                </c:pt>
                <c:pt idx="413">
                  <c:v>-60.626634985211268</c:v>
                </c:pt>
                <c:pt idx="414">
                  <c:v>-60.767092817664441</c:v>
                </c:pt>
                <c:pt idx="415">
                  <c:v>-60.9063348091682</c:v>
                </c:pt>
                <c:pt idx="416">
                  <c:v>-61.044374987121714</c:v>
                </c:pt>
                <c:pt idx="417">
                  <c:v>-61.184454512953465</c:v>
                </c:pt>
                <c:pt idx="418">
                  <c:v>-61.323303780421668</c:v>
                </c:pt>
                <c:pt idx="419">
                  <c:v>-61.460937250084413</c:v>
                </c:pt>
                <c:pt idx="420">
                  <c:v>-61.597369189161235</c:v>
                </c:pt>
                <c:pt idx="421">
                  <c:v>-61.735593687174628</c:v>
                </c:pt>
                <c:pt idx="422">
                  <c:v>-61.872592413297085</c:v>
                </c:pt>
                <c:pt idx="423">
                  <c:v>-62.008379992585667</c:v>
                </c:pt>
                <c:pt idx="424">
                  <c:v>-62.142970849589574</c:v>
                </c:pt>
                <c:pt idx="425">
                  <c:v>-62.279647110406742</c:v>
                </c:pt>
                <c:pt idx="426">
                  <c:v>-62.415097055452897</c:v>
                </c:pt>
                <c:pt idx="427">
                  <c:v>-62.549335562802682</c:v>
                </c:pt>
                <c:pt idx="428">
                  <c:v>-62.682377301181106</c:v>
                </c:pt>
                <c:pt idx="429">
                  <c:v>-62.817262890437469</c:v>
                </c:pt>
                <c:pt idx="430">
                  <c:v>-62.950926293476229</c:v>
                </c:pt>
                <c:pt idx="431">
                  <c:v>-63.083382555791921</c:v>
                </c:pt>
                <c:pt idx="432">
                  <c:v>-63.214646506224639</c:v>
                </c:pt>
                <c:pt idx="433">
                  <c:v>-63.347650824739816</c:v>
                </c:pt>
                <c:pt idx="434">
                  <c:v>-63.479439166882678</c:v>
                </c:pt>
                <c:pt idx="435">
                  <c:v>-63.610026704448281</c:v>
                </c:pt>
                <c:pt idx="436">
                  <c:v>-63.739428386049923</c:v>
                </c:pt>
                <c:pt idx="437">
                  <c:v>-63.870706265607275</c:v>
                </c:pt>
                <c:pt idx="438">
                  <c:v>-64.000772001979456</c:v>
                </c:pt>
                <c:pt idx="439">
                  <c:v>-64.129640935013811</c:v>
                </c:pt>
                <c:pt idx="440">
                  <c:v>-64.257328174015754</c:v>
                </c:pt>
                <c:pt idx="441">
                  <c:v>-64.386785050568619</c:v>
                </c:pt>
                <c:pt idx="442">
                  <c:v>-64.515035769625641</c:v>
                </c:pt>
                <c:pt idx="443">
                  <c:v>-64.642095796072027</c:v>
                </c:pt>
                <c:pt idx="444">
                  <c:v>-64.767980357728334</c:v>
                </c:pt>
                <c:pt idx="445">
                  <c:v>-64.895533134012169</c:v>
                </c:pt>
                <c:pt idx="446">
                  <c:v>-65.02188774426827</c:v>
                </c:pt>
                <c:pt idx="447">
                  <c:v>-65.14705973662295</c:v>
                </c:pt>
                <c:pt idx="448">
                  <c:v>-65.271064416476534</c:v>
                </c:pt>
                <c:pt idx="449">
                  <c:v>-65.396850435555692</c:v>
                </c:pt>
                <c:pt idx="450">
                  <c:v>-65.521444175126945</c:v>
                </c:pt>
                <c:pt idx="451">
                  <c:v>-65.644861304205506</c:v>
                </c:pt>
                <c:pt idx="452">
                  <c:v>-65.767117242642357</c:v>
                </c:pt>
                <c:pt idx="453">
                  <c:v>-65.890950417889201</c:v>
                </c:pt>
                <c:pt idx="454">
                  <c:v>-66.013601171869425</c:v>
                </c:pt>
                <c:pt idx="455">
                  <c:v>-66.135085212989637</c:v>
                </c:pt>
                <c:pt idx="456">
                  <c:v>-66.255417995793763</c:v>
                </c:pt>
                <c:pt idx="457">
                  <c:v>-66.377429776095283</c:v>
                </c:pt>
                <c:pt idx="458">
                  <c:v>-66.498266989518655</c:v>
                </c:pt>
                <c:pt idx="459">
                  <c:v>-66.617945419724862</c:v>
                </c:pt>
                <c:pt idx="460">
                  <c:v>-66.736480591072166</c:v>
                </c:pt>
                <c:pt idx="461">
                  <c:v>-66.85659618595264</c:v>
                </c:pt>
                <c:pt idx="462">
                  <c:v>-66.97554697346834</c:v>
                </c:pt>
                <c:pt idx="463">
                  <c:v>-67.093348770551316</c:v>
                </c:pt>
                <c:pt idx="464">
                  <c:v>-67.210017130333426</c:v>
                </c:pt>
                <c:pt idx="465">
                  <c:v>-67.328262267089741</c:v>
                </c:pt>
                <c:pt idx="466">
                  <c:v>-67.445352352153165</c:v>
                </c:pt>
                <c:pt idx="467">
                  <c:v>-67.561303231707143</c:v>
                </c:pt>
                <c:pt idx="468">
                  <c:v>-67.676130483764126</c:v>
                </c:pt>
                <c:pt idx="469">
                  <c:v>-67.792440811990133</c:v>
                </c:pt>
                <c:pt idx="470">
                  <c:v>-67.907607595122343</c:v>
                </c:pt>
                <c:pt idx="471">
                  <c:v>-68.021646668315142</c:v>
                </c:pt>
                <c:pt idx="472">
                  <c:v>-68.134573595135379</c:v>
                </c:pt>
                <c:pt idx="473">
                  <c:v>-68.249060956941491</c:v>
                </c:pt>
                <c:pt idx="474">
                  <c:v>-68.362414592226557</c:v>
                </c:pt>
                <c:pt idx="475">
                  <c:v>-68.474650355760815</c:v>
                </c:pt>
                <c:pt idx="476">
                  <c:v>-68.585783826657178</c:v>
                </c:pt>
                <c:pt idx="477">
                  <c:v>-68.698384145516172</c:v>
                </c:pt>
                <c:pt idx="478">
                  <c:v>-68.809862301759978</c:v>
                </c:pt>
                <c:pt idx="479">
                  <c:v>-68.920234129147872</c:v>
                </c:pt>
                <c:pt idx="480">
                  <c:v>-69.029515182695704</c:v>
                </c:pt>
                <c:pt idx="481">
                  <c:v>-69.140174550785403</c:v>
                </c:pt>
                <c:pt idx="482">
                  <c:v>-69.249724903241557</c:v>
                </c:pt>
                <c:pt idx="483">
                  <c:v>-69.358182014616546</c:v>
                </c:pt>
                <c:pt idx="484">
                  <c:v>-69.465561378592255</c:v>
                </c:pt>
                <c:pt idx="485">
                  <c:v>-69.574309057658851</c:v>
                </c:pt>
                <c:pt idx="486">
                  <c:v>-69.681960811199176</c:v>
                </c:pt>
                <c:pt idx="487">
                  <c:v>-69.788532350718228</c:v>
                </c:pt>
                <c:pt idx="488">
                  <c:v>-69.894039104887128</c:v>
                </c:pt>
                <c:pt idx="489">
                  <c:v>-70.00097231370448</c:v>
                </c:pt>
                <c:pt idx="490">
                  <c:v>-70.106821241743077</c:v>
                </c:pt>
                <c:pt idx="491">
                  <c:v>-70.211601563813829</c:v>
                </c:pt>
                <c:pt idx="492">
                  <c:v>-70.315328669361321</c:v>
                </c:pt>
                <c:pt idx="493">
                  <c:v>-70.420395132169716</c:v>
                </c:pt>
                <c:pt idx="494">
                  <c:v>-70.524390502678131</c:v>
                </c:pt>
                <c:pt idx="495">
                  <c:v>-70.627330381152063</c:v>
                </c:pt>
                <c:pt idx="496">
                  <c:v>-70.729230080934812</c:v>
                </c:pt>
                <c:pt idx="497">
                  <c:v>-70.83245212250543</c:v>
                </c:pt>
                <c:pt idx="498">
                  <c:v>-70.934616310447751</c:v>
                </c:pt>
                <c:pt idx="499">
                  <c:v>-71.035738164627972</c:v>
                </c:pt>
                <c:pt idx="500">
                  <c:v>-71.135832916646805</c:v>
                </c:pt>
                <c:pt idx="501">
                  <c:v>-71.237231122310376</c:v>
                </c:pt>
                <c:pt idx="502">
                  <c:v>-71.337584789654471</c:v>
                </c:pt>
                <c:pt idx="503">
                  <c:v>-71.436909351775768</c:v>
                </c:pt>
                <c:pt idx="504">
                  <c:v>-71.535219952388061</c:v>
                </c:pt>
                <c:pt idx="505">
                  <c:v>-71.634753415526404</c:v>
                </c:pt>
                <c:pt idx="506">
                  <c:v>-71.733256994109979</c:v>
                </c:pt>
                <c:pt idx="507">
                  <c:v>-71.830746000053239</c:v>
                </c:pt>
                <c:pt idx="508">
                  <c:v>-71.927235455703283</c:v>
                </c:pt>
                <c:pt idx="509">
                  <c:v>-72.024929441947009</c:v>
                </c:pt>
                <c:pt idx="510">
                  <c:v>-72.121608186765059</c:v>
                </c:pt>
                <c:pt idx="511">
                  <c:v>-72.217286876088551</c:v>
                </c:pt>
                <c:pt idx="512">
                  <c:v>-72.311980406298957</c:v>
                </c:pt>
                <c:pt idx="513">
                  <c:v>-72.407913970003264</c:v>
                </c:pt>
                <c:pt idx="514">
                  <c:v>-72.502845794003278</c:v>
                </c:pt>
                <c:pt idx="515">
                  <c:v>-72.596790959016687</c:v>
                </c:pt>
                <c:pt idx="516">
                  <c:v>-72.689764255777177</c:v>
                </c:pt>
                <c:pt idx="517">
                  <c:v>-72.783900194012276</c:v>
                </c:pt>
                <c:pt idx="518">
                  <c:v>-72.877049147770322</c:v>
                </c:pt>
                <c:pt idx="519">
                  <c:v>-72.96922605970272</c:v>
                </c:pt>
                <c:pt idx="520">
                  <c:v>-73.060445582955296</c:v>
                </c:pt>
                <c:pt idx="521">
                  <c:v>-73.152805707884497</c:v>
                </c:pt>
                <c:pt idx="522">
                  <c:v>-73.244193638304353</c:v>
                </c:pt>
                <c:pt idx="523">
                  <c:v>-73.334624173190988</c:v>
                </c:pt>
                <c:pt idx="524">
                  <c:v>-73.42411182271762</c:v>
                </c:pt>
                <c:pt idx="525">
                  <c:v>-73.514717123625203</c:v>
                </c:pt>
                <c:pt idx="526">
                  <c:v>-73.604365063826336</c:v>
                </c:pt>
                <c:pt idx="527">
                  <c:v>-73.693070292868157</c:v>
                </c:pt>
                <c:pt idx="528">
                  <c:v>-73.780847172424927</c:v>
                </c:pt>
                <c:pt idx="529">
                  <c:v>-73.869717990868864</c:v>
                </c:pt>
                <c:pt idx="530">
                  <c:v>-73.957646332202359</c:v>
                </c:pt>
                <c:pt idx="531">
                  <c:v>-74.044646690708035</c:v>
                </c:pt>
                <c:pt idx="532">
                  <c:v>-74.13073327395665</c:v>
                </c:pt>
                <c:pt idx="533">
                  <c:v>-74.217934213759165</c:v>
                </c:pt>
                <c:pt idx="534">
                  <c:v>-74.304206662447839</c:v>
                </c:pt>
                <c:pt idx="535">
                  <c:v>-74.389564975171709</c:v>
                </c:pt>
                <c:pt idx="536">
                  <c:v>-74.474023221177646</c:v>
                </c:pt>
                <c:pt idx="537">
                  <c:v>-74.559482410453654</c:v>
                </c:pt>
                <c:pt idx="538">
                  <c:v>-74.644029077921502</c:v>
                </c:pt>
                <c:pt idx="539">
                  <c:v>-74.727677389220062</c:v>
                </c:pt>
                <c:pt idx="540">
                  <c:v>-74.810441226306736</c:v>
                </c:pt>
                <c:pt idx="541">
                  <c:v>-74.894265695934749</c:v>
                </c:pt>
                <c:pt idx="542">
                  <c:v>-74.977191805987786</c:v>
                </c:pt>
                <c:pt idx="543">
                  <c:v>-75.059233569942606</c:v>
                </c:pt>
                <c:pt idx="544">
                  <c:v>-75.140404718898367</c:v>
                </c:pt>
                <c:pt idx="545">
                  <c:v>-75.222569059625229</c:v>
                </c:pt>
                <c:pt idx="546">
                  <c:v>-75.303850190513714</c:v>
                </c:pt>
                <c:pt idx="547">
                  <c:v>-75.38426194551063</c:v>
                </c:pt>
                <c:pt idx="548">
                  <c:v>-75.463817878294861</c:v>
                </c:pt>
                <c:pt idx="549">
                  <c:v>-75.544341370674061</c:v>
                </c:pt>
                <c:pt idx="550">
                  <c:v>-75.623996842172048</c:v>
                </c:pt>
                <c:pt idx="551">
                  <c:v>-75.702797941831591</c:v>
                </c:pt>
                <c:pt idx="552">
                  <c:v>-75.780758040758428</c:v>
                </c:pt>
                <c:pt idx="553">
                  <c:v>-75.859696099524172</c:v>
                </c:pt>
                <c:pt idx="554">
                  <c:v>-75.937780579647324</c:v>
                </c:pt>
                <c:pt idx="555">
                  <c:v>-76.015024958506942</c:v>
                </c:pt>
                <c:pt idx="556">
                  <c:v>-76.091442437590686</c:v>
                </c:pt>
                <c:pt idx="557">
                  <c:v>-76.24533827275566</c:v>
                </c:pt>
                <c:pt idx="558">
                  <c:v>-76.395930923936064</c:v>
                </c:pt>
                <c:pt idx="559">
                  <c:v>-76.54666525327346</c:v>
                </c:pt>
                <c:pt idx="560">
                  <c:v>-76.694157053326336</c:v>
                </c:pt>
                <c:pt idx="561">
                  <c:v>-76.841895400251488</c:v>
                </c:pt>
                <c:pt idx="562">
                  <c:v>-76.98644646616124</c:v>
                </c:pt>
                <c:pt idx="563">
                  <c:v>-77.130913054991595</c:v>
                </c:pt>
                <c:pt idx="564">
                  <c:v>-77.272261056760527</c:v>
                </c:pt>
                <c:pt idx="565">
                  <c:v>-77.414037712405118</c:v>
                </c:pt>
                <c:pt idx="566">
                  <c:v>-77.552741184905287</c:v>
                </c:pt>
                <c:pt idx="567">
                  <c:v>-77.691769583350663</c:v>
                </c:pt>
                <c:pt idx="568">
                  <c:v>-77.82777410307709</c:v>
                </c:pt>
                <c:pt idx="569">
                  <c:v>-77.963483123977397</c:v>
                </c:pt>
                <c:pt idx="570">
                  <c:v>-78.096243744841729</c:v>
                </c:pt>
                <c:pt idx="571">
                  <c:v>-78.229676250474768</c:v>
                </c:pt>
                <c:pt idx="572">
                  <c:v>-78.360192405776459</c:v>
                </c:pt>
                <c:pt idx="573">
                  <c:v>-78.490295471746421</c:v>
                </c:pt>
                <c:pt idx="574">
                  <c:v>-78.617561160607352</c:v>
                </c:pt>
                <c:pt idx="575">
                  <c:v>-78.745308429057218</c:v>
                </c:pt>
                <c:pt idx="576">
                  <c:v>-78.870256725575629</c:v>
                </c:pt>
                <c:pt idx="577">
                  <c:v>-79.37022603199344</c:v>
                </c:pt>
                <c:pt idx="578">
                  <c:v>-79.827671809589148</c:v>
                </c:pt>
                <c:pt idx="579">
                  <c:v>-80.705434816494474</c:v>
                </c:pt>
                <c:pt idx="580">
                  <c:v>-81.510745187327799</c:v>
                </c:pt>
                <c:pt idx="581">
                  <c:v>-82.247932039443839</c:v>
                </c:pt>
                <c:pt idx="582">
                  <c:v>-82.922759372596005</c:v>
                </c:pt>
                <c:pt idx="583">
                  <c:v>-83.539713295338842</c:v>
                </c:pt>
                <c:pt idx="584">
                  <c:v>-84.103924594030786</c:v>
                </c:pt>
                <c:pt idx="585">
                  <c:v>-84.619402400294419</c:v>
                </c:pt>
                <c:pt idx="586">
                  <c:v>-85.090276643095578</c:v>
                </c:pt>
                <c:pt idx="587">
                  <c:v>-85.520510339495246</c:v>
                </c:pt>
                <c:pt idx="588">
                  <c:v>-85.913145024173815</c:v>
                </c:pt>
                <c:pt idx="589">
                  <c:v>-86.271688159462826</c:v>
                </c:pt>
                <c:pt idx="590">
                  <c:v>-86.598918791422435</c:v>
                </c:pt>
                <c:pt idx="591">
                  <c:v>-86.897557297344022</c:v>
                </c:pt>
                <c:pt idx="592">
                  <c:v>-87.170034918320695</c:v>
                </c:pt>
                <c:pt idx="593">
                  <c:v>-87.41869270901168</c:v>
                </c:pt>
                <c:pt idx="594">
                  <c:v>-87.645534351432232</c:v>
                </c:pt>
                <c:pt idx="595">
                  <c:v>-87.85250244972903</c:v>
                </c:pt>
                <c:pt idx="596">
                  <c:v>-88.041290026198723</c:v>
                </c:pt>
                <c:pt idx="597">
                  <c:v>-88.213523639019726</c:v>
                </c:pt>
                <c:pt idx="598">
                  <c:v>-88.370610676124585</c:v>
                </c:pt>
                <c:pt idx="599">
                  <c:v>-88.513915653760492</c:v>
                </c:pt>
                <c:pt idx="600">
                  <c:v>-88.644623876326989</c:v>
                </c:pt>
              </c:numCache>
            </c:numRef>
          </c:yVal>
          <c:smooth val="0"/>
          <c:extLst>
            <c:ext xmlns:c16="http://schemas.microsoft.com/office/drawing/2014/chart" uri="{C3380CC4-5D6E-409C-BE32-E72D297353CC}">
              <c16:uniqueId val="{00000001-C943-44AE-BE69-B37F145E1EAF}"/>
            </c:ext>
          </c:extLst>
        </c:ser>
        <c:ser>
          <c:idx val="2"/>
          <c:order val="2"/>
          <c:tx>
            <c:v>pwr plant</c:v>
          </c:tx>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Calculations'!$AG$13:$AG$613</c:f>
              <c:numCache>
                <c:formatCode>0.00</c:formatCode>
                <c:ptCount val="601"/>
                <c:pt idx="0">
                  <c:v>56.003428782314664</c:v>
                </c:pt>
                <c:pt idx="1">
                  <c:v>56.003295292078064</c:v>
                </c:pt>
                <c:pt idx="2">
                  <c:v>56.003134819998543</c:v>
                </c:pt>
                <c:pt idx="3">
                  <c:v>56.00294190905003</c:v>
                </c:pt>
                <c:pt idx="4">
                  <c:v>56.00271016415752</c:v>
                </c:pt>
                <c:pt idx="5">
                  <c:v>56.002431290158377</c:v>
                </c:pt>
                <c:pt idx="6">
                  <c:v>56.002096157996853</c:v>
                </c:pt>
                <c:pt idx="7">
                  <c:v>56.001693154717472</c:v>
                </c:pt>
                <c:pt idx="8">
                  <c:v>56.001208896756935</c:v>
                </c:pt>
                <c:pt idx="9">
                  <c:v>56.000626569177044</c:v>
                </c:pt>
                <c:pt idx="10">
                  <c:v>55.999926718226092</c:v>
                </c:pt>
                <c:pt idx="11">
                  <c:v>55.999085547315026</c:v>
                </c:pt>
                <c:pt idx="12">
                  <c:v>55.998073977431659</c:v>
                </c:pt>
                <c:pt idx="13">
                  <c:v>55.996858712050908</c:v>
                </c:pt>
                <c:pt idx="14">
                  <c:v>55.995397660095065</c:v>
                </c:pt>
                <c:pt idx="15">
                  <c:v>55.993641855023569</c:v>
                </c:pt>
                <c:pt idx="16">
                  <c:v>55.991531827638106</c:v>
                </c:pt>
                <c:pt idx="17">
                  <c:v>55.988996727844508</c:v>
                </c:pt>
                <c:pt idx="18">
                  <c:v>55.985950349816662</c:v>
                </c:pt>
                <c:pt idx="19">
                  <c:v>55.982291012286332</c:v>
                </c:pt>
                <c:pt idx="20">
                  <c:v>55.977895179285539</c:v>
                </c:pt>
                <c:pt idx="21">
                  <c:v>55.972616675022891</c:v>
                </c:pt>
                <c:pt idx="22">
                  <c:v>55.966278300916628</c:v>
                </c:pt>
                <c:pt idx="23">
                  <c:v>55.958671169738707</c:v>
                </c:pt>
                <c:pt idx="24">
                  <c:v>55.94954190266732</c:v>
                </c:pt>
                <c:pt idx="25">
                  <c:v>55.938591725786409</c:v>
                </c:pt>
                <c:pt idx="26">
                  <c:v>55.925460184739954</c:v>
                </c:pt>
                <c:pt idx="27">
                  <c:v>55.909726261775596</c:v>
                </c:pt>
                <c:pt idx="28">
                  <c:v>55.890886158815</c:v>
                </c:pt>
                <c:pt idx="29">
                  <c:v>55.868359886761887</c:v>
                </c:pt>
                <c:pt idx="30">
                  <c:v>55.841404943237123</c:v>
                </c:pt>
                <c:pt idx="31">
                  <c:v>55.809229806946874</c:v>
                </c:pt>
                <c:pt idx="32">
                  <c:v>55.77084834548458</c:v>
                </c:pt>
                <c:pt idx="33">
                  <c:v>55.725167897488447</c:v>
                </c:pt>
                <c:pt idx="34">
                  <c:v>55.670858631094205</c:v>
                </c:pt>
                <c:pt idx="35">
                  <c:v>55.606465440809018</c:v>
                </c:pt>
                <c:pt idx="36">
                  <c:v>55.530298580071531</c:v>
                </c:pt>
                <c:pt idx="37">
                  <c:v>55.440418026089517</c:v>
                </c:pt>
                <c:pt idx="38">
                  <c:v>55.334815294130152</c:v>
                </c:pt>
                <c:pt idx="39">
                  <c:v>55.211125227660041</c:v>
                </c:pt>
                <c:pt idx="40">
                  <c:v>55.066944430576669</c:v>
                </c:pt>
                <c:pt idx="41">
                  <c:v>54.899706572472027</c:v>
                </c:pt>
                <c:pt idx="42">
                  <c:v>54.706838837149128</c:v>
                </c:pt>
                <c:pt idx="43">
                  <c:v>54.48572448160639</c:v>
                </c:pt>
                <c:pt idx="44">
                  <c:v>54.234005931778306</c:v>
                </c:pt>
                <c:pt idx="45">
                  <c:v>53.949476475791073</c:v>
                </c:pt>
                <c:pt idx="46">
                  <c:v>53.630410386466963</c:v>
                </c:pt>
                <c:pt idx="47">
                  <c:v>53.275431316993661</c:v>
                </c:pt>
                <c:pt idx="48">
                  <c:v>52.883878835334158</c:v>
                </c:pt>
                <c:pt idx="49">
                  <c:v>52.455511361220118</c:v>
                </c:pt>
                <c:pt idx="50">
                  <c:v>51.990864048760216</c:v>
                </c:pt>
                <c:pt idx="51">
                  <c:v>51.490878751891593</c:v>
                </c:pt>
                <c:pt idx="52">
                  <c:v>50.95728706325896</c:v>
                </c:pt>
                <c:pt idx="53">
                  <c:v>50.392077000836231</c:v>
                </c:pt>
                <c:pt idx="54">
                  <c:v>49.797943448918673</c:v>
                </c:pt>
                <c:pt idx="55">
                  <c:v>49.17637470641796</c:v>
                </c:pt>
                <c:pt idx="56">
                  <c:v>48.530808753662157</c:v>
                </c:pt>
                <c:pt idx="57">
                  <c:v>47.863399808948088</c:v>
                </c:pt>
                <c:pt idx="58">
                  <c:v>47.177131191227346</c:v>
                </c:pt>
                <c:pt idx="59">
                  <c:v>46.473840426201008</c:v>
                </c:pt>
                <c:pt idx="60">
                  <c:v>45.75610675446881</c:v>
                </c:pt>
                <c:pt idx="61">
                  <c:v>45.02581445452681</c:v>
                </c:pt>
                <c:pt idx="62">
                  <c:v>44.284345713333664</c:v>
                </c:pt>
                <c:pt idx="63">
                  <c:v>43.533985101305035</c:v>
                </c:pt>
                <c:pt idx="64">
                  <c:v>42.775514384124236</c:v>
                </c:pt>
                <c:pt idx="65">
                  <c:v>42.010420277848475</c:v>
                </c:pt>
                <c:pt idx="66">
                  <c:v>41.239675441361364</c:v>
                </c:pt>
                <c:pt idx="67">
                  <c:v>40.464277025363458</c:v>
                </c:pt>
                <c:pt idx="68">
                  <c:v>39.684756511103259</c:v>
                </c:pt>
                <c:pt idx="69">
                  <c:v>38.90196635167748</c:v>
                </c:pt>
                <c:pt idx="70">
                  <c:v>38.116295652825812</c:v>
                </c:pt>
                <c:pt idx="71">
                  <c:v>37.328365379420816</c:v>
                </c:pt>
                <c:pt idx="72">
                  <c:v>36.538396026077407</c:v>
                </c:pt>
                <c:pt idx="73">
                  <c:v>35.746910997776588</c:v>
                </c:pt>
                <c:pt idx="74">
                  <c:v>34.953985561327414</c:v>
                </c:pt>
                <c:pt idx="75">
                  <c:v>34.159976058519668</c:v>
                </c:pt>
                <c:pt idx="76">
                  <c:v>33.36489543770422</c:v>
                </c:pt>
                <c:pt idx="77">
                  <c:v>32.569165530606597</c:v>
                </c:pt>
                <c:pt idx="78">
                  <c:v>31.772900469708031</c:v>
                </c:pt>
                <c:pt idx="79">
                  <c:v>30.976721075440338</c:v>
                </c:pt>
                <c:pt idx="80">
                  <c:v>30.179391491041617</c:v>
                </c:pt>
                <c:pt idx="81">
                  <c:v>29.382124877120297</c:v>
                </c:pt>
                <c:pt idx="82">
                  <c:v>28.584471819008673</c:v>
                </c:pt>
                <c:pt idx="83">
                  <c:v>27.787087033019734</c:v>
                </c:pt>
                <c:pt idx="84">
                  <c:v>26.989439826337684</c:v>
                </c:pt>
                <c:pt idx="85">
                  <c:v>26.192063963792069</c:v>
                </c:pt>
                <c:pt idx="86">
                  <c:v>25.394925547174157</c:v>
                </c:pt>
                <c:pt idx="87">
                  <c:v>24.597689904735823</c:v>
                </c:pt>
                <c:pt idx="88">
                  <c:v>23.801219871729927</c:v>
                </c:pt>
                <c:pt idx="89">
                  <c:v>23.004989771011005</c:v>
                </c:pt>
                <c:pt idx="90">
                  <c:v>22.209433010640684</c:v>
                </c:pt>
                <c:pt idx="91">
                  <c:v>21.414633241158676</c:v>
                </c:pt>
                <c:pt idx="92">
                  <c:v>20.620876705565856</c:v>
                </c:pt>
                <c:pt idx="93">
                  <c:v>19.82813737748145</c:v>
                </c:pt>
                <c:pt idx="94">
                  <c:v>19.63024019387743</c:v>
                </c:pt>
                <c:pt idx="95">
                  <c:v>19.530713026044513</c:v>
                </c:pt>
                <c:pt idx="96">
                  <c:v>19.432348312732085</c:v>
                </c:pt>
                <c:pt idx="97">
                  <c:v>19.332879398550627</c:v>
                </c:pt>
                <c:pt idx="98">
                  <c:v>19.234573260649029</c:v>
                </c:pt>
                <c:pt idx="99">
                  <c:v>19.135139889641618</c:v>
                </c:pt>
                <c:pt idx="100">
                  <c:v>19.036870220505683</c:v>
                </c:pt>
                <c:pt idx="101">
                  <c:v>18.937526937491761</c:v>
                </c:pt>
                <c:pt idx="102">
                  <c:v>18.839347091352924</c:v>
                </c:pt>
                <c:pt idx="103">
                  <c:v>18.740000931837187</c:v>
                </c:pt>
                <c:pt idx="104">
                  <c:v>18.641820193066202</c:v>
                </c:pt>
                <c:pt idx="105">
                  <c:v>18.54252884940022</c:v>
                </c:pt>
                <c:pt idx="106">
                  <c:v>18.444403653954822</c:v>
                </c:pt>
                <c:pt idx="107">
                  <c:v>18.345221142474465</c:v>
                </c:pt>
                <c:pt idx="108">
                  <c:v>18.247204334503841</c:v>
                </c:pt>
                <c:pt idx="109">
                  <c:v>18.148114109708995</c:v>
                </c:pt>
                <c:pt idx="110">
                  <c:v>18.050189622307141</c:v>
                </c:pt>
                <c:pt idx="111">
                  <c:v>17.951112587678573</c:v>
                </c:pt>
                <c:pt idx="112">
                  <c:v>17.853203274695492</c:v>
                </c:pt>
                <c:pt idx="113">
                  <c:v>17.754197113778904</c:v>
                </c:pt>
                <c:pt idx="114">
                  <c:v>17.656359412892311</c:v>
                </c:pt>
                <c:pt idx="115">
                  <c:v>17.557415710021193</c:v>
                </c:pt>
                <c:pt idx="116">
                  <c:v>17.459641511457914</c:v>
                </c:pt>
                <c:pt idx="117">
                  <c:v>17.360754239200496</c:v>
                </c:pt>
                <c:pt idx="118">
                  <c:v>17.263037771507438</c:v>
                </c:pt>
                <c:pt idx="119">
                  <c:v>17.164262669221067</c:v>
                </c:pt>
                <c:pt idx="120">
                  <c:v>17.066658477093959</c:v>
                </c:pt>
                <c:pt idx="121">
                  <c:v>16.967989597267714</c:v>
                </c:pt>
                <c:pt idx="122">
                  <c:v>16.870491993750242</c:v>
                </c:pt>
                <c:pt idx="123">
                  <c:v>16.771868732819613</c:v>
                </c:pt>
                <c:pt idx="124">
                  <c:v>16.674418674344079</c:v>
                </c:pt>
                <c:pt idx="125">
                  <c:v>16.575898607487403</c:v>
                </c:pt>
                <c:pt idx="126">
                  <c:v>16.478552443532443</c:v>
                </c:pt>
                <c:pt idx="127">
                  <c:v>16.380135431162024</c:v>
                </c:pt>
                <c:pt idx="128">
                  <c:v>16.282893164316377</c:v>
                </c:pt>
                <c:pt idx="129">
                  <c:v>16.184580765021007</c:v>
                </c:pt>
                <c:pt idx="130">
                  <c:v>16.087444062178612</c:v>
                </c:pt>
                <c:pt idx="131">
                  <c:v>15.989239410005949</c:v>
                </c:pt>
                <c:pt idx="132">
                  <c:v>15.940580005510816</c:v>
                </c:pt>
                <c:pt idx="133">
                  <c:v>15.892211482528245</c:v>
                </c:pt>
                <c:pt idx="134">
                  <c:v>15.842991117183081</c:v>
                </c:pt>
                <c:pt idx="135">
                  <c:v>15.794068836368202</c:v>
                </c:pt>
                <c:pt idx="136">
                  <c:v>15.74544129244156</c:v>
                </c:pt>
                <c:pt idx="137">
                  <c:v>15.697105194975901</c:v>
                </c:pt>
                <c:pt idx="138">
                  <c:v>15.647969760037547</c:v>
                </c:pt>
                <c:pt idx="139">
                  <c:v>15.599132372105398</c:v>
                </c:pt>
                <c:pt idx="140">
                  <c:v>15.55058968884769</c:v>
                </c:pt>
                <c:pt idx="141">
                  <c:v>15.502338425016404</c:v>
                </c:pt>
                <c:pt idx="142">
                  <c:v>15.453241454509199</c:v>
                </c:pt>
                <c:pt idx="143">
                  <c:v>15.404443098678271</c:v>
                </c:pt>
                <c:pt idx="144">
                  <c:v>15.355940010521937</c:v>
                </c:pt>
                <c:pt idx="145">
                  <c:v>15.307728900216846</c:v>
                </c:pt>
                <c:pt idx="146">
                  <c:v>15.258699850564117</c:v>
                </c:pt>
                <c:pt idx="147">
                  <c:v>15.209969672215015</c:v>
                </c:pt>
                <c:pt idx="148">
                  <c:v>15.161535018895609</c:v>
                </c:pt>
                <c:pt idx="149">
                  <c:v>15.113392601481163</c:v>
                </c:pt>
                <c:pt idx="150">
                  <c:v>15.064436142224423</c:v>
                </c:pt>
                <c:pt idx="151">
                  <c:v>15.01577880096178</c:v>
                </c:pt>
                <c:pt idx="152">
                  <c:v>14.967417232493652</c:v>
                </c:pt>
                <c:pt idx="153">
                  <c:v>14.919348148731451</c:v>
                </c:pt>
                <c:pt idx="154">
                  <c:v>14.870447015565119</c:v>
                </c:pt>
                <c:pt idx="155">
                  <c:v>14.821845506851233</c:v>
                </c:pt>
                <c:pt idx="156">
                  <c:v>14.773540274306651</c:v>
                </c:pt>
                <c:pt idx="157">
                  <c:v>14.725528026814299</c:v>
                </c:pt>
                <c:pt idx="158">
                  <c:v>14.676689456608493</c:v>
                </c:pt>
                <c:pt idx="159">
                  <c:v>14.628150981299239</c:v>
                </c:pt>
                <c:pt idx="160">
                  <c:v>14.579909250317559</c:v>
                </c:pt>
                <c:pt idx="161">
                  <c:v>14.531960970296154</c:v>
                </c:pt>
                <c:pt idx="162">
                  <c:v>14.483213893642679</c:v>
                </c:pt>
                <c:pt idx="163">
                  <c:v>14.434767081262109</c:v>
                </c:pt>
                <c:pt idx="164">
                  <c:v>14.386617185518462</c:v>
                </c:pt>
                <c:pt idx="165">
                  <c:v>14.338760915893188</c:v>
                </c:pt>
                <c:pt idx="166">
                  <c:v>14.290069997982219</c:v>
                </c:pt>
                <c:pt idx="167">
                  <c:v>14.241680003518439</c:v>
                </c:pt>
                <c:pt idx="168">
                  <c:v>14.193587579825955</c:v>
                </c:pt>
                <c:pt idx="169">
                  <c:v>14.145789431441234</c:v>
                </c:pt>
                <c:pt idx="170">
                  <c:v>14.097266018971808</c:v>
                </c:pt>
                <c:pt idx="171">
                  <c:v>14.049042873534908</c:v>
                </c:pt>
                <c:pt idx="172">
                  <c:v>14.001116659503655</c:v>
                </c:pt>
                <c:pt idx="173">
                  <c:v>13.953484098056151</c:v>
                </c:pt>
                <c:pt idx="174">
                  <c:v>13.904952192161616</c:v>
                </c:pt>
                <c:pt idx="175">
                  <c:v>13.856722129776243</c:v>
                </c:pt>
                <c:pt idx="176">
                  <c:v>13.808790555383686</c:v>
                </c:pt>
                <c:pt idx="177">
                  <c:v>13.761154170700504</c:v>
                </c:pt>
                <c:pt idx="178">
                  <c:v>13.712649176472381</c:v>
                </c:pt>
                <c:pt idx="179">
                  <c:v>13.664447236480054</c:v>
                </c:pt>
                <c:pt idx="180">
                  <c:v>13.616544981624539</c:v>
                </c:pt>
                <c:pt idx="181">
                  <c:v>13.568939100323094</c:v>
                </c:pt>
                <c:pt idx="182">
                  <c:v>13.520683049672018</c:v>
                </c:pt>
                <c:pt idx="183">
                  <c:v>13.472728563606115</c:v>
                </c:pt>
                <c:pt idx="184">
                  <c:v>13.425072304466221</c:v>
                </c:pt>
                <c:pt idx="185">
                  <c:v>13.377710991370027</c:v>
                </c:pt>
                <c:pt idx="186">
                  <c:v>13.329353376041571</c:v>
                </c:pt>
                <c:pt idx="187">
                  <c:v>13.281300278739597</c:v>
                </c:pt>
                <c:pt idx="188">
                  <c:v>13.233548319762498</c:v>
                </c:pt>
                <c:pt idx="189">
                  <c:v>13.18609417710903</c:v>
                </c:pt>
                <c:pt idx="190">
                  <c:v>13.138037436088894</c:v>
                </c:pt>
                <c:pt idx="191">
                  <c:v>13.090283198331377</c:v>
                </c:pt>
                <c:pt idx="192">
                  <c:v>13.042828124614271</c:v>
                </c:pt>
                <c:pt idx="193">
                  <c:v>12.995668932467183</c:v>
                </c:pt>
                <c:pt idx="194">
                  <c:v>12.947577592088784</c:v>
                </c:pt>
                <c:pt idx="195">
                  <c:v>12.899791024679265</c:v>
                </c:pt>
                <c:pt idx="196">
                  <c:v>12.852305860797754</c:v>
                </c:pt>
                <c:pt idx="197">
                  <c:v>12.805118788404585</c:v>
                </c:pt>
                <c:pt idx="198">
                  <c:v>12.75720298882934</c:v>
                </c:pt>
                <c:pt idx="199">
                  <c:v>12.7095916634721</c:v>
                </c:pt>
                <c:pt idx="200">
                  <c:v>12.662281455328531</c:v>
                </c:pt>
                <c:pt idx="201">
                  <c:v>12.615269064476921</c:v>
                </c:pt>
                <c:pt idx="202">
                  <c:v>12.567553350843516</c:v>
                </c:pt>
                <c:pt idx="203">
                  <c:v>12.520141571927086</c:v>
                </c:pt>
                <c:pt idx="204">
                  <c:v>12.473030387247469</c:v>
                </c:pt>
                <c:pt idx="205">
                  <c:v>12.426216512994209</c:v>
                </c:pt>
                <c:pt idx="206">
                  <c:v>12.378561784452454</c:v>
                </c:pt>
                <c:pt idx="207">
                  <c:v>12.33121229751732</c:v>
                </c:pt>
                <c:pt idx="208">
                  <c:v>12.284164698032683</c:v>
                </c:pt>
                <c:pt idx="209">
                  <c:v>12.237415688777729</c:v>
                </c:pt>
                <c:pt idx="210">
                  <c:v>12.189697780664837</c:v>
                </c:pt>
                <c:pt idx="211">
                  <c:v>12.142288115239474</c:v>
                </c:pt>
                <c:pt idx="212">
                  <c:v>12.095183297016352</c:v>
                </c:pt>
                <c:pt idx="213">
                  <c:v>12.048379988332908</c:v>
                </c:pt>
                <c:pt idx="214">
                  <c:v>12.000950905918735</c:v>
                </c:pt>
                <c:pt idx="215">
                  <c:v>11.953828637936867</c:v>
                </c:pt>
                <c:pt idx="216">
                  <c:v>11.90700982062994</c:v>
                </c:pt>
                <c:pt idx="217">
                  <c:v>11.860491147295614</c:v>
                </c:pt>
                <c:pt idx="218">
                  <c:v>11.813218886892223</c:v>
                </c:pt>
                <c:pt idx="219">
                  <c:v>11.766253793721084</c:v>
                </c:pt>
                <c:pt idx="220">
                  <c:v>11.719592506589533</c:v>
                </c:pt>
                <c:pt idx="221">
                  <c:v>11.673231721247856</c:v>
                </c:pt>
                <c:pt idx="222">
                  <c:v>11.626144657627286</c:v>
                </c:pt>
                <c:pt idx="223">
                  <c:v>11.579364836470759</c:v>
                </c:pt>
                <c:pt idx="224">
                  <c:v>11.53288890382929</c:v>
                </c:pt>
                <c:pt idx="225">
                  <c:v>11.486713562476016</c:v>
                </c:pt>
                <c:pt idx="226">
                  <c:v>11.439695963917833</c:v>
                </c:pt>
                <c:pt idx="227">
                  <c:v>11.392987289731501</c:v>
                </c:pt>
                <c:pt idx="228">
                  <c:v>11.346584167124941</c:v>
                </c:pt>
                <c:pt idx="229">
                  <c:v>11.300483280389667</c:v>
                </c:pt>
                <c:pt idx="230">
                  <c:v>11.206969651449254</c:v>
                </c:pt>
                <c:pt idx="231">
                  <c:v>11.1606748242128</c:v>
                </c:pt>
                <c:pt idx="232">
                  <c:v>11.114683531618706</c:v>
                </c:pt>
                <c:pt idx="233">
                  <c:v>11.067911469888418</c:v>
                </c:pt>
                <c:pt idx="234">
                  <c:v>11.021450644190324</c:v>
                </c:pt>
                <c:pt idx="235">
                  <c:v>10.975297661742719</c:v>
                </c:pt>
                <c:pt idx="236">
                  <c:v>10.929449187157157</c:v>
                </c:pt>
                <c:pt idx="237">
                  <c:v>10.882980889489659</c:v>
                </c:pt>
                <c:pt idx="238">
                  <c:v>10.836822744167501</c:v>
                </c:pt>
                <c:pt idx="239">
                  <c:v>10.790971385045321</c:v>
                </c:pt>
                <c:pt idx="240">
                  <c:v>10.745423502695569</c:v>
                </c:pt>
                <c:pt idx="241">
                  <c:v>10.699022850501727</c:v>
                </c:pt>
                <c:pt idx="242">
                  <c:v>10.652934519041482</c:v>
                </c:pt>
                <c:pt idx="243">
                  <c:v>10.607155116020353</c:v>
                </c:pt>
                <c:pt idx="244">
                  <c:v>10.561681306365063</c:v>
                </c:pt>
                <c:pt idx="245">
                  <c:v>10.51551217981023</c:v>
                </c:pt>
                <c:pt idx="246">
                  <c:v>10.469655472093368</c:v>
                </c:pt>
                <c:pt idx="247">
                  <c:v>10.424107798487716</c:v>
                </c:pt>
                <c:pt idx="248">
                  <c:v>10.37886583122952</c:v>
                </c:pt>
                <c:pt idx="249">
                  <c:v>10.332833962997785</c:v>
                </c:pt>
                <c:pt idx="250">
                  <c:v>10.287116003843977</c:v>
                </c:pt>
                <c:pt idx="251">
                  <c:v>10.241708554095286</c:v>
                </c:pt>
                <c:pt idx="252">
                  <c:v>10.196608271281599</c:v>
                </c:pt>
                <c:pt idx="253">
                  <c:v>10.150867056922497</c:v>
                </c:pt>
                <c:pt idx="254">
                  <c:v>10.105439281005541</c:v>
                </c:pt>
                <c:pt idx="255">
                  <c:v>10.06032156067908</c:v>
                </c:pt>
                <c:pt idx="256">
                  <c:v>10.015510569817829</c:v>
                </c:pt>
                <c:pt idx="257">
                  <c:v>9.9698539965295119</c:v>
                </c:pt>
                <c:pt idx="258">
                  <c:v>9.9245133369174283</c:v>
                </c:pt>
                <c:pt idx="259">
                  <c:v>9.8794851773535211</c:v>
                </c:pt>
                <c:pt idx="260">
                  <c:v>9.8347661615152084</c:v>
                </c:pt>
                <c:pt idx="261">
                  <c:v>9.7893471277459962</c:v>
                </c:pt>
                <c:pt idx="262">
                  <c:v>9.744244526261296</c:v>
                </c:pt>
                <c:pt idx="263">
                  <c:v>9.6994549442794913</c:v>
                </c:pt>
                <c:pt idx="264">
                  <c:v>9.65497502619092</c:v>
                </c:pt>
                <c:pt idx="265">
                  <c:v>9.6098232924726261</c:v>
                </c:pt>
                <c:pt idx="266">
                  <c:v>9.5649882249225531</c:v>
                </c:pt>
                <c:pt idx="267">
                  <c:v>9.5204664161239361</c:v>
                </c:pt>
                <c:pt idx="268">
                  <c:v>9.4762545155911173</c:v>
                </c:pt>
                <c:pt idx="269">
                  <c:v>9.4312924796500024</c:v>
                </c:pt>
                <c:pt idx="270">
                  <c:v>9.386648568188555</c:v>
                </c:pt>
                <c:pt idx="271">
                  <c:v>9.3423193593581519</c:v>
                </c:pt>
                <c:pt idx="272">
                  <c:v>9.2983014884332498</c:v>
                </c:pt>
                <c:pt idx="273">
                  <c:v>9.2535644455004533</c:v>
                </c:pt>
                <c:pt idx="274">
                  <c:v>9.2091466434194356</c:v>
                </c:pt>
                <c:pt idx="275">
                  <c:v>9.1650446513211108</c:v>
                </c:pt>
                <c:pt idx="276">
                  <c:v>9.121255095522999</c:v>
                </c:pt>
                <c:pt idx="277">
                  <c:v>9.0768762384314456</c:v>
                </c:pt>
                <c:pt idx="278">
                  <c:v>9.0328159837342508</c:v>
                </c:pt>
                <c:pt idx="279">
                  <c:v>8.9890709195483769</c:v>
                </c:pt>
                <c:pt idx="280">
                  <c:v>8.945637690614161</c:v>
                </c:pt>
                <c:pt idx="281">
                  <c:v>8.9013490951282197</c:v>
                </c:pt>
                <c:pt idx="282">
                  <c:v>8.8573824608356979</c:v>
                </c:pt>
                <c:pt idx="283">
                  <c:v>8.8137343305280176</c:v>
                </c:pt>
                <c:pt idx="284">
                  <c:v>8.7704013044695142</c:v>
                </c:pt>
                <c:pt idx="285">
                  <c:v>8.7265321909229812</c:v>
                </c:pt>
                <c:pt idx="286">
                  <c:v>8.6829838064717322</c:v>
                </c:pt>
                <c:pt idx="287">
                  <c:v>8.6397527219864045</c:v>
                </c:pt>
                <c:pt idx="288">
                  <c:v>8.5968355650318937</c:v>
                </c:pt>
                <c:pt idx="289">
                  <c:v>8.5531312161874151</c:v>
                </c:pt>
                <c:pt idx="290">
                  <c:v>8.5097502300348236</c:v>
                </c:pt>
                <c:pt idx="291">
                  <c:v>8.4666891433122728</c:v>
                </c:pt>
                <c:pt idx="292">
                  <c:v>8.4239445500355696</c:v>
                </c:pt>
                <c:pt idx="293">
                  <c:v>8.3805362169783564</c:v>
                </c:pt>
                <c:pt idx="294">
                  <c:v>8.3374521394306171</c:v>
                </c:pt>
                <c:pt idx="295">
                  <c:v>8.294688847571539</c:v>
                </c:pt>
                <c:pt idx="296">
                  <c:v>8.2522429288256927</c:v>
                </c:pt>
                <c:pt idx="297">
                  <c:v>8.2091629826357622</c:v>
                </c:pt>
                <c:pt idx="298">
                  <c:v>8.1664078687772097</c:v>
                </c:pt>
                <c:pt idx="299">
                  <c:v>8.1239741155529259</c:v>
                </c:pt>
                <c:pt idx="300">
                  <c:v>8.0818583083685205</c:v>
                </c:pt>
                <c:pt idx="301">
                  <c:v>8.039137294181721</c:v>
                </c:pt>
                <c:pt idx="302">
                  <c:v>7.9967413909539973</c:v>
                </c:pt>
                <c:pt idx="303">
                  <c:v>7.9546671294401907</c:v>
                </c:pt>
                <c:pt idx="304">
                  <c:v>7.9129110972535983</c:v>
                </c:pt>
                <c:pt idx="305">
                  <c:v>7.8704156133112093</c:v>
                </c:pt>
                <c:pt idx="306">
                  <c:v>7.8282477300768569</c:v>
                </c:pt>
                <c:pt idx="307">
                  <c:v>7.7864039449630109</c:v>
                </c:pt>
                <c:pt idx="308">
                  <c:v>7.7448808127683213</c:v>
                </c:pt>
                <c:pt idx="309">
                  <c:v>7.7028100104819366</c:v>
                </c:pt>
                <c:pt idx="310">
                  <c:v>7.6610664354201461</c:v>
                </c:pt>
                <c:pt idx="311">
                  <c:v>7.6196465968819744</c:v>
                </c:pt>
                <c:pt idx="312">
                  <c:v>7.578547061088158</c:v>
                </c:pt>
                <c:pt idx="313">
                  <c:v>7.5367736831368068</c:v>
                </c:pt>
                <c:pt idx="314">
                  <c:v>7.4953293060658179</c:v>
                </c:pt>
                <c:pt idx="315">
                  <c:v>7.4542104161790332</c:v>
                </c:pt>
                <c:pt idx="316">
                  <c:v>7.4134135569876296</c:v>
                </c:pt>
                <c:pt idx="317">
                  <c:v>7.3719754164748625</c:v>
                </c:pt>
                <c:pt idx="318">
                  <c:v>7.3308676698624922</c:v>
                </c:pt>
                <c:pt idx="319">
                  <c:v>7.2900867858982075</c:v>
                </c:pt>
                <c:pt idx="320">
                  <c:v>7.2496292906966779</c:v>
                </c:pt>
                <c:pt idx="321">
                  <c:v>7.2085621156786015</c:v>
                </c:pt>
                <c:pt idx="322">
                  <c:v>7.1678263648162126</c:v>
                </c:pt>
                <c:pt idx="323">
                  <c:v>7.1274184944022654</c:v>
                </c:pt>
                <c:pt idx="324">
                  <c:v>7.0873350181391279</c:v>
                </c:pt>
                <c:pt idx="325">
                  <c:v>7.0466725160473</c:v>
                </c:pt>
                <c:pt idx="326">
                  <c:v>7.0063421231448375</c:v>
                </c:pt>
                <c:pt idx="327">
                  <c:v>6.9663402880357461</c:v>
                </c:pt>
                <c:pt idx="328">
                  <c:v>6.926663516667972</c:v>
                </c:pt>
                <c:pt idx="329">
                  <c:v>6.8863704510443133</c:v>
                </c:pt>
                <c:pt idx="330">
                  <c:v>6.8464109584076756</c:v>
                </c:pt>
                <c:pt idx="331">
                  <c:v>6.80678146639357</c:v>
                </c:pt>
                <c:pt idx="332">
                  <c:v>6.7674784601957505</c:v>
                </c:pt>
                <c:pt idx="333">
                  <c:v>6.7276560609588332</c:v>
                </c:pt>
                <c:pt idx="334">
                  <c:v>6.6881672332427886</c:v>
                </c:pt>
                <c:pt idx="335">
                  <c:v>6.649008406310366</c:v>
                </c:pt>
                <c:pt idx="336">
                  <c:v>6.6101760667092293</c:v>
                </c:pt>
                <c:pt idx="337">
                  <c:v>6.5707269281493801</c:v>
                </c:pt>
                <c:pt idx="338">
                  <c:v>6.5316131902147578</c:v>
                </c:pt>
                <c:pt idx="339">
                  <c:v>6.4928312535302446</c:v>
                </c:pt>
                <c:pt idx="340">
                  <c:v>6.4543775763755153</c:v>
                </c:pt>
                <c:pt idx="341">
                  <c:v>6.4153404480331329</c:v>
                </c:pt>
                <c:pt idx="342">
                  <c:v>6.3766401377576969</c:v>
                </c:pt>
                <c:pt idx="343">
                  <c:v>6.3382730231169564</c:v>
                </c:pt>
                <c:pt idx="344">
                  <c:v>6.3002355395809753</c:v>
                </c:pt>
                <c:pt idx="345">
                  <c:v>6.261705420500685</c:v>
                </c:pt>
                <c:pt idx="346">
                  <c:v>6.2235121206000068</c:v>
                </c:pt>
                <c:pt idx="347">
                  <c:v>6.185652016132317</c:v>
                </c:pt>
                <c:pt idx="348">
                  <c:v>6.1481215410388925</c:v>
                </c:pt>
                <c:pt idx="349">
                  <c:v>6.1100138072090973</c:v>
                </c:pt>
                <c:pt idx="350">
                  <c:v>6.0722445828754061</c:v>
                </c:pt>
                <c:pt idx="351">
                  <c:v>6.0348102146804301</c:v>
                </c:pt>
                <c:pt idx="352">
                  <c:v>5.9977071073405677</c:v>
                </c:pt>
                <c:pt idx="353">
                  <c:v>5.9600600835599842</c:v>
                </c:pt>
                <c:pt idx="354">
                  <c:v>5.9227528369795959</c:v>
                </c:pt>
                <c:pt idx="355">
                  <c:v>5.8857816902577911</c:v>
                </c:pt>
                <c:pt idx="356">
                  <c:v>5.8491430243951026</c:v>
                </c:pt>
                <c:pt idx="357">
                  <c:v>5.8120452778762468</c:v>
                </c:pt>
                <c:pt idx="358">
                  <c:v>5.7752872093699805</c:v>
                </c:pt>
                <c:pt idx="359">
                  <c:v>5.7388651385008549</c:v>
                </c:pt>
                <c:pt idx="360">
                  <c:v>5.7027754430667841</c:v>
                </c:pt>
                <c:pt idx="361">
                  <c:v>5.666153827647654</c:v>
                </c:pt>
                <c:pt idx="362">
                  <c:v>5.6298733477452618</c:v>
                </c:pt>
                <c:pt idx="363">
                  <c:v>5.5939302934894322</c:v>
                </c:pt>
                <c:pt idx="364">
                  <c:v>5.5583210135777019</c:v>
                </c:pt>
                <c:pt idx="365">
                  <c:v>5.5222616570100982</c:v>
                </c:pt>
                <c:pt idx="366">
                  <c:v>5.4865435402588423</c:v>
                </c:pt>
                <c:pt idx="367">
                  <c:v>5.451162944703781</c:v>
                </c:pt>
                <c:pt idx="368">
                  <c:v>5.4161162102597977</c:v>
                </c:pt>
                <c:pt idx="369">
                  <c:v>5.3805547970042058</c:v>
                </c:pt>
                <c:pt idx="370">
                  <c:v>5.3453361810307234</c:v>
                </c:pt>
                <c:pt idx="371">
                  <c:v>5.3104566099721717</c:v>
                </c:pt>
                <c:pt idx="372">
                  <c:v>5.275912390497826</c:v>
                </c:pt>
                <c:pt idx="373">
                  <c:v>5.2409323134872139</c:v>
                </c:pt>
                <c:pt idx="374">
                  <c:v>5.2062952533716169</c:v>
                </c:pt>
                <c:pt idx="375">
                  <c:v>5.1719974446035373</c:v>
                </c:pt>
                <c:pt idx="376">
                  <c:v>5.1380351807557254</c:v>
                </c:pt>
                <c:pt idx="377">
                  <c:v>5.10358020889639</c:v>
                </c:pt>
                <c:pt idx="378">
                  <c:v>5.0694698298398464</c:v>
                </c:pt>
                <c:pt idx="379">
                  <c:v>5.0357002412246636</c:v>
                </c:pt>
                <c:pt idx="380">
                  <c:v>5.0022677004025233</c:v>
                </c:pt>
                <c:pt idx="381">
                  <c:v>4.9684598994210845</c:v>
                </c:pt>
                <c:pt idx="382">
                  <c:v>4.9349960982701262</c:v>
                </c:pt>
                <c:pt idx="383">
                  <c:v>4.9018724922429406</c:v>
                </c:pt>
                <c:pt idx="384">
                  <c:v>4.8690853362377498</c:v>
                </c:pt>
                <c:pt idx="385">
                  <c:v>4.8358308159086629</c:v>
                </c:pt>
                <c:pt idx="386">
                  <c:v>4.8029218517678434</c:v>
                </c:pt>
                <c:pt idx="387">
                  <c:v>4.7703545998830883</c:v>
                </c:pt>
                <c:pt idx="388">
                  <c:v>4.738125276608887</c:v>
                </c:pt>
                <c:pt idx="389">
                  <c:v>4.7055012776080458</c:v>
                </c:pt>
                <c:pt idx="390">
                  <c:v>4.673223090843357</c:v>
                </c:pt>
                <c:pt idx="391">
                  <c:v>4.6412868534256049</c:v>
                </c:pt>
                <c:pt idx="392">
                  <c:v>4.6096887630354377</c:v>
                </c:pt>
                <c:pt idx="393">
                  <c:v>4.57772674794266</c:v>
                </c:pt>
                <c:pt idx="394">
                  <c:v>4.5461103880464355</c:v>
                </c:pt>
                <c:pt idx="395">
                  <c:v>4.5148358072156638</c:v>
                </c:pt>
                <c:pt idx="396">
                  <c:v>4.48389919008003</c:v>
                </c:pt>
                <c:pt idx="397">
                  <c:v>4.4525579562933331</c:v>
                </c:pt>
                <c:pt idx="398">
                  <c:v>4.4215633821663323</c:v>
                </c:pt>
                <c:pt idx="399">
                  <c:v>4.3909115576297495</c:v>
                </c:pt>
                <c:pt idx="400">
                  <c:v>4.3605986340278333</c:v>
                </c:pt>
                <c:pt idx="401">
                  <c:v>4.329947961358334</c:v>
                </c:pt>
                <c:pt idx="402">
                  <c:v>4.2996437140359989</c:v>
                </c:pt>
                <c:pt idx="403">
                  <c:v>4.2696819677930042</c:v>
                </c:pt>
                <c:pt idx="404">
                  <c:v>4.2400588600489471</c:v>
                </c:pt>
                <c:pt idx="405">
                  <c:v>4.2100956618590049</c:v>
                </c:pt>
                <c:pt idx="406">
                  <c:v>4.1804789936706381</c:v>
                </c:pt>
                <c:pt idx="407">
                  <c:v>4.1512049102812218</c:v>
                </c:pt>
                <c:pt idx="408">
                  <c:v>4.1222695286265152</c:v>
                </c:pt>
                <c:pt idx="409">
                  <c:v>4.0929943030379654</c:v>
                </c:pt>
                <c:pt idx="410">
                  <c:v>4.0640660046957375</c:v>
                </c:pt>
                <c:pt idx="411">
                  <c:v>4.0354806615124952</c:v>
                </c:pt>
                <c:pt idx="412">
                  <c:v>4.0072343641545407</c:v>
                </c:pt>
                <c:pt idx="413">
                  <c:v>3.9786801663344407</c:v>
                </c:pt>
                <c:pt idx="414">
                  <c:v>3.9504728316454072</c:v>
                </c:pt>
                <c:pt idx="415">
                  <c:v>3.9226083681656743</c:v>
                </c:pt>
                <c:pt idx="416">
                  <c:v>3.895082847237715</c:v>
                </c:pt>
                <c:pt idx="417">
                  <c:v>3.8672523754631283</c:v>
                </c:pt>
                <c:pt idx="418">
                  <c:v>3.8397689594787678</c:v>
                </c:pt>
                <c:pt idx="419">
                  <c:v>3.8126285824057864</c:v>
                </c:pt>
                <c:pt idx="420">
                  <c:v>3.7858272912946345</c:v>
                </c:pt>
                <c:pt idx="421">
                  <c:v>3.7587791893055695</c:v>
                </c:pt>
                <c:pt idx="422">
                  <c:v>3.7320771968442044</c:v>
                </c:pt>
                <c:pt idx="423">
                  <c:v>3.7057172913137606</c:v>
                </c:pt>
                <c:pt idx="424">
                  <c:v>3.6796955143538823</c:v>
                </c:pt>
                <c:pt idx="425">
                  <c:v>3.6533800757068073</c:v>
                </c:pt>
                <c:pt idx="426">
                  <c:v>3.6274113983154881</c:v>
                </c:pt>
                <c:pt idx="427">
                  <c:v>3.6017854257334574</c:v>
                </c:pt>
                <c:pt idx="428">
                  <c:v>3.5764981667090856</c:v>
                </c:pt>
                <c:pt idx="429">
                  <c:v>3.5509743380371681</c:v>
                </c:pt>
                <c:pt idx="430">
                  <c:v>3.5257967730147821</c:v>
                </c:pt>
                <c:pt idx="431">
                  <c:v>3.5009614012398673</c:v>
                </c:pt>
                <c:pt idx="432">
                  <c:v>3.4764642180971252</c:v>
                </c:pt>
                <c:pt idx="433">
                  <c:v>3.4517605874087547</c:v>
                </c:pt>
                <c:pt idx="434">
                  <c:v>3.4274022955992405</c:v>
                </c:pt>
                <c:pt idx="435">
                  <c:v>3.4033852660025641</c:v>
                </c:pt>
                <c:pt idx="436">
                  <c:v>3.379705488224598</c:v>
                </c:pt>
                <c:pt idx="437">
                  <c:v>3.355805658849127</c:v>
                </c:pt>
                <c:pt idx="438">
                  <c:v>3.3322510758054564</c:v>
                </c:pt>
                <c:pt idx="439">
                  <c:v>3.3090376418623628</c:v>
                </c:pt>
                <c:pt idx="440">
                  <c:v>3.2861613269187502</c:v>
                </c:pt>
                <c:pt idx="441">
                  <c:v>3.2630964399350515</c:v>
                </c:pt>
                <c:pt idx="442">
                  <c:v>3.2403762480217084</c:v>
                </c:pt>
                <c:pt idx="443">
                  <c:v>3.2179966421552364</c:v>
                </c:pt>
                <c:pt idx="444">
                  <c:v>3.1959535811784874</c:v>
                </c:pt>
                <c:pt idx="445">
                  <c:v>3.1737522175069568</c:v>
                </c:pt>
                <c:pt idx="446">
                  <c:v>3.1518945715198377</c:v>
                </c:pt>
                <c:pt idx="447">
                  <c:v>3.1303765310264327</c:v>
                </c:pt>
                <c:pt idx="448">
                  <c:v>3.1091940523200696</c:v>
                </c:pt>
                <c:pt idx="449">
                  <c:v>3.0878469210875812</c:v>
                </c:pt>
                <c:pt idx="450">
                  <c:v>3.0668432794771179</c:v>
                </c:pt>
                <c:pt idx="451">
                  <c:v>3.0461790000756146</c:v>
                </c:pt>
                <c:pt idx="452">
                  <c:v>3.0258500249157394</c:v>
                </c:pt>
                <c:pt idx="453">
                  <c:v>3.005404330864458</c:v>
                </c:pt>
                <c:pt idx="454">
                  <c:v>2.9853008976914057</c:v>
                </c:pt>
                <c:pt idx="455">
                  <c:v>2.9655356024919941</c:v>
                </c:pt>
                <c:pt idx="456">
                  <c:v>2.9461043924090626</c:v>
                </c:pt>
                <c:pt idx="457">
                  <c:v>2.9265539612280893</c:v>
                </c:pt>
                <c:pt idx="458">
                  <c:v>2.9073452831853439</c:v>
                </c:pt>
                <c:pt idx="459">
                  <c:v>2.8884742291050989</c:v>
                </c:pt>
                <c:pt idx="460">
                  <c:v>2.8699367407895475</c:v>
                </c:pt>
                <c:pt idx="461">
                  <c:v>2.8513106208430661</c:v>
                </c:pt>
                <c:pt idx="462">
                  <c:v>2.8330253369496736</c:v>
                </c:pt>
                <c:pt idx="463">
                  <c:v>2.8150767637224483</c:v>
                </c:pt>
                <c:pt idx="464">
                  <c:v>2.797460847547768</c:v>
                </c:pt>
                <c:pt idx="465">
                  <c:v>2.7797723455360073</c:v>
                </c:pt>
                <c:pt idx="466">
                  <c:v>2.76242390954059</c:v>
                </c:pt>
                <c:pt idx="467">
                  <c:v>2.7454114185119041</c:v>
                </c:pt>
                <c:pt idx="468">
                  <c:v>2.728730824055003</c:v>
                </c:pt>
                <c:pt idx="469">
                  <c:v>2.7120074700433938</c:v>
                </c:pt>
                <c:pt idx="470">
                  <c:v>2.695623045712281</c:v>
                </c:pt>
                <c:pt idx="471">
                  <c:v>2.6795734447787241</c:v>
                </c:pt>
                <c:pt idx="472">
                  <c:v>2.6638546343588247</c:v>
                </c:pt>
                <c:pt idx="473">
                  <c:v>2.6480990472296839</c:v>
                </c:pt>
                <c:pt idx="474">
                  <c:v>2.632681911175903</c:v>
                </c:pt>
                <c:pt idx="475">
                  <c:v>2.6175991271991901</c:v>
                </c:pt>
                <c:pt idx="476">
                  <c:v>2.602846670741374</c:v>
                </c:pt>
                <c:pt idx="477">
                  <c:v>2.588087985396248</c:v>
                </c:pt>
                <c:pt idx="478">
                  <c:v>2.5736669212865659</c:v>
                </c:pt>
                <c:pt idx="479">
                  <c:v>2.5595793982156612</c:v>
                </c:pt>
                <c:pt idx="480">
                  <c:v>2.5458214113222208</c:v>
                </c:pt>
                <c:pt idx="481">
                  <c:v>2.5320866431477134</c:v>
                </c:pt>
                <c:pt idx="482">
                  <c:v>2.5186883643104112</c:v>
                </c:pt>
                <c:pt idx="483">
                  <c:v>2.505622524787527</c:v>
                </c:pt>
                <c:pt idx="484">
                  <c:v>2.4928851506484757</c:v>
                </c:pt>
                <c:pt idx="485">
                  <c:v>2.4801908745774899</c:v>
                </c:pt>
                <c:pt idx="486">
                  <c:v>2.4678321584005012</c:v>
                </c:pt>
                <c:pt idx="487">
                  <c:v>2.4558049853708761</c:v>
                </c:pt>
                <c:pt idx="488">
                  <c:v>2.4441054156686506</c:v>
                </c:pt>
                <c:pt idx="489">
                  <c:v>2.432462464602017</c:v>
                </c:pt>
                <c:pt idx="490">
                  <c:v>2.4211547961841591</c:v>
                </c:pt>
                <c:pt idx="491">
                  <c:v>2.4101784230439787</c:v>
                </c:pt>
                <c:pt idx="492">
                  <c:v>2.3995294358523904</c:v>
                </c:pt>
                <c:pt idx="493">
                  <c:v>2.3889675377937776</c:v>
                </c:pt>
                <c:pt idx="494">
                  <c:v>2.3787404019908953</c:v>
                </c:pt>
                <c:pt idx="495">
                  <c:v>2.3688440836667195</c:v>
                </c:pt>
                <c:pt idx="496">
                  <c:v>2.3592747170676853</c:v>
                </c:pt>
                <c:pt idx="497">
                  <c:v>2.3498160664494629</c:v>
                </c:pt>
                <c:pt idx="498">
                  <c:v>2.340691897153742</c:v>
                </c:pt>
                <c:pt idx="499">
                  <c:v>2.3318983128431778</c:v>
                </c:pt>
                <c:pt idx="500">
                  <c:v>2.3234314972673302</c:v>
                </c:pt>
                <c:pt idx="501">
                  <c:v>2.3151002520352861</c:v>
                </c:pt>
                <c:pt idx="502">
                  <c:v>2.3071034698800874</c:v>
                </c:pt>
                <c:pt idx="503">
                  <c:v>2.2994373097942771</c:v>
                </c:pt>
                <c:pt idx="504">
                  <c:v>2.2920980120095584</c:v>
                </c:pt>
                <c:pt idx="505">
                  <c:v>2.2849246220007537</c:v>
                </c:pt>
                <c:pt idx="506">
                  <c:v>2.2780855659146169</c:v>
                </c:pt>
                <c:pt idx="507">
                  <c:v>2.2715770728926215</c:v>
                </c:pt>
                <c:pt idx="508">
                  <c:v>2.2653954543724093</c:v>
                </c:pt>
                <c:pt idx="509">
                  <c:v>2.2594058834341983</c:v>
                </c:pt>
                <c:pt idx="510">
                  <c:v>2.2537508727496114</c:v>
                </c:pt>
                <c:pt idx="511">
                  <c:v>2.2484267301235055</c:v>
                </c:pt>
                <c:pt idx="512">
                  <c:v>2.2434298468383571</c:v>
                </c:pt>
                <c:pt idx="513">
                  <c:v>2.2386497928672049</c:v>
                </c:pt>
                <c:pt idx="514">
                  <c:v>2.2342053092026468</c:v>
                </c:pt>
                <c:pt idx="515">
                  <c:v>2.2300927860303372</c:v>
                </c:pt>
                <c:pt idx="516">
                  <c:v>2.2263086985385399</c:v>
                </c:pt>
                <c:pt idx="517">
                  <c:v>2.2227733112389019</c:v>
                </c:pt>
                <c:pt idx="518">
                  <c:v>2.2195745503175228</c:v>
                </c:pt>
                <c:pt idx="519">
                  <c:v>2.2167089065366552</c:v>
                </c:pt>
                <c:pt idx="520">
                  <c:v>2.2141729571643101</c:v>
                </c:pt>
                <c:pt idx="521">
                  <c:v>2.2119159427542594</c:v>
                </c:pt>
                <c:pt idx="522">
                  <c:v>2.2099971208741751</c:v>
                </c:pt>
                <c:pt idx="523">
                  <c:v>2.2084130961813333</c:v>
                </c:pt>
                <c:pt idx="524">
                  <c:v>2.2071605615589696</c:v>
                </c:pt>
                <c:pt idx="525">
                  <c:v>2.2062187019648336</c:v>
                </c:pt>
                <c:pt idx="526">
                  <c:v>2.2056171831722993</c:v>
                </c:pt>
                <c:pt idx="527">
                  <c:v>2.2053527391582555</c:v>
                </c:pt>
                <c:pt idx="528">
                  <c:v>2.2054221941141123</c:v>
                </c:pt>
                <c:pt idx="529">
                  <c:v>2.205835674136301</c:v>
                </c:pt>
                <c:pt idx="530">
                  <c:v>2.2065923105098468</c:v>
                </c:pt>
                <c:pt idx="531">
                  <c:v>2.207688984422159</c:v>
                </c:pt>
                <c:pt idx="532">
                  <c:v>2.2091226695952813</c:v>
                </c:pt>
                <c:pt idx="533">
                  <c:v>2.2109364953136366</c:v>
                </c:pt>
                <c:pt idx="534">
                  <c:v>2.2130974171716371</c:v>
                </c:pt>
                <c:pt idx="535">
                  <c:v>2.2156024798704212</c:v>
                </c:pt>
                <c:pt idx="536">
                  <c:v>2.2184488235739841</c:v>
                </c:pt>
                <c:pt idx="537">
                  <c:v>2.2217098998866049</c:v>
                </c:pt>
                <c:pt idx="538">
                  <c:v>2.2253221792050644</c:v>
                </c:pt>
                <c:pt idx="539">
                  <c:v>2.2292829032040102</c:v>
                </c:pt>
                <c:pt idx="540">
                  <c:v>2.2335894120706747</c:v>
                </c:pt>
                <c:pt idx="541">
                  <c:v>2.2383535497903098</c:v>
                </c:pt>
                <c:pt idx="542">
                  <c:v>2.2434747358421463</c:v>
                </c:pt>
                <c:pt idx="543">
                  <c:v>2.2489504289077002</c:v>
                </c:pt>
                <c:pt idx="544">
                  <c:v>2.2547781902739503</c:v>
                </c:pt>
                <c:pt idx="545">
                  <c:v>2.2611029051150129</c:v>
                </c:pt>
                <c:pt idx="546">
                  <c:v>2.2677913463122139</c:v>
                </c:pt>
                <c:pt idx="547">
                  <c:v>2.2748412272985759</c:v>
                </c:pt>
                <c:pt idx="548">
                  <c:v>2.2822503688118849</c:v>
                </c:pt>
                <c:pt idx="549">
                  <c:v>2.290200474973664</c:v>
                </c:pt>
                <c:pt idx="550">
                  <c:v>2.2985223709194234</c:v>
                </c:pt>
                <c:pt idx="551">
                  <c:v>2.3072140643326691</c:v>
                </c:pt>
                <c:pt idx="552">
                  <c:v>2.3162736759114395</c:v>
                </c:pt>
                <c:pt idx="553">
                  <c:v>2.3259257229227757</c:v>
                </c:pt>
                <c:pt idx="554">
                  <c:v>2.3359595884995694</c:v>
                </c:pt>
                <c:pt idx="555">
                  <c:v>2.34637361924882</c:v>
                </c:pt>
                <c:pt idx="556">
                  <c:v>2.3571662819897563</c:v>
                </c:pt>
                <c:pt idx="557">
                  <c:v>2.3804328871016276</c:v>
                </c:pt>
                <c:pt idx="558">
                  <c:v>2.40526954425171</c:v>
                </c:pt>
                <c:pt idx="559">
                  <c:v>2.4322910751237066</c:v>
                </c:pt>
                <c:pt idx="560">
                  <c:v>2.4609396685035816</c:v>
                </c:pt>
                <c:pt idx="561">
                  <c:v>2.4919485512109656</c:v>
                </c:pt>
                <c:pt idx="562">
                  <c:v>2.5246551740978762</c:v>
                </c:pt>
                <c:pt idx="563">
                  <c:v>2.5598163233244802</c:v>
                </c:pt>
                <c:pt idx="564">
                  <c:v>2.5967512674814603</c:v>
                </c:pt>
                <c:pt idx="565">
                  <c:v>2.6364642697076803</c:v>
                </c:pt>
                <c:pt idx="566">
                  <c:v>2.6780557477386466</c:v>
                </c:pt>
                <c:pt idx="567">
                  <c:v>2.7226305222715412</c:v>
                </c:pt>
                <c:pt idx="568">
                  <c:v>2.7692054974373583</c:v>
                </c:pt>
                <c:pt idx="569">
                  <c:v>2.8187927566129161</c:v>
                </c:pt>
                <c:pt idx="570">
                  <c:v>2.870505730241196</c:v>
                </c:pt>
                <c:pt idx="571">
                  <c:v>2.9258822566898077</c:v>
                </c:pt>
                <c:pt idx="572">
                  <c:v>2.9835682403972488</c:v>
                </c:pt>
                <c:pt idx="573">
                  <c:v>3.0447726441876801</c:v>
                </c:pt>
                <c:pt idx="574">
                  <c:v>3.1084648704836719</c:v>
                </c:pt>
                <c:pt idx="575">
                  <c:v>3.1764692967443193</c:v>
                </c:pt>
                <c:pt idx="576">
                  <c:v>3.2472136019670961</c:v>
                </c:pt>
                <c:pt idx="577">
                  <c:v>3.578825931455905</c:v>
                </c:pt>
                <c:pt idx="578">
                  <c:v>3.9678688239576032</c:v>
                </c:pt>
                <c:pt idx="579">
                  <c:v>5.0746965846152223</c:v>
                </c:pt>
                <c:pt idx="580">
                  <c:v>6.8899872446854395</c:v>
                </c:pt>
                <c:pt idx="581">
                  <c:v>10.256273729486749</c:v>
                </c:pt>
                <c:pt idx="582">
                  <c:v>18.671940380494163</c:v>
                </c:pt>
                <c:pt idx="583">
                  <c:v>20.600641016586295</c:v>
                </c:pt>
                <c:pt idx="584">
                  <c:v>11.642039484022387</c:v>
                </c:pt>
                <c:pt idx="585">
                  <c:v>9.0844500709998517</c:v>
                </c:pt>
                <c:pt idx="586">
                  <c:v>8.5476533044887386</c:v>
                </c:pt>
                <c:pt idx="587">
                  <c:v>9.0708841574997177</c:v>
                </c:pt>
                <c:pt idx="588">
                  <c:v>10.583591659136601</c:v>
                </c:pt>
                <c:pt idx="589">
                  <c:v>14.323529764610399</c:v>
                </c:pt>
                <c:pt idx="590">
                  <c:v>36.432027465651124</c:v>
                </c:pt>
                <c:pt idx="591">
                  <c:v>16.903360471201527</c:v>
                </c:pt>
                <c:pt idx="592">
                  <c:v>14.75660330859019</c:v>
                </c:pt>
                <c:pt idx="593">
                  <c:v>16.035149737210073</c:v>
                </c:pt>
                <c:pt idx="594">
                  <c:v>22.756537897508849</c:v>
                </c:pt>
                <c:pt idx="595">
                  <c:v>23.154050344722108</c:v>
                </c:pt>
                <c:pt idx="596">
                  <c:v>19.75408593854365</c:v>
                </c:pt>
                <c:pt idx="597">
                  <c:v>23.63101651807192</c:v>
                </c:pt>
                <c:pt idx="598">
                  <c:v>27.27480683147985</c:v>
                </c:pt>
                <c:pt idx="599">
                  <c:v>24.045149097129972</c:v>
                </c:pt>
                <c:pt idx="600">
                  <c:v>51.689576451354931</c:v>
                </c:pt>
              </c:numCache>
            </c:numRef>
          </c:yVal>
          <c:smooth val="0"/>
          <c:extLst>
            <c:ext xmlns:c16="http://schemas.microsoft.com/office/drawing/2014/chart" uri="{C3380CC4-5D6E-409C-BE32-E72D297353CC}">
              <c16:uniqueId val="{00000002-C943-44AE-BE69-B37F145E1EAF}"/>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1.195943181888036E-4</c:v>
                </c:pt>
                <c:pt idx="1">
                  <c:v>70.874336591381152</c:v>
                </c:pt>
                <c:pt idx="2">
                  <c:v>63.591962502130492</c:v>
                </c:pt>
                <c:pt idx="3">
                  <c:v>56.039794046062454</c:v>
                </c:pt>
                <c:pt idx="4">
                  <c:v>49.103024913949547</c:v>
                </c:pt>
                <c:pt idx="5">
                  <c:v>43.039575240804545</c:v>
                </c:pt>
                <c:pt idx="6">
                  <c:v>37.854564606610573</c:v>
                </c:pt>
                <c:pt idx="7">
                  <c:v>33.458560093399065</c:v>
                </c:pt>
                <c:pt idx="8">
                  <c:v>29.737254877613122</c:v>
                </c:pt>
                <c:pt idx="9">
                  <c:v>26.580047523964108</c:v>
                </c:pt>
                <c:pt idx="10">
                  <c:v>23.890022201612275</c:v>
                </c:pt>
                <c:pt idx="11">
                  <c:v>21.585948534420552</c:v>
                </c:pt>
                <c:pt idx="12">
                  <c:v>19.601158428146881</c:v>
                </c:pt>
                <c:pt idx="13">
                  <c:v>17.881438421474666</c:v>
                </c:pt>
                <c:pt idx="14">
                  <c:v>16.382826331267754</c:v>
                </c:pt>
                <c:pt idx="15">
                  <c:v>15.830584317255273</c:v>
                </c:pt>
                <c:pt idx="16">
                  <c:v>15.590486763586178</c:v>
                </c:pt>
                <c:pt idx="17">
                  <c:v>15.362459231666618</c:v>
                </c:pt>
                <c:pt idx="18">
                  <c:v>15.145018149352222</c:v>
                </c:pt>
                <c:pt idx="19">
                  <c:v>14.936917332194961</c:v>
                </c:pt>
                <c:pt idx="20">
                  <c:v>14.737099854171326</c:v>
                </c:pt>
                <c:pt idx="21">
                  <c:v>14.544661362684701</c:v>
                </c:pt>
                <c:pt idx="22">
                  <c:v>14.358821716888089</c:v>
                </c:pt>
                <c:pt idx="23">
                  <c:v>14.178902772730964</c:v>
                </c:pt>
                <c:pt idx="24">
                  <c:v>14.004310769334067</c:v>
                </c:pt>
                <c:pt idx="25">
                  <c:v>13.834522201174082</c:v>
                </c:pt>
                <c:pt idx="26">
                  <c:v>13.669072358267357</c:v>
                </c:pt>
                <c:pt idx="27">
                  <c:v>13.507545925767422</c:v>
                </c:pt>
                <c:pt idx="28">
                  <c:v>13.349569183284594</c:v>
                </c:pt>
                <c:pt idx="29">
                  <c:v>13.194803451232302</c:v>
                </c:pt>
                <c:pt idx="30">
                  <c:v>13.042939508857131</c:v>
                </c:pt>
                <c:pt idx="31">
                  <c:v>12.893692764530776</c:v>
                </c:pt>
                <c:pt idx="32">
                  <c:v>12.746798998892835</c:v>
                </c:pt>
                <c:pt idx="33">
                  <c:v>12.602010529199269</c:v>
                </c:pt>
                <c:pt idx="34">
                  <c:v>12.459092661075461</c:v>
                </c:pt>
                <c:pt idx="35">
                  <c:v>12.31782030308122</c:v>
                </c:pt>
                <c:pt idx="36">
                  <c:v>12.177974620457018</c:v>
                </c:pt>
                <c:pt idx="37">
                  <c:v>12.039339596629759</c:v>
                </c:pt>
                <c:pt idx="38">
                  <c:v>11.901698352971463</c:v>
                </c:pt>
                <c:pt idx="39">
                  <c:v>11.764829046019619</c:v>
                </c:pt>
                <c:pt idx="40">
                  <c:v>11.628500112011036</c:v>
                </c:pt>
                <c:pt idx="41">
                  <c:v>11.492464553266339</c:v>
                </c:pt>
                <c:pt idx="42">
                  <c:v>11.356452846999963</c:v>
                </c:pt>
                <c:pt idx="43">
                  <c:v>11.220163883919062</c:v>
                </c:pt>
                <c:pt idx="44">
                  <c:v>11.083253077516989</c:v>
                </c:pt>
                <c:pt idx="45">
                  <c:v>10.945316367950696</c:v>
                </c:pt>
                <c:pt idx="46">
                  <c:v>10.805868177740365</c:v>
                </c:pt>
                <c:pt idx="47">
                  <c:v>10.664310283972165</c:v>
                </c:pt>
                <c:pt idx="48">
                  <c:v>10.519886729251342</c:v>
                </c:pt>
                <c:pt idx="49">
                  <c:v>10.371616683639711</c:v>
                </c:pt>
                <c:pt idx="50">
                  <c:v>10.218191364233885</c:v>
                </c:pt>
                <c:pt idx="51">
                  <c:v>10.057810157055679</c:v>
                </c:pt>
                <c:pt idx="52">
                  <c:v>9.8879093229281008</c:v>
                </c:pt>
                <c:pt idx="53">
                  <c:v>9.7046908276553676</c:v>
                </c:pt>
                <c:pt idx="54">
                  <c:v>9.5022551696184028</c:v>
                </c:pt>
                <c:pt idx="55">
                  <c:v>9.2708863266319081</c:v>
                </c:pt>
                <c:pt idx="56">
                  <c:v>8.9933329271933804</c:v>
                </c:pt>
                <c:pt idx="57">
                  <c:v>8.6356933475300792</c:v>
                </c:pt>
                <c:pt idx="58">
                  <c:v>8.1208553769780689</c:v>
                </c:pt>
                <c:pt idx="59">
                  <c:v>7.709867934100247</c:v>
                </c:pt>
                <c:pt idx="60">
                  <c:v>7.4967900960398843</c:v>
                </c:pt>
                <c:pt idx="61">
                  <c:v>7.0809340673281245</c:v>
                </c:pt>
                <c:pt idx="62">
                  <c:v>6.312579355755461</c:v>
                </c:pt>
                <c:pt idx="63">
                  <c:v>2.3085827307280979</c:v>
                </c:pt>
                <c:pt idx="64">
                  <c:v>23.118114250400364</c:v>
                </c:pt>
                <c:pt idx="65">
                  <c:v>14.764069401776975</c:v>
                </c:pt>
                <c:pt idx="66">
                  <c:v>13.302044295166668</c:v>
                </c:pt>
                <c:pt idx="67">
                  <c:v>12.692514294216739</c:v>
                </c:pt>
                <c:pt idx="68">
                  <c:v>12.353951112229232</c:v>
                </c:pt>
                <c:pt idx="69">
                  <c:v>12.129516414908451</c:v>
                </c:pt>
                <c:pt idx="70">
                  <c:v>11.968306667245917</c:v>
                </c:pt>
                <c:pt idx="71">
                  <c:v>11.841639085054007</c:v>
                </c:pt>
                <c:pt idx="72">
                  <c:v>11.734594120224809</c:v>
                </c:pt>
                <c:pt idx="73">
                  <c:v>11.63861513368979</c:v>
                </c:pt>
                <c:pt idx="74">
                  <c:v>11.548410626346136</c:v>
                </c:pt>
                <c:pt idx="75">
                  <c:v>11.460504262525781</c:v>
                </c:pt>
                <c:pt idx="76">
                  <c:v>11.372493279475172</c:v>
                </c:pt>
                <c:pt idx="77">
                  <c:v>11.282641840301208</c:v>
                </c:pt>
                <c:pt idx="78">
                  <c:v>11.189645118309553</c:v>
                </c:pt>
                <c:pt idx="79">
                  <c:v>11.09248588243117</c:v>
                </c:pt>
                <c:pt idx="80">
                  <c:v>10.990343798315623</c:v>
                </c:pt>
                <c:pt idx="81">
                  <c:v>10.882536079567666</c:v>
                </c:pt>
                <c:pt idx="82">
                  <c:v>10.768477473900907</c:v>
                </c:pt>
                <c:pt idx="83">
                  <c:v>10.647652554147768</c:v>
                </c:pt>
                <c:pt idx="84">
                  <c:v>10.519596056668847</c:v>
                </c:pt>
                <c:pt idx="85">
                  <c:v>10.383878609542524</c:v>
                </c:pt>
                <c:pt idx="86">
                  <c:v>10.240096146385016</c:v>
                </c:pt>
                <c:pt idx="87">
                  <c:v>10.087861886417816</c:v>
                </c:pt>
                <c:pt idx="88">
                  <c:v>9.9268001293068053</c:v>
                </c:pt>
                <c:pt idx="89">
                  <c:v>9.7565413501362297</c:v>
                </c:pt>
                <c:pt idx="90">
                  <c:v>9.5767182355085918</c:v>
                </c:pt>
                <c:pt idx="91">
                  <c:v>9.386962405944173</c:v>
                </c:pt>
                <c:pt idx="92">
                  <c:v>9.1869016406713833</c:v>
                </c:pt>
                <c:pt idx="93">
                  <c:v>8.9761574698994409</c:v>
                </c:pt>
                <c:pt idx="94">
                  <c:v>8.7543430339762764</c:v>
                </c:pt>
                <c:pt idx="95">
                  <c:v>8.5210611331359232</c:v>
                </c:pt>
                <c:pt idx="96">
                  <c:v>8.2759024089185615</c:v>
                </c:pt>
                <c:pt idx="97">
                  <c:v>8.018443610864292</c:v>
                </c:pt>
                <c:pt idx="98">
                  <c:v>7.748245911139036</c:v>
                </c:pt>
                <c:pt idx="99">
                  <c:v>7.4648532363068041</c:v>
                </c:pt>
                <c:pt idx="100">
                  <c:v>7.1673601049098767</c:v>
                </c:pt>
              </c:numCache>
            </c:numRef>
          </c:val>
          <c:smooth val="0"/>
          <c:extLst>
            <c:ext xmlns:c16="http://schemas.microsoft.com/office/drawing/2014/chart" uri="{C3380CC4-5D6E-409C-BE32-E72D297353CC}">
              <c16:uniqueId val="{00000000-9FB2-40F7-8293-C6828AB4E751}"/>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1.7359999999999998E-6</c:v>
                </c:pt>
                <c:pt idx="1">
                  <c:v>9.548</c:v>
                </c:pt>
                <c:pt idx="2">
                  <c:v>19.096</c:v>
                </c:pt>
                <c:pt idx="3">
                  <c:v>28.643999999999995</c:v>
                </c:pt>
                <c:pt idx="4">
                  <c:v>38.192</c:v>
                </c:pt>
                <c:pt idx="5">
                  <c:v>47.739999999999988</c:v>
                </c:pt>
                <c:pt idx="6">
                  <c:v>57.28799999999999</c:v>
                </c:pt>
                <c:pt idx="7">
                  <c:v>66.835999999999999</c:v>
                </c:pt>
                <c:pt idx="8">
                  <c:v>76.384</c:v>
                </c:pt>
                <c:pt idx="9">
                  <c:v>85.931999999999988</c:v>
                </c:pt>
                <c:pt idx="10">
                  <c:v>95.479999999999976</c:v>
                </c:pt>
                <c:pt idx="11">
                  <c:v>105.02799999999999</c:v>
                </c:pt>
                <c:pt idx="12">
                  <c:v>114.57599999999998</c:v>
                </c:pt>
                <c:pt idx="13">
                  <c:v>124.124</c:v>
                </c:pt>
                <c:pt idx="14">
                  <c:v>133.672</c:v>
                </c:pt>
                <c:pt idx="15">
                  <c:v>143.22</c:v>
                </c:pt>
                <c:pt idx="16">
                  <c:v>152.768</c:v>
                </c:pt>
                <c:pt idx="17">
                  <c:v>162.316</c:v>
                </c:pt>
                <c:pt idx="18">
                  <c:v>171.86399999999998</c:v>
                </c:pt>
                <c:pt idx="19">
                  <c:v>181.41199999999995</c:v>
                </c:pt>
                <c:pt idx="20">
                  <c:v>190.95999999999995</c:v>
                </c:pt>
                <c:pt idx="21">
                  <c:v>200.50800000000001</c:v>
                </c:pt>
                <c:pt idx="22">
                  <c:v>210.05599999999998</c:v>
                </c:pt>
                <c:pt idx="23">
                  <c:v>219.60400000000001</c:v>
                </c:pt>
                <c:pt idx="24">
                  <c:v>229.15199999999996</c:v>
                </c:pt>
                <c:pt idx="25">
                  <c:v>238.69999999999996</c:v>
                </c:pt>
                <c:pt idx="26">
                  <c:v>248.24799999999999</c:v>
                </c:pt>
                <c:pt idx="27">
                  <c:v>257.79600000000005</c:v>
                </c:pt>
                <c:pt idx="28">
                  <c:v>267.34399999999999</c:v>
                </c:pt>
                <c:pt idx="29">
                  <c:v>276.892</c:v>
                </c:pt>
                <c:pt idx="30">
                  <c:v>286.44</c:v>
                </c:pt>
                <c:pt idx="31">
                  <c:v>295.988</c:v>
                </c:pt>
                <c:pt idx="32">
                  <c:v>305.536</c:v>
                </c:pt>
                <c:pt idx="33">
                  <c:v>315.084</c:v>
                </c:pt>
                <c:pt idx="34">
                  <c:v>324.63200000000001</c:v>
                </c:pt>
                <c:pt idx="35">
                  <c:v>334.17999999999995</c:v>
                </c:pt>
                <c:pt idx="36">
                  <c:v>343.72799999999995</c:v>
                </c:pt>
                <c:pt idx="37">
                  <c:v>353.27599999999995</c:v>
                </c:pt>
                <c:pt idx="38">
                  <c:v>362.8239999999999</c:v>
                </c:pt>
                <c:pt idx="39">
                  <c:v>372.3719999999999</c:v>
                </c:pt>
                <c:pt idx="40">
                  <c:v>381.9199999999999</c:v>
                </c:pt>
                <c:pt idx="41">
                  <c:v>391.4679999999999</c:v>
                </c:pt>
                <c:pt idx="42">
                  <c:v>401.01600000000002</c:v>
                </c:pt>
                <c:pt idx="43">
                  <c:v>410.56399999999991</c:v>
                </c:pt>
                <c:pt idx="44">
                  <c:v>420.11199999999997</c:v>
                </c:pt>
                <c:pt idx="45">
                  <c:v>429.66</c:v>
                </c:pt>
                <c:pt idx="46">
                  <c:v>439.20800000000003</c:v>
                </c:pt>
                <c:pt idx="47">
                  <c:v>448.75599999999991</c:v>
                </c:pt>
                <c:pt idx="48">
                  <c:v>458.30399999999992</c:v>
                </c:pt>
                <c:pt idx="49">
                  <c:v>467.85199999999992</c:v>
                </c:pt>
                <c:pt idx="50">
                  <c:v>477.39999999999992</c:v>
                </c:pt>
                <c:pt idx="51">
                  <c:v>486.94799999999992</c:v>
                </c:pt>
                <c:pt idx="52">
                  <c:v>496.49599999999998</c:v>
                </c:pt>
                <c:pt idx="53">
                  <c:v>506.04399999999993</c:v>
                </c:pt>
                <c:pt idx="54">
                  <c:v>515.5920000000001</c:v>
                </c:pt>
                <c:pt idx="55">
                  <c:v>525.14</c:v>
                </c:pt>
                <c:pt idx="56">
                  <c:v>534.68799999999999</c:v>
                </c:pt>
                <c:pt idx="57">
                  <c:v>544.23599999999999</c:v>
                </c:pt>
                <c:pt idx="58">
                  <c:v>553.78399999999999</c:v>
                </c:pt>
                <c:pt idx="59">
                  <c:v>563.33199999999999</c:v>
                </c:pt>
                <c:pt idx="60">
                  <c:v>572.88</c:v>
                </c:pt>
                <c:pt idx="61">
                  <c:v>582.428</c:v>
                </c:pt>
                <c:pt idx="62">
                  <c:v>591.976</c:v>
                </c:pt>
                <c:pt idx="63">
                  <c:v>601.524</c:v>
                </c:pt>
                <c:pt idx="64">
                  <c:v>611.072</c:v>
                </c:pt>
                <c:pt idx="65">
                  <c:v>620.62</c:v>
                </c:pt>
                <c:pt idx="66">
                  <c:v>630.16800000000001</c:v>
                </c:pt>
                <c:pt idx="67">
                  <c:v>639.71599999999989</c:v>
                </c:pt>
                <c:pt idx="68">
                  <c:v>649.26400000000001</c:v>
                </c:pt>
                <c:pt idx="69">
                  <c:v>658.8119999999999</c:v>
                </c:pt>
                <c:pt idx="70">
                  <c:v>668.3599999999999</c:v>
                </c:pt>
                <c:pt idx="71">
                  <c:v>677.9079999999999</c:v>
                </c:pt>
                <c:pt idx="72">
                  <c:v>687.4559999999999</c:v>
                </c:pt>
                <c:pt idx="73">
                  <c:v>697.00399999999991</c:v>
                </c:pt>
                <c:pt idx="74">
                  <c:v>706.55199999999991</c:v>
                </c:pt>
                <c:pt idx="75">
                  <c:v>716.09999999999991</c:v>
                </c:pt>
                <c:pt idx="76">
                  <c:v>725.6479999999998</c:v>
                </c:pt>
                <c:pt idx="77">
                  <c:v>735.19599999999991</c:v>
                </c:pt>
                <c:pt idx="78">
                  <c:v>744.7439999999998</c:v>
                </c:pt>
                <c:pt idx="79">
                  <c:v>754.29199999999992</c:v>
                </c:pt>
                <c:pt idx="80">
                  <c:v>763.8399999999998</c:v>
                </c:pt>
                <c:pt idx="81">
                  <c:v>773.38799999999992</c:v>
                </c:pt>
                <c:pt idx="82">
                  <c:v>782.93599999999981</c:v>
                </c:pt>
                <c:pt idx="83">
                  <c:v>792.48399999999992</c:v>
                </c:pt>
                <c:pt idx="84">
                  <c:v>802.03200000000004</c:v>
                </c:pt>
                <c:pt idx="85">
                  <c:v>811.57999999999993</c:v>
                </c:pt>
                <c:pt idx="86">
                  <c:v>821.12799999999982</c:v>
                </c:pt>
                <c:pt idx="87">
                  <c:v>830.67599999999993</c:v>
                </c:pt>
                <c:pt idx="88">
                  <c:v>840.22399999999993</c:v>
                </c:pt>
                <c:pt idx="89">
                  <c:v>849.77199999999993</c:v>
                </c:pt>
                <c:pt idx="90">
                  <c:v>859.32</c:v>
                </c:pt>
                <c:pt idx="91">
                  <c:v>868.86799999999994</c:v>
                </c:pt>
                <c:pt idx="92">
                  <c:v>878.41600000000005</c:v>
                </c:pt>
                <c:pt idx="93">
                  <c:v>887.96399999999994</c:v>
                </c:pt>
                <c:pt idx="94">
                  <c:v>897.51199999999983</c:v>
                </c:pt>
                <c:pt idx="95">
                  <c:v>907.06</c:v>
                </c:pt>
                <c:pt idx="96">
                  <c:v>916.60799999999983</c:v>
                </c:pt>
                <c:pt idx="97">
                  <c:v>926.15599999999995</c:v>
                </c:pt>
                <c:pt idx="98">
                  <c:v>935.70399999999984</c:v>
                </c:pt>
                <c:pt idx="99">
                  <c:v>945.25199999999995</c:v>
                </c:pt>
                <c:pt idx="100">
                  <c:v>954.79999999999984</c:v>
                </c:pt>
              </c:numCache>
            </c:numRef>
          </c:val>
          <c:smooth val="0"/>
          <c:extLst>
            <c:ext xmlns:c16="http://schemas.microsoft.com/office/drawing/2014/chart" uri="{C3380CC4-5D6E-409C-BE32-E72D297353CC}">
              <c16:uniqueId val="{00000001-9FB2-40F7-8293-C6828AB4E751}"/>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80.285760904911257</c:v>
                </c:pt>
                <c:pt idx="1">
                  <c:v>194.51400432473804</c:v>
                </c:pt>
                <c:pt idx="2">
                  <c:v>392.06239950973981</c:v>
                </c:pt>
                <c:pt idx="3">
                  <c:v>592.71674783584501</c:v>
                </c:pt>
                <c:pt idx="4">
                  <c:v>796.55087968885744</c:v>
                </c:pt>
                <c:pt idx="5">
                  <c:v>1003.640984134263</c:v>
                </c:pt>
                <c:pt idx="6">
                  <c:v>1214.0657038673169</c:v>
                </c:pt>
                <c:pt idx="7">
                  <c:v>1427.9062347870838</c:v>
                </c:pt>
                <c:pt idx="8">
                  <c:v>1645.2464304593025</c:v>
                </c:pt>
                <c:pt idx="9">
                  <c:v>1866.1729117503999</c:v>
                </c:pt>
                <c:pt idx="10">
                  <c:v>2090.7751819338114</c:v>
                </c:pt>
                <c:pt idx="11">
                  <c:v>2319.1457475899256</c:v>
                </c:pt>
                <c:pt idx="12">
                  <c:v>2551.380245642762</c:v>
                </c:pt>
                <c:pt idx="13">
                  <c:v>2787.5775768998847</c:v>
                </c:pt>
                <c:pt idx="14">
                  <c:v>3027.8400464872811</c:v>
                </c:pt>
                <c:pt idx="15">
                  <c:v>3225.7677140751275</c:v>
                </c:pt>
                <c:pt idx="16">
                  <c:v>3425.1310400442758</c:v>
                </c:pt>
                <c:pt idx="17">
                  <c:v>3631.7701499940345</c:v>
                </c:pt>
                <c:pt idx="18">
                  <c:v>3846.4286918697035</c:v>
                </c:pt>
                <c:pt idx="19">
                  <c:v>4069.8858341599607</c:v>
                </c:pt>
                <c:pt idx="20">
                  <c:v>4302.9676456840116</c:v>
                </c:pt>
                <c:pt idx="21">
                  <c:v>4546.5585707578821</c:v>
                </c:pt>
                <c:pt idx="22">
                  <c:v>4801.6134550196248</c:v>
                </c:pt>
                <c:pt idx="23">
                  <c:v>5069.1705416867326</c:v>
                </c:pt>
                <c:pt idx="24">
                  <c:v>5350.3658579270668</c:v>
                </c:pt>
                <c:pt idx="25">
                  <c:v>5646.4494403107319</c:v>
                </c:pt>
                <c:pt idx="26">
                  <c:v>5958.8039052334925</c:v>
                </c:pt>
                <c:pt idx="27">
                  <c:v>6288.9659562845463</c:v>
                </c:pt>
                <c:pt idx="28">
                  <c:v>6638.6515402265741</c:v>
                </c:pt>
                <c:pt idx="29">
                  <c:v>7009.7855241379621</c:v>
                </c:pt>
                <c:pt idx="30">
                  <c:v>7404.5369796662562</c:v>
                </c:pt>
                <c:pt idx="31">
                  <c:v>7825.3614424982643</c:v>
                </c:pt>
                <c:pt idx="32">
                  <c:v>8275.0518890360236</c:v>
                </c:pt>
                <c:pt idx="33">
                  <c:v>8756.8006703384435</c:v>
                </c:pt>
                <c:pt idx="34">
                  <c:v>9274.2753117776174</c:v>
                </c:pt>
                <c:pt idx="35">
                  <c:v>9831.7119917002765</c:v>
                </c:pt>
                <c:pt idx="36">
                  <c:v>10434.031749528922</c:v>
                </c:pt>
                <c:pt idx="37">
                  <c:v>11086.986183834562</c:v>
                </c:pt>
                <c:pt idx="38">
                  <c:v>11797.341793189707</c:v>
                </c:pt>
                <c:pt idx="39">
                  <c:v>12573.115502979328</c:v>
                </c:pt>
                <c:pt idx="40">
                  <c:v>13423.878794586766</c:v>
                </c:pt>
                <c:pt idx="41">
                  <c:v>14361.154966594142</c:v>
                </c:pt>
                <c:pt idx="42">
                  <c:v>15398.944616133085</c:v>
                </c:pt>
                <c:pt idx="43">
                  <c:v>16554.430391625083</c:v>
                </c:pt>
                <c:pt idx="44">
                  <c:v>17848.936694865271</c:v>
                </c:pt>
                <c:pt idx="45">
                  <c:v>19309.258860224036</c:v>
                </c:pt>
                <c:pt idx="46">
                  <c:v>20969.53916461339</c:v>
                </c:pt>
                <c:pt idx="47">
                  <c:v>22873.971474846385</c:v>
                </c:pt>
                <c:pt idx="48">
                  <c:v>25080.795500222797</c:v>
                </c:pt>
                <c:pt idx="49">
                  <c:v>27668.359983909206</c:v>
                </c:pt>
                <c:pt idx="50">
                  <c:v>30744.623268769014</c:v>
                </c:pt>
                <c:pt idx="51">
                  <c:v>34462.602019292506</c:v>
                </c:pt>
                <c:pt idx="52">
                  <c:v>39046.61902728006</c:v>
                </c:pt>
                <c:pt idx="53">
                  <c:v>44839.318491820057</c:v>
                </c:pt>
                <c:pt idx="54">
                  <c:v>52391.53065419331</c:v>
                </c:pt>
                <c:pt idx="55">
                  <c:v>62648.707387631868</c:v>
                </c:pt>
                <c:pt idx="56">
                  <c:v>77381.418988977734</c:v>
                </c:pt>
                <c:pt idx="57">
                  <c:v>100336.68313575974</c:v>
                </c:pt>
                <c:pt idx="58">
                  <c:v>141063.35001656358</c:v>
                </c:pt>
                <c:pt idx="59">
                  <c:v>191914.02970763366</c:v>
                </c:pt>
                <c:pt idx="60">
                  <c:v>237899.69263460275</c:v>
                </c:pt>
                <c:pt idx="61">
                  <c:v>311719.05030941236</c:v>
                </c:pt>
                <c:pt idx="62">
                  <c:v>449603.07885970164</c:v>
                </c:pt>
                <c:pt idx="63">
                  <c:v>2338541.2018429851</c:v>
                </c:pt>
                <c:pt idx="64">
                  <c:v>-318319.84558704024</c:v>
                </c:pt>
                <c:pt idx="65">
                  <c:v>-150668.15992996813</c:v>
                </c:pt>
                <c:pt idx="66">
                  <c:v>-99402.326281672096</c:v>
                </c:pt>
                <c:pt idx="67">
                  <c:v>-74562.66007326018</c:v>
                </c:pt>
                <c:pt idx="68">
                  <c:v>-59907.666122001865</c:v>
                </c:pt>
                <c:pt idx="69">
                  <c:v>-49922.487498258379</c:v>
                </c:pt>
                <c:pt idx="70">
                  <c:v>-42912.691935810042</c:v>
                </c:pt>
                <c:pt idx="71">
                  <c:v>-37723.543656548012</c:v>
                </c:pt>
                <c:pt idx="72">
                  <c:v>-33728.547687994331</c:v>
                </c:pt>
                <c:pt idx="73">
                  <c:v>-30559.04724403191</c:v>
                </c:pt>
                <c:pt idx="74">
                  <c:v>-27983.954850131955</c:v>
                </c:pt>
                <c:pt idx="75">
                  <c:v>-25851.058555192845</c:v>
                </c:pt>
                <c:pt idx="76">
                  <c:v>-24056.015544745194</c:v>
                </c:pt>
                <c:pt idx="77">
                  <c:v>-22524.9061480647</c:v>
                </c:pt>
                <c:pt idx="78">
                  <c:v>-21203.899349567215</c:v>
                </c:pt>
                <c:pt idx="79">
                  <c:v>-20052.862951179875</c:v>
                </c:pt>
                <c:pt idx="80">
                  <c:v>-19041.266842054574</c:v>
                </c:pt>
                <c:pt idx="81">
                  <c:v>-18145.473481847741</c:v>
                </c:pt>
                <c:pt idx="82">
                  <c:v>-17346.896853586033</c:v>
                </c:pt>
                <c:pt idx="83">
                  <c:v>-16630.721594042243</c:v>
                </c:pt>
                <c:pt idx="84">
                  <c:v>-15984.993045592331</c:v>
                </c:pt>
                <c:pt idx="85">
                  <c:v>-15399.958683516368</c:v>
                </c:pt>
                <c:pt idx="86">
                  <c:v>-14867.58346778233</c:v>
                </c:pt>
                <c:pt idx="87">
                  <c:v>-14381.187790924758</c:v>
                </c:pt>
                <c:pt idx="88">
                  <c:v>-13935.173305262993</c:v>
                </c:pt>
                <c:pt idx="89">
                  <c:v>-13524.812711389031</c:v>
                </c:pt>
                <c:pt idx="90">
                  <c:v>-13146.086751152696</c:v>
                </c:pt>
                <c:pt idx="91">
                  <c:v>-12795.556484511408</c:v>
                </c:pt>
                <c:pt idx="92">
                  <c:v>-12470.262250206952</c:v>
                </c:pt>
                <c:pt idx="93">
                  <c:v>-12167.643025238824</c:v>
                </c:pt>
                <c:pt idx="94">
                  <c:v>-11885.471534868315</c:v>
                </c:pt>
                <c:pt idx="95">
                  <c:v>-11621.801637238566</c:v>
                </c:pt>
                <c:pt idx="96">
                  <c:v>-11374.925356571004</c:v>
                </c:pt>
                <c:pt idx="97">
                  <c:v>-11143.337561933638</c:v>
                </c:pt>
                <c:pt idx="98">
                  <c:v>-10925.706750107725</c:v>
                </c:pt>
                <c:pt idx="99">
                  <c:v>-10720.850736320444</c:v>
                </c:pt>
                <c:pt idx="100">
                  <c:v>-10527.716317232751</c:v>
                </c:pt>
              </c:numCache>
            </c:numRef>
          </c:val>
          <c:smooth val="0"/>
          <c:extLst>
            <c:ext xmlns:c16="http://schemas.microsoft.com/office/drawing/2014/chart" uri="{C3380CC4-5D6E-409C-BE32-E72D297353CC}">
              <c16:uniqueId val="{00000002-9FB2-40F7-8293-C6828AB4E751}"/>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71.895198039024862</c:v>
                </c:pt>
                <c:pt idx="1">
                  <c:v>239.76178287574223</c:v>
                </c:pt>
                <c:pt idx="2">
                  <c:v>825.49727050144213</c:v>
                </c:pt>
                <c:pt idx="3">
                  <c:v>1920.2450827224377</c:v>
                </c:pt>
                <c:pt idx="4">
                  <c:v>3643.0857827419632</c:v>
                </c:pt>
                <c:pt idx="5">
                  <c:v>6095.2112389237845</c:v>
                </c:pt>
                <c:pt idx="6">
                  <c:v>9366.7932550027144</c:v>
                </c:pt>
                <c:pt idx="7">
                  <c:v>13540.372375334733</c:v>
                </c:pt>
                <c:pt idx="8">
                  <c:v>18692.833525809867</c:v>
                </c:pt>
                <c:pt idx="9">
                  <c:v>24896.678463210148</c:v>
                </c:pt>
                <c:pt idx="10">
                  <c:v>32220.902470984307</c:v>
                </c:pt>
                <c:pt idx="11">
                  <c:v>40731.628737792511</c:v>
                </c:pt>
                <c:pt idx="12">
                  <c:v>50492.584898281122</c:v>
                </c:pt>
                <c:pt idx="13">
                  <c:v>61565.47175709041</c:v>
                </c:pt>
                <c:pt idx="14">
                  <c:v>74010.255529309085</c:v>
                </c:pt>
                <c:pt idx="15">
                  <c:v>82764.569123381982</c:v>
                </c:pt>
                <c:pt idx="16">
                  <c:v>89978.92255528862</c:v>
                </c:pt>
                <c:pt idx="17">
                  <c:v>97358.029215979113</c:v>
                </c:pt>
                <c:pt idx="18">
                  <c:v>104900.74793979491</c:v>
                </c:pt>
                <c:pt idx="19">
                  <c:v>112606.44580355364</c:v>
                </c:pt>
                <c:pt idx="20">
                  <c:v>120474.9374209806</c:v>
                </c:pt>
                <c:pt idx="21">
                  <c:v>128506.43668829395</c:v>
                </c:pt>
                <c:pt idx="22">
                  <c:v>136701.51816771369</c:v>
                </c:pt>
                <c:pt idx="23">
                  <c:v>145061.08604310115</c:v>
                </c:pt>
                <c:pt idx="24">
                  <c:v>153586.349107824</c:v>
                </c:pt>
                <c:pt idx="25">
                  <c:v>162278.80062157588</c:v>
                </c:pt>
                <c:pt idx="26">
                  <c:v>171140.20214698894</c:v>
                </c:pt>
                <c:pt idx="27">
                  <c:v>180172.57067936071</c:v>
                </c:pt>
                <c:pt idx="28">
                  <c:v>189378.16853440466</c:v>
                </c:pt>
                <c:pt idx="29">
                  <c:v>198759.49557391554</c:v>
                </c:pt>
                <c:pt idx="30">
                  <c:v>208319.28343745804</c:v>
                </c:pt>
                <c:pt idx="31">
                  <c:v>218060.49151667248</c:v>
                </c:pt>
                <c:pt idx="32">
                  <c:v>227986.30446254037</c:v>
                </c:pt>
                <c:pt idx="33">
                  <c:v>238100.13105858795</c:v>
                </c:pt>
                <c:pt idx="34">
                  <c:v>248405.60432718106</c:v>
                </c:pt>
                <c:pt idx="35">
                  <c:v>258906.58276379344</c:v>
                </c:pt>
                <c:pt idx="36">
                  <c:v>269607.15261683386</c:v>
                </c:pt>
                <c:pt idx="37">
                  <c:v>280511.63114946947</c:v>
                </c:pt>
                <c:pt idx="38">
                  <c:v>291624.57083571039</c:v>
                </c:pt>
                <c:pt idx="39">
                  <c:v>302950.76445650333</c:v>
                </c:pt>
                <c:pt idx="40">
                  <c:v>314495.25107321929</c:v>
                </c:pt>
                <c:pt idx="41">
                  <c:v>326263.32286614657</c:v>
                </c:pt>
                <c:pt idx="42">
                  <c:v>338260.53283471387</c:v>
                </c:pt>
                <c:pt idx="43">
                  <c:v>350492.70336445334</c:v>
                </c:pt>
                <c:pt idx="44">
                  <c:v>362965.93567337072</c:v>
                </c:pt>
                <c:pt idx="45">
                  <c:v>375686.62015760742</c:v>
                </c:pt>
                <c:pt idx="46">
                  <c:v>388661.44766321837</c:v>
                </c:pt>
                <c:pt idx="47">
                  <c:v>401897.4217176364</c:v>
                </c:pt>
                <c:pt idx="48">
                  <c:v>415401.87176114024</c:v>
                </c:pt>
                <c:pt idx="49">
                  <c:v>429182.46742541093</c:v>
                </c:pt>
                <c:pt idx="50">
                  <c:v>443247.23391321057</c:v>
                </c:pt>
                <c:pt idx="51">
                  <c:v>457604.56854040897</c:v>
                </c:pt>
                <c:pt idx="52">
                  <c:v>472263.25850909622</c:v>
                </c:pt>
                <c:pt idx="53">
                  <c:v>487232.49998849415</c:v>
                </c:pt>
                <c:pt idx="54">
                  <c:v>502521.91858884506</c:v>
                </c:pt>
                <c:pt idx="55">
                  <c:v>518141.59132252948</c:v>
                </c:pt>
                <c:pt idx="56">
                  <c:v>534102.07015650545</c:v>
                </c:pt>
                <c:pt idx="57">
                  <c:v>550414.40727074072</c:v>
                </c:pt>
                <c:pt idx="58">
                  <c:v>567090.18214891141</c:v>
                </c:pt>
                <c:pt idx="59">
                  <c:v>570275.93906280573</c:v>
                </c:pt>
                <c:pt idx="60">
                  <c:v>561097.36663087097</c:v>
                </c:pt>
                <c:pt idx="61">
                  <c:v>552204.25009292457</c:v>
                </c:pt>
                <c:pt idx="62">
                  <c:v>543584.08561462094</c:v>
                </c:pt>
                <c:pt idx="63">
                  <c:v>540080.0728586684</c:v>
                </c:pt>
                <c:pt idx="64">
                  <c:v>547575.09769348404</c:v>
                </c:pt>
                <c:pt idx="65">
                  <c:v>555326.20431196352</c:v>
                </c:pt>
                <c:pt idx="66">
                  <c:v>563349.6431789354</c:v>
                </c:pt>
                <c:pt idx="67">
                  <c:v>571662.75505373988</c:v>
                </c:pt>
                <c:pt idx="68">
                  <c:v>580284.08628114848</c:v>
                </c:pt>
                <c:pt idx="69">
                  <c:v>589112.76863380242</c:v>
                </c:pt>
                <c:pt idx="70">
                  <c:v>598312.63808723202</c:v>
                </c:pt>
                <c:pt idx="71">
                  <c:v>607911.12703013769</c:v>
                </c:pt>
                <c:pt idx="72">
                  <c:v>617937.15974900266</c:v>
                </c:pt>
                <c:pt idx="73">
                  <c:v>628422.2244029165</c:v>
                </c:pt>
                <c:pt idx="74">
                  <c:v>639400.68556535966</c:v>
                </c:pt>
                <c:pt idx="75">
                  <c:v>650910.14178040635</c:v>
                </c:pt>
                <c:pt idx="76">
                  <c:v>662991.83604168578</c:v>
                </c:pt>
                <c:pt idx="77">
                  <c:v>675691.12871543737</c:v>
                </c:pt>
                <c:pt idx="78">
                  <c:v>689058.04442352522</c:v>
                </c:pt>
                <c:pt idx="79">
                  <c:v>703147.90688095579</c:v>
                </c:pt>
                <c:pt idx="80">
                  <c:v>718022.07877952745</c:v>
                </c:pt>
                <c:pt idx="81">
                  <c:v>733748.82770066475</c:v>
                </c:pt>
                <c:pt idx="82">
                  <c:v>750404.343959174</c:v>
                </c:pt>
                <c:pt idx="83">
                  <c:v>768073.94253598212</c:v>
                </c:pt>
                <c:pt idx="84">
                  <c:v>786853.48926828487</c:v>
                </c:pt>
                <c:pt idx="85">
                  <c:v>806851.10179391655</c:v>
                </c:pt>
                <c:pt idx="86">
                  <c:v>828189.18916339055</c:v>
                </c:pt>
                <c:pt idx="87">
                  <c:v>851006.91159816924</c:v>
                </c:pt>
                <c:pt idx="88">
                  <c:v>875463.16506468225</c:v>
                </c:pt>
                <c:pt idx="89">
                  <c:v>901740.22622446925</c:v>
                </c:pt>
                <c:pt idx="90">
                  <c:v>930048.2348624469</c:v>
                </c:pt>
                <c:pt idx="91">
                  <c:v>960630.74732942006</c:v>
                </c:pt>
                <c:pt idx="92">
                  <c:v>993771.6720400335</c:v>
                </c:pt>
                <c:pt idx="93">
                  <c:v>1029804.0057632058</c:v>
                </c:pt>
                <c:pt idx="94">
                  <c:v>1069120.9409863958</c:v>
                </c:pt>
                <c:pt idx="95">
                  <c:v>1112190.130804657</c:v>
                </c:pt>
                <c:pt idx="96">
                  <c:v>1159572.2107242453</c:v>
                </c:pt>
                <c:pt idx="97">
                  <c:v>1211945.1371305094</c:v>
                </c:pt>
                <c:pt idx="98">
                  <c:v>1270136.5913771191</c:v>
                </c:pt>
                <c:pt idx="99">
                  <c:v>1335167.7502997727</c:v>
                </c:pt>
                <c:pt idx="100">
                  <c:v>1408313.3636165238</c:v>
                </c:pt>
              </c:numCache>
            </c:numRef>
          </c:val>
          <c:smooth val="0"/>
          <c:extLst>
            <c:ext xmlns:c16="http://schemas.microsoft.com/office/drawing/2014/chart" uri="{C3380CC4-5D6E-409C-BE32-E72D297353CC}">
              <c16:uniqueId val="{00000003-9FB2-40F7-8293-C6828AB4E751}"/>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24.410473562444633</c:v>
                </c:pt>
                <c:pt idx="2">
                  <c:v>73.231420687333895</c:v>
                </c:pt>
                <c:pt idx="3">
                  <c:v>73.231420687333895</c:v>
                </c:pt>
                <c:pt idx="4">
                  <c:v>97.641894249778531</c:v>
                </c:pt>
                <c:pt idx="5">
                  <c:v>122.05236781222314</c:v>
                </c:pt>
                <c:pt idx="6">
                  <c:v>146.46284137466779</c:v>
                </c:pt>
                <c:pt idx="7">
                  <c:v>170.87331493711241</c:v>
                </c:pt>
                <c:pt idx="8">
                  <c:v>195.28378849955706</c:v>
                </c:pt>
                <c:pt idx="9">
                  <c:v>219.69426206200166</c:v>
                </c:pt>
                <c:pt idx="10">
                  <c:v>244.10473562444628</c:v>
                </c:pt>
                <c:pt idx="11">
                  <c:v>268.51520918689096</c:v>
                </c:pt>
                <c:pt idx="12">
                  <c:v>292.92568274933558</c:v>
                </c:pt>
                <c:pt idx="13">
                  <c:v>317.3361563117802</c:v>
                </c:pt>
                <c:pt idx="14">
                  <c:v>341.74662987422482</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343.10498952114853</c:v>
                </c:pt>
                <c:pt idx="44">
                  <c:v>335.37664899486344</c:v>
                </c:pt>
                <c:pt idx="45">
                  <c:v>327.97252883046298</c:v>
                </c:pt>
                <c:pt idx="46">
                  <c:v>320.87279897958086</c:v>
                </c:pt>
                <c:pt idx="47">
                  <c:v>314.05920942738106</c:v>
                </c:pt>
                <c:pt idx="48">
                  <c:v>307.51493614304553</c:v>
                </c:pt>
                <c:pt idx="49">
                  <c:v>301.2244446915534</c:v>
                </c:pt>
                <c:pt idx="50">
                  <c:v>295.17336919030748</c:v>
                </c:pt>
                <c:pt idx="51">
                  <c:v>289.25057420451805</c:v>
                </c:pt>
                <c:pt idx="52">
                  <c:v>283.27221897200536</c:v>
                </c:pt>
                <c:pt idx="53">
                  <c:v>277.50423543881203</c:v>
                </c:pt>
                <c:pt idx="54">
                  <c:v>271.93566397500445</c:v>
                </c:pt>
                <c:pt idx="55">
                  <c:v>266.55629329705431</c:v>
                </c:pt>
                <c:pt idx="56">
                  <c:v>261.35659766880798</c:v>
                </c:pt>
                <c:pt idx="57">
                  <c:v>256.32768032199368</c:v>
                </c:pt>
                <c:pt idx="58">
                  <c:v>251.46122238929775</c:v>
                </c:pt>
                <c:pt idx="59">
                  <c:v>246.74943673341699</c:v>
                </c:pt>
                <c:pt idx="60">
                  <c:v>242.18502613307052</c:v>
                </c:pt>
                <c:pt idx="61">
                  <c:v>237.76114535372687</c:v>
                </c:pt>
                <c:pt idx="62">
                  <c:v>233.47136668840736</c:v>
                </c:pt>
                <c:pt idx="63">
                  <c:v>229.30964860374641</c:v>
                </c:pt>
                <c:pt idx="64">
                  <c:v>225.2703071696746</c:v>
                </c:pt>
                <c:pt idx="65">
                  <c:v>221.34798998860884</c:v>
                </c:pt>
                <c:pt idx="66">
                  <c:v>217.53765237269749</c:v>
                </c:pt>
                <c:pt idx="67">
                  <c:v>213.83453554617222</c:v>
                </c:pt>
                <c:pt idx="68">
                  <c:v>210.23414667476976</c:v>
                </c:pt>
                <c:pt idx="69">
                  <c:v>206.73224054601928</c:v>
                </c:pt>
                <c:pt idx="70">
                  <c:v>203.32480274334486</c:v>
                </c:pt>
                <c:pt idx="71">
                  <c:v>200.00803417378063</c:v>
                </c:pt>
                <c:pt idx="72">
                  <c:v>196.77833682393361</c:v>
                </c:pt>
                <c:pt idx="73">
                  <c:v>193.63230063192782</c:v>
                </c:pt>
                <c:pt idx="74">
                  <c:v>190.56669137463726</c:v>
                </c:pt>
                <c:pt idx="75">
                  <c:v>187.57843947976875</c:v>
                </c:pt>
                <c:pt idx="76">
                  <c:v>184.66462968144364</c:v>
                </c:pt>
                <c:pt idx="77">
                  <c:v>181.82249144600829</c:v>
                </c:pt>
                <c:pt idx="78">
                  <c:v>179.04939010198265</c:v>
                </c:pt>
                <c:pt idx="79">
                  <c:v>176.34281861446408</c:v>
                </c:pt>
                <c:pt idx="80">
                  <c:v>173.70038995001158</c:v>
                </c:pt>
                <c:pt idx="81">
                  <c:v>171.11982998314431</c:v>
                </c:pt>
                <c:pt idx="82">
                  <c:v>168.59897090015247</c:v>
                </c:pt>
                <c:pt idx="83">
                  <c:v>166.1357450600153</c:v>
                </c:pt>
                <c:pt idx="84">
                  <c:v>163.7281792758925</c:v>
                </c:pt>
                <c:pt idx="85">
                  <c:v>161.37438948395229</c:v>
                </c:pt>
                <c:pt idx="86">
                  <c:v>159.0725757692714</c:v>
                </c:pt>
                <c:pt idx="87">
                  <c:v>156.82101772121305</c:v>
                </c:pt>
                <c:pt idx="88">
                  <c:v>154.61807009309877</c:v>
                </c:pt>
                <c:pt idx="89">
                  <c:v>152.46215874316749</c:v>
                </c:pt>
                <c:pt idx="90">
                  <c:v>150.351776835782</c:v>
                </c:pt>
                <c:pt idx="91">
                  <c:v>148.2854812836211</c:v>
                </c:pt>
                <c:pt idx="92">
                  <c:v>146.26188941320933</c:v>
                </c:pt>
                <c:pt idx="93">
                  <c:v>144.27967583759775</c:v>
                </c:pt>
                <c:pt idx="94">
                  <c:v>142.33756952133535</c:v>
                </c:pt>
                <c:pt idx="95">
                  <c:v>140.43435102407759</c:v>
                </c:pt>
                <c:pt idx="96">
                  <c:v>138.56884991027491</c:v>
                </c:pt>
                <c:pt idx="97">
                  <c:v>136.73994231338324</c:v>
                </c:pt>
                <c:pt idx="98">
                  <c:v>134.94654864394846</c:v>
                </c:pt>
                <c:pt idx="99">
                  <c:v>133.18763143174618</c:v>
                </c:pt>
                <c:pt idx="100">
                  <c:v>131.46219329291989</c:v>
                </c:pt>
              </c:numCache>
            </c:numRef>
          </c:val>
          <c:smooth val="0"/>
          <c:extLst>
            <c:ext xmlns:c16="http://schemas.microsoft.com/office/drawing/2014/chart" uri="{C3380CC4-5D6E-409C-BE32-E72D297353CC}">
              <c16:uniqueId val="{00000000-8D54-466C-9E56-3B54C69CECB8}"/>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24.410473562444633</c:v>
                </c:pt>
                <c:pt idx="2">
                  <c:v>48.820947124889265</c:v>
                </c:pt>
                <c:pt idx="3">
                  <c:v>73.231420687333895</c:v>
                </c:pt>
                <c:pt idx="4">
                  <c:v>97.641894249778531</c:v>
                </c:pt>
                <c:pt idx="5">
                  <c:v>122.05236781222314</c:v>
                </c:pt>
                <c:pt idx="6">
                  <c:v>146.46284137466779</c:v>
                </c:pt>
                <c:pt idx="7">
                  <c:v>170.87331493711241</c:v>
                </c:pt>
                <c:pt idx="8">
                  <c:v>195.28378849955706</c:v>
                </c:pt>
                <c:pt idx="9">
                  <c:v>219.69426206200166</c:v>
                </c:pt>
                <c:pt idx="10">
                  <c:v>244.10473562444628</c:v>
                </c:pt>
                <c:pt idx="11">
                  <c:v>268.51520918689096</c:v>
                </c:pt>
                <c:pt idx="12">
                  <c:v>292.92568274933558</c:v>
                </c:pt>
                <c:pt idx="13">
                  <c:v>317.3361563117802</c:v>
                </c:pt>
                <c:pt idx="14">
                  <c:v>341.74662987422482</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346.9936680663547</c:v>
                </c:pt>
                <c:pt idx="60">
                  <c:v>341.37480768550802</c:v>
                </c:pt>
                <c:pt idx="61">
                  <c:v>335.92899115810985</c:v>
                </c:pt>
                <c:pt idx="62">
                  <c:v>330.64838766710926</c:v>
                </c:pt>
                <c:pt idx="63">
                  <c:v>325.52563088505025</c:v>
                </c:pt>
                <c:pt idx="64">
                  <c:v>320.55378507597879</c:v>
                </c:pt>
                <c:pt idx="65">
                  <c:v>315.72631412124571</c:v>
                </c:pt>
                <c:pt idx="66">
                  <c:v>311.03705317927262</c:v>
                </c:pt>
                <c:pt idx="67">
                  <c:v>306.48018272174204</c:v>
                </c:pt>
                <c:pt idx="68">
                  <c:v>302.05020471704103</c:v>
                </c:pt>
                <c:pt idx="69">
                  <c:v>297.54998167265842</c:v>
                </c:pt>
                <c:pt idx="70">
                  <c:v>293.16846773075042</c:v>
                </c:pt>
                <c:pt idx="71">
                  <c:v>288.90209680372107</c:v>
                </c:pt>
                <c:pt idx="72">
                  <c:v>284.74637003932588</c:v>
                </c:pt>
                <c:pt idx="73">
                  <c:v>280.69701991914468</c:v>
                </c:pt>
                <c:pt idx="74">
                  <c:v>276.7499955782244</c:v>
                </c:pt>
                <c:pt idx="75">
                  <c:v>272.90144922864152</c:v>
                </c:pt>
                <c:pt idx="76">
                  <c:v>269.14772359134054</c:v>
                </c:pt>
                <c:pt idx="77">
                  <c:v>265.48534024995291</c:v>
                </c:pt>
                <c:pt idx="78">
                  <c:v>261.91098884864334</c:v>
                </c:pt>
                <c:pt idx="79">
                  <c:v>258.42151706347022</c:v>
                </c:pt>
                <c:pt idx="80">
                  <c:v>255.01392128340305</c:v>
                </c:pt>
                <c:pt idx="81">
                  <c:v>251.68533794309101</c:v>
                </c:pt>
                <c:pt idx="82">
                  <c:v>248.43303545481888</c:v>
                </c:pt>
                <c:pt idx="83">
                  <c:v>245.25440669186912</c:v>
                </c:pt>
                <c:pt idx="84">
                  <c:v>242.146961979824</c:v>
                </c:pt>
                <c:pt idx="85">
                  <c:v>239.10832255620531</c:v>
                </c:pt>
                <c:pt idx="86">
                  <c:v>236.13621446234336</c:v>
                </c:pt>
                <c:pt idx="87">
                  <c:v>233.22846283451369</c:v>
                </c:pt>
                <c:pt idx="88">
                  <c:v>230.38298656422032</c:v>
                </c:pt>
                <c:pt idx="89">
                  <c:v>227.59779330007498</c:v>
                </c:pt>
                <c:pt idx="90">
                  <c:v>224.87097476604586</c:v>
                </c:pt>
                <c:pt idx="91">
                  <c:v>222.20070237295781</c:v>
                </c:pt>
                <c:pt idx="92">
                  <c:v>219.5852231020331</c:v>
                </c:pt>
                <c:pt idx="93">
                  <c:v>217.0228556410035</c:v>
                </c:pt>
                <c:pt idx="94">
                  <c:v>214.51198675489309</c:v>
                </c:pt>
                <c:pt idx="95">
                  <c:v>212.05106787501336</c:v>
                </c:pt>
                <c:pt idx="96">
                  <c:v>209.63861189101391</c:v>
                </c:pt>
                <c:pt idx="97">
                  <c:v>207.27319013202495</c:v>
                </c:pt>
                <c:pt idx="98">
                  <c:v>204.95342952401532</c:v>
                </c:pt>
                <c:pt idx="99">
                  <c:v>202.67800991148081</c:v>
                </c:pt>
                <c:pt idx="100">
                  <c:v>200.44566153248437</c:v>
                </c:pt>
              </c:numCache>
            </c:numRef>
          </c:val>
          <c:smooth val="0"/>
          <c:extLst>
            <c:ext xmlns:c16="http://schemas.microsoft.com/office/drawing/2014/chart" uri="{C3380CC4-5D6E-409C-BE32-E72D297353CC}">
              <c16:uniqueId val="{00000001-8D54-466C-9E56-3B54C69CECB8}"/>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24.410182474173688</c:v>
                </c:pt>
                <c:pt idx="2">
                  <c:v>48.820364948347375</c:v>
                </c:pt>
                <c:pt idx="3">
                  <c:v>73.23054742252107</c:v>
                </c:pt>
                <c:pt idx="4">
                  <c:v>97.640729896694751</c:v>
                </c:pt>
                <c:pt idx="5">
                  <c:v>122.05091237086843</c:v>
                </c:pt>
                <c:pt idx="6">
                  <c:v>146.46109484504214</c:v>
                </c:pt>
                <c:pt idx="7">
                  <c:v>170.87127731921581</c:v>
                </c:pt>
                <c:pt idx="8">
                  <c:v>195.2814597933895</c:v>
                </c:pt>
                <c:pt idx="9">
                  <c:v>219.69164226756317</c:v>
                </c:pt>
                <c:pt idx="10">
                  <c:v>244.10182474173686</c:v>
                </c:pt>
                <c:pt idx="11">
                  <c:v>268.51200721591056</c:v>
                </c:pt>
                <c:pt idx="12">
                  <c:v>292.92218969008428</c:v>
                </c:pt>
                <c:pt idx="13">
                  <c:v>317.33237216425795</c:v>
                </c:pt>
                <c:pt idx="14">
                  <c:v>341.74255463843161</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349.84582825912429</c:v>
                </c:pt>
                <c:pt idx="73">
                  <c:v>345.24746841868051</c:v>
                </c:pt>
                <c:pt idx="74">
                  <c:v>340.7654995553907</c:v>
                </c:pt>
                <c:pt idx="75">
                  <c:v>336.3955746442428</c:v>
                </c:pt>
                <c:pt idx="76">
                  <c:v>332.13356014251076</c:v>
                </c:pt>
                <c:pt idx="77">
                  <c:v>327.97552305415502</c:v>
                </c:pt>
                <c:pt idx="78">
                  <c:v>323.91771892306201</c:v>
                </c:pt>
                <c:pt idx="79">
                  <c:v>319.95658067825906</c:v>
                </c:pt>
                <c:pt idx="80">
                  <c:v>316.08870826142356</c:v>
                </c:pt>
                <c:pt idx="81">
                  <c:v>312.31085897343968</c:v>
                </c:pt>
                <c:pt idx="82">
                  <c:v>308.60748922151515</c:v>
                </c:pt>
                <c:pt idx="83">
                  <c:v>304.88419370178673</c:v>
                </c:pt>
                <c:pt idx="84">
                  <c:v>301.24359771632385</c:v>
                </c:pt>
                <c:pt idx="85">
                  <c:v>297.68296737425777</c:v>
                </c:pt>
                <c:pt idx="86">
                  <c:v>294.19968796025506</c:v>
                </c:pt>
                <c:pt idx="87">
                  <c:v>290.79125751065101</c:v>
                </c:pt>
                <c:pt idx="88">
                  <c:v>287.45528080066526</c:v>
                </c:pt>
                <c:pt idx="89">
                  <c:v>284.1894637123346</c:v>
                </c:pt>
                <c:pt idx="90">
                  <c:v>280.99160795533351</c:v>
                </c:pt>
                <c:pt idx="91">
                  <c:v>277.85960611515105</c:v>
                </c:pt>
                <c:pt idx="92">
                  <c:v>274.79143700518421</c:v>
                </c:pt>
                <c:pt idx="93">
                  <c:v>271.78516130121056</c:v>
                </c:pt>
                <c:pt idx="94">
                  <c:v>268.83891743841929</c:v>
                </c:pt>
                <c:pt idx="95">
                  <c:v>265.95091775276524</c:v>
                </c:pt>
                <c:pt idx="96">
                  <c:v>263.11944484983843</c:v>
                </c:pt>
                <c:pt idx="97">
                  <c:v>260.34284818574787</c:v>
                </c:pt>
                <c:pt idx="98">
                  <c:v>257.61954084572073</c:v>
                </c:pt>
                <c:pt idx="99">
                  <c:v>254.94799650720185</c:v>
                </c:pt>
                <c:pt idx="100">
                  <c:v>252.32674657524345</c:v>
                </c:pt>
              </c:numCache>
            </c:numRef>
          </c:val>
          <c:smooth val="0"/>
          <c:extLst>
            <c:ext xmlns:c16="http://schemas.microsoft.com/office/drawing/2014/chart" uri="{C3380CC4-5D6E-409C-BE32-E72D297353CC}">
              <c16:uniqueId val="{00000002-8D54-466C-9E56-3B54C69CECB8}"/>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8D54-466C-9E56-3B54C69CECB8}"/>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8D54-466C-9E56-3B54C69CECB8}"/>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8D54-466C-9E56-3B54C69CECB8}"/>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24.410473562444633</c:v>
                </c:pt>
                <c:pt idx="2">
                  <c:v>73.231420687333895</c:v>
                </c:pt>
                <c:pt idx="3">
                  <c:v>73.231420687333895</c:v>
                </c:pt>
                <c:pt idx="4">
                  <c:v>97.641894249778531</c:v>
                </c:pt>
                <c:pt idx="5">
                  <c:v>122.05236781222314</c:v>
                </c:pt>
                <c:pt idx="6">
                  <c:v>146.46284137466779</c:v>
                </c:pt>
                <c:pt idx="7">
                  <c:v>170.87331493711241</c:v>
                </c:pt>
                <c:pt idx="8">
                  <c:v>195.28378849955706</c:v>
                </c:pt>
                <c:pt idx="9">
                  <c:v>219.69426206200166</c:v>
                </c:pt>
                <c:pt idx="10">
                  <c:v>244.10473562444628</c:v>
                </c:pt>
                <c:pt idx="11">
                  <c:v>268.51520918689096</c:v>
                </c:pt>
                <c:pt idx="12">
                  <c:v>292.92568274933558</c:v>
                </c:pt>
                <c:pt idx="13">
                  <c:v>317.3361563117802</c:v>
                </c:pt>
                <c:pt idx="14">
                  <c:v>341.74662987422482</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343.10498952114853</c:v>
                </c:pt>
                <c:pt idx="44">
                  <c:v>335.37664899486344</c:v>
                </c:pt>
                <c:pt idx="45">
                  <c:v>327.97252883046298</c:v>
                </c:pt>
                <c:pt idx="46">
                  <c:v>320.87279897958086</c:v>
                </c:pt>
                <c:pt idx="47">
                  <c:v>314.05920942738106</c:v>
                </c:pt>
                <c:pt idx="48">
                  <c:v>307.51493614304553</c:v>
                </c:pt>
                <c:pt idx="49">
                  <c:v>301.2244446915534</c:v>
                </c:pt>
                <c:pt idx="50">
                  <c:v>295.17336919030748</c:v>
                </c:pt>
                <c:pt idx="51">
                  <c:v>289.25057420451805</c:v>
                </c:pt>
                <c:pt idx="52">
                  <c:v>283.27221897200536</c:v>
                </c:pt>
                <c:pt idx="53">
                  <c:v>277.50423543881203</c:v>
                </c:pt>
                <c:pt idx="54">
                  <c:v>271.93566397500445</c:v>
                </c:pt>
                <c:pt idx="55">
                  <c:v>266.55629329705431</c:v>
                </c:pt>
                <c:pt idx="56">
                  <c:v>261.35659766880798</c:v>
                </c:pt>
                <c:pt idx="57">
                  <c:v>256.32768032199368</c:v>
                </c:pt>
                <c:pt idx="58">
                  <c:v>251.46122238929775</c:v>
                </c:pt>
                <c:pt idx="59">
                  <c:v>246.74943673341699</c:v>
                </c:pt>
                <c:pt idx="60">
                  <c:v>242.18502613307052</c:v>
                </c:pt>
                <c:pt idx="61">
                  <c:v>237.76114535372687</c:v>
                </c:pt>
                <c:pt idx="62">
                  <c:v>233.47136668840736</c:v>
                </c:pt>
                <c:pt idx="63">
                  <c:v>229.30964860374641</c:v>
                </c:pt>
                <c:pt idx="64">
                  <c:v>225.2703071696746</c:v>
                </c:pt>
                <c:pt idx="65">
                  <c:v>221.34798998860884</c:v>
                </c:pt>
                <c:pt idx="66">
                  <c:v>217.53765237269749</c:v>
                </c:pt>
                <c:pt idx="67">
                  <c:v>213.83453554617222</c:v>
                </c:pt>
                <c:pt idx="68">
                  <c:v>210.23414667476976</c:v>
                </c:pt>
                <c:pt idx="69">
                  <c:v>206.73224054601928</c:v>
                </c:pt>
                <c:pt idx="70">
                  <c:v>203.32480274334486</c:v>
                </c:pt>
                <c:pt idx="71">
                  <c:v>200.00803417378063</c:v>
                </c:pt>
                <c:pt idx="72">
                  <c:v>196.77833682393361</c:v>
                </c:pt>
                <c:pt idx="73">
                  <c:v>193.63230063192782</c:v>
                </c:pt>
                <c:pt idx="74">
                  <c:v>190.56669137463726</c:v>
                </c:pt>
                <c:pt idx="75">
                  <c:v>187.57843947976875</c:v>
                </c:pt>
                <c:pt idx="76">
                  <c:v>184.66462968144364</c:v>
                </c:pt>
                <c:pt idx="77">
                  <c:v>181.82249144600829</c:v>
                </c:pt>
                <c:pt idx="78">
                  <c:v>179.04939010198265</c:v>
                </c:pt>
                <c:pt idx="79">
                  <c:v>176.34281861446408</c:v>
                </c:pt>
                <c:pt idx="80">
                  <c:v>173.70038995001158</c:v>
                </c:pt>
                <c:pt idx="81">
                  <c:v>171.11982998314431</c:v>
                </c:pt>
                <c:pt idx="82">
                  <c:v>168.59897090015247</c:v>
                </c:pt>
                <c:pt idx="83">
                  <c:v>166.1357450600153</c:v>
                </c:pt>
                <c:pt idx="84">
                  <c:v>163.7281792758925</c:v>
                </c:pt>
                <c:pt idx="85">
                  <c:v>161.37438948395229</c:v>
                </c:pt>
                <c:pt idx="86">
                  <c:v>159.0725757692714</c:v>
                </c:pt>
                <c:pt idx="87">
                  <c:v>156.82101772121305</c:v>
                </c:pt>
                <c:pt idx="88">
                  <c:v>154.61807009309877</c:v>
                </c:pt>
                <c:pt idx="89">
                  <c:v>152.46215874316749</c:v>
                </c:pt>
                <c:pt idx="90">
                  <c:v>150.351776835782</c:v>
                </c:pt>
                <c:pt idx="91">
                  <c:v>148.2854812836211</c:v>
                </c:pt>
                <c:pt idx="92">
                  <c:v>146.26188941320933</c:v>
                </c:pt>
                <c:pt idx="93">
                  <c:v>144.27967583759775</c:v>
                </c:pt>
                <c:pt idx="94">
                  <c:v>142.33756952133535</c:v>
                </c:pt>
                <c:pt idx="95">
                  <c:v>140.43435102407759</c:v>
                </c:pt>
                <c:pt idx="96">
                  <c:v>138.56884991027491</c:v>
                </c:pt>
                <c:pt idx="97">
                  <c:v>136.73994231338324</c:v>
                </c:pt>
                <c:pt idx="98">
                  <c:v>134.94654864394846</c:v>
                </c:pt>
                <c:pt idx="99">
                  <c:v>133.18763143174618</c:v>
                </c:pt>
                <c:pt idx="100">
                  <c:v>131.46219329291989</c:v>
                </c:pt>
              </c:numCache>
            </c:numRef>
          </c:val>
          <c:smooth val="0"/>
          <c:extLst>
            <c:ext xmlns:c16="http://schemas.microsoft.com/office/drawing/2014/chart" uri="{C3380CC4-5D6E-409C-BE32-E72D297353CC}">
              <c16:uniqueId val="{00000006-8D54-466C-9E56-3B54C69CECB8}"/>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24.410473562444633</c:v>
                </c:pt>
                <c:pt idx="2">
                  <c:v>48.820947124889265</c:v>
                </c:pt>
                <c:pt idx="3">
                  <c:v>73.231420687333895</c:v>
                </c:pt>
                <c:pt idx="4">
                  <c:v>97.641894249778531</c:v>
                </c:pt>
                <c:pt idx="5">
                  <c:v>122.05236781222314</c:v>
                </c:pt>
                <c:pt idx="6">
                  <c:v>146.46284137466779</c:v>
                </c:pt>
                <c:pt idx="7">
                  <c:v>170.87331493711241</c:v>
                </c:pt>
                <c:pt idx="8">
                  <c:v>195.28378849955706</c:v>
                </c:pt>
                <c:pt idx="9">
                  <c:v>219.69426206200166</c:v>
                </c:pt>
                <c:pt idx="10">
                  <c:v>244.10473562444628</c:v>
                </c:pt>
                <c:pt idx="11">
                  <c:v>268.51520918689096</c:v>
                </c:pt>
                <c:pt idx="12">
                  <c:v>292.92568274933558</c:v>
                </c:pt>
                <c:pt idx="13">
                  <c:v>317.3361563117802</c:v>
                </c:pt>
                <c:pt idx="14">
                  <c:v>341.74662987422482</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346.9936680663547</c:v>
                </c:pt>
                <c:pt idx="60">
                  <c:v>341.37480768550802</c:v>
                </c:pt>
                <c:pt idx="61">
                  <c:v>335.92899115810985</c:v>
                </c:pt>
                <c:pt idx="62">
                  <c:v>330.64838766710926</c:v>
                </c:pt>
                <c:pt idx="63">
                  <c:v>325.52563088505025</c:v>
                </c:pt>
                <c:pt idx="64">
                  <c:v>320.55378507597879</c:v>
                </c:pt>
                <c:pt idx="65">
                  <c:v>315.72631412124571</c:v>
                </c:pt>
                <c:pt idx="66">
                  <c:v>311.03705317927262</c:v>
                </c:pt>
                <c:pt idx="67">
                  <c:v>306.48018272174204</c:v>
                </c:pt>
                <c:pt idx="68">
                  <c:v>302.05020471704103</c:v>
                </c:pt>
                <c:pt idx="69">
                  <c:v>297.54998167265842</c:v>
                </c:pt>
                <c:pt idx="70">
                  <c:v>293.16846773075042</c:v>
                </c:pt>
                <c:pt idx="71">
                  <c:v>288.90209680372107</c:v>
                </c:pt>
                <c:pt idx="72">
                  <c:v>284.74637003932588</c:v>
                </c:pt>
                <c:pt idx="73">
                  <c:v>280.69701991914468</c:v>
                </c:pt>
                <c:pt idx="74">
                  <c:v>276.7499955782244</c:v>
                </c:pt>
                <c:pt idx="75">
                  <c:v>272.90144922864152</c:v>
                </c:pt>
                <c:pt idx="76">
                  <c:v>269.14772359134054</c:v>
                </c:pt>
                <c:pt idx="77">
                  <c:v>265.48534024995291</c:v>
                </c:pt>
                <c:pt idx="78">
                  <c:v>261.91098884864334</c:v>
                </c:pt>
                <c:pt idx="79">
                  <c:v>258.42151706347022</c:v>
                </c:pt>
                <c:pt idx="80">
                  <c:v>255.01392128340305</c:v>
                </c:pt>
                <c:pt idx="81">
                  <c:v>251.68533794309101</c:v>
                </c:pt>
                <c:pt idx="82">
                  <c:v>248.43303545481888</c:v>
                </c:pt>
                <c:pt idx="83">
                  <c:v>245.25440669186912</c:v>
                </c:pt>
                <c:pt idx="84">
                  <c:v>242.146961979824</c:v>
                </c:pt>
                <c:pt idx="85">
                  <c:v>239.10832255620531</c:v>
                </c:pt>
                <c:pt idx="86">
                  <c:v>236.13621446234336</c:v>
                </c:pt>
                <c:pt idx="87">
                  <c:v>233.22846283451369</c:v>
                </c:pt>
                <c:pt idx="88">
                  <c:v>230.38298656422032</c:v>
                </c:pt>
                <c:pt idx="89">
                  <c:v>227.59779330007498</c:v>
                </c:pt>
                <c:pt idx="90">
                  <c:v>224.87097476604586</c:v>
                </c:pt>
                <c:pt idx="91">
                  <c:v>222.20070237295781</c:v>
                </c:pt>
                <c:pt idx="92">
                  <c:v>219.5852231020331</c:v>
                </c:pt>
                <c:pt idx="93">
                  <c:v>217.0228556410035</c:v>
                </c:pt>
                <c:pt idx="94">
                  <c:v>214.51198675489309</c:v>
                </c:pt>
                <c:pt idx="95">
                  <c:v>212.05106787501336</c:v>
                </c:pt>
                <c:pt idx="96">
                  <c:v>209.63861189101391</c:v>
                </c:pt>
                <c:pt idx="97">
                  <c:v>207.27319013202495</c:v>
                </c:pt>
                <c:pt idx="98">
                  <c:v>204.95342952401532</c:v>
                </c:pt>
                <c:pt idx="99">
                  <c:v>202.67800991148081</c:v>
                </c:pt>
                <c:pt idx="100">
                  <c:v>200.44566153248437</c:v>
                </c:pt>
              </c:numCache>
            </c:numRef>
          </c:val>
          <c:smooth val="0"/>
          <c:extLst>
            <c:ext xmlns:c16="http://schemas.microsoft.com/office/drawing/2014/chart" uri="{C3380CC4-5D6E-409C-BE32-E72D297353CC}">
              <c16:uniqueId val="{00000007-8D54-466C-9E56-3B54C69CECB8}"/>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24.410182474173688</c:v>
                </c:pt>
                <c:pt idx="2">
                  <c:v>48.820364948347375</c:v>
                </c:pt>
                <c:pt idx="3">
                  <c:v>73.23054742252107</c:v>
                </c:pt>
                <c:pt idx="4">
                  <c:v>97.640729896694751</c:v>
                </c:pt>
                <c:pt idx="5">
                  <c:v>122.05091237086843</c:v>
                </c:pt>
                <c:pt idx="6">
                  <c:v>146.46109484504214</c:v>
                </c:pt>
                <c:pt idx="7">
                  <c:v>170.87127731921581</c:v>
                </c:pt>
                <c:pt idx="8">
                  <c:v>195.2814597933895</c:v>
                </c:pt>
                <c:pt idx="9">
                  <c:v>219.69164226756317</c:v>
                </c:pt>
                <c:pt idx="10">
                  <c:v>244.10182474173686</c:v>
                </c:pt>
                <c:pt idx="11">
                  <c:v>268.51200721591056</c:v>
                </c:pt>
                <c:pt idx="12">
                  <c:v>292.92218969008428</c:v>
                </c:pt>
                <c:pt idx="13">
                  <c:v>317.33237216425795</c:v>
                </c:pt>
                <c:pt idx="14">
                  <c:v>341.74255463843161</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349.84582825912429</c:v>
                </c:pt>
                <c:pt idx="73">
                  <c:v>345.24746841868051</c:v>
                </c:pt>
                <c:pt idx="74">
                  <c:v>340.7654995553907</c:v>
                </c:pt>
                <c:pt idx="75">
                  <c:v>336.3955746442428</c:v>
                </c:pt>
                <c:pt idx="76">
                  <c:v>332.13356014251076</c:v>
                </c:pt>
                <c:pt idx="77">
                  <c:v>327.97552305415502</c:v>
                </c:pt>
                <c:pt idx="78">
                  <c:v>323.91771892306201</c:v>
                </c:pt>
                <c:pt idx="79">
                  <c:v>319.95658067825906</c:v>
                </c:pt>
                <c:pt idx="80">
                  <c:v>316.08870826142356</c:v>
                </c:pt>
                <c:pt idx="81">
                  <c:v>312.31085897343968</c:v>
                </c:pt>
                <c:pt idx="82">
                  <c:v>308.60748922151515</c:v>
                </c:pt>
                <c:pt idx="83">
                  <c:v>304.88419370178673</c:v>
                </c:pt>
                <c:pt idx="84">
                  <c:v>301.24359771632385</c:v>
                </c:pt>
                <c:pt idx="85">
                  <c:v>297.68296737425777</c:v>
                </c:pt>
                <c:pt idx="86">
                  <c:v>294.19968796025506</c:v>
                </c:pt>
                <c:pt idx="87">
                  <c:v>290.79125751065101</c:v>
                </c:pt>
                <c:pt idx="88">
                  <c:v>287.45528080066526</c:v>
                </c:pt>
                <c:pt idx="89">
                  <c:v>284.1894637123346</c:v>
                </c:pt>
                <c:pt idx="90">
                  <c:v>280.99160795533351</c:v>
                </c:pt>
                <c:pt idx="91">
                  <c:v>277.85960611515105</c:v>
                </c:pt>
                <c:pt idx="92">
                  <c:v>274.79143700518421</c:v>
                </c:pt>
                <c:pt idx="93">
                  <c:v>271.78516130121056</c:v>
                </c:pt>
                <c:pt idx="94">
                  <c:v>268.83891743841929</c:v>
                </c:pt>
                <c:pt idx="95">
                  <c:v>265.95091775276524</c:v>
                </c:pt>
                <c:pt idx="96">
                  <c:v>263.11944484983843</c:v>
                </c:pt>
                <c:pt idx="97">
                  <c:v>260.34284818574787</c:v>
                </c:pt>
                <c:pt idx="98">
                  <c:v>257.61954084572073</c:v>
                </c:pt>
                <c:pt idx="99">
                  <c:v>254.94799650720185</c:v>
                </c:pt>
                <c:pt idx="100">
                  <c:v>252.32674657524345</c:v>
                </c:pt>
              </c:numCache>
            </c:numRef>
          </c:val>
          <c:smooth val="0"/>
          <c:extLst>
            <c:ext xmlns:c16="http://schemas.microsoft.com/office/drawing/2014/chart" uri="{C3380CC4-5D6E-409C-BE32-E72D297353CC}">
              <c16:uniqueId val="{00000008-8D54-466C-9E56-3B54C69CECB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8D54-466C-9E56-3B54C69CECB8}"/>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8D54-466C-9E56-3B54C69CECB8}"/>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8D54-466C-9E56-3B54C69CECB8}"/>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9</c:v>
                </c:pt>
                <c:pt idx="1">
                  <c:v>9.07</c:v>
                </c:pt>
                <c:pt idx="2">
                  <c:v>9.14</c:v>
                </c:pt>
                <c:pt idx="3">
                  <c:v>9.2100000000000009</c:v>
                </c:pt>
                <c:pt idx="4">
                  <c:v>9.2799999999999994</c:v>
                </c:pt>
                <c:pt idx="5">
                  <c:v>9.35</c:v>
                </c:pt>
                <c:pt idx="6">
                  <c:v>9.42</c:v>
                </c:pt>
                <c:pt idx="7">
                  <c:v>9.49</c:v>
                </c:pt>
                <c:pt idx="8">
                  <c:v>9.56</c:v>
                </c:pt>
                <c:pt idx="9">
                  <c:v>9.6300000000000008</c:v>
                </c:pt>
                <c:pt idx="10">
                  <c:v>9.6999999999999993</c:v>
                </c:pt>
                <c:pt idx="11">
                  <c:v>9.77</c:v>
                </c:pt>
                <c:pt idx="12">
                  <c:v>9.84</c:v>
                </c:pt>
                <c:pt idx="13">
                  <c:v>9.91</c:v>
                </c:pt>
                <c:pt idx="14">
                  <c:v>9.98</c:v>
                </c:pt>
                <c:pt idx="15">
                  <c:v>10.050000000000001</c:v>
                </c:pt>
                <c:pt idx="16">
                  <c:v>10.120000000000001</c:v>
                </c:pt>
                <c:pt idx="17">
                  <c:v>10.19</c:v>
                </c:pt>
                <c:pt idx="18">
                  <c:v>10.26</c:v>
                </c:pt>
                <c:pt idx="19">
                  <c:v>10.33</c:v>
                </c:pt>
                <c:pt idx="20">
                  <c:v>10.4</c:v>
                </c:pt>
                <c:pt idx="21">
                  <c:v>10.47</c:v>
                </c:pt>
                <c:pt idx="22">
                  <c:v>10.54</c:v>
                </c:pt>
                <c:pt idx="23">
                  <c:v>10.61</c:v>
                </c:pt>
                <c:pt idx="24">
                  <c:v>10.68</c:v>
                </c:pt>
                <c:pt idx="25">
                  <c:v>10.75</c:v>
                </c:pt>
                <c:pt idx="26">
                  <c:v>10.82</c:v>
                </c:pt>
                <c:pt idx="27">
                  <c:v>10.89</c:v>
                </c:pt>
                <c:pt idx="28">
                  <c:v>10.96</c:v>
                </c:pt>
                <c:pt idx="29">
                  <c:v>11.03</c:v>
                </c:pt>
                <c:pt idx="30">
                  <c:v>11.1</c:v>
                </c:pt>
                <c:pt idx="31">
                  <c:v>11.17</c:v>
                </c:pt>
                <c:pt idx="32">
                  <c:v>11.24</c:v>
                </c:pt>
                <c:pt idx="33">
                  <c:v>11.31</c:v>
                </c:pt>
                <c:pt idx="34">
                  <c:v>11.38</c:v>
                </c:pt>
                <c:pt idx="35">
                  <c:v>11.45</c:v>
                </c:pt>
                <c:pt idx="36">
                  <c:v>11.52</c:v>
                </c:pt>
                <c:pt idx="37">
                  <c:v>11.59</c:v>
                </c:pt>
                <c:pt idx="38">
                  <c:v>11.66</c:v>
                </c:pt>
                <c:pt idx="39">
                  <c:v>11.73</c:v>
                </c:pt>
                <c:pt idx="40">
                  <c:v>11.8</c:v>
                </c:pt>
                <c:pt idx="41">
                  <c:v>11.87</c:v>
                </c:pt>
                <c:pt idx="42">
                  <c:v>11.94</c:v>
                </c:pt>
                <c:pt idx="43">
                  <c:v>12.01</c:v>
                </c:pt>
                <c:pt idx="44">
                  <c:v>12.08</c:v>
                </c:pt>
                <c:pt idx="45">
                  <c:v>12.15</c:v>
                </c:pt>
                <c:pt idx="46">
                  <c:v>12.22</c:v>
                </c:pt>
                <c:pt idx="47">
                  <c:v>12.29</c:v>
                </c:pt>
                <c:pt idx="48">
                  <c:v>12.36</c:v>
                </c:pt>
                <c:pt idx="49">
                  <c:v>12.43</c:v>
                </c:pt>
                <c:pt idx="50">
                  <c:v>12.5</c:v>
                </c:pt>
                <c:pt idx="51">
                  <c:v>12.57</c:v>
                </c:pt>
                <c:pt idx="52">
                  <c:v>12.64</c:v>
                </c:pt>
                <c:pt idx="53">
                  <c:v>12.71</c:v>
                </c:pt>
                <c:pt idx="54">
                  <c:v>12.780000000000001</c:v>
                </c:pt>
                <c:pt idx="55">
                  <c:v>12.850000000000001</c:v>
                </c:pt>
                <c:pt idx="56">
                  <c:v>12.92</c:v>
                </c:pt>
                <c:pt idx="57">
                  <c:v>12.99</c:v>
                </c:pt>
                <c:pt idx="58">
                  <c:v>13.059999999999999</c:v>
                </c:pt>
                <c:pt idx="59">
                  <c:v>13.129999999999999</c:v>
                </c:pt>
                <c:pt idx="60">
                  <c:v>13.2</c:v>
                </c:pt>
                <c:pt idx="61">
                  <c:v>13.27</c:v>
                </c:pt>
                <c:pt idx="62">
                  <c:v>13.34</c:v>
                </c:pt>
                <c:pt idx="63">
                  <c:v>13.41</c:v>
                </c:pt>
                <c:pt idx="64">
                  <c:v>13.48</c:v>
                </c:pt>
                <c:pt idx="65">
                  <c:v>13.55</c:v>
                </c:pt>
                <c:pt idx="66">
                  <c:v>13.620000000000001</c:v>
                </c:pt>
                <c:pt idx="67">
                  <c:v>13.690000000000001</c:v>
                </c:pt>
                <c:pt idx="68">
                  <c:v>13.760000000000002</c:v>
                </c:pt>
                <c:pt idx="69">
                  <c:v>13.83</c:v>
                </c:pt>
                <c:pt idx="70">
                  <c:v>13.899999999999999</c:v>
                </c:pt>
                <c:pt idx="71">
                  <c:v>13.969999999999999</c:v>
                </c:pt>
                <c:pt idx="72">
                  <c:v>14.04</c:v>
                </c:pt>
                <c:pt idx="73">
                  <c:v>14.11</c:v>
                </c:pt>
                <c:pt idx="74">
                  <c:v>14.18</c:v>
                </c:pt>
                <c:pt idx="75">
                  <c:v>14.25</c:v>
                </c:pt>
                <c:pt idx="76">
                  <c:v>14.32</c:v>
                </c:pt>
                <c:pt idx="77">
                  <c:v>14.39</c:v>
                </c:pt>
                <c:pt idx="78">
                  <c:v>14.46</c:v>
                </c:pt>
                <c:pt idx="79">
                  <c:v>14.530000000000001</c:v>
                </c:pt>
                <c:pt idx="80">
                  <c:v>14.600000000000001</c:v>
                </c:pt>
                <c:pt idx="81">
                  <c:v>14.67</c:v>
                </c:pt>
                <c:pt idx="82">
                  <c:v>14.739999999999998</c:v>
                </c:pt>
                <c:pt idx="83">
                  <c:v>14.809999999999999</c:v>
                </c:pt>
                <c:pt idx="84">
                  <c:v>14.879999999999999</c:v>
                </c:pt>
                <c:pt idx="85">
                  <c:v>14.95</c:v>
                </c:pt>
                <c:pt idx="86">
                  <c:v>15.02</c:v>
                </c:pt>
                <c:pt idx="87">
                  <c:v>15.09</c:v>
                </c:pt>
                <c:pt idx="88">
                  <c:v>15.16</c:v>
                </c:pt>
                <c:pt idx="89">
                  <c:v>15.23</c:v>
                </c:pt>
                <c:pt idx="90">
                  <c:v>15.3</c:v>
                </c:pt>
                <c:pt idx="91">
                  <c:v>15.370000000000001</c:v>
                </c:pt>
                <c:pt idx="92">
                  <c:v>15.440000000000001</c:v>
                </c:pt>
                <c:pt idx="93">
                  <c:v>15.510000000000002</c:v>
                </c:pt>
                <c:pt idx="94">
                  <c:v>15.58</c:v>
                </c:pt>
                <c:pt idx="95">
                  <c:v>15.649999999999999</c:v>
                </c:pt>
                <c:pt idx="96">
                  <c:v>15.719999999999999</c:v>
                </c:pt>
                <c:pt idx="97">
                  <c:v>15.79</c:v>
                </c:pt>
                <c:pt idx="98">
                  <c:v>15.86</c:v>
                </c:pt>
                <c:pt idx="99">
                  <c:v>15.93</c:v>
                </c:pt>
                <c:pt idx="100">
                  <c:v>16</c:v>
                </c:pt>
              </c:numCache>
            </c:numRef>
          </c:xVal>
          <c:yVal>
            <c:numRef>
              <c:f>'Fsw vs VIN'!$M$6:$M$106</c:f>
              <c:numCache>
                <c:formatCode>0.0</c:formatCode>
                <c:ptCount val="101"/>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A7ED-4BB2-BB4F-6969824E41D0}"/>
            </c:ext>
          </c:extLst>
        </c:ser>
        <c:dLbls>
          <c:showLegendKey val="0"/>
          <c:showVal val="0"/>
          <c:showCatName val="0"/>
          <c:showSerName val="0"/>
          <c:showPercent val="0"/>
          <c:showBubbleSize val="0"/>
        </c:dLbls>
        <c:axId val="447869696"/>
        <c:axId val="447871616"/>
      </c:scatterChart>
      <c:valAx>
        <c:axId val="447869696"/>
        <c:scaling>
          <c:orientation val="minMax"/>
        </c:scaling>
        <c:delete val="0"/>
        <c:axPos val="b"/>
        <c:majorGridlines/>
        <c:title>
          <c:tx>
            <c:rich>
              <a:bodyPr/>
              <a:lstStyle/>
              <a:p>
                <a:pPr>
                  <a:defRPr lang="ja-JP"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975" b="1" i="0" u="none" strike="noStrike" baseline="0">
                <a:solidFill>
                  <a:srgbClr val="000000"/>
                </a:solidFill>
                <a:latin typeface="Arial"/>
                <a:ea typeface="Arial"/>
                <a:cs typeface="Arial"/>
              </a:defRPr>
            </a:pPr>
            <a:endParaRPr lang="en-US"/>
          </a:p>
        </c:txPr>
        <c:crossAx val="447871616"/>
        <c:crosses val="autoZero"/>
        <c:crossBetween val="midCat"/>
      </c:valAx>
      <c:valAx>
        <c:axId val="447871616"/>
        <c:scaling>
          <c:orientation val="minMax"/>
        </c:scaling>
        <c:delete val="0"/>
        <c:axPos val="l"/>
        <c:majorGridlines>
          <c:spPr>
            <a:ln w="3175">
              <a:solidFill>
                <a:srgbClr val="000000"/>
              </a:solidFill>
              <a:prstDash val="solid"/>
            </a:ln>
          </c:spPr>
        </c:majorGridlines>
        <c:title>
          <c:tx>
            <c:rich>
              <a:bodyPr/>
              <a:lstStyle/>
              <a:p>
                <a:pPr>
                  <a:defRPr lang="ja-JP"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ja-JP" sz="1200" b="1" i="0" u="none" strike="noStrike" baseline="0">
                <a:solidFill>
                  <a:srgbClr val="000000"/>
                </a:solidFill>
                <a:latin typeface="Arial"/>
                <a:ea typeface="Arial"/>
                <a:cs typeface="Arial"/>
              </a:defRPr>
            </a:pPr>
            <a:endParaRPr lang="en-US"/>
          </a:p>
        </c:txPr>
        <c:crossAx val="44786969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lang="ja-JP"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Single'!$CB$5:$CB$105</c:f>
              <c:numCache>
                <c:formatCode>0.00</c:formatCode>
                <c:ptCount val="101"/>
                <c:pt idx="0">
                  <c:v>9.3957602143637938E-5</c:v>
                </c:pt>
                <c:pt idx="1">
                  <c:v>73.916841487422985</c:v>
                </c:pt>
                <c:pt idx="2">
                  <c:v>74.132964078778329</c:v>
                </c:pt>
                <c:pt idx="3">
                  <c:v>74.15235921426229</c:v>
                </c:pt>
                <c:pt idx="4">
                  <c:v>74.121561095502116</c:v>
                </c:pt>
                <c:pt idx="5">
                  <c:v>74.070049130811512</c:v>
                </c:pt>
                <c:pt idx="6">
                  <c:v>74.007663464536307</c:v>
                </c:pt>
                <c:pt idx="7">
                  <c:v>73.938616680931929</c:v>
                </c:pt>
                <c:pt idx="8">
                  <c:v>73.865007204879475</c:v>
                </c:pt>
                <c:pt idx="9">
                  <c:v>73.78799250227307</c:v>
                </c:pt>
                <c:pt idx="10">
                  <c:v>73.708258911837731</c:v>
                </c:pt>
                <c:pt idx="11">
                  <c:v>73.626235381188508</c:v>
                </c:pt>
                <c:pt idx="12">
                  <c:v>73.542200396481263</c:v>
                </c:pt>
                <c:pt idx="13">
                  <c:v>73.456339581052234</c:v>
                </c:pt>
                <c:pt idx="14">
                  <c:v>73.368778614074614</c:v>
                </c:pt>
                <c:pt idx="15">
                  <c:v>73.279602980024919</c:v>
                </c:pt>
                <c:pt idx="16">
                  <c:v>73.298531319040961</c:v>
                </c:pt>
                <c:pt idx="17">
                  <c:v>73.318564902427426</c:v>
                </c:pt>
                <c:pt idx="18">
                  <c:v>73.31151626057347</c:v>
                </c:pt>
                <c:pt idx="19">
                  <c:v>73.279947671639192</c:v>
                </c:pt>
                <c:pt idx="20">
                  <c:v>73.225875259638144</c:v>
                </c:pt>
                <c:pt idx="21">
                  <c:v>73.150878635090393</c:v>
                </c:pt>
                <c:pt idx="22">
                  <c:v>73.056181975362804</c:v>
                </c:pt>
                <c:pt idx="23">
                  <c:v>72.94271448624589</c:v>
                </c:pt>
                <c:pt idx="24">
                  <c:v>72.811155677389792</c:v>
                </c:pt>
                <c:pt idx="25">
                  <c:v>72.661969223807546</c:v>
                </c:pt>
                <c:pt idx="26">
                  <c:v>72.495428062659954</c:v>
                </c:pt>
                <c:pt idx="27">
                  <c:v>72.311632598566419</c:v>
                </c:pt>
                <c:pt idx="28">
                  <c:v>72.110523342412492</c:v>
                </c:pt>
                <c:pt idx="29">
                  <c:v>71.891888911512709</c:v>
                </c:pt>
                <c:pt idx="30">
                  <c:v>71.655370022777149</c:v>
                </c:pt>
                <c:pt idx="31">
                  <c:v>71.400459881339259</c:v>
                </c:pt>
                <c:pt idx="32">
                  <c:v>71.12650118133368</c:v>
                </c:pt>
                <c:pt idx="33">
                  <c:v>70.832679776013734</c:v>
                </c:pt>
                <c:pt idx="34">
                  <c:v>70.518014927926259</c:v>
                </c:pt>
                <c:pt idx="35">
                  <c:v>70.181345905336826</c:v>
                </c:pt>
                <c:pt idx="36">
                  <c:v>69.821314538285463</c:v>
                </c:pt>
                <c:pt idx="37">
                  <c:v>69.436343176044929</c:v>
                </c:pt>
                <c:pt idx="38">
                  <c:v>69.024607285485033</c:v>
                </c:pt>
                <c:pt idx="39">
                  <c:v>68.584001682472802</c:v>
                </c:pt>
                <c:pt idx="40">
                  <c:v>68.112099077410406</c:v>
                </c:pt>
                <c:pt idx="41">
                  <c:v>67.606099216600342</c:v>
                </c:pt>
                <c:pt idx="42">
                  <c:v>67.062766379521747</c:v>
                </c:pt>
                <c:pt idx="43">
                  <c:v>66.478352301128609</c:v>
                </c:pt>
                <c:pt idx="44">
                  <c:v>65.848500661087243</c:v>
                </c:pt>
                <c:pt idx="45">
                  <c:v>65.168128022271958</c:v>
                </c:pt>
                <c:pt idx="46">
                  <c:v>64.431274368483329</c:v>
                </c:pt>
                <c:pt idx="47">
                  <c:v>63.630913978433348</c:v>
                </c:pt>
                <c:pt idx="48">
                  <c:v>62.758713967141787</c:v>
                </c:pt>
                <c:pt idx="49">
                  <c:v>61.804722949673398</c:v>
                </c:pt>
                <c:pt idx="50">
                  <c:v>60.756965193481605</c:v>
                </c:pt>
                <c:pt idx="51">
                  <c:v>59.600905148740516</c:v>
                </c:pt>
                <c:pt idx="52">
                  <c:v>58.318731479519947</c:v>
                </c:pt>
                <c:pt idx="53">
                  <c:v>56.88838551776756</c:v>
                </c:pt>
                <c:pt idx="54">
                  <c:v>55.282221095795727</c:v>
                </c:pt>
                <c:pt idx="55">
                  <c:v>53.465121693952341</c:v>
                </c:pt>
                <c:pt idx="56">
                  <c:v>51.391800089791275</c:v>
                </c:pt>
                <c:pt idx="57">
                  <c:v>49.002834226047646</c:v>
                </c:pt>
                <c:pt idx="58">
                  <c:v>46.21869100677273</c:v>
                </c:pt>
                <c:pt idx="59">
                  <c:v>42.930436558864315</c:v>
                </c:pt>
                <c:pt idx="60">
                  <c:v>38.984771440545181</c:v>
                </c:pt>
                <c:pt idx="61">
                  <c:v>34.158887762896228</c:v>
                </c:pt>
                <c:pt idx="62">
                  <c:v>28.116039604941847</c:v>
                </c:pt>
                <c:pt idx="63">
                  <c:v>23.06438554628917</c:v>
                </c:pt>
                <c:pt idx="64">
                  <c:v>20.080239094770455</c:v>
                </c:pt>
                <c:pt idx="65">
                  <c:v>16.701067497609341</c:v>
                </c:pt>
                <c:pt idx="66">
                  <c:v>12.850212095307079</c:v>
                </c:pt>
                <c:pt idx="67">
                  <c:v>8.4294260151933464</c:v>
                </c:pt>
                <c:pt idx="68">
                  <c:v>-14.27441998421099</c:v>
                </c:pt>
                <c:pt idx="69">
                  <c:v>-59.785108444227234</c:v>
                </c:pt>
                <c:pt idx="70">
                  <c:v>-199.21855476602161</c:v>
                </c:pt>
                <c:pt idx="71">
                  <c:v>-583836.08848559554</c:v>
                </c:pt>
                <c:pt idx="72">
                  <c:v>361.19619029181933</c:v>
                </c:pt>
                <c:pt idx="73">
                  <c:v>221.59716597482492</c:v>
                </c:pt>
                <c:pt idx="74">
                  <c:v>174.43057402323655</c:v>
                </c:pt>
                <c:pt idx="75">
                  <c:v>150.64944551659713</c:v>
                </c:pt>
                <c:pt idx="76">
                  <c:v>136.26321736078796</c:v>
                </c:pt>
                <c:pt idx="77">
                  <c:v>126.58264541423654</c:v>
                </c:pt>
                <c:pt idx="78">
                  <c:v>119.59153688292372</c:v>
                </c:pt>
                <c:pt idx="79">
                  <c:v>114.27949394954481</c:v>
                </c:pt>
                <c:pt idx="80">
                  <c:v>110.08413436988546</c:v>
                </c:pt>
                <c:pt idx="81">
                  <c:v>106.66742863749667</c:v>
                </c:pt>
                <c:pt idx="82">
                  <c:v>103.81385085513963</c:v>
                </c:pt>
                <c:pt idx="83">
                  <c:v>101.37938215497297</c:v>
                </c:pt>
                <c:pt idx="84">
                  <c:v>99.264018755082901</c:v>
                </c:pt>
                <c:pt idx="85">
                  <c:v>97.396045751712634</c:v>
                </c:pt>
                <c:pt idx="86">
                  <c:v>95.722591587701856</c:v>
                </c:pt>
                <c:pt idx="87">
                  <c:v>94.20371779073119</c:v>
                </c:pt>
                <c:pt idx="88">
                  <c:v>92.808589211516363</c:v>
                </c:pt>
                <c:pt idx="89">
                  <c:v>91.512915884632079</c:v>
                </c:pt>
                <c:pt idx="90">
                  <c:v>90.297197825804133</c:v>
                </c:pt>
                <c:pt idx="91">
                  <c:v>89.145491290746492</c:v>
                </c:pt>
                <c:pt idx="92">
                  <c:v>88.044522037966416</c:v>
                </c:pt>
                <c:pt idx="93">
                  <c:v>86.983034380378868</c:v>
                </c:pt>
                <c:pt idx="94">
                  <c:v>85.951303290138696</c:v>
                </c:pt>
                <c:pt idx="95">
                  <c:v>84.940760840051425</c:v>
                </c:pt>
                <c:pt idx="96">
                  <c:v>83.943703592996428</c:v>
                </c:pt>
                <c:pt idx="97">
                  <c:v>82.953057515038964</c:v>
                </c:pt>
                <c:pt idx="98">
                  <c:v>81.962183556568803</c:v>
                </c:pt>
                <c:pt idx="99">
                  <c:v>80.964711408918618</c:v>
                </c:pt>
                <c:pt idx="100">
                  <c:v>79.954391833180622</c:v>
                </c:pt>
              </c:numCache>
            </c:numRef>
          </c:val>
          <c:smooth val="0"/>
          <c:extLst>
            <c:ext xmlns:c16="http://schemas.microsoft.com/office/drawing/2014/chart" uri="{C3380CC4-5D6E-409C-BE32-E72D297353CC}">
              <c16:uniqueId val="{00000000-3B81-4204-928B-6CDC733DE792}"/>
            </c:ext>
          </c:extLst>
        </c:ser>
        <c:dLbls>
          <c:showLegendKey val="0"/>
          <c:showVal val="0"/>
          <c:showCatName val="0"/>
          <c:showSerName val="0"/>
          <c:showPercent val="0"/>
          <c:showBubbleSize val="0"/>
        </c:dLbls>
        <c:marker val="1"/>
        <c:smooth val="0"/>
        <c:axId val="451805952"/>
        <c:axId val="451807872"/>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8.6799999999999988E-7</c:v>
                </c:pt>
                <c:pt idx="1">
                  <c:v>5.2080000000000002</c:v>
                </c:pt>
                <c:pt idx="2">
                  <c:v>10.416</c:v>
                </c:pt>
                <c:pt idx="3">
                  <c:v>15.623999999999997</c:v>
                </c:pt>
                <c:pt idx="4">
                  <c:v>20.832000000000001</c:v>
                </c:pt>
                <c:pt idx="5">
                  <c:v>26.039999999999996</c:v>
                </c:pt>
                <c:pt idx="6">
                  <c:v>31.247999999999994</c:v>
                </c:pt>
                <c:pt idx="7">
                  <c:v>36.455999999999996</c:v>
                </c:pt>
                <c:pt idx="8">
                  <c:v>41.664000000000001</c:v>
                </c:pt>
                <c:pt idx="9">
                  <c:v>46.872</c:v>
                </c:pt>
                <c:pt idx="10">
                  <c:v>52.079999999999991</c:v>
                </c:pt>
                <c:pt idx="11">
                  <c:v>57.287999999999997</c:v>
                </c:pt>
                <c:pt idx="12">
                  <c:v>62.495999999999988</c:v>
                </c:pt>
                <c:pt idx="13">
                  <c:v>67.703999999999994</c:v>
                </c:pt>
                <c:pt idx="14">
                  <c:v>72.911999999999992</c:v>
                </c:pt>
                <c:pt idx="15">
                  <c:v>78.11999999999999</c:v>
                </c:pt>
                <c:pt idx="16">
                  <c:v>83.328000000000003</c:v>
                </c:pt>
                <c:pt idx="17">
                  <c:v>88.536000000000001</c:v>
                </c:pt>
                <c:pt idx="18">
                  <c:v>93.744</c:v>
                </c:pt>
                <c:pt idx="19">
                  <c:v>98.95199999999997</c:v>
                </c:pt>
                <c:pt idx="20">
                  <c:v>104.15999999999998</c:v>
                </c:pt>
                <c:pt idx="21">
                  <c:v>109.36800000000001</c:v>
                </c:pt>
                <c:pt idx="22">
                  <c:v>114.57599999999999</c:v>
                </c:pt>
                <c:pt idx="23">
                  <c:v>119.78400000000001</c:v>
                </c:pt>
                <c:pt idx="24">
                  <c:v>124.99199999999998</c:v>
                </c:pt>
                <c:pt idx="25">
                  <c:v>130.19999999999999</c:v>
                </c:pt>
                <c:pt idx="26">
                  <c:v>135.40799999999999</c:v>
                </c:pt>
                <c:pt idx="27">
                  <c:v>140.61599999999999</c:v>
                </c:pt>
                <c:pt idx="28">
                  <c:v>145.82399999999998</c:v>
                </c:pt>
                <c:pt idx="29">
                  <c:v>151.03199999999998</c:v>
                </c:pt>
                <c:pt idx="30">
                  <c:v>156.23999999999998</c:v>
                </c:pt>
                <c:pt idx="31">
                  <c:v>161.44799999999998</c:v>
                </c:pt>
                <c:pt idx="32">
                  <c:v>166.65600000000001</c:v>
                </c:pt>
                <c:pt idx="33">
                  <c:v>171.86399999999998</c:v>
                </c:pt>
                <c:pt idx="34">
                  <c:v>177.072</c:v>
                </c:pt>
                <c:pt idx="35">
                  <c:v>182.28</c:v>
                </c:pt>
                <c:pt idx="36">
                  <c:v>187.488</c:v>
                </c:pt>
                <c:pt idx="37">
                  <c:v>192.69599999999997</c:v>
                </c:pt>
                <c:pt idx="38">
                  <c:v>197.90399999999994</c:v>
                </c:pt>
                <c:pt idx="39">
                  <c:v>203.11199999999997</c:v>
                </c:pt>
                <c:pt idx="40">
                  <c:v>208.31999999999996</c:v>
                </c:pt>
                <c:pt idx="41">
                  <c:v>213.52799999999996</c:v>
                </c:pt>
                <c:pt idx="42">
                  <c:v>218.73600000000002</c:v>
                </c:pt>
                <c:pt idx="43">
                  <c:v>223.94399999999999</c:v>
                </c:pt>
                <c:pt idx="44">
                  <c:v>229.15199999999999</c:v>
                </c:pt>
                <c:pt idx="45">
                  <c:v>234.36</c:v>
                </c:pt>
                <c:pt idx="46">
                  <c:v>239.56800000000001</c:v>
                </c:pt>
                <c:pt idx="47">
                  <c:v>244.77599999999995</c:v>
                </c:pt>
                <c:pt idx="48">
                  <c:v>249.98399999999995</c:v>
                </c:pt>
                <c:pt idx="49">
                  <c:v>255.19199999999998</c:v>
                </c:pt>
                <c:pt idx="50">
                  <c:v>260.39999999999998</c:v>
                </c:pt>
                <c:pt idx="51">
                  <c:v>265.60799999999995</c:v>
                </c:pt>
                <c:pt idx="52">
                  <c:v>270.81599999999997</c:v>
                </c:pt>
                <c:pt idx="53">
                  <c:v>276.024</c:v>
                </c:pt>
                <c:pt idx="54">
                  <c:v>281.23199999999997</c:v>
                </c:pt>
                <c:pt idx="55">
                  <c:v>286.44</c:v>
                </c:pt>
                <c:pt idx="56">
                  <c:v>291.64799999999997</c:v>
                </c:pt>
                <c:pt idx="57">
                  <c:v>296.85599999999994</c:v>
                </c:pt>
                <c:pt idx="58">
                  <c:v>302.06399999999996</c:v>
                </c:pt>
                <c:pt idx="59">
                  <c:v>307.27199999999993</c:v>
                </c:pt>
                <c:pt idx="60">
                  <c:v>312.47999999999996</c:v>
                </c:pt>
                <c:pt idx="61">
                  <c:v>317.68799999999999</c:v>
                </c:pt>
                <c:pt idx="62">
                  <c:v>322.89599999999996</c:v>
                </c:pt>
                <c:pt idx="63">
                  <c:v>328.10399999999998</c:v>
                </c:pt>
                <c:pt idx="64">
                  <c:v>333.31200000000001</c:v>
                </c:pt>
                <c:pt idx="65">
                  <c:v>338.51999999999992</c:v>
                </c:pt>
                <c:pt idx="66">
                  <c:v>343.72799999999995</c:v>
                </c:pt>
                <c:pt idx="67">
                  <c:v>348.93599999999998</c:v>
                </c:pt>
                <c:pt idx="68">
                  <c:v>354.14400000000001</c:v>
                </c:pt>
                <c:pt idx="69">
                  <c:v>359.35199999999998</c:v>
                </c:pt>
                <c:pt idx="70">
                  <c:v>364.56</c:v>
                </c:pt>
                <c:pt idx="71">
                  <c:v>369.76799999999992</c:v>
                </c:pt>
                <c:pt idx="72">
                  <c:v>374.976</c:v>
                </c:pt>
                <c:pt idx="73">
                  <c:v>380.18399999999997</c:v>
                </c:pt>
                <c:pt idx="74">
                  <c:v>385.39199999999994</c:v>
                </c:pt>
                <c:pt idx="75">
                  <c:v>390.59999999999997</c:v>
                </c:pt>
                <c:pt idx="76">
                  <c:v>395.80799999999988</c:v>
                </c:pt>
                <c:pt idx="77">
                  <c:v>401.01599999999991</c:v>
                </c:pt>
                <c:pt idx="78">
                  <c:v>406.22399999999993</c:v>
                </c:pt>
                <c:pt idx="79">
                  <c:v>411.43199999999996</c:v>
                </c:pt>
                <c:pt idx="80">
                  <c:v>416.63999999999993</c:v>
                </c:pt>
                <c:pt idx="81">
                  <c:v>421.84799999999996</c:v>
                </c:pt>
                <c:pt idx="82">
                  <c:v>427.05599999999993</c:v>
                </c:pt>
                <c:pt idx="83">
                  <c:v>432.26400000000001</c:v>
                </c:pt>
                <c:pt idx="84">
                  <c:v>437.47200000000004</c:v>
                </c:pt>
                <c:pt idx="85">
                  <c:v>442.67999999999995</c:v>
                </c:pt>
                <c:pt idx="86">
                  <c:v>447.88799999999998</c:v>
                </c:pt>
                <c:pt idx="87">
                  <c:v>453.096</c:v>
                </c:pt>
                <c:pt idx="88">
                  <c:v>458.30399999999997</c:v>
                </c:pt>
                <c:pt idx="89">
                  <c:v>463.51200000000006</c:v>
                </c:pt>
                <c:pt idx="90">
                  <c:v>468.72</c:v>
                </c:pt>
                <c:pt idx="91">
                  <c:v>473.92799999999994</c:v>
                </c:pt>
                <c:pt idx="92">
                  <c:v>479.13600000000002</c:v>
                </c:pt>
                <c:pt idx="93">
                  <c:v>484.34399999999999</c:v>
                </c:pt>
                <c:pt idx="94">
                  <c:v>489.55199999999991</c:v>
                </c:pt>
                <c:pt idx="95">
                  <c:v>494.76</c:v>
                </c:pt>
                <c:pt idx="96">
                  <c:v>499.9679999999999</c:v>
                </c:pt>
                <c:pt idx="97">
                  <c:v>505.17599999999993</c:v>
                </c:pt>
                <c:pt idx="98">
                  <c:v>510.38399999999996</c:v>
                </c:pt>
                <c:pt idx="99">
                  <c:v>515.59199999999998</c:v>
                </c:pt>
                <c:pt idx="100">
                  <c:v>520.79999999999995</c:v>
                </c:pt>
              </c:numCache>
            </c:numRef>
          </c:val>
          <c:smooth val="0"/>
          <c:extLst>
            <c:ext xmlns:c16="http://schemas.microsoft.com/office/drawing/2014/chart" uri="{C3380CC4-5D6E-409C-BE32-E72D297353CC}">
              <c16:uniqueId val="{00000001-3B81-4204-928B-6CDC733DE792}"/>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96.36505223804545</c:v>
                </c:pt>
                <c:pt idx="1">
                  <c:v>186.96132051381579</c:v>
                </c:pt>
                <c:pt idx="2">
                  <c:v>376.64728336929551</c:v>
                </c:pt>
                <c:pt idx="3">
                  <c:v>569.11788627049123</c:v>
                </c:pt>
                <c:pt idx="4">
                  <c:v>764.43490151147216</c:v>
                </c:pt>
                <c:pt idx="5">
                  <c:v>962.66194207529838</c:v>
                </c:pt>
                <c:pt idx="6">
                  <c:v>1163.8645307095974</c:v>
                </c:pt>
                <c:pt idx="7">
                  <c:v>1368.1101721362986</c:v>
                </c:pt>
                <c:pt idx="8">
                  <c:v>1575.468428562704</c:v>
                </c:pt>
                <c:pt idx="9">
                  <c:v>1786.010998671341</c:v>
                </c:pt>
                <c:pt idx="10">
                  <c:v>1999.8118002770027</c:v>
                </c:pt>
                <c:pt idx="11">
                  <c:v>2216.9470568511824</c:v>
                </c:pt>
                <c:pt idx="12">
                  <c:v>2437.4953881266306</c:v>
                </c:pt>
                <c:pt idx="13">
                  <c:v>2661.5379050083293</c:v>
                </c:pt>
                <c:pt idx="14">
                  <c:v>2889.1583090315353</c:v>
                </c:pt>
                <c:pt idx="15">
                  <c:v>3120.4429966231291</c:v>
                </c:pt>
                <c:pt idx="16">
                  <c:v>3317.7984625497697</c:v>
                </c:pt>
                <c:pt idx="17">
                  <c:v>3511.2131097981983</c:v>
                </c:pt>
                <c:pt idx="18">
                  <c:v>3711.1903610778941</c:v>
                </c:pt>
                <c:pt idx="19">
                  <c:v>3918.3557742495618</c:v>
                </c:pt>
                <c:pt idx="20">
                  <c:v>4133.3623073964791</c:v>
                </c:pt>
                <c:pt idx="21">
                  <c:v>4356.8987143423255</c:v>
                </c:pt>
                <c:pt idx="22">
                  <c:v>4589.6979561742373</c:v>
                </c:pt>
                <c:pt idx="23">
                  <c:v>4832.5459293879067</c:v>
                </c:pt>
                <c:pt idx="24">
                  <c:v>5086.2907843447229</c:v>
                </c:pt>
                <c:pt idx="25">
                  <c:v>5351.8531021281342</c:v>
                </c:pt>
                <c:pt idx="26">
                  <c:v>5630.2372095998126</c:v>
                </c:pt>
                <c:pt idx="27">
                  <c:v>5922.5439398594381</c:v>
                </c:pt>
                <c:pt idx="28">
                  <c:v>6229.9851885270045</c:v>
                </c:pt>
                <c:pt idx="29">
                  <c:v>6553.9006768944409</c:v>
                </c:pt>
                <c:pt idx="30">
                  <c:v>6895.7774140910997</c:v>
                </c:pt>
                <c:pt idx="31">
                  <c:v>7257.2724566659617</c:v>
                </c:pt>
                <c:pt idx="32">
                  <c:v>7640.2397021113475</c:v>
                </c:pt>
                <c:pt idx="33">
                  <c:v>8046.7616321688574</c:v>
                </c:pt>
                <c:pt idx="34">
                  <c:v>8479.187155152722</c:v>
                </c:pt>
                <c:pt idx="35">
                  <c:v>8940.1770018076513</c:v>
                </c:pt>
                <c:pt idx="36">
                  <c:v>9432.7585311285366</c:v>
                </c:pt>
                <c:pt idx="37">
                  <c:v>9960.3923357530894</c:v>
                </c:pt>
                <c:pt idx="38">
                  <c:v>10527.053749968582</c:v>
                </c:pt>
                <c:pt idx="39">
                  <c:v>11137.333327022157</c:v>
                </c:pt>
                <c:pt idx="40">
                  <c:v>11796.561667445174</c:v>
                </c:pt>
                <c:pt idx="41">
                  <c:v>12510.96579461014</c:v>
                </c:pt>
                <c:pt idx="42">
                  <c:v>13287.866807606668</c:v>
                </c:pt>
                <c:pt idx="43">
                  <c:v>14135.932126051386</c:v>
                </c:pt>
                <c:pt idx="44">
                  <c:v>15065.500783915617</c:v>
                </c:pt>
                <c:pt idx="45">
                  <c:v>16089.00772026945</c:v>
                </c:pt>
                <c:pt idx="46">
                  <c:v>17221.544109117222</c:v>
                </c:pt>
                <c:pt idx="47">
                  <c:v>18481.607502946481</c:v>
                </c:pt>
                <c:pt idx="48">
                  <c:v>19892.121309390866</c:v>
                </c:pt>
                <c:pt idx="49">
                  <c:v>21481.843614280555</c:v>
                </c:pt>
                <c:pt idx="50">
                  <c:v>23287.350634064613</c:v>
                </c:pt>
                <c:pt idx="51">
                  <c:v>25355.888197832439</c:v>
                </c:pt>
                <c:pt idx="52">
                  <c:v>27749.569336303925</c:v>
                </c:pt>
                <c:pt idx="53">
                  <c:v>30551.722673599572</c:v>
                </c:pt>
                <c:pt idx="54">
                  <c:v>33876.797412173379</c:v>
                </c:pt>
                <c:pt idx="55">
                  <c:v>37886.388953395377</c:v>
                </c:pt>
                <c:pt idx="56">
                  <c:v>42816.304301078824</c:v>
                </c:pt>
                <c:pt idx="57">
                  <c:v>49024.69074437776</c:v>
                </c:pt>
                <c:pt idx="58">
                  <c:v>57083.202306528263</c:v>
                </c:pt>
                <c:pt idx="59">
                  <c:v>67963.967249096677</c:v>
                </c:pt>
                <c:pt idx="60">
                  <c:v>83464.744149803359</c:v>
                </c:pt>
                <c:pt idx="61">
                  <c:v>107321.71112928088</c:v>
                </c:pt>
                <c:pt idx="62">
                  <c:v>148786.23647818415</c:v>
                </c:pt>
                <c:pt idx="63">
                  <c:v>201257.79860533157</c:v>
                </c:pt>
                <c:pt idx="64">
                  <c:v>246632.00607445187</c:v>
                </c:pt>
                <c:pt idx="65">
                  <c:v>317406.88420262729</c:v>
                </c:pt>
                <c:pt idx="66">
                  <c:v>443198.81233351142</c:v>
                </c:pt>
                <c:pt idx="67">
                  <c:v>728938.03204928723</c:v>
                </c:pt>
                <c:pt idx="68">
                  <c:v>-569067.40398627182</c:v>
                </c:pt>
                <c:pt idx="69">
                  <c:v>-202277.7977051099</c:v>
                </c:pt>
                <c:pt idx="70">
                  <c:v>-121811.13326719948</c:v>
                </c:pt>
                <c:pt idx="71">
                  <c:v>-87412.712890318391</c:v>
                </c:pt>
                <c:pt idx="72">
                  <c:v>-68508.712454793204</c:v>
                </c:pt>
                <c:pt idx="73">
                  <c:v>-56688.590740374588</c:v>
                </c:pt>
                <c:pt idx="74">
                  <c:v>-48480.649649036823</c:v>
                </c:pt>
                <c:pt idx="75">
                  <c:v>-42450.1496097614</c:v>
                </c:pt>
                <c:pt idx="76">
                  <c:v>-37833.312993170097</c:v>
                </c:pt>
                <c:pt idx="77">
                  <c:v>-34186.15805077074</c:v>
                </c:pt>
                <c:pt idx="78">
                  <c:v>-31232.98489123959</c:v>
                </c:pt>
                <c:pt idx="79">
                  <c:v>-28793.547266907561</c:v>
                </c:pt>
                <c:pt idx="80">
                  <c:v>-26745.033357069769</c:v>
                </c:pt>
                <c:pt idx="81">
                  <c:v>-25000.877475609981</c:v>
                </c:pt>
                <c:pt idx="82">
                  <c:v>-23498.307210959567</c:v>
                </c:pt>
                <c:pt idx="83">
                  <c:v>-22190.694494659638</c:v>
                </c:pt>
                <c:pt idx="84">
                  <c:v>-21042.67913579887</c:v>
                </c:pt>
                <c:pt idx="85">
                  <c:v>-20026.959205148443</c:v>
                </c:pt>
                <c:pt idx="86">
                  <c:v>-19122.119382505563</c:v>
                </c:pt>
                <c:pt idx="87">
                  <c:v>-18311.125681612531</c:v>
                </c:pt>
                <c:pt idx="88">
                  <c:v>-17580.259599691992</c:v>
                </c:pt>
                <c:pt idx="89">
                  <c:v>-16918.348977247882</c:v>
                </c:pt>
                <c:pt idx="90">
                  <c:v>-16316.20347663895</c:v>
                </c:pt>
                <c:pt idx="91">
                  <c:v>-15766.193867224192</c:v>
                </c:pt>
                <c:pt idx="92">
                  <c:v>-15261.934118779649</c:v>
                </c:pt>
                <c:pt idx="93">
                  <c:v>-14798.03814024603</c:v>
                </c:pt>
                <c:pt idx="94">
                  <c:v>-14369.931485803365</c:v>
                </c:pt>
                <c:pt idx="95">
                  <c:v>-13973.704063694902</c:v>
                </c:pt>
                <c:pt idx="96">
                  <c:v>-13605.993795778491</c:v>
                </c:pt>
                <c:pt idx="97">
                  <c:v>-13263.893896833819</c:v>
                </c:pt>
                <c:pt idx="98">
                  <c:v>-12944.878362173149</c:v>
                </c:pt>
                <c:pt idx="99">
                  <c:v>-12646.741624115351</c:v>
                </c:pt>
                <c:pt idx="100">
                  <c:v>-12367.54933057677</c:v>
                </c:pt>
              </c:numCache>
            </c:numRef>
          </c:val>
          <c:smooth val="0"/>
          <c:extLst>
            <c:ext xmlns:c16="http://schemas.microsoft.com/office/drawing/2014/chart" uri="{C3380CC4-5D6E-409C-BE32-E72D297353CC}">
              <c16:uniqueId val="{00000002-3B81-4204-928B-6CDC733DE792}"/>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72.942693809047654</c:v>
                </c:pt>
                <c:pt idx="1">
                  <c:v>151.26409457461077</c:v>
                </c:pt>
                <c:pt idx="2">
                  <c:v>297.17293758991065</c:v>
                </c:pt>
                <c:pt idx="3">
                  <c:v>443.2404618762472</c:v>
                </c:pt>
                <c:pt idx="4">
                  <c:v>589.46753523168297</c:v>
                </c:pt>
                <c:pt idx="5">
                  <c:v>735.85503179360217</c:v>
                </c:pt>
                <c:pt idx="6">
                  <c:v>882.40383209670392</c:v>
                </c:pt>
                <c:pt idx="7">
                  <c:v>1029.1148231316326</c:v>
                </c:pt>
                <c:pt idx="8">
                  <c:v>1175.9888984042534</c:v>
                </c:pt>
                <c:pt idx="9">
                  <c:v>1323.0269579955818</c:v>
                </c:pt>
                <c:pt idx="10">
                  <c:v>1470.2299086223793</c:v>
                </c:pt>
                <c:pt idx="11">
                  <c:v>1617.5986636984167</c:v>
                </c:pt>
                <c:pt idx="12">
                  <c:v>1765.1341433964162</c:v>
                </c:pt>
                <c:pt idx="13">
                  <c:v>1912.8372747106903</c:v>
                </c:pt>
                <c:pt idx="14">
                  <c:v>2060.7089915204665</c:v>
                </c:pt>
                <c:pt idx="15">
                  <c:v>2208.7502346539304</c:v>
                </c:pt>
                <c:pt idx="16">
                  <c:v>2370.26745073951</c:v>
                </c:pt>
                <c:pt idx="17">
                  <c:v>2536.9629118022449</c:v>
                </c:pt>
                <c:pt idx="18">
                  <c:v>2705.5809704708381</c:v>
                </c:pt>
                <c:pt idx="19">
                  <c:v>2876.1194329503214</c:v>
                </c:pt>
                <c:pt idx="20">
                  <c:v>3048.5796563297863</c:v>
                </c:pt>
                <c:pt idx="21">
                  <c:v>3222.9662266289301</c:v>
                </c:pt>
                <c:pt idx="22">
                  <c:v>3399.2866983264144</c:v>
                </c:pt>
                <c:pt idx="23">
                  <c:v>3577.5513829257984</c:v>
                </c:pt>
                <c:pt idx="24">
                  <c:v>3757.7731771601907</c:v>
                </c:pt>
                <c:pt idx="25">
                  <c:v>3939.9674236464293</c:v>
                </c:pt>
                <c:pt idx="26">
                  <c:v>4124.1517984277889</c:v>
                </c:pt>
                <c:pt idx="27">
                  <c:v>4310.3462210614171</c:v>
                </c:pt>
                <c:pt idx="28">
                  <c:v>4498.572783828411</c:v>
                </c:pt>
                <c:pt idx="29">
                  <c:v>4688.8556973512395</c:v>
                </c:pt>
                <c:pt idx="30">
                  <c:v>4881.2212504512863</c:v>
                </c:pt>
                <c:pt idx="31">
                  <c:v>5075.697782509118</c:v>
                </c:pt>
                <c:pt idx="32">
                  <c:v>5272.3156669305417</c:v>
                </c:pt>
                <c:pt idx="33">
                  <c:v>5471.1073045942676</c:v>
                </c:pt>
                <c:pt idx="34">
                  <c:v>5672.1071263773019</c:v>
                </c:pt>
                <c:pt idx="35">
                  <c:v>5875.3516040344994</c:v>
                </c:pt>
                <c:pt idx="36">
                  <c:v>6080.8792688573276</c:v>
                </c:pt>
                <c:pt idx="37">
                  <c:v>6288.730737661007</c:v>
                </c:pt>
                <c:pt idx="38">
                  <c:v>6498.9487457539926</c:v>
                </c:pt>
                <c:pt idx="39">
                  <c:v>6711.5781866332663</c:v>
                </c:pt>
                <c:pt idx="40">
                  <c:v>6926.6661582262705</c:v>
                </c:pt>
                <c:pt idx="41">
                  <c:v>7144.2620155683298</c:v>
                </c:pt>
                <c:pt idx="42">
                  <c:v>7364.4174298647877</c:v>
                </c:pt>
                <c:pt idx="43">
                  <c:v>7587.1864539417029</c:v>
                </c:pt>
                <c:pt idx="44">
                  <c:v>7812.6255941391146</c:v>
                </c:pt>
                <c:pt idx="45">
                  <c:v>8040.7938887476166</c:v>
                </c:pt>
                <c:pt idx="46">
                  <c:v>8271.7529931332992</c:v>
                </c:pt>
                <c:pt idx="47">
                  <c:v>8505.5672717388898</c:v>
                </c:pt>
                <c:pt idx="48">
                  <c:v>8742.3038971906226</c:v>
                </c:pt>
                <c:pt idx="49">
                  <c:v>8982.0329567818899</c:v>
                </c:pt>
                <c:pt idx="50">
                  <c:v>9224.8275666464287</c:v>
                </c:pt>
                <c:pt idx="51">
                  <c:v>9470.7639939762284</c:v>
                </c:pt>
                <c:pt idx="52">
                  <c:v>9719.9217876830062</c:v>
                </c:pt>
                <c:pt idx="53">
                  <c:v>9972.3839179477272</c:v>
                </c:pt>
                <c:pt idx="54">
                  <c:v>10228.236925149833</c:v>
                </c:pt>
                <c:pt idx="55">
                  <c:v>10487.571078718516</c:v>
                </c:pt>
                <c:pt idx="56">
                  <c:v>10750.480546501312</c:v>
                </c:pt>
                <c:pt idx="57">
                  <c:v>11017.063575302525</c:v>
                </c:pt>
                <c:pt idx="58">
                  <c:v>11287.422683304891</c:v>
                </c:pt>
                <c:pt idx="59">
                  <c:v>11561.66486515372</c:v>
                </c:pt>
                <c:pt idx="60">
                  <c:v>11839.901810553865</c:v>
                </c:pt>
                <c:pt idx="61">
                  <c:v>12122.250137306843</c:v>
                </c:pt>
                <c:pt idx="62">
                  <c:v>12408.831639799084</c:v>
                </c:pt>
                <c:pt idx="63">
                  <c:v>12599.754919951041</c:v>
                </c:pt>
                <c:pt idx="64">
                  <c:v>12687.2260018737</c:v>
                </c:pt>
                <c:pt idx="65">
                  <c:v>12774.471329212511</c:v>
                </c:pt>
                <c:pt idx="66">
                  <c:v>12861.506015837094</c:v>
                </c:pt>
                <c:pt idx="67">
                  <c:v>12948.344453798796</c:v>
                </c:pt>
                <c:pt idx="68">
                  <c:v>13295.305335546545</c:v>
                </c:pt>
                <c:pt idx="69">
                  <c:v>13665.209470652697</c:v>
                </c:pt>
                <c:pt idx="70">
                  <c:v>14057.292511206164</c:v>
                </c:pt>
                <c:pt idx="71">
                  <c:v>14463.640838705105</c:v>
                </c:pt>
                <c:pt idx="72">
                  <c:v>14881.535478081209</c:v>
                </c:pt>
                <c:pt idx="73">
                  <c:v>15307.38618085185</c:v>
                </c:pt>
                <c:pt idx="74">
                  <c:v>15747.00942379552</c:v>
                </c:pt>
                <c:pt idx="75">
                  <c:v>16201.214577389188</c:v>
                </c:pt>
                <c:pt idx="76">
                  <c:v>16670.877313570196</c:v>
                </c:pt>
                <c:pt idx="77">
                  <c:v>17156.946493389194</c:v>
                </c:pt>
                <c:pt idx="78">
                  <c:v>17660.45193310078</c:v>
                </c:pt>
                <c:pt idx="79">
                  <c:v>18182.513182149862</c:v>
                </c:pt>
                <c:pt idx="80">
                  <c:v>18724.349470205303</c:v>
                </c:pt>
                <c:pt idx="81">
                  <c:v>19287.291008923454</c:v>
                </c:pt>
                <c:pt idx="82">
                  <c:v>19872.791868619606</c:v>
                </c:pt>
                <c:pt idx="83">
                  <c:v>20482.444691899087</c:v>
                </c:pt>
                <c:pt idx="84">
                  <c:v>21117.997557350933</c:v>
                </c:pt>
                <c:pt idx="85">
                  <c:v>21781.373368926117</c:v>
                </c:pt>
                <c:pt idx="86">
                  <c:v>22474.692223543436</c:v>
                </c:pt>
                <c:pt idx="87">
                  <c:v>23200.297304573716</c:v>
                </c:pt>
                <c:pt idx="88">
                  <c:v>23960.784967054726</c:v>
                </c:pt>
                <c:pt idx="89">
                  <c:v>24759.039828184592</c:v>
                </c:pt>
                <c:pt idx="90">
                  <c:v>25598.275862246923</c:v>
                </c:pt>
                <c:pt idx="91">
                  <c:v>26482.084733758271</c:v>
                </c:pt>
                <c:pt idx="92">
                  <c:v>27414.492901133373</c:v>
                </c:pt>
                <c:pt idx="93">
                  <c:v>28400.029405446181</c:v>
                </c:pt>
                <c:pt idx="94">
                  <c:v>29443.806751899119</c:v>
                </c:pt>
                <c:pt idx="95">
                  <c:v>30551.617932229128</c:v>
                </c:pt>
                <c:pt idx="96">
                  <c:v>31730.053475257235</c:v>
                </c:pt>
                <c:pt idx="97">
                  <c:v>32986.643520799546</c:v>
                </c:pt>
                <c:pt idx="98">
                  <c:v>34330.031388605305</c:v>
                </c:pt>
                <c:pt idx="99">
                  <c:v>35770.187100213487</c:v>
                </c:pt>
                <c:pt idx="100">
                  <c:v>37318.672010999537</c:v>
                </c:pt>
              </c:numCache>
            </c:numRef>
          </c:val>
          <c:smooth val="0"/>
          <c:extLst>
            <c:ext xmlns:c16="http://schemas.microsoft.com/office/drawing/2014/chart" uri="{C3380CC4-5D6E-409C-BE32-E72D297353CC}">
              <c16:uniqueId val="{00000003-3B81-4204-928B-6CDC733DE792}"/>
            </c:ext>
          </c:extLst>
        </c:ser>
        <c:dLbls>
          <c:showLegendKey val="0"/>
          <c:showVal val="0"/>
          <c:showCatName val="0"/>
          <c:showSerName val="0"/>
          <c:showPercent val="0"/>
          <c:showBubbleSize val="0"/>
        </c:dLbls>
        <c:marker val="1"/>
        <c:smooth val="0"/>
        <c:axId val="451820160"/>
        <c:axId val="451818240"/>
      </c:lineChart>
      <c:catAx>
        <c:axId val="451805952"/>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807872"/>
        <c:crosses val="autoZero"/>
        <c:auto val="1"/>
        <c:lblAlgn val="ctr"/>
        <c:lblOffset val="100"/>
        <c:tickLblSkip val="20"/>
        <c:tickMarkSkip val="20"/>
        <c:noMultiLvlLbl val="0"/>
      </c:catAx>
      <c:valAx>
        <c:axId val="451807872"/>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05952"/>
        <c:crossesAt val="0"/>
        <c:crossBetween val="between"/>
        <c:majorUnit val="5"/>
        <c:minorUnit val="2.5"/>
      </c:valAx>
      <c:valAx>
        <c:axId val="45181824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820160"/>
        <c:crosses val="max"/>
        <c:crossBetween val="between"/>
      </c:valAx>
      <c:catAx>
        <c:axId val="451820160"/>
        <c:scaling>
          <c:orientation val="minMax"/>
        </c:scaling>
        <c:delete val="1"/>
        <c:axPos val="b"/>
        <c:numFmt formatCode="General" sourceLinked="1"/>
        <c:majorTickMark val="out"/>
        <c:minorTickMark val="none"/>
        <c:tickLblPos val="nextTo"/>
        <c:crossAx val="45181824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1.195943181888036E-4</c:v>
                </c:pt>
                <c:pt idx="1">
                  <c:v>70.874336591381152</c:v>
                </c:pt>
                <c:pt idx="2">
                  <c:v>63.591962502130492</c:v>
                </c:pt>
                <c:pt idx="3">
                  <c:v>56.039794046062454</c:v>
                </c:pt>
                <c:pt idx="4">
                  <c:v>49.103024913949547</c:v>
                </c:pt>
                <c:pt idx="5">
                  <c:v>43.039575240804545</c:v>
                </c:pt>
                <c:pt idx="6">
                  <c:v>37.854564606610573</c:v>
                </c:pt>
                <c:pt idx="7">
                  <c:v>33.458560093399065</c:v>
                </c:pt>
                <c:pt idx="8">
                  <c:v>29.737254877613122</c:v>
                </c:pt>
                <c:pt idx="9">
                  <c:v>26.580047523964108</c:v>
                </c:pt>
                <c:pt idx="10">
                  <c:v>23.890022201612275</c:v>
                </c:pt>
                <c:pt idx="11">
                  <c:v>21.585948534420552</c:v>
                </c:pt>
                <c:pt idx="12">
                  <c:v>19.601158428146881</c:v>
                </c:pt>
                <c:pt idx="13">
                  <c:v>17.881438421474666</c:v>
                </c:pt>
                <c:pt idx="14">
                  <c:v>16.382826331267754</c:v>
                </c:pt>
                <c:pt idx="15">
                  <c:v>15.830584317255273</c:v>
                </c:pt>
                <c:pt idx="16">
                  <c:v>15.590486763586178</c:v>
                </c:pt>
                <c:pt idx="17">
                  <c:v>15.362459231666618</c:v>
                </c:pt>
                <c:pt idx="18">
                  <c:v>15.145018149352222</c:v>
                </c:pt>
                <c:pt idx="19">
                  <c:v>14.936917332194961</c:v>
                </c:pt>
                <c:pt idx="20">
                  <c:v>14.737099854171326</c:v>
                </c:pt>
                <c:pt idx="21">
                  <c:v>14.544661362684701</c:v>
                </c:pt>
                <c:pt idx="22">
                  <c:v>14.358821716888089</c:v>
                </c:pt>
                <c:pt idx="23">
                  <c:v>14.178902772730964</c:v>
                </c:pt>
                <c:pt idx="24">
                  <c:v>14.004310769334067</c:v>
                </c:pt>
                <c:pt idx="25">
                  <c:v>13.834522201174082</c:v>
                </c:pt>
                <c:pt idx="26">
                  <c:v>13.669072358267357</c:v>
                </c:pt>
                <c:pt idx="27">
                  <c:v>13.507545925767422</c:v>
                </c:pt>
                <c:pt idx="28">
                  <c:v>13.349569183284594</c:v>
                </c:pt>
                <c:pt idx="29">
                  <c:v>13.194803451232302</c:v>
                </c:pt>
                <c:pt idx="30">
                  <c:v>13.042939508857131</c:v>
                </c:pt>
                <c:pt idx="31">
                  <c:v>12.893692764530776</c:v>
                </c:pt>
                <c:pt idx="32">
                  <c:v>12.746798998892835</c:v>
                </c:pt>
                <c:pt idx="33">
                  <c:v>12.602010529199269</c:v>
                </c:pt>
                <c:pt idx="34">
                  <c:v>12.459092661075461</c:v>
                </c:pt>
                <c:pt idx="35">
                  <c:v>12.31782030308122</c:v>
                </c:pt>
                <c:pt idx="36">
                  <c:v>12.177974620457018</c:v>
                </c:pt>
                <c:pt idx="37">
                  <c:v>12.039339596629759</c:v>
                </c:pt>
                <c:pt idx="38">
                  <c:v>11.901698352971463</c:v>
                </c:pt>
                <c:pt idx="39">
                  <c:v>11.764829046019619</c:v>
                </c:pt>
                <c:pt idx="40">
                  <c:v>11.628500112011036</c:v>
                </c:pt>
                <c:pt idx="41">
                  <c:v>11.492464553266339</c:v>
                </c:pt>
                <c:pt idx="42">
                  <c:v>11.356452846999963</c:v>
                </c:pt>
                <c:pt idx="43">
                  <c:v>11.220163883919062</c:v>
                </c:pt>
                <c:pt idx="44">
                  <c:v>11.083253077516989</c:v>
                </c:pt>
                <c:pt idx="45">
                  <c:v>10.945316367950696</c:v>
                </c:pt>
                <c:pt idx="46">
                  <c:v>10.805868177740365</c:v>
                </c:pt>
                <c:pt idx="47">
                  <c:v>10.664310283972165</c:v>
                </c:pt>
                <c:pt idx="48">
                  <c:v>10.519886729251342</c:v>
                </c:pt>
                <c:pt idx="49">
                  <c:v>10.371616683639711</c:v>
                </c:pt>
                <c:pt idx="50">
                  <c:v>10.218191364233885</c:v>
                </c:pt>
                <c:pt idx="51">
                  <c:v>10.057810157055679</c:v>
                </c:pt>
                <c:pt idx="52">
                  <c:v>9.8879093229281008</c:v>
                </c:pt>
                <c:pt idx="53">
                  <c:v>9.7046908276553676</c:v>
                </c:pt>
                <c:pt idx="54">
                  <c:v>9.5022551696184028</c:v>
                </c:pt>
                <c:pt idx="55">
                  <c:v>9.2708863266319081</c:v>
                </c:pt>
                <c:pt idx="56">
                  <c:v>8.9933329271933804</c:v>
                </c:pt>
                <c:pt idx="57">
                  <c:v>8.6356933475300792</c:v>
                </c:pt>
                <c:pt idx="58">
                  <c:v>8.1208553769780689</c:v>
                </c:pt>
                <c:pt idx="59">
                  <c:v>7.709867934100247</c:v>
                </c:pt>
                <c:pt idx="60">
                  <c:v>7.4967900960398843</c:v>
                </c:pt>
                <c:pt idx="61">
                  <c:v>7.0809340673281245</c:v>
                </c:pt>
                <c:pt idx="62">
                  <c:v>6.312579355755461</c:v>
                </c:pt>
                <c:pt idx="63">
                  <c:v>2.3085827307280979</c:v>
                </c:pt>
                <c:pt idx="64">
                  <c:v>23.118114250400364</c:v>
                </c:pt>
                <c:pt idx="65">
                  <c:v>14.764069401776975</c:v>
                </c:pt>
                <c:pt idx="66">
                  <c:v>13.302044295166668</c:v>
                </c:pt>
                <c:pt idx="67">
                  <c:v>12.692514294216739</c:v>
                </c:pt>
                <c:pt idx="68">
                  <c:v>12.353951112229232</c:v>
                </c:pt>
                <c:pt idx="69">
                  <c:v>12.129516414908451</c:v>
                </c:pt>
                <c:pt idx="70">
                  <c:v>11.968306667245917</c:v>
                </c:pt>
                <c:pt idx="71">
                  <c:v>11.841639085054007</c:v>
                </c:pt>
                <c:pt idx="72">
                  <c:v>11.734594120224809</c:v>
                </c:pt>
                <c:pt idx="73">
                  <c:v>11.63861513368979</c:v>
                </c:pt>
                <c:pt idx="74">
                  <c:v>11.548410626346136</c:v>
                </c:pt>
                <c:pt idx="75">
                  <c:v>11.460504262525781</c:v>
                </c:pt>
                <c:pt idx="76">
                  <c:v>11.372493279475172</c:v>
                </c:pt>
                <c:pt idx="77">
                  <c:v>11.282641840301208</c:v>
                </c:pt>
                <c:pt idx="78">
                  <c:v>11.189645118309553</c:v>
                </c:pt>
                <c:pt idx="79">
                  <c:v>11.09248588243117</c:v>
                </c:pt>
                <c:pt idx="80">
                  <c:v>10.990343798315623</c:v>
                </c:pt>
                <c:pt idx="81">
                  <c:v>10.882536079567666</c:v>
                </c:pt>
                <c:pt idx="82">
                  <c:v>10.768477473900907</c:v>
                </c:pt>
                <c:pt idx="83">
                  <c:v>10.647652554147768</c:v>
                </c:pt>
                <c:pt idx="84">
                  <c:v>10.519596056668847</c:v>
                </c:pt>
                <c:pt idx="85">
                  <c:v>10.383878609542524</c:v>
                </c:pt>
                <c:pt idx="86">
                  <c:v>10.240096146385016</c:v>
                </c:pt>
                <c:pt idx="87">
                  <c:v>10.087861886417816</c:v>
                </c:pt>
                <c:pt idx="88">
                  <c:v>9.9268001293068053</c:v>
                </c:pt>
                <c:pt idx="89">
                  <c:v>9.7565413501362297</c:v>
                </c:pt>
                <c:pt idx="90">
                  <c:v>9.5767182355085918</c:v>
                </c:pt>
                <c:pt idx="91">
                  <c:v>9.386962405944173</c:v>
                </c:pt>
                <c:pt idx="92">
                  <c:v>9.1869016406713833</c:v>
                </c:pt>
                <c:pt idx="93">
                  <c:v>8.9761574698994409</c:v>
                </c:pt>
                <c:pt idx="94">
                  <c:v>8.7543430339762764</c:v>
                </c:pt>
                <c:pt idx="95">
                  <c:v>8.5210611331359232</c:v>
                </c:pt>
                <c:pt idx="96">
                  <c:v>8.2759024089185615</c:v>
                </c:pt>
                <c:pt idx="97">
                  <c:v>8.018443610864292</c:v>
                </c:pt>
                <c:pt idx="98">
                  <c:v>7.748245911139036</c:v>
                </c:pt>
                <c:pt idx="99">
                  <c:v>7.4648532363068041</c:v>
                </c:pt>
                <c:pt idx="100">
                  <c:v>7.1673601049098767</c:v>
                </c:pt>
              </c:numCache>
            </c:numRef>
          </c:val>
          <c:smooth val="0"/>
          <c:extLst>
            <c:ext xmlns:c16="http://schemas.microsoft.com/office/drawing/2014/chart" uri="{C3380CC4-5D6E-409C-BE32-E72D297353CC}">
              <c16:uniqueId val="{00000000-F0EA-4A0C-859E-C3182CAF915C}"/>
            </c:ext>
          </c:extLst>
        </c:ser>
        <c:dLbls>
          <c:showLegendKey val="0"/>
          <c:showVal val="0"/>
          <c:showCatName val="0"/>
          <c:showSerName val="0"/>
          <c:showPercent val="0"/>
          <c:showBubbleSize val="0"/>
        </c:dLbls>
        <c:marker val="1"/>
        <c:smooth val="0"/>
        <c:axId val="451868928"/>
        <c:axId val="451223936"/>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1.7359999999999998E-6</c:v>
                </c:pt>
                <c:pt idx="1">
                  <c:v>9.548</c:v>
                </c:pt>
                <c:pt idx="2">
                  <c:v>19.096</c:v>
                </c:pt>
                <c:pt idx="3">
                  <c:v>28.643999999999995</c:v>
                </c:pt>
                <c:pt idx="4">
                  <c:v>38.192</c:v>
                </c:pt>
                <c:pt idx="5">
                  <c:v>47.739999999999988</c:v>
                </c:pt>
                <c:pt idx="6">
                  <c:v>57.28799999999999</c:v>
                </c:pt>
                <c:pt idx="7">
                  <c:v>66.835999999999999</c:v>
                </c:pt>
                <c:pt idx="8">
                  <c:v>76.384</c:v>
                </c:pt>
                <c:pt idx="9">
                  <c:v>85.931999999999988</c:v>
                </c:pt>
                <c:pt idx="10">
                  <c:v>95.479999999999976</c:v>
                </c:pt>
                <c:pt idx="11">
                  <c:v>105.02799999999999</c:v>
                </c:pt>
                <c:pt idx="12">
                  <c:v>114.57599999999998</c:v>
                </c:pt>
                <c:pt idx="13">
                  <c:v>124.124</c:v>
                </c:pt>
                <c:pt idx="14">
                  <c:v>133.672</c:v>
                </c:pt>
                <c:pt idx="15">
                  <c:v>143.22</c:v>
                </c:pt>
                <c:pt idx="16">
                  <c:v>152.768</c:v>
                </c:pt>
                <c:pt idx="17">
                  <c:v>162.316</c:v>
                </c:pt>
                <c:pt idx="18">
                  <c:v>171.86399999999998</c:v>
                </c:pt>
                <c:pt idx="19">
                  <c:v>181.41199999999995</c:v>
                </c:pt>
                <c:pt idx="20">
                  <c:v>190.95999999999995</c:v>
                </c:pt>
                <c:pt idx="21">
                  <c:v>200.50800000000001</c:v>
                </c:pt>
                <c:pt idx="22">
                  <c:v>210.05599999999998</c:v>
                </c:pt>
                <c:pt idx="23">
                  <c:v>219.60400000000001</c:v>
                </c:pt>
                <c:pt idx="24">
                  <c:v>229.15199999999996</c:v>
                </c:pt>
                <c:pt idx="25">
                  <c:v>238.69999999999996</c:v>
                </c:pt>
                <c:pt idx="26">
                  <c:v>248.24799999999999</c:v>
                </c:pt>
                <c:pt idx="27">
                  <c:v>257.79600000000005</c:v>
                </c:pt>
                <c:pt idx="28">
                  <c:v>267.34399999999999</c:v>
                </c:pt>
                <c:pt idx="29">
                  <c:v>276.892</c:v>
                </c:pt>
                <c:pt idx="30">
                  <c:v>286.44</c:v>
                </c:pt>
                <c:pt idx="31">
                  <c:v>295.988</c:v>
                </c:pt>
                <c:pt idx="32">
                  <c:v>305.536</c:v>
                </c:pt>
                <c:pt idx="33">
                  <c:v>315.084</c:v>
                </c:pt>
                <c:pt idx="34">
                  <c:v>324.63200000000001</c:v>
                </c:pt>
                <c:pt idx="35">
                  <c:v>334.17999999999995</c:v>
                </c:pt>
                <c:pt idx="36">
                  <c:v>343.72799999999995</c:v>
                </c:pt>
                <c:pt idx="37">
                  <c:v>353.27599999999995</c:v>
                </c:pt>
                <c:pt idx="38">
                  <c:v>362.8239999999999</c:v>
                </c:pt>
                <c:pt idx="39">
                  <c:v>372.3719999999999</c:v>
                </c:pt>
                <c:pt idx="40">
                  <c:v>381.9199999999999</c:v>
                </c:pt>
                <c:pt idx="41">
                  <c:v>391.4679999999999</c:v>
                </c:pt>
                <c:pt idx="42">
                  <c:v>401.01600000000002</c:v>
                </c:pt>
                <c:pt idx="43">
                  <c:v>410.56399999999991</c:v>
                </c:pt>
                <c:pt idx="44">
                  <c:v>420.11199999999997</c:v>
                </c:pt>
                <c:pt idx="45">
                  <c:v>429.66</c:v>
                </c:pt>
                <c:pt idx="46">
                  <c:v>439.20800000000003</c:v>
                </c:pt>
                <c:pt idx="47">
                  <c:v>448.75599999999991</c:v>
                </c:pt>
                <c:pt idx="48">
                  <c:v>458.30399999999992</c:v>
                </c:pt>
                <c:pt idx="49">
                  <c:v>467.85199999999992</c:v>
                </c:pt>
                <c:pt idx="50">
                  <c:v>477.39999999999992</c:v>
                </c:pt>
                <c:pt idx="51">
                  <c:v>486.94799999999992</c:v>
                </c:pt>
                <c:pt idx="52">
                  <c:v>496.49599999999998</c:v>
                </c:pt>
                <c:pt idx="53">
                  <c:v>506.04399999999993</c:v>
                </c:pt>
                <c:pt idx="54">
                  <c:v>515.5920000000001</c:v>
                </c:pt>
                <c:pt idx="55">
                  <c:v>525.14</c:v>
                </c:pt>
                <c:pt idx="56">
                  <c:v>534.68799999999999</c:v>
                </c:pt>
                <c:pt idx="57">
                  <c:v>544.23599999999999</c:v>
                </c:pt>
                <c:pt idx="58">
                  <c:v>553.78399999999999</c:v>
                </c:pt>
                <c:pt idx="59">
                  <c:v>563.33199999999999</c:v>
                </c:pt>
                <c:pt idx="60">
                  <c:v>572.88</c:v>
                </c:pt>
                <c:pt idx="61">
                  <c:v>582.428</c:v>
                </c:pt>
                <c:pt idx="62">
                  <c:v>591.976</c:v>
                </c:pt>
                <c:pt idx="63">
                  <c:v>601.524</c:v>
                </c:pt>
                <c:pt idx="64">
                  <c:v>611.072</c:v>
                </c:pt>
                <c:pt idx="65">
                  <c:v>620.62</c:v>
                </c:pt>
                <c:pt idx="66">
                  <c:v>630.16800000000001</c:v>
                </c:pt>
                <c:pt idx="67">
                  <c:v>639.71599999999989</c:v>
                </c:pt>
                <c:pt idx="68">
                  <c:v>649.26400000000001</c:v>
                </c:pt>
                <c:pt idx="69">
                  <c:v>658.8119999999999</c:v>
                </c:pt>
                <c:pt idx="70">
                  <c:v>668.3599999999999</c:v>
                </c:pt>
                <c:pt idx="71">
                  <c:v>677.9079999999999</c:v>
                </c:pt>
                <c:pt idx="72">
                  <c:v>687.4559999999999</c:v>
                </c:pt>
                <c:pt idx="73">
                  <c:v>697.00399999999991</c:v>
                </c:pt>
                <c:pt idx="74">
                  <c:v>706.55199999999991</c:v>
                </c:pt>
                <c:pt idx="75">
                  <c:v>716.09999999999991</c:v>
                </c:pt>
                <c:pt idx="76">
                  <c:v>725.6479999999998</c:v>
                </c:pt>
                <c:pt idx="77">
                  <c:v>735.19599999999991</c:v>
                </c:pt>
                <c:pt idx="78">
                  <c:v>744.7439999999998</c:v>
                </c:pt>
                <c:pt idx="79">
                  <c:v>754.29199999999992</c:v>
                </c:pt>
                <c:pt idx="80">
                  <c:v>763.8399999999998</c:v>
                </c:pt>
                <c:pt idx="81">
                  <c:v>773.38799999999992</c:v>
                </c:pt>
                <c:pt idx="82">
                  <c:v>782.93599999999981</c:v>
                </c:pt>
                <c:pt idx="83">
                  <c:v>792.48399999999992</c:v>
                </c:pt>
                <c:pt idx="84">
                  <c:v>802.03200000000004</c:v>
                </c:pt>
                <c:pt idx="85">
                  <c:v>811.57999999999993</c:v>
                </c:pt>
                <c:pt idx="86">
                  <c:v>821.12799999999982</c:v>
                </c:pt>
                <c:pt idx="87">
                  <c:v>830.67599999999993</c:v>
                </c:pt>
                <c:pt idx="88">
                  <c:v>840.22399999999993</c:v>
                </c:pt>
                <c:pt idx="89">
                  <c:v>849.77199999999993</c:v>
                </c:pt>
                <c:pt idx="90">
                  <c:v>859.32</c:v>
                </c:pt>
                <c:pt idx="91">
                  <c:v>868.86799999999994</c:v>
                </c:pt>
                <c:pt idx="92">
                  <c:v>878.41600000000005</c:v>
                </c:pt>
                <c:pt idx="93">
                  <c:v>887.96399999999994</c:v>
                </c:pt>
                <c:pt idx="94">
                  <c:v>897.51199999999983</c:v>
                </c:pt>
                <c:pt idx="95">
                  <c:v>907.06</c:v>
                </c:pt>
                <c:pt idx="96">
                  <c:v>916.60799999999983</c:v>
                </c:pt>
                <c:pt idx="97">
                  <c:v>926.15599999999995</c:v>
                </c:pt>
                <c:pt idx="98">
                  <c:v>935.70399999999984</c:v>
                </c:pt>
                <c:pt idx="99">
                  <c:v>945.25199999999995</c:v>
                </c:pt>
                <c:pt idx="100">
                  <c:v>954.79999999999984</c:v>
                </c:pt>
              </c:numCache>
            </c:numRef>
          </c:val>
          <c:smooth val="0"/>
          <c:extLst>
            <c:ext xmlns:c16="http://schemas.microsoft.com/office/drawing/2014/chart" uri="{C3380CC4-5D6E-409C-BE32-E72D297353CC}">
              <c16:uniqueId val="{00000001-F0EA-4A0C-859E-C3182CAF915C}"/>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80.285760904911257</c:v>
                </c:pt>
                <c:pt idx="1">
                  <c:v>194.51400432473804</c:v>
                </c:pt>
                <c:pt idx="2">
                  <c:v>392.06239950973981</c:v>
                </c:pt>
                <c:pt idx="3">
                  <c:v>592.71674783584501</c:v>
                </c:pt>
                <c:pt idx="4">
                  <c:v>796.55087968885744</c:v>
                </c:pt>
                <c:pt idx="5">
                  <c:v>1003.640984134263</c:v>
                </c:pt>
                <c:pt idx="6">
                  <c:v>1214.0657038673169</c:v>
                </c:pt>
                <c:pt idx="7">
                  <c:v>1427.9062347870838</c:v>
                </c:pt>
                <c:pt idx="8">
                  <c:v>1645.2464304593025</c:v>
                </c:pt>
                <c:pt idx="9">
                  <c:v>1866.1729117503999</c:v>
                </c:pt>
                <c:pt idx="10">
                  <c:v>2090.7751819338114</c:v>
                </c:pt>
                <c:pt idx="11">
                  <c:v>2319.1457475899256</c:v>
                </c:pt>
                <c:pt idx="12">
                  <c:v>2551.380245642762</c:v>
                </c:pt>
                <c:pt idx="13">
                  <c:v>2787.5775768998847</c:v>
                </c:pt>
                <c:pt idx="14">
                  <c:v>3027.8400464872811</c:v>
                </c:pt>
                <c:pt idx="15">
                  <c:v>3225.7677140751275</c:v>
                </c:pt>
                <c:pt idx="16">
                  <c:v>3425.1310400442758</c:v>
                </c:pt>
                <c:pt idx="17">
                  <c:v>3631.7701499940345</c:v>
                </c:pt>
                <c:pt idx="18">
                  <c:v>3846.4286918697035</c:v>
                </c:pt>
                <c:pt idx="19">
                  <c:v>4069.8858341599607</c:v>
                </c:pt>
                <c:pt idx="20">
                  <c:v>4302.9676456840116</c:v>
                </c:pt>
                <c:pt idx="21">
                  <c:v>4546.5585707578821</c:v>
                </c:pt>
                <c:pt idx="22">
                  <c:v>4801.6134550196248</c:v>
                </c:pt>
                <c:pt idx="23">
                  <c:v>5069.1705416867326</c:v>
                </c:pt>
                <c:pt idx="24">
                  <c:v>5350.3658579270668</c:v>
                </c:pt>
                <c:pt idx="25">
                  <c:v>5646.4494403107319</c:v>
                </c:pt>
                <c:pt idx="26">
                  <c:v>5958.8039052334925</c:v>
                </c:pt>
                <c:pt idx="27">
                  <c:v>6288.9659562845463</c:v>
                </c:pt>
                <c:pt idx="28">
                  <c:v>6638.6515402265741</c:v>
                </c:pt>
                <c:pt idx="29">
                  <c:v>7009.7855241379621</c:v>
                </c:pt>
                <c:pt idx="30">
                  <c:v>7404.5369796662562</c:v>
                </c:pt>
                <c:pt idx="31">
                  <c:v>7825.3614424982643</c:v>
                </c:pt>
                <c:pt idx="32">
                  <c:v>8275.0518890360236</c:v>
                </c:pt>
                <c:pt idx="33">
                  <c:v>8756.8006703384435</c:v>
                </c:pt>
                <c:pt idx="34">
                  <c:v>9274.2753117776174</c:v>
                </c:pt>
                <c:pt idx="35">
                  <c:v>9831.7119917002765</c:v>
                </c:pt>
                <c:pt idx="36">
                  <c:v>10434.031749528922</c:v>
                </c:pt>
                <c:pt idx="37">
                  <c:v>11086.986183834562</c:v>
                </c:pt>
                <c:pt idx="38">
                  <c:v>11797.341793189707</c:v>
                </c:pt>
                <c:pt idx="39">
                  <c:v>12573.115502979328</c:v>
                </c:pt>
                <c:pt idx="40">
                  <c:v>13423.878794586766</c:v>
                </c:pt>
                <c:pt idx="41">
                  <c:v>14361.154966594142</c:v>
                </c:pt>
                <c:pt idx="42">
                  <c:v>15398.944616133085</c:v>
                </c:pt>
                <c:pt idx="43">
                  <c:v>16554.430391625083</c:v>
                </c:pt>
                <c:pt idx="44">
                  <c:v>17848.936694865271</c:v>
                </c:pt>
                <c:pt idx="45">
                  <c:v>19309.258860224036</c:v>
                </c:pt>
                <c:pt idx="46">
                  <c:v>20969.53916461339</c:v>
                </c:pt>
                <c:pt idx="47">
                  <c:v>22873.971474846385</c:v>
                </c:pt>
                <c:pt idx="48">
                  <c:v>25080.795500222797</c:v>
                </c:pt>
                <c:pt idx="49">
                  <c:v>27668.359983909206</c:v>
                </c:pt>
                <c:pt idx="50">
                  <c:v>30744.623268769014</c:v>
                </c:pt>
                <c:pt idx="51">
                  <c:v>34462.602019292506</c:v>
                </c:pt>
                <c:pt idx="52">
                  <c:v>39046.61902728006</c:v>
                </c:pt>
                <c:pt idx="53">
                  <c:v>44839.318491820057</c:v>
                </c:pt>
                <c:pt idx="54">
                  <c:v>52391.53065419331</c:v>
                </c:pt>
                <c:pt idx="55">
                  <c:v>62648.707387631868</c:v>
                </c:pt>
                <c:pt idx="56">
                  <c:v>77381.418988977734</c:v>
                </c:pt>
                <c:pt idx="57">
                  <c:v>100336.68313575974</c:v>
                </c:pt>
                <c:pt idx="58">
                  <c:v>141063.35001656358</c:v>
                </c:pt>
                <c:pt idx="59">
                  <c:v>191914.02970763366</c:v>
                </c:pt>
                <c:pt idx="60">
                  <c:v>237899.69263460275</c:v>
                </c:pt>
                <c:pt idx="61">
                  <c:v>311719.05030941236</c:v>
                </c:pt>
                <c:pt idx="62">
                  <c:v>449603.07885970164</c:v>
                </c:pt>
                <c:pt idx="63">
                  <c:v>2338541.2018429851</c:v>
                </c:pt>
                <c:pt idx="64">
                  <c:v>-318319.84558704024</c:v>
                </c:pt>
                <c:pt idx="65">
                  <c:v>-150668.15992996813</c:v>
                </c:pt>
                <c:pt idx="66">
                  <c:v>-99402.326281672096</c:v>
                </c:pt>
                <c:pt idx="67">
                  <c:v>-74562.66007326018</c:v>
                </c:pt>
                <c:pt idx="68">
                  <c:v>-59907.666122001865</c:v>
                </c:pt>
                <c:pt idx="69">
                  <c:v>-49922.487498258379</c:v>
                </c:pt>
                <c:pt idx="70">
                  <c:v>-42912.691935810042</c:v>
                </c:pt>
                <c:pt idx="71">
                  <c:v>-37723.543656548012</c:v>
                </c:pt>
                <c:pt idx="72">
                  <c:v>-33728.547687994331</c:v>
                </c:pt>
                <c:pt idx="73">
                  <c:v>-30559.04724403191</c:v>
                </c:pt>
                <c:pt idx="74">
                  <c:v>-27983.954850131955</c:v>
                </c:pt>
                <c:pt idx="75">
                  <c:v>-25851.058555192845</c:v>
                </c:pt>
                <c:pt idx="76">
                  <c:v>-24056.015544745194</c:v>
                </c:pt>
                <c:pt idx="77">
                  <c:v>-22524.9061480647</c:v>
                </c:pt>
                <c:pt idx="78">
                  <c:v>-21203.899349567215</c:v>
                </c:pt>
                <c:pt idx="79">
                  <c:v>-20052.862951179875</c:v>
                </c:pt>
                <c:pt idx="80">
                  <c:v>-19041.266842054574</c:v>
                </c:pt>
                <c:pt idx="81">
                  <c:v>-18145.473481847741</c:v>
                </c:pt>
                <c:pt idx="82">
                  <c:v>-17346.896853586033</c:v>
                </c:pt>
                <c:pt idx="83">
                  <c:v>-16630.721594042243</c:v>
                </c:pt>
                <c:pt idx="84">
                  <c:v>-15984.993045592331</c:v>
                </c:pt>
                <c:pt idx="85">
                  <c:v>-15399.958683516368</c:v>
                </c:pt>
                <c:pt idx="86">
                  <c:v>-14867.58346778233</c:v>
                </c:pt>
                <c:pt idx="87">
                  <c:v>-14381.187790924758</c:v>
                </c:pt>
                <c:pt idx="88">
                  <c:v>-13935.173305262993</c:v>
                </c:pt>
                <c:pt idx="89">
                  <c:v>-13524.812711389031</c:v>
                </c:pt>
                <c:pt idx="90">
                  <c:v>-13146.086751152696</c:v>
                </c:pt>
                <c:pt idx="91">
                  <c:v>-12795.556484511408</c:v>
                </c:pt>
                <c:pt idx="92">
                  <c:v>-12470.262250206952</c:v>
                </c:pt>
                <c:pt idx="93">
                  <c:v>-12167.643025238824</c:v>
                </c:pt>
                <c:pt idx="94">
                  <c:v>-11885.471534868315</c:v>
                </c:pt>
                <c:pt idx="95">
                  <c:v>-11621.801637238566</c:v>
                </c:pt>
                <c:pt idx="96">
                  <c:v>-11374.925356571004</c:v>
                </c:pt>
                <c:pt idx="97">
                  <c:v>-11143.337561933638</c:v>
                </c:pt>
                <c:pt idx="98">
                  <c:v>-10925.706750107725</c:v>
                </c:pt>
                <c:pt idx="99">
                  <c:v>-10720.850736320444</c:v>
                </c:pt>
                <c:pt idx="100">
                  <c:v>-10527.716317232751</c:v>
                </c:pt>
              </c:numCache>
            </c:numRef>
          </c:val>
          <c:smooth val="0"/>
          <c:extLst>
            <c:ext xmlns:c16="http://schemas.microsoft.com/office/drawing/2014/chart" uri="{C3380CC4-5D6E-409C-BE32-E72D297353CC}">
              <c16:uniqueId val="{00000002-F0EA-4A0C-859E-C3182CAF915C}"/>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71.895198039024862</c:v>
                </c:pt>
                <c:pt idx="1">
                  <c:v>239.76178287574223</c:v>
                </c:pt>
                <c:pt idx="2">
                  <c:v>825.49727050144213</c:v>
                </c:pt>
                <c:pt idx="3">
                  <c:v>1920.2450827224377</c:v>
                </c:pt>
                <c:pt idx="4">
                  <c:v>3643.0857827419632</c:v>
                </c:pt>
                <c:pt idx="5">
                  <c:v>6095.2112389237845</c:v>
                </c:pt>
                <c:pt idx="6">
                  <c:v>9366.7932550027144</c:v>
                </c:pt>
                <c:pt idx="7">
                  <c:v>13540.372375334733</c:v>
                </c:pt>
                <c:pt idx="8">
                  <c:v>18692.833525809867</c:v>
                </c:pt>
                <c:pt idx="9">
                  <c:v>24896.678463210148</c:v>
                </c:pt>
                <c:pt idx="10">
                  <c:v>32220.902470984307</c:v>
                </c:pt>
                <c:pt idx="11">
                  <c:v>40731.628737792511</c:v>
                </c:pt>
                <c:pt idx="12">
                  <c:v>50492.584898281122</c:v>
                </c:pt>
                <c:pt idx="13">
                  <c:v>61565.47175709041</c:v>
                </c:pt>
                <c:pt idx="14">
                  <c:v>74010.255529309085</c:v>
                </c:pt>
                <c:pt idx="15">
                  <c:v>82764.569123381982</c:v>
                </c:pt>
                <c:pt idx="16">
                  <c:v>89978.92255528862</c:v>
                </c:pt>
                <c:pt idx="17">
                  <c:v>97358.029215979113</c:v>
                </c:pt>
                <c:pt idx="18">
                  <c:v>104900.74793979491</c:v>
                </c:pt>
                <c:pt idx="19">
                  <c:v>112606.44580355364</c:v>
                </c:pt>
                <c:pt idx="20">
                  <c:v>120474.9374209806</c:v>
                </c:pt>
                <c:pt idx="21">
                  <c:v>128506.43668829395</c:v>
                </c:pt>
                <c:pt idx="22">
                  <c:v>136701.51816771369</c:v>
                </c:pt>
                <c:pt idx="23">
                  <c:v>145061.08604310115</c:v>
                </c:pt>
                <c:pt idx="24">
                  <c:v>153586.349107824</c:v>
                </c:pt>
                <c:pt idx="25">
                  <c:v>162278.80062157588</c:v>
                </c:pt>
                <c:pt idx="26">
                  <c:v>171140.20214698894</c:v>
                </c:pt>
                <c:pt idx="27">
                  <c:v>180172.57067936071</c:v>
                </c:pt>
                <c:pt idx="28">
                  <c:v>189378.16853440466</c:v>
                </c:pt>
                <c:pt idx="29">
                  <c:v>198759.49557391554</c:v>
                </c:pt>
                <c:pt idx="30">
                  <c:v>208319.28343745804</c:v>
                </c:pt>
                <c:pt idx="31">
                  <c:v>218060.49151667248</c:v>
                </c:pt>
                <c:pt idx="32">
                  <c:v>227986.30446254037</c:v>
                </c:pt>
                <c:pt idx="33">
                  <c:v>238100.13105858795</c:v>
                </c:pt>
                <c:pt idx="34">
                  <c:v>248405.60432718106</c:v>
                </c:pt>
                <c:pt idx="35">
                  <c:v>258906.58276379344</c:v>
                </c:pt>
                <c:pt idx="36">
                  <c:v>269607.15261683386</c:v>
                </c:pt>
                <c:pt idx="37">
                  <c:v>280511.63114946947</c:v>
                </c:pt>
                <c:pt idx="38">
                  <c:v>291624.57083571039</c:v>
                </c:pt>
                <c:pt idx="39">
                  <c:v>302950.76445650333</c:v>
                </c:pt>
                <c:pt idx="40">
                  <c:v>314495.25107321929</c:v>
                </c:pt>
                <c:pt idx="41">
                  <c:v>326263.32286614657</c:v>
                </c:pt>
                <c:pt idx="42">
                  <c:v>338260.53283471387</c:v>
                </c:pt>
                <c:pt idx="43">
                  <c:v>350492.70336445334</c:v>
                </c:pt>
                <c:pt idx="44">
                  <c:v>362965.93567337072</c:v>
                </c:pt>
                <c:pt idx="45">
                  <c:v>375686.62015760742</c:v>
                </c:pt>
                <c:pt idx="46">
                  <c:v>388661.44766321837</c:v>
                </c:pt>
                <c:pt idx="47">
                  <c:v>401897.4217176364</c:v>
                </c:pt>
                <c:pt idx="48">
                  <c:v>415401.87176114024</c:v>
                </c:pt>
                <c:pt idx="49">
                  <c:v>429182.46742541093</c:v>
                </c:pt>
                <c:pt idx="50">
                  <c:v>443247.23391321057</c:v>
                </c:pt>
                <c:pt idx="51">
                  <c:v>457604.56854040897</c:v>
                </c:pt>
                <c:pt idx="52">
                  <c:v>472263.25850909622</c:v>
                </c:pt>
                <c:pt idx="53">
                  <c:v>487232.49998849415</c:v>
                </c:pt>
                <c:pt idx="54">
                  <c:v>502521.91858884506</c:v>
                </c:pt>
                <c:pt idx="55">
                  <c:v>518141.59132252948</c:v>
                </c:pt>
                <c:pt idx="56">
                  <c:v>534102.07015650545</c:v>
                </c:pt>
                <c:pt idx="57">
                  <c:v>550414.40727074072</c:v>
                </c:pt>
                <c:pt idx="58">
                  <c:v>567090.18214891141</c:v>
                </c:pt>
                <c:pt idx="59">
                  <c:v>570275.93906280573</c:v>
                </c:pt>
                <c:pt idx="60">
                  <c:v>561097.36663087097</c:v>
                </c:pt>
                <c:pt idx="61">
                  <c:v>552204.25009292457</c:v>
                </c:pt>
                <c:pt idx="62">
                  <c:v>543584.08561462094</c:v>
                </c:pt>
                <c:pt idx="63">
                  <c:v>540080.0728586684</c:v>
                </c:pt>
                <c:pt idx="64">
                  <c:v>547575.09769348404</c:v>
                </c:pt>
                <c:pt idx="65">
                  <c:v>555326.20431196352</c:v>
                </c:pt>
                <c:pt idx="66">
                  <c:v>563349.6431789354</c:v>
                </c:pt>
                <c:pt idx="67">
                  <c:v>571662.75505373988</c:v>
                </c:pt>
                <c:pt idx="68">
                  <c:v>580284.08628114848</c:v>
                </c:pt>
                <c:pt idx="69">
                  <c:v>589112.76863380242</c:v>
                </c:pt>
                <c:pt idx="70">
                  <c:v>598312.63808723202</c:v>
                </c:pt>
                <c:pt idx="71">
                  <c:v>607911.12703013769</c:v>
                </c:pt>
                <c:pt idx="72">
                  <c:v>617937.15974900266</c:v>
                </c:pt>
                <c:pt idx="73">
                  <c:v>628422.2244029165</c:v>
                </c:pt>
                <c:pt idx="74">
                  <c:v>639400.68556535966</c:v>
                </c:pt>
                <c:pt idx="75">
                  <c:v>650910.14178040635</c:v>
                </c:pt>
                <c:pt idx="76">
                  <c:v>662991.83604168578</c:v>
                </c:pt>
                <c:pt idx="77">
                  <c:v>675691.12871543737</c:v>
                </c:pt>
                <c:pt idx="78">
                  <c:v>689058.04442352522</c:v>
                </c:pt>
                <c:pt idx="79">
                  <c:v>703147.90688095579</c:v>
                </c:pt>
                <c:pt idx="80">
                  <c:v>718022.07877952745</c:v>
                </c:pt>
                <c:pt idx="81">
                  <c:v>733748.82770066475</c:v>
                </c:pt>
                <c:pt idx="82">
                  <c:v>750404.343959174</c:v>
                </c:pt>
                <c:pt idx="83">
                  <c:v>768073.94253598212</c:v>
                </c:pt>
                <c:pt idx="84">
                  <c:v>786853.48926828487</c:v>
                </c:pt>
                <c:pt idx="85">
                  <c:v>806851.10179391655</c:v>
                </c:pt>
                <c:pt idx="86">
                  <c:v>828189.18916339055</c:v>
                </c:pt>
                <c:pt idx="87">
                  <c:v>851006.91159816924</c:v>
                </c:pt>
                <c:pt idx="88">
                  <c:v>875463.16506468225</c:v>
                </c:pt>
                <c:pt idx="89">
                  <c:v>901740.22622446925</c:v>
                </c:pt>
                <c:pt idx="90">
                  <c:v>930048.2348624469</c:v>
                </c:pt>
                <c:pt idx="91">
                  <c:v>960630.74732942006</c:v>
                </c:pt>
                <c:pt idx="92">
                  <c:v>993771.6720400335</c:v>
                </c:pt>
                <c:pt idx="93">
                  <c:v>1029804.0057632058</c:v>
                </c:pt>
                <c:pt idx="94">
                  <c:v>1069120.9409863958</c:v>
                </c:pt>
                <c:pt idx="95">
                  <c:v>1112190.130804657</c:v>
                </c:pt>
                <c:pt idx="96">
                  <c:v>1159572.2107242453</c:v>
                </c:pt>
                <c:pt idx="97">
                  <c:v>1211945.1371305094</c:v>
                </c:pt>
                <c:pt idx="98">
                  <c:v>1270136.5913771191</c:v>
                </c:pt>
                <c:pt idx="99">
                  <c:v>1335167.7502997727</c:v>
                </c:pt>
                <c:pt idx="100">
                  <c:v>1408313.3636165238</c:v>
                </c:pt>
              </c:numCache>
            </c:numRef>
          </c:val>
          <c:smooth val="0"/>
          <c:extLst>
            <c:ext xmlns:c16="http://schemas.microsoft.com/office/drawing/2014/chart" uri="{C3380CC4-5D6E-409C-BE32-E72D297353CC}">
              <c16:uniqueId val="{00000003-F0EA-4A0C-859E-C3182CAF915C}"/>
            </c:ext>
          </c:extLst>
        </c:ser>
        <c:dLbls>
          <c:showLegendKey val="0"/>
          <c:showVal val="0"/>
          <c:showCatName val="0"/>
          <c:showSerName val="0"/>
          <c:showPercent val="0"/>
          <c:showBubbleSize val="0"/>
        </c:dLbls>
        <c:marker val="1"/>
        <c:smooth val="0"/>
        <c:axId val="451236224"/>
        <c:axId val="451225856"/>
      </c:lineChart>
      <c:catAx>
        <c:axId val="45186892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223936"/>
        <c:crosses val="autoZero"/>
        <c:auto val="1"/>
        <c:lblAlgn val="ctr"/>
        <c:lblOffset val="100"/>
        <c:tickLblSkip val="20"/>
        <c:tickMarkSkip val="20"/>
        <c:noMultiLvlLbl val="0"/>
      </c:catAx>
      <c:valAx>
        <c:axId val="451223936"/>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68928"/>
        <c:crossesAt val="0"/>
        <c:crossBetween val="between"/>
        <c:majorUnit val="5"/>
        <c:minorUnit val="2.5"/>
      </c:valAx>
      <c:valAx>
        <c:axId val="45122585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236224"/>
        <c:crosses val="max"/>
        <c:crossBetween val="between"/>
      </c:valAx>
      <c:catAx>
        <c:axId val="451236224"/>
        <c:scaling>
          <c:orientation val="minMax"/>
        </c:scaling>
        <c:delete val="1"/>
        <c:axPos val="b"/>
        <c:numFmt formatCode="General" sourceLinked="1"/>
        <c:majorTickMark val="out"/>
        <c:minorTickMark val="none"/>
        <c:tickLblPos val="nextTo"/>
        <c:crossAx val="45122585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Single'!$AN$110:$AN$210</c:f>
              <c:numCache>
                <c:formatCode>0.0</c:formatCode>
                <c:ptCount val="101"/>
                <c:pt idx="0">
                  <c:v>12</c:v>
                </c:pt>
                <c:pt idx="1">
                  <c:v>23.018848019074497</c:v>
                </c:pt>
                <c:pt idx="2">
                  <c:v>46.037696038148994</c:v>
                </c:pt>
                <c:pt idx="3">
                  <c:v>69.056544057223476</c:v>
                </c:pt>
                <c:pt idx="4">
                  <c:v>92.075392076297987</c:v>
                </c:pt>
                <c:pt idx="5">
                  <c:v>115.09424009537247</c:v>
                </c:pt>
                <c:pt idx="6">
                  <c:v>138.11308811444695</c:v>
                </c:pt>
                <c:pt idx="7">
                  <c:v>161.13193613352149</c:v>
                </c:pt>
                <c:pt idx="8">
                  <c:v>184.15078415259597</c:v>
                </c:pt>
                <c:pt idx="9">
                  <c:v>207.16963217167046</c:v>
                </c:pt>
                <c:pt idx="10">
                  <c:v>230.18848019074494</c:v>
                </c:pt>
                <c:pt idx="11">
                  <c:v>253.20732820981948</c:v>
                </c:pt>
                <c:pt idx="12">
                  <c:v>276.22617622889391</c:v>
                </c:pt>
                <c:pt idx="13">
                  <c:v>299.24502424796844</c:v>
                </c:pt>
                <c:pt idx="14">
                  <c:v>322.26387226704298</c:v>
                </c:pt>
                <c:pt idx="15">
                  <c:v>345.28272028611741</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345.15828760198485</c:v>
                </c:pt>
                <c:pt idx="47">
                  <c:v>337.96700389478275</c:v>
                </c:pt>
                <c:pt idx="48">
                  <c:v>331.0578877905528</c:v>
                </c:pt>
                <c:pt idx="49">
                  <c:v>324.41475482934368</c:v>
                </c:pt>
                <c:pt idx="50">
                  <c:v>318.02263202579343</c:v>
                </c:pt>
                <c:pt idx="51">
                  <c:v>311.86764674354106</c:v>
                </c:pt>
                <c:pt idx="52">
                  <c:v>305.70006082801615</c:v>
                </c:pt>
                <c:pt idx="53">
                  <c:v>299.39532927415229</c:v>
                </c:pt>
                <c:pt idx="54">
                  <c:v>293.43757586970293</c:v>
                </c:pt>
                <c:pt idx="55">
                  <c:v>287.84609052563036</c:v>
                </c:pt>
                <c:pt idx="56">
                  <c:v>282.44116257388066</c:v>
                </c:pt>
                <c:pt idx="57">
                  <c:v>277.21358205632868</c:v>
                </c:pt>
                <c:pt idx="58">
                  <c:v>272.15473545290115</c:v>
                </c:pt>
                <c:pt idx="59">
                  <c:v>267.2565581699705</c:v>
                </c:pt>
                <c:pt idx="60">
                  <c:v>262.51149149917615</c:v>
                </c:pt>
                <c:pt idx="61">
                  <c:v>257.91244356352246</c:v>
                </c:pt>
                <c:pt idx="62">
                  <c:v>253.45275382636768</c:v>
                </c:pt>
                <c:pt idx="63">
                  <c:v>249.1261607897697</c:v>
                </c:pt>
                <c:pt idx="64">
                  <c:v>244.9267725527489</c:v>
                </c:pt>
                <c:pt idx="65">
                  <c:v>240.84903993835255</c:v>
                </c:pt>
                <c:pt idx="66">
                  <c:v>236.88773193178605</c:v>
                </c:pt>
                <c:pt idx="67">
                  <c:v>233.03791320101288</c:v>
                </c:pt>
                <c:pt idx="68">
                  <c:v>229.29492349670554</c:v>
                </c:pt>
                <c:pt idx="69">
                  <c:v>225.65435875076159</c:v>
                </c:pt>
                <c:pt idx="70">
                  <c:v>222.11205371220237</c:v>
                </c:pt>
                <c:pt idx="71">
                  <c:v>218.66406597652235</c:v>
                </c:pt>
                <c:pt idx="72">
                  <c:v>215.30666127974899</c:v>
                </c:pt>
                <c:pt idx="73">
                  <c:v>212.03629994189268</c:v>
                </c:pt>
                <c:pt idx="74">
                  <c:v>208.84962435632809</c:v>
                </c:pt>
                <c:pt idx="75">
                  <c:v>205.7434474321565</c:v>
                </c:pt>
                <c:pt idx="76">
                  <c:v>202.71474190591906</c:v>
                </c:pt>
                <c:pt idx="77">
                  <c:v>199.76063044731731</c:v>
                </c:pt>
                <c:pt idx="78">
                  <c:v>196.87837649096633</c:v>
                </c:pt>
                <c:pt idx="79">
                  <c:v>194.06537573277669</c:v>
                </c:pt>
                <c:pt idx="80">
                  <c:v>191.3191482354255</c:v>
                </c:pt>
                <c:pt idx="81">
                  <c:v>188.63733109262034</c:v>
                </c:pt>
                <c:pt idx="82">
                  <c:v>186.01767160654779</c:v>
                </c:pt>
                <c:pt idx="83">
                  <c:v>183.45802093710577</c:v>
                </c:pt>
                <c:pt idx="84">
                  <c:v>180.95632818529216</c:v>
                </c:pt>
                <c:pt idx="85">
                  <c:v>178.51063487651328</c:v>
                </c:pt>
                <c:pt idx="86">
                  <c:v>176.11906981262584</c:v>
                </c:pt>
                <c:pt idx="87">
                  <c:v>173.77984426427676</c:v>
                </c:pt>
                <c:pt idx="88">
                  <c:v>171.49124747758205</c:v>
                </c:pt>
                <c:pt idx="89">
                  <c:v>169.25164247142581</c:v>
                </c:pt>
                <c:pt idx="90">
                  <c:v>167.05946210368401</c:v>
                </c:pt>
                <c:pt idx="91">
                  <c:v>164.91320538650811</c:v>
                </c:pt>
                <c:pt idx="92">
                  <c:v>162.81143403246438</c:v>
                </c:pt>
                <c:pt idx="93">
                  <c:v>160.75276921482939</c:v>
                </c:pt>
                <c:pt idx="94">
                  <c:v>158.7358885267079</c:v>
                </c:pt>
                <c:pt idx="95">
                  <c:v>156.75952312488099</c:v>
                </c:pt>
                <c:pt idx="96">
                  <c:v>154.82245504542598</c:v>
                </c:pt>
                <c:pt idx="97">
                  <c:v>152.92351467917214</c:v>
                </c:pt>
                <c:pt idx="98">
                  <c:v>151.06157839600036</c:v>
                </c:pt>
                <c:pt idx="99">
                  <c:v>149.23556630784771</c:v>
                </c:pt>
                <c:pt idx="100">
                  <c:v>147.44444016105928</c:v>
                </c:pt>
              </c:numCache>
            </c:numRef>
          </c:val>
          <c:smooth val="0"/>
          <c:extLst>
            <c:ext xmlns:c16="http://schemas.microsoft.com/office/drawing/2014/chart" uri="{C3380CC4-5D6E-409C-BE32-E72D297353CC}">
              <c16:uniqueId val="{00000000-35C4-40D8-9B41-933331EBB298}"/>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Single'!$AN$5:$AN$105</c:f>
              <c:numCache>
                <c:formatCode>0.0</c:formatCode>
                <c:ptCount val="101"/>
                <c:pt idx="0">
                  <c:v>12</c:v>
                </c:pt>
                <c:pt idx="1">
                  <c:v>23.018848019074497</c:v>
                </c:pt>
                <c:pt idx="2">
                  <c:v>46.037696038148994</c:v>
                </c:pt>
                <c:pt idx="3">
                  <c:v>69.056544057223476</c:v>
                </c:pt>
                <c:pt idx="4">
                  <c:v>92.075392076297987</c:v>
                </c:pt>
                <c:pt idx="5">
                  <c:v>115.09424009537247</c:v>
                </c:pt>
                <c:pt idx="6">
                  <c:v>138.11308811444695</c:v>
                </c:pt>
                <c:pt idx="7">
                  <c:v>161.13193613352149</c:v>
                </c:pt>
                <c:pt idx="8">
                  <c:v>184.15078415259597</c:v>
                </c:pt>
                <c:pt idx="9">
                  <c:v>207.16963217167046</c:v>
                </c:pt>
                <c:pt idx="10">
                  <c:v>230.18848019074494</c:v>
                </c:pt>
                <c:pt idx="11">
                  <c:v>253.20732820981948</c:v>
                </c:pt>
                <c:pt idx="12">
                  <c:v>276.22617622889391</c:v>
                </c:pt>
                <c:pt idx="13">
                  <c:v>299.24502424796844</c:v>
                </c:pt>
                <c:pt idx="14">
                  <c:v>322.26387226704298</c:v>
                </c:pt>
                <c:pt idx="15">
                  <c:v>345.28272028611741</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347.38304806122716</c:v>
                </c:pt>
                <c:pt idx="64">
                  <c:v>342.15100561780673</c:v>
                </c:pt>
                <c:pt idx="65">
                  <c:v>337.06997616133214</c:v>
                </c:pt>
                <c:pt idx="66">
                  <c:v>332.13354318839868</c:v>
                </c:pt>
                <c:pt idx="67">
                  <c:v>327.33564800135377</c:v>
                </c:pt>
                <c:pt idx="68">
                  <c:v>322.67056513364719</c:v>
                </c:pt>
                <c:pt idx="69">
                  <c:v>318.13287977196933</c:v>
                </c:pt>
                <c:pt idx="70">
                  <c:v>313.48851902262356</c:v>
                </c:pt>
                <c:pt idx="71">
                  <c:v>308.92724742882513</c:v>
                </c:pt>
                <c:pt idx="72">
                  <c:v>304.50855956252121</c:v>
                </c:pt>
                <c:pt idx="73">
                  <c:v>300.29066238437997</c:v>
                </c:pt>
                <c:pt idx="74">
                  <c:v>296.1792137457868</c:v>
                </c:pt>
                <c:pt idx="75">
                  <c:v>292.17022359570052</c:v>
                </c:pt>
                <c:pt idx="76">
                  <c:v>288.25989882462153</c:v>
                </c:pt>
                <c:pt idx="77">
                  <c:v>284.44463126191187</c:v>
                </c:pt>
                <c:pt idx="78">
                  <c:v>280.72098654035409</c:v>
                </c:pt>
                <c:pt idx="79">
                  <c:v>277.08569375571057</c:v>
                </c:pt>
                <c:pt idx="80">
                  <c:v>273.53563585584823</c:v>
                </c:pt>
                <c:pt idx="81">
                  <c:v>270.06784070007018</c:v>
                </c:pt>
                <c:pt idx="82">
                  <c:v>266.67947273475721</c:v>
                </c:pt>
                <c:pt idx="83">
                  <c:v>263.36782523631649</c:v>
                </c:pt>
                <c:pt idx="84">
                  <c:v>260.13031307683769</c:v>
                </c:pt>
                <c:pt idx="85">
                  <c:v>256.96446597182285</c:v>
                </c:pt>
                <c:pt idx="86">
                  <c:v>253.86792217291853</c:v>
                </c:pt>
                <c:pt idx="87">
                  <c:v>250.838422571813</c:v>
                </c:pt>
                <c:pt idx="88">
                  <c:v>247.87380518435884</c:v>
                </c:pt>
                <c:pt idx="89">
                  <c:v>244.97199998662228</c:v>
                </c:pt>
                <c:pt idx="90">
                  <c:v>242.1310240769356</c:v>
                </c:pt>
                <c:pt idx="91">
                  <c:v>239.34897714019476</c:v>
                </c:pt>
                <c:pt idx="92">
                  <c:v>236.62403719259859</c:v>
                </c:pt>
                <c:pt idx="93">
                  <c:v>233.95445658680535</c:v>
                </c:pt>
                <c:pt idx="94">
                  <c:v>231.33855825910283</c:v>
                </c:pt>
                <c:pt idx="95">
                  <c:v>228.77473220165578</c:v>
                </c:pt>
                <c:pt idx="96">
                  <c:v>226.26143214424101</c:v>
                </c:pt>
                <c:pt idx="97">
                  <c:v>223.7971724310938</c:v>
                </c:pt>
                <c:pt idx="98">
                  <c:v>221.38052507961686</c:v>
                </c:pt>
                <c:pt idx="99">
                  <c:v>219.01011700871175</c:v>
                </c:pt>
                <c:pt idx="100">
                  <c:v>216.68462742543031</c:v>
                </c:pt>
              </c:numCache>
            </c:numRef>
          </c:val>
          <c:smooth val="0"/>
          <c:extLst>
            <c:ext xmlns:c16="http://schemas.microsoft.com/office/drawing/2014/chart" uri="{C3380CC4-5D6E-409C-BE32-E72D297353CC}">
              <c16:uniqueId val="{00000001-35C4-40D8-9B41-933331EBB298}"/>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Single'!$AN$216:$AN$316</c:f>
              <c:numCache>
                <c:formatCode>0.0</c:formatCode>
                <c:ptCount val="101"/>
                <c:pt idx="0">
                  <c:v>12</c:v>
                </c:pt>
                <c:pt idx="1">
                  <c:v>23.018848019074497</c:v>
                </c:pt>
                <c:pt idx="2">
                  <c:v>46.037696038148994</c:v>
                </c:pt>
                <c:pt idx="3">
                  <c:v>69.056544057223476</c:v>
                </c:pt>
                <c:pt idx="4">
                  <c:v>92.075392076297987</c:v>
                </c:pt>
                <c:pt idx="5">
                  <c:v>115.09424009537247</c:v>
                </c:pt>
                <c:pt idx="6">
                  <c:v>138.11308811444695</c:v>
                </c:pt>
                <c:pt idx="7">
                  <c:v>161.13193613352149</c:v>
                </c:pt>
                <c:pt idx="8">
                  <c:v>184.15078415259597</c:v>
                </c:pt>
                <c:pt idx="9">
                  <c:v>207.16963217167046</c:v>
                </c:pt>
                <c:pt idx="10">
                  <c:v>230.18848019074494</c:v>
                </c:pt>
                <c:pt idx="11">
                  <c:v>253.20732820981948</c:v>
                </c:pt>
                <c:pt idx="12">
                  <c:v>276.22617622889391</c:v>
                </c:pt>
                <c:pt idx="13">
                  <c:v>299.24502424796844</c:v>
                </c:pt>
                <c:pt idx="14">
                  <c:v>322.26387226704298</c:v>
                </c:pt>
                <c:pt idx="15">
                  <c:v>345.28272028611741</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348.17094980715058</c:v>
                </c:pt>
                <c:pt idx="78">
                  <c:v>343.90876622412117</c:v>
                </c:pt>
                <c:pt idx="79">
                  <c:v>339.74758735604399</c:v>
                </c:pt>
                <c:pt idx="80">
                  <c:v>335.68387643047805</c:v>
                </c:pt>
                <c:pt idx="81">
                  <c:v>331.7142596814985</c:v>
                </c:pt>
                <c:pt idx="82">
                  <c:v>327.83551707208551</c:v>
                </c:pt>
                <c:pt idx="83">
                  <c:v>324.04457364276283</c:v>
                </c:pt>
                <c:pt idx="84">
                  <c:v>320.2255736580093</c:v>
                </c:pt>
                <c:pt idx="85">
                  <c:v>316.45505304343953</c:v>
                </c:pt>
                <c:pt idx="86">
                  <c:v>312.76487685392408</c:v>
                </c:pt>
                <c:pt idx="87">
                  <c:v>309.18586329480729</c:v>
                </c:pt>
                <c:pt idx="88">
                  <c:v>305.70586201117868</c:v>
                </c:pt>
                <c:pt idx="89">
                  <c:v>302.29892384626663</c:v>
                </c:pt>
                <c:pt idx="90">
                  <c:v>298.96276693550794</c:v>
                </c:pt>
                <c:pt idx="91">
                  <c:v>295.69520345020368</c:v>
                </c:pt>
                <c:pt idx="92">
                  <c:v>292.49413480288314</c:v>
                </c:pt>
                <c:pt idx="93">
                  <c:v>289.35754714306438</c:v>
                </c:pt>
                <c:pt idx="94">
                  <c:v>286.28350712309793</c:v>
                </c:pt>
                <c:pt idx="95">
                  <c:v>283.27015791538508</c:v>
                </c:pt>
                <c:pt idx="96">
                  <c:v>280.31571546373164</c:v>
                </c:pt>
                <c:pt idx="97">
                  <c:v>277.41846495293487</c:v>
                </c:pt>
                <c:pt idx="98">
                  <c:v>274.57675748192253</c:v>
                </c:pt>
                <c:pt idx="99">
                  <c:v>271.7890069268837</c:v>
                </c:pt>
                <c:pt idx="100">
                  <c:v>269.05368698185134</c:v>
                </c:pt>
              </c:numCache>
            </c:numRef>
          </c:val>
          <c:smooth val="0"/>
          <c:extLst>
            <c:ext xmlns:c16="http://schemas.microsoft.com/office/drawing/2014/chart" uri="{C3380CC4-5D6E-409C-BE32-E72D297353CC}">
              <c16:uniqueId val="{00000002-35C4-40D8-9B41-933331EBB29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5C4-40D8-9B41-933331EBB298}"/>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5C4-40D8-9B41-933331EBB298}"/>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pt idx="15">
                  <c:v>90</c:v>
                </c:pt>
                <c:pt idx="16">
                  <c:v>96</c:v>
                </c:pt>
                <c:pt idx="17">
                  <c:v>102.00000000000001</c:v>
                </c:pt>
                <c:pt idx="18">
                  <c:v>108</c:v>
                </c:pt>
                <c:pt idx="19">
                  <c:v>113.99999999999999</c:v>
                </c:pt>
                <c:pt idx="20">
                  <c:v>120</c:v>
                </c:pt>
                <c:pt idx="21">
                  <c:v>126</c:v>
                </c:pt>
                <c:pt idx="22">
                  <c:v>132</c:v>
                </c:pt>
                <c:pt idx="23">
                  <c:v>138</c:v>
                </c:pt>
                <c:pt idx="24">
                  <c:v>144</c:v>
                </c:pt>
                <c:pt idx="25">
                  <c:v>150</c:v>
                </c:pt>
                <c:pt idx="26">
                  <c:v>156</c:v>
                </c:pt>
                <c:pt idx="27">
                  <c:v>162</c:v>
                </c:pt>
                <c:pt idx="28">
                  <c:v>168</c:v>
                </c:pt>
                <c:pt idx="29">
                  <c:v>174</c:v>
                </c:pt>
                <c:pt idx="30">
                  <c:v>180</c:v>
                </c:pt>
                <c:pt idx="31">
                  <c:v>186</c:v>
                </c:pt>
                <c:pt idx="32">
                  <c:v>192</c:v>
                </c:pt>
                <c:pt idx="33">
                  <c:v>198</c:v>
                </c:pt>
                <c:pt idx="34">
                  <c:v>204.00000000000003</c:v>
                </c:pt>
                <c:pt idx="35">
                  <c:v>210</c:v>
                </c:pt>
                <c:pt idx="36">
                  <c:v>216</c:v>
                </c:pt>
                <c:pt idx="37">
                  <c:v>222</c:v>
                </c:pt>
                <c:pt idx="38">
                  <c:v>227.99999999999997</c:v>
                </c:pt>
                <c:pt idx="39">
                  <c:v>234</c:v>
                </c:pt>
                <c:pt idx="40">
                  <c:v>240</c:v>
                </c:pt>
                <c:pt idx="41">
                  <c:v>245.99999999999997</c:v>
                </c:pt>
                <c:pt idx="42">
                  <c:v>252</c:v>
                </c:pt>
                <c:pt idx="43">
                  <c:v>258</c:v>
                </c:pt>
                <c:pt idx="44">
                  <c:v>264</c:v>
                </c:pt>
                <c:pt idx="45">
                  <c:v>270</c:v>
                </c:pt>
                <c:pt idx="46">
                  <c:v>276</c:v>
                </c:pt>
                <c:pt idx="47">
                  <c:v>282</c:v>
                </c:pt>
                <c:pt idx="48">
                  <c:v>288</c:v>
                </c:pt>
                <c:pt idx="49">
                  <c:v>294</c:v>
                </c:pt>
                <c:pt idx="50">
                  <c:v>300</c:v>
                </c:pt>
                <c:pt idx="51">
                  <c:v>306</c:v>
                </c:pt>
                <c:pt idx="52">
                  <c:v>312</c:v>
                </c:pt>
                <c:pt idx="53">
                  <c:v>318</c:v>
                </c:pt>
                <c:pt idx="54">
                  <c:v>324</c:v>
                </c:pt>
                <c:pt idx="55">
                  <c:v>330</c:v>
                </c:pt>
                <c:pt idx="56">
                  <c:v>336</c:v>
                </c:pt>
                <c:pt idx="57">
                  <c:v>341.99999999999994</c:v>
                </c:pt>
                <c:pt idx="58">
                  <c:v>348</c:v>
                </c:pt>
                <c:pt idx="59">
                  <c:v>354</c:v>
                </c:pt>
                <c:pt idx="60">
                  <c:v>360</c:v>
                </c:pt>
                <c:pt idx="61">
                  <c:v>366</c:v>
                </c:pt>
                <c:pt idx="62">
                  <c:v>372</c:v>
                </c:pt>
                <c:pt idx="63">
                  <c:v>378</c:v>
                </c:pt>
                <c:pt idx="64">
                  <c:v>384</c:v>
                </c:pt>
                <c:pt idx="65">
                  <c:v>390</c:v>
                </c:pt>
                <c:pt idx="66">
                  <c:v>396</c:v>
                </c:pt>
                <c:pt idx="67">
                  <c:v>402</c:v>
                </c:pt>
                <c:pt idx="68">
                  <c:v>408.00000000000006</c:v>
                </c:pt>
                <c:pt idx="69">
                  <c:v>414</c:v>
                </c:pt>
                <c:pt idx="70">
                  <c:v>420</c:v>
                </c:pt>
                <c:pt idx="71">
                  <c:v>426</c:v>
                </c:pt>
                <c:pt idx="72">
                  <c:v>432</c:v>
                </c:pt>
                <c:pt idx="73">
                  <c:v>438</c:v>
                </c:pt>
                <c:pt idx="74">
                  <c:v>444</c:v>
                </c:pt>
                <c:pt idx="75">
                  <c:v>449.99999999999994</c:v>
                </c:pt>
                <c:pt idx="76">
                  <c:v>455.99999999999994</c:v>
                </c:pt>
                <c:pt idx="77">
                  <c:v>461.99999999999994</c:v>
                </c:pt>
                <c:pt idx="78">
                  <c:v>468</c:v>
                </c:pt>
                <c:pt idx="79">
                  <c:v>474</c:v>
                </c:pt>
                <c:pt idx="80">
                  <c:v>480</c:v>
                </c:pt>
                <c:pt idx="81">
                  <c:v>486</c:v>
                </c:pt>
                <c:pt idx="82">
                  <c:v>491.99999999999994</c:v>
                </c:pt>
                <c:pt idx="83">
                  <c:v>497.99999999999994</c:v>
                </c:pt>
                <c:pt idx="84">
                  <c:v>504</c:v>
                </c:pt>
                <c:pt idx="85">
                  <c:v>510</c:v>
                </c:pt>
                <c:pt idx="86">
                  <c:v>516</c:v>
                </c:pt>
                <c:pt idx="87">
                  <c:v>522</c:v>
                </c:pt>
                <c:pt idx="88">
                  <c:v>528</c:v>
                </c:pt>
                <c:pt idx="89">
                  <c:v>534</c:v>
                </c:pt>
                <c:pt idx="90">
                  <c:v>540</c:v>
                </c:pt>
                <c:pt idx="91">
                  <c:v>546</c:v>
                </c:pt>
                <c:pt idx="92">
                  <c:v>552</c:v>
                </c:pt>
                <c:pt idx="93">
                  <c:v>558</c:v>
                </c:pt>
                <c:pt idx="94">
                  <c:v>564</c:v>
                </c:pt>
                <c:pt idx="95">
                  <c:v>570</c:v>
                </c:pt>
                <c:pt idx="96">
                  <c:v>576</c:v>
                </c:pt>
                <c:pt idx="97">
                  <c:v>582</c:v>
                </c:pt>
                <c:pt idx="98">
                  <c:v>588</c:v>
                </c:pt>
                <c:pt idx="99">
                  <c:v>594</c:v>
                </c:pt>
                <c:pt idx="100">
                  <c:v>600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5C4-40D8-9B41-933331EBB298}"/>
            </c:ext>
          </c:extLst>
        </c:ser>
        <c:dLbls>
          <c:showLegendKey val="0"/>
          <c:showVal val="0"/>
          <c:showCatName val="0"/>
          <c:showSerName val="0"/>
          <c:showPercent val="0"/>
          <c:showBubbleSize val="0"/>
        </c:dLbls>
        <c:smooth val="0"/>
        <c:axId val="451999616"/>
        <c:axId val="452288896"/>
      </c:lineChart>
      <c:catAx>
        <c:axId val="451999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288896"/>
        <c:crosses val="autoZero"/>
        <c:auto val="1"/>
        <c:lblAlgn val="ctr"/>
        <c:lblOffset val="100"/>
        <c:tickLblSkip val="20"/>
        <c:tickMarkSkip val="10"/>
        <c:noMultiLvlLbl val="0"/>
      </c:catAx>
      <c:valAx>
        <c:axId val="45228889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199961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24.410473562444633</c:v>
                </c:pt>
                <c:pt idx="2">
                  <c:v>73.231420687333895</c:v>
                </c:pt>
                <c:pt idx="3">
                  <c:v>73.231420687333895</c:v>
                </c:pt>
                <c:pt idx="4">
                  <c:v>97.641894249778531</c:v>
                </c:pt>
                <c:pt idx="5">
                  <c:v>122.05236781222314</c:v>
                </c:pt>
                <c:pt idx="6">
                  <c:v>146.46284137466779</c:v>
                </c:pt>
                <c:pt idx="7">
                  <c:v>170.87331493711241</c:v>
                </c:pt>
                <c:pt idx="8">
                  <c:v>195.28378849955706</c:v>
                </c:pt>
                <c:pt idx="9">
                  <c:v>219.69426206200166</c:v>
                </c:pt>
                <c:pt idx="10">
                  <c:v>244.10473562444628</c:v>
                </c:pt>
                <c:pt idx="11">
                  <c:v>268.51520918689096</c:v>
                </c:pt>
                <c:pt idx="12">
                  <c:v>292.92568274933558</c:v>
                </c:pt>
                <c:pt idx="13">
                  <c:v>317.3361563117802</c:v>
                </c:pt>
                <c:pt idx="14">
                  <c:v>341.74662987422482</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343.10498952114853</c:v>
                </c:pt>
                <c:pt idx="44">
                  <c:v>335.37664899486344</c:v>
                </c:pt>
                <c:pt idx="45">
                  <c:v>327.97252883046298</c:v>
                </c:pt>
                <c:pt idx="46">
                  <c:v>320.87279897958086</c:v>
                </c:pt>
                <c:pt idx="47">
                  <c:v>314.05920942738106</c:v>
                </c:pt>
                <c:pt idx="48">
                  <c:v>307.51493614304553</c:v>
                </c:pt>
                <c:pt idx="49">
                  <c:v>301.2244446915534</c:v>
                </c:pt>
                <c:pt idx="50">
                  <c:v>295.17336919030748</c:v>
                </c:pt>
                <c:pt idx="51">
                  <c:v>289.25057420451805</c:v>
                </c:pt>
                <c:pt idx="52">
                  <c:v>283.27221897200536</c:v>
                </c:pt>
                <c:pt idx="53">
                  <c:v>277.50423543881203</c:v>
                </c:pt>
                <c:pt idx="54">
                  <c:v>271.93566397500445</c:v>
                </c:pt>
                <c:pt idx="55">
                  <c:v>266.55629329705431</c:v>
                </c:pt>
                <c:pt idx="56">
                  <c:v>261.35659766880798</c:v>
                </c:pt>
                <c:pt idx="57">
                  <c:v>256.32768032199368</c:v>
                </c:pt>
                <c:pt idx="58">
                  <c:v>251.46122238929775</c:v>
                </c:pt>
                <c:pt idx="59">
                  <c:v>246.74943673341699</c:v>
                </c:pt>
                <c:pt idx="60">
                  <c:v>242.18502613307052</c:v>
                </c:pt>
                <c:pt idx="61">
                  <c:v>237.76114535372687</c:v>
                </c:pt>
                <c:pt idx="62">
                  <c:v>233.47136668840736</c:v>
                </c:pt>
                <c:pt idx="63">
                  <c:v>229.30964860374641</c:v>
                </c:pt>
                <c:pt idx="64">
                  <c:v>225.2703071696746</c:v>
                </c:pt>
                <c:pt idx="65">
                  <c:v>221.34798998860884</c:v>
                </c:pt>
                <c:pt idx="66">
                  <c:v>217.53765237269749</c:v>
                </c:pt>
                <c:pt idx="67">
                  <c:v>213.83453554617222</c:v>
                </c:pt>
                <c:pt idx="68">
                  <c:v>210.23414667476976</c:v>
                </c:pt>
                <c:pt idx="69">
                  <c:v>206.73224054601928</c:v>
                </c:pt>
                <c:pt idx="70">
                  <c:v>203.32480274334486</c:v>
                </c:pt>
                <c:pt idx="71">
                  <c:v>200.00803417378063</c:v>
                </c:pt>
                <c:pt idx="72">
                  <c:v>196.77833682393361</c:v>
                </c:pt>
                <c:pt idx="73">
                  <c:v>193.63230063192782</c:v>
                </c:pt>
                <c:pt idx="74">
                  <c:v>190.56669137463726</c:v>
                </c:pt>
                <c:pt idx="75">
                  <c:v>187.57843947976875</c:v>
                </c:pt>
                <c:pt idx="76">
                  <c:v>184.66462968144364</c:v>
                </c:pt>
                <c:pt idx="77">
                  <c:v>181.82249144600829</c:v>
                </c:pt>
                <c:pt idx="78">
                  <c:v>179.04939010198265</c:v>
                </c:pt>
                <c:pt idx="79">
                  <c:v>176.34281861446408</c:v>
                </c:pt>
                <c:pt idx="80">
                  <c:v>173.70038995001158</c:v>
                </c:pt>
                <c:pt idx="81">
                  <c:v>171.11982998314431</c:v>
                </c:pt>
                <c:pt idx="82">
                  <c:v>168.59897090015247</c:v>
                </c:pt>
                <c:pt idx="83">
                  <c:v>166.1357450600153</c:v>
                </c:pt>
                <c:pt idx="84">
                  <c:v>163.7281792758925</c:v>
                </c:pt>
                <c:pt idx="85">
                  <c:v>161.37438948395229</c:v>
                </c:pt>
                <c:pt idx="86">
                  <c:v>159.0725757692714</c:v>
                </c:pt>
                <c:pt idx="87">
                  <c:v>156.82101772121305</c:v>
                </c:pt>
                <c:pt idx="88">
                  <c:v>154.61807009309877</c:v>
                </c:pt>
                <c:pt idx="89">
                  <c:v>152.46215874316749</c:v>
                </c:pt>
                <c:pt idx="90">
                  <c:v>150.351776835782</c:v>
                </c:pt>
                <c:pt idx="91">
                  <c:v>148.2854812836211</c:v>
                </c:pt>
                <c:pt idx="92">
                  <c:v>146.26188941320933</c:v>
                </c:pt>
                <c:pt idx="93">
                  <c:v>144.27967583759775</c:v>
                </c:pt>
                <c:pt idx="94">
                  <c:v>142.33756952133535</c:v>
                </c:pt>
                <c:pt idx="95">
                  <c:v>140.43435102407759</c:v>
                </c:pt>
                <c:pt idx="96">
                  <c:v>138.56884991027491</c:v>
                </c:pt>
                <c:pt idx="97">
                  <c:v>136.73994231338324</c:v>
                </c:pt>
                <c:pt idx="98">
                  <c:v>134.94654864394846</c:v>
                </c:pt>
                <c:pt idx="99">
                  <c:v>133.18763143174618</c:v>
                </c:pt>
                <c:pt idx="100">
                  <c:v>131.46219329291989</c:v>
                </c:pt>
              </c:numCache>
            </c:numRef>
          </c:val>
          <c:smooth val="0"/>
          <c:extLst>
            <c:ext xmlns:c16="http://schemas.microsoft.com/office/drawing/2014/chart" uri="{C3380CC4-5D6E-409C-BE32-E72D297353CC}">
              <c16:uniqueId val="{00000000-44F7-4870-98EC-5ED7AF60689B}"/>
            </c:ext>
          </c:extLst>
        </c:ser>
        <c:ser>
          <c:idx val="0"/>
          <c:order val="1"/>
          <c:tx>
            <c:v>VIN-nom</c:v>
          </c:tx>
          <c:spPr>
            <a:ln w="28575">
              <a:solidFill>
                <a:srgbClr val="FF0000"/>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24.410473562444633</c:v>
                </c:pt>
                <c:pt idx="2">
                  <c:v>48.820947124889265</c:v>
                </c:pt>
                <c:pt idx="3">
                  <c:v>73.231420687333895</c:v>
                </c:pt>
                <c:pt idx="4">
                  <c:v>97.641894249778531</c:v>
                </c:pt>
                <c:pt idx="5">
                  <c:v>122.05236781222314</c:v>
                </c:pt>
                <c:pt idx="6">
                  <c:v>146.46284137466779</c:v>
                </c:pt>
                <c:pt idx="7">
                  <c:v>170.87331493711241</c:v>
                </c:pt>
                <c:pt idx="8">
                  <c:v>195.28378849955706</c:v>
                </c:pt>
                <c:pt idx="9">
                  <c:v>219.69426206200166</c:v>
                </c:pt>
                <c:pt idx="10">
                  <c:v>244.10473562444628</c:v>
                </c:pt>
                <c:pt idx="11">
                  <c:v>268.51520918689096</c:v>
                </c:pt>
                <c:pt idx="12">
                  <c:v>292.92568274933558</c:v>
                </c:pt>
                <c:pt idx="13">
                  <c:v>317.3361563117802</c:v>
                </c:pt>
                <c:pt idx="14">
                  <c:v>341.74662987422482</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346.9936680663547</c:v>
                </c:pt>
                <c:pt idx="60">
                  <c:v>341.37480768550802</c:v>
                </c:pt>
                <c:pt idx="61">
                  <c:v>335.92899115810985</c:v>
                </c:pt>
                <c:pt idx="62">
                  <c:v>330.64838766710926</c:v>
                </c:pt>
                <c:pt idx="63">
                  <c:v>325.52563088505025</c:v>
                </c:pt>
                <c:pt idx="64">
                  <c:v>320.55378507597879</c:v>
                </c:pt>
                <c:pt idx="65">
                  <c:v>315.72631412124571</c:v>
                </c:pt>
                <c:pt idx="66">
                  <c:v>311.03705317927262</c:v>
                </c:pt>
                <c:pt idx="67">
                  <c:v>306.48018272174204</c:v>
                </c:pt>
                <c:pt idx="68">
                  <c:v>302.05020471704103</c:v>
                </c:pt>
                <c:pt idx="69">
                  <c:v>297.54998167265842</c:v>
                </c:pt>
                <c:pt idx="70">
                  <c:v>293.16846773075042</c:v>
                </c:pt>
                <c:pt idx="71">
                  <c:v>288.90209680372107</c:v>
                </c:pt>
                <c:pt idx="72">
                  <c:v>284.74637003932588</c:v>
                </c:pt>
                <c:pt idx="73">
                  <c:v>280.69701991914468</c:v>
                </c:pt>
                <c:pt idx="74">
                  <c:v>276.7499955782244</c:v>
                </c:pt>
                <c:pt idx="75">
                  <c:v>272.90144922864152</c:v>
                </c:pt>
                <c:pt idx="76">
                  <c:v>269.14772359134054</c:v>
                </c:pt>
                <c:pt idx="77">
                  <c:v>265.48534024995291</c:v>
                </c:pt>
                <c:pt idx="78">
                  <c:v>261.91098884864334</c:v>
                </c:pt>
                <c:pt idx="79">
                  <c:v>258.42151706347022</c:v>
                </c:pt>
                <c:pt idx="80">
                  <c:v>255.01392128340305</c:v>
                </c:pt>
                <c:pt idx="81">
                  <c:v>251.68533794309101</c:v>
                </c:pt>
                <c:pt idx="82">
                  <c:v>248.43303545481888</c:v>
                </c:pt>
                <c:pt idx="83">
                  <c:v>245.25440669186912</c:v>
                </c:pt>
                <c:pt idx="84">
                  <c:v>242.146961979824</c:v>
                </c:pt>
                <c:pt idx="85">
                  <c:v>239.10832255620531</c:v>
                </c:pt>
                <c:pt idx="86">
                  <c:v>236.13621446234336</c:v>
                </c:pt>
                <c:pt idx="87">
                  <c:v>233.22846283451369</c:v>
                </c:pt>
                <c:pt idx="88">
                  <c:v>230.38298656422032</c:v>
                </c:pt>
                <c:pt idx="89">
                  <c:v>227.59779330007498</c:v>
                </c:pt>
                <c:pt idx="90">
                  <c:v>224.87097476604586</c:v>
                </c:pt>
                <c:pt idx="91">
                  <c:v>222.20070237295781</c:v>
                </c:pt>
                <c:pt idx="92">
                  <c:v>219.5852231020331</c:v>
                </c:pt>
                <c:pt idx="93">
                  <c:v>217.0228556410035</c:v>
                </c:pt>
                <c:pt idx="94">
                  <c:v>214.51198675489309</c:v>
                </c:pt>
                <c:pt idx="95">
                  <c:v>212.05106787501336</c:v>
                </c:pt>
                <c:pt idx="96">
                  <c:v>209.63861189101391</c:v>
                </c:pt>
                <c:pt idx="97">
                  <c:v>207.27319013202495</c:v>
                </c:pt>
                <c:pt idx="98">
                  <c:v>204.95342952401532</c:v>
                </c:pt>
                <c:pt idx="99">
                  <c:v>202.67800991148081</c:v>
                </c:pt>
                <c:pt idx="100">
                  <c:v>200.44566153248437</c:v>
                </c:pt>
              </c:numCache>
            </c:numRef>
          </c:val>
          <c:smooth val="0"/>
          <c:extLst>
            <c:ext xmlns:c16="http://schemas.microsoft.com/office/drawing/2014/chart" uri="{C3380CC4-5D6E-409C-BE32-E72D297353CC}">
              <c16:uniqueId val="{00000001-44F7-4870-98EC-5ED7AF60689B}"/>
            </c:ext>
          </c:extLst>
        </c:ser>
        <c:ser>
          <c:idx val="2"/>
          <c:order val="2"/>
          <c:tx>
            <c:v>VIN-max</c:v>
          </c:tx>
          <c:spPr>
            <a:ln>
              <a:solidFill>
                <a:srgbClr val="0000FF"/>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24.410182474173688</c:v>
                </c:pt>
                <c:pt idx="2">
                  <c:v>48.820364948347375</c:v>
                </c:pt>
                <c:pt idx="3">
                  <c:v>73.23054742252107</c:v>
                </c:pt>
                <c:pt idx="4">
                  <c:v>97.640729896694751</c:v>
                </c:pt>
                <c:pt idx="5">
                  <c:v>122.05091237086843</c:v>
                </c:pt>
                <c:pt idx="6">
                  <c:v>146.46109484504214</c:v>
                </c:pt>
                <c:pt idx="7">
                  <c:v>170.87127731921581</c:v>
                </c:pt>
                <c:pt idx="8">
                  <c:v>195.2814597933895</c:v>
                </c:pt>
                <c:pt idx="9">
                  <c:v>219.69164226756317</c:v>
                </c:pt>
                <c:pt idx="10">
                  <c:v>244.10182474173686</c:v>
                </c:pt>
                <c:pt idx="11">
                  <c:v>268.51200721591056</c:v>
                </c:pt>
                <c:pt idx="12">
                  <c:v>292.92218969008428</c:v>
                </c:pt>
                <c:pt idx="13">
                  <c:v>317.33237216425795</c:v>
                </c:pt>
                <c:pt idx="14">
                  <c:v>341.74255463843161</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349.84582825912429</c:v>
                </c:pt>
                <c:pt idx="73">
                  <c:v>345.24746841868051</c:v>
                </c:pt>
                <c:pt idx="74">
                  <c:v>340.7654995553907</c:v>
                </c:pt>
                <c:pt idx="75">
                  <c:v>336.3955746442428</c:v>
                </c:pt>
                <c:pt idx="76">
                  <c:v>332.13356014251076</c:v>
                </c:pt>
                <c:pt idx="77">
                  <c:v>327.97552305415502</c:v>
                </c:pt>
                <c:pt idx="78">
                  <c:v>323.91771892306201</c:v>
                </c:pt>
                <c:pt idx="79">
                  <c:v>319.95658067825906</c:v>
                </c:pt>
                <c:pt idx="80">
                  <c:v>316.08870826142356</c:v>
                </c:pt>
                <c:pt idx="81">
                  <c:v>312.31085897343968</c:v>
                </c:pt>
                <c:pt idx="82">
                  <c:v>308.60748922151515</c:v>
                </c:pt>
                <c:pt idx="83">
                  <c:v>304.88419370178673</c:v>
                </c:pt>
                <c:pt idx="84">
                  <c:v>301.24359771632385</c:v>
                </c:pt>
                <c:pt idx="85">
                  <c:v>297.68296737425777</c:v>
                </c:pt>
                <c:pt idx="86">
                  <c:v>294.19968796025506</c:v>
                </c:pt>
                <c:pt idx="87">
                  <c:v>290.79125751065101</c:v>
                </c:pt>
                <c:pt idx="88">
                  <c:v>287.45528080066526</c:v>
                </c:pt>
                <c:pt idx="89">
                  <c:v>284.1894637123346</c:v>
                </c:pt>
                <c:pt idx="90">
                  <c:v>280.99160795533351</c:v>
                </c:pt>
                <c:pt idx="91">
                  <c:v>277.85960611515105</c:v>
                </c:pt>
                <c:pt idx="92">
                  <c:v>274.79143700518421</c:v>
                </c:pt>
                <c:pt idx="93">
                  <c:v>271.78516130121056</c:v>
                </c:pt>
                <c:pt idx="94">
                  <c:v>268.83891743841929</c:v>
                </c:pt>
                <c:pt idx="95">
                  <c:v>265.95091775276524</c:v>
                </c:pt>
                <c:pt idx="96">
                  <c:v>263.11944484983843</c:v>
                </c:pt>
                <c:pt idx="97">
                  <c:v>260.34284818574787</c:v>
                </c:pt>
                <c:pt idx="98">
                  <c:v>257.61954084572073</c:v>
                </c:pt>
                <c:pt idx="99">
                  <c:v>254.94799650720185</c:v>
                </c:pt>
                <c:pt idx="100">
                  <c:v>252.32674657524345</c:v>
                </c:pt>
              </c:numCache>
            </c:numRef>
          </c:val>
          <c:smooth val="0"/>
          <c:extLst>
            <c:ext xmlns:c16="http://schemas.microsoft.com/office/drawing/2014/chart" uri="{C3380CC4-5D6E-409C-BE32-E72D297353CC}">
              <c16:uniqueId val="{00000002-44F7-4870-98EC-5ED7AF60689B}"/>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44F7-4870-98EC-5ED7AF60689B}"/>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44F7-4870-98EC-5ED7AF60689B}"/>
              </c:ext>
            </c:extLst>
          </c:dPt>
          <c:dPt>
            <c:idx val="92"/>
            <c:bubble3D val="0"/>
            <c:extLst>
              <c:ext xmlns:c16="http://schemas.microsoft.com/office/drawing/2014/chart" uri="{C3380CC4-5D6E-409C-BE32-E72D297353CC}">
                <c16:uniqueId val="{00000005-44F7-4870-98EC-5ED7AF60689B}"/>
              </c:ext>
            </c:extLst>
          </c:dPt>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44F7-4870-98EC-5ED7AF60689B}"/>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43.000000000000007</c:v>
                </c:pt>
                <c:pt idx="44">
                  <c:v>44.000000000000007</c:v>
                </c:pt>
                <c:pt idx="45">
                  <c:v>45.000000000000007</c:v>
                </c:pt>
                <c:pt idx="46">
                  <c:v>46.000000000000007</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84.000000000000014</c:v>
                </c:pt>
                <c:pt idx="85">
                  <c:v>85.000000000000014</c:v>
                </c:pt>
                <c:pt idx="86">
                  <c:v>86.000000000000014</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44F7-4870-98EC-5ED7AF60689B}"/>
            </c:ext>
          </c:extLst>
        </c:ser>
        <c:dLbls>
          <c:showLegendKey val="0"/>
          <c:showVal val="0"/>
          <c:showCatName val="0"/>
          <c:showSerName val="0"/>
          <c:showPercent val="0"/>
          <c:showBubbleSize val="0"/>
        </c:dLbls>
        <c:smooth val="0"/>
        <c:axId val="452326144"/>
        <c:axId val="452328448"/>
      </c:lineChart>
      <c:catAx>
        <c:axId val="452326144"/>
        <c:scaling>
          <c:orientation val="minMax"/>
        </c:scaling>
        <c:delete val="0"/>
        <c:axPos val="b"/>
        <c:majorGridlines>
          <c:spPr>
            <a:ln w="15875">
              <a:solidFill>
                <a:srgbClr val="969696"/>
              </a:solidFill>
              <a:prstDash val="sysDash"/>
            </a:ln>
          </c:spPr>
        </c:majorGridlines>
        <c:title>
          <c:tx>
            <c:rich>
              <a:bodyPr/>
              <a:lstStyle/>
              <a:p>
                <a:pPr>
                  <a:defRPr lang="ja-JP"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8448"/>
        <c:crosses val="autoZero"/>
        <c:auto val="1"/>
        <c:lblAlgn val="ctr"/>
        <c:lblOffset val="100"/>
        <c:tickLblSkip val="20"/>
        <c:tickMarkSkip val="10"/>
        <c:noMultiLvlLbl val="0"/>
      </c:catAx>
      <c:valAx>
        <c:axId val="452328448"/>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6144"/>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BE97-48FA-B330-74E933417AF3}"/>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BE97-48FA-B330-74E933417AF3}"/>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BE97-48FA-B330-74E933417AF3}"/>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BE97-48FA-B330-74E933417AF3}"/>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BE97-48FA-B330-74E933417AF3}"/>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BE97-48FA-B330-74E933417AF3}"/>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BE97-48FA-B330-74E933417AF3}"/>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BE97-48FA-B330-74E933417AF3}"/>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BE97-48FA-B330-74E933417AF3}"/>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BE97-48FA-B330-74E933417AF3}"/>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BE97-48FA-B330-74E933417AF3}"/>
            </c:ext>
          </c:extLst>
        </c:ser>
        <c:dLbls>
          <c:showLegendKey val="0"/>
          <c:showVal val="0"/>
          <c:showCatName val="0"/>
          <c:showSerName val="0"/>
          <c:showPercent val="0"/>
          <c:showBubbleSize val="0"/>
        </c:dLbls>
        <c:axId val="447280256"/>
        <c:axId val="447282176"/>
      </c:areaChart>
      <c:catAx>
        <c:axId val="44728025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282176"/>
        <c:crosses val="autoZero"/>
        <c:auto val="1"/>
        <c:lblAlgn val="ctr"/>
        <c:lblOffset val="100"/>
        <c:tickMarkSkip val="1"/>
        <c:noMultiLvlLbl val="0"/>
      </c:catAx>
      <c:valAx>
        <c:axId val="447282176"/>
        <c:scaling>
          <c:orientation val="minMax"/>
          <c:max val="0.2"/>
          <c:min val="0"/>
        </c:scaling>
        <c:delete val="0"/>
        <c:axPos val="l"/>
        <c:majorGridlines>
          <c:spPr>
            <a:ln w="3175">
              <a:solidFill>
                <a:srgbClr val="000000"/>
              </a:solidFill>
              <a:prstDash val="solid"/>
            </a:ln>
          </c:spPr>
        </c:majorGridlines>
        <c:min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280256"/>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6E96-4528-9036-34F1ACDA388E}"/>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E96-4528-9036-34F1ACDA388E}"/>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6E96-4528-9036-34F1ACDA388E}"/>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E96-4528-9036-34F1ACDA388E}"/>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6E96-4528-9036-34F1ACDA388E}"/>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6E96-4528-9036-34F1ACDA388E}"/>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6E96-4528-9036-34F1ACDA388E}"/>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6E96-4528-9036-34F1ACDA388E}"/>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6E96-4528-9036-34F1ACDA388E}"/>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6E96-4528-9036-34F1ACDA388E}"/>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6E96-4528-9036-34F1ACDA388E}"/>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6E96-4528-9036-34F1ACDA388E}"/>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6E96-4528-9036-34F1ACDA388E}"/>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6E96-4528-9036-34F1ACDA388E}"/>
            </c:ext>
          </c:extLst>
        </c:ser>
        <c:dLbls>
          <c:showLegendKey val="0"/>
          <c:showVal val="0"/>
          <c:showCatName val="0"/>
          <c:showSerName val="0"/>
          <c:showPercent val="0"/>
          <c:showBubbleSize val="0"/>
        </c:dLbls>
        <c:gapWidth val="101"/>
        <c:overlap val="-70"/>
        <c:axId val="447021056"/>
        <c:axId val="447022592"/>
      </c:barChart>
      <c:catAx>
        <c:axId val="447021056"/>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022592"/>
        <c:crossesAt val="0"/>
        <c:auto val="1"/>
        <c:lblAlgn val="ctr"/>
        <c:lblOffset val="100"/>
        <c:noMultiLvlLbl val="0"/>
      </c:catAx>
      <c:valAx>
        <c:axId val="447022592"/>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021056"/>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7A9A-4B30-813C-2F4CDFF889B0}"/>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7A9A-4B30-813C-2F4CDFF889B0}"/>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7A9A-4B30-813C-2F4CDFF889B0}"/>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7A9A-4B30-813C-2F4CDFF889B0}"/>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7A9A-4B30-813C-2F4CDFF889B0}"/>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7A9A-4B30-813C-2F4CDFF889B0}"/>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7A9A-4B30-813C-2F4CDFF889B0}"/>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7A9A-4B30-813C-2F4CDFF889B0}"/>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7A9A-4B30-813C-2F4CDFF889B0}"/>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7A9A-4B30-813C-2F4CDFF889B0}"/>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7A9A-4B30-813C-2F4CDFF889B0}"/>
            </c:ext>
          </c:extLst>
        </c:ser>
        <c:dLbls>
          <c:showLegendKey val="0"/>
          <c:showVal val="0"/>
          <c:showCatName val="0"/>
          <c:showSerName val="0"/>
          <c:showPercent val="0"/>
          <c:showBubbleSize val="0"/>
        </c:dLbls>
        <c:axId val="447100416"/>
        <c:axId val="447102336"/>
      </c:areaChart>
      <c:catAx>
        <c:axId val="44710041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102336"/>
        <c:crosses val="autoZero"/>
        <c:auto val="1"/>
        <c:lblAlgn val="ctr"/>
        <c:lblOffset val="100"/>
        <c:tickMarkSkip val="1"/>
        <c:noMultiLvlLbl val="0"/>
      </c:catAx>
      <c:valAx>
        <c:axId val="447102336"/>
        <c:scaling>
          <c:orientation val="minMax"/>
          <c:max val="0.2"/>
          <c:min val="0"/>
        </c:scaling>
        <c:delete val="0"/>
        <c:axPos val="l"/>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100416"/>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0</c:v>
                </c:pt>
                <c:pt idx="1">
                  <c:v>0</c:v>
                </c:pt>
                <c:pt idx="2">
                  <c:v>0</c:v>
                </c:pt>
                <c:pt idx="3">
                  <c:v>0</c:v>
                </c:pt>
                <c:pt idx="100">
                  <c:v>0</c:v>
                </c:pt>
              </c:numCache>
            </c:numRef>
          </c:cat>
          <c:val>
            <c:numRef>
              <c:f>Parameters!$BZ$6:$BZ$106</c:f>
              <c:numCache>
                <c:formatCode>0.00</c:formatCode>
                <c:ptCount val="101"/>
                <c:pt idx="0">
                  <c:v>0</c:v>
                </c:pt>
                <c:pt idx="1">
                  <c:v>0</c:v>
                </c:pt>
                <c:pt idx="2">
                  <c:v>0</c:v>
                </c:pt>
                <c:pt idx="3">
                  <c:v>0</c:v>
                </c:pt>
                <c:pt idx="100">
                  <c:v>0</c:v>
                </c:pt>
              </c:numCache>
            </c:numRef>
          </c:val>
          <c:smooth val="1"/>
          <c:extLst>
            <c:ext xmlns:c16="http://schemas.microsoft.com/office/drawing/2014/chart" uri="{C3380CC4-5D6E-409C-BE32-E72D297353CC}">
              <c16:uniqueId val="{00000000-D674-43A0-9F82-F4A92FBE8268}"/>
            </c:ext>
          </c:extLst>
        </c:ser>
        <c:dLbls>
          <c:showLegendKey val="0"/>
          <c:showVal val="0"/>
          <c:showCatName val="0"/>
          <c:showSerName val="0"/>
          <c:showPercent val="0"/>
          <c:showBubbleSize val="0"/>
        </c:dLbls>
        <c:marker val="1"/>
        <c:smooth val="0"/>
        <c:axId val="447149952"/>
        <c:axId val="447291392"/>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0</c:v>
                </c:pt>
                <c:pt idx="1">
                  <c:v>0</c:v>
                </c:pt>
                <c:pt idx="2">
                  <c:v>0</c:v>
                </c:pt>
                <c:pt idx="3">
                  <c:v>0</c:v>
                </c:pt>
                <c:pt idx="100">
                  <c:v>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D674-43A0-9F82-F4A92FBE8268}"/>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0</c:v>
                </c:pt>
                <c:pt idx="1">
                  <c:v>0</c:v>
                </c:pt>
                <c:pt idx="2">
                  <c:v>0</c:v>
                </c:pt>
                <c:pt idx="3">
                  <c:v>0</c:v>
                </c:pt>
                <c:pt idx="100">
                  <c:v>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D674-43A0-9F82-F4A92FBE8268}"/>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0</c:v>
                </c:pt>
                <c:pt idx="1">
                  <c:v>0</c:v>
                </c:pt>
                <c:pt idx="2">
                  <c:v>0</c:v>
                </c:pt>
                <c:pt idx="3">
                  <c:v>0</c:v>
                </c:pt>
                <c:pt idx="100">
                  <c:v>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D674-43A0-9F82-F4A92FBE8268}"/>
            </c:ext>
          </c:extLst>
        </c:ser>
        <c:dLbls>
          <c:showLegendKey val="0"/>
          <c:showVal val="0"/>
          <c:showCatName val="0"/>
          <c:showSerName val="0"/>
          <c:showPercent val="0"/>
          <c:showBubbleSize val="0"/>
        </c:dLbls>
        <c:marker val="1"/>
        <c:smooth val="0"/>
        <c:axId val="447303680"/>
        <c:axId val="447293312"/>
      </c:lineChart>
      <c:catAx>
        <c:axId val="447149952"/>
        <c:scaling>
          <c:orientation val="minMax"/>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291392"/>
        <c:crosses val="autoZero"/>
        <c:auto val="1"/>
        <c:lblAlgn val="ctr"/>
        <c:lblOffset val="100"/>
        <c:tickLblSkip val="20"/>
        <c:tickMarkSkip val="20"/>
        <c:noMultiLvlLbl val="0"/>
      </c:catAx>
      <c:valAx>
        <c:axId val="447291392"/>
        <c:scaling>
          <c:orientation val="minMax"/>
          <c:max val="95"/>
          <c:min val="65"/>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149952"/>
        <c:crossesAt val="0"/>
        <c:crossBetween val="between"/>
        <c:majorUnit val="5"/>
        <c:minorUnit val="2.5"/>
      </c:valAx>
      <c:valAx>
        <c:axId val="447293312"/>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303680"/>
        <c:crosses val="max"/>
        <c:crossBetween val="between"/>
      </c:valAx>
      <c:catAx>
        <c:axId val="447303680"/>
        <c:scaling>
          <c:orientation val="minMax"/>
        </c:scaling>
        <c:delete val="1"/>
        <c:axPos val="b"/>
        <c:numFmt formatCode="0.000" sourceLinked="1"/>
        <c:majorTickMark val="out"/>
        <c:minorTickMark val="none"/>
        <c:tickLblPos val="nextTo"/>
        <c:crossAx val="4472933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Parameters!$BZ$6:$BZ$106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0-5AFA-4F10-B325-54957BB039CB}"/>
            </c:ext>
          </c:extLst>
        </c:ser>
        <c:dLbls>
          <c:showLegendKey val="0"/>
          <c:showVal val="0"/>
          <c:showCatName val="0"/>
          <c:showSerName val="0"/>
          <c:showPercent val="0"/>
          <c:showBubbleSize val="0"/>
        </c:dLbls>
        <c:axId val="447422464"/>
        <c:axId val="44742438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5AFA-4F10-B325-54957BB039CB}"/>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5AFA-4F10-B325-54957BB039CB}"/>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5AFA-4F10-B325-54957BB039CB}"/>
            </c:ext>
          </c:extLst>
        </c:ser>
        <c:dLbls>
          <c:showLegendKey val="0"/>
          <c:showVal val="0"/>
          <c:showCatName val="0"/>
          <c:showSerName val="0"/>
          <c:showPercent val="0"/>
          <c:showBubbleSize val="0"/>
        </c:dLbls>
        <c:axId val="447432576"/>
        <c:axId val="447430656"/>
      </c:scatterChart>
      <c:valAx>
        <c:axId val="447422464"/>
        <c:scaling>
          <c:logBase val="10"/>
          <c:orientation val="minMax"/>
          <c:min val="0.1"/>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424384"/>
        <c:crosses val="autoZero"/>
        <c:crossBetween val="midCat"/>
      </c:valAx>
      <c:valAx>
        <c:axId val="447424384"/>
        <c:scaling>
          <c:orientation val="minMax"/>
          <c:max val="95"/>
          <c:min val="60"/>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422464"/>
        <c:crossesAt val="0"/>
        <c:crossBetween val="midCat"/>
        <c:majorUnit val="5"/>
        <c:minorUnit val="2.5"/>
      </c:valAx>
      <c:valAx>
        <c:axId val="447430656"/>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432576"/>
        <c:crosses val="max"/>
        <c:crossBetween val="midCat"/>
      </c:valAx>
      <c:valAx>
        <c:axId val="447432576"/>
        <c:scaling>
          <c:logBase val="10"/>
          <c:orientation val="minMax"/>
        </c:scaling>
        <c:delete val="1"/>
        <c:axPos val="b"/>
        <c:numFmt formatCode="0.000" sourceLinked="1"/>
        <c:majorTickMark val="out"/>
        <c:minorTickMark val="none"/>
        <c:tickLblPos val="nextTo"/>
        <c:crossAx val="447430656"/>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EB60-43FD-9662-DE13960A76D7}"/>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EB60-43FD-9662-DE13960A76D7}"/>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EB60-43FD-9662-DE13960A76D7}"/>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B60-43FD-9662-DE13960A76D7}"/>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EB60-43FD-9662-DE13960A76D7}"/>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EB60-43FD-9662-DE13960A76D7}"/>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EB60-43FD-9662-DE13960A76D7}"/>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EB60-43FD-9662-DE13960A76D7}"/>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EB60-43FD-9662-DE13960A76D7}"/>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EB60-43FD-9662-DE13960A76D7}"/>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EB60-43FD-9662-DE13960A76D7}"/>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EB60-43FD-9662-DE13960A76D7}"/>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B60-43FD-9662-DE13960A76D7}"/>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EB60-43FD-9662-DE13960A76D7}"/>
            </c:ext>
          </c:extLst>
        </c:ser>
        <c:dLbls>
          <c:showLegendKey val="0"/>
          <c:showVal val="0"/>
          <c:showCatName val="0"/>
          <c:showSerName val="0"/>
          <c:showPercent val="0"/>
          <c:showBubbleSize val="0"/>
        </c:dLbls>
        <c:gapWidth val="101"/>
        <c:overlap val="-70"/>
        <c:axId val="447632128"/>
        <c:axId val="447633664"/>
      </c:barChart>
      <c:catAx>
        <c:axId val="44763212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633664"/>
        <c:crossesAt val="0"/>
        <c:auto val="1"/>
        <c:lblAlgn val="ctr"/>
        <c:lblOffset val="100"/>
        <c:noMultiLvlLbl val="0"/>
      </c:catAx>
      <c:valAx>
        <c:axId val="447633664"/>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63212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16" fmlaLink="'BOM &amp; Schematic'!$Q$31" fmlaRange="'Variable Mgmt'!$R$79:$R$83" noThreeD="1" sel="1" val="0"/>
</file>

<file path=xl/ctrlProps/ctrlProp11.xml><?xml version="1.0" encoding="utf-8"?>
<formControlPr xmlns="http://schemas.microsoft.com/office/spreadsheetml/2009/9/main" objectType="Drop" dropStyle="combo" dx="16" fmlaLink="$Q$32" fmlaRange="'Variable Mgmt'!$R$79:$R$83" noThreeD="1" sel="5" val="0"/>
</file>

<file path=xl/ctrlProps/ctrlProp12.xml><?xml version="1.0" encoding="utf-8"?>
<formControlPr xmlns="http://schemas.microsoft.com/office/spreadsheetml/2009/9/main" objectType="Drop" dropStyle="combo" dx="16" fmlaLink="$Q$40" fmlaRange="'Variable Mgmt'!$W$88:$W$91" noThreeD="1" sel="3" val="0"/>
</file>

<file path=xl/ctrlProps/ctrlProp13.xml><?xml version="1.0" encoding="utf-8"?>
<formControlPr xmlns="http://schemas.microsoft.com/office/spreadsheetml/2009/9/main" objectType="Drop" dropStyle="combo" dx="16" fmlaLink="$Q$47" fmlaRange="'Variable Mgmt'!$R$79:$R$81" noThreeD="1" sel="3" val="0"/>
</file>

<file path=xl/ctrlProps/ctrlProp14.xml><?xml version="1.0" encoding="utf-8"?>
<formControlPr xmlns="http://schemas.microsoft.com/office/spreadsheetml/2009/9/main" objectType="Drop" dropStyle="combo" dx="16" fmlaLink="$Q$42" fmlaRange="'Variable Mgmt'!$W$88:$W$91" noThreeD="1" sel="4" val="0"/>
</file>

<file path=xl/ctrlProps/ctrlProp15.xml><?xml version="1.0" encoding="utf-8"?>
<formControlPr xmlns="http://schemas.microsoft.com/office/spreadsheetml/2009/9/main" objectType="Drop" dropStyle="combo" dx="16" fmlaLink="$Q$41" fmlaRange="'Variable Mgmt'!$W$88:$W$91" noThreeD="1" sel="1" val="0"/>
</file>

<file path=xl/ctrlProps/ctrlProp16.xml><?xml version="1.0" encoding="utf-8"?>
<formControlPr xmlns="http://schemas.microsoft.com/office/spreadsheetml/2009/9/main" objectType="Drop" dropStyle="combo" dx="16" fmlaLink="$Q$46" fmlaRange="'Variable Mgmt'!$R$79:$R$81" noThreeD="1" sel="2" val="0"/>
</file>

<file path=xl/ctrlProps/ctrlProp17.xml><?xml version="1.0" encoding="utf-8"?>
<formControlPr xmlns="http://schemas.microsoft.com/office/spreadsheetml/2009/9/main" objectType="Drop" dropStyle="combo" dx="16" fmlaLink="$Q$48" fmlaRange="'Variable Mgmt'!$R$79:$R$81" noThreeD="1" sel="1" val="0"/>
</file>

<file path=xl/ctrlProps/ctrlProp18.xml><?xml version="1.0" encoding="utf-8"?>
<formControlPr xmlns="http://schemas.microsoft.com/office/spreadsheetml/2009/9/main" objectType="Drop" dropStyle="combo" dx="16" fmlaLink="$Q$49" fmlaRange="'Variable Mgmt'!$R$79:$R$81" noThreeD="1" sel="1" val="0"/>
</file>

<file path=xl/ctrlProps/ctrlProp19.xml><?xml version="1.0" encoding="utf-8"?>
<formControlPr xmlns="http://schemas.microsoft.com/office/spreadsheetml/2009/9/main" objectType="Drop" dropStyle="combo" dx="16" fmlaLink="$Q$50" fmlaRange="'Variable Mgmt'!$R$79:$R$81" noThreeD="1" sel="1" val="0"/>
</file>

<file path=xl/ctrlProps/ctrlProp2.xml><?xml version="1.0" encoding="utf-8"?>
<formControlPr xmlns="http://schemas.microsoft.com/office/spreadsheetml/2009/9/main" objectType="Drop" dropStyle="combo" dx="16" fmlaLink="'Variable Mgmt'!$J$78" fmlaRange="'Variable Mgmt'!$I$76:$I$77" noThreeD="1" sel="1" val="0"/>
</file>

<file path=xl/ctrlProps/ctrlProp20.xml><?xml version="1.0" encoding="utf-8"?>
<formControlPr xmlns="http://schemas.microsoft.com/office/spreadsheetml/2009/9/main" objectType="Drop" dropStyle="combo" dx="16" fmlaLink="$Q$39" fmlaRange="'Variable Mgmt'!$W$88:$W$91" noThreeD="1" sel="3" val="0"/>
</file>

<file path=xl/ctrlProps/ctrlProp21.xml><?xml version="1.0" encoding="utf-8"?>
<formControlPr xmlns="http://schemas.microsoft.com/office/spreadsheetml/2009/9/main" objectType="Drop" dropStyle="combo" dx="16" fmlaLink="$Q$54" fmlaRange="'Variable Mgmt'!$R$89:$R$96" noThreeD="1" sel="8" val="0"/>
</file>

<file path=xl/ctrlProps/ctrlProp22.xml><?xml version="1.0" encoding="utf-8"?>
<formControlPr xmlns="http://schemas.microsoft.com/office/spreadsheetml/2009/9/main" objectType="Drop" dropStyle="combo" dx="16" fmlaLink="$Q$33" fmlaRange="'Variable Mgmt'!$R$79:$R$83" noThreeD="1" sel="5" val="0"/>
</file>

<file path=xl/ctrlProps/ctrlProp23.xml><?xml version="1.0" encoding="utf-8"?>
<formControlPr xmlns="http://schemas.microsoft.com/office/spreadsheetml/2009/9/main" objectType="Drop" dropStyle="combo" dx="16" fmlaLink="$Q$43" fmlaRange="'Variable Mgmt'!$W$88:$W$91" noThreeD="1" sel="3" val="0"/>
</file>

<file path=xl/ctrlProps/ctrlProp24.xml><?xml version="1.0" encoding="utf-8"?>
<formControlPr xmlns="http://schemas.microsoft.com/office/spreadsheetml/2009/9/main" objectType="Drop" dropStyle="combo" dx="16" fmlaLink="$Q$52" fmlaRange="'Variable Mgmt'!$R$79:$R$81" noThreeD="1" sel="2" val="0"/>
</file>

<file path=xl/ctrlProps/ctrlProp25.xml><?xml version="1.0" encoding="utf-8"?>
<formControlPr xmlns="http://schemas.microsoft.com/office/spreadsheetml/2009/9/main" objectType="Drop" dropStyle="combo" dx="16" fmlaLink="$Q$53" fmlaRange="'Variable Mgmt'!$R$79:$R$81" noThreeD="1" sel="1" val="0"/>
</file>

<file path=xl/ctrlProps/ctrlProp26.xml><?xml version="1.0" encoding="utf-8"?>
<formControlPr xmlns="http://schemas.microsoft.com/office/spreadsheetml/2009/9/main" objectType="Drop" dropStyle="combo" dx="16" fmlaLink="'BOM &amp; Schematic'!$Q$35" fmlaRange="'Variable Mgmt'!$R$79:$R$83" noThreeD="1" sel="3" val="0"/>
</file>

<file path=xl/ctrlProps/ctrlProp27.xml><?xml version="1.0" encoding="utf-8"?>
<formControlPr xmlns="http://schemas.microsoft.com/office/spreadsheetml/2009/9/main" objectType="Drop" dropStyle="combo" dx="16" fmlaLink="$Q$44" fmlaRange="'Variable Mgmt'!$W$88:$W$91" noThreeD="1" sel="3" val="0"/>
</file>

<file path=xl/ctrlProps/ctrlProp28.xml><?xml version="1.0" encoding="utf-8"?>
<formControlPr xmlns="http://schemas.microsoft.com/office/spreadsheetml/2009/9/main" objectType="Drop" dropStyle="combo" dx="16" fmlaLink="'BOM &amp; Schematic'!$Q$36" fmlaRange="'Variable Mgmt'!$R$79:$R$83" noThreeD="1" sel="4" val="0"/>
</file>

<file path=xl/ctrlProps/ctrlProp29.xml><?xml version="1.0" encoding="utf-8"?>
<formControlPr xmlns="http://schemas.microsoft.com/office/spreadsheetml/2009/9/main" objectType="Drop" dropStyle="combo" dx="16" fmlaLink="'BOM &amp; Schematic'!$Q$37" fmlaRange="'Variable Mgmt'!$R$79:$R$83" noThreeD="1" sel="2" val="0"/>
</file>

<file path=xl/ctrlProps/ctrlProp3.xml><?xml version="1.0" encoding="utf-8"?>
<formControlPr xmlns="http://schemas.microsoft.com/office/spreadsheetml/2009/9/main" objectType="Drop" dropLines="2" dropStyle="combo" dx="16" fmlaLink="'Variable Mgmt'!$G$78" fmlaRange="'Variable Mgmt'!$F$76:$F$77" noThreeD="1" sel="1" val="0"/>
</file>

<file path=xl/ctrlProps/ctrlProp30.xml><?xml version="1.0" encoding="utf-8"?>
<formControlPr xmlns="http://schemas.microsoft.com/office/spreadsheetml/2009/9/main" objectType="Drop" dropStyle="combo" dx="16" fmlaLink="'BOM &amp; Schematic'!$Q$38" fmlaRange="'Variable Mgmt'!$R$79:$R$83" noThreeD="1" sel="1" val="0"/>
</file>

<file path=xl/ctrlProps/ctrlProp31.xml><?xml version="1.0" encoding="utf-8"?>
<formControlPr xmlns="http://schemas.microsoft.com/office/spreadsheetml/2009/9/main" objectType="Drop" dropStyle="combo" dx="16" fmlaLink="$Q$51" fmlaRange="'Variable Mgmt'!$R$79:$R$84" noThreeD="1" sel="6" val="0"/>
</file>

<file path=xl/ctrlProps/ctrlProp4.xml><?xml version="1.0" encoding="utf-8"?>
<formControlPr xmlns="http://schemas.microsoft.com/office/spreadsheetml/2009/9/main" objectType="Drop" dropLines="10" dropStyle="combo" dx="16" fmlaLink="'Variable Mgmt'!$S$61" fmlaRange="'Variable Mgmt'!$R$28:$R$60" noThreeD="1" sel="27" val="23"/>
</file>

<file path=xl/ctrlProps/ctrlProp5.xml><?xml version="1.0" encoding="utf-8"?>
<formControlPr xmlns="http://schemas.microsoft.com/office/spreadsheetml/2009/9/main" objectType="Drop" dropStyle="combo" dx="16" fmlaLink="'Variable Mgmt'!$G$72" fmlaRange="'Variable Mgmt'!$F$70:$F$71" noThreeD="1" sel="1" val="0"/>
</file>

<file path=xl/ctrlProps/ctrlProp6.xml><?xml version="1.0" encoding="utf-8"?>
<formControlPr xmlns="http://schemas.microsoft.com/office/spreadsheetml/2009/9/main" objectType="Drop" dropLines="10" dropStyle="combo" dx="16" fmlaLink="'Variable Mgmt'!$C$73" fmlaRange="'Variable Mgmt'!$B$70:$B$71" noThreeD="1" sel="2" val="0"/>
</file>

<file path=xl/ctrlProps/ctrlProp7.xml><?xml version="1.0" encoding="utf-8"?>
<formControlPr xmlns="http://schemas.microsoft.com/office/spreadsheetml/2009/9/main" objectType="Spin" dx="16" fmlaLink="$E$7" max="95" min="3" page="10" val="12"/>
</file>

<file path=xl/ctrlProps/ctrlProp8.xml><?xml version="1.0" encoding="utf-8"?>
<formControlPr xmlns="http://schemas.microsoft.com/office/spreadsheetml/2009/9/main" objectType="Spin" dx="16" fmlaLink="$E$7" max="65" min="3" page="10" val="12"/>
</file>

<file path=xl/ctrlProps/ctrlProp9.xml><?xml version="1.0" encoding="utf-8"?>
<formControlPr xmlns="http://schemas.microsoft.com/office/spreadsheetml/2009/9/main" objectType="Drop" dropLines="2" dropStyle="combo" dx="16" fmlaLink="'Variable Mgmt'!$Q$20" fmlaRange="'Variable Mgmt'!$P$18:$P$19" noThreeD="1" sel="2" val="0"/>
</file>

<file path=xl/drawings/_rels/drawing1.xml.rels><?xml version="1.0" encoding="UTF-8" standalone="yes"?>
<Relationships xmlns="http://schemas.openxmlformats.org/package/2006/relationships"><Relationship Id="rId8" Type="http://schemas.openxmlformats.org/officeDocument/2006/relationships/hyperlink" Target="http://www.ti.com/automotive" TargetMode="External"/><Relationship Id="rId3" Type="http://schemas.openxmlformats.org/officeDocument/2006/relationships/image" Target="../media/image2.emf"/><Relationship Id="rId7" Type="http://schemas.openxmlformats.org/officeDocument/2006/relationships/image" Target="../media/image4.jpg"/><Relationship Id="rId2" Type="http://schemas.openxmlformats.org/officeDocument/2006/relationships/image" Target="../media/image1.emf"/><Relationship Id="rId1" Type="http://schemas.openxmlformats.org/officeDocument/2006/relationships/chart" Target="../charts/chart1.xml"/><Relationship Id="rId6" Type="http://schemas.openxmlformats.org/officeDocument/2006/relationships/hyperlink" Target="http://www.ti.com/industrial" TargetMode="External"/><Relationship Id="rId5" Type="http://schemas.openxmlformats.org/officeDocument/2006/relationships/image" Target="../media/image3.jpg"/><Relationship Id="rId10" Type="http://schemas.openxmlformats.org/officeDocument/2006/relationships/image" Target="../media/image6.emf"/><Relationship Id="rId4" Type="http://schemas.openxmlformats.org/officeDocument/2006/relationships/hyperlink" Target="http://www.ti.com/widevin" TargetMode="External"/><Relationship Id="rId9" Type="http://schemas.openxmlformats.org/officeDocument/2006/relationships/image" Target="../media/image5.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chart" Target="../charts/chart34.xml"/><Relationship Id="rId1"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png"/><Relationship Id="rId18" Type="http://schemas.openxmlformats.org/officeDocument/2006/relationships/image" Target="../media/image36.png"/><Relationship Id="rId3" Type="http://schemas.openxmlformats.org/officeDocument/2006/relationships/image" Target="../media/image21.png"/><Relationship Id="rId21" Type="http://schemas.openxmlformats.org/officeDocument/2006/relationships/image" Target="../media/image39.png"/><Relationship Id="rId7" Type="http://schemas.openxmlformats.org/officeDocument/2006/relationships/image" Target="../media/image25.png"/><Relationship Id="rId12" Type="http://schemas.openxmlformats.org/officeDocument/2006/relationships/image" Target="../media/image30.png"/><Relationship Id="rId17" Type="http://schemas.openxmlformats.org/officeDocument/2006/relationships/image" Target="../media/image35.png"/><Relationship Id="rId2" Type="http://schemas.openxmlformats.org/officeDocument/2006/relationships/image" Target="../media/image20.png"/><Relationship Id="rId16" Type="http://schemas.openxmlformats.org/officeDocument/2006/relationships/image" Target="../media/image34.png"/><Relationship Id="rId20" Type="http://schemas.openxmlformats.org/officeDocument/2006/relationships/image" Target="../media/image38.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24" Type="http://schemas.openxmlformats.org/officeDocument/2006/relationships/image" Target="../media/image42.png"/><Relationship Id="rId5" Type="http://schemas.openxmlformats.org/officeDocument/2006/relationships/image" Target="../media/image23.png"/><Relationship Id="rId15" Type="http://schemas.openxmlformats.org/officeDocument/2006/relationships/image" Target="../media/image33.png"/><Relationship Id="rId23" Type="http://schemas.openxmlformats.org/officeDocument/2006/relationships/image" Target="../media/image41.png"/><Relationship Id="rId10" Type="http://schemas.openxmlformats.org/officeDocument/2006/relationships/image" Target="../media/image28.png"/><Relationship Id="rId19" Type="http://schemas.openxmlformats.org/officeDocument/2006/relationships/image" Target="../media/image37.png"/><Relationship Id="rId4" Type="http://schemas.openxmlformats.org/officeDocument/2006/relationships/image" Target="../media/image22.png"/><Relationship Id="rId9" Type="http://schemas.openxmlformats.org/officeDocument/2006/relationships/image" Target="../media/image27.png"/><Relationship Id="rId14" Type="http://schemas.openxmlformats.org/officeDocument/2006/relationships/image" Target="../media/image32.png"/><Relationship Id="rId22" Type="http://schemas.openxmlformats.org/officeDocument/2006/relationships/image" Target="../media/image40.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image" Target="../media/image12.png"/><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304800</xdr:colOff>
          <xdr:row>0</xdr:row>
          <xdr:rowOff>412750</xdr:rowOff>
        </xdr:from>
        <xdr:to>
          <xdr:col>25</xdr:col>
          <xdr:colOff>215900</xdr:colOff>
          <xdr:row>1</xdr:row>
          <xdr:rowOff>63500</xdr:rowOff>
        </xdr:to>
        <xdr:sp macro="" textlink="">
          <xdr:nvSpPr>
            <xdr:cNvPr id="751583" name="Drop Down 6111" hidden="1">
              <a:extLst>
                <a:ext uri="{63B3BB69-23CF-44E3-9099-C40C66FF867C}">
                  <a14:compatExt spid="_x0000_s751583"/>
                </a:ext>
                <a:ext uri="{FF2B5EF4-FFF2-40B4-BE49-F238E27FC236}">
                  <a16:creationId xmlns:a16="http://schemas.microsoft.com/office/drawing/2014/main" id="{00000000-0008-0000-0000-0000DF77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160440</xdr:colOff>
      <xdr:row>61</xdr:row>
      <xdr:rowOff>65734</xdr:rowOff>
    </xdr:from>
    <xdr:to>
      <xdr:col>25</xdr:col>
      <xdr:colOff>1592036</xdr:colOff>
      <xdr:row>84</xdr:row>
      <xdr:rowOff>153307</xdr:rowOff>
    </xdr:to>
    <xdr:graphicFrame macro="">
      <xdr:nvGraphicFramePr>
        <xdr:cNvPr id="66" name="Chart 1029">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490417</xdr:colOff>
          <xdr:row>37</xdr:row>
          <xdr:rowOff>67110</xdr:rowOff>
        </xdr:from>
        <xdr:to>
          <xdr:col>25</xdr:col>
          <xdr:colOff>1818528</xdr:colOff>
          <xdr:row>60</xdr:row>
          <xdr:rowOff>164616</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90097"/>
                </a:ext>
              </a:extLst>
            </xdr:cNvPicPr>
          </xdr:nvPicPr>
          <xdr:blipFill rotWithShape="1">
            <a:blip xmlns:r="http://schemas.openxmlformats.org/officeDocument/2006/relationships" r:embed="rId2"/>
            <a:srcRect r="5287"/>
            <a:stretch>
              <a:fillRect/>
            </a:stretch>
          </xdr:blipFill>
          <xdr:spPr bwMode="auto">
            <a:xfrm>
              <a:off x="11061299" y="8187639"/>
              <a:ext cx="6591701" cy="4061214"/>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97117</xdr:colOff>
          <xdr:row>4</xdr:row>
          <xdr:rowOff>94701</xdr:rowOff>
        </xdr:from>
        <xdr:to>
          <xdr:col>25</xdr:col>
          <xdr:colOff>1782295</xdr:colOff>
          <xdr:row>27</xdr:row>
          <xdr:rowOff>235885</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90098"/>
                </a:ext>
              </a:extLst>
            </xdr:cNvPicPr>
          </xdr:nvPicPr>
          <xdr:blipFill rotWithShape="1">
            <a:blip xmlns:r="http://schemas.openxmlformats.org/officeDocument/2006/relationships" r:embed="rId3"/>
            <a:srcRect l="1933" r="3398" b="1428"/>
            <a:stretch>
              <a:fillRect/>
            </a:stretch>
          </xdr:blipFill>
          <xdr:spPr bwMode="auto">
            <a:xfrm>
              <a:off x="8411882" y="1252642"/>
              <a:ext cx="9211235" cy="5119771"/>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23</xdr:col>
      <xdr:colOff>200592</xdr:colOff>
      <xdr:row>11</xdr:row>
      <xdr:rowOff>161472</xdr:rowOff>
    </xdr:from>
    <xdr:to>
      <xdr:col>24</xdr:col>
      <xdr:colOff>79535</xdr:colOff>
      <xdr:row>12</xdr:row>
      <xdr:rowOff>161833</xdr:rowOff>
    </xdr:to>
    <xdr:sp macro="" textlink="'Variable Mgmt'!B245">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5213806" y="2746829"/>
          <a:ext cx="523015" cy="199933"/>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900" b="0" i="0" u="none" strike="noStrike" baseline="0">
              <a:solidFill>
                <a:srgbClr val="000000"/>
              </a:solidFill>
              <a:latin typeface="Arial" pitchFamily="34" charset="0"/>
              <a:cs typeface="Arial" pitchFamily="34" charset="0"/>
            </a:rPr>
            <a:pPr algn="l" rtl="0">
              <a:defRPr sz="1000"/>
            </a:pPr>
            <a:t>10µF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20</xdr:col>
      <xdr:colOff>38775</xdr:colOff>
      <xdr:row>9</xdr:row>
      <xdr:rowOff>126072</xdr:rowOff>
    </xdr:from>
    <xdr:to>
      <xdr:col>20</xdr:col>
      <xdr:colOff>522128</xdr:colOff>
      <xdr:row>10</xdr:row>
      <xdr:rowOff>174517</xdr:rowOff>
    </xdr:to>
    <xdr:sp macro="" textlink="'Variable Mgmt'!B231">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3119775" y="2312286"/>
          <a:ext cx="483353" cy="248017"/>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900" b="0" i="0" u="none" strike="noStrike" baseline="0">
              <a:solidFill>
                <a:srgbClr val="000000"/>
              </a:solidFill>
              <a:latin typeface="Arial" pitchFamily="34" charset="0"/>
              <a:cs typeface="Arial" pitchFamily="34" charset="0"/>
            </a:rPr>
            <a:pPr algn="ctr" rtl="0">
              <a:defRPr sz="1000"/>
            </a:pPr>
            <a:t>0.5µH</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14</xdr:col>
      <xdr:colOff>58386</xdr:colOff>
      <xdr:row>11</xdr:row>
      <xdr:rowOff>73571</xdr:rowOff>
    </xdr:from>
    <xdr:to>
      <xdr:col>14</xdr:col>
      <xdr:colOff>563514</xdr:colOff>
      <xdr:row>12</xdr:row>
      <xdr:rowOff>64813</xdr:rowOff>
    </xdr:to>
    <xdr:sp macro="" textlink="'Variable Mgmt'!B250">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9030029" y="2658928"/>
          <a:ext cx="505128" cy="190814"/>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900" b="0" i="0" u="none" strike="noStrike" baseline="0">
              <a:solidFill>
                <a:srgbClr val="000000"/>
              </a:solidFill>
              <a:latin typeface="Arial" pitchFamily="34" charset="0"/>
              <a:cs typeface="Arial" pitchFamily="34" charset="0"/>
            </a:rPr>
            <a:pPr algn="ctr" rtl="0">
              <a:defRPr sz="1000"/>
            </a:pPr>
            <a:t>40µF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16</xdr:col>
      <xdr:colOff>4505</xdr:colOff>
      <xdr:row>15</xdr:row>
      <xdr:rowOff>73956</xdr:rowOff>
    </xdr:from>
    <xdr:to>
      <xdr:col>16</xdr:col>
      <xdr:colOff>479770</xdr:colOff>
      <xdr:row>16</xdr:row>
      <xdr:rowOff>161173</xdr:rowOff>
    </xdr:to>
    <xdr:sp macro="" textlink="'Variable Mgmt'!D277">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10327791" y="3457599"/>
          <a:ext cx="475265" cy="286788"/>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1100" b="0" i="0" u="none" strike="noStrike">
              <a:solidFill>
                <a:srgbClr val="000000"/>
              </a:solidFill>
              <a:latin typeface="Arial"/>
              <a:cs typeface="Arial"/>
            </a:rPr>
            <a:pPr algn="ctr" rtl="0">
              <a:defRPr sz="1000"/>
            </a:pPr>
            <a:t>100nF</a:t>
          </a:fld>
          <a:endParaRPr lang="en-US" sz="1100" b="0" i="0" strike="noStrike">
            <a:solidFill>
              <a:srgbClr val="000000"/>
            </a:solidFill>
            <a:latin typeface="Arial" pitchFamily="34" charset="0"/>
            <a:cs typeface="Arial" pitchFamily="34" charset="0"/>
          </a:endParaRPr>
        </a:p>
      </xdr:txBody>
    </xdr:sp>
    <xdr:clientData/>
  </xdr:twoCellAnchor>
  <xdr:twoCellAnchor>
    <xdr:from>
      <xdr:col>14</xdr:col>
      <xdr:colOff>118515</xdr:colOff>
      <xdr:row>5</xdr:row>
      <xdr:rowOff>122966</xdr:rowOff>
    </xdr:from>
    <xdr:to>
      <xdr:col>14</xdr:col>
      <xdr:colOff>612589</xdr:colOff>
      <xdr:row>8</xdr:row>
      <xdr:rowOff>13369</xdr:rowOff>
    </xdr:to>
    <xdr:sp macro="" textlink="'Variable Mgmt'!B237">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627515" y="1527437"/>
          <a:ext cx="494074" cy="45816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12.5V</a:t>
          </a:fld>
          <a:endParaRPr lang="en-US" sz="1400" b="1" i="0" strike="noStrike">
            <a:solidFill>
              <a:srgbClr val="FF0000"/>
            </a:solidFill>
            <a:latin typeface="Arial" pitchFamily="34" charset="0"/>
            <a:cs typeface="Arial" pitchFamily="34" charset="0"/>
          </a:endParaRPr>
        </a:p>
      </xdr:txBody>
    </xdr:sp>
    <xdr:clientData/>
  </xdr:twoCellAnchor>
  <xdr:twoCellAnchor>
    <xdr:from>
      <xdr:col>25</xdr:col>
      <xdr:colOff>1019168</xdr:colOff>
      <xdr:row>5</xdr:row>
      <xdr:rowOff>164211</xdr:rowOff>
    </xdr:from>
    <xdr:to>
      <xdr:col>25</xdr:col>
      <xdr:colOff>1685561</xdr:colOff>
      <xdr:row>7</xdr:row>
      <xdr:rowOff>133014</xdr:rowOff>
    </xdr:to>
    <xdr:sp macro="" textlink="'Variable Mgmt'!B240">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6535255" y="1561211"/>
          <a:ext cx="666393" cy="355325"/>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170V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25</xdr:col>
      <xdr:colOff>927554</xdr:colOff>
      <xdr:row>6</xdr:row>
      <xdr:rowOff>179163</xdr:rowOff>
    </xdr:from>
    <xdr:to>
      <xdr:col>25</xdr:col>
      <xdr:colOff>1476828</xdr:colOff>
      <xdr:row>8</xdr:row>
      <xdr:rowOff>112096</xdr:rowOff>
    </xdr:to>
    <xdr:sp macro="" textlink="'Variable Mgmt'!B295">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6443641" y="1780467"/>
          <a:ext cx="549274" cy="31945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0.6A</a:t>
          </a:fld>
          <a:endParaRPr lang="en-US" sz="135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127000</xdr:colOff>
          <xdr:row>6</xdr:row>
          <xdr:rowOff>12700</xdr:rowOff>
        </xdr:from>
        <xdr:to>
          <xdr:col>5</xdr:col>
          <xdr:colOff>304800</xdr:colOff>
          <xdr:row>7</xdr:row>
          <xdr:rowOff>31750</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214803</xdr:colOff>
      <xdr:row>11</xdr:row>
      <xdr:rowOff>121721</xdr:rowOff>
    </xdr:from>
    <xdr:to>
      <xdr:col>17</xdr:col>
      <xdr:colOff>63226</xdr:colOff>
      <xdr:row>12</xdr:row>
      <xdr:rowOff>163885</xdr:rowOff>
    </xdr:to>
    <xdr:sp macro="" textlink="'Variable Mgmt'!C269">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10538089" y="2707078"/>
          <a:ext cx="555994" cy="241736"/>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900" b="0" i="0" u="none" strike="noStrike">
              <a:solidFill>
                <a:srgbClr val="000000"/>
              </a:solidFill>
              <a:latin typeface="Arial"/>
              <a:cs typeface="Arial"/>
            </a:rPr>
            <a:pPr algn="l" rtl="0">
              <a:defRPr sz="1000"/>
            </a:pPr>
            <a:t>147kΩ</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228490</xdr:colOff>
      <xdr:row>15</xdr:row>
      <xdr:rowOff>49885</xdr:rowOff>
    </xdr:from>
    <xdr:to>
      <xdr:col>16</xdr:col>
      <xdr:colOff>76913</xdr:colOff>
      <xdr:row>16</xdr:row>
      <xdr:rowOff>157389</xdr:rowOff>
    </xdr:to>
    <xdr:sp macro="" textlink="'Variable Mgmt'!C270">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844204" y="3433528"/>
          <a:ext cx="555995" cy="307075"/>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900" b="0" i="0" u="none" strike="noStrike">
              <a:solidFill>
                <a:srgbClr val="000000"/>
              </a:solidFill>
              <a:latin typeface="Arial"/>
              <a:cs typeface="Arial"/>
            </a:rPr>
            <a:pPr algn="l" rtl="0">
              <a:defRPr sz="1000"/>
            </a:pPr>
            <a:t>34kΩ</a:t>
          </a:fld>
          <a:endParaRPr lang="el-GR" sz="900" b="0" i="0" strike="noStrike">
            <a:solidFill>
              <a:srgbClr val="000000"/>
            </a:solidFill>
            <a:latin typeface="Arial" pitchFamily="34" charset="0"/>
            <a:cs typeface="Arial" pitchFamily="34" charset="0"/>
          </a:endParaRPr>
        </a:p>
      </xdr:txBody>
    </xdr:sp>
    <xdr:clientData/>
  </xdr:twoCellAnchor>
  <xdr:twoCellAnchor>
    <xdr:from>
      <xdr:col>18</xdr:col>
      <xdr:colOff>676778</xdr:colOff>
      <xdr:row>16</xdr:row>
      <xdr:rowOff>6934</xdr:rowOff>
    </xdr:from>
    <xdr:to>
      <xdr:col>19</xdr:col>
      <xdr:colOff>538343</xdr:colOff>
      <xdr:row>17</xdr:row>
      <xdr:rowOff>35167</xdr:rowOff>
    </xdr:to>
    <xdr:sp macro="" textlink="'Variable Mgmt'!C259">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2415207" y="3590148"/>
          <a:ext cx="560065" cy="22780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900" b="0" i="0" u="none" strike="noStrike">
              <a:solidFill>
                <a:srgbClr val="000000"/>
              </a:solidFill>
              <a:latin typeface="Arial"/>
              <a:cs typeface="Arial"/>
            </a:rPr>
            <a:pPr algn="l" rtl="0">
              <a:defRPr sz="1000"/>
            </a:pPr>
            <a:t>85.3kΩ</a:t>
          </a:fld>
          <a:endParaRPr lang="el-GR" sz="1200" b="0" i="0" strike="noStrike">
            <a:solidFill>
              <a:srgbClr val="000000"/>
            </a:solidFill>
            <a:latin typeface="Arial" pitchFamily="34" charset="0"/>
            <a:cs typeface="Arial" pitchFamily="34" charset="0"/>
          </a:endParaRPr>
        </a:p>
      </xdr:txBody>
    </xdr:sp>
    <xdr:clientData/>
  </xdr:twoCellAnchor>
  <xdr:twoCellAnchor>
    <xdr:from>
      <xdr:col>15</xdr:col>
      <xdr:colOff>515590</xdr:colOff>
      <xdr:row>17</xdr:row>
      <xdr:rowOff>132012</xdr:rowOff>
    </xdr:from>
    <xdr:to>
      <xdr:col>16</xdr:col>
      <xdr:colOff>343366</xdr:colOff>
      <xdr:row>18</xdr:row>
      <xdr:rowOff>143932</xdr:rowOff>
    </xdr:to>
    <xdr:sp macro="" textlink="'Variable Mgmt'!C273">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0131304" y="3914798"/>
          <a:ext cx="535348" cy="21149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900" b="0" i="0" u="none" strike="noStrike" baseline="0">
              <a:solidFill>
                <a:srgbClr val="000000"/>
              </a:solidFill>
              <a:latin typeface="Arial"/>
              <a:cs typeface="Arial"/>
            </a:rPr>
            <a:pPr algn="l" rtl="0">
              <a:defRPr sz="1000"/>
            </a:pPr>
            <a:t>10kΩ</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14</xdr:col>
      <xdr:colOff>105150</xdr:colOff>
      <xdr:row>7</xdr:row>
      <xdr:rowOff>58997</xdr:rowOff>
    </xdr:from>
    <xdr:to>
      <xdr:col>15</xdr:col>
      <xdr:colOff>312085</xdr:colOff>
      <xdr:row>8</xdr:row>
      <xdr:rowOff>144859</xdr:rowOff>
    </xdr:to>
    <xdr:sp macro="" textlink="'Variable Mgmt'!B238">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614150" y="1836997"/>
          <a:ext cx="849406" cy="280097"/>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200" b="1" i="0" u="none" strike="noStrike">
              <a:solidFill>
                <a:srgbClr val="000000"/>
              </a:solidFill>
              <a:latin typeface="Arial"/>
              <a:cs typeface="Arial"/>
            </a:rPr>
            <a:pPr algn="l" rtl="0">
              <a:defRPr sz="1000"/>
            </a:pPr>
            <a:t>9V...16V</a:t>
          </a:fld>
          <a:endParaRPr lang="en-US" sz="120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40</xdr:row>
          <xdr:rowOff>0</xdr:rowOff>
        </xdr:from>
        <xdr:to>
          <xdr:col>5</xdr:col>
          <xdr:colOff>273050</xdr:colOff>
          <xdr:row>41</xdr:row>
          <xdr:rowOff>25400</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132617</xdr:colOff>
      <xdr:row>19</xdr:row>
      <xdr:rowOff>226786</xdr:rowOff>
    </xdr:from>
    <xdr:to>
      <xdr:col>16</xdr:col>
      <xdr:colOff>679506</xdr:colOff>
      <xdr:row>20</xdr:row>
      <xdr:rowOff>138885</xdr:rowOff>
    </xdr:to>
    <xdr:sp macro="" textlink="'Variable Mgmt'!B265">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0455903" y="4454072"/>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900" b="0" i="0" u="none" strike="noStrike">
              <a:solidFill>
                <a:srgbClr val="000000"/>
              </a:solidFill>
              <a:latin typeface="Arial"/>
              <a:cs typeface="Arial"/>
            </a:rPr>
            <a:pPr algn="l" rtl="0">
              <a:defRPr sz="1000"/>
            </a:pPr>
            <a:t>1690kΩ</a:t>
          </a:fld>
          <a:endParaRPr lang="el-GR" sz="9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46</xdr:row>
          <xdr:rowOff>0</xdr:rowOff>
        </xdr:from>
        <xdr:to>
          <xdr:col>5</xdr:col>
          <xdr:colOff>254000</xdr:colOff>
          <xdr:row>46</xdr:row>
          <xdr:rowOff>196850</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78143</xdr:colOff>
      <xdr:row>0</xdr:row>
      <xdr:rowOff>32845</xdr:rowOff>
    </xdr:from>
    <xdr:to>
      <xdr:col>3</xdr:col>
      <xdr:colOff>354614</xdr:colOff>
      <xdr:row>0</xdr:row>
      <xdr:rowOff>571501</xdr:rowOff>
    </xdr:to>
    <xdr:pic macro="[0]!OpenLM27403ProductFolder">
      <xdr:nvPicPr>
        <xdr:cNvPr id="4" name="Picture 3">
          <a:hlinkClick xmlns:r="http://schemas.openxmlformats.org/officeDocument/2006/relationships" r:id="rId4"/>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6"/>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545368</xdr:colOff>
      <xdr:row>3</xdr:row>
      <xdr:rowOff>130483</xdr:rowOff>
    </xdr:to>
    <xdr:pic macro="[0]!OpenLM27403ProductFolder">
      <xdr:nvPicPr>
        <xdr:cNvPr id="54" name="Picture 53">
          <a:hlinkClick xmlns:r="http://schemas.openxmlformats.org/officeDocument/2006/relationships" r:id="rId8"/>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12</xdr:row>
          <xdr:rowOff>0</xdr:rowOff>
        </xdr:from>
        <xdr:to>
          <xdr:col>12</xdr:col>
          <xdr:colOff>63500</xdr:colOff>
          <xdr:row>13</xdr:row>
          <xdr:rowOff>6350</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12700</xdr:rowOff>
        </xdr:from>
        <xdr:to>
          <xdr:col>5</xdr:col>
          <xdr:colOff>266700</xdr:colOff>
          <xdr:row>44</xdr:row>
          <xdr:rowOff>6350</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20</xdr:col>
      <xdr:colOff>109162</xdr:colOff>
      <xdr:row>6</xdr:row>
      <xdr:rowOff>19381</xdr:rowOff>
    </xdr:from>
    <xdr:to>
      <xdr:col>21</xdr:col>
      <xdr:colOff>494998</xdr:colOff>
      <xdr:row>7</xdr:row>
      <xdr:rowOff>91622</xdr:rowOff>
    </xdr:to>
    <xdr:sp macro="" textlink="'Variable Mgmt'!B233">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3190162" y="1625024"/>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1 : 20 : 1.49</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25</xdr:col>
      <xdr:colOff>750794</xdr:colOff>
      <xdr:row>41</xdr:row>
      <xdr:rowOff>69135</xdr:rowOff>
    </xdr:from>
    <xdr:to>
      <xdr:col>25</xdr:col>
      <xdr:colOff>1228557</xdr:colOff>
      <xdr:row>42</xdr:row>
      <xdr:rowOff>146830</xdr:rowOff>
    </xdr:to>
    <xdr:sp macro="" textlink="'Variable Mgmt'!$B$286">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588441" y="9003959"/>
          <a:ext cx="477763" cy="286871"/>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7.2%</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25</xdr:col>
      <xdr:colOff>1096216</xdr:colOff>
      <xdr:row>18</xdr:row>
      <xdr:rowOff>128280</xdr:rowOff>
    </xdr:from>
    <xdr:to>
      <xdr:col>25</xdr:col>
      <xdr:colOff>1759040</xdr:colOff>
      <xdr:row>19</xdr:row>
      <xdr:rowOff>0</xdr:rowOff>
    </xdr:to>
    <xdr:sp macro="" textlink="'Variable Mgmt'!B241">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6612303" y="3341932"/>
          <a:ext cx="662824" cy="349094"/>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12V</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869431</xdr:colOff>
      <xdr:row>18</xdr:row>
      <xdr:rowOff>185393</xdr:rowOff>
    </xdr:from>
    <xdr:to>
      <xdr:col>25</xdr:col>
      <xdr:colOff>1616761</xdr:colOff>
      <xdr:row>20</xdr:row>
      <xdr:rowOff>58673</xdr:rowOff>
    </xdr:to>
    <xdr:sp macro="" textlink="'Variable Mgmt'!B296">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6385518" y="3399045"/>
          <a:ext cx="747330" cy="61871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0.5A</a:t>
          </a:fld>
          <a:endParaRPr lang="en-US" sz="1350" b="1" i="0" strike="noStrike">
            <a:solidFill>
              <a:srgbClr val="FF0000"/>
            </a:solidFill>
            <a:latin typeface="Arial" pitchFamily="34" charset="0"/>
            <a:cs typeface="Arial" pitchFamily="34" charset="0"/>
          </a:endParaRPr>
        </a:p>
      </xdr:txBody>
    </xdr:sp>
    <xdr:clientData/>
  </xdr:twoCellAnchor>
  <xdr:twoCellAnchor>
    <xdr:from>
      <xdr:col>25</xdr:col>
      <xdr:colOff>1022875</xdr:colOff>
      <xdr:row>16</xdr:row>
      <xdr:rowOff>158113</xdr:rowOff>
    </xdr:from>
    <xdr:to>
      <xdr:col>25</xdr:col>
      <xdr:colOff>1685699</xdr:colOff>
      <xdr:row>19</xdr:row>
      <xdr:rowOff>102504</xdr:rowOff>
    </xdr:to>
    <xdr:sp macro="" textlink="'Variable Mgmt'!B242">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7324232" y="3741327"/>
          <a:ext cx="662824" cy="83339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772742</xdr:colOff>
      <xdr:row>19</xdr:row>
      <xdr:rowOff>0</xdr:rowOff>
    </xdr:from>
    <xdr:to>
      <xdr:col>25</xdr:col>
      <xdr:colOff>1516897</xdr:colOff>
      <xdr:row>19</xdr:row>
      <xdr:rowOff>208643</xdr:rowOff>
    </xdr:to>
    <xdr:sp macro="" textlink="'Variable Mgmt'!B297">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7074099" y="4227286"/>
          <a:ext cx="744155" cy="20864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23</xdr:col>
      <xdr:colOff>150700</xdr:colOff>
      <xdr:row>15</xdr:row>
      <xdr:rowOff>151932</xdr:rowOff>
    </xdr:from>
    <xdr:to>
      <xdr:col>24</xdr:col>
      <xdr:colOff>34178</xdr:colOff>
      <xdr:row>17</xdr:row>
      <xdr:rowOff>126999</xdr:rowOff>
    </xdr:to>
    <xdr:sp macro="" textlink="'Variable Mgmt'!D245">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5163914" y="3535575"/>
          <a:ext cx="527550" cy="374210"/>
        </a:xfrm>
        <a:prstGeom prst="rect">
          <a:avLst/>
        </a:prstGeom>
        <a:noFill/>
        <a:ln w="9525">
          <a:noFill/>
          <a:miter lim="800000"/>
          <a:headEnd/>
          <a:tailEnd/>
        </a:ln>
      </xdr:spPr>
      <xdr:txBody>
        <a:bodyPr vertOverflow="clip" wrap="square" lIns="27432" tIns="22860" rIns="0" bIns="0" anchor="ctr" upright="1"/>
        <a:lstStyle/>
        <a:p>
          <a:pPr algn="l" rtl="0">
            <a:defRPr sz="1000"/>
          </a:pPr>
          <a:fld id="{A5CD353A-83F6-408F-8104-9228EF111F31}" type="TxLink">
            <a:rPr lang="en-US" sz="1000" b="0" i="0" u="none" strike="noStrike" baseline="0">
              <a:solidFill>
                <a:srgbClr val="000000"/>
              </a:solidFill>
              <a:latin typeface="Arial"/>
              <a:cs typeface="Arial"/>
            </a:rPr>
            <a:pPr algn="l" rtl="0">
              <a:defRPr sz="1000"/>
            </a:pPr>
            <a:t> </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23</xdr:col>
      <xdr:colOff>159771</xdr:colOff>
      <xdr:row>19</xdr:row>
      <xdr:rowOff>90714</xdr:rowOff>
    </xdr:from>
    <xdr:to>
      <xdr:col>24</xdr:col>
      <xdr:colOff>43249</xdr:colOff>
      <xdr:row>20</xdr:row>
      <xdr:rowOff>0</xdr:rowOff>
    </xdr:to>
    <xdr:sp macro="" textlink="'Variable Mgmt'!C245">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5172985" y="4318000"/>
          <a:ext cx="527550" cy="154214"/>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900" b="0" i="0" u="none" strike="noStrike" baseline="0">
              <a:solidFill>
                <a:srgbClr val="000000"/>
              </a:solidFill>
              <a:latin typeface="Arial"/>
              <a:cs typeface="Arial"/>
            </a:rPr>
            <a:pPr algn="l" rtl="0">
              <a:defRPr sz="1000"/>
            </a:pPr>
            <a:t>55µF</a:t>
          </a:fld>
          <a:endParaRPr lang="en-US" sz="9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14079</xdr:colOff>
          <xdr:row>37</xdr:row>
          <xdr:rowOff>17405</xdr:rowOff>
        </xdr:from>
        <xdr:to>
          <xdr:col>17</xdr:col>
          <xdr:colOff>295649</xdr:colOff>
          <xdr:row>60</xdr:row>
          <xdr:rowOff>121250</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90099"/>
                </a:ext>
              </a:extLst>
            </xdr:cNvPicPr>
          </xdr:nvPicPr>
          <xdr:blipFill rotWithShape="1">
            <a:blip xmlns:r="http://schemas.openxmlformats.org/officeDocument/2006/relationships" r:embed="rId10"/>
            <a:srcRect r="5700"/>
            <a:stretch>
              <a:fillRect/>
            </a:stretch>
          </xdr:blipFill>
          <xdr:spPr bwMode="auto">
            <a:xfrm>
              <a:off x="4249903" y="8137934"/>
              <a:ext cx="6619803" cy="4073903"/>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23</xdr:col>
          <xdr:colOff>127000</xdr:colOff>
          <xdr:row>62</xdr:row>
          <xdr:rowOff>12700</xdr:rowOff>
        </xdr:from>
        <xdr:to>
          <xdr:col>23</xdr:col>
          <xdr:colOff>304800</xdr:colOff>
          <xdr:row>63</xdr:row>
          <xdr:rowOff>31750</xdr:rowOff>
        </xdr:to>
        <xdr:sp macro="" textlink="">
          <xdr:nvSpPr>
            <xdr:cNvPr id="751280" name="Spinner 5808" hidden="1">
              <a:extLst>
                <a:ext uri="{63B3BB69-23CF-44E3-9099-C40C66FF867C}">
                  <a14:compatExt spid="_x0000_s751280"/>
                </a:ext>
                <a:ext uri="{FF2B5EF4-FFF2-40B4-BE49-F238E27FC236}">
                  <a16:creationId xmlns:a16="http://schemas.microsoft.com/office/drawing/2014/main" id="{00000000-0008-0000-0000-0000B0760B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60092</xdr:colOff>
      <xdr:row>21</xdr:row>
      <xdr:rowOff>200356</xdr:rowOff>
    </xdr:from>
    <xdr:to>
      <xdr:col>16</xdr:col>
      <xdr:colOff>606981</xdr:colOff>
      <xdr:row>22</xdr:row>
      <xdr:rowOff>185304</xdr:rowOff>
    </xdr:to>
    <xdr:sp macro="" textlink="'Variable Mgmt'!D309">
      <xdr:nvSpPr>
        <xdr:cNvPr id="40" name="Text Box 268">
          <a:extLst>
            <a:ext uri="{FF2B5EF4-FFF2-40B4-BE49-F238E27FC236}">
              <a16:creationId xmlns:a16="http://schemas.microsoft.com/office/drawing/2014/main" id="{00000000-0008-0000-0000-000028000000}"/>
            </a:ext>
          </a:extLst>
        </xdr:cNvPr>
        <xdr:cNvSpPr txBox="1">
          <a:spLocks noChangeArrowheads="1" noTextEdit="1"/>
        </xdr:cNvSpPr>
      </xdr:nvSpPr>
      <xdr:spPr bwMode="auto">
        <a:xfrm>
          <a:off x="10383378" y="4917499"/>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1000" b="0" i="0" u="none" strike="noStrike">
              <a:solidFill>
                <a:srgbClr val="000000"/>
              </a:solidFill>
              <a:latin typeface="Arial"/>
              <a:cs typeface="Arial"/>
            </a:rPr>
            <a:pPr algn="l" rtl="0">
              <a:defRPr sz="1000"/>
            </a:pPr>
            <a:t>142kΩ</a:t>
          </a:fld>
          <a:endParaRPr lang="el-GR" sz="900" b="0" i="0" strike="noStrike">
            <a:solidFill>
              <a:srgbClr val="000000"/>
            </a:solidFill>
            <a:latin typeface="Arial" pitchFamily="34" charset="0"/>
            <a:cs typeface="Arial" pitchFamily="34" charset="0"/>
          </a:endParaRPr>
        </a:p>
      </xdr:txBody>
    </xdr:sp>
    <xdr:clientData/>
  </xdr:twoCellAnchor>
  <xdr:twoCellAnchor>
    <xdr:from>
      <xdr:col>14</xdr:col>
      <xdr:colOff>622519</xdr:colOff>
      <xdr:row>24</xdr:row>
      <xdr:rowOff>55212</xdr:rowOff>
    </xdr:from>
    <xdr:to>
      <xdr:col>15</xdr:col>
      <xdr:colOff>525337</xdr:colOff>
      <xdr:row>25</xdr:row>
      <xdr:rowOff>40160</xdr:rowOff>
    </xdr:to>
    <xdr:sp macro="" textlink="'Variable Mgmt'!D310">
      <xdr:nvSpPr>
        <xdr:cNvPr id="41" name="Text Box 268">
          <a:extLst>
            <a:ext uri="{FF2B5EF4-FFF2-40B4-BE49-F238E27FC236}">
              <a16:creationId xmlns:a16="http://schemas.microsoft.com/office/drawing/2014/main" id="{00000000-0008-0000-0000-000029000000}"/>
            </a:ext>
          </a:extLst>
        </xdr:cNvPr>
        <xdr:cNvSpPr txBox="1">
          <a:spLocks noChangeArrowheads="1" noTextEdit="1"/>
        </xdr:cNvSpPr>
      </xdr:nvSpPr>
      <xdr:spPr bwMode="auto">
        <a:xfrm>
          <a:off x="9594162" y="5507141"/>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1000" b="0" i="0" u="none" strike="noStrike">
              <a:solidFill>
                <a:srgbClr val="000000"/>
              </a:solidFill>
              <a:latin typeface="Arial"/>
              <a:cs typeface="Arial"/>
            </a:rPr>
            <a:pPr algn="l" rtl="0">
              <a:defRPr sz="1000"/>
            </a:pPr>
            <a:t>6nF</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568093</xdr:colOff>
      <xdr:row>24</xdr:row>
      <xdr:rowOff>136854</xdr:rowOff>
    </xdr:from>
    <xdr:to>
      <xdr:col>16</xdr:col>
      <xdr:colOff>407410</xdr:colOff>
      <xdr:row>25</xdr:row>
      <xdr:rowOff>121802</xdr:rowOff>
    </xdr:to>
    <xdr:sp macro="" textlink="'Variable Mgmt'!D311">
      <xdr:nvSpPr>
        <xdr:cNvPr id="43" name="Text Box 268">
          <a:extLst>
            <a:ext uri="{FF2B5EF4-FFF2-40B4-BE49-F238E27FC236}">
              <a16:creationId xmlns:a16="http://schemas.microsoft.com/office/drawing/2014/main" id="{00000000-0008-0000-0000-00002B000000}"/>
            </a:ext>
          </a:extLst>
        </xdr:cNvPr>
        <xdr:cNvSpPr txBox="1">
          <a:spLocks noChangeArrowheads="1" noTextEdit="1"/>
        </xdr:cNvSpPr>
      </xdr:nvSpPr>
      <xdr:spPr bwMode="auto">
        <a:xfrm>
          <a:off x="10183807" y="5588783"/>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1000" b="0" i="0" u="none" strike="noStrike">
              <a:solidFill>
                <a:srgbClr val="000000"/>
              </a:solidFill>
              <a:latin typeface="Arial"/>
              <a:cs typeface="Arial"/>
            </a:rPr>
            <a:pPr algn="l" rtl="0">
              <a:defRPr sz="1000"/>
            </a:pPr>
            <a:t>47pF</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226786</xdr:colOff>
      <xdr:row>24</xdr:row>
      <xdr:rowOff>181428</xdr:rowOff>
    </xdr:from>
    <xdr:to>
      <xdr:col>20</xdr:col>
      <xdr:colOff>129604</xdr:colOff>
      <xdr:row>25</xdr:row>
      <xdr:rowOff>93527</xdr:rowOff>
    </xdr:to>
    <xdr:sp macro="" textlink="'Variable Mgmt'!D314">
      <xdr:nvSpPr>
        <xdr:cNvPr id="48" name="Text Box 268">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12663715"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1000" b="0" i="0" u="none" strike="noStrike">
              <a:solidFill>
                <a:srgbClr val="000000"/>
              </a:solidFill>
              <a:latin typeface="Arial"/>
              <a:cs typeface="Arial"/>
            </a:rPr>
            <a:pPr algn="l" rtl="0">
              <a:defRPr sz="1000"/>
            </a:pPr>
            <a:t>100pF</a:t>
          </a:fld>
          <a:endParaRPr lang="el-GR" sz="900" b="0" i="0" strike="noStrike">
            <a:solidFill>
              <a:srgbClr val="000000"/>
            </a:solidFill>
            <a:latin typeface="Arial" pitchFamily="34" charset="0"/>
            <a:cs typeface="Arial" pitchFamily="34" charset="0"/>
          </a:endParaRPr>
        </a:p>
      </xdr:txBody>
    </xdr:sp>
    <xdr:clientData/>
  </xdr:twoCellAnchor>
  <xdr:twoCellAnchor>
    <xdr:from>
      <xdr:col>20</xdr:col>
      <xdr:colOff>517071</xdr:colOff>
      <xdr:row>24</xdr:row>
      <xdr:rowOff>181428</xdr:rowOff>
    </xdr:from>
    <xdr:to>
      <xdr:col>21</xdr:col>
      <xdr:colOff>419889</xdr:colOff>
      <xdr:row>25</xdr:row>
      <xdr:rowOff>93527</xdr:rowOff>
    </xdr:to>
    <xdr:sp macro="" textlink="'Variable Mgmt'!D313">
      <xdr:nvSpPr>
        <xdr:cNvPr id="50" name="Text Box 268">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13598071"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1000" b="0" i="0" u="none" strike="noStrike">
              <a:solidFill>
                <a:srgbClr val="000000"/>
              </a:solidFill>
              <a:latin typeface="Arial"/>
              <a:cs typeface="Arial"/>
            </a:rPr>
            <a:pPr algn="l" rtl="0">
              <a:defRPr sz="1000"/>
            </a:pPr>
            <a:t>1.5mΩ</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553356</xdr:colOff>
      <xdr:row>21</xdr:row>
      <xdr:rowOff>154214</xdr:rowOff>
    </xdr:from>
    <xdr:to>
      <xdr:col>20</xdr:col>
      <xdr:colOff>456174</xdr:colOff>
      <xdr:row>22</xdr:row>
      <xdr:rowOff>66313</xdr:rowOff>
    </xdr:to>
    <xdr:sp macro="" textlink="'Variable Mgmt'!D315">
      <xdr:nvSpPr>
        <xdr:cNvPr id="52" name="Text Box 268">
          <a:extLst>
            <a:ext uri="{FF2B5EF4-FFF2-40B4-BE49-F238E27FC236}">
              <a16:creationId xmlns:a16="http://schemas.microsoft.com/office/drawing/2014/main" id="{00000000-0008-0000-0000-000034000000}"/>
            </a:ext>
          </a:extLst>
        </xdr:cNvPr>
        <xdr:cNvSpPr txBox="1">
          <a:spLocks noChangeArrowheads="1" noTextEdit="1"/>
        </xdr:cNvSpPr>
      </xdr:nvSpPr>
      <xdr:spPr bwMode="auto">
        <a:xfrm>
          <a:off x="12990285" y="4871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1000" b="0" i="0" u="none" strike="noStrike">
              <a:solidFill>
                <a:srgbClr val="000000"/>
              </a:solidFill>
              <a:latin typeface="Arial"/>
              <a:cs typeface="Arial"/>
            </a:rPr>
            <a:pPr algn="l" rtl="0">
              <a:defRPr sz="1000"/>
            </a:pPr>
            <a:t>100Ω</a:t>
          </a:fld>
          <a:endParaRPr lang="el-GR" sz="9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581025</xdr:colOff>
      <xdr:row>7</xdr:row>
      <xdr:rowOff>47625</xdr:rowOff>
    </xdr:from>
    <xdr:to>
      <xdr:col>10</xdr:col>
      <xdr:colOff>539612</xdr:colOff>
      <xdr:row>62</xdr:row>
      <xdr:rowOff>153585</xdr:rowOff>
    </xdr:to>
    <xdr:grpSp>
      <xdr:nvGrpSpPr>
        <xdr:cNvPr id="4" name="Group 3">
          <a:extLst>
            <a:ext uri="{FF2B5EF4-FFF2-40B4-BE49-F238E27FC236}">
              <a16:creationId xmlns:a16="http://schemas.microsoft.com/office/drawing/2014/main" id="{00000000-0008-0000-0800-000004000000}"/>
            </a:ext>
          </a:extLst>
        </xdr:cNvPr>
        <xdr:cNvGrpSpPr/>
      </xdr:nvGrpSpPr>
      <xdr:grpSpPr>
        <a:xfrm>
          <a:off x="577850" y="1711325"/>
          <a:ext cx="6346687" cy="9015010"/>
          <a:chOff x="563217" y="1684406"/>
          <a:chExt cx="6372087" cy="8837210"/>
        </a:xfrm>
      </xdr:grpSpPr>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87784" y="1684406"/>
            <a:ext cx="6343059" cy="4223855"/>
          </a:xfrm>
          <a:prstGeom prst="rect">
            <a:avLst/>
          </a:prstGeom>
        </xdr:spPr>
      </xdr:pic>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flipH="1">
            <a:off x="563217" y="6333434"/>
            <a:ext cx="6372087" cy="4188182"/>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86">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7.2%</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86">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7.2%</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84745"/>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85768"/>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4404300" y="65084325"/>
          <a:ext cx="0" cy="434022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-1</xdr:colOff>
      <xdr:row>6</xdr:row>
      <xdr:rowOff>20481</xdr:rowOff>
    </xdr:from>
    <xdr:to>
      <xdr:col>4</xdr:col>
      <xdr:colOff>8229599</xdr:colOff>
      <xdr:row>6</xdr:row>
      <xdr:rowOff>4460244</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0363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6</xdr:row>
      <xdr:rowOff>20481</xdr:rowOff>
    </xdr:from>
    <xdr:to>
      <xdr:col>7</xdr:col>
      <xdr:colOff>8229599</xdr:colOff>
      <xdr:row>6</xdr:row>
      <xdr:rowOff>4460244</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19888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8</xdr:row>
      <xdr:rowOff>23050</xdr:rowOff>
    </xdr:from>
    <xdr:to>
      <xdr:col>1</xdr:col>
      <xdr:colOff>8229599</xdr:colOff>
      <xdr:row>8</xdr:row>
      <xdr:rowOff>4457675</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847724" y="58142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10</xdr:row>
      <xdr:rowOff>23050</xdr:rowOff>
    </xdr:from>
    <xdr:to>
      <xdr:col>1</xdr:col>
      <xdr:colOff>8229599</xdr:colOff>
      <xdr:row>10</xdr:row>
      <xdr:rowOff>4457675</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847724" y="105005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12</xdr:row>
      <xdr:rowOff>21949</xdr:rowOff>
    </xdr:from>
    <xdr:to>
      <xdr:col>1</xdr:col>
      <xdr:colOff>8229599</xdr:colOff>
      <xdr:row>12</xdr:row>
      <xdr:rowOff>4458776</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843642" y="151857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14</xdr:row>
      <xdr:rowOff>21948</xdr:rowOff>
    </xdr:from>
    <xdr:to>
      <xdr:col>1</xdr:col>
      <xdr:colOff>8229599</xdr:colOff>
      <xdr:row>14</xdr:row>
      <xdr:rowOff>4458775</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843642" y="19872048"/>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6</xdr:row>
      <xdr:rowOff>21949</xdr:rowOff>
    </xdr:from>
    <xdr:to>
      <xdr:col>1</xdr:col>
      <xdr:colOff>8229599</xdr:colOff>
      <xdr:row>6</xdr:row>
      <xdr:rowOff>4458776</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843642" y="1050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16</xdr:row>
      <xdr:rowOff>21949</xdr:rowOff>
    </xdr:from>
    <xdr:to>
      <xdr:col>1</xdr:col>
      <xdr:colOff>8229599</xdr:colOff>
      <xdr:row>16</xdr:row>
      <xdr:rowOff>4458776</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843642" y="245583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18</xdr:row>
      <xdr:rowOff>21949</xdr:rowOff>
    </xdr:from>
    <xdr:to>
      <xdr:col>1</xdr:col>
      <xdr:colOff>8229599</xdr:colOff>
      <xdr:row>18</xdr:row>
      <xdr:rowOff>4458776</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843642" y="29244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20</xdr:row>
      <xdr:rowOff>21949</xdr:rowOff>
    </xdr:from>
    <xdr:to>
      <xdr:col>1</xdr:col>
      <xdr:colOff>8229599</xdr:colOff>
      <xdr:row>20</xdr:row>
      <xdr:rowOff>4458776</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843642" y="339690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8</xdr:row>
      <xdr:rowOff>21215</xdr:rowOff>
    </xdr:from>
    <xdr:to>
      <xdr:col>4</xdr:col>
      <xdr:colOff>8229598</xdr:colOff>
      <xdr:row>8</xdr:row>
      <xdr:rowOff>4459511</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0888434" y="5808786"/>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10</xdr:row>
      <xdr:rowOff>21215</xdr:rowOff>
    </xdr:from>
    <xdr:to>
      <xdr:col>4</xdr:col>
      <xdr:colOff>8229598</xdr:colOff>
      <xdr:row>10</xdr:row>
      <xdr:rowOff>4459511</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0877095" y="10498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12</xdr:row>
      <xdr:rowOff>21215</xdr:rowOff>
    </xdr:from>
    <xdr:to>
      <xdr:col>4</xdr:col>
      <xdr:colOff>8229598</xdr:colOff>
      <xdr:row>12</xdr:row>
      <xdr:rowOff>4459511</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0877095" y="15197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14</xdr:row>
      <xdr:rowOff>21215</xdr:rowOff>
    </xdr:from>
    <xdr:to>
      <xdr:col>4</xdr:col>
      <xdr:colOff>8229598</xdr:colOff>
      <xdr:row>14</xdr:row>
      <xdr:rowOff>4459511</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0877095" y="19896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16</xdr:row>
      <xdr:rowOff>21215</xdr:rowOff>
    </xdr:from>
    <xdr:to>
      <xdr:col>4</xdr:col>
      <xdr:colOff>8229599</xdr:colOff>
      <xdr:row>16</xdr:row>
      <xdr:rowOff>4459511</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0365920" y="245576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18</xdr:row>
      <xdr:rowOff>21215</xdr:rowOff>
    </xdr:from>
    <xdr:to>
      <xdr:col>4</xdr:col>
      <xdr:colOff>8229599</xdr:colOff>
      <xdr:row>18</xdr:row>
      <xdr:rowOff>4459511</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0365920" y="292439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20</xdr:row>
      <xdr:rowOff>21215</xdr:rowOff>
    </xdr:from>
    <xdr:to>
      <xdr:col>4</xdr:col>
      <xdr:colOff>8229599</xdr:colOff>
      <xdr:row>20</xdr:row>
      <xdr:rowOff>4459511</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0365920" y="339683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8</xdr:row>
      <xdr:rowOff>20481</xdr:rowOff>
    </xdr:from>
    <xdr:to>
      <xdr:col>7</xdr:col>
      <xdr:colOff>8229599</xdr:colOff>
      <xdr:row>8</xdr:row>
      <xdr:rowOff>4460244</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19888199" y="58116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10</xdr:row>
      <xdr:rowOff>20481</xdr:rowOff>
    </xdr:from>
    <xdr:to>
      <xdr:col>7</xdr:col>
      <xdr:colOff>8229599</xdr:colOff>
      <xdr:row>10</xdr:row>
      <xdr:rowOff>4460244</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19888199" y="104979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12</xdr:row>
      <xdr:rowOff>20481</xdr:rowOff>
    </xdr:from>
    <xdr:to>
      <xdr:col>7</xdr:col>
      <xdr:colOff>8229599</xdr:colOff>
      <xdr:row>12</xdr:row>
      <xdr:rowOff>4460244</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19888199" y="151842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14</xdr:row>
      <xdr:rowOff>20481</xdr:rowOff>
    </xdr:from>
    <xdr:to>
      <xdr:col>7</xdr:col>
      <xdr:colOff>8229599</xdr:colOff>
      <xdr:row>14</xdr:row>
      <xdr:rowOff>4460244</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19888199" y="19870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16</xdr:row>
      <xdr:rowOff>20481</xdr:rowOff>
    </xdr:from>
    <xdr:to>
      <xdr:col>7</xdr:col>
      <xdr:colOff>8229599</xdr:colOff>
      <xdr:row>16</xdr:row>
      <xdr:rowOff>4460244</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19888199" y="245568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18</xdr:row>
      <xdr:rowOff>20481</xdr:rowOff>
    </xdr:from>
    <xdr:to>
      <xdr:col>7</xdr:col>
      <xdr:colOff>8229599</xdr:colOff>
      <xdr:row>18</xdr:row>
      <xdr:rowOff>4460244</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19888199" y="29243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20</xdr:row>
      <xdr:rowOff>20481</xdr:rowOff>
    </xdr:from>
    <xdr:to>
      <xdr:col>7</xdr:col>
      <xdr:colOff>8229599</xdr:colOff>
      <xdr:row>20</xdr:row>
      <xdr:rowOff>4460244</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19888199" y="33967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229322</xdr:colOff>
      <xdr:row>33</xdr:row>
      <xdr:rowOff>37753</xdr:rowOff>
    </xdr:from>
    <xdr:to>
      <xdr:col>16</xdr:col>
      <xdr:colOff>381667</xdr:colOff>
      <xdr:row>61</xdr:row>
      <xdr:rowOff>144929</xdr:rowOff>
    </xdr:to>
    <xdr:graphicFrame macro="">
      <xdr:nvGraphicFramePr>
        <xdr:cNvPr id="2" name="Chart 1029">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127000</xdr:rowOff>
        </xdr:from>
        <xdr:to>
          <xdr:col>1</xdr:col>
          <xdr:colOff>107950</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1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18</xdr:col>
      <xdr:colOff>18143</xdr:colOff>
      <xdr:row>33</xdr:row>
      <xdr:rowOff>18142</xdr:rowOff>
    </xdr:from>
    <xdr:to>
      <xdr:col>26</xdr:col>
      <xdr:colOff>808663</xdr:colOff>
      <xdr:row>61</xdr:row>
      <xdr:rowOff>128493</xdr:rowOff>
    </xdr:to>
    <xdr:graphicFrame macro="">
      <xdr:nvGraphicFramePr>
        <xdr:cNvPr id="4" name="Chart 1029">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184150</xdr:colOff>
          <xdr:row>111</xdr:row>
          <xdr:rowOff>146050</xdr:rowOff>
        </xdr:from>
        <xdr:to>
          <xdr:col>36</xdr:col>
          <xdr:colOff>12700</xdr:colOff>
          <xdr:row>125</xdr:row>
          <xdr:rowOff>146050</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3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88">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73.7%</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88">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73.7%</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171450</xdr:colOff>
      <xdr:row>41</xdr:row>
      <xdr:rowOff>28575</xdr:rowOff>
    </xdr:from>
    <xdr:to>
      <xdr:col>46</xdr:col>
      <xdr:colOff>304800</xdr:colOff>
      <xdr:row>72</xdr:row>
      <xdr:rowOff>30307</xdr:rowOff>
    </xdr:to>
    <xdr:graphicFrame macro="">
      <xdr:nvGraphicFramePr>
        <xdr:cNvPr id="6" name="Chart 253">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90</xdr:col>
      <xdr:colOff>152400</xdr:colOff>
      <xdr:row>9</xdr:row>
      <xdr:rowOff>0</xdr:rowOff>
    </xdr:from>
    <xdr:to>
      <xdr:col>105</xdr:col>
      <xdr:colOff>38100</xdr:colOff>
      <xdr:row>40</xdr:row>
      <xdr:rowOff>1732</xdr:rowOff>
    </xdr:to>
    <xdr:graphicFrame macro="">
      <xdr:nvGraphicFramePr>
        <xdr:cNvPr id="10" name="Chart 253">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90</xdr:col>
      <xdr:colOff>142875</xdr:colOff>
      <xdr:row>40</xdr:row>
      <xdr:rowOff>123825</xdr:rowOff>
    </xdr:from>
    <xdr:to>
      <xdr:col>105</xdr:col>
      <xdr:colOff>19050</xdr:colOff>
      <xdr:row>71</xdr:row>
      <xdr:rowOff>125557</xdr:rowOff>
    </xdr:to>
    <xdr:graphicFrame macro="">
      <xdr:nvGraphicFramePr>
        <xdr:cNvPr id="11" name="Chart 253">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110</xdr:col>
      <xdr:colOff>171450</xdr:colOff>
      <xdr:row>41</xdr:row>
      <xdr:rowOff>28575</xdr:rowOff>
    </xdr:from>
    <xdr:to>
      <xdr:col>128</xdr:col>
      <xdr:colOff>304800</xdr:colOff>
      <xdr:row>72</xdr:row>
      <xdr:rowOff>30307</xdr:rowOff>
    </xdr:to>
    <xdr:graphicFrame macro="">
      <xdr:nvGraphicFramePr>
        <xdr:cNvPr id="12" name="Chart 253">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110</xdr:col>
      <xdr:colOff>228600</xdr:colOff>
      <xdr:row>9</xdr:row>
      <xdr:rowOff>28575</xdr:rowOff>
    </xdr:from>
    <xdr:to>
      <xdr:col>128</xdr:col>
      <xdr:colOff>361950</xdr:colOff>
      <xdr:row>40</xdr:row>
      <xdr:rowOff>30307</xdr:rowOff>
    </xdr:to>
    <xdr:graphicFrame macro="">
      <xdr:nvGraphicFramePr>
        <xdr:cNvPr id="13" name="Chart 253">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90</xdr:col>
      <xdr:colOff>159205</xdr:colOff>
      <xdr:row>72</xdr:row>
      <xdr:rowOff>141513</xdr:rowOff>
    </xdr:from>
    <xdr:to>
      <xdr:col>101</xdr:col>
      <xdr:colOff>371475</xdr:colOff>
      <xdr:row>101</xdr:row>
      <xdr:rowOff>123825</xdr:rowOff>
    </xdr:to>
    <xdr:graphicFrame macro="">
      <xdr:nvGraphicFramePr>
        <xdr:cNvPr id="14" name="Chart 25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104</xdr:col>
      <xdr:colOff>33619</xdr:colOff>
      <xdr:row>72</xdr:row>
      <xdr:rowOff>52297</xdr:rowOff>
    </xdr:from>
    <xdr:to>
      <xdr:col>116</xdr:col>
      <xdr:colOff>328705</xdr:colOff>
      <xdr:row>101</xdr:row>
      <xdr:rowOff>26147</xdr:rowOff>
    </xdr:to>
    <xdr:graphicFrame macro="">
      <xdr:nvGraphicFramePr>
        <xdr:cNvPr id="15" name="Chart 253">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72</xdr:col>
      <xdr:colOff>136071</xdr:colOff>
      <xdr:row>0</xdr:row>
      <xdr:rowOff>18143</xdr:rowOff>
    </xdr:from>
    <xdr:ext cx="2204357" cy="589643"/>
    <xdr:sp macro="" textlink="">
      <xdr:nvSpPr>
        <xdr:cNvPr id="2" name="TextBox 1">
          <a:extLst>
            <a:ext uri="{FF2B5EF4-FFF2-40B4-BE49-F238E27FC236}">
              <a16:creationId xmlns:a16="http://schemas.microsoft.com/office/drawing/2014/main" id="{00000000-0008-0000-0400-000002000000}"/>
            </a:ext>
          </a:extLst>
        </xdr:cNvPr>
        <xdr:cNvSpPr txBox="1"/>
      </xdr:nvSpPr>
      <xdr:spPr bwMode="auto">
        <a:xfrm>
          <a:off x="38898285" y="18143"/>
          <a:ext cx="2204357" cy="589643"/>
        </a:xfrm>
        <a:prstGeom prst="rect">
          <a:avLst/>
        </a:prstGeom>
        <a:solidFill>
          <a:srgbClr val="FFFF00"/>
        </a:solidFill>
        <a:ln w="9525">
          <a:noFill/>
          <a:miter lim="800000"/>
          <a:headEnd/>
          <a:tailEnd/>
        </a:ln>
      </xdr:spPr>
      <xdr:txBody>
        <a:bodyPr vertOverflow="clip" horzOverflow="clip" wrap="square" lIns="27432" tIns="27432" rIns="0" bIns="0" rtlCol="0" anchor="t" upright="1">
          <a:noAutofit/>
        </a:bodyPr>
        <a:lstStyle/>
        <a:p>
          <a:pPr algn="l" rtl="0"/>
          <a:r>
            <a:rPr lang="en-US" sz="1100" b="0" i="0" strike="noStrike" baseline="0">
              <a:solidFill>
                <a:srgbClr val="FF0000"/>
              </a:solidFill>
              <a:latin typeface="Calibri"/>
            </a:rPr>
            <a:t>30JUL2024 </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a:solidFill>
                <a:srgbClr val="FF0000"/>
              </a:solidFill>
              <a:effectLst/>
              <a:latin typeface="+mn-lt"/>
              <a:ea typeface="+mn-ea"/>
              <a:cs typeface="+mn-cs"/>
            </a:rPr>
            <a:t>For this version, Core losses is</a:t>
          </a:r>
          <a:r>
            <a:rPr lang="en-US" sz="1100" b="0" i="0" baseline="0">
              <a:solidFill>
                <a:srgbClr val="FF0000"/>
              </a:solidFill>
              <a:effectLst/>
              <a:latin typeface="+mn-lt"/>
              <a:ea typeface="+mn-ea"/>
              <a:cs typeface="+mn-cs"/>
            </a:rPr>
            <a:t> assumd 1.5% of the total power.</a:t>
          </a:r>
          <a:endParaRPr lang="en-US">
            <a:solidFill>
              <a:srgbClr val="FF0000"/>
            </a:solidFill>
            <a:effectLst/>
          </a:endParaRPr>
        </a:p>
        <a:p>
          <a:pPr algn="l" rtl="0"/>
          <a:endParaRPr lang="en-US" sz="1100" b="0" i="0" strike="noStrike">
            <a:solidFill>
              <a:srgbClr val="FF0000"/>
            </a:solidFill>
            <a:latin typeface="Calibri"/>
          </a:endParaRPr>
        </a:p>
      </xdr:txBody>
    </xdr:sp>
    <xdr:clientData/>
  </xdr:oneCellAnchor>
  <xdr:oneCellAnchor>
    <xdr:from>
      <xdr:col>59</xdr:col>
      <xdr:colOff>235858</xdr:colOff>
      <xdr:row>0</xdr:row>
      <xdr:rowOff>36285</xdr:rowOff>
    </xdr:from>
    <xdr:ext cx="1741715" cy="553357"/>
    <xdr:sp macro="" textlink="">
      <xdr:nvSpPr>
        <xdr:cNvPr id="17" name="TextBox 16">
          <a:extLst>
            <a:ext uri="{FF2B5EF4-FFF2-40B4-BE49-F238E27FC236}">
              <a16:creationId xmlns:a16="http://schemas.microsoft.com/office/drawing/2014/main" id="{00000000-0008-0000-0400-000011000000}"/>
            </a:ext>
          </a:extLst>
        </xdr:cNvPr>
        <xdr:cNvSpPr txBox="1"/>
      </xdr:nvSpPr>
      <xdr:spPr bwMode="auto">
        <a:xfrm>
          <a:off x="30734001" y="36285"/>
          <a:ext cx="1741715" cy="553357"/>
        </a:xfrm>
        <a:prstGeom prst="rect">
          <a:avLst/>
        </a:prstGeom>
        <a:solidFill>
          <a:srgbClr val="FFFF66"/>
        </a:solidFill>
        <a:ln w="9525">
          <a:noFill/>
          <a:miter lim="800000"/>
          <a:headEnd/>
          <a:tailEnd/>
        </a:ln>
      </xdr:spPr>
      <xdr:txBody>
        <a:bodyPr vertOverflow="clip" horzOverflow="clip" wrap="square" lIns="27432" tIns="27432" rIns="0" bIns="0" rtlCol="0" anchor="t" upright="1">
          <a:spAutoFit/>
        </a:bodyPr>
        <a:lstStyle/>
        <a:p>
          <a:pPr algn="l" rtl="0"/>
          <a:r>
            <a:rPr lang="en-US" sz="1100" b="1" i="0" strike="noStrike">
              <a:solidFill>
                <a:srgbClr val="FF0000"/>
              </a:solidFill>
              <a:latin typeface="+mn-lt"/>
            </a:rPr>
            <a:t>31JUL2024</a:t>
          </a:r>
        </a:p>
        <a:p>
          <a:pPr algn="l" rtl="0"/>
          <a:r>
            <a:rPr lang="en-US" sz="1100" b="0" i="0" strike="noStrike">
              <a:solidFill>
                <a:srgbClr val="FF0000"/>
              </a:solidFill>
              <a:latin typeface="+mn-lt"/>
            </a:rPr>
            <a:t>FET Qg loss is using VIN instead of 5V VDD. </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329046</xdr:colOff>
      <xdr:row>72</xdr:row>
      <xdr:rowOff>84117</xdr:rowOff>
    </xdr:from>
    <xdr:to>
      <xdr:col>27</xdr:col>
      <xdr:colOff>673307</xdr:colOff>
      <xdr:row>103</xdr:row>
      <xdr:rowOff>85849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92</xdr:col>
      <xdr:colOff>342900</xdr:colOff>
      <xdr:row>9</xdr:row>
      <xdr:rowOff>19050</xdr:rowOff>
    </xdr:from>
    <xdr:to>
      <xdr:col>109</xdr:col>
      <xdr:colOff>47625</xdr:colOff>
      <xdr:row>40</xdr:row>
      <xdr:rowOff>20782</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92</xdr:col>
      <xdr:colOff>352425</xdr:colOff>
      <xdr:row>41</xdr:row>
      <xdr:rowOff>0</xdr:rowOff>
    </xdr:from>
    <xdr:to>
      <xdr:col>109</xdr:col>
      <xdr:colOff>57150</xdr:colOff>
      <xdr:row>72</xdr:row>
      <xdr:rowOff>1732</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109</xdr:col>
      <xdr:colOff>194582</xdr:colOff>
      <xdr:row>41</xdr:row>
      <xdr:rowOff>21771</xdr:rowOff>
    </xdr:from>
    <xdr:to>
      <xdr:col>129</xdr:col>
      <xdr:colOff>123825</xdr:colOff>
      <xdr:row>72</xdr:row>
      <xdr:rowOff>23503</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109</xdr:col>
      <xdr:colOff>228600</xdr:colOff>
      <xdr:row>9</xdr:row>
      <xdr:rowOff>28575</xdr:rowOff>
    </xdr:from>
    <xdr:to>
      <xdr:col>129</xdr:col>
      <xdr:colOff>19050</xdr:colOff>
      <xdr:row>40</xdr:row>
      <xdr:rowOff>30307</xdr:rowOff>
    </xdr:to>
    <xdr:graphicFrame macro="">
      <xdr:nvGraphicFramePr>
        <xdr:cNvPr id="10" name="Chart 253">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92</xdr:col>
      <xdr:colOff>329046</xdr:colOff>
      <xdr:row>72</xdr:row>
      <xdr:rowOff>138546</xdr:rowOff>
    </xdr:from>
    <xdr:to>
      <xdr:col>109</xdr:col>
      <xdr:colOff>33771</xdr:colOff>
      <xdr:row>103</xdr:row>
      <xdr:rowOff>140278</xdr:rowOff>
    </xdr:to>
    <xdr:graphicFrame macro="">
      <xdr:nvGraphicFramePr>
        <xdr:cNvPr id="11" name="Chart 253">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66</xdr:col>
      <xdr:colOff>544285</xdr:colOff>
      <xdr:row>7</xdr:row>
      <xdr:rowOff>90714</xdr:rowOff>
    </xdr:from>
    <xdr:ext cx="27765" cy="199927"/>
    <xdr:sp macro="" textlink="">
      <xdr:nvSpPr>
        <xdr:cNvPr id="12" name="TextBox 11">
          <a:extLst>
            <a:ext uri="{FF2B5EF4-FFF2-40B4-BE49-F238E27FC236}">
              <a16:creationId xmlns:a16="http://schemas.microsoft.com/office/drawing/2014/main" id="{00000000-0008-0000-0500-00000C000000}"/>
            </a:ext>
          </a:extLst>
        </xdr:cNvPr>
        <xdr:cNvSpPr txBox="1"/>
      </xdr:nvSpPr>
      <xdr:spPr bwMode="auto">
        <a:xfrm>
          <a:off x="34299071" y="1796143"/>
          <a:ext cx="27765" cy="199927"/>
        </a:xfrm>
        <a:prstGeom prst="rect">
          <a:avLst/>
        </a:prstGeom>
        <a:noFill/>
        <a:ln w="9525">
          <a:noFill/>
          <a:miter lim="800000"/>
          <a:headEnd/>
          <a:tailEnd/>
        </a:ln>
      </xdr:spPr>
      <xdr:txBody>
        <a:bodyPr vertOverflow="clip" horzOverflow="clip" wrap="none" lIns="27432" tIns="27432" rIns="0" bIns="0" rtlCol="0" anchor="t" upright="1">
          <a:spAutoFit/>
        </a:bodyPr>
        <a:lstStyle/>
        <a:p>
          <a:pPr algn="l" rtl="0"/>
          <a:endParaRPr lang="en-US" sz="1100" b="0" i="0" strike="noStrike">
            <a:solidFill>
              <a:srgbClr val="000000"/>
            </a:solidFill>
            <a:latin typeface="Calibri"/>
          </a:endParaRPr>
        </a:p>
      </xdr:txBody>
    </xdr:sp>
    <xdr:clientData/>
  </xdr:oneCellAnchor>
  <xdr:oneCellAnchor>
    <xdr:from>
      <xdr:col>58</xdr:col>
      <xdr:colOff>244929</xdr:colOff>
      <xdr:row>0</xdr:row>
      <xdr:rowOff>36286</xdr:rowOff>
    </xdr:from>
    <xdr:ext cx="2502480" cy="544380"/>
    <xdr:sp macro="" textlink="">
      <xdr:nvSpPr>
        <xdr:cNvPr id="13" name="TextBox 12">
          <a:extLst>
            <a:ext uri="{FF2B5EF4-FFF2-40B4-BE49-F238E27FC236}">
              <a16:creationId xmlns:a16="http://schemas.microsoft.com/office/drawing/2014/main" id="{00000000-0008-0000-0500-00000D000000}"/>
            </a:ext>
          </a:extLst>
        </xdr:cNvPr>
        <xdr:cNvSpPr txBox="1"/>
      </xdr:nvSpPr>
      <xdr:spPr bwMode="auto">
        <a:xfrm>
          <a:off x="29282572" y="36286"/>
          <a:ext cx="2502480" cy="544380"/>
        </a:xfrm>
        <a:prstGeom prst="rect">
          <a:avLst/>
        </a:prstGeom>
        <a:solidFill>
          <a:srgbClr val="FFFF66"/>
        </a:solidFill>
        <a:ln w="9525">
          <a:noFill/>
          <a:miter lim="800000"/>
          <a:headEnd/>
          <a:tailEnd/>
        </a:ln>
      </xdr:spPr>
      <xdr:txBody>
        <a:bodyPr vertOverflow="clip" horzOverflow="clip" wrap="none" lIns="27432" tIns="27432" rIns="0" bIns="0" rtlCol="0" anchor="t" upright="1">
          <a:spAutoFit/>
        </a:bodyPr>
        <a:lstStyle/>
        <a:p>
          <a:pPr rtl="0"/>
          <a:r>
            <a:rPr lang="en-US" sz="1100" b="1" i="0">
              <a:solidFill>
                <a:srgbClr val="FF0000"/>
              </a:solidFill>
              <a:effectLst/>
              <a:latin typeface="+mn-lt"/>
              <a:ea typeface="+mn-ea"/>
              <a:cs typeface="+mn-cs"/>
            </a:rPr>
            <a:t>31JUL2024</a:t>
          </a:r>
          <a:endParaRPr lang="en-US">
            <a:solidFill>
              <a:srgbClr val="FF0000"/>
            </a:solidFill>
            <a:effectLst/>
          </a:endParaRPr>
        </a:p>
        <a:p>
          <a:pPr rtl="0"/>
          <a:r>
            <a:rPr lang="en-US" sz="1100" b="0" i="0">
              <a:solidFill>
                <a:srgbClr val="FF0000"/>
              </a:solidFill>
              <a:effectLst/>
              <a:latin typeface="+mn-lt"/>
              <a:ea typeface="+mn-ea"/>
              <a:cs typeface="+mn-cs"/>
            </a:rPr>
            <a:t>FET Qg loss is using VIN instead of 5V VDD</a:t>
          </a:r>
          <a:r>
            <a:rPr lang="en-US" sz="1100" b="0" i="0">
              <a:effectLst/>
              <a:latin typeface="+mn-lt"/>
              <a:ea typeface="+mn-ea"/>
              <a:cs typeface="+mn-cs"/>
            </a:rPr>
            <a:t>. </a:t>
          </a:r>
          <a:endParaRPr lang="en-US">
            <a:effectLst/>
          </a:endParaRPr>
        </a:p>
        <a:p>
          <a:pPr algn="l" rtl="0"/>
          <a:endParaRPr lang="en-US" sz="1100" b="0" i="0" strike="noStrike">
            <a:solidFill>
              <a:srgbClr val="000000"/>
            </a:solidFill>
            <a:latin typeface="Calibri"/>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12700</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7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12700</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7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12700</xdr:rowOff>
        </xdr:from>
        <xdr:to>
          <xdr:col>6</xdr:col>
          <xdr:colOff>876300</xdr:colOff>
          <xdr:row>40</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7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12700</xdr:rowOff>
        </xdr:from>
        <xdr:to>
          <xdr:col>6</xdr:col>
          <xdr:colOff>876300</xdr:colOff>
          <xdr:row>47</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7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12700</xdr:rowOff>
        </xdr:from>
        <xdr:to>
          <xdr:col>6</xdr:col>
          <xdr:colOff>876300</xdr:colOff>
          <xdr:row>42</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7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12700</xdr:rowOff>
        </xdr:from>
        <xdr:to>
          <xdr:col>6</xdr:col>
          <xdr:colOff>876300</xdr:colOff>
          <xdr:row>41</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7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12700</xdr:rowOff>
        </xdr:from>
        <xdr:to>
          <xdr:col>6</xdr:col>
          <xdr:colOff>876300</xdr:colOff>
          <xdr:row>46</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7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12700</xdr:rowOff>
        </xdr:from>
        <xdr:to>
          <xdr:col>6</xdr:col>
          <xdr:colOff>876300</xdr:colOff>
          <xdr:row>48</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7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48</xdr:row>
          <xdr:rowOff>12700</xdr:rowOff>
        </xdr:from>
        <xdr:to>
          <xdr:col>6</xdr:col>
          <xdr:colOff>876300</xdr:colOff>
          <xdr:row>49</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7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49</xdr:row>
          <xdr:rowOff>12700</xdr:rowOff>
        </xdr:from>
        <xdr:to>
          <xdr:col>6</xdr:col>
          <xdr:colOff>876300</xdr:colOff>
          <xdr:row>50</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7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12700</xdr:rowOff>
        </xdr:from>
        <xdr:to>
          <xdr:col>6</xdr:col>
          <xdr:colOff>876300</xdr:colOff>
          <xdr:row>39</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7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12700</xdr:rowOff>
        </xdr:from>
        <xdr:to>
          <xdr:col>6</xdr:col>
          <xdr:colOff>876300</xdr:colOff>
          <xdr:row>54</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7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700-00004D000000}"/>
                </a:ext>
              </a:extLst>
            </xdr:cNvPr>
            <xdr:cNvPicPr>
              <a:picLocks noChangeAspect="1" noChangeArrowheads="1"/>
              <a:extLst>
                <a:ext uri="{84589F7E-364E-4C9E-8A38-B11213B215E9}">
                  <a14:cameraTool cellRange="PICTURE1" spid="_x0000_s764758"/>
                </a:ext>
              </a:extLst>
            </xdr:cNvPicPr>
          </xdr:nvPicPr>
          <xdr:blipFill>
            <a:blip xmlns:r="http://schemas.openxmlformats.org/officeDocument/2006/relationships" r:embed="rId1"/>
            <a:srcRect/>
            <a:stretch>
              <a:fillRect/>
            </a:stretch>
          </xdr:blipFill>
          <xdr:spPr bwMode="auto">
            <a:xfrm>
              <a:off x="370999" y="95250"/>
              <a:ext cx="7638131" cy="4153008"/>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5</xdr:col>
      <xdr:colOff>368904</xdr:colOff>
      <xdr:row>7</xdr:row>
      <xdr:rowOff>122225</xdr:rowOff>
    </xdr:from>
    <xdr:to>
      <xdr:col>5</xdr:col>
      <xdr:colOff>915363</xdr:colOff>
      <xdr:row>8</xdr:row>
      <xdr:rowOff>143465</xdr:rowOff>
    </xdr:to>
    <xdr:sp macro="" textlink="'Variable Mgmt'!B245">
      <xdr:nvSpPr>
        <xdr:cNvPr id="79" name="Text Box 267">
          <a:extLst>
            <a:ext uri="{FF2B5EF4-FFF2-40B4-BE49-F238E27FC236}">
              <a16:creationId xmlns:a16="http://schemas.microsoft.com/office/drawing/2014/main" id="{00000000-0008-0000-0700-00004F000000}"/>
            </a:ext>
          </a:extLst>
        </xdr:cNvPr>
        <xdr:cNvSpPr txBox="1">
          <a:spLocks noChangeArrowheads="1" noTextEdit="1"/>
        </xdr:cNvSpPr>
      </xdr:nvSpPr>
      <xdr:spPr bwMode="auto">
        <a:xfrm>
          <a:off x="5395173" y="1250571"/>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700" b="0" i="0" u="none" strike="noStrike" baseline="0">
              <a:solidFill>
                <a:srgbClr val="000000"/>
              </a:solidFill>
              <a:latin typeface="Arial" pitchFamily="34" charset="0"/>
              <a:cs typeface="Arial" pitchFamily="34" charset="0"/>
            </a:rPr>
            <a:pPr algn="l" rtl="0">
              <a:defRPr sz="1000"/>
            </a:pPr>
            <a:t>10µF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593597</xdr:colOff>
      <xdr:row>7</xdr:row>
      <xdr:rowOff>47526</xdr:rowOff>
    </xdr:from>
    <xdr:to>
      <xdr:col>1</xdr:col>
      <xdr:colOff>433231</xdr:colOff>
      <xdr:row>8</xdr:row>
      <xdr:rowOff>83672</xdr:rowOff>
    </xdr:to>
    <xdr:sp macro="" textlink="'Variable Mgmt'!B250">
      <xdr:nvSpPr>
        <xdr:cNvPr id="81" name="Text Box 276">
          <a:extLst>
            <a:ext uri="{FF2B5EF4-FFF2-40B4-BE49-F238E27FC236}">
              <a16:creationId xmlns:a16="http://schemas.microsoft.com/office/drawing/2014/main" id="{00000000-0008-0000-0700-000051000000}"/>
            </a:ext>
          </a:extLst>
        </xdr:cNvPr>
        <xdr:cNvSpPr txBox="1">
          <a:spLocks noChangeArrowheads="1" noTextEdit="1"/>
        </xdr:cNvSpPr>
      </xdr:nvSpPr>
      <xdr:spPr bwMode="auto">
        <a:xfrm>
          <a:off x="593597" y="1175872"/>
          <a:ext cx="508826" cy="197338"/>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700" b="0" i="0" u="none" strike="noStrike" baseline="0">
              <a:solidFill>
                <a:srgbClr val="000000"/>
              </a:solidFill>
              <a:latin typeface="Arial" pitchFamily="34" charset="0"/>
              <a:cs typeface="Arial" pitchFamily="34" charset="0"/>
            </a:rPr>
            <a:pPr algn="ctr" rtl="0">
              <a:defRPr sz="1000"/>
            </a:pPr>
            <a:t>40µF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198843</xdr:colOff>
      <xdr:row>21</xdr:row>
      <xdr:rowOff>104015</xdr:rowOff>
    </xdr:from>
    <xdr:to>
      <xdr:col>2</xdr:col>
      <xdr:colOff>642811</xdr:colOff>
      <xdr:row>23</xdr:row>
      <xdr:rowOff>62417</xdr:rowOff>
    </xdr:to>
    <xdr:sp macro="" textlink="'Variable Mgmt'!D277">
      <xdr:nvSpPr>
        <xdr:cNvPr id="82" name="Text Box 281">
          <a:extLst>
            <a:ext uri="{FF2B5EF4-FFF2-40B4-BE49-F238E27FC236}">
              <a16:creationId xmlns:a16="http://schemas.microsoft.com/office/drawing/2014/main" id="{00000000-0008-0000-0700-000052000000}"/>
            </a:ext>
          </a:extLst>
        </xdr:cNvPr>
        <xdr:cNvSpPr txBox="1">
          <a:spLocks noChangeArrowheads="1" noTextEdit="1"/>
        </xdr:cNvSpPr>
      </xdr:nvSpPr>
      <xdr:spPr bwMode="auto">
        <a:xfrm>
          <a:off x="1599018" y="3504440"/>
          <a:ext cx="443968" cy="282252"/>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1100" b="0" i="0" u="none" strike="noStrike">
              <a:solidFill>
                <a:srgbClr val="000000"/>
              </a:solidFill>
              <a:latin typeface="Arial"/>
              <a:cs typeface="Arial"/>
            </a:rPr>
            <a:pPr algn="l" rtl="0">
              <a:defRPr sz="1000"/>
            </a:pPr>
            <a:t>100nF</a:t>
          </a:fld>
          <a:endParaRPr lang="en-US" sz="1100" b="0" i="0" strike="noStrike">
            <a:solidFill>
              <a:srgbClr val="000000"/>
            </a:solidFill>
            <a:latin typeface="Arial" pitchFamily="34" charset="0"/>
            <a:cs typeface="Arial" pitchFamily="34" charset="0"/>
          </a:endParaRPr>
        </a:p>
      </xdr:txBody>
    </xdr:sp>
    <xdr:clientData/>
  </xdr:twoCellAnchor>
  <xdr:twoCellAnchor>
    <xdr:from>
      <xdr:col>0</xdr:col>
      <xdr:colOff>457270</xdr:colOff>
      <xdr:row>2</xdr:row>
      <xdr:rowOff>59911</xdr:rowOff>
    </xdr:from>
    <xdr:to>
      <xdr:col>1</xdr:col>
      <xdr:colOff>331622</xdr:colOff>
      <xdr:row>5</xdr:row>
      <xdr:rowOff>32971</xdr:rowOff>
    </xdr:to>
    <xdr:sp macro="" textlink="'Variable Mgmt'!B237">
      <xdr:nvSpPr>
        <xdr:cNvPr id="85" name="Text Box 283">
          <a:extLst>
            <a:ext uri="{FF2B5EF4-FFF2-40B4-BE49-F238E27FC236}">
              <a16:creationId xmlns:a16="http://schemas.microsoft.com/office/drawing/2014/main" id="{00000000-0008-0000-0700-000055000000}"/>
            </a:ext>
          </a:extLst>
        </xdr:cNvPr>
        <xdr:cNvSpPr txBox="1">
          <a:spLocks noChangeArrowheads="1" noTextEdit="1"/>
        </xdr:cNvSpPr>
      </xdr:nvSpPr>
      <xdr:spPr bwMode="auto">
        <a:xfrm>
          <a:off x="457270" y="382296"/>
          <a:ext cx="543544" cy="45663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000" b="1" i="0" u="none" strike="noStrike">
              <a:solidFill>
                <a:srgbClr val="FF0000"/>
              </a:solidFill>
              <a:latin typeface="Arial" pitchFamily="34" charset="0"/>
              <a:cs typeface="Arial" pitchFamily="34" charset="0"/>
            </a:rPr>
            <a:pPr algn="r" rtl="0">
              <a:defRPr sz="1000"/>
            </a:pPr>
            <a:t>12.5V</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132244</xdr:colOff>
      <xdr:row>3</xdr:row>
      <xdr:rowOff>3197</xdr:rowOff>
    </xdr:from>
    <xdr:to>
      <xdr:col>7</xdr:col>
      <xdr:colOff>798638</xdr:colOff>
      <xdr:row>5</xdr:row>
      <xdr:rowOff>25976</xdr:rowOff>
    </xdr:to>
    <xdr:sp macro="" textlink="'Variable Mgmt'!B240">
      <xdr:nvSpPr>
        <xdr:cNvPr id="87" name="Text Box 285">
          <a:extLst>
            <a:ext uri="{FF2B5EF4-FFF2-40B4-BE49-F238E27FC236}">
              <a16:creationId xmlns:a16="http://schemas.microsoft.com/office/drawing/2014/main" id="{00000000-0008-0000-0700-000057000000}"/>
            </a:ext>
          </a:extLst>
        </xdr:cNvPr>
        <xdr:cNvSpPr txBox="1">
          <a:spLocks noChangeArrowheads="1" noTextEdit="1"/>
        </xdr:cNvSpPr>
      </xdr:nvSpPr>
      <xdr:spPr bwMode="auto">
        <a:xfrm>
          <a:off x="7234475" y="486774"/>
          <a:ext cx="666394" cy="345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000" b="1" i="0" u="none" strike="noStrike" baseline="0">
              <a:solidFill>
                <a:srgbClr val="FF0000"/>
              </a:solidFill>
              <a:latin typeface="Arial" pitchFamily="34" charset="0"/>
              <a:cs typeface="Arial" pitchFamily="34" charset="0"/>
            </a:rPr>
            <a:pPr algn="l" rtl="0">
              <a:defRPr sz="1000"/>
            </a:pPr>
            <a:t>170V</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1117426</xdr:colOff>
      <xdr:row>4</xdr:row>
      <xdr:rowOff>112611</xdr:rowOff>
    </xdr:from>
    <xdr:to>
      <xdr:col>7</xdr:col>
      <xdr:colOff>541529</xdr:colOff>
      <xdr:row>6</xdr:row>
      <xdr:rowOff>93051</xdr:rowOff>
    </xdr:to>
    <xdr:sp macro="" textlink="'Variable Mgmt'!B295">
      <xdr:nvSpPr>
        <xdr:cNvPr id="88" name="Text Box 286">
          <a:extLst>
            <a:ext uri="{FF2B5EF4-FFF2-40B4-BE49-F238E27FC236}">
              <a16:creationId xmlns:a16="http://schemas.microsoft.com/office/drawing/2014/main" id="{00000000-0008-0000-0700-000058000000}"/>
            </a:ext>
          </a:extLst>
        </xdr:cNvPr>
        <xdr:cNvSpPr txBox="1">
          <a:spLocks noChangeArrowheads="1" noTextEdit="1"/>
        </xdr:cNvSpPr>
      </xdr:nvSpPr>
      <xdr:spPr bwMode="auto">
        <a:xfrm>
          <a:off x="7091311" y="757380"/>
          <a:ext cx="552449"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0.6A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217360</xdr:colOff>
      <xdr:row>7</xdr:row>
      <xdr:rowOff>99362</xdr:rowOff>
    </xdr:from>
    <xdr:to>
      <xdr:col>2</xdr:col>
      <xdr:colOff>742058</xdr:colOff>
      <xdr:row>9</xdr:row>
      <xdr:rowOff>29041</xdr:rowOff>
    </xdr:to>
    <xdr:sp macro="" textlink="'Variable Mgmt'!C269">
      <xdr:nvSpPr>
        <xdr:cNvPr id="92" name="Text Box 268">
          <a:extLst>
            <a:ext uri="{FF2B5EF4-FFF2-40B4-BE49-F238E27FC236}">
              <a16:creationId xmlns:a16="http://schemas.microsoft.com/office/drawing/2014/main" id="{00000000-0008-0000-0700-00005C000000}"/>
            </a:ext>
          </a:extLst>
        </xdr:cNvPr>
        <xdr:cNvSpPr txBox="1">
          <a:spLocks noChangeArrowheads="1" noTextEdit="1"/>
        </xdr:cNvSpPr>
      </xdr:nvSpPr>
      <xdr:spPr bwMode="auto">
        <a:xfrm>
          <a:off x="1617535" y="1232837"/>
          <a:ext cx="524698" cy="253529"/>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147kΩ</a:t>
          </a:fld>
          <a:endParaRPr lang="el-GR" sz="1000" b="0" i="0" strike="noStrike">
            <a:solidFill>
              <a:srgbClr val="000000"/>
            </a:solidFill>
            <a:latin typeface="Arial" pitchFamily="34" charset="0"/>
            <a:cs typeface="Arial" pitchFamily="34" charset="0"/>
          </a:endParaRPr>
        </a:p>
      </xdr:txBody>
    </xdr:sp>
    <xdr:clientData/>
  </xdr:twoCellAnchor>
  <xdr:twoCellAnchor>
    <xdr:from>
      <xdr:col>2</xdr:col>
      <xdr:colOff>198310</xdr:colOff>
      <xdr:row>13</xdr:row>
      <xdr:rowOff>137646</xdr:rowOff>
    </xdr:from>
    <xdr:to>
      <xdr:col>2</xdr:col>
      <xdr:colOff>723008</xdr:colOff>
      <xdr:row>15</xdr:row>
      <xdr:rowOff>31908</xdr:rowOff>
    </xdr:to>
    <xdr:sp macro="" textlink="'Variable Mgmt'!C270">
      <xdr:nvSpPr>
        <xdr:cNvPr id="93" name="Text Box 268">
          <a:extLst>
            <a:ext uri="{FF2B5EF4-FFF2-40B4-BE49-F238E27FC236}">
              <a16:creationId xmlns:a16="http://schemas.microsoft.com/office/drawing/2014/main" id="{00000000-0008-0000-0700-00005D000000}"/>
            </a:ext>
          </a:extLst>
        </xdr:cNvPr>
        <xdr:cNvSpPr txBox="1">
          <a:spLocks noChangeArrowheads="1" noTextEdit="1"/>
        </xdr:cNvSpPr>
      </xdr:nvSpPr>
      <xdr:spPr bwMode="auto">
        <a:xfrm>
          <a:off x="1598485" y="2242671"/>
          <a:ext cx="524698" cy="218112"/>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34kΩ</a:t>
          </a:fld>
          <a:endParaRPr lang="el-GR" sz="1000" b="0" i="0" strike="noStrike">
            <a:solidFill>
              <a:srgbClr val="000000"/>
            </a:solidFill>
            <a:latin typeface="Arial" pitchFamily="34" charset="0"/>
            <a:cs typeface="Arial" pitchFamily="34" charset="0"/>
          </a:endParaRPr>
        </a:p>
      </xdr:txBody>
    </xdr:sp>
    <xdr:clientData/>
  </xdr:twoCellAnchor>
  <xdr:twoCellAnchor>
    <xdr:from>
      <xdr:col>3</xdr:col>
      <xdr:colOff>874674</xdr:colOff>
      <xdr:row>11</xdr:row>
      <xdr:rowOff>122026</xdr:rowOff>
    </xdr:from>
    <xdr:to>
      <xdr:col>4</xdr:col>
      <xdr:colOff>38961</xdr:colOff>
      <xdr:row>13</xdr:row>
      <xdr:rowOff>43406</xdr:rowOff>
    </xdr:to>
    <xdr:sp macro="" textlink="'Variable Mgmt'!C259">
      <xdr:nvSpPr>
        <xdr:cNvPr id="94" name="Text Box 268">
          <a:extLst>
            <a:ext uri="{FF2B5EF4-FFF2-40B4-BE49-F238E27FC236}">
              <a16:creationId xmlns:a16="http://schemas.microsoft.com/office/drawing/2014/main" id="{00000000-0008-0000-0700-00005E000000}"/>
            </a:ext>
          </a:extLst>
        </xdr:cNvPr>
        <xdr:cNvSpPr txBox="1">
          <a:spLocks noChangeArrowheads="1" noTextEdit="1"/>
        </xdr:cNvSpPr>
      </xdr:nvSpPr>
      <xdr:spPr bwMode="auto">
        <a:xfrm>
          <a:off x="3282789" y="1895141"/>
          <a:ext cx="575941" cy="24376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700" b="0" i="0" u="none" strike="noStrike">
              <a:solidFill>
                <a:srgbClr val="000000"/>
              </a:solidFill>
              <a:latin typeface="Arial"/>
              <a:cs typeface="Arial"/>
            </a:rPr>
            <a:pPr algn="l" rtl="0">
              <a:defRPr sz="1000"/>
            </a:pPr>
            <a:t>85.3kΩ</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35816</xdr:colOff>
      <xdr:row>13</xdr:row>
      <xdr:rowOff>84072</xdr:rowOff>
    </xdr:from>
    <xdr:to>
      <xdr:col>2</xdr:col>
      <xdr:colOff>550300</xdr:colOff>
      <xdr:row>14</xdr:row>
      <xdr:rowOff>123568</xdr:rowOff>
    </xdr:to>
    <xdr:sp macro="" textlink="'Variable Mgmt'!C273">
      <xdr:nvSpPr>
        <xdr:cNvPr id="95" name="Text Box 265">
          <a:extLst>
            <a:ext uri="{FF2B5EF4-FFF2-40B4-BE49-F238E27FC236}">
              <a16:creationId xmlns:a16="http://schemas.microsoft.com/office/drawing/2014/main" id="{00000000-0008-0000-0700-00005F000000}"/>
            </a:ext>
          </a:extLst>
        </xdr:cNvPr>
        <xdr:cNvSpPr txBox="1">
          <a:spLocks noChangeArrowheads="1" noTextEdit="1"/>
        </xdr:cNvSpPr>
      </xdr:nvSpPr>
      <xdr:spPr bwMode="auto">
        <a:xfrm>
          <a:off x="1506085" y="2179572"/>
          <a:ext cx="514484" cy="200688"/>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700" b="0" i="0" u="none" strike="noStrike" baseline="0">
              <a:solidFill>
                <a:srgbClr val="000000"/>
              </a:solidFill>
              <a:latin typeface="Arial"/>
              <a:cs typeface="Arial"/>
            </a:rPr>
            <a:pPr algn="l" rtl="0">
              <a:defRPr sz="1000"/>
            </a:pPr>
            <a:t>10kΩ</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376115</xdr:colOff>
      <xdr:row>5</xdr:row>
      <xdr:rowOff>94589</xdr:rowOff>
    </xdr:from>
    <xdr:to>
      <xdr:col>1</xdr:col>
      <xdr:colOff>490993</xdr:colOff>
      <xdr:row>7</xdr:row>
      <xdr:rowOff>60080</xdr:rowOff>
    </xdr:to>
    <xdr:sp macro="" textlink="'Variable Mgmt'!B238">
      <xdr:nvSpPr>
        <xdr:cNvPr id="96" name="Text Box 283">
          <a:extLst>
            <a:ext uri="{FF2B5EF4-FFF2-40B4-BE49-F238E27FC236}">
              <a16:creationId xmlns:a16="http://schemas.microsoft.com/office/drawing/2014/main" id="{00000000-0008-0000-0700-000060000000}"/>
            </a:ext>
          </a:extLst>
        </xdr:cNvPr>
        <xdr:cNvSpPr txBox="1">
          <a:spLocks noChangeArrowheads="1" noTextEdit="1"/>
        </xdr:cNvSpPr>
      </xdr:nvSpPr>
      <xdr:spPr bwMode="auto">
        <a:xfrm>
          <a:off x="376115" y="900551"/>
          <a:ext cx="784070" cy="287875"/>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800" b="1" i="0" u="none" strike="noStrike">
              <a:solidFill>
                <a:srgbClr val="000000"/>
              </a:solidFill>
              <a:latin typeface="Arial"/>
              <a:cs typeface="Arial"/>
            </a:rPr>
            <a:pPr algn="ctr" rtl="0">
              <a:defRPr sz="1000"/>
            </a:pPr>
            <a:t>9V...16V</a:t>
          </a:fld>
          <a:endParaRPr lang="en-US" sz="800" b="1" i="0" strike="noStrike">
            <a:solidFill>
              <a:srgbClr val="000000"/>
            </a:solidFill>
            <a:latin typeface="Arial" pitchFamily="34" charset="0"/>
            <a:cs typeface="Arial" pitchFamily="34" charset="0"/>
          </a:endParaRPr>
        </a:p>
      </xdr:txBody>
    </xdr:sp>
    <xdr:clientData/>
  </xdr:twoCellAnchor>
  <xdr:twoCellAnchor>
    <xdr:from>
      <xdr:col>4</xdr:col>
      <xdr:colOff>679229</xdr:colOff>
      <xdr:row>18</xdr:row>
      <xdr:rowOff>149860</xdr:rowOff>
    </xdr:from>
    <xdr:to>
      <xdr:col>4</xdr:col>
      <xdr:colOff>1010101</xdr:colOff>
      <xdr:row>20</xdr:row>
      <xdr:rowOff>77900</xdr:rowOff>
    </xdr:to>
    <xdr:sp macro="" textlink="'Variable Mgmt'!C265">
      <xdr:nvSpPr>
        <xdr:cNvPr id="97" name="Text Box 225">
          <a:extLst>
            <a:ext uri="{FF2B5EF4-FFF2-40B4-BE49-F238E27FC236}">
              <a16:creationId xmlns:a16="http://schemas.microsoft.com/office/drawing/2014/main" id="{00000000-0008-0000-0700-000061000000}"/>
            </a:ext>
          </a:extLst>
        </xdr:cNvPr>
        <xdr:cNvSpPr txBox="1">
          <a:spLocks noChangeArrowheads="1"/>
        </xdr:cNvSpPr>
      </xdr:nvSpPr>
      <xdr:spPr bwMode="auto">
        <a:xfrm>
          <a:off x="4317779" y="3064510"/>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Rtc</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4</xdr:col>
      <xdr:colOff>631623</xdr:colOff>
      <xdr:row>20</xdr:row>
      <xdr:rowOff>71205</xdr:rowOff>
    </xdr:from>
    <xdr:to>
      <xdr:col>4</xdr:col>
      <xdr:colOff>1147003</xdr:colOff>
      <xdr:row>21</xdr:row>
      <xdr:rowOff>142012</xdr:rowOff>
    </xdr:to>
    <xdr:sp macro="" textlink="'Variable Mgmt'!B265">
      <xdr:nvSpPr>
        <xdr:cNvPr id="98" name="Text Box 268">
          <a:extLst>
            <a:ext uri="{FF2B5EF4-FFF2-40B4-BE49-F238E27FC236}">
              <a16:creationId xmlns:a16="http://schemas.microsoft.com/office/drawing/2014/main" id="{00000000-0008-0000-0700-000062000000}"/>
            </a:ext>
          </a:extLst>
        </xdr:cNvPr>
        <xdr:cNvSpPr txBox="1">
          <a:spLocks noChangeArrowheads="1" noTextEdit="1"/>
        </xdr:cNvSpPr>
      </xdr:nvSpPr>
      <xdr:spPr bwMode="auto">
        <a:xfrm>
          <a:off x="4270173" y="3309705"/>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1690kΩ</a:t>
          </a:fld>
          <a:endParaRPr lang="el-GR" sz="1100" b="0" i="0" strike="noStrike">
            <a:solidFill>
              <a:srgbClr val="000000"/>
            </a:solidFill>
            <a:latin typeface="Arial" pitchFamily="34" charset="0"/>
            <a:cs typeface="Arial" pitchFamily="34" charset="0"/>
          </a:endParaRPr>
        </a:p>
      </xdr:txBody>
    </xdr:sp>
    <xdr:clientData/>
  </xdr:twoCellAnchor>
  <xdr:twoCellAnchor>
    <xdr:from>
      <xdr:col>2</xdr:col>
      <xdr:colOff>237557</xdr:colOff>
      <xdr:row>6</xdr:row>
      <xdr:rowOff>57806</xdr:rowOff>
    </xdr:from>
    <xdr:to>
      <xdr:col>2</xdr:col>
      <xdr:colOff>639607</xdr:colOff>
      <xdr:row>7</xdr:row>
      <xdr:rowOff>125922</xdr:rowOff>
    </xdr:to>
    <xdr:sp macro="" textlink="'Variable Mgmt'!C268">
      <xdr:nvSpPr>
        <xdr:cNvPr id="99" name="Text Box 264">
          <a:extLst>
            <a:ext uri="{FF2B5EF4-FFF2-40B4-BE49-F238E27FC236}">
              <a16:creationId xmlns:a16="http://schemas.microsoft.com/office/drawing/2014/main" id="{00000000-0008-0000-0700-000063000000}"/>
            </a:ext>
          </a:extLst>
        </xdr:cNvPr>
        <xdr:cNvSpPr txBox="1">
          <a:spLocks noChangeArrowheads="1" noTextEdit="1"/>
        </xdr:cNvSpPr>
      </xdr:nvSpPr>
      <xdr:spPr bwMode="auto">
        <a:xfrm>
          <a:off x="1637732" y="1029356"/>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237557</xdr:colOff>
      <xdr:row>12</xdr:row>
      <xdr:rowOff>115234</xdr:rowOff>
    </xdr:from>
    <xdr:to>
      <xdr:col>2</xdr:col>
      <xdr:colOff>661587</xdr:colOff>
      <xdr:row>13</xdr:row>
      <xdr:rowOff>135750</xdr:rowOff>
    </xdr:to>
    <xdr:sp macro="" textlink="'Variable Mgmt'!D268">
      <xdr:nvSpPr>
        <xdr:cNvPr id="100" name="Text Box 264">
          <a:extLst>
            <a:ext uri="{FF2B5EF4-FFF2-40B4-BE49-F238E27FC236}">
              <a16:creationId xmlns:a16="http://schemas.microsoft.com/office/drawing/2014/main" id="{00000000-0008-0000-0700-000064000000}"/>
            </a:ext>
          </a:extLst>
        </xdr:cNvPr>
        <xdr:cNvSpPr txBox="1">
          <a:spLocks noChangeArrowheads="1" noTextEdit="1"/>
        </xdr:cNvSpPr>
      </xdr:nvSpPr>
      <xdr:spPr bwMode="auto">
        <a:xfrm>
          <a:off x="1637732" y="2058334"/>
          <a:ext cx="424030" cy="182441"/>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216427</xdr:colOff>
      <xdr:row>20</xdr:row>
      <xdr:rowOff>331</xdr:rowOff>
    </xdr:from>
    <xdr:to>
      <xdr:col>2</xdr:col>
      <xdr:colOff>660395</xdr:colOff>
      <xdr:row>22</xdr:row>
      <xdr:rowOff>12593</xdr:rowOff>
    </xdr:to>
    <xdr:sp macro="" textlink="'Variable Mgmt'!C278">
      <xdr:nvSpPr>
        <xdr:cNvPr id="101" name="Text Box 281">
          <a:extLst>
            <a:ext uri="{FF2B5EF4-FFF2-40B4-BE49-F238E27FC236}">
              <a16:creationId xmlns:a16="http://schemas.microsoft.com/office/drawing/2014/main" id="{00000000-0008-0000-0700-000065000000}"/>
            </a:ext>
          </a:extLst>
        </xdr:cNvPr>
        <xdr:cNvSpPr txBox="1">
          <a:spLocks noChangeArrowheads="1" noTextEdit="1"/>
        </xdr:cNvSpPr>
      </xdr:nvSpPr>
      <xdr:spPr bwMode="auto">
        <a:xfrm>
          <a:off x="1616602" y="3238831"/>
          <a:ext cx="443968" cy="336112"/>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xdr:from>
      <xdr:col>7</xdr:col>
      <xdr:colOff>288063</xdr:colOff>
      <xdr:row>11</xdr:row>
      <xdr:rowOff>136547</xdr:rowOff>
    </xdr:from>
    <xdr:to>
      <xdr:col>7</xdr:col>
      <xdr:colOff>954457</xdr:colOff>
      <xdr:row>13</xdr:row>
      <xdr:rowOff>159326</xdr:rowOff>
    </xdr:to>
    <xdr:sp macro="" textlink="'Variable Mgmt'!B241">
      <xdr:nvSpPr>
        <xdr:cNvPr id="128" name="Text Box 285">
          <a:extLst>
            <a:ext uri="{FF2B5EF4-FFF2-40B4-BE49-F238E27FC236}">
              <a16:creationId xmlns:a16="http://schemas.microsoft.com/office/drawing/2014/main" id="{00000000-0008-0000-0700-000080000000}"/>
            </a:ext>
          </a:extLst>
        </xdr:cNvPr>
        <xdr:cNvSpPr txBox="1">
          <a:spLocks noChangeArrowheads="1" noTextEdit="1"/>
        </xdr:cNvSpPr>
      </xdr:nvSpPr>
      <xdr:spPr bwMode="auto">
        <a:xfrm>
          <a:off x="7060338" y="19177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000" b="1" i="0" u="none" strike="noStrike" baseline="0">
              <a:solidFill>
                <a:srgbClr val="FF0000"/>
              </a:solidFill>
              <a:latin typeface="Arial"/>
              <a:cs typeface="Arial"/>
            </a:rPr>
            <a:pPr algn="l" rtl="0">
              <a:defRPr sz="1000"/>
            </a:pPr>
            <a:t>12V</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7</xdr:col>
      <xdr:colOff>133350</xdr:colOff>
      <xdr:row>13</xdr:row>
      <xdr:rowOff>74511</xdr:rowOff>
    </xdr:from>
    <xdr:to>
      <xdr:col>7</xdr:col>
      <xdr:colOff>733425</xdr:colOff>
      <xdr:row>15</xdr:row>
      <xdr:rowOff>54951</xdr:rowOff>
    </xdr:to>
    <xdr:sp macro="" textlink="'Variable Mgmt'!B296">
      <xdr:nvSpPr>
        <xdr:cNvPr id="129" name="Text Box 286">
          <a:extLst>
            <a:ext uri="{FF2B5EF4-FFF2-40B4-BE49-F238E27FC236}">
              <a16:creationId xmlns:a16="http://schemas.microsoft.com/office/drawing/2014/main" id="{00000000-0008-0000-0700-000081000000}"/>
            </a:ext>
          </a:extLst>
        </xdr:cNvPr>
        <xdr:cNvSpPr txBox="1">
          <a:spLocks noChangeArrowheads="1" noTextEdit="1"/>
        </xdr:cNvSpPr>
      </xdr:nvSpPr>
      <xdr:spPr bwMode="auto">
        <a:xfrm>
          <a:off x="6905625" y="2179536"/>
          <a:ext cx="600075"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0.5A</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141769</xdr:colOff>
      <xdr:row>13</xdr:row>
      <xdr:rowOff>19072</xdr:rowOff>
    </xdr:from>
    <xdr:to>
      <xdr:col>7</xdr:col>
      <xdr:colOff>808163</xdr:colOff>
      <xdr:row>15</xdr:row>
      <xdr:rowOff>41118</xdr:rowOff>
    </xdr:to>
    <xdr:sp macro="" textlink="'Variable Mgmt'!B242">
      <xdr:nvSpPr>
        <xdr:cNvPr id="130" name="Text Box 285">
          <a:extLst>
            <a:ext uri="{FF2B5EF4-FFF2-40B4-BE49-F238E27FC236}">
              <a16:creationId xmlns:a16="http://schemas.microsoft.com/office/drawing/2014/main" id="{00000000-0008-0000-0700-000082000000}"/>
            </a:ext>
          </a:extLst>
        </xdr:cNvPr>
        <xdr:cNvSpPr txBox="1">
          <a:spLocks noChangeArrowheads="1" noTextEdit="1"/>
        </xdr:cNvSpPr>
      </xdr:nvSpPr>
      <xdr:spPr bwMode="auto">
        <a:xfrm>
          <a:off x="7244000" y="2114572"/>
          <a:ext cx="666394" cy="34443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1097443</xdr:colOff>
      <xdr:row>14</xdr:row>
      <xdr:rowOff>118229</xdr:rowOff>
    </xdr:from>
    <xdr:to>
      <xdr:col>7</xdr:col>
      <xdr:colOff>723171</xdr:colOff>
      <xdr:row>16</xdr:row>
      <xdr:rowOff>98669</xdr:rowOff>
    </xdr:to>
    <xdr:sp macro="" textlink="'Variable Mgmt'!B297">
      <xdr:nvSpPr>
        <xdr:cNvPr id="131" name="Text Box 286">
          <a:extLst>
            <a:ext uri="{FF2B5EF4-FFF2-40B4-BE49-F238E27FC236}">
              <a16:creationId xmlns:a16="http://schemas.microsoft.com/office/drawing/2014/main" id="{00000000-0008-0000-0700-000083000000}"/>
            </a:ext>
          </a:extLst>
        </xdr:cNvPr>
        <xdr:cNvSpPr txBox="1">
          <a:spLocks noChangeArrowheads="1" noTextEdit="1"/>
        </xdr:cNvSpPr>
      </xdr:nvSpPr>
      <xdr:spPr bwMode="auto">
        <a:xfrm>
          <a:off x="7071328" y="2374921"/>
          <a:ext cx="754074"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5</xdr:col>
      <xdr:colOff>417750</xdr:colOff>
      <xdr:row>12</xdr:row>
      <xdr:rowOff>106350</xdr:rowOff>
    </xdr:from>
    <xdr:to>
      <xdr:col>6</xdr:col>
      <xdr:colOff>16593</xdr:colOff>
      <xdr:row>13</xdr:row>
      <xdr:rowOff>127590</xdr:rowOff>
    </xdr:to>
    <xdr:sp macro="" textlink="'Variable Mgmt'!D245">
      <xdr:nvSpPr>
        <xdr:cNvPr id="132" name="Text Box 267">
          <a:extLst>
            <a:ext uri="{FF2B5EF4-FFF2-40B4-BE49-F238E27FC236}">
              <a16:creationId xmlns:a16="http://schemas.microsoft.com/office/drawing/2014/main" id="{00000000-0008-0000-0700-000084000000}"/>
            </a:ext>
          </a:extLst>
        </xdr:cNvPr>
        <xdr:cNvSpPr txBox="1">
          <a:spLocks noChangeArrowheads="1" noTextEdit="1"/>
        </xdr:cNvSpPr>
      </xdr:nvSpPr>
      <xdr:spPr bwMode="auto">
        <a:xfrm>
          <a:off x="5444019" y="2040658"/>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5</xdr:col>
      <xdr:colOff>398212</xdr:colOff>
      <xdr:row>15</xdr:row>
      <xdr:rowOff>113188</xdr:rowOff>
    </xdr:from>
    <xdr:to>
      <xdr:col>5</xdr:col>
      <xdr:colOff>944671</xdr:colOff>
      <xdr:row>16</xdr:row>
      <xdr:rowOff>134428</xdr:rowOff>
    </xdr:to>
    <xdr:sp macro="" textlink="'Variable Mgmt'!C245">
      <xdr:nvSpPr>
        <xdr:cNvPr id="133" name="Text Box 267">
          <a:extLst>
            <a:ext uri="{FF2B5EF4-FFF2-40B4-BE49-F238E27FC236}">
              <a16:creationId xmlns:a16="http://schemas.microsoft.com/office/drawing/2014/main" id="{00000000-0008-0000-0700-000085000000}"/>
            </a:ext>
          </a:extLst>
        </xdr:cNvPr>
        <xdr:cNvSpPr txBox="1">
          <a:spLocks noChangeArrowheads="1" noTextEdit="1"/>
        </xdr:cNvSpPr>
      </xdr:nvSpPr>
      <xdr:spPr bwMode="auto">
        <a:xfrm>
          <a:off x="5424481" y="2531073"/>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700" b="0" i="0" u="none" strike="noStrike" baseline="0">
              <a:solidFill>
                <a:srgbClr val="000000"/>
              </a:solidFill>
              <a:latin typeface="Arial"/>
              <a:cs typeface="Arial"/>
            </a:rPr>
            <a:pPr algn="l" rtl="0">
              <a:defRPr sz="1000"/>
            </a:pPr>
            <a:t>55µF</a:t>
          </a:fld>
          <a:endParaRPr lang="en-US" sz="7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12700</xdr:rowOff>
        </xdr:from>
        <xdr:to>
          <xdr:col>6</xdr:col>
          <xdr:colOff>869950</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7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895527</xdr:colOff>
      <xdr:row>24</xdr:row>
      <xdr:rowOff>49871</xdr:rowOff>
    </xdr:from>
    <xdr:to>
      <xdr:col>3</xdr:col>
      <xdr:colOff>280521</xdr:colOff>
      <xdr:row>25</xdr:row>
      <xdr:rowOff>121252</xdr:rowOff>
    </xdr:to>
    <xdr:sp macro="" textlink="">
      <xdr:nvSpPr>
        <xdr:cNvPr id="47" name="Text Box 244">
          <a:extLst>
            <a:ext uri="{FF2B5EF4-FFF2-40B4-BE49-F238E27FC236}">
              <a16:creationId xmlns:a16="http://schemas.microsoft.com/office/drawing/2014/main" id="{00000000-0008-0000-0700-00002F000000}"/>
            </a:ext>
          </a:extLst>
        </xdr:cNvPr>
        <xdr:cNvSpPr txBox="1">
          <a:spLocks noChangeArrowheads="1"/>
        </xdr:cNvSpPr>
      </xdr:nvSpPr>
      <xdr:spPr bwMode="auto">
        <a:xfrm>
          <a:off x="2365796" y="3918486"/>
          <a:ext cx="322840" cy="23257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42</xdr:row>
          <xdr:rowOff>12700</xdr:rowOff>
        </xdr:from>
        <xdr:to>
          <xdr:col>6</xdr:col>
          <xdr:colOff>882650</xdr:colOff>
          <xdr:row>43</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7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1328384</xdr:colOff>
      <xdr:row>2</xdr:row>
      <xdr:rowOff>124558</xdr:rowOff>
    </xdr:from>
    <xdr:to>
      <xdr:col>4</xdr:col>
      <xdr:colOff>946637</xdr:colOff>
      <xdr:row>4</xdr:row>
      <xdr:rowOff>55843</xdr:rowOff>
    </xdr:to>
    <xdr:sp macro="" textlink="'Variable Mgmt'!B233">
      <xdr:nvSpPr>
        <xdr:cNvPr id="49" name="Text Box 265">
          <a:extLst>
            <a:ext uri="{FF2B5EF4-FFF2-40B4-BE49-F238E27FC236}">
              <a16:creationId xmlns:a16="http://schemas.microsoft.com/office/drawing/2014/main" id="{00000000-0008-0000-0700-000031000000}"/>
            </a:ext>
          </a:extLst>
        </xdr:cNvPr>
        <xdr:cNvSpPr txBox="1">
          <a:spLocks noChangeArrowheads="1" noTextEdit="1"/>
        </xdr:cNvSpPr>
      </xdr:nvSpPr>
      <xdr:spPr bwMode="auto">
        <a:xfrm>
          <a:off x="3736499" y="446943"/>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700" b="0" i="0" u="none" strike="noStrike" baseline="0">
              <a:solidFill>
                <a:srgbClr val="000000"/>
              </a:solidFill>
              <a:latin typeface="Arial"/>
              <a:cs typeface="Arial"/>
            </a:rPr>
            <a:pPr algn="ctr" rtl="0">
              <a:defRPr sz="1000"/>
            </a:pPr>
            <a:t>1 : 20 : 1.49</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212599</xdr:colOff>
      <xdr:row>18</xdr:row>
      <xdr:rowOff>21980</xdr:rowOff>
    </xdr:from>
    <xdr:to>
      <xdr:col>2</xdr:col>
      <xdr:colOff>759488</xdr:colOff>
      <xdr:row>19</xdr:row>
      <xdr:rowOff>90664</xdr:rowOff>
    </xdr:to>
    <xdr:sp macro="" textlink="'Variable Mgmt'!D309">
      <xdr:nvSpPr>
        <xdr:cNvPr id="50" name="Text Box 268">
          <a:extLst>
            <a:ext uri="{FF2B5EF4-FFF2-40B4-BE49-F238E27FC236}">
              <a16:creationId xmlns:a16="http://schemas.microsoft.com/office/drawing/2014/main" id="{00000000-0008-0000-0700-000032000000}"/>
            </a:ext>
          </a:extLst>
        </xdr:cNvPr>
        <xdr:cNvSpPr txBox="1">
          <a:spLocks noChangeArrowheads="1" noTextEdit="1"/>
        </xdr:cNvSpPr>
      </xdr:nvSpPr>
      <xdr:spPr bwMode="auto">
        <a:xfrm>
          <a:off x="1682868" y="2923442"/>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700" b="0" i="0" u="none" strike="noStrike">
              <a:solidFill>
                <a:srgbClr val="000000"/>
              </a:solidFill>
              <a:latin typeface="Arial"/>
              <a:cs typeface="Arial"/>
            </a:rPr>
            <a:pPr algn="l" rtl="0">
              <a:defRPr sz="1000"/>
            </a:pPr>
            <a:t>142kΩ</a:t>
          </a:fld>
          <a:endParaRPr lang="el-GR" sz="700" b="0" i="0" strike="noStrike">
            <a:solidFill>
              <a:srgbClr val="000000"/>
            </a:solidFill>
            <a:latin typeface="Arial" pitchFamily="34" charset="0"/>
            <a:cs typeface="Arial" pitchFamily="34" charset="0"/>
          </a:endParaRPr>
        </a:p>
      </xdr:txBody>
    </xdr:sp>
    <xdr:clientData/>
  </xdr:twoCellAnchor>
  <xdr:twoCellAnchor>
    <xdr:from>
      <xdr:col>1</xdr:col>
      <xdr:colOff>449152</xdr:colOff>
      <xdr:row>21</xdr:row>
      <xdr:rowOff>35238</xdr:rowOff>
    </xdr:from>
    <xdr:to>
      <xdr:col>2</xdr:col>
      <xdr:colOff>194965</xdr:colOff>
      <xdr:row>22</xdr:row>
      <xdr:rowOff>103921</xdr:rowOff>
    </xdr:to>
    <xdr:sp macro="" textlink="'Variable Mgmt'!D310">
      <xdr:nvSpPr>
        <xdr:cNvPr id="51" name="Text Box 268">
          <a:extLst>
            <a:ext uri="{FF2B5EF4-FFF2-40B4-BE49-F238E27FC236}">
              <a16:creationId xmlns:a16="http://schemas.microsoft.com/office/drawing/2014/main" id="{00000000-0008-0000-0700-000033000000}"/>
            </a:ext>
          </a:extLst>
        </xdr:cNvPr>
        <xdr:cNvSpPr txBox="1">
          <a:spLocks noChangeArrowheads="1" noTextEdit="1"/>
        </xdr:cNvSpPr>
      </xdr:nvSpPr>
      <xdr:spPr bwMode="auto">
        <a:xfrm>
          <a:off x="1118344" y="3420276"/>
          <a:ext cx="546890"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700" b="0" i="0" u="none" strike="noStrike">
              <a:solidFill>
                <a:srgbClr val="000000"/>
              </a:solidFill>
              <a:latin typeface="Arial"/>
              <a:cs typeface="Arial"/>
            </a:rPr>
            <a:pPr algn="l" rtl="0">
              <a:defRPr sz="1000"/>
            </a:pPr>
            <a:t>6nF</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164452</xdr:colOff>
      <xdr:row>21</xdr:row>
      <xdr:rowOff>126649</xdr:rowOff>
    </xdr:from>
    <xdr:to>
      <xdr:col>2</xdr:col>
      <xdr:colOff>711340</xdr:colOff>
      <xdr:row>23</xdr:row>
      <xdr:rowOff>34140</xdr:rowOff>
    </xdr:to>
    <xdr:sp macro="" textlink="'Variable Mgmt'!D311">
      <xdr:nvSpPr>
        <xdr:cNvPr id="52" name="Text Box 268">
          <a:extLst>
            <a:ext uri="{FF2B5EF4-FFF2-40B4-BE49-F238E27FC236}">
              <a16:creationId xmlns:a16="http://schemas.microsoft.com/office/drawing/2014/main" id="{00000000-0008-0000-0700-000034000000}"/>
            </a:ext>
          </a:extLst>
        </xdr:cNvPr>
        <xdr:cNvSpPr txBox="1">
          <a:spLocks noChangeArrowheads="1" noTextEdit="1"/>
        </xdr:cNvSpPr>
      </xdr:nvSpPr>
      <xdr:spPr bwMode="auto">
        <a:xfrm>
          <a:off x="1634721" y="3511687"/>
          <a:ext cx="546888"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700" b="0" i="0" u="none" strike="noStrike">
              <a:solidFill>
                <a:srgbClr val="000000"/>
              </a:solidFill>
              <a:latin typeface="Arial"/>
              <a:cs typeface="Arial"/>
            </a:rPr>
            <a:pPr algn="l" rtl="0">
              <a:defRPr sz="1000"/>
            </a:pPr>
            <a:t>47pF</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1093922</xdr:colOff>
      <xdr:row>21</xdr:row>
      <xdr:rowOff>148980</xdr:rowOff>
    </xdr:from>
    <xdr:to>
      <xdr:col>4</xdr:col>
      <xdr:colOff>229158</xdr:colOff>
      <xdr:row>22</xdr:row>
      <xdr:rowOff>144814</xdr:rowOff>
    </xdr:to>
    <xdr:sp macro="" textlink="'Variable Mgmt'!D314">
      <xdr:nvSpPr>
        <xdr:cNvPr id="53" name="Text Box 268">
          <a:extLst>
            <a:ext uri="{FF2B5EF4-FFF2-40B4-BE49-F238E27FC236}">
              <a16:creationId xmlns:a16="http://schemas.microsoft.com/office/drawing/2014/main" id="{00000000-0008-0000-0700-000035000000}"/>
            </a:ext>
          </a:extLst>
        </xdr:cNvPr>
        <xdr:cNvSpPr txBox="1">
          <a:spLocks noChangeArrowheads="1" noTextEdit="1"/>
        </xdr:cNvSpPr>
      </xdr:nvSpPr>
      <xdr:spPr bwMode="auto">
        <a:xfrm>
          <a:off x="3502037" y="3534018"/>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700" b="0" i="0" u="none" strike="noStrike">
              <a:solidFill>
                <a:srgbClr val="000000"/>
              </a:solidFill>
              <a:latin typeface="Arial"/>
              <a:cs typeface="Arial"/>
            </a:rPr>
            <a:pPr algn="l" rtl="0">
              <a:defRPr sz="1000"/>
            </a:pPr>
            <a:t>100pF</a:t>
          </a:fld>
          <a:endParaRPr lang="el-GR" sz="700" b="0" i="0" strike="noStrike">
            <a:solidFill>
              <a:srgbClr val="000000"/>
            </a:solidFill>
            <a:latin typeface="Arial" pitchFamily="34" charset="0"/>
            <a:cs typeface="Arial" pitchFamily="34" charset="0"/>
          </a:endParaRPr>
        </a:p>
      </xdr:txBody>
    </xdr:sp>
    <xdr:clientData/>
  </xdr:twoCellAnchor>
  <xdr:twoCellAnchor>
    <xdr:from>
      <xdr:col>4</xdr:col>
      <xdr:colOff>426125</xdr:colOff>
      <xdr:row>21</xdr:row>
      <xdr:rowOff>129442</xdr:rowOff>
    </xdr:from>
    <xdr:to>
      <xdr:col>4</xdr:col>
      <xdr:colOff>973014</xdr:colOff>
      <xdr:row>22</xdr:row>
      <xdr:rowOff>125276</xdr:rowOff>
    </xdr:to>
    <xdr:sp macro="" textlink="'Variable Mgmt'!D313">
      <xdr:nvSpPr>
        <xdr:cNvPr id="54" name="Text Box 268">
          <a:extLst>
            <a:ext uri="{FF2B5EF4-FFF2-40B4-BE49-F238E27FC236}">
              <a16:creationId xmlns:a16="http://schemas.microsoft.com/office/drawing/2014/main" id="{00000000-0008-0000-0700-000036000000}"/>
            </a:ext>
          </a:extLst>
        </xdr:cNvPr>
        <xdr:cNvSpPr txBox="1">
          <a:spLocks noChangeArrowheads="1" noTextEdit="1"/>
        </xdr:cNvSpPr>
      </xdr:nvSpPr>
      <xdr:spPr bwMode="auto">
        <a:xfrm>
          <a:off x="4245894" y="3514480"/>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700" b="0" i="0" u="none" strike="noStrike">
              <a:solidFill>
                <a:srgbClr val="000000"/>
              </a:solidFill>
              <a:latin typeface="Arial"/>
              <a:cs typeface="Arial"/>
            </a:rPr>
            <a:pPr algn="l" rtl="0">
              <a:defRPr sz="1000"/>
            </a:pPr>
            <a:t>1.5mΩ</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1332569</xdr:colOff>
      <xdr:row>18</xdr:row>
      <xdr:rowOff>12210</xdr:rowOff>
    </xdr:from>
    <xdr:to>
      <xdr:col>4</xdr:col>
      <xdr:colOff>467805</xdr:colOff>
      <xdr:row>19</xdr:row>
      <xdr:rowOff>8045</xdr:rowOff>
    </xdr:to>
    <xdr:sp macro="" textlink="'Variable Mgmt'!D315">
      <xdr:nvSpPr>
        <xdr:cNvPr id="55" name="Text Box 268">
          <a:extLst>
            <a:ext uri="{FF2B5EF4-FFF2-40B4-BE49-F238E27FC236}">
              <a16:creationId xmlns:a16="http://schemas.microsoft.com/office/drawing/2014/main" id="{00000000-0008-0000-0700-000037000000}"/>
            </a:ext>
          </a:extLst>
        </xdr:cNvPr>
        <xdr:cNvSpPr txBox="1">
          <a:spLocks noChangeArrowheads="1" noTextEdit="1"/>
        </xdr:cNvSpPr>
      </xdr:nvSpPr>
      <xdr:spPr bwMode="auto">
        <a:xfrm>
          <a:off x="3740684" y="2913672"/>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700" b="0" i="0" u="none" strike="noStrike">
              <a:solidFill>
                <a:srgbClr val="000000"/>
              </a:solidFill>
              <a:latin typeface="Arial"/>
              <a:cs typeface="Arial"/>
            </a:rPr>
            <a:pPr algn="l" rtl="0">
              <a:defRPr sz="1000"/>
            </a:pPr>
            <a:t>100Ω</a:t>
          </a:fld>
          <a:endParaRPr lang="el-GR" sz="7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51</xdr:row>
          <xdr:rowOff>12700</xdr:rowOff>
        </xdr:from>
        <xdr:to>
          <xdr:col>6</xdr:col>
          <xdr:colOff>876300</xdr:colOff>
          <xdr:row>51</xdr:row>
          <xdr:rowOff>215900</xdr:rowOff>
        </xdr:to>
        <xdr:sp macro="" textlink="">
          <xdr:nvSpPr>
            <xdr:cNvPr id="764426" name="Drop Down 2570" hidden="1">
              <a:extLst>
                <a:ext uri="{63B3BB69-23CF-44E3-9099-C40C66FF867C}">
                  <a14:compatExt spid="_x0000_s764426"/>
                </a:ext>
                <a:ext uri="{FF2B5EF4-FFF2-40B4-BE49-F238E27FC236}">
                  <a16:creationId xmlns:a16="http://schemas.microsoft.com/office/drawing/2014/main" id="{00000000-0008-0000-0700-00000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52</xdr:row>
          <xdr:rowOff>12700</xdr:rowOff>
        </xdr:from>
        <xdr:to>
          <xdr:col>6</xdr:col>
          <xdr:colOff>876300</xdr:colOff>
          <xdr:row>52</xdr:row>
          <xdr:rowOff>215900</xdr:rowOff>
        </xdr:to>
        <xdr:sp macro="" textlink="">
          <xdr:nvSpPr>
            <xdr:cNvPr id="764430" name="Drop Down 2574" hidden="1">
              <a:extLst>
                <a:ext uri="{63B3BB69-23CF-44E3-9099-C40C66FF867C}">
                  <a14:compatExt spid="_x0000_s764430"/>
                </a:ext>
                <a:ext uri="{FF2B5EF4-FFF2-40B4-BE49-F238E27FC236}">
                  <a16:creationId xmlns:a16="http://schemas.microsoft.com/office/drawing/2014/main" id="{00000000-0008-0000-0700-00000E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12700</xdr:rowOff>
        </xdr:from>
        <xdr:to>
          <xdr:col>6</xdr:col>
          <xdr:colOff>882650</xdr:colOff>
          <xdr:row>35</xdr:row>
          <xdr:rowOff>0</xdr:rowOff>
        </xdr:to>
        <xdr:sp macro="" textlink="">
          <xdr:nvSpPr>
            <xdr:cNvPr id="764447" name="Drop Down 2591" hidden="1">
              <a:extLst>
                <a:ext uri="{63B3BB69-23CF-44E3-9099-C40C66FF867C}">
                  <a14:compatExt spid="_x0000_s764447"/>
                </a:ext>
                <a:ext uri="{FF2B5EF4-FFF2-40B4-BE49-F238E27FC236}">
                  <a16:creationId xmlns:a16="http://schemas.microsoft.com/office/drawing/2014/main" id="{00000000-0008-0000-0700-00001F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12700</xdr:rowOff>
        </xdr:from>
        <xdr:to>
          <xdr:col>6</xdr:col>
          <xdr:colOff>876300</xdr:colOff>
          <xdr:row>44</xdr:row>
          <xdr:rowOff>0</xdr:rowOff>
        </xdr:to>
        <xdr:sp macro="" textlink="">
          <xdr:nvSpPr>
            <xdr:cNvPr id="764451" name="Drop Down 2595" hidden="1">
              <a:extLst>
                <a:ext uri="{63B3BB69-23CF-44E3-9099-C40C66FF867C}">
                  <a14:compatExt spid="_x0000_s764451"/>
                </a:ext>
                <a:ext uri="{FF2B5EF4-FFF2-40B4-BE49-F238E27FC236}">
                  <a16:creationId xmlns:a16="http://schemas.microsoft.com/office/drawing/2014/main" id="{00000000-0008-0000-0700-000023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12700</xdr:rowOff>
        </xdr:from>
        <xdr:to>
          <xdr:col>6</xdr:col>
          <xdr:colOff>876300</xdr:colOff>
          <xdr:row>36</xdr:row>
          <xdr:rowOff>0</xdr:rowOff>
        </xdr:to>
        <xdr:sp macro="" textlink="">
          <xdr:nvSpPr>
            <xdr:cNvPr id="764454" name="Drop Down 2598" hidden="1">
              <a:extLst>
                <a:ext uri="{63B3BB69-23CF-44E3-9099-C40C66FF867C}">
                  <a14:compatExt spid="_x0000_s764454"/>
                </a:ext>
                <a:ext uri="{FF2B5EF4-FFF2-40B4-BE49-F238E27FC236}">
                  <a16:creationId xmlns:a16="http://schemas.microsoft.com/office/drawing/2014/main" id="{00000000-0008-0000-0700-000026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12700</xdr:rowOff>
        </xdr:from>
        <xdr:to>
          <xdr:col>6</xdr:col>
          <xdr:colOff>876300</xdr:colOff>
          <xdr:row>37</xdr:row>
          <xdr:rowOff>0</xdr:rowOff>
        </xdr:to>
        <xdr:sp macro="" textlink="">
          <xdr:nvSpPr>
            <xdr:cNvPr id="764455" name="Drop Down 2599" hidden="1">
              <a:extLst>
                <a:ext uri="{63B3BB69-23CF-44E3-9099-C40C66FF867C}">
                  <a14:compatExt spid="_x0000_s764455"/>
                </a:ext>
                <a:ext uri="{FF2B5EF4-FFF2-40B4-BE49-F238E27FC236}">
                  <a16:creationId xmlns:a16="http://schemas.microsoft.com/office/drawing/2014/main" id="{00000000-0008-0000-0700-000027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12700</xdr:rowOff>
        </xdr:from>
        <xdr:to>
          <xdr:col>6</xdr:col>
          <xdr:colOff>876300</xdr:colOff>
          <xdr:row>38</xdr:row>
          <xdr:rowOff>0</xdr:rowOff>
        </xdr:to>
        <xdr:sp macro="" textlink="">
          <xdr:nvSpPr>
            <xdr:cNvPr id="764456" name="Drop Down 2600" hidden="1">
              <a:extLst>
                <a:ext uri="{63B3BB69-23CF-44E3-9099-C40C66FF867C}">
                  <a14:compatExt spid="_x0000_s764456"/>
                </a:ext>
                <a:ext uri="{FF2B5EF4-FFF2-40B4-BE49-F238E27FC236}">
                  <a16:creationId xmlns:a16="http://schemas.microsoft.com/office/drawing/2014/main" id="{00000000-0008-0000-0700-000028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50</xdr:row>
          <xdr:rowOff>12700</xdr:rowOff>
        </xdr:from>
        <xdr:to>
          <xdr:col>6</xdr:col>
          <xdr:colOff>876300</xdr:colOff>
          <xdr:row>51</xdr:row>
          <xdr:rowOff>0</xdr:rowOff>
        </xdr:to>
        <xdr:sp macro="" textlink="">
          <xdr:nvSpPr>
            <xdr:cNvPr id="764458" name="Drop Down 2602" hidden="1">
              <a:extLst>
                <a:ext uri="{63B3BB69-23CF-44E3-9099-C40C66FF867C}">
                  <a14:compatExt spid="_x0000_s764458"/>
                </a:ext>
                <a:ext uri="{FF2B5EF4-FFF2-40B4-BE49-F238E27FC236}">
                  <a16:creationId xmlns:a16="http://schemas.microsoft.com/office/drawing/2014/main" id="{00000000-0008-0000-0700-00002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Gpwr_@Fco" TargetMode="External"/><Relationship Id="rId5" Type="http://schemas.openxmlformats.org/officeDocument/2006/relationships/ctrlProp" Target="../ctrlProps/ctrlProp9.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18" Type="http://schemas.openxmlformats.org/officeDocument/2006/relationships/ctrlProp" Target="../ctrlProps/ctrlProp24.xml"/><Relationship Id="rId3" Type="http://schemas.openxmlformats.org/officeDocument/2006/relationships/vmlDrawing" Target="../drawings/vmlDrawing5.vml"/><Relationship Id="rId21" Type="http://schemas.openxmlformats.org/officeDocument/2006/relationships/ctrlProp" Target="../ctrlProps/ctrlProp27.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2" Type="http://schemas.openxmlformats.org/officeDocument/2006/relationships/drawing" Target="../drawings/drawing9.xml"/><Relationship Id="rId16" Type="http://schemas.openxmlformats.org/officeDocument/2006/relationships/ctrlProp" Target="../ctrlProps/ctrlProp22.xml"/><Relationship Id="rId20" Type="http://schemas.openxmlformats.org/officeDocument/2006/relationships/ctrlProp" Target="../ctrlProps/ctrlProp26.xml"/><Relationship Id="rId1" Type="http://schemas.openxmlformats.org/officeDocument/2006/relationships/printerSettings" Target="../printerSettings/printerSettings7.bin"/><Relationship Id="rId6" Type="http://schemas.openxmlformats.org/officeDocument/2006/relationships/ctrlProp" Target="../ctrlProps/ctrlProp12.xml"/><Relationship Id="rId11" Type="http://schemas.openxmlformats.org/officeDocument/2006/relationships/ctrlProp" Target="../ctrlProps/ctrlProp17.xml"/><Relationship Id="rId24" Type="http://schemas.openxmlformats.org/officeDocument/2006/relationships/ctrlProp" Target="../ctrlProps/ctrlProp30.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10" Type="http://schemas.openxmlformats.org/officeDocument/2006/relationships/ctrlProp" Target="../ctrlProps/ctrlProp16.xml"/><Relationship Id="rId19" Type="http://schemas.openxmlformats.org/officeDocument/2006/relationships/ctrlProp" Target="../ctrlProps/ctrlProp25.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92"/>
  <sheetViews>
    <sheetView tabSelected="1" topLeftCell="A20" zoomScale="115" zoomScaleNormal="115" zoomScaleSheetLayoutView="70" zoomScalePageLayoutView="10" workbookViewId="0">
      <selection activeCell="E31" sqref="E31"/>
    </sheetView>
  </sheetViews>
  <sheetFormatPr defaultColWidth="9.1796875" defaultRowHeight="13"/>
  <cols>
    <col min="1" max="1" width="8.26953125" style="107" customWidth="1"/>
    <col min="2" max="2" width="8.26953125" style="46" customWidth="1"/>
    <col min="3" max="3" width="13.54296875" style="46" customWidth="1"/>
    <col min="4" max="4" width="9.81640625" style="46" customWidth="1"/>
    <col min="5" max="5" width="9.1796875" style="46" customWidth="1"/>
    <col min="6" max="6" width="8.7265625" style="46" customWidth="1"/>
    <col min="7" max="7" width="2.7265625" style="46" customWidth="1"/>
    <col min="8" max="9" width="8.26953125" style="46" customWidth="1"/>
    <col min="10" max="10" width="13.7265625" style="46" customWidth="1"/>
    <col min="11" max="11" width="10" style="46" customWidth="1"/>
    <col min="12" max="12" width="9.453125" style="46" customWidth="1"/>
    <col min="13" max="13" width="8.7265625" style="46" customWidth="1"/>
    <col min="14" max="14" width="2.7265625" style="46" customWidth="1"/>
    <col min="15" max="15" width="9.1796875" style="46"/>
    <col min="16" max="18" width="10.1796875" style="46" customWidth="1"/>
    <col min="19" max="19" width="10" style="46" bestFit="1" customWidth="1"/>
    <col min="20" max="25" width="9.1796875" style="46"/>
    <col min="26" max="26" width="29.6328125" style="46" customWidth="1"/>
    <col min="27" max="27" width="3.1796875" style="46" customWidth="1"/>
    <col min="28" max="16384" width="9.1796875" style="46"/>
  </cols>
  <sheetData>
    <row r="1" spans="1:27" ht="47.25" customHeight="1">
      <c r="A1" s="516" t="s">
        <v>831</v>
      </c>
      <c r="B1" s="514"/>
      <c r="C1" s="514"/>
      <c r="D1" s="514"/>
      <c r="E1" s="514"/>
      <c r="F1" s="514"/>
      <c r="G1" s="514"/>
      <c r="H1" s="514"/>
      <c r="I1" s="514"/>
      <c r="J1" s="514"/>
      <c r="K1" s="514"/>
      <c r="L1" s="514"/>
      <c r="M1" s="514"/>
      <c r="N1" s="514"/>
      <c r="O1" s="514"/>
      <c r="P1" s="514"/>
      <c r="Q1" s="514"/>
      <c r="R1" s="515"/>
      <c r="S1" s="515"/>
      <c r="T1" s="515"/>
      <c r="U1" s="515"/>
      <c r="V1" s="417"/>
      <c r="W1" s="417"/>
      <c r="X1" s="417"/>
      <c r="Y1" s="417"/>
      <c r="Z1" s="417"/>
      <c r="AA1" s="417"/>
    </row>
    <row r="2" spans="1:27" ht="14.15" customHeight="1">
      <c r="A2" s="398"/>
      <c r="B2" s="399"/>
      <c r="C2" s="399"/>
      <c r="D2" s="399"/>
      <c r="E2" s="399"/>
      <c r="F2" s="399"/>
      <c r="G2" s="399"/>
      <c r="H2" s="399"/>
      <c r="I2" s="399"/>
      <c r="J2" s="399"/>
      <c r="K2" s="399"/>
      <c r="L2" s="399"/>
      <c r="M2" s="399"/>
      <c r="N2" s="399"/>
      <c r="O2" s="412"/>
      <c r="P2" s="399"/>
      <c r="Q2" s="399"/>
      <c r="R2" s="407"/>
      <c r="S2" s="500"/>
      <c r="T2" s="500"/>
      <c r="U2" s="500"/>
      <c r="V2" s="500"/>
      <c r="W2" s="500"/>
      <c r="X2" s="500"/>
      <c r="Y2" s="500"/>
      <c r="Z2" s="500"/>
      <c r="AA2" s="500"/>
    </row>
    <row r="3" spans="1:27" ht="16" customHeight="1">
      <c r="A3" s="400" t="s">
        <v>105</v>
      </c>
      <c r="B3" s="401"/>
      <c r="C3" s="413" t="s">
        <v>106</v>
      </c>
      <c r="D3" s="402"/>
      <c r="E3" s="83"/>
      <c r="F3" s="404" t="s">
        <v>59</v>
      </c>
      <c r="G3" s="403"/>
      <c r="H3" s="399"/>
      <c r="I3" s="399"/>
      <c r="J3" s="403"/>
      <c r="K3" s="405"/>
      <c r="L3" s="406"/>
      <c r="M3" s="407"/>
      <c r="N3" s="407"/>
      <c r="O3" s="500"/>
      <c r="P3" s="1"/>
      <c r="Q3" s="407" t="s">
        <v>77</v>
      </c>
      <c r="R3" s="407"/>
      <c r="S3" s="500"/>
      <c r="T3" s="500"/>
      <c r="U3" s="517" t="s">
        <v>315</v>
      </c>
      <c r="V3" s="500"/>
      <c r="W3" s="500"/>
      <c r="X3" s="500"/>
      <c r="Y3" s="500"/>
      <c r="Z3" s="500"/>
      <c r="AA3" s="500"/>
    </row>
    <row r="4" spans="1:27" ht="14.15" customHeight="1" thickBot="1">
      <c r="A4" s="408"/>
      <c r="B4" s="409"/>
      <c r="C4" s="410"/>
      <c r="D4" s="410"/>
      <c r="E4" s="410"/>
      <c r="F4" s="410"/>
      <c r="G4" s="410"/>
      <c r="H4" s="410"/>
      <c r="I4" s="410"/>
      <c r="J4" s="410"/>
      <c r="K4" s="410"/>
      <c r="L4" s="410"/>
      <c r="M4" s="411"/>
      <c r="N4" s="411"/>
      <c r="O4" s="411"/>
      <c r="P4" s="411"/>
      <c r="Q4" s="411"/>
      <c r="R4" s="407"/>
      <c r="S4" s="500"/>
      <c r="T4" s="500"/>
      <c r="U4" s="500"/>
      <c r="V4" s="500"/>
      <c r="W4" s="500"/>
      <c r="X4" s="500"/>
      <c r="Y4" s="500"/>
      <c r="Z4" s="500"/>
      <c r="AA4" s="500"/>
    </row>
    <row r="5" spans="1:27" ht="19.5" customHeight="1" thickBot="1">
      <c r="A5" s="106" t="s">
        <v>101</v>
      </c>
      <c r="B5" s="81"/>
      <c r="C5" s="47"/>
      <c r="D5" s="47"/>
      <c r="E5" s="48"/>
      <c r="F5" s="47"/>
      <c r="G5" s="72"/>
      <c r="H5" s="583" t="s">
        <v>360</v>
      </c>
      <c r="I5" s="92"/>
      <c r="J5" s="93"/>
      <c r="K5" s="93"/>
      <c r="L5" s="94"/>
      <c r="M5" s="356"/>
      <c r="N5" s="49"/>
      <c r="O5" s="49"/>
      <c r="P5" s="49"/>
      <c r="Q5" s="49"/>
      <c r="R5" s="501"/>
      <c r="S5" s="501"/>
      <c r="T5" s="501"/>
      <c r="U5" s="501"/>
      <c r="V5" s="501"/>
      <c r="W5" s="501"/>
      <c r="X5" s="501"/>
      <c r="Y5" s="501"/>
      <c r="Z5" s="505"/>
      <c r="AA5" s="500"/>
    </row>
    <row r="6" spans="1:27" ht="15.75" customHeight="1">
      <c r="A6" s="454"/>
      <c r="B6" s="508"/>
      <c r="C6" s="206"/>
      <c r="D6" s="788" t="s">
        <v>367</v>
      </c>
      <c r="E6" s="728">
        <v>9</v>
      </c>
      <c r="F6" s="789" t="s">
        <v>0</v>
      </c>
      <c r="G6" s="90"/>
      <c r="H6" s="454"/>
      <c r="I6" s="508"/>
      <c r="J6" s="206"/>
      <c r="K6" s="509" t="s">
        <v>835</v>
      </c>
      <c r="L6" s="785">
        <f>Lmin</f>
        <v>0.46552827622021592</v>
      </c>
      <c r="M6" s="624" t="s">
        <v>96</v>
      </c>
      <c r="N6" s="49"/>
      <c r="O6" s="49"/>
      <c r="P6" s="49"/>
      <c r="Q6" s="49"/>
      <c r="R6" s="82"/>
      <c r="S6" s="82"/>
      <c r="T6" s="75"/>
      <c r="U6" s="75"/>
      <c r="V6" s="75"/>
      <c r="W6" s="75"/>
      <c r="X6" s="75"/>
      <c r="Y6" s="75"/>
      <c r="Z6" s="506"/>
      <c r="AA6" s="500"/>
    </row>
    <row r="7" spans="1:27" ht="14.25" customHeight="1">
      <c r="A7" s="134"/>
      <c r="B7" s="133"/>
      <c r="C7" s="845"/>
      <c r="D7" s="846" t="s">
        <v>882</v>
      </c>
      <c r="E7" s="143">
        <v>12.5</v>
      </c>
      <c r="F7" s="427" t="s">
        <v>0</v>
      </c>
      <c r="G7" s="90"/>
      <c r="H7" s="88"/>
      <c r="I7" s="89"/>
      <c r="J7" s="87"/>
      <c r="K7" s="100" t="s">
        <v>836</v>
      </c>
      <c r="L7" s="143">
        <v>0.5</v>
      </c>
      <c r="M7" s="427" t="s">
        <v>96</v>
      </c>
      <c r="N7" s="49"/>
      <c r="O7" s="49"/>
      <c r="P7" s="49"/>
      <c r="Q7" s="49"/>
      <c r="R7" s="82"/>
      <c r="S7" s="82"/>
      <c r="T7" s="75"/>
      <c r="U7" s="75"/>
      <c r="V7" s="75"/>
      <c r="W7" s="75"/>
      <c r="X7" s="75"/>
      <c r="Y7" s="75"/>
      <c r="Z7" s="506"/>
      <c r="AA7" s="500"/>
    </row>
    <row r="8" spans="1:27" ht="15.75" customHeight="1">
      <c r="A8" s="134"/>
      <c r="B8" s="133"/>
      <c r="C8" s="135"/>
      <c r="D8" s="142" t="s">
        <v>368</v>
      </c>
      <c r="E8" s="143">
        <v>16</v>
      </c>
      <c r="F8" s="427" t="s">
        <v>0</v>
      </c>
      <c r="G8" s="90"/>
      <c r="H8" s="88"/>
      <c r="I8" s="89"/>
      <c r="J8" s="87"/>
      <c r="K8" s="100" t="s">
        <v>525</v>
      </c>
      <c r="L8" s="143">
        <v>30</v>
      </c>
      <c r="M8" s="427" t="s">
        <v>20</v>
      </c>
      <c r="N8" s="49"/>
      <c r="O8" s="49"/>
      <c r="P8" s="49"/>
      <c r="Q8" s="49"/>
      <c r="R8" s="82"/>
      <c r="S8" s="82"/>
      <c r="T8" s="75"/>
      <c r="U8" s="75"/>
      <c r="V8" s="75"/>
      <c r="W8" s="75"/>
      <c r="X8" s="75"/>
      <c r="Y8" s="75"/>
      <c r="Z8" s="506"/>
      <c r="AA8" s="500"/>
    </row>
    <row r="9" spans="1:27" ht="15.75" customHeight="1">
      <c r="A9" s="134"/>
      <c r="B9" s="133"/>
      <c r="C9" s="135"/>
      <c r="D9" s="142" t="s">
        <v>366</v>
      </c>
      <c r="E9" s="581">
        <v>32</v>
      </c>
      <c r="F9" s="144"/>
      <c r="G9" s="90"/>
      <c r="H9" s="88"/>
      <c r="I9" s="89"/>
      <c r="J9" s="87"/>
      <c r="K9" s="100" t="str">
        <f>CHOOSE(MODE, "Secondary Winding DCR", "Secondary Winding #1 DCR")</f>
        <v>Secondary Winding #1 DCR</v>
      </c>
      <c r="L9" s="143">
        <v>30</v>
      </c>
      <c r="M9" s="427" t="s">
        <v>20</v>
      </c>
      <c r="N9" s="49"/>
      <c r="O9" s="49"/>
      <c r="P9" s="49"/>
      <c r="Q9" s="49"/>
      <c r="R9" s="82"/>
      <c r="S9" s="82"/>
      <c r="T9" s="75"/>
      <c r="U9" s="75"/>
      <c r="V9" s="75"/>
      <c r="W9" s="75"/>
      <c r="X9" s="75"/>
      <c r="Y9" s="75"/>
      <c r="Z9" s="506"/>
      <c r="AA9" s="500"/>
    </row>
    <row r="10" spans="1:27" ht="15.75" customHeight="1">
      <c r="A10" s="134"/>
      <c r="B10" s="133"/>
      <c r="C10" s="135"/>
      <c r="D10" s="142" t="str">
        <f>CHOOSE(MODE, "Output Voltage, VOUT ", "Output Voltage, VOUT1")</f>
        <v>Output Voltage, VOUT1</v>
      </c>
      <c r="E10" s="143">
        <v>170</v>
      </c>
      <c r="F10" s="427" t="s">
        <v>0</v>
      </c>
      <c r="G10" s="90"/>
      <c r="H10" s="88"/>
      <c r="I10" s="89"/>
      <c r="J10" s="87"/>
      <c r="K10" s="100" t="str">
        <f>CHOOSE(MODE, "", "Secondary Winding #2 DCR")</f>
        <v>Secondary Winding #2 DCR</v>
      </c>
      <c r="L10" s="143">
        <v>5</v>
      </c>
      <c r="M10" s="427" t="str">
        <f>CHOOSE(MODE, "", "mΩ")</f>
        <v>mΩ</v>
      </c>
      <c r="N10" s="49"/>
      <c r="O10" s="49"/>
      <c r="P10" s="49"/>
      <c r="Q10" s="49"/>
      <c r="R10" s="82"/>
      <c r="S10" s="82"/>
      <c r="T10" s="75"/>
      <c r="U10" s="75"/>
      <c r="V10" s="75"/>
      <c r="W10" s="75"/>
      <c r="X10" s="75"/>
      <c r="Y10" s="75"/>
      <c r="Z10" s="506"/>
      <c r="AA10" s="500"/>
    </row>
    <row r="11" spans="1:27" ht="15.75" customHeight="1" thickBot="1">
      <c r="A11" s="787"/>
      <c r="B11" s="151"/>
      <c r="C11" s="507"/>
      <c r="D11" s="510" t="str">
        <f>CHOOSE(MODE, "Rated Output Current, IOUT ", "Rated Output Current, IOUT1")</f>
        <v>Rated Output Current, IOUT1</v>
      </c>
      <c r="E11" s="511">
        <v>0.6</v>
      </c>
      <c r="F11" s="730" t="s">
        <v>1</v>
      </c>
      <c r="G11" s="90"/>
      <c r="H11" s="88"/>
      <c r="I11" s="75"/>
      <c r="J11" s="75"/>
      <c r="K11" s="100" t="s">
        <v>663</v>
      </c>
      <c r="L11" s="143">
        <v>50</v>
      </c>
      <c r="M11" s="427" t="s">
        <v>662</v>
      </c>
      <c r="N11" s="49"/>
      <c r="O11" s="49"/>
      <c r="P11" s="49"/>
      <c r="Q11" s="49"/>
      <c r="R11" s="82"/>
      <c r="S11" s="82"/>
      <c r="T11" s="75"/>
      <c r="U11" s="75"/>
      <c r="V11" s="75"/>
      <c r="W11" s="75"/>
      <c r="X11" s="75"/>
      <c r="Y11" s="75"/>
      <c r="Z11" s="506"/>
      <c r="AA11" s="500"/>
    </row>
    <row r="12" spans="1:27" ht="15.75" customHeight="1">
      <c r="A12" s="425"/>
      <c r="B12" s="82"/>
      <c r="C12" s="82"/>
      <c r="D12" s="142" t="str">
        <f>CHOOSE(MODE, "", "Output Voltage, VOUT2")</f>
        <v>Output Voltage, VOUT2</v>
      </c>
      <c r="E12" s="143">
        <v>12</v>
      </c>
      <c r="F12" s="427" t="str">
        <f>CHOOSE(MODE, "", "V", "V")</f>
        <v>V</v>
      </c>
      <c r="G12" s="90"/>
      <c r="H12" s="134"/>
      <c r="I12" s="133"/>
      <c r="J12" s="600"/>
      <c r="K12" s="135" t="s">
        <v>843</v>
      </c>
      <c r="L12" s="780" t="str">
        <f>"1 : "&amp;(ROUND(1/ktr_rcmd*100,0)/100)</f>
        <v>1 : 20.39</v>
      </c>
      <c r="M12" s="626"/>
      <c r="N12" s="49"/>
      <c r="O12" s="49"/>
      <c r="P12" s="49"/>
      <c r="Q12" s="49"/>
      <c r="R12" s="82"/>
      <c r="S12" s="82"/>
      <c r="T12" s="75"/>
      <c r="U12" s="75"/>
      <c r="V12" s="75"/>
      <c r="W12" s="75"/>
      <c r="X12" s="75"/>
      <c r="Y12" s="75"/>
      <c r="Z12" s="506"/>
      <c r="AA12" s="500"/>
    </row>
    <row r="13" spans="1:27" ht="15.75" customHeight="1" thickBot="1">
      <c r="A13" s="787"/>
      <c r="B13" s="151"/>
      <c r="C13" s="507"/>
      <c r="D13" s="510" t="str">
        <f>CHOOSE(MODE, "", "Rated Output Current, IOUT2")</f>
        <v>Rated Output Current, IOUT2</v>
      </c>
      <c r="E13" s="511">
        <v>0.5</v>
      </c>
      <c r="F13" s="730" t="str">
        <f>CHOOSE(MODE, "", "A", "A")</f>
        <v>A</v>
      </c>
      <c r="G13" s="90"/>
      <c r="H13" s="88"/>
      <c r="I13" s="89"/>
      <c r="J13" s="87"/>
      <c r="K13" s="86" t="str">
        <f>IF(MODE=1, "Transformer Turns Ratio, Pri : Sec", "Turns Ratio, PRI : SEC1")</f>
        <v>Turns Ratio, PRI : SEC1</v>
      </c>
      <c r="L13" s="432"/>
      <c r="M13" s="453"/>
      <c r="N13" s="49"/>
      <c r="O13" s="49"/>
      <c r="P13" s="49"/>
      <c r="Q13" s="49"/>
      <c r="R13" s="82"/>
      <c r="S13" s="82"/>
      <c r="T13" s="75"/>
      <c r="U13" s="75"/>
      <c r="V13" s="75"/>
      <c r="W13" s="75"/>
      <c r="X13" s="75"/>
      <c r="Y13" s="75"/>
      <c r="Z13" s="506"/>
      <c r="AA13" s="500"/>
    </row>
    <row r="14" spans="1:27" ht="15.75" customHeight="1">
      <c r="A14" s="133"/>
      <c r="B14" s="133"/>
      <c r="C14" s="135"/>
      <c r="D14" s="142"/>
      <c r="E14" s="94"/>
      <c r="F14" s="757"/>
      <c r="G14" s="90"/>
      <c r="H14" s="134"/>
      <c r="I14" s="133"/>
      <c r="J14" s="135"/>
      <c r="K14" s="87" t="str">
        <f>CHOOSE(MODE, "Diode Max Rev Voltage (Spike Not Included)", "Turns Ratio, SEC2 : SEC1")</f>
        <v>Turns Ratio, SEC2 : SEC1</v>
      </c>
      <c r="L14" s="622">
        <f>CHOOSE(MODE, ROUND(VRRM_DIODE,0), ROUND(Nsec1sec2,2))</f>
        <v>7.0000000000000007E-2</v>
      </c>
      <c r="M14" s="453" t="str">
        <f>CHOOSE(MODE, "V", "")</f>
        <v/>
      </c>
      <c r="N14" s="49"/>
      <c r="O14" s="49"/>
      <c r="P14" s="49"/>
      <c r="Q14" s="49"/>
      <c r="R14" s="82"/>
      <c r="S14" s="82"/>
      <c r="T14" s="75"/>
      <c r="U14" s="75"/>
      <c r="V14" s="75"/>
      <c r="W14" s="75"/>
      <c r="X14" s="75"/>
      <c r="Y14" s="75"/>
      <c r="Z14" s="506"/>
      <c r="AA14" s="500"/>
    </row>
    <row r="15" spans="1:27" ht="15.75" customHeight="1" thickBot="1">
      <c r="A15" s="758" t="s">
        <v>873</v>
      </c>
      <c r="B15" s="49"/>
      <c r="C15" s="49"/>
      <c r="D15" s="87"/>
      <c r="E15" s="49"/>
      <c r="F15" s="89"/>
      <c r="G15" s="90"/>
      <c r="H15" s="134"/>
      <c r="I15" s="133"/>
      <c r="J15" s="600"/>
      <c r="K15" s="135" t="s">
        <v>658</v>
      </c>
      <c r="L15" s="780">
        <f>CHOOSE(MODE, 'Calculations - Single'!M212, 'Calculations - Dual'!N212)*100</f>
        <v>57.854478882333716</v>
      </c>
      <c r="M15" s="626" t="s">
        <v>659</v>
      </c>
      <c r="N15" s="49"/>
      <c r="O15" s="49"/>
      <c r="P15" s="49"/>
      <c r="Q15" s="49"/>
      <c r="R15" s="82"/>
      <c r="S15" s="82"/>
      <c r="T15" s="75"/>
      <c r="U15" s="75"/>
      <c r="V15" s="75"/>
      <c r="W15" s="75"/>
      <c r="X15" s="75"/>
      <c r="Y15" s="75"/>
      <c r="Z15" s="506"/>
      <c r="AA15" s="500"/>
    </row>
    <row r="16" spans="1:27" ht="15.75" customHeight="1" thickBot="1">
      <c r="A16" s="422"/>
      <c r="B16" s="584"/>
      <c r="C16" s="584"/>
      <c r="D16" s="509" t="s">
        <v>847</v>
      </c>
      <c r="E16" s="786">
        <f>RCSmin*1000</f>
        <v>1.6890553177999685</v>
      </c>
      <c r="F16" s="729" t="s">
        <v>20</v>
      </c>
      <c r="G16" s="90"/>
      <c r="H16" s="601"/>
      <c r="I16" s="504"/>
      <c r="J16" s="104"/>
      <c r="K16" s="507" t="s">
        <v>605</v>
      </c>
      <c r="L16" s="628">
        <f>CHOOSE(MODE, 'Calculations - Single'!N212,'Calculations - Dual'!O212+'Calculations - Dual'!P212)</f>
        <v>120.13317159060782</v>
      </c>
      <c r="M16" s="627" t="s">
        <v>45</v>
      </c>
      <c r="N16" s="49"/>
      <c r="O16" s="49"/>
      <c r="P16" s="49"/>
      <c r="Q16" s="49"/>
      <c r="R16" s="82"/>
      <c r="S16" s="82"/>
      <c r="T16" s="75"/>
      <c r="U16" s="75"/>
      <c r="V16" s="75"/>
      <c r="W16" s="75"/>
      <c r="X16" s="75"/>
      <c r="Y16" s="75"/>
      <c r="Z16" s="506"/>
      <c r="AA16" s="500"/>
    </row>
    <row r="17" spans="1:27" ht="15.75" customHeight="1" thickBot="1">
      <c r="A17" s="88"/>
      <c r="B17" s="49"/>
      <c r="C17" s="49"/>
      <c r="D17" s="100" t="s">
        <v>772</v>
      </c>
      <c r="E17" s="150">
        <v>1.5</v>
      </c>
      <c r="F17" s="427" t="s">
        <v>20</v>
      </c>
      <c r="G17" s="91"/>
      <c r="H17" s="82"/>
      <c r="I17" s="82"/>
      <c r="J17" s="82"/>
      <c r="K17" s="82"/>
      <c r="L17" s="82"/>
      <c r="M17" s="82"/>
      <c r="N17" s="49"/>
      <c r="O17" s="49"/>
      <c r="P17" s="49"/>
      <c r="Q17" s="49"/>
      <c r="R17" s="82"/>
      <c r="S17" s="82"/>
      <c r="T17" s="75"/>
      <c r="U17" s="75"/>
      <c r="V17" s="75"/>
      <c r="W17" s="75"/>
      <c r="X17" s="75"/>
      <c r="Y17" s="75"/>
      <c r="Z17" s="506"/>
      <c r="AA17" s="500"/>
    </row>
    <row r="18" spans="1:27" ht="15.75" customHeight="1">
      <c r="A18" s="106"/>
      <c r="B18" s="92"/>
      <c r="C18" s="790"/>
      <c r="D18" s="87" t="s">
        <v>795</v>
      </c>
      <c r="E18" s="791">
        <f>Isw_max</f>
        <v>66.666666666666671</v>
      </c>
      <c r="F18" s="453" t="s">
        <v>1</v>
      </c>
      <c r="G18" s="586"/>
      <c r="H18" s="799"/>
      <c r="I18" s="584"/>
      <c r="J18" s="575"/>
      <c r="K18" s="509" t="s">
        <v>871</v>
      </c>
      <c r="L18" s="575">
        <v>100</v>
      </c>
      <c r="M18" s="815" t="s">
        <v>136</v>
      </c>
      <c r="N18" s="49"/>
      <c r="O18" s="49"/>
      <c r="P18" s="49"/>
      <c r="Q18" s="49"/>
      <c r="R18" s="82"/>
      <c r="S18" s="82"/>
      <c r="T18" s="75"/>
      <c r="U18" s="75"/>
      <c r="V18" s="75"/>
      <c r="W18" s="75"/>
      <c r="X18" s="75"/>
      <c r="Y18" s="75"/>
      <c r="Z18" s="506"/>
      <c r="AA18" s="500"/>
    </row>
    <row r="19" spans="1:27" ht="19.5" customHeight="1" thickBot="1">
      <c r="A19" s="753"/>
      <c r="B19" s="792"/>
      <c r="C19" s="793"/>
      <c r="D19" s="794" t="s">
        <v>844</v>
      </c>
      <c r="E19" s="795">
        <f>IF(MODE, RCS*'Calculations - Single'!BD210^2, RCS*'Calculations - Dual'!BA210^2)*1.21</f>
        <v>850.3904948754523</v>
      </c>
      <c r="F19" s="796" t="s">
        <v>293</v>
      </c>
      <c r="G19" s="587"/>
      <c r="H19" s="806"/>
      <c r="I19" s="503"/>
      <c r="J19" s="560"/>
      <c r="K19" s="208" t="s">
        <v>872</v>
      </c>
      <c r="L19" s="560">
        <v>100</v>
      </c>
      <c r="M19" s="816" t="s">
        <v>15</v>
      </c>
      <c r="N19" s="49"/>
      <c r="O19" s="49"/>
      <c r="P19" s="49"/>
      <c r="Q19" s="49"/>
      <c r="R19" s="82"/>
      <c r="S19" s="82"/>
      <c r="T19" s="75"/>
      <c r="U19" s="75"/>
      <c r="V19" s="75"/>
      <c r="W19" s="75"/>
      <c r="X19" s="75"/>
      <c r="Y19" s="75"/>
      <c r="Z19" s="506"/>
      <c r="AA19" s="500"/>
    </row>
    <row r="20" spans="1:27" ht="19.5" customHeight="1">
      <c r="A20" s="75"/>
      <c r="B20" s="92"/>
      <c r="C20" s="93"/>
      <c r="D20" s="93"/>
      <c r="E20" s="94"/>
      <c r="F20" s="93"/>
      <c r="G20" s="90"/>
      <c r="H20" s="82"/>
      <c r="I20" s="82"/>
      <c r="J20" s="82"/>
      <c r="K20" s="82"/>
      <c r="L20" s="82"/>
      <c r="M20" s="82"/>
      <c r="N20" s="49"/>
      <c r="O20" s="49"/>
      <c r="P20" s="49"/>
      <c r="Q20" s="49"/>
      <c r="R20" s="82"/>
      <c r="S20" s="82"/>
      <c r="T20" s="75"/>
      <c r="U20" s="75"/>
      <c r="V20" s="75"/>
      <c r="W20" s="75"/>
      <c r="X20" s="75"/>
      <c r="Y20" s="75"/>
      <c r="Z20" s="506"/>
      <c r="AA20" s="500"/>
    </row>
    <row r="21" spans="1:27" ht="19.5" customHeight="1" thickBot="1">
      <c r="A21" s="758" t="s">
        <v>860</v>
      </c>
      <c r="B21" s="92"/>
      <c r="C21" s="93"/>
      <c r="D21" s="93"/>
      <c r="E21" s="94"/>
      <c r="F21" s="93"/>
      <c r="G21" s="90"/>
      <c r="H21" s="82"/>
      <c r="I21" s="82"/>
      <c r="J21" s="82"/>
      <c r="K21" s="82"/>
      <c r="L21" s="82"/>
      <c r="M21" s="82"/>
      <c r="N21" s="49"/>
      <c r="O21" s="49"/>
      <c r="P21" s="49"/>
      <c r="Q21" s="49"/>
      <c r="R21" s="82"/>
      <c r="S21" s="82"/>
      <c r="T21" s="75"/>
      <c r="U21" s="75"/>
      <c r="V21" s="75"/>
      <c r="W21" s="75"/>
      <c r="X21" s="75"/>
      <c r="Y21" s="75"/>
      <c r="Z21" s="506"/>
      <c r="AA21" s="500"/>
    </row>
    <row r="22" spans="1:27" ht="19.5" customHeight="1">
      <c r="A22" s="799"/>
      <c r="B22" s="800"/>
      <c r="C22" s="801"/>
      <c r="D22" s="802" t="s">
        <v>855</v>
      </c>
      <c r="E22" s="803">
        <f>MAX(Vout_eff*Nps,Vout2_actual*Nps/Nsec1sec2)*1.2</f>
        <v>10.23</v>
      </c>
      <c r="F22" s="804" t="s">
        <v>0</v>
      </c>
      <c r="G22" s="90"/>
      <c r="H22" s="834"/>
      <c r="I22" s="584"/>
      <c r="J22" s="584"/>
      <c r="K22" s="850" t="s">
        <v>848</v>
      </c>
      <c r="L22" s="728">
        <v>40</v>
      </c>
      <c r="M22" s="729" t="s">
        <v>20</v>
      </c>
      <c r="N22" s="49"/>
      <c r="O22" s="49"/>
      <c r="P22" s="49"/>
      <c r="Q22" s="49"/>
      <c r="R22" s="82"/>
      <c r="S22" s="82"/>
      <c r="T22" s="75"/>
      <c r="U22" s="75"/>
      <c r="V22" s="75"/>
      <c r="W22" s="75"/>
      <c r="X22" s="75"/>
      <c r="Y22" s="75"/>
      <c r="Z22" s="506"/>
      <c r="AA22" s="500"/>
    </row>
    <row r="23" spans="1:27" ht="19.5" customHeight="1" thickBot="1">
      <c r="A23" s="805"/>
      <c r="B23" s="92"/>
      <c r="C23" s="93"/>
      <c r="D23" s="86" t="s">
        <v>856</v>
      </c>
      <c r="E23" s="817">
        <v>15</v>
      </c>
      <c r="F23" s="752" t="s">
        <v>0</v>
      </c>
      <c r="G23" s="90"/>
      <c r="H23" s="88"/>
      <c r="I23" s="49"/>
      <c r="J23" s="814"/>
      <c r="K23" s="835" t="s">
        <v>857</v>
      </c>
      <c r="L23" s="840">
        <f>0.00000005*1*1000000000</f>
        <v>50</v>
      </c>
      <c r="M23" s="851" t="s">
        <v>31</v>
      </c>
      <c r="N23" s="49"/>
      <c r="O23" s="49"/>
      <c r="P23" s="49"/>
      <c r="Q23" s="49"/>
      <c r="R23" s="82"/>
      <c r="S23" s="82"/>
      <c r="T23" s="75"/>
      <c r="U23" s="75"/>
      <c r="V23" s="75"/>
      <c r="W23" s="75"/>
      <c r="X23" s="75"/>
      <c r="Y23" s="75"/>
      <c r="Z23" s="506"/>
      <c r="AA23" s="500"/>
    </row>
    <row r="24" spans="1:27" ht="19.5" customHeight="1">
      <c r="A24" s="425"/>
      <c r="B24" s="92"/>
      <c r="C24" s="790"/>
      <c r="D24" s="87" t="s">
        <v>851</v>
      </c>
      <c r="E24" s="791">
        <f>E8+E23*1.25</f>
        <v>34.75</v>
      </c>
      <c r="F24" s="453" t="s">
        <v>0</v>
      </c>
      <c r="G24" s="832"/>
      <c r="H24" s="798"/>
      <c r="I24" s="49"/>
      <c r="J24" s="49"/>
      <c r="K24" s="100" t="s">
        <v>858</v>
      </c>
      <c r="L24" s="143">
        <v>40</v>
      </c>
      <c r="M24" s="852" t="s">
        <v>31</v>
      </c>
      <c r="N24" s="49"/>
      <c r="O24" s="49"/>
      <c r="P24" s="49"/>
      <c r="Q24" s="49"/>
      <c r="R24" s="82"/>
      <c r="S24" s="82"/>
      <c r="T24" s="75"/>
      <c r="U24" s="75"/>
      <c r="V24" s="75"/>
      <c r="W24" s="75"/>
      <c r="X24" s="75"/>
      <c r="Y24" s="75"/>
      <c r="Z24" s="506"/>
      <c r="AA24" s="500"/>
    </row>
    <row r="25" spans="1:27" ht="19.5" customHeight="1" thickBot="1">
      <c r="A25" s="425"/>
      <c r="B25" s="92"/>
      <c r="C25" s="93"/>
      <c r="D25" s="87" t="s">
        <v>852</v>
      </c>
      <c r="E25" s="807" t="s">
        <v>854</v>
      </c>
      <c r="F25" s="752"/>
      <c r="G25" s="833"/>
      <c r="H25" s="88"/>
      <c r="I25" s="49"/>
      <c r="J25" s="49"/>
      <c r="K25" s="149" t="s">
        <v>859</v>
      </c>
      <c r="L25" s="143">
        <v>300</v>
      </c>
      <c r="M25" s="852" t="s">
        <v>15</v>
      </c>
      <c r="N25" s="49"/>
      <c r="O25" s="49"/>
      <c r="P25" s="49"/>
      <c r="Q25" s="49"/>
      <c r="R25" s="82"/>
      <c r="S25" s="82"/>
      <c r="T25" s="75"/>
      <c r="U25" s="75"/>
      <c r="V25" s="75"/>
      <c r="W25" s="75"/>
      <c r="X25" s="75"/>
      <c r="Y25" s="75"/>
      <c r="Z25" s="506"/>
      <c r="AA25" s="500"/>
    </row>
    <row r="26" spans="1:27" ht="19.5" customHeight="1" thickBot="1">
      <c r="A26" s="806"/>
      <c r="B26" s="754"/>
      <c r="C26" s="755"/>
      <c r="D26" s="208" t="s">
        <v>853</v>
      </c>
      <c r="E26" s="808" t="str">
        <f>IF(VIN_min&lt;7, "No", "Yes")</f>
        <v>Yes</v>
      </c>
      <c r="F26" s="756"/>
      <c r="G26" s="90"/>
      <c r="H26" s="853"/>
      <c r="I26" s="504"/>
      <c r="J26" s="854"/>
      <c r="K26" s="855" t="s">
        <v>887</v>
      </c>
      <c r="L26" s="857">
        <f>'Variable Mgmt'!L112</f>
        <v>-7.1240806612268734</v>
      </c>
      <c r="M26" s="856" t="s">
        <v>45</v>
      </c>
      <c r="N26" s="49"/>
      <c r="O26" s="49"/>
      <c r="P26" s="49"/>
      <c r="Q26" s="49"/>
      <c r="R26" s="82"/>
      <c r="S26" s="82"/>
      <c r="T26" s="75"/>
      <c r="U26" s="75"/>
      <c r="V26" s="75"/>
      <c r="W26" s="75"/>
      <c r="X26" s="75"/>
      <c r="Y26" s="75"/>
      <c r="Z26" s="506"/>
      <c r="AA26" s="500"/>
    </row>
    <row r="27" spans="1:27" ht="19.5" customHeight="1">
      <c r="A27" s="75"/>
      <c r="B27" s="92"/>
      <c r="C27" s="93"/>
      <c r="D27" s="87"/>
      <c r="E27" s="797"/>
      <c r="F27" s="93"/>
      <c r="G27" s="90"/>
      <c r="H27" s="82"/>
      <c r="I27" s="82"/>
      <c r="J27" s="82"/>
      <c r="K27" s="82"/>
      <c r="L27" s="82"/>
      <c r="M27" s="82"/>
      <c r="N27" s="49"/>
      <c r="O27" s="49"/>
      <c r="P27" s="49"/>
      <c r="Q27" s="49"/>
      <c r="R27" s="82"/>
      <c r="S27" s="82"/>
      <c r="T27" s="75"/>
      <c r="U27" s="75"/>
      <c r="V27" s="75"/>
      <c r="W27" s="75"/>
      <c r="X27" s="75"/>
      <c r="Y27" s="75"/>
      <c r="Z27" s="506"/>
      <c r="AA27" s="500"/>
    </row>
    <row r="28" spans="1:27" ht="19.5" customHeight="1" thickBot="1">
      <c r="A28" s="106" t="s">
        <v>861</v>
      </c>
      <c r="B28" s="92"/>
      <c r="C28" s="93"/>
      <c r="D28" s="93"/>
      <c r="E28" s="94"/>
      <c r="F28" s="93"/>
      <c r="G28" s="90"/>
      <c r="H28" s="831" t="s">
        <v>874</v>
      </c>
      <c r="I28" s="82"/>
      <c r="J28" s="82"/>
      <c r="K28" s="82"/>
      <c r="L28" s="82"/>
      <c r="M28" s="82"/>
      <c r="N28" s="49"/>
      <c r="O28" s="49"/>
      <c r="P28" s="49"/>
      <c r="Q28" s="49"/>
      <c r="R28" s="82"/>
      <c r="S28" s="82"/>
      <c r="T28" s="75"/>
      <c r="U28" s="75"/>
      <c r="V28" s="75"/>
      <c r="W28" s="75"/>
      <c r="X28" s="75"/>
      <c r="Y28" s="75"/>
      <c r="Z28" s="506"/>
      <c r="AA28" s="500"/>
    </row>
    <row r="29" spans="1:27" ht="15.75" customHeight="1" thickBot="1">
      <c r="A29" s="385"/>
      <c r="B29" s="574"/>
      <c r="C29" s="575"/>
      <c r="D29" s="206" t="s">
        <v>314</v>
      </c>
      <c r="E29" s="609">
        <f>'Variable Mgmt'!B151</f>
        <v>39.74548337568249</v>
      </c>
      <c r="F29" s="428" t="s">
        <v>97</v>
      </c>
      <c r="G29" s="90"/>
      <c r="H29" s="566"/>
      <c r="I29" s="501"/>
      <c r="J29" s="501"/>
      <c r="K29" s="837" t="str">
        <f>CHOOSE(MODE, "Min Diode Voltage Rating","Min Diode Voltage Rating, Output #1")</f>
        <v>Min Diode Voltage Rating, Output #1</v>
      </c>
      <c r="L29" s="859">
        <f>(VIN_max/Nps+Vout)*1.3</f>
        <v>637</v>
      </c>
      <c r="M29" s="860" t="s">
        <v>0</v>
      </c>
      <c r="N29" s="49"/>
      <c r="O29" s="566"/>
      <c r="P29" s="501"/>
      <c r="Q29" s="501"/>
      <c r="R29" s="837" t="s">
        <v>877</v>
      </c>
      <c r="S29" s="859">
        <f>(VIN_max/Npri_sec2+Vout2)*1.3</f>
        <v>46.550205038078502</v>
      </c>
      <c r="T29" s="860" t="s">
        <v>0</v>
      </c>
      <c r="U29" s="75"/>
      <c r="V29" s="75"/>
      <c r="W29" s="75"/>
      <c r="X29" s="75"/>
      <c r="Y29" s="75"/>
      <c r="Z29" s="506"/>
      <c r="AA29" s="500"/>
    </row>
    <row r="30" spans="1:27" ht="15.75" customHeight="1" thickBot="1">
      <c r="A30" s="97"/>
      <c r="B30" s="89"/>
      <c r="C30" s="96"/>
      <c r="D30" s="100" t="s">
        <v>141</v>
      </c>
      <c r="E30" s="98">
        <v>40</v>
      </c>
      <c r="F30" s="429" t="s">
        <v>97</v>
      </c>
      <c r="G30" s="90"/>
      <c r="H30" s="425"/>
      <c r="I30" s="82"/>
      <c r="J30" s="82"/>
      <c r="K30" s="836" t="str">
        <f>CHOOSE(MODE, "Min Diode DC Current Rating","Min Diode DC Current Rating, Output #1")</f>
        <v>Min Diode DC Current Rating, Output #1</v>
      </c>
      <c r="L30" s="861">
        <f>MAX(E11*3,0.5)</f>
        <v>1.7999999999999998</v>
      </c>
      <c r="M30" s="862" t="s">
        <v>1</v>
      </c>
      <c r="N30" s="841"/>
      <c r="O30" s="425"/>
      <c r="P30" s="82"/>
      <c r="Q30" s="82"/>
      <c r="R30" s="836" t="s">
        <v>878</v>
      </c>
      <c r="S30" s="861">
        <f>MAX(E13*3,0.5)</f>
        <v>1.5</v>
      </c>
      <c r="T30" s="862" t="s">
        <v>1</v>
      </c>
      <c r="U30" s="75"/>
      <c r="V30" s="75"/>
      <c r="W30" s="75"/>
      <c r="X30" s="75"/>
      <c r="Y30" s="75"/>
      <c r="Z30" s="506"/>
      <c r="AA30" s="500"/>
    </row>
    <row r="31" spans="1:27" ht="15.75" customHeight="1" thickBot="1">
      <c r="A31" s="97"/>
      <c r="B31" s="89"/>
      <c r="C31" s="148"/>
      <c r="D31" s="142" t="s">
        <v>104</v>
      </c>
      <c r="E31" s="147">
        <v>3</v>
      </c>
      <c r="F31" s="430" t="s">
        <v>20</v>
      </c>
      <c r="G31" s="90"/>
      <c r="H31" s="806"/>
      <c r="I31" s="503"/>
      <c r="J31" s="503"/>
      <c r="K31" s="839" t="str">
        <f>CHOOSE(MODE, "Select  Diode Forward Drop VF","Select  Diode Forward Drop VF, Output #1")</f>
        <v>Select  Diode Forward Drop VF, Output #1</v>
      </c>
      <c r="L31" s="863">
        <v>0.7</v>
      </c>
      <c r="M31" s="864" t="s">
        <v>0</v>
      </c>
      <c r="N31" s="49"/>
      <c r="O31" s="806"/>
      <c r="P31" s="503"/>
      <c r="Q31" s="503"/>
      <c r="R31" s="839" t="s">
        <v>923</v>
      </c>
      <c r="S31" s="863">
        <v>0.7</v>
      </c>
      <c r="T31" s="864" t="s">
        <v>0</v>
      </c>
      <c r="U31" s="75"/>
      <c r="V31" s="75"/>
      <c r="W31" s="75"/>
      <c r="X31" s="75"/>
      <c r="Y31" s="75"/>
      <c r="Z31" s="506"/>
      <c r="AA31" s="500"/>
    </row>
    <row r="32" spans="1:27" ht="15.75" customHeight="1" thickBot="1">
      <c r="A32" s="101"/>
      <c r="B32" s="102"/>
      <c r="C32" s="108"/>
      <c r="D32" s="208" t="s">
        <v>496</v>
      </c>
      <c r="E32" s="209">
        <f>Vinripple2*1000</f>
        <v>720.08047844300552</v>
      </c>
      <c r="F32" s="105" t="s">
        <v>103</v>
      </c>
      <c r="G32" s="90"/>
      <c r="H32" s="902" t="s">
        <v>926</v>
      </c>
      <c r="I32" s="49"/>
      <c r="J32" s="49"/>
      <c r="K32" s="49"/>
      <c r="L32" s="49"/>
      <c r="M32" s="49"/>
      <c r="N32" s="49"/>
      <c r="O32" s="49"/>
      <c r="P32" s="49"/>
      <c r="Q32" s="49"/>
      <c r="R32" s="82"/>
      <c r="S32" s="82"/>
      <c r="T32" s="75"/>
      <c r="U32" s="75"/>
      <c r="V32" s="75"/>
      <c r="W32" s="75"/>
      <c r="X32" s="75"/>
      <c r="Y32" s="75"/>
      <c r="Z32" s="506"/>
      <c r="AA32" s="500"/>
    </row>
    <row r="33" spans="1:27" ht="15.75" customHeight="1" thickBot="1">
      <c r="A33" s="422"/>
      <c r="B33" s="423"/>
      <c r="C33" s="424"/>
      <c r="D33" s="424" t="str">
        <f>CHOOSE(MODE, "Minimum Output Capacitance", "Minimum Output Capacitance, Output #1")</f>
        <v>Minimum Output Capacitance, Output #1</v>
      </c>
      <c r="E33" s="621">
        <f>'Variable Mgmt'!B126</f>
        <v>4.7</v>
      </c>
      <c r="F33" s="428" t="s">
        <v>97</v>
      </c>
      <c r="G33" s="585"/>
      <c r="H33" s="575"/>
      <c r="I33" s="584"/>
      <c r="J33" s="501"/>
      <c r="K33" s="424" t="str">
        <f>CHOOSE(MODE, "", "Minimum Output Capacitance, Output #2")</f>
        <v>Minimum Output Capacitance, Output #2</v>
      </c>
      <c r="L33" s="621">
        <f>'Variable Mgmt'!B136</f>
        <v>8.8664993872092648</v>
      </c>
      <c r="M33" s="428" t="s">
        <v>97</v>
      </c>
      <c r="N33" s="49"/>
      <c r="O33" s="49"/>
      <c r="P33" s="49"/>
      <c r="Q33" s="49"/>
      <c r="R33" s="82"/>
      <c r="S33" s="82"/>
      <c r="T33" s="75"/>
      <c r="U33" s="75"/>
      <c r="V33" s="75"/>
      <c r="W33" s="75"/>
      <c r="X33" s="75"/>
      <c r="Y33" s="75"/>
      <c r="Z33" s="506"/>
      <c r="AA33" s="500"/>
    </row>
    <row r="34" spans="1:27" ht="15.75" customHeight="1">
      <c r="A34" s="88"/>
      <c r="B34" s="89"/>
      <c r="C34" s="135"/>
      <c r="D34" s="149" t="s">
        <v>140</v>
      </c>
      <c r="E34" s="143">
        <v>10</v>
      </c>
      <c r="F34" s="427" t="s">
        <v>97</v>
      </c>
      <c r="G34" s="586"/>
      <c r="H34" s="89"/>
      <c r="I34" s="49"/>
      <c r="J34" s="75"/>
      <c r="K34" s="149" t="s">
        <v>532</v>
      </c>
      <c r="L34" s="143">
        <v>55</v>
      </c>
      <c r="M34" s="427" t="s">
        <v>97</v>
      </c>
      <c r="N34" s="49"/>
      <c r="O34" s="902" t="s">
        <v>922</v>
      </c>
      <c r="P34" s="49"/>
      <c r="Q34" s="49"/>
      <c r="R34" s="82"/>
      <c r="S34" s="82"/>
      <c r="T34" s="75"/>
      <c r="U34" s="75"/>
      <c r="V34" s="75"/>
      <c r="W34" s="75"/>
      <c r="X34" s="75"/>
      <c r="Y34" s="75"/>
      <c r="Z34" s="506"/>
      <c r="AA34" s="500"/>
    </row>
    <row r="35" spans="1:27" ht="16.5" customHeight="1" thickBot="1">
      <c r="A35" s="88"/>
      <c r="B35" s="89"/>
      <c r="C35" s="148"/>
      <c r="D35" s="142" t="s">
        <v>533</v>
      </c>
      <c r="E35" s="147">
        <v>2</v>
      </c>
      <c r="F35" s="430" t="s">
        <v>20</v>
      </c>
      <c r="G35" s="587"/>
      <c r="H35" s="89"/>
      <c r="I35" s="49"/>
      <c r="J35" s="75"/>
      <c r="K35" s="142" t="s">
        <v>533</v>
      </c>
      <c r="L35" s="147">
        <v>8</v>
      </c>
      <c r="M35" s="430" t="s">
        <v>20</v>
      </c>
      <c r="N35" s="49"/>
      <c r="O35" s="49"/>
      <c r="P35" s="49"/>
      <c r="Q35" s="49"/>
      <c r="R35" s="82"/>
      <c r="S35" s="82"/>
      <c r="T35" s="75"/>
      <c r="U35" s="75"/>
      <c r="V35" s="75"/>
      <c r="W35" s="75"/>
      <c r="X35" s="75"/>
      <c r="Y35" s="75"/>
      <c r="Z35" s="506"/>
      <c r="AA35" s="500"/>
    </row>
    <row r="36" spans="1:27" ht="15.75" customHeight="1" thickBot="1">
      <c r="A36" s="101"/>
      <c r="B36" s="104"/>
      <c r="C36" s="104"/>
      <c r="D36" s="208" t="str">
        <f>CHOOSE(MODE, "Resulting Output Voltage Ripple", "Resulting Output Voltage Ripple, Output #1")</f>
        <v>Resulting Output Voltage Ripple, Output #1</v>
      </c>
      <c r="E36" s="209">
        <f>Vripple1_actual</f>
        <v>300.53299399586331</v>
      </c>
      <c r="F36" s="105" t="s">
        <v>103</v>
      </c>
      <c r="G36" s="585"/>
      <c r="H36" s="104"/>
      <c r="I36" s="504"/>
      <c r="J36" s="503"/>
      <c r="K36" s="208" t="str">
        <f>CHOOSE(MODE, "", "Resulting Output Voltage Ripple, Output #2")</f>
        <v>Resulting Output Voltage Ripple, Output #2</v>
      </c>
      <c r="L36" s="209">
        <f>Vripple2_actual</f>
        <v>49.35348393876717</v>
      </c>
      <c r="M36" s="105" t="s">
        <v>103</v>
      </c>
      <c r="N36" s="49"/>
      <c r="O36" s="49"/>
      <c r="P36" s="49"/>
      <c r="Q36" s="49"/>
      <c r="R36" s="82"/>
      <c r="S36" s="82"/>
      <c r="T36" s="75"/>
      <c r="U36" s="75"/>
      <c r="V36" s="75"/>
      <c r="W36" s="75"/>
      <c r="X36" s="75"/>
      <c r="Y36" s="75"/>
      <c r="Z36" s="506"/>
      <c r="AA36" s="500"/>
    </row>
    <row r="37" spans="1:27" ht="13.5" customHeight="1">
      <c r="A37" s="425"/>
      <c r="B37" s="75"/>
      <c r="C37" s="75"/>
      <c r="D37" s="75"/>
      <c r="E37" s="75"/>
      <c r="F37" s="75"/>
      <c r="G37" s="75"/>
      <c r="H37" s="75"/>
      <c r="I37" s="75"/>
      <c r="J37" s="75"/>
      <c r="K37" s="75"/>
      <c r="L37" s="75"/>
      <c r="M37" s="75"/>
      <c r="N37" s="49"/>
      <c r="O37" s="49"/>
      <c r="P37" s="49"/>
      <c r="Q37" s="49"/>
      <c r="R37" s="82"/>
      <c r="S37" s="82"/>
      <c r="T37" s="75"/>
      <c r="U37" s="75"/>
      <c r="V37" s="75"/>
      <c r="W37" s="75"/>
      <c r="X37" s="75"/>
      <c r="Y37" s="75"/>
      <c r="Z37" s="506"/>
      <c r="AA37" s="500"/>
    </row>
    <row r="38" spans="1:27" ht="19.5" customHeight="1" thickBot="1">
      <c r="A38" s="106" t="s">
        <v>879</v>
      </c>
      <c r="B38" s="95"/>
      <c r="C38" s="89"/>
      <c r="D38" s="87"/>
      <c r="E38" s="89"/>
      <c r="F38" s="89"/>
      <c r="G38" s="89"/>
      <c r="H38" s="89"/>
      <c r="I38" s="49"/>
      <c r="J38" s="49"/>
      <c r="K38" s="49"/>
      <c r="L38" s="49"/>
      <c r="M38" s="49"/>
      <c r="N38" s="49"/>
      <c r="O38" s="49"/>
      <c r="P38" s="49"/>
      <c r="Q38" s="49"/>
      <c r="R38" s="82"/>
      <c r="S38" s="82"/>
      <c r="T38" s="75"/>
      <c r="U38" s="75"/>
      <c r="V38" s="75"/>
      <c r="W38" s="75"/>
      <c r="X38" s="75"/>
      <c r="Y38" s="75"/>
      <c r="Z38" s="506"/>
      <c r="AA38" s="500"/>
    </row>
    <row r="39" spans="1:27" ht="15.75" customHeight="1">
      <c r="A39" s="140"/>
      <c r="B39" s="141"/>
      <c r="C39" s="206"/>
      <c r="D39" s="206" t="s">
        <v>370</v>
      </c>
      <c r="E39" s="578">
        <f>Rfb_recommend</f>
        <v>85.25</v>
      </c>
      <c r="F39" s="513" t="s">
        <v>21</v>
      </c>
      <c r="G39" s="89"/>
      <c r="H39" s="89"/>
      <c r="I39" s="49"/>
      <c r="J39" s="49"/>
      <c r="K39" s="49"/>
      <c r="L39" s="49"/>
      <c r="M39" s="49"/>
      <c r="N39" s="49"/>
      <c r="O39" s="49"/>
      <c r="P39" s="49"/>
      <c r="Q39" s="49"/>
      <c r="R39" s="82"/>
      <c r="S39" s="82"/>
      <c r="T39" s="75"/>
      <c r="U39" s="75"/>
      <c r="V39" s="75"/>
      <c r="W39" s="75"/>
      <c r="X39" s="75"/>
      <c r="Y39" s="75"/>
      <c r="Z39" s="506"/>
      <c r="AA39" s="500"/>
    </row>
    <row r="40" spans="1:27" ht="15.75" customHeight="1" thickBot="1">
      <c r="A40" s="134"/>
      <c r="B40" s="133"/>
      <c r="C40" s="135"/>
      <c r="D40" s="149" t="s">
        <v>369</v>
      </c>
      <c r="E40" s="150">
        <v>85.3</v>
      </c>
      <c r="F40" s="144" t="str">
        <f>IF(Vout=Vref,"","kΩ")</f>
        <v>kΩ</v>
      </c>
      <c r="G40" s="89"/>
      <c r="H40" s="89"/>
      <c r="I40" s="49"/>
      <c r="J40" s="49"/>
      <c r="K40" s="49"/>
      <c r="L40" s="49"/>
      <c r="M40" s="49"/>
      <c r="N40" s="49"/>
      <c r="O40" s="49"/>
      <c r="P40" s="49"/>
      <c r="Q40" s="49"/>
      <c r="R40" s="82"/>
      <c r="S40" s="82"/>
      <c r="T40" s="75"/>
      <c r="U40" s="75"/>
      <c r="V40" s="75"/>
      <c r="W40" s="75"/>
      <c r="X40" s="75"/>
      <c r="Y40" s="75"/>
      <c r="Z40" s="506"/>
      <c r="AA40" s="500"/>
    </row>
    <row r="41" spans="1:27" ht="14.15" customHeight="1">
      <c r="A41" s="389"/>
      <c r="B41" s="390"/>
      <c r="C41" s="391"/>
      <c r="D41" s="392" t="s">
        <v>292</v>
      </c>
      <c r="E41" s="393" t="s">
        <v>682</v>
      </c>
      <c r="F41" s="394"/>
      <c r="G41" s="90"/>
      <c r="H41" s="89"/>
      <c r="I41" s="49"/>
      <c r="J41" s="49"/>
      <c r="K41" s="49"/>
      <c r="L41" s="49"/>
      <c r="M41" s="49"/>
      <c r="N41" s="49"/>
      <c r="O41" s="49"/>
      <c r="P41" s="49"/>
      <c r="Q41" s="49"/>
      <c r="R41" s="82"/>
      <c r="S41" s="82"/>
      <c r="T41" s="75"/>
      <c r="U41" s="75"/>
      <c r="V41" s="75"/>
      <c r="W41" s="75"/>
      <c r="X41" s="75"/>
      <c r="Y41" s="75"/>
      <c r="Z41" s="506"/>
      <c r="AA41" s="500"/>
    </row>
    <row r="42" spans="1:27" ht="16.5" customHeight="1">
      <c r="A42" s="134"/>
      <c r="B42" s="133"/>
      <c r="C42" s="133"/>
      <c r="D42" s="146" t="str">
        <f>CHOOSE(MODE_SS,"Soft-Start Time","*Leave SS Pin Open or Supply by Ext. Bias")</f>
        <v>Soft-Start Time</v>
      </c>
      <c r="E42" s="147">
        <v>20</v>
      </c>
      <c r="F42" s="144" t="s">
        <v>63</v>
      </c>
      <c r="G42" s="90"/>
      <c r="H42" s="89"/>
      <c r="I42" s="49"/>
      <c r="J42" s="49"/>
      <c r="K42" s="49"/>
      <c r="L42" s="49"/>
      <c r="M42" s="49"/>
      <c r="N42" s="49"/>
      <c r="O42" s="49"/>
      <c r="P42" s="49"/>
      <c r="Q42" s="49"/>
      <c r="R42" s="82"/>
      <c r="S42" s="82"/>
      <c r="T42" s="75"/>
      <c r="U42" s="75"/>
      <c r="V42" s="75"/>
      <c r="W42" s="75"/>
      <c r="X42" s="75"/>
      <c r="Y42" s="75"/>
      <c r="Z42" s="506"/>
      <c r="AA42" s="500"/>
    </row>
    <row r="43" spans="1:27" ht="16.5" customHeight="1" thickBot="1">
      <c r="A43" s="137"/>
      <c r="B43" s="138"/>
      <c r="C43" s="138"/>
      <c r="D43" s="373" t="s">
        <v>142</v>
      </c>
      <c r="E43" s="388">
        <f>IF(Tss&gt;0.0001,Css_u*1000000000,"N/A")</f>
        <v>100</v>
      </c>
      <c r="F43" s="139" t="s">
        <v>56</v>
      </c>
      <c r="G43" s="90"/>
      <c r="H43" s="89"/>
      <c r="I43" s="49"/>
      <c r="J43" s="49"/>
      <c r="K43" s="49"/>
      <c r="L43" s="49"/>
      <c r="M43" s="49"/>
      <c r="N43" s="49"/>
      <c r="O43" s="49"/>
      <c r="P43" s="49"/>
      <c r="Q43" s="49"/>
      <c r="R43" s="82"/>
      <c r="S43" s="82"/>
      <c r="T43" s="75"/>
      <c r="U43" s="75"/>
      <c r="V43" s="75"/>
      <c r="W43" s="75"/>
      <c r="X43" s="75"/>
      <c r="Y43" s="75"/>
      <c r="Z43" s="506"/>
      <c r="AA43" s="500"/>
    </row>
    <row r="44" spans="1:27" ht="15.75" customHeight="1">
      <c r="A44" s="134"/>
      <c r="B44" s="133"/>
      <c r="C44" s="133"/>
      <c r="D44" s="86" t="s">
        <v>381</v>
      </c>
      <c r="E44" s="145"/>
      <c r="F44" s="136"/>
      <c r="G44" s="89"/>
      <c r="H44" s="89"/>
      <c r="I44" s="49"/>
      <c r="J44" s="49"/>
      <c r="K44" s="49"/>
      <c r="L44" s="49"/>
      <c r="M44" s="49"/>
      <c r="N44" s="49"/>
      <c r="O44" s="49"/>
      <c r="P44" s="49"/>
      <c r="Q44" s="49"/>
      <c r="R44" s="82"/>
      <c r="S44" s="82"/>
      <c r="T44" s="75"/>
      <c r="U44" s="75"/>
      <c r="V44" s="75"/>
      <c r="W44" s="75"/>
      <c r="X44" s="75"/>
      <c r="Y44" s="75"/>
      <c r="Z44" s="506"/>
      <c r="AA44" s="500"/>
    </row>
    <row r="45" spans="1:27" ht="15.75" customHeight="1">
      <c r="A45" s="134"/>
      <c r="B45" s="133"/>
      <c r="C45" s="133"/>
      <c r="D45" s="86" t="str">
        <f>CHOOSE(TC,"Diode Voltage Drop Thermal Coefficient","*Leave TC Pin Open")</f>
        <v>Diode Voltage Drop Thermal Coefficient</v>
      </c>
      <c r="E45" s="582">
        <v>4</v>
      </c>
      <c r="F45" s="136" t="s">
        <v>380</v>
      </c>
      <c r="G45" s="89"/>
      <c r="H45" s="89"/>
      <c r="I45" s="49"/>
      <c r="J45" s="49"/>
      <c r="K45" s="49"/>
      <c r="L45" s="49"/>
      <c r="M45" s="49"/>
      <c r="N45" s="49"/>
      <c r="O45" s="49"/>
      <c r="P45" s="49"/>
      <c r="Q45" s="49"/>
      <c r="R45" s="82"/>
      <c r="S45" s="82"/>
      <c r="T45" s="75"/>
      <c r="U45" s="75"/>
      <c r="V45" s="75"/>
      <c r="W45" s="75"/>
      <c r="X45" s="75"/>
      <c r="Y45" s="75"/>
      <c r="Z45" s="506"/>
      <c r="AA45" s="500"/>
    </row>
    <row r="46" spans="1:27" ht="15.75" customHeight="1" thickBot="1">
      <c r="A46" s="137"/>
      <c r="B46" s="151"/>
      <c r="C46" s="151"/>
      <c r="D46" s="507" t="s">
        <v>382</v>
      </c>
      <c r="E46" s="522">
        <f>RTC</f>
        <v>1690</v>
      </c>
      <c r="F46" s="523" t="s">
        <v>21</v>
      </c>
      <c r="G46" s="89"/>
      <c r="H46" s="89"/>
      <c r="I46" s="49"/>
      <c r="J46" s="49"/>
      <c r="K46" s="73"/>
      <c r="L46" s="49"/>
      <c r="M46" s="49"/>
      <c r="N46" s="49"/>
      <c r="O46" s="49"/>
      <c r="P46" s="49"/>
      <c r="Q46" s="49"/>
      <c r="R46" s="82"/>
      <c r="S46" s="82"/>
      <c r="T46" s="75"/>
      <c r="U46" s="75"/>
      <c r="V46" s="75"/>
      <c r="W46" s="75"/>
      <c r="X46" s="75"/>
      <c r="Y46" s="75"/>
      <c r="Z46" s="506"/>
      <c r="AA46" s="500"/>
    </row>
    <row r="47" spans="1:27" ht="16.5" customHeight="1">
      <c r="A47" s="454"/>
      <c r="B47" s="508"/>
      <c r="C47" s="508"/>
      <c r="D47" s="818" t="s">
        <v>303</v>
      </c>
      <c r="E47" s="819"/>
      <c r="F47" s="809"/>
      <c r="G47" s="89"/>
      <c r="H47" s="89"/>
      <c r="I47" s="49"/>
      <c r="J47" s="49"/>
      <c r="K47" s="49"/>
      <c r="L47" s="49"/>
      <c r="M47" s="49"/>
      <c r="N47" s="49"/>
      <c r="O47" s="49"/>
      <c r="P47" s="49"/>
      <c r="Q47" s="49"/>
      <c r="R47" s="82"/>
      <c r="S47" s="82"/>
      <c r="T47" s="75"/>
      <c r="U47" s="75"/>
      <c r="V47" s="75"/>
      <c r="W47" s="75"/>
      <c r="X47" s="75"/>
      <c r="Y47" s="75"/>
      <c r="Z47" s="506"/>
      <c r="AA47" s="500"/>
    </row>
    <row r="48" spans="1:27" ht="15.75" customHeight="1">
      <c r="A48" s="134"/>
      <c r="B48" s="133"/>
      <c r="C48" s="148"/>
      <c r="D48" s="149" t="str">
        <f>CHOOSE(MODE_UVLO, "Input UVLO Turn-On Threshold", "*Connect EN pin to VIN or Logic HIGH")</f>
        <v>Input UVLO Turn-On Threshold</v>
      </c>
      <c r="E48" s="150">
        <v>8</v>
      </c>
      <c r="F48" s="144" t="s">
        <v>0</v>
      </c>
      <c r="G48" s="89"/>
      <c r="H48" s="89"/>
      <c r="I48" s="82"/>
      <c r="J48" s="82"/>
      <c r="K48" s="82"/>
      <c r="L48" s="210"/>
      <c r="M48" s="49"/>
      <c r="N48" s="49"/>
      <c r="O48" s="49"/>
      <c r="P48" s="49"/>
      <c r="Q48" s="49"/>
      <c r="R48" s="82"/>
      <c r="S48" s="82"/>
      <c r="T48" s="75"/>
      <c r="U48" s="75"/>
      <c r="V48" s="75"/>
      <c r="W48" s="75"/>
      <c r="X48" s="75"/>
      <c r="Y48" s="75"/>
      <c r="Z48" s="506"/>
      <c r="AA48" s="500"/>
    </row>
    <row r="49" spans="1:27" ht="15.75" customHeight="1">
      <c r="A49" s="134"/>
      <c r="B49" s="133"/>
      <c r="C49" s="133"/>
      <c r="D49" s="149" t="str">
        <f>CHOOSE(MODE_UVLO, "Input UVLO Turn-Off Threshold", "")</f>
        <v>Input UVLO Turn-Off Threshold</v>
      </c>
      <c r="E49" s="150">
        <v>7</v>
      </c>
      <c r="F49" s="144" t="s">
        <v>0</v>
      </c>
      <c r="G49" s="89"/>
      <c r="H49" s="135"/>
      <c r="I49" s="211"/>
      <c r="J49" s="213"/>
      <c r="K49" s="82"/>
      <c r="L49" s="82"/>
      <c r="M49" s="49"/>
      <c r="N49" s="49"/>
      <c r="O49" s="49"/>
      <c r="P49" s="49"/>
      <c r="Q49" s="49"/>
      <c r="R49" s="82"/>
      <c r="S49" s="82"/>
      <c r="T49" s="75"/>
      <c r="U49" s="75"/>
      <c r="V49" s="75"/>
      <c r="W49" s="75"/>
      <c r="X49" s="75"/>
      <c r="Y49" s="75"/>
      <c r="Z49" s="506"/>
      <c r="AA49" s="500"/>
    </row>
    <row r="50" spans="1:27" ht="15.75" customHeight="1">
      <c r="A50" s="820"/>
      <c r="B50" s="821"/>
      <c r="C50" s="822"/>
      <c r="D50" s="823" t="s">
        <v>821</v>
      </c>
      <c r="E50" s="824">
        <f>'Variable Mgmt'!F181</f>
        <v>147</v>
      </c>
      <c r="F50" s="825" t="s">
        <v>21</v>
      </c>
      <c r="G50" s="89"/>
      <c r="H50" s="135"/>
      <c r="I50" s="211"/>
      <c r="J50" s="213"/>
      <c r="K50" s="82"/>
      <c r="L50" s="82"/>
      <c r="M50" s="49"/>
      <c r="N50" s="49"/>
      <c r="O50" s="49"/>
      <c r="P50" s="49"/>
      <c r="Q50" s="49"/>
      <c r="R50" s="82"/>
      <c r="S50" s="82"/>
      <c r="T50" s="75"/>
      <c r="U50" s="75"/>
      <c r="V50" s="75"/>
      <c r="W50" s="75"/>
      <c r="X50" s="75"/>
      <c r="Y50" s="75"/>
      <c r="Z50" s="506"/>
      <c r="AA50" s="500"/>
    </row>
    <row r="51" spans="1:27" ht="15.75" customHeight="1">
      <c r="A51" s="826"/>
      <c r="B51" s="827"/>
      <c r="C51" s="827"/>
      <c r="D51" s="828" t="s">
        <v>822</v>
      </c>
      <c r="E51" s="829">
        <f>'Variable Mgmt'!F182</f>
        <v>34</v>
      </c>
      <c r="F51" s="830" t="s">
        <v>21</v>
      </c>
      <c r="G51" s="89"/>
      <c r="H51" s="215"/>
      <c r="I51" s="146"/>
      <c r="J51" s="580"/>
      <c r="K51" s="214"/>
      <c r="L51" s="82"/>
      <c r="M51" s="49"/>
      <c r="N51" s="49"/>
      <c r="O51" s="49"/>
      <c r="P51" s="49"/>
      <c r="Q51" s="49"/>
      <c r="R51" s="82"/>
      <c r="S51" s="82"/>
      <c r="T51" s="75"/>
      <c r="U51" s="75"/>
      <c r="V51" s="75"/>
      <c r="W51" s="75"/>
      <c r="X51" s="75"/>
      <c r="Y51" s="75"/>
      <c r="Z51" s="506"/>
      <c r="AA51" s="500"/>
    </row>
    <row r="52" spans="1:27" ht="15.75" customHeight="1">
      <c r="A52" s="134"/>
      <c r="B52" s="133"/>
      <c r="C52" s="133"/>
      <c r="D52" s="135"/>
      <c r="E52" s="777"/>
      <c r="F52" s="75"/>
      <c r="G52" s="89"/>
      <c r="H52" s="215"/>
      <c r="I52" s="146"/>
      <c r="J52" s="580"/>
      <c r="K52" s="214"/>
      <c r="L52" s="82"/>
      <c r="M52" s="49"/>
      <c r="N52" s="49"/>
      <c r="O52" s="49"/>
      <c r="P52" s="49"/>
      <c r="Q52" s="49"/>
      <c r="R52" s="82"/>
      <c r="S52" s="82"/>
      <c r="T52" s="75"/>
      <c r="U52" s="75"/>
      <c r="V52" s="75"/>
      <c r="W52" s="75"/>
      <c r="X52" s="75"/>
      <c r="Y52" s="75"/>
      <c r="Z52" s="506"/>
      <c r="AA52" s="500"/>
    </row>
    <row r="53" spans="1:27" ht="15.75" customHeight="1" thickBot="1">
      <c r="A53" s="106" t="s">
        <v>889</v>
      </c>
      <c r="B53" s="133"/>
      <c r="C53" s="133"/>
      <c r="D53" s="149" t="s">
        <v>862</v>
      </c>
      <c r="E53" s="777"/>
      <c r="F53" s="89"/>
      <c r="G53" s="89"/>
      <c r="H53" s="89"/>
      <c r="I53" s="82"/>
      <c r="J53" s="212"/>
      <c r="K53" s="82"/>
      <c r="L53" s="82"/>
      <c r="M53" s="49"/>
      <c r="N53" s="49"/>
      <c r="O53" s="49"/>
      <c r="P53" s="49"/>
      <c r="Q53" s="49" t="s">
        <v>78</v>
      </c>
      <c r="R53" s="82"/>
      <c r="S53" s="82"/>
      <c r="T53" s="75"/>
      <c r="U53" s="75"/>
      <c r="V53" s="75"/>
      <c r="W53" s="75"/>
      <c r="X53" s="75"/>
      <c r="Y53" s="75"/>
      <c r="Z53" s="506"/>
      <c r="AA53" s="500"/>
    </row>
    <row r="54" spans="1:27" ht="15.75" hidden="1" customHeight="1">
      <c r="A54" s="454"/>
      <c r="B54" s="508"/>
      <c r="C54" s="206"/>
      <c r="D54" s="206" t="s">
        <v>800</v>
      </c>
      <c r="E54" s="578">
        <f>pole1/1000</f>
        <v>8.1122561548125013E-2</v>
      </c>
      <c r="F54" s="809" t="s">
        <v>2</v>
      </c>
      <c r="G54" s="89"/>
      <c r="H54" s="89"/>
      <c r="I54" s="82"/>
      <c r="J54" s="212"/>
      <c r="K54" s="82"/>
      <c r="L54" s="82"/>
      <c r="M54" s="49"/>
      <c r="N54" s="49"/>
      <c r="O54" s="49"/>
      <c r="P54" s="49"/>
      <c r="Q54" s="49"/>
      <c r="R54" s="82"/>
      <c r="S54" s="82"/>
      <c r="T54" s="75"/>
      <c r="U54" s="75"/>
      <c r="V54" s="75"/>
      <c r="W54" s="75"/>
      <c r="X54" s="75"/>
      <c r="Y54" s="75"/>
      <c r="Z54" s="506"/>
      <c r="AA54" s="500"/>
    </row>
    <row r="55" spans="1:27" ht="15.75" hidden="1" customHeight="1">
      <c r="A55" s="134"/>
      <c r="B55" s="133"/>
      <c r="C55" s="135"/>
      <c r="D55" s="135" t="s">
        <v>797</v>
      </c>
      <c r="E55" s="759">
        <f>Zero1/1000</f>
        <v>345.98900711686167</v>
      </c>
      <c r="F55" s="136" t="s">
        <v>2</v>
      </c>
      <c r="G55" s="89"/>
      <c r="H55" s="135"/>
      <c r="I55" s="211"/>
      <c r="J55" s="213"/>
      <c r="K55" s="82"/>
      <c r="L55" s="82"/>
      <c r="M55" s="49"/>
      <c r="N55" s="49"/>
      <c r="O55" s="49"/>
      <c r="P55" s="49"/>
      <c r="Q55" s="49"/>
      <c r="R55" s="82"/>
      <c r="S55" s="82"/>
      <c r="T55" s="75"/>
      <c r="U55" s="75"/>
      <c r="V55" s="75"/>
      <c r="W55" s="75"/>
      <c r="X55" s="75"/>
      <c r="Y55" s="75"/>
      <c r="Z55" s="506"/>
      <c r="AA55" s="500"/>
    </row>
    <row r="56" spans="1:27" ht="15.75" hidden="1" customHeight="1">
      <c r="A56" s="134"/>
      <c r="B56" s="133"/>
      <c r="C56" s="135"/>
      <c r="D56" s="135" t="s">
        <v>798</v>
      </c>
      <c r="E56" s="759">
        <f>z_RHP/1000</f>
        <v>186.26464472571601</v>
      </c>
      <c r="F56" s="136" t="s">
        <v>2</v>
      </c>
      <c r="G56" s="89"/>
      <c r="H56" s="135"/>
      <c r="I56" s="211"/>
      <c r="J56" s="213"/>
      <c r="K56" s="82"/>
      <c r="L56" s="82"/>
      <c r="M56" s="49"/>
      <c r="N56" s="49"/>
      <c r="O56" s="49"/>
      <c r="P56" s="49"/>
      <c r="Q56" s="49"/>
      <c r="R56" s="82"/>
      <c r="S56" s="82"/>
      <c r="T56" s="75"/>
      <c r="U56" s="75"/>
      <c r="V56" s="75"/>
      <c r="W56" s="75"/>
      <c r="X56" s="75"/>
      <c r="Y56" s="75"/>
      <c r="Z56" s="506"/>
      <c r="AA56" s="500"/>
    </row>
    <row r="57" spans="1:27" ht="15.75" customHeight="1">
      <c r="A57" s="454"/>
      <c r="B57" s="508"/>
      <c r="C57" s="206"/>
      <c r="D57" s="206" t="s">
        <v>799</v>
      </c>
      <c r="E57" s="578">
        <f>MIN(E56/10,'Calculations - Single'!DC212/10)*0+MIN(E56/10,CHOOSE(MODE,'Calculations - Single'!DC212/10,'Calculations - Dual'!DQ212/10))</f>
        <v>17.758054301016877</v>
      </c>
      <c r="F57" s="809" t="s">
        <v>2</v>
      </c>
      <c r="G57" s="89"/>
      <c r="H57" s="89"/>
      <c r="I57" s="49"/>
      <c r="J57" s="49"/>
      <c r="K57" s="49"/>
      <c r="L57" s="49"/>
      <c r="M57" s="49"/>
      <c r="N57" s="49"/>
      <c r="O57" s="49"/>
      <c r="P57" s="49"/>
      <c r="Q57" s="49"/>
      <c r="R57" s="82"/>
      <c r="S57" s="82"/>
      <c r="T57" s="75"/>
      <c r="U57" s="75"/>
      <c r="V57" s="75"/>
      <c r="W57" s="75"/>
      <c r="X57" s="75"/>
      <c r="Y57" s="75"/>
      <c r="Z57" s="506"/>
      <c r="AA57" s="500"/>
    </row>
    <row r="58" spans="1:27" ht="15.75" customHeight="1">
      <c r="A58" s="134"/>
      <c r="B58" s="133"/>
      <c r="C58" s="133"/>
      <c r="D58" s="149" t="s">
        <v>864</v>
      </c>
      <c r="E58" s="582">
        <v>8</v>
      </c>
      <c r="F58" s="866" t="s">
        <v>2</v>
      </c>
      <c r="G58" s="89"/>
      <c r="H58" s="89"/>
      <c r="I58" s="49"/>
      <c r="J58" s="49"/>
      <c r="K58" s="49"/>
      <c r="L58" s="49"/>
      <c r="M58" s="49"/>
      <c r="N58" s="49"/>
      <c r="O58" s="49"/>
      <c r="P58" s="49"/>
      <c r="Q58" s="49"/>
      <c r="R58" s="82"/>
      <c r="S58" s="82"/>
      <c r="T58" s="75"/>
      <c r="U58" s="75"/>
      <c r="V58" s="75"/>
      <c r="W58" s="75"/>
      <c r="X58" s="75"/>
      <c r="Y58" s="75"/>
      <c r="Z58" s="506"/>
      <c r="AA58" s="500"/>
    </row>
    <row r="59" spans="1:27" ht="15.75" customHeight="1">
      <c r="A59" s="134"/>
      <c r="B59" s="133"/>
      <c r="C59" s="135"/>
      <c r="D59" s="135" t="s">
        <v>815</v>
      </c>
      <c r="E59" s="759">
        <f>'Stability Calculations'!D64</f>
        <v>146.41381322197304</v>
      </c>
      <c r="F59" s="867" t="s">
        <v>813</v>
      </c>
      <c r="G59" s="89"/>
      <c r="H59" s="89"/>
      <c r="I59" s="49"/>
      <c r="J59" s="49"/>
      <c r="K59" s="49"/>
      <c r="L59" s="49"/>
      <c r="M59" s="49"/>
      <c r="N59" s="49"/>
      <c r="O59" s="49"/>
      <c r="P59" s="49"/>
      <c r="Q59" s="49"/>
      <c r="R59" s="82"/>
      <c r="S59" s="82"/>
      <c r="T59" s="75"/>
      <c r="U59" s="75"/>
      <c r="V59" s="75"/>
      <c r="W59" s="75"/>
      <c r="X59" s="75"/>
      <c r="Y59" s="75"/>
      <c r="Z59" s="506"/>
      <c r="AA59" s="500"/>
    </row>
    <row r="60" spans="1:27" ht="15.75" customHeight="1">
      <c r="A60" s="134"/>
      <c r="B60" s="133"/>
      <c r="C60" s="135"/>
      <c r="D60" s="149" t="s">
        <v>816</v>
      </c>
      <c r="E60" s="778">
        <v>142</v>
      </c>
      <c r="F60" s="866" t="s">
        <v>814</v>
      </c>
      <c r="G60" s="89"/>
      <c r="H60" s="89"/>
      <c r="I60" s="49"/>
      <c r="J60" s="49"/>
      <c r="K60" s="49"/>
      <c r="L60" s="49"/>
      <c r="M60" s="49"/>
      <c r="N60" s="49"/>
      <c r="O60" s="49"/>
      <c r="P60" s="49"/>
      <c r="Q60" s="49"/>
      <c r="R60" s="82"/>
      <c r="S60" s="82"/>
      <c r="T60" s="75"/>
      <c r="U60" s="75"/>
      <c r="V60" s="75"/>
      <c r="W60" s="75"/>
      <c r="X60" s="75"/>
      <c r="Y60" s="75"/>
      <c r="Z60" s="506"/>
      <c r="AA60" s="500"/>
    </row>
    <row r="61" spans="1:27" ht="16.5" customHeight="1">
      <c r="A61" s="134"/>
      <c r="B61" s="133"/>
      <c r="C61" s="135"/>
      <c r="D61" s="135" t="s">
        <v>817</v>
      </c>
      <c r="E61" s="759">
        <f>'Stability Calculations'!D65</f>
        <v>6.7032690855983548</v>
      </c>
      <c r="F61" s="868" t="s">
        <v>56</v>
      </c>
      <c r="G61" s="89"/>
      <c r="H61" s="89"/>
      <c r="I61" s="49"/>
      <c r="J61" s="49"/>
      <c r="K61" s="49"/>
      <c r="L61" s="49"/>
      <c r="M61" s="49"/>
      <c r="N61" s="49"/>
      <c r="O61" s="49"/>
      <c r="P61" s="49"/>
      <c r="Q61" s="49"/>
      <c r="R61" s="82"/>
      <c r="S61" s="82"/>
      <c r="T61" s="75"/>
      <c r="U61" s="75"/>
      <c r="V61" s="75"/>
      <c r="W61" s="75"/>
      <c r="X61" s="75"/>
      <c r="Y61" s="75"/>
      <c r="Z61" s="506"/>
      <c r="AA61" s="500"/>
    </row>
    <row r="62" spans="1:27" ht="15.75" customHeight="1">
      <c r="A62" s="134"/>
      <c r="B62" s="133"/>
      <c r="C62" s="135"/>
      <c r="D62" s="149" t="s">
        <v>818</v>
      </c>
      <c r="E62" s="778">
        <v>6</v>
      </c>
      <c r="F62" s="866" t="s">
        <v>56</v>
      </c>
      <c r="G62" s="89"/>
      <c r="H62" s="89"/>
      <c r="I62" s="49"/>
      <c r="J62" s="49"/>
      <c r="K62" s="49"/>
      <c r="L62" s="49"/>
      <c r="M62" s="49"/>
      <c r="N62" s="49"/>
      <c r="O62" s="49"/>
      <c r="P62" s="49"/>
      <c r="Q62" s="49"/>
      <c r="R62" s="82"/>
      <c r="S62" s="82"/>
      <c r="T62" s="75"/>
      <c r="U62" s="75"/>
      <c r="V62" s="75"/>
      <c r="W62" s="75"/>
      <c r="X62" s="75"/>
      <c r="Y62" s="75"/>
      <c r="Z62" s="506"/>
      <c r="AA62" s="500"/>
    </row>
    <row r="63" spans="1:27" ht="15.75" customHeight="1">
      <c r="A63" s="134"/>
      <c r="B63" s="133"/>
      <c r="C63" s="135"/>
      <c r="D63" s="135" t="s">
        <v>819</v>
      </c>
      <c r="E63" s="776">
        <f>'Stability Calculations'!D66</f>
        <v>44.6884605706557</v>
      </c>
      <c r="F63" s="868" t="s">
        <v>15</v>
      </c>
      <c r="G63" s="89"/>
      <c r="H63" s="89"/>
      <c r="I63" s="49"/>
      <c r="J63" s="49"/>
      <c r="K63" s="49"/>
      <c r="L63" s="49"/>
      <c r="M63" s="49"/>
      <c r="N63" s="49"/>
      <c r="O63" s="49"/>
      <c r="P63" s="49"/>
      <c r="Q63" s="49"/>
      <c r="R63" s="82"/>
      <c r="S63" s="82"/>
      <c r="T63" s="75"/>
      <c r="U63" s="75"/>
      <c r="V63" s="812" t="s">
        <v>863</v>
      </c>
      <c r="W63" s="813">
        <f>Vin</f>
        <v>12.5</v>
      </c>
      <c r="X63" s="734" t="s">
        <v>0</v>
      </c>
      <c r="Y63" s="75"/>
      <c r="Z63" s="506"/>
      <c r="AA63" s="500"/>
    </row>
    <row r="64" spans="1:27" ht="15.75" customHeight="1" thickBot="1">
      <c r="A64" s="787"/>
      <c r="B64" s="151"/>
      <c r="C64" s="151"/>
      <c r="D64" s="510" t="s">
        <v>820</v>
      </c>
      <c r="E64" s="810">
        <v>47</v>
      </c>
      <c r="F64" s="811" t="s">
        <v>15</v>
      </c>
      <c r="G64" s="89"/>
      <c r="H64" s="89"/>
      <c r="I64" s="49"/>
      <c r="J64" s="49"/>
      <c r="K64" s="49"/>
      <c r="L64" s="49"/>
      <c r="M64" s="49"/>
      <c r="N64" s="49"/>
      <c r="O64" s="49"/>
      <c r="P64" s="49"/>
      <c r="Q64" s="49"/>
      <c r="R64" s="82"/>
      <c r="S64" s="82"/>
      <c r="T64" s="75"/>
      <c r="U64" s="75"/>
      <c r="V64" s="75"/>
      <c r="W64" s="75"/>
      <c r="X64" s="75"/>
      <c r="Y64" s="75"/>
      <c r="Z64" s="506"/>
      <c r="AA64" s="500"/>
    </row>
    <row r="65" spans="1:27" ht="15.75" customHeight="1">
      <c r="A65" s="134"/>
      <c r="B65" s="133"/>
      <c r="C65" s="133"/>
      <c r="D65" s="135"/>
      <c r="E65" s="777"/>
      <c r="F65" s="75"/>
      <c r="G65" s="89"/>
      <c r="H65" s="89"/>
      <c r="I65" s="49"/>
      <c r="J65" s="49"/>
      <c r="K65" s="49"/>
      <c r="L65" s="49"/>
      <c r="M65" s="49"/>
      <c r="N65" s="49"/>
      <c r="O65" s="49"/>
      <c r="P65" s="49"/>
      <c r="Q65" s="49"/>
      <c r="R65" s="82"/>
      <c r="S65" s="82"/>
      <c r="T65" s="75"/>
      <c r="U65" s="75"/>
      <c r="V65" s="75"/>
      <c r="W65" s="75"/>
      <c r="X65" s="75"/>
      <c r="Y65" s="75"/>
      <c r="Z65" s="506"/>
      <c r="AA65" s="500"/>
    </row>
    <row r="66" spans="1:27" ht="15.75" customHeight="1" thickBot="1">
      <c r="A66" s="106" t="s">
        <v>894</v>
      </c>
      <c r="B66" s="133"/>
      <c r="C66" s="133"/>
      <c r="D66" s="135"/>
      <c r="E66" s="777"/>
      <c r="F66" s="75"/>
      <c r="G66" s="903" t="s">
        <v>945</v>
      </c>
      <c r="H66" s="89"/>
      <c r="I66" s="49"/>
      <c r="J66" s="49"/>
      <c r="K66" s="49"/>
      <c r="L66" s="49"/>
      <c r="M66" s="49"/>
      <c r="N66" s="49"/>
      <c r="O66" s="49"/>
      <c r="P66" s="49"/>
      <c r="Q66" s="49"/>
      <c r="R66" s="82"/>
      <c r="S66" s="82"/>
      <c r="T66" s="75"/>
      <c r="U66" s="75"/>
      <c r="V66" s="75"/>
      <c r="W66" s="75"/>
      <c r="X66" s="75"/>
      <c r="Y66" s="75"/>
      <c r="Z66" s="506"/>
      <c r="AA66" s="500"/>
    </row>
    <row r="67" spans="1:27" ht="15.75" customHeight="1" thickBot="1">
      <c r="A67" s="454"/>
      <c r="B67" s="508"/>
      <c r="C67" s="508"/>
      <c r="D67" s="206" t="str">
        <f>CHOOSE(MODE, "Initial Csnb", "Inisitial Csnb1")</f>
        <v>Inisitial Csnb1</v>
      </c>
      <c r="E67" s="869">
        <v>22</v>
      </c>
      <c r="F67" s="860" t="s">
        <v>15</v>
      </c>
      <c r="G67" s="89"/>
      <c r="H67" s="872"/>
      <c r="I67" s="873"/>
      <c r="J67" s="874"/>
      <c r="K67" s="875" t="s">
        <v>892</v>
      </c>
      <c r="L67" s="875">
        <v>22</v>
      </c>
      <c r="M67" s="815" t="s">
        <v>15</v>
      </c>
      <c r="N67" s="733"/>
      <c r="O67" s="49"/>
      <c r="P67" s="734"/>
      <c r="Q67" s="49"/>
      <c r="R67" s="82"/>
      <c r="S67" s="82"/>
      <c r="T67" s="75"/>
      <c r="U67" s="75"/>
      <c r="V67" s="75"/>
      <c r="W67" s="75"/>
      <c r="X67" s="75"/>
      <c r="Y67" s="75"/>
      <c r="Z67" s="506"/>
      <c r="AA67" s="500"/>
    </row>
    <row r="68" spans="1:27" ht="15.75" customHeight="1">
      <c r="A68" s="134"/>
      <c r="B68" s="133"/>
      <c r="C68" s="133"/>
      <c r="D68" s="135" t="s">
        <v>890</v>
      </c>
      <c r="E68" s="777">
        <f>(VIN_max/Npri_sec1+E10)*1.3</f>
        <v>637</v>
      </c>
      <c r="F68" s="867" t="s">
        <v>0</v>
      </c>
      <c r="G68" s="881"/>
      <c r="H68" s="876"/>
      <c r="I68" s="211"/>
      <c r="J68" s="213"/>
      <c r="K68" s="135" t="s">
        <v>890</v>
      </c>
      <c r="L68" s="865">
        <f>E8/Nps*Nsec1sec2+Vout</f>
        <v>193.80785002929116</v>
      </c>
      <c r="M68" s="877" t="s">
        <v>0</v>
      </c>
      <c r="N68" s="49"/>
      <c r="O68" s="49"/>
      <c r="P68" s="49"/>
      <c r="Q68" s="49"/>
      <c r="R68" s="82"/>
      <c r="S68" s="82"/>
      <c r="T68" s="75"/>
      <c r="U68" s="75"/>
      <c r="V68" s="75"/>
      <c r="W68" s="75"/>
      <c r="X68" s="75"/>
      <c r="Y68" s="75"/>
      <c r="Z68" s="506"/>
      <c r="AA68" s="500"/>
    </row>
    <row r="69" spans="1:27" ht="16.5" customHeight="1" thickBot="1">
      <c r="A69" s="134"/>
      <c r="B69" s="133"/>
      <c r="C69" s="133"/>
      <c r="D69" s="135" t="str">
        <f>CHOOSE(MODE, "Initial Rsnb", "Inisitial Rsnb1")</f>
        <v>Inisitial Rsnb1</v>
      </c>
      <c r="E69" s="777">
        <v>100</v>
      </c>
      <c r="F69" s="867" t="s">
        <v>136</v>
      </c>
      <c r="G69" s="882"/>
      <c r="H69" s="88"/>
      <c r="I69" s="49"/>
      <c r="J69" s="74"/>
      <c r="K69" s="89" t="s">
        <v>893</v>
      </c>
      <c r="L69" s="89">
        <v>100</v>
      </c>
      <c r="M69" s="867" t="s">
        <v>136</v>
      </c>
      <c r="N69" s="49"/>
      <c r="O69" s="49"/>
      <c r="P69" s="49"/>
      <c r="Q69" s="49"/>
      <c r="R69" s="82"/>
      <c r="S69" s="82"/>
      <c r="T69" s="75"/>
      <c r="U69" s="75"/>
      <c r="V69" s="75"/>
      <c r="W69" s="75"/>
      <c r="X69" s="75"/>
      <c r="Y69" s="75"/>
      <c r="Z69" s="506"/>
      <c r="AA69" s="500"/>
    </row>
    <row r="70" spans="1:27" ht="15.75" customHeight="1" thickBot="1">
      <c r="A70" s="787"/>
      <c r="B70" s="151"/>
      <c r="C70" s="151"/>
      <c r="D70" s="507" t="s">
        <v>891</v>
      </c>
      <c r="E70" s="880">
        <f>E68*E68*E67*0.000000000001*350000*3</f>
        <v>9.3732638999999995</v>
      </c>
      <c r="F70" s="871" t="s">
        <v>45</v>
      </c>
      <c r="G70" s="89"/>
      <c r="H70" s="853"/>
      <c r="I70" s="504"/>
      <c r="J70" s="878"/>
      <c r="K70" s="507" t="s">
        <v>891</v>
      </c>
      <c r="L70" s="879">
        <f>L68*L68*L67*0.000000000001*350000*3</f>
        <v>0.86767025113175045</v>
      </c>
      <c r="M70" s="105" t="s">
        <v>45</v>
      </c>
      <c r="N70" s="49"/>
      <c r="O70" s="49"/>
      <c r="P70" s="49"/>
      <c r="Q70" s="49"/>
      <c r="R70" s="82"/>
      <c r="S70" s="82"/>
      <c r="T70" s="75"/>
      <c r="U70" s="75"/>
      <c r="V70" s="75"/>
      <c r="W70" s="75"/>
      <c r="X70" s="75"/>
      <c r="Y70" s="75"/>
      <c r="Z70" s="506"/>
      <c r="AA70" s="500"/>
    </row>
    <row r="71" spans="1:27" ht="15.75" customHeight="1">
      <c r="A71" s="134"/>
      <c r="B71" s="133"/>
      <c r="C71" s="133"/>
      <c r="D71" s="135"/>
      <c r="E71" s="777"/>
      <c r="F71" s="75"/>
      <c r="G71" s="89"/>
      <c r="H71" s="89"/>
      <c r="I71" s="49"/>
      <c r="J71" s="74"/>
      <c r="K71" s="49"/>
      <c r="L71" s="49"/>
      <c r="M71" s="49"/>
      <c r="N71" s="49"/>
      <c r="O71" s="49"/>
      <c r="P71" s="49"/>
      <c r="Q71" s="49"/>
      <c r="R71" s="82"/>
      <c r="S71" s="82"/>
      <c r="T71" s="75"/>
      <c r="U71" s="75"/>
      <c r="V71" s="75"/>
      <c r="W71" s="75"/>
      <c r="X71" s="75"/>
      <c r="Y71" s="75"/>
      <c r="Z71" s="506"/>
      <c r="AA71" s="500"/>
    </row>
    <row r="72" spans="1:27" ht="15.75" customHeight="1" thickBot="1">
      <c r="A72" s="106" t="s">
        <v>895</v>
      </c>
      <c r="B72" s="133"/>
      <c r="C72" s="133"/>
      <c r="D72" s="135"/>
      <c r="E72" s="777"/>
      <c r="F72" s="75"/>
      <c r="G72" s="89"/>
      <c r="H72" s="89"/>
      <c r="I72" s="49"/>
      <c r="J72" s="74"/>
      <c r="K72" s="49"/>
      <c r="L72" s="49"/>
      <c r="M72" s="49"/>
      <c r="N72" s="49"/>
      <c r="O72" s="49"/>
      <c r="P72" s="49"/>
      <c r="Q72" s="49"/>
      <c r="R72" s="82"/>
      <c r="S72" s="82"/>
      <c r="T72" s="75"/>
      <c r="U72" s="75"/>
      <c r="V72" s="75"/>
      <c r="W72" s="75"/>
      <c r="X72" s="75"/>
      <c r="Y72" s="75"/>
      <c r="Z72" s="506"/>
      <c r="AA72" s="500"/>
    </row>
    <row r="73" spans="1:27" ht="15.75" customHeight="1" thickBot="1">
      <c r="A73" s="454"/>
      <c r="B73" s="508"/>
      <c r="C73" s="508"/>
      <c r="D73" s="818" t="str">
        <f>CHOOSE(MODE, "Min Load Current, IOUT_min ", "Min Load Current, IOUT1_min")</f>
        <v>Min Load Current, IOUT1_min</v>
      </c>
      <c r="E73" s="886">
        <v>0.1</v>
      </c>
      <c r="F73" s="887" t="s">
        <v>1</v>
      </c>
      <c r="G73" s="89"/>
      <c r="H73" s="422"/>
      <c r="I73" s="584"/>
      <c r="J73" s="584"/>
      <c r="K73" s="788" t="str">
        <f>CHOOSE(MODE, " ", "Min Load Current, IOUT2min")</f>
        <v>Min Load Current, IOUT2min</v>
      </c>
      <c r="L73" s="897">
        <v>0.1</v>
      </c>
      <c r="M73" s="890" t="str">
        <f>CHOOSE(MODE, "", "A")</f>
        <v>A</v>
      </c>
      <c r="N73" s="49"/>
      <c r="O73" s="49"/>
      <c r="P73" s="49"/>
      <c r="Q73" s="49"/>
      <c r="R73" s="82"/>
      <c r="S73" s="82"/>
      <c r="T73" s="75"/>
      <c r="U73" s="75"/>
      <c r="V73" s="75"/>
      <c r="W73" s="75"/>
      <c r="X73" s="75"/>
      <c r="Y73" s="75"/>
      <c r="Z73" s="506"/>
      <c r="AA73" s="500"/>
    </row>
    <row r="74" spans="1:27" ht="15.75" customHeight="1">
      <c r="A74" s="134"/>
      <c r="B74" s="133"/>
      <c r="C74" s="133"/>
      <c r="D74" s="149" t="str">
        <f>CHOOSE(MODE, "Max VOUT Limit","Max VOUT1 Limit")</f>
        <v>Max VOUT1 Limit</v>
      </c>
      <c r="E74" s="883">
        <v>180</v>
      </c>
      <c r="F74" s="888" t="s">
        <v>0</v>
      </c>
      <c r="G74" s="881"/>
      <c r="H74" s="88"/>
      <c r="I74" s="49"/>
      <c r="J74" s="49"/>
      <c r="K74" s="86" t="str">
        <f>CHOOSE(MODE,"","Max Output Voltage Limit, VOUT2max")</f>
        <v>Max Output Voltage Limit, VOUT2max</v>
      </c>
      <c r="L74" s="898">
        <v>180</v>
      </c>
      <c r="M74" s="891" t="str">
        <f>CHOOSE(MODE,"","V")</f>
        <v>V</v>
      </c>
      <c r="N74" s="49"/>
      <c r="O74" s="49"/>
      <c r="P74" s="49"/>
      <c r="Q74" s="49"/>
      <c r="R74" s="82"/>
      <c r="S74" s="82"/>
      <c r="T74" s="75"/>
      <c r="U74" s="75"/>
      <c r="V74" s="75"/>
      <c r="W74" s="75"/>
      <c r="X74" s="75"/>
      <c r="Y74" s="75"/>
      <c r="Z74" s="506"/>
      <c r="AA74" s="500"/>
    </row>
    <row r="75" spans="1:27" ht="15.75" customHeight="1">
      <c r="A75" s="134"/>
      <c r="B75" s="133"/>
      <c r="C75" s="133"/>
      <c r="D75" s="135" t="str">
        <f>CHOOSE(MODE," Zener Clamp Dz or Dymmy Load Rdmy","Zener Clamp Dz1 or Dummy Load Rdmy1")</f>
        <v>Zener Clamp Dz1 or Dummy Load Rdmy1</v>
      </c>
      <c r="E75" s="889" t="str">
        <f>CHOOSE(MODE, IF('Calculations - Single'!G329="Yes",IF(E74&gt;ROUND(Vout*11.25,0)/10, IF(E74/E10&gt;1.4,"None", "Dz"), "Rdmy"), "None"), IF('Calculations - Dual'!G329="Yes",IF(E74&gt;ROUND(Vout*11.25,0)/10, IF(E74/E10&gt;1.4,"None","Dz1"), "Rdmy1"), "None"))</f>
        <v>None</v>
      </c>
      <c r="F75" s="867"/>
      <c r="G75" s="896"/>
      <c r="H75" s="88"/>
      <c r="I75" s="49"/>
      <c r="J75" s="49"/>
      <c r="K75" s="87" t="str">
        <f>CHOOSE(MODE,"","Zener Clamp Dz2 or Dummy Load Rdmy2")</f>
        <v>Zener Clamp Dz2 or Dummy Load Rdmy2</v>
      </c>
      <c r="L75" s="899" t="str">
        <f>CHOOSE(MODE, "", IF('Calculations - Dual'!N329="Yes",IF(ABS(L74)&gt;ROUND(Vout2*11.25,0)/10, IF(L74/Vout2&gt;1.4,"None","Dz2"), "Rdmy2"), "None"))</f>
        <v>None</v>
      </c>
      <c r="M75" s="892"/>
      <c r="N75" s="49"/>
      <c r="O75" s="49"/>
      <c r="P75" s="49"/>
      <c r="Q75" s="49"/>
      <c r="R75" s="82"/>
      <c r="S75" s="82"/>
      <c r="T75" s="75"/>
      <c r="U75" s="75"/>
      <c r="V75" s="75"/>
      <c r="W75" s="75"/>
      <c r="X75" s="75"/>
      <c r="Y75" s="75"/>
      <c r="Z75" s="506"/>
      <c r="AA75" s="500"/>
    </row>
    <row r="76" spans="1:27" ht="15.75" customHeight="1" thickBot="1">
      <c r="A76" s="134"/>
      <c r="B76" s="133"/>
      <c r="C76" s="133"/>
      <c r="D76" s="135" t="s">
        <v>959</v>
      </c>
      <c r="E76" s="916" t="str">
        <f>CHOOSE(MODE,IF(OR(E75="Rdmy",E75="Rdmy1"),'Standard Value Calculator'!J23,IF(E75="None","None",ROUND(E74/0.0105,0)/100)),IF(OR(E75="Rdmy",E75="Rdmy1"),'Standard Value Calculator'!J24,IF(E75="None","None",ROUND(E74/0.0105,0)/100)))</f>
        <v>None</v>
      </c>
      <c r="F76" s="867" t="str">
        <f>IF(OR(E75="DZ", E75="DZ1"), "V", IF(OR(E75="Rdmy", E75="Rdmy1"),"Ohm", ""))</f>
        <v/>
      </c>
      <c r="G76" s="882"/>
      <c r="H76" s="876"/>
      <c r="I76" s="211"/>
      <c r="J76" s="213"/>
      <c r="K76" s="87" t="str">
        <f>CHOOSE(MODE, "", "Selection "&amp;IF(L75="Dz", "Zener Clamp (5%)", IF(L75="Rdym", "Dummy Load (1%)", "")))</f>
        <v xml:space="preserve">Selection </v>
      </c>
      <c r="L76" s="858" t="str">
        <f>CHOOSE(MODE,"",IF(L75="Rdmy2",'Standard Value Calculator'!J25,IF(L75="None","None",ROUND(ABS(L74)/0.0105,0)/100)))</f>
        <v>None</v>
      </c>
      <c r="M76" s="838" t="str">
        <f>IF(L75="DZ2", "V", IF(L75="Rdmy2","Ohm", ""))</f>
        <v/>
      </c>
      <c r="N76" s="49"/>
      <c r="O76" s="49"/>
      <c r="P76" s="49"/>
      <c r="Q76" s="49"/>
      <c r="R76" s="82"/>
      <c r="S76" s="82"/>
      <c r="T76" s="75"/>
      <c r="U76" s="75"/>
      <c r="V76" s="75"/>
      <c r="W76" s="75"/>
      <c r="X76" s="75"/>
      <c r="Y76" s="75"/>
      <c r="Z76" s="506"/>
      <c r="AA76" s="500"/>
    </row>
    <row r="77" spans="1:27" ht="15.75" customHeight="1" thickBot="1">
      <c r="A77" s="787"/>
      <c r="B77" s="151"/>
      <c r="C77" s="151"/>
      <c r="D77" s="507" t="s">
        <v>897</v>
      </c>
      <c r="E77" s="870" t="str">
        <f>IF(OR(E75="Rdmy",E75="Rdmy1"),(Vout*1.08)^2/E76*4, IF(OR(E75="Dz",E75="Dz1"), E76*1.065*E73*4*1*0+'Standard Value Calculator'!I27*5, "N/A"))</f>
        <v>N/A</v>
      </c>
      <c r="F77" s="871" t="s">
        <v>45</v>
      </c>
      <c r="G77" s="89"/>
      <c r="H77" s="893"/>
      <c r="I77" s="894"/>
      <c r="J77" s="895"/>
      <c r="K77" s="208" t="str">
        <f>CHOOSE(MODE, "", "Selected Device Min Power Rating&gt;")</f>
        <v>Selected Device Min Power Rating&gt;</v>
      </c>
      <c r="L77" s="560" t="str">
        <f>CHOOSE(MODE, "", IF(L75="Rdmy2",(Vout2*1.08)^2/L76*4, IF(L75="Dz2", ABS(L60*1.065*L73*4*0+'Standard Value Calculator'!I29*5), "")))</f>
        <v/>
      </c>
      <c r="M77" s="816" t="str">
        <f>CHOOSE(MODE, "", "W")</f>
        <v>W</v>
      </c>
      <c r="N77" s="49"/>
      <c r="O77" s="49"/>
      <c r="P77" s="49"/>
      <c r="Q77" s="49"/>
      <c r="R77" s="82"/>
      <c r="S77" s="82"/>
      <c r="T77" s="75"/>
      <c r="U77" s="75"/>
      <c r="V77" s="75"/>
      <c r="W77" s="75"/>
      <c r="X77" s="75"/>
      <c r="Y77" s="75"/>
      <c r="Z77" s="506"/>
      <c r="AA77" s="500"/>
    </row>
    <row r="78" spans="1:27" ht="15.75" customHeight="1">
      <c r="A78" s="134"/>
      <c r="B78" s="133"/>
      <c r="C78" s="133"/>
      <c r="D78" s="135"/>
      <c r="E78" s="777"/>
      <c r="F78" s="75"/>
      <c r="G78" s="89"/>
      <c r="H78" s="135"/>
      <c r="I78" s="211"/>
      <c r="J78" s="213"/>
      <c r="K78" s="82"/>
      <c r="L78" s="82"/>
      <c r="M78" s="49"/>
      <c r="N78" s="49"/>
      <c r="O78" s="49"/>
      <c r="P78" s="49"/>
      <c r="Q78" s="49"/>
      <c r="R78" s="82"/>
      <c r="S78" s="82"/>
      <c r="T78" s="75"/>
      <c r="U78" s="75"/>
      <c r="V78" s="75"/>
      <c r="W78" s="75"/>
      <c r="X78" s="75"/>
      <c r="Y78" s="75"/>
      <c r="Z78" s="506"/>
      <c r="AA78" s="500"/>
    </row>
    <row r="79" spans="1:27" ht="15.75" customHeight="1" thickBot="1">
      <c r="A79" s="455" t="s">
        <v>896</v>
      </c>
      <c r="B79" s="89"/>
      <c r="C79" s="89"/>
      <c r="D79" s="87"/>
      <c r="E79" s="99"/>
      <c r="F79" s="89"/>
      <c r="G79" s="89"/>
      <c r="H79" s="135"/>
      <c r="I79" s="211"/>
      <c r="J79" s="213"/>
      <c r="K79" s="82"/>
      <c r="L79" s="82"/>
      <c r="M79" s="49"/>
      <c r="N79" s="49"/>
      <c r="O79" s="49"/>
      <c r="P79" s="49"/>
      <c r="Q79" s="49"/>
      <c r="R79" s="82"/>
      <c r="S79" s="82"/>
      <c r="T79" s="75"/>
      <c r="U79" s="75"/>
      <c r="V79" s="75"/>
      <c r="W79" s="75"/>
      <c r="X79" s="75"/>
      <c r="Y79" s="75"/>
      <c r="Z79" s="506"/>
      <c r="AA79" s="500"/>
    </row>
    <row r="80" spans="1:27" ht="15.75" customHeight="1">
      <c r="A80" s="566"/>
      <c r="B80" s="501"/>
      <c r="C80" s="501"/>
      <c r="D80" s="567" t="s">
        <v>924</v>
      </c>
      <c r="E80" s="570">
        <v>0.5</v>
      </c>
      <c r="F80" s="568" t="s">
        <v>0</v>
      </c>
      <c r="G80" s="89"/>
      <c r="H80" s="135"/>
      <c r="I80" s="211"/>
      <c r="J80" s="213"/>
      <c r="K80" s="82"/>
      <c r="L80" s="82"/>
      <c r="M80" s="49"/>
      <c r="N80" s="49"/>
      <c r="O80" s="49"/>
      <c r="P80" s="49"/>
      <c r="Q80" s="49"/>
      <c r="R80" s="82"/>
      <c r="S80" s="82"/>
      <c r="T80" s="75"/>
      <c r="U80" s="75"/>
      <c r="V80" s="75"/>
      <c r="W80" s="75"/>
      <c r="X80" s="75"/>
      <c r="Y80" s="75"/>
      <c r="Z80" s="506"/>
      <c r="AA80" s="500"/>
    </row>
    <row r="81" spans="1:35" ht="15.75" customHeight="1">
      <c r="A81" s="425"/>
      <c r="B81" s="75"/>
      <c r="C81" s="75"/>
      <c r="D81" s="842" t="s">
        <v>925</v>
      </c>
      <c r="E81" s="844">
        <f>L31</f>
        <v>0.7</v>
      </c>
      <c r="F81" s="843" t="s">
        <v>0</v>
      </c>
      <c r="G81" s="89"/>
      <c r="H81" s="135"/>
      <c r="I81" s="211"/>
      <c r="J81" s="213"/>
      <c r="K81" s="82"/>
      <c r="L81" s="82"/>
      <c r="M81" s="49"/>
      <c r="N81" s="49"/>
      <c r="O81" s="49"/>
      <c r="P81" s="49"/>
      <c r="Q81" s="49"/>
      <c r="R81" s="82"/>
      <c r="S81" s="82"/>
      <c r="T81" s="75"/>
      <c r="U81" s="75"/>
      <c r="V81" s="75"/>
      <c r="W81" s="75"/>
      <c r="X81" s="75"/>
      <c r="Y81" s="75"/>
      <c r="Z81" s="506"/>
      <c r="AA81" s="500"/>
    </row>
    <row r="82" spans="1:35" ht="15.75" customHeight="1">
      <c r="A82" s="88"/>
      <c r="B82" s="133"/>
      <c r="C82" s="133"/>
      <c r="D82" s="135" t="s">
        <v>958</v>
      </c>
      <c r="E82" s="915">
        <v>52.8</v>
      </c>
      <c r="F82" s="914" t="s">
        <v>84</v>
      </c>
      <c r="G82" s="89"/>
      <c r="H82" s="135"/>
      <c r="I82" s="211"/>
      <c r="J82" s="213"/>
      <c r="K82" s="82"/>
      <c r="L82" s="82"/>
      <c r="M82" s="49"/>
      <c r="N82" s="49"/>
      <c r="O82" s="49"/>
      <c r="P82" s="49"/>
      <c r="Q82" s="49"/>
      <c r="R82" s="82"/>
      <c r="S82" s="82"/>
      <c r="T82" s="75"/>
      <c r="U82" s="75"/>
      <c r="V82" s="75"/>
      <c r="W82" s="75"/>
      <c r="X82" s="75"/>
      <c r="Y82" s="75"/>
      <c r="Z82" s="506"/>
      <c r="AA82" s="500"/>
    </row>
    <row r="83" spans="1:35" ht="15.75" customHeight="1">
      <c r="A83" s="88"/>
      <c r="B83" s="89"/>
      <c r="C83" s="89"/>
      <c r="D83" s="86" t="s">
        <v>505</v>
      </c>
      <c r="E83" s="565">
        <v>85</v>
      </c>
      <c r="F83" s="430" t="s">
        <v>102</v>
      </c>
      <c r="G83" s="89"/>
      <c r="H83" s="135"/>
      <c r="I83" s="211"/>
      <c r="J83" s="213"/>
      <c r="K83" s="82"/>
      <c r="L83" s="82"/>
      <c r="M83" s="49"/>
      <c r="N83" s="49"/>
      <c r="O83" s="49"/>
      <c r="P83" s="49"/>
      <c r="Q83" s="49"/>
      <c r="R83" s="82"/>
      <c r="S83" s="82"/>
      <c r="T83" s="75"/>
      <c r="U83" s="75"/>
      <c r="V83" s="75"/>
      <c r="W83" s="75"/>
      <c r="X83" s="75"/>
      <c r="Y83" s="75"/>
      <c r="Z83" s="506"/>
      <c r="AA83" s="500"/>
    </row>
    <row r="84" spans="1:35" ht="15.75" customHeight="1">
      <c r="A84" s="88"/>
      <c r="B84" s="89"/>
      <c r="C84" s="89"/>
      <c r="D84" s="87" t="s">
        <v>779</v>
      </c>
      <c r="E84" s="370">
        <f>CHOOSE(MODE, 'Calculations - Single'!BL105, 'Calculations - Dual'!BJ105)</f>
        <v>90.497695595620229</v>
      </c>
      <c r="F84" s="103" t="s">
        <v>293</v>
      </c>
      <c r="G84" s="89"/>
      <c r="H84" s="135"/>
      <c r="I84" s="211"/>
      <c r="J84" s="213"/>
      <c r="K84" s="82"/>
      <c r="L84" s="82"/>
      <c r="M84" s="49"/>
      <c r="N84" s="49"/>
      <c r="O84" s="49"/>
      <c r="P84" s="49"/>
      <c r="Q84" s="49"/>
      <c r="R84" s="82"/>
      <c r="S84" s="82"/>
      <c r="T84" s="75"/>
      <c r="U84" s="75"/>
      <c r="V84" s="75"/>
      <c r="W84" s="75"/>
      <c r="X84" s="75"/>
      <c r="Y84" s="75"/>
      <c r="Z84" s="506"/>
      <c r="AA84" s="500"/>
    </row>
    <row r="85" spans="1:35" ht="15.75" customHeight="1" thickBot="1">
      <c r="A85" s="101"/>
      <c r="B85" s="102"/>
      <c r="C85" s="102"/>
      <c r="D85" s="373" t="s">
        <v>780</v>
      </c>
      <c r="E85" s="512">
        <f>E83+E84/1000*ThetaJA</f>
        <v>89.778278327448746</v>
      </c>
      <c r="F85" s="431" t="s">
        <v>102</v>
      </c>
      <c r="G85" s="89"/>
      <c r="H85" s="135"/>
      <c r="I85" s="211"/>
      <c r="J85" s="213"/>
      <c r="K85" s="82"/>
      <c r="L85" s="82"/>
      <c r="M85" s="49"/>
      <c r="N85" s="49"/>
      <c r="O85" s="49"/>
      <c r="P85" s="49"/>
      <c r="Q85" s="49"/>
      <c r="R85" s="82"/>
      <c r="S85" s="82"/>
      <c r="T85" s="75"/>
      <c r="U85" s="75"/>
      <c r="V85" s="75"/>
      <c r="W85" s="75"/>
      <c r="X85" s="75"/>
      <c r="Y85" s="75"/>
      <c r="Z85" s="506"/>
      <c r="AA85" s="500"/>
    </row>
    <row r="86" spans="1:35" ht="15.75" customHeight="1" thickBot="1">
      <c r="A86" s="101"/>
      <c r="B86" s="104"/>
      <c r="C86" s="104"/>
      <c r="D86" s="104"/>
      <c r="E86" s="560"/>
      <c r="F86" s="104"/>
      <c r="G86" s="104"/>
      <c r="H86" s="104"/>
      <c r="I86" s="504"/>
      <c r="J86" s="504"/>
      <c r="K86" s="504"/>
      <c r="L86" s="504"/>
      <c r="M86" s="504"/>
      <c r="N86" s="504"/>
      <c r="O86" s="504"/>
      <c r="P86" s="504"/>
      <c r="Q86" s="504"/>
      <c r="R86" s="502"/>
      <c r="S86" s="502"/>
      <c r="T86" s="502"/>
      <c r="U86" s="503"/>
      <c r="V86" s="503"/>
      <c r="W86" s="502"/>
      <c r="X86" s="502"/>
      <c r="Y86" s="502"/>
      <c r="Z86" s="561"/>
      <c r="AA86" s="500"/>
      <c r="AB86" s="23"/>
      <c r="AC86" s="23"/>
      <c r="AD86" s="23"/>
      <c r="AG86" s="23"/>
      <c r="AH86" s="23"/>
      <c r="AI86" s="23"/>
    </row>
    <row r="87" spans="1:35">
      <c r="A87" s="415"/>
      <c r="B87" s="416"/>
      <c r="C87" s="417"/>
      <c r="D87" s="417"/>
      <c r="E87" s="417"/>
      <c r="F87" s="417"/>
      <c r="G87" s="417"/>
      <c r="H87" s="417"/>
      <c r="I87" s="417"/>
      <c r="J87" s="417"/>
      <c r="K87" s="417"/>
      <c r="L87" s="417"/>
      <c r="M87" s="417"/>
      <c r="N87" s="417"/>
      <c r="O87" s="417"/>
      <c r="P87" s="417"/>
      <c r="Q87" s="417"/>
      <c r="R87" s="414"/>
      <c r="S87" s="414"/>
      <c r="T87" s="414"/>
      <c r="U87" s="500"/>
      <c r="V87" s="500"/>
      <c r="W87" s="414"/>
      <c r="X87" s="414"/>
      <c r="Y87" s="414"/>
      <c r="Z87" s="500"/>
      <c r="AA87" s="500"/>
      <c r="AB87" s="23"/>
      <c r="AC87" s="23"/>
      <c r="AD87" s="23"/>
      <c r="AG87" s="23"/>
      <c r="AH87" s="23"/>
      <c r="AI87" s="23"/>
    </row>
    <row r="88" spans="1:35">
      <c r="A88" s="45"/>
      <c r="B88" s="45"/>
      <c r="C88" s="45"/>
      <c r="D88" s="45"/>
      <c r="E88" s="45"/>
      <c r="F88" s="45"/>
      <c r="G88" s="45"/>
      <c r="H88" s="45"/>
      <c r="I88" s="45"/>
      <c r="J88" s="45"/>
      <c r="K88" s="45" t="s">
        <v>849</v>
      </c>
      <c r="L88" s="45"/>
      <c r="M88" s="45"/>
      <c r="N88" s="45"/>
      <c r="O88" s="45"/>
      <c r="P88" s="45"/>
      <c r="Q88" s="45"/>
      <c r="R88" s="23"/>
      <c r="S88" s="23"/>
      <c r="T88" s="23"/>
      <c r="W88" s="23"/>
      <c r="X88" s="23"/>
      <c r="Y88" s="23"/>
      <c r="AB88" s="23"/>
      <c r="AC88" s="23"/>
      <c r="AD88" s="23"/>
      <c r="AG88" s="23"/>
      <c r="AH88" s="23"/>
      <c r="AI88" s="23"/>
    </row>
    <row r="89" spans="1:35">
      <c r="B89" s="45"/>
      <c r="C89" s="45"/>
      <c r="D89" s="45"/>
      <c r="E89" s="45"/>
      <c r="F89" s="45"/>
      <c r="G89" s="45"/>
      <c r="H89" s="45"/>
      <c r="I89" s="45"/>
      <c r="J89" s="45"/>
      <c r="K89" s="45"/>
      <c r="L89" s="45"/>
      <c r="R89" s="23"/>
      <c r="S89" s="23"/>
      <c r="T89" s="23"/>
      <c r="W89" s="23"/>
      <c r="X89" s="23"/>
      <c r="Y89" s="23"/>
      <c r="AB89" s="23"/>
      <c r="AC89" s="23"/>
      <c r="AD89" s="23"/>
      <c r="AG89" s="23"/>
      <c r="AH89" s="23"/>
      <c r="AI89" s="23"/>
    </row>
    <row r="90" spans="1:35">
      <c r="B90" s="45"/>
      <c r="C90" s="45"/>
      <c r="D90" s="45"/>
      <c r="E90" s="45"/>
      <c r="F90" s="45"/>
      <c r="G90" s="45"/>
      <c r="H90" s="45"/>
      <c r="I90" s="45"/>
      <c r="J90" s="45"/>
      <c r="K90" s="45"/>
      <c r="L90" s="45"/>
      <c r="R90" s="23"/>
      <c r="S90" s="23"/>
      <c r="T90" s="23"/>
      <c r="W90" s="23"/>
      <c r="X90" s="23"/>
      <c r="Y90" s="23"/>
      <c r="AB90" s="23"/>
      <c r="AC90" s="23"/>
      <c r="AD90" s="23"/>
      <c r="AG90" s="23"/>
      <c r="AH90" s="23"/>
      <c r="AI90" s="23"/>
    </row>
    <row r="91" spans="1:35">
      <c r="B91" s="45"/>
      <c r="C91" s="45"/>
      <c r="D91" s="45"/>
      <c r="E91" s="45"/>
      <c r="F91" s="45"/>
      <c r="G91" s="45"/>
      <c r="H91" s="45"/>
      <c r="I91" s="45"/>
      <c r="J91" s="45"/>
      <c r="K91" s="45"/>
      <c r="L91" s="45"/>
      <c r="R91" s="23"/>
      <c r="S91" s="23"/>
      <c r="T91" s="23"/>
      <c r="W91" s="23"/>
      <c r="X91" s="23"/>
      <c r="Y91" s="23"/>
      <c r="AB91" s="23"/>
      <c r="AC91" s="23"/>
      <c r="AD91" s="23"/>
      <c r="AG91" s="23"/>
      <c r="AH91" s="23"/>
      <c r="AI91" s="23"/>
    </row>
    <row r="92" spans="1:35">
      <c r="B92" s="45"/>
      <c r="C92" s="45"/>
      <c r="D92" s="45"/>
      <c r="E92" s="45"/>
      <c r="F92" s="45"/>
      <c r="G92" s="45"/>
      <c r="H92" s="45"/>
      <c r="I92" s="45"/>
      <c r="J92" s="45"/>
      <c r="K92" s="45"/>
      <c r="L92" s="45"/>
      <c r="R92" s="23"/>
      <c r="S92" s="23"/>
      <c r="T92" s="23"/>
      <c r="W92" s="23"/>
      <c r="X92" s="23"/>
      <c r="Y92" s="23"/>
      <c r="AB92" s="23"/>
      <c r="AC92" s="23"/>
      <c r="AD92" s="23"/>
      <c r="AG92" s="23"/>
      <c r="AH92" s="23"/>
      <c r="AI92" s="23"/>
    </row>
  </sheetData>
  <sheetProtection selectLockedCells="1"/>
  <phoneticPr fontId="6" type="noConversion"/>
  <conditionalFormatting sqref="E10">
    <cfRule type="cellIs" dxfId="78" priority="148" stopIfTrue="1" operator="notBetween">
      <formula>-200</formula>
      <formula>200</formula>
    </cfRule>
  </conditionalFormatting>
  <conditionalFormatting sqref="E34">
    <cfRule type="cellIs" dxfId="77" priority="145" stopIfTrue="1" operator="lessThan">
      <formula>$E$33</formula>
    </cfRule>
  </conditionalFormatting>
  <conditionalFormatting sqref="E30">
    <cfRule type="cellIs" dxfId="76" priority="141" stopIfTrue="1" operator="lessThan">
      <formula>$E$29</formula>
    </cfRule>
  </conditionalFormatting>
  <conditionalFormatting sqref="E31">
    <cfRule type="cellIs" dxfId="75" priority="140" stopIfTrue="1" operator="equal">
      <formula>0</formula>
    </cfRule>
  </conditionalFormatting>
  <conditionalFormatting sqref="E48">
    <cfRule type="cellIs" dxfId="74" priority="137" operator="notBetween">
      <formula>100</formula>
      <formula>4.5</formula>
    </cfRule>
    <cfRule type="cellIs" dxfId="73" priority="3" operator="greaterThanOrEqual">
      <formula>$E$6</formula>
    </cfRule>
  </conditionalFormatting>
  <conditionalFormatting sqref="E42">
    <cfRule type="cellIs" dxfId="72" priority="135" operator="lessThan">
      <formula>6</formula>
    </cfRule>
  </conditionalFormatting>
  <conditionalFormatting sqref="E42:F42">
    <cfRule type="expression" dxfId="71" priority="119">
      <formula>OR(MODE_SS=2,MODE_SS=3)</formula>
    </cfRule>
  </conditionalFormatting>
  <conditionalFormatting sqref="D42">
    <cfRule type="expression" dxfId="70" priority="118">
      <formula>OR(MODE_SS=2,MODE_SS=3)</formula>
    </cfRule>
  </conditionalFormatting>
  <conditionalFormatting sqref="D43:F43">
    <cfRule type="expression" dxfId="69" priority="117">
      <formula>OR(MODE_SS=2,MODE_SS=3)</formula>
    </cfRule>
  </conditionalFormatting>
  <conditionalFormatting sqref="D48">
    <cfRule type="expression" dxfId="68" priority="115">
      <formula>MODE_UVLO=2</formula>
    </cfRule>
  </conditionalFormatting>
  <conditionalFormatting sqref="E85">
    <cfRule type="cellIs" dxfId="67" priority="97" operator="notBetween">
      <formula>-40</formula>
      <formula>150</formula>
    </cfRule>
  </conditionalFormatting>
  <conditionalFormatting sqref="E83">
    <cfRule type="cellIs" dxfId="66" priority="96" operator="notBetween">
      <formula>-40</formula>
      <formula>150</formula>
    </cfRule>
  </conditionalFormatting>
  <conditionalFormatting sqref="F33">
    <cfRule type="cellIs" dxfId="65" priority="95" stopIfTrue="1" operator="lessThanOrEqual">
      <formula>0</formula>
    </cfRule>
  </conditionalFormatting>
  <conditionalFormatting sqref="F50:F51">
    <cfRule type="expression" dxfId="64" priority="87">
      <formula>MODE_UVLO=2</formula>
    </cfRule>
  </conditionalFormatting>
  <conditionalFormatting sqref="F29">
    <cfRule type="cellIs" dxfId="63" priority="77" stopIfTrue="1" operator="lessThanOrEqual">
      <formula>0</formula>
    </cfRule>
  </conditionalFormatting>
  <conditionalFormatting sqref="J51:J52">
    <cfRule type="cellIs" dxfId="62" priority="159" stopIfTrue="1" operator="notBetween">
      <formula>600</formula>
      <formula>50</formula>
    </cfRule>
    <cfRule type="cellIs" dxfId="61" priority="160" stopIfTrue="1" operator="greaterThan">
      <formula>$E$9</formula>
    </cfRule>
  </conditionalFormatting>
  <conditionalFormatting sqref="E12">
    <cfRule type="cellIs" dxfId="60" priority="75" operator="notBetween">
      <formula>-200</formula>
      <formula>200</formula>
    </cfRule>
  </conditionalFormatting>
  <conditionalFormatting sqref="E13">
    <cfRule type="expression" dxfId="59" priority="74">
      <formula>($E$12*$E$13)&lt;0</formula>
    </cfRule>
  </conditionalFormatting>
  <conditionalFormatting sqref="E35">
    <cfRule type="cellIs" dxfId="58" priority="69" stopIfTrue="1" operator="equal">
      <formula>0</formula>
    </cfRule>
  </conditionalFormatting>
  <conditionalFormatting sqref="D45">
    <cfRule type="expression" dxfId="57" priority="64">
      <formula>OR(TC=2)</formula>
    </cfRule>
  </conditionalFormatting>
  <conditionalFormatting sqref="D46:F46 E45:F45">
    <cfRule type="expression" dxfId="56" priority="63">
      <formula>OR(TC=2)</formula>
    </cfRule>
  </conditionalFormatting>
  <conditionalFormatting sqref="L35">
    <cfRule type="cellIs" dxfId="55" priority="57" stopIfTrue="1" operator="equal">
      <formula>0</formula>
    </cfRule>
  </conditionalFormatting>
  <conditionalFormatting sqref="L34">
    <cfRule type="cellIs" dxfId="54" priority="59" stopIfTrue="1" operator="lessThan">
      <formula>$L$33</formula>
    </cfRule>
  </conditionalFormatting>
  <conditionalFormatting sqref="M33">
    <cfRule type="cellIs" dxfId="53" priority="58" stopIfTrue="1" operator="lessThanOrEqual">
      <formula>0</formula>
    </cfRule>
  </conditionalFormatting>
  <conditionalFormatting sqref="W63">
    <cfRule type="cellIs" dxfId="52" priority="44" stopIfTrue="1" operator="notBetween">
      <formula>100</formula>
      <formula>4.5</formula>
    </cfRule>
  </conditionalFormatting>
  <conditionalFormatting sqref="E7">
    <cfRule type="cellIs" dxfId="51" priority="7" operator="notBetween">
      <formula>$E$6</formula>
      <formula>100</formula>
    </cfRule>
  </conditionalFormatting>
  <conditionalFormatting sqref="E8">
    <cfRule type="cellIs" dxfId="50" priority="41" operator="notBetween">
      <formula>$E$7</formula>
      <formula>100</formula>
    </cfRule>
  </conditionalFormatting>
  <conditionalFormatting sqref="E17">
    <cfRule type="cellIs" dxfId="49" priority="38" stopIfTrue="1" operator="greaterThan">
      <formula>$E$16</formula>
    </cfRule>
  </conditionalFormatting>
  <conditionalFormatting sqref="E58">
    <cfRule type="cellIs" dxfId="48" priority="25" operator="greaterThan">
      <formula>$E$57</formula>
    </cfRule>
  </conditionalFormatting>
  <conditionalFormatting sqref="E23">
    <cfRule type="cellIs" dxfId="47" priority="198" stopIfTrue="1" operator="lessThan">
      <formula>$E$22</formula>
    </cfRule>
  </conditionalFormatting>
  <conditionalFormatting sqref="E48:F49">
    <cfRule type="expression" dxfId="46" priority="21">
      <formula>OR(MODE_UVLO=2)</formula>
    </cfRule>
  </conditionalFormatting>
  <conditionalFormatting sqref="C50:E50">
    <cfRule type="expression" dxfId="45" priority="20">
      <formula>OR(MODE_UVLO=2)</formula>
    </cfRule>
  </conditionalFormatting>
  <conditionalFormatting sqref="C51:E51">
    <cfRule type="expression" dxfId="44" priority="19">
      <formula>OR(MODE_UVLO=2)</formula>
    </cfRule>
  </conditionalFormatting>
  <conditionalFormatting sqref="S31">
    <cfRule type="cellIs" dxfId="43" priority="13" operator="notBetween">
      <formula>0.3</formula>
      <formula>1.5</formula>
    </cfRule>
  </conditionalFormatting>
  <conditionalFormatting sqref="E80">
    <cfRule type="cellIs" dxfId="42" priority="12" operator="greaterThan">
      <formula>$E$81</formula>
    </cfRule>
  </conditionalFormatting>
  <conditionalFormatting sqref="E6">
    <cfRule type="cellIs" dxfId="41" priority="8" operator="notBetween">
      <formula>4.5</formula>
      <formula>100</formula>
    </cfRule>
  </conditionalFormatting>
  <conditionalFormatting sqref="E74">
    <cfRule type="cellIs" dxfId="40" priority="6" operator="lessThan">
      <formula>$E$10*1.03</formula>
    </cfRule>
  </conditionalFormatting>
  <conditionalFormatting sqref="L74">
    <cfRule type="cellIs" dxfId="39" priority="5" operator="lessThan">
      <formula>$E$12*1.03</formula>
    </cfRule>
  </conditionalFormatting>
  <conditionalFormatting sqref="E40">
    <cfRule type="cellIs" dxfId="38" priority="4" operator="notBetween">
      <formula>$E$39*0.969</formula>
      <formula>$E$39*1.031</formula>
    </cfRule>
  </conditionalFormatting>
  <conditionalFormatting sqref="E49">
    <cfRule type="cellIs" dxfId="37" priority="2" operator="greaterThanOrEqual">
      <formula>$E$48</formula>
    </cfRule>
    <cfRule type="cellIs" dxfId="36" priority="1" operator="notBetween">
      <formula>4.5</formula>
      <formula>100</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87"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1583" r:id="rId6" name="Drop Down 6111">
              <controlPr defaultSize="0" autoLine="0" autoPict="0">
                <anchor moveWithCells="1">
                  <from>
                    <xdr:col>24</xdr:col>
                    <xdr:colOff>304800</xdr:colOff>
                    <xdr:row>0</xdr:row>
                    <xdr:rowOff>412750</xdr:rowOff>
                  </from>
                  <to>
                    <xdr:col>25</xdr:col>
                    <xdr:colOff>222250</xdr:colOff>
                    <xdr:row>1</xdr:row>
                    <xdr:rowOff>63500</xdr:rowOff>
                  </to>
                </anchor>
              </controlPr>
            </control>
          </mc:Choice>
        </mc:AlternateContent>
        <mc:AlternateContent xmlns:mc="http://schemas.openxmlformats.org/markup-compatibility/2006">
          <mc:Choice Requires="x14">
            <control shapeId="672935" r:id="rId7" name="Drop Down 167">
              <controlPr defaultSize="0" autoLine="0" autoPict="0">
                <anchor moveWithCells="1">
                  <from>
                    <xdr:col>4</xdr:col>
                    <xdr:colOff>12700</xdr:colOff>
                    <xdr:row>40</xdr:row>
                    <xdr:rowOff>0</xdr:rowOff>
                  </from>
                  <to>
                    <xdr:col>5</xdr:col>
                    <xdr:colOff>279400</xdr:colOff>
                    <xdr:row>41</xdr:row>
                    <xdr:rowOff>31750</xdr:rowOff>
                  </to>
                </anchor>
              </controlPr>
            </control>
          </mc:Choice>
        </mc:AlternateContent>
        <mc:AlternateContent xmlns:mc="http://schemas.openxmlformats.org/markup-compatibility/2006">
          <mc:Choice Requires="x14">
            <control shapeId="673043" r:id="rId8" name="Drop Down 275">
              <controlPr defaultSize="0" autoLine="0" autoPict="0">
                <anchor moveWithCells="1">
                  <from>
                    <xdr:col>4</xdr:col>
                    <xdr:colOff>12700</xdr:colOff>
                    <xdr:row>46</xdr:row>
                    <xdr:rowOff>0</xdr:rowOff>
                  </from>
                  <to>
                    <xdr:col>5</xdr:col>
                    <xdr:colOff>260350</xdr:colOff>
                    <xdr:row>46</xdr:row>
                    <xdr:rowOff>203200</xdr:rowOff>
                  </to>
                </anchor>
              </controlPr>
            </control>
          </mc:Choice>
        </mc:AlternateContent>
        <mc:AlternateContent xmlns:mc="http://schemas.openxmlformats.org/markup-compatibility/2006">
          <mc:Choice Requires="x14">
            <control shapeId="697343" r:id="rId9" name="Drop Down 3071">
              <controlPr defaultSize="0" autoLine="0" autoPict="0">
                <anchor moveWithCells="1">
                  <from>
                    <xdr:col>11</xdr:col>
                    <xdr:colOff>12700</xdr:colOff>
                    <xdr:row>12</xdr:row>
                    <xdr:rowOff>0</xdr:rowOff>
                  </from>
                  <to>
                    <xdr:col>12</xdr:col>
                    <xdr:colOff>69850</xdr:colOff>
                    <xdr:row>13</xdr:row>
                    <xdr:rowOff>6350</xdr:rowOff>
                  </to>
                </anchor>
              </controlPr>
            </control>
          </mc:Choice>
        </mc:AlternateContent>
        <mc:AlternateContent xmlns:mc="http://schemas.openxmlformats.org/markup-compatibility/2006">
          <mc:Choice Requires="x14">
            <control shapeId="714798" r:id="rId10" name="Drop Down 3118">
              <controlPr defaultSize="0" autoLine="0" autoPict="0">
                <anchor moveWithCells="1">
                  <from>
                    <xdr:col>4</xdr:col>
                    <xdr:colOff>0</xdr:colOff>
                    <xdr:row>43</xdr:row>
                    <xdr:rowOff>12700</xdr:rowOff>
                  </from>
                  <to>
                    <xdr:col>5</xdr:col>
                    <xdr:colOff>266700</xdr:colOff>
                    <xdr:row>44</xdr:row>
                    <xdr:rowOff>12700</xdr:rowOff>
                  </to>
                </anchor>
              </controlPr>
            </control>
          </mc:Choice>
        </mc:AlternateContent>
        <mc:AlternateContent xmlns:mc="http://schemas.openxmlformats.org/markup-compatibility/2006">
          <mc:Choice Requires="x14">
            <control shapeId="715085" r:id="rId11"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672895" r:id="rId12" name="Spinner 127">
              <controlPr defaultSize="0" autoPict="0">
                <anchor moveWithCells="1" sizeWithCells="1">
                  <from>
                    <xdr:col>5</xdr:col>
                    <xdr:colOff>127000</xdr:colOff>
                    <xdr:row>6</xdr:row>
                    <xdr:rowOff>12700</xdr:rowOff>
                  </from>
                  <to>
                    <xdr:col>5</xdr:col>
                    <xdr:colOff>304800</xdr:colOff>
                    <xdr:row>7</xdr:row>
                    <xdr:rowOff>31750</xdr:rowOff>
                  </to>
                </anchor>
              </controlPr>
            </control>
          </mc:Choice>
        </mc:AlternateContent>
        <mc:AlternateContent xmlns:mc="http://schemas.openxmlformats.org/markup-compatibility/2006">
          <mc:Choice Requires="x14">
            <control shapeId="751280" r:id="rId13" name="Spinner 5808">
              <controlPr defaultSize="0" autoPict="0">
                <anchor moveWithCells="1" sizeWithCells="1">
                  <from>
                    <xdr:col>23</xdr:col>
                    <xdr:colOff>127000</xdr:colOff>
                    <xdr:row>62</xdr:row>
                    <xdr:rowOff>12700</xdr:rowOff>
                  </from>
                  <to>
                    <xdr:col>23</xdr:col>
                    <xdr:colOff>304800</xdr:colOff>
                    <xdr:row>63</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9" id="{2F97F2FF-95A0-40C5-B045-6ADA68EA7C2F}">
            <xm:f>'Variable Mgmt'!$B$74</xm:f>
            <x14:dxf>
              <font>
                <strike val="0"/>
                <color theme="0"/>
              </font>
              <fill>
                <patternFill>
                  <bgColor theme="0"/>
                </patternFill>
              </fill>
            </x14:dxf>
          </x14:cfRule>
          <xm:sqref>E12:E13</xm:sqref>
        </x14:conditionalFormatting>
        <x14:conditionalFormatting xmlns:xm="http://schemas.microsoft.com/office/excel/2006/main">
          <x14:cfRule type="expression" priority="191" id="{9B976DD7-FFA8-454F-A63D-186A721FDF9C}">
            <xm:f>'Variable Mgmt'!$B$74</xm:f>
            <x14:dxf>
              <border>
                <bottom/>
                <vertical/>
                <horizontal/>
              </border>
            </x14:dxf>
          </x14:cfRule>
          <xm:sqref>A12:F13 A14:D14 F14</xm:sqref>
        </x14:conditionalFormatting>
        <x14:conditionalFormatting xmlns:xm="http://schemas.microsoft.com/office/excel/2006/main">
          <x14:cfRule type="expression" priority="192" id="{25C53C6F-CE07-4419-8FCF-F6B8FCD8434A}">
            <xm:f>'Variable Mgmt'!$B$74</xm:f>
            <x14:dxf>
              <border>
                <right/>
                <vertical/>
                <horizontal/>
              </border>
            </x14:dxf>
          </x14:cfRule>
          <xm:sqref>F12:F14</xm:sqref>
        </x14:conditionalFormatting>
        <x14:conditionalFormatting xmlns:xm="http://schemas.microsoft.com/office/excel/2006/main">
          <x14:cfRule type="expression" priority="62" id="{56BB0655-3B2C-4E9D-AD05-7700A46C30F4}">
            <xm:f>'Variable Mgmt'!$B$74=FALSE</xm:f>
            <x14:dxf>
              <border>
                <bottom/>
                <vertical/>
                <horizontal/>
              </border>
            </x14:dxf>
          </x14:cfRule>
          <xm:sqref>A12:F12</xm:sqref>
        </x14:conditionalFormatting>
        <x14:conditionalFormatting xmlns:xm="http://schemas.microsoft.com/office/excel/2006/main">
          <x14:cfRule type="expression" priority="61" id="{7DE853EF-1754-4C48-A140-FF26B3EC5CF8}">
            <xm:f>'Variable Mgmt'!$B$74=FALSE</xm:f>
            <x14:dxf>
              <border>
                <bottom/>
                <vertical/>
                <horizontal/>
              </border>
            </x14:dxf>
          </x14:cfRule>
          <xm:sqref>A11:F11</xm:sqref>
        </x14:conditionalFormatting>
        <x14:conditionalFormatting xmlns:xm="http://schemas.microsoft.com/office/excel/2006/main">
          <x14:cfRule type="expression" priority="56" id="{18CE8F81-B526-43C7-B5F1-BAA9C73809CD}">
            <xm:f>'Variable Mgmt'!$B$74=TRUE</xm:f>
            <x14:dxf>
              <font>
                <color theme="0"/>
              </font>
              <fill>
                <patternFill>
                  <bgColor theme="0"/>
                </patternFill>
              </fill>
              <border>
                <right/>
                <top/>
                <bottom/>
              </border>
            </x14:dxf>
          </x14:cfRule>
          <xm:sqref>K33:M36</xm:sqref>
        </x14:conditionalFormatting>
        <x14:conditionalFormatting xmlns:xm="http://schemas.microsoft.com/office/excel/2006/main">
          <x14:cfRule type="expression" priority="55" id="{B42E45EE-F49B-4512-9DB9-8B85B95C6919}">
            <xm:f>'Variable Mgmt'!$B$74=TRUE</xm:f>
            <x14:dxf>
              <border>
                <left/>
                <right/>
                <top/>
                <bottom/>
                <vertical/>
                <horizontal/>
              </border>
            </x14:dxf>
          </x14:cfRule>
          <xm:sqref>H33:J36</xm:sqref>
        </x14:conditionalFormatting>
        <x14:conditionalFormatting xmlns:xm="http://schemas.microsoft.com/office/excel/2006/main">
          <x14:cfRule type="expression" priority="54" id="{8076779E-531E-4945-9FF1-9C72CDB0D6DC}">
            <xm:f>'Variable Mgmt'!$B$74=TRUE</xm:f>
            <x14:dxf>
              <border>
                <top/>
                <bottom/>
                <vertical/>
                <horizontal/>
              </border>
            </x14:dxf>
          </x14:cfRule>
          <xm:sqref>G34:G35</xm:sqref>
        </x14:conditionalFormatting>
        <x14:conditionalFormatting xmlns:xm="http://schemas.microsoft.com/office/excel/2006/main">
          <x14:cfRule type="expression" priority="195" id="{2E385B5D-C8C9-48C7-B4AE-E1A8F27EB6E6}">
            <xm:f>Lmin_abs*0.000001&gt;'Variable Mgmt'!$B$96</xm:f>
            <x14:dxf>
              <font>
                <strike/>
                <color rgb="FFFF0000"/>
              </font>
            </x14:dxf>
          </x14:cfRule>
          <xm:sqref>L7</xm:sqref>
        </x14:conditionalFormatting>
        <x14:conditionalFormatting xmlns:xm="http://schemas.microsoft.com/office/excel/2006/main">
          <x14:cfRule type="expression" priority="196" id="{EE277573-B7FD-4D2F-97C3-CC46EAD89E7B}">
            <xm:f>AND('Variable Mgmt'!#REF!&gt;'Variable Mgmt'!$B$78*1/1000, MODE=1)</xm:f>
            <x14:dxf>
              <font>
                <b/>
                <i val="0"/>
                <color rgb="FFFF0000"/>
              </font>
            </x14:dxf>
          </x14:cfRule>
          <xm:sqref>L13</xm:sqref>
        </x14:conditionalFormatting>
        <x14:conditionalFormatting xmlns:xm="http://schemas.microsoft.com/office/excel/2006/main">
          <x14:cfRule type="expression" priority="53" id="{DA50B535-B6B5-4DFB-9CBC-C505A48C7EB5}">
            <xm:f>'Variable Mgmt'!$B$74=TRUE</xm:f>
            <x14:dxf>
              <font>
                <color theme="0"/>
              </font>
              <fill>
                <patternFill>
                  <bgColor theme="0"/>
                </patternFill>
              </fill>
            </x14:dxf>
          </x14:cfRule>
          <xm:sqref>L10</xm:sqref>
        </x14:conditionalFormatting>
        <x14:conditionalFormatting xmlns:xm="http://schemas.microsoft.com/office/excel/2006/main">
          <x14:cfRule type="expression" priority="51" id="{2E35C64D-1122-4B17-B495-E52D781938E1}">
            <xm:f>'Variable Mgmt'!$D$83=TRUE</xm:f>
            <x14:dxf>
              <font>
                <strike val="0"/>
                <color theme="0"/>
              </font>
              <fill>
                <patternFill>
                  <bgColor rgb="FFFF0000"/>
                </patternFill>
              </fill>
            </x14:dxf>
          </x14:cfRule>
          <xm:sqref>L15:M16</xm:sqref>
        </x14:conditionalFormatting>
        <x14:conditionalFormatting xmlns:xm="http://schemas.microsoft.com/office/excel/2006/main">
          <x14:cfRule type="expression" priority="49" id="{961AC190-666C-40F1-AF0E-45247CECAC28}">
            <xm:f>AND('Variable Mgmt'!#REF!&gt;'Variable Mgmt'!$B$78*1/1000, MODE=1)</xm:f>
            <x14:dxf>
              <font>
                <color rgb="FFFF0000"/>
              </font>
            </x14:dxf>
          </x14:cfRule>
          <xm:sqref>L24</xm:sqref>
        </x14:conditionalFormatting>
        <x14:conditionalFormatting xmlns:xm="http://schemas.microsoft.com/office/excel/2006/main">
          <x14:cfRule type="expression" priority="48" id="{461050CF-E84A-487F-98EC-3FE96E53D0D0}">
            <xm:f>AND('Variable Mgmt'!#REF!&gt;'Variable Mgmt'!$B$78*1/1000, MODE=1)</xm:f>
            <x14:dxf>
              <font>
                <color rgb="FFFF0000"/>
              </font>
            </x14:dxf>
          </x14:cfRule>
          <xm:sqref>L22</xm:sqref>
        </x14:conditionalFormatting>
        <x14:conditionalFormatting xmlns:xm="http://schemas.microsoft.com/office/excel/2006/main">
          <x14:cfRule type="expression" priority="47" id="{901FFC11-0194-41BF-B5C0-646916E32353}">
            <xm:f>AND('Variable Mgmt'!#REF!&gt;'Variable Mgmt'!$B$78*1/1000, MODE=1)</xm:f>
            <x14:dxf>
              <font>
                <color rgb="FFFF0000"/>
              </font>
            </x14:dxf>
          </x14:cfRule>
          <xm:sqref>L25</xm:sqref>
        </x14:conditionalFormatting>
        <x14:conditionalFormatting xmlns:xm="http://schemas.microsoft.com/office/excel/2006/main">
          <x14:cfRule type="expression" priority="197" id="{FB76FAF3-E114-4E5D-9585-0FED8547CF75}">
            <xm:f>'Variable Mgmt'!$D$48=TRUE</xm:f>
            <x14:dxf>
              <font>
                <b/>
                <i val="0"/>
                <color theme="0"/>
              </font>
              <fill>
                <patternFill patternType="solid">
                  <fgColor auto="1"/>
                  <bgColor rgb="FFFF0000"/>
                </patternFill>
              </fill>
            </x14:dxf>
          </x14:cfRule>
          <xm:sqref>L16:M16</xm:sqref>
        </x14:conditionalFormatting>
        <x14:conditionalFormatting xmlns:xm="http://schemas.microsoft.com/office/excel/2006/main">
          <x14:cfRule type="expression" priority="36" id="{FDC5A767-D495-475A-B6AD-F3FAFB5256A1}">
            <xm:f>AND('Variable Mgmt'!#REF!&gt;'Variable Mgmt'!$B$78*1/1000, MODE=1)</xm:f>
            <x14:dxf>
              <font>
                <color rgb="FFFF0000"/>
              </font>
            </x14:dxf>
          </x14:cfRule>
          <xm:sqref>L11</xm:sqref>
        </x14:conditionalFormatting>
        <x14:conditionalFormatting xmlns:xm="http://schemas.microsoft.com/office/excel/2006/main">
          <x14:cfRule type="expression" priority="35" id="{004998DE-C112-4A16-9357-8F0E103D9C84}">
            <xm:f>'Variable Mgmt'!$D$83=TRUE</xm:f>
            <x14:dxf>
              <font>
                <strike val="0"/>
                <color theme="0"/>
              </font>
              <fill>
                <patternFill>
                  <bgColor rgb="FFFF0000"/>
                </patternFill>
              </fill>
            </x14:dxf>
          </x14:cfRule>
          <xm:sqref>L12:M12</xm:sqref>
        </x14:conditionalFormatting>
        <x14:conditionalFormatting xmlns:xm="http://schemas.microsoft.com/office/excel/2006/main">
          <x14:cfRule type="expression" priority="28" id="{F1CB057B-DEBD-4CC6-A39A-8CCF4EB9AEA4}">
            <xm:f>AND('Variable Mgmt'!#REF!&gt;'Variable Mgmt'!$B$78*1/1000, MODE=1)</xm:f>
            <x14:dxf>
              <font>
                <color rgb="FFFF0000"/>
              </font>
            </x14:dxf>
          </x14:cfRule>
          <xm:sqref>L23</xm:sqref>
        </x14:conditionalFormatting>
        <x14:conditionalFormatting xmlns:xm="http://schemas.microsoft.com/office/excel/2006/main">
          <x14:cfRule type="expression" priority="14" id="{3BB56539-2E3C-47E6-AE6B-0D4CFCA3E58F}">
            <xm:f>'Variable Mgmt'!$B$74=TRUE</xm:f>
            <x14:dxf>
              <font>
                <color theme="0"/>
              </font>
              <fill>
                <patternFill>
                  <bgColor theme="0"/>
                </patternFill>
              </fill>
              <border>
                <right/>
                <top/>
                <bottom/>
                <vertical/>
                <horizontal/>
              </border>
            </x14:dxf>
          </x14:cfRule>
          <xm:sqref>N29:T31</xm:sqref>
        </x14:conditionalFormatting>
        <x14:conditionalFormatting xmlns:xm="http://schemas.microsoft.com/office/excel/2006/main">
          <x14:cfRule type="expression" priority="11" id="{39327DC7-FED1-4A11-B0EB-9DA33BE59322}">
            <xm:f>AND('Variable Mgmt'!#REF!&gt;'Variable Mgmt'!$B$78*1/1000, MODE=1)</xm:f>
            <x14:dxf>
              <font>
                <color rgb="FFFF0000"/>
              </font>
            </x14:dxf>
          </x14:cfRule>
          <xm:sqref>L26</xm:sqref>
        </x14:conditionalFormatting>
        <x14:conditionalFormatting xmlns:xm="http://schemas.microsoft.com/office/excel/2006/main">
          <x14:cfRule type="expression" priority="10" id="{0343908F-1CE4-4778-868E-05BB939E0494}">
            <xm:f>'Variable Mgmt'!$B$74=TRUE</xm:f>
            <x14:dxf>
              <font>
                <color theme="0"/>
              </font>
              <fill>
                <patternFill>
                  <bgColor theme="0"/>
                </patternFill>
              </fill>
              <border>
                <right/>
                <top/>
                <bottom/>
                <vertical/>
                <horizontal/>
              </border>
            </x14:dxf>
          </x14:cfRule>
          <xm:sqref>G67:M70</xm:sqref>
        </x14:conditionalFormatting>
        <x14:conditionalFormatting xmlns:xm="http://schemas.microsoft.com/office/excel/2006/main">
          <x14:cfRule type="expression" priority="9" id="{1E57FB43-6A30-4541-BAF2-E52CAF5FFFA7}">
            <xm:f>'Variable Mgmt'!$B$74=TRUE</xm:f>
            <x14:dxf>
              <font>
                <color theme="0"/>
              </font>
              <fill>
                <patternFill>
                  <bgColor theme="0"/>
                </patternFill>
              </fill>
              <border>
                <right/>
                <top/>
                <bottom/>
                <vertical/>
                <horizontal/>
              </border>
            </x14:dxf>
          </x14:cfRule>
          <xm:sqref>G73:M77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Selection is out of reasonable range!" xr:uid="{DB9BF754-8A1C-46C6-8BD1-90DBE37CFCCE}">
          <x14:formula1>
            <xm:f>'Stability Calculations'!$A$49:$A$96</xm:f>
          </x14:formula1>
          <xm:sqref>E58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zoomScaleNormal="100" workbookViewId="0">
      <selection activeCell="D5" sqref="D5"/>
    </sheetView>
  </sheetViews>
  <sheetFormatPr defaultRowHeight="12.5"/>
  <cols>
    <col min="2" max="2" width="126.453125" customWidth="1"/>
  </cols>
  <sheetData>
    <row r="2" spans="1:2" ht="17.25" customHeight="1">
      <c r="A2" s="76" t="str">
        <f>CHOOSE(MODE, "EFF_SINGLE", "EFF_DUAL")</f>
        <v>EFF_DUAL</v>
      </c>
    </row>
    <row r="5" spans="1:2" ht="409.5" customHeight="1">
      <c r="B5" s="360"/>
    </row>
    <row r="6" spans="1:2" ht="17.149999999999999" customHeight="1"/>
    <row r="7" spans="1:2" ht="409.5" customHeight="1">
      <c r="B7" s="360"/>
    </row>
  </sheetData>
  <phoneticPr fontId="83"/>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B12" sqref="B12"/>
    </sheetView>
  </sheetViews>
  <sheetFormatPr defaultRowHeight="12.5"/>
  <cols>
    <col min="2" max="2" width="126.453125" customWidth="1"/>
  </cols>
  <sheetData>
    <row r="2" spans="1:2" ht="17.25" customHeight="1">
      <c r="A2" s="76" t="str">
        <f>CHOOSE(MODE, "Fsw_SINGLE", "Fsw_DUAL")</f>
        <v>Fsw_DUAL</v>
      </c>
    </row>
    <row r="5" spans="1:2" ht="409.5" customHeight="1">
      <c r="B5" s="360"/>
    </row>
    <row r="6" spans="1:2" ht="17.149999999999999" customHeight="1"/>
    <row r="7" spans="1:2" ht="409.5" customHeight="1">
      <c r="B7" s="360"/>
    </row>
  </sheetData>
  <phoneticPr fontId="83"/>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7"/>
  <sheetViews>
    <sheetView topLeftCell="A8" zoomScale="40" zoomScaleNormal="40" zoomScaleSheetLayoutView="145" workbookViewId="0">
      <selection activeCell="N13" sqref="N13"/>
    </sheetView>
  </sheetViews>
  <sheetFormatPr defaultRowHeight="12.5"/>
  <cols>
    <col min="1" max="1" width="12.7265625" style="360" customWidth="1"/>
    <col min="2" max="2" width="124.7265625" style="11" customWidth="1"/>
    <col min="3" max="4" width="9.1796875" style="360"/>
    <col min="5" max="5" width="124.7265625" style="7" customWidth="1"/>
    <col min="8" max="8" width="124.7265625" style="361" customWidth="1"/>
  </cols>
  <sheetData>
    <row r="2" spans="1:15">
      <c r="A2" s="360" t="str">
        <f>'Variable Mgmt'!K66</f>
        <v>SCH_DUAL_UVLOadj_SSadj_TCyes</v>
      </c>
    </row>
    <row r="5" spans="1:15" s="360" customFormat="1" ht="13.5" customHeight="1">
      <c r="E5" s="361"/>
      <c r="H5" s="361"/>
    </row>
    <row r="6" spans="1:15" s="360" customFormat="1" ht="16.5" customHeight="1">
      <c r="E6" s="361"/>
      <c r="H6" s="361"/>
    </row>
    <row r="7" spans="1:15" ht="357" customHeight="1">
      <c r="B7" s="12"/>
      <c r="E7" s="387"/>
      <c r="F7" s="11"/>
      <c r="G7" s="11"/>
      <c r="I7" s="11"/>
      <c r="J7" s="11"/>
      <c r="K7" s="11"/>
      <c r="L7" s="11"/>
      <c r="M7" s="11"/>
      <c r="N7" s="11"/>
    </row>
    <row r="8" spans="1:15" s="360" customFormat="1" ht="17.25" customHeight="1">
      <c r="B8" s="361"/>
      <c r="E8" s="361"/>
      <c r="H8" s="361"/>
      <c r="O8" s="362"/>
    </row>
    <row r="9" spans="1:15" ht="357" customHeight="1">
      <c r="B9" s="111"/>
      <c r="D9" s="361"/>
      <c r="E9" s="387"/>
      <c r="F9" s="360"/>
      <c r="G9" s="11"/>
      <c r="I9" s="11"/>
      <c r="J9" s="11"/>
      <c r="K9" s="11"/>
      <c r="L9" s="11"/>
      <c r="M9" s="11"/>
      <c r="N9" s="11"/>
      <c r="O9" s="363"/>
    </row>
    <row r="10" spans="1:15" s="360" customFormat="1">
      <c r="E10" s="361"/>
      <c r="H10" s="361"/>
    </row>
    <row r="11" spans="1:15" ht="357" customHeight="1">
      <c r="B11" s="387"/>
      <c r="D11" s="361"/>
      <c r="E11" s="361"/>
      <c r="F11" s="360"/>
      <c r="G11" s="11"/>
      <c r="I11" s="11"/>
      <c r="J11" s="11"/>
      <c r="K11" s="11"/>
      <c r="L11" s="11"/>
      <c r="M11" s="11"/>
      <c r="N11" s="11"/>
      <c r="O11" s="363"/>
    </row>
    <row r="12" spans="1:15">
      <c r="B12" s="360"/>
      <c r="E12" s="361"/>
      <c r="F12" s="360"/>
      <c r="G12" s="11"/>
      <c r="I12" s="11"/>
      <c r="J12" s="11"/>
      <c r="K12" s="11"/>
      <c r="L12" s="11"/>
      <c r="M12" s="11"/>
      <c r="N12" s="11"/>
    </row>
    <row r="13" spans="1:15" ht="357" customHeight="1">
      <c r="B13" s="387"/>
      <c r="E13" s="361"/>
      <c r="F13" s="360"/>
      <c r="G13" s="11"/>
      <c r="I13" s="11"/>
      <c r="J13" s="11"/>
      <c r="K13" s="11"/>
      <c r="L13" s="11"/>
      <c r="M13" s="11"/>
      <c r="N13" s="11"/>
      <c r="O13" s="363"/>
    </row>
    <row r="14" spans="1:15">
      <c r="B14" s="360"/>
      <c r="E14" s="361"/>
      <c r="F14" s="360"/>
      <c r="G14" s="11"/>
      <c r="I14" s="11"/>
      <c r="J14" s="11"/>
      <c r="K14" s="11"/>
      <c r="L14" s="11"/>
      <c r="M14" s="11"/>
      <c r="N14" s="11"/>
    </row>
    <row r="15" spans="1:15" ht="357" customHeight="1">
      <c r="E15" s="361"/>
      <c r="F15" s="360"/>
      <c r="G15" s="11"/>
      <c r="I15" s="11"/>
      <c r="J15" s="11"/>
      <c r="K15" s="11"/>
      <c r="L15" s="11"/>
      <c r="M15" s="11"/>
      <c r="N15" s="11"/>
      <c r="O15" s="363"/>
    </row>
    <row r="16" spans="1:15">
      <c r="B16" s="360"/>
      <c r="E16" s="361"/>
      <c r="F16" s="11"/>
      <c r="G16" s="11"/>
      <c r="I16" s="11"/>
      <c r="J16" s="11"/>
      <c r="K16" s="11"/>
      <c r="L16" s="11"/>
      <c r="M16" s="11"/>
      <c r="N16" s="11"/>
    </row>
    <row r="17" spans="2:15" ht="357" customHeight="1">
      <c r="B17" s="387"/>
      <c r="E17" s="361"/>
      <c r="F17" s="360"/>
      <c r="G17" s="11"/>
      <c r="I17" s="11"/>
      <c r="J17" s="11"/>
      <c r="K17" s="11"/>
      <c r="L17" s="11"/>
      <c r="M17" s="11"/>
      <c r="N17" s="11"/>
      <c r="O17" s="363"/>
    </row>
    <row r="18" spans="2:15" ht="12" customHeight="1">
      <c r="B18" s="360"/>
      <c r="E18" s="361"/>
      <c r="F18" s="11"/>
      <c r="G18" s="11"/>
      <c r="I18" s="11"/>
      <c r="J18" s="11"/>
      <c r="K18" s="11"/>
      <c r="L18" s="11"/>
      <c r="M18" s="11"/>
      <c r="N18" s="11"/>
    </row>
    <row r="19" spans="2:15" ht="357" customHeight="1">
      <c r="B19" s="360"/>
      <c r="E19" s="361"/>
      <c r="F19" s="11"/>
      <c r="G19" s="11"/>
      <c r="I19" s="11"/>
      <c r="J19" s="11"/>
      <c r="K19" s="11"/>
      <c r="L19" s="11"/>
      <c r="M19" s="11"/>
      <c r="N19" s="11"/>
    </row>
    <row r="20" spans="2:15" ht="13.5" customHeight="1">
      <c r="B20" s="360"/>
      <c r="E20" s="361"/>
      <c r="F20" s="11"/>
      <c r="G20" s="11"/>
      <c r="I20" s="11"/>
      <c r="J20" s="11"/>
      <c r="K20" s="11"/>
      <c r="L20" s="11"/>
      <c r="M20" s="11"/>
      <c r="N20" s="11"/>
    </row>
    <row r="21" spans="2:15" ht="357" customHeight="1">
      <c r="B21" s="360"/>
      <c r="E21" s="361"/>
      <c r="F21" s="11"/>
      <c r="G21" s="11"/>
      <c r="I21" s="11"/>
      <c r="J21" s="11"/>
      <c r="K21" s="11"/>
      <c r="L21" s="11"/>
      <c r="M21" s="11"/>
      <c r="N21" s="11"/>
    </row>
    <row r="22" spans="2:15">
      <c r="B22" s="360"/>
      <c r="E22" s="361"/>
      <c r="F22" s="11"/>
      <c r="G22" s="11"/>
      <c r="I22" s="11"/>
      <c r="J22" s="11"/>
      <c r="K22" s="11"/>
      <c r="L22" s="11"/>
      <c r="M22" s="11"/>
      <c r="N22" s="11"/>
    </row>
    <row r="23" spans="2:15" ht="357" customHeight="1">
      <c r="B23" s="360"/>
      <c r="E23" s="361"/>
      <c r="F23" s="11"/>
      <c r="G23" s="11"/>
      <c r="I23" s="11"/>
      <c r="J23" s="11"/>
      <c r="K23" s="11"/>
      <c r="L23" s="11"/>
      <c r="M23" s="11"/>
      <c r="N23" s="11"/>
    </row>
    <row r="24" spans="2:15">
      <c r="B24" s="360"/>
      <c r="E24" s="361"/>
      <c r="F24" s="11"/>
      <c r="G24" s="11"/>
      <c r="I24" s="11"/>
      <c r="J24" s="11"/>
      <c r="K24" s="11"/>
      <c r="L24" s="11"/>
      <c r="M24" s="11"/>
      <c r="N24" s="11"/>
    </row>
    <row r="25" spans="2:15" ht="327.75" customHeight="1">
      <c r="B25" s="360"/>
      <c r="E25" s="361"/>
      <c r="F25" s="11"/>
      <c r="G25" s="11"/>
      <c r="I25" s="11"/>
      <c r="J25" s="11"/>
      <c r="K25" s="11"/>
      <c r="L25" s="11"/>
      <c r="M25" s="11"/>
      <c r="N25" s="11"/>
    </row>
    <row r="26" spans="2:15">
      <c r="E26" s="361"/>
      <c r="F26" s="11"/>
      <c r="G26" s="11"/>
      <c r="I26" s="11"/>
      <c r="J26" s="11"/>
      <c r="K26" s="11"/>
      <c r="L26" s="11"/>
      <c r="M26" s="11"/>
      <c r="N26" s="11"/>
    </row>
    <row r="27" spans="2:15" ht="327.64999999999998" customHeight="1">
      <c r="B27" s="360"/>
      <c r="E27" s="361"/>
      <c r="F27" s="11"/>
      <c r="G27" s="11"/>
      <c r="I27" s="11"/>
      <c r="J27" s="11"/>
      <c r="K27" s="11"/>
      <c r="L27" s="11"/>
      <c r="M27" s="11"/>
      <c r="N27" s="11"/>
    </row>
    <row r="28" spans="2:15">
      <c r="B28" s="360"/>
      <c r="E28" s="361"/>
      <c r="F28" s="11"/>
      <c r="G28" s="11"/>
      <c r="I28" s="11"/>
      <c r="J28" s="11"/>
      <c r="K28" s="11"/>
      <c r="L28" s="11"/>
      <c r="M28" s="11"/>
      <c r="N28" s="11"/>
    </row>
    <row r="29" spans="2:15" ht="327.75" customHeight="1">
      <c r="B29" s="360"/>
      <c r="E29" s="361"/>
      <c r="F29" s="11"/>
      <c r="G29" s="11"/>
      <c r="I29" s="11"/>
      <c r="J29" s="11"/>
      <c r="K29" s="11"/>
      <c r="L29" s="11"/>
      <c r="M29" s="11"/>
      <c r="N29" s="11"/>
    </row>
    <row r="30" spans="2:15" ht="13.5" customHeight="1">
      <c r="B30" s="360"/>
      <c r="E30" s="361"/>
      <c r="F30" s="11"/>
      <c r="G30" s="11"/>
      <c r="I30" s="11"/>
      <c r="J30" s="11"/>
      <c r="K30" s="11"/>
      <c r="L30" s="11"/>
      <c r="M30" s="11"/>
      <c r="N30" s="11"/>
    </row>
    <row r="31" spans="2:15" ht="327.75" customHeight="1">
      <c r="B31" s="360"/>
      <c r="E31" s="361"/>
      <c r="F31" s="11"/>
      <c r="G31" s="11"/>
      <c r="I31" s="11"/>
      <c r="J31" s="11"/>
      <c r="K31" s="11"/>
      <c r="L31" s="11"/>
      <c r="M31" s="11"/>
      <c r="N31" s="11"/>
    </row>
    <row r="32" spans="2:15" ht="13.5" customHeight="1">
      <c r="B32" s="360"/>
      <c r="E32" s="361"/>
      <c r="F32" s="11"/>
      <c r="G32" s="11"/>
      <c r="I32" s="11"/>
      <c r="J32" s="11"/>
      <c r="K32" s="11"/>
      <c r="L32" s="11"/>
      <c r="M32" s="11"/>
      <c r="N32" s="11"/>
    </row>
    <row r="33" spans="2:20" ht="327.75" customHeight="1">
      <c r="B33" s="360"/>
      <c r="E33" s="361"/>
      <c r="F33" s="11"/>
      <c r="G33" s="11"/>
      <c r="I33" s="11"/>
      <c r="J33" s="11"/>
      <c r="K33" s="11"/>
      <c r="L33" s="11"/>
      <c r="M33" s="11"/>
      <c r="N33" s="11"/>
    </row>
    <row r="34" spans="2:20" ht="13.5" customHeight="1">
      <c r="B34" s="360"/>
      <c r="E34" s="361"/>
      <c r="F34" s="11"/>
      <c r="G34" s="11"/>
      <c r="I34" s="11"/>
      <c r="J34" s="11"/>
      <c r="K34" s="11"/>
      <c r="L34" s="11"/>
      <c r="M34" s="11"/>
      <c r="N34" s="11"/>
    </row>
    <row r="35" spans="2:20" ht="327.64999999999998" customHeight="1">
      <c r="B35" s="360"/>
      <c r="E35" s="361"/>
      <c r="F35" s="11"/>
      <c r="G35" s="11"/>
      <c r="I35" s="11"/>
      <c r="J35" s="11"/>
      <c r="K35" s="11"/>
      <c r="L35" s="11"/>
      <c r="M35" s="11"/>
      <c r="N35" s="11"/>
    </row>
    <row r="36" spans="2:20" ht="13.5" customHeight="1">
      <c r="B36" s="360"/>
      <c r="E36" s="361"/>
      <c r="F36" s="11"/>
      <c r="G36" s="11"/>
      <c r="I36" s="11"/>
      <c r="J36" s="11"/>
      <c r="K36" s="11"/>
      <c r="L36" s="11"/>
      <c r="M36" s="11"/>
      <c r="N36" s="11"/>
    </row>
    <row r="37" spans="2:20" ht="327.75" customHeight="1">
      <c r="B37" s="360"/>
      <c r="E37" s="361"/>
      <c r="F37" s="11"/>
      <c r="G37" s="11"/>
      <c r="I37" s="11"/>
      <c r="J37" s="11"/>
      <c r="K37" s="11"/>
      <c r="L37" s="11"/>
      <c r="M37" s="11"/>
      <c r="N37" s="11"/>
    </row>
    <row r="38" spans="2:20" ht="13.5" customHeight="1">
      <c r="B38" s="360"/>
      <c r="E38" s="361"/>
      <c r="F38" s="11"/>
      <c r="G38" s="364"/>
      <c r="I38" s="365"/>
      <c r="J38" s="11"/>
      <c r="K38" s="11"/>
      <c r="L38" s="11"/>
      <c r="M38" s="11"/>
      <c r="N38" s="11"/>
    </row>
    <row r="39" spans="2:20" ht="327.75" customHeight="1">
      <c r="B39" s="360"/>
      <c r="E39" s="361"/>
      <c r="F39" s="11"/>
      <c r="G39" s="11"/>
      <c r="I39" s="365"/>
      <c r="J39" s="11"/>
      <c r="K39" s="11"/>
      <c r="L39" s="11"/>
      <c r="M39" s="11"/>
      <c r="N39" s="11"/>
    </row>
    <row r="40" spans="2:20">
      <c r="B40" s="360"/>
      <c r="E40" s="361"/>
      <c r="F40" s="11"/>
      <c r="G40" s="11"/>
      <c r="I40" s="11"/>
      <c r="J40" s="11"/>
      <c r="K40" s="11"/>
      <c r="L40" s="11"/>
      <c r="M40" s="11"/>
      <c r="N40" s="11"/>
      <c r="O40" s="11"/>
      <c r="P40" s="11"/>
      <c r="Q40" s="13"/>
      <c r="S40" s="366"/>
      <c r="T40" s="366"/>
    </row>
    <row r="41" spans="2:20" ht="327.75" customHeight="1">
      <c r="B41" s="360"/>
      <c r="E41" s="361"/>
      <c r="F41" s="11"/>
      <c r="G41" s="11"/>
      <c r="I41" s="11"/>
      <c r="J41" s="11"/>
      <c r="K41" s="11"/>
      <c r="L41" s="11"/>
      <c r="M41" s="11"/>
      <c r="N41" s="11"/>
      <c r="O41" s="11"/>
      <c r="P41" s="11"/>
      <c r="Q41" s="13"/>
      <c r="S41" s="366"/>
    </row>
    <row r="42" spans="2:20">
      <c r="B42" s="360"/>
      <c r="E42" s="361"/>
      <c r="F42" s="11"/>
      <c r="G42" s="11"/>
      <c r="I42" s="11"/>
      <c r="J42" s="11"/>
      <c r="K42" s="11"/>
      <c r="L42" s="11"/>
      <c r="M42" s="11"/>
      <c r="N42" s="11"/>
      <c r="O42" s="11"/>
      <c r="P42" s="11"/>
      <c r="Q42" s="13"/>
      <c r="S42" s="366"/>
    </row>
    <row r="43" spans="2:20" ht="327.75" customHeight="1">
      <c r="B43" s="360"/>
      <c r="E43" s="361"/>
      <c r="F43" s="11"/>
      <c r="G43" s="11"/>
      <c r="I43" s="11"/>
      <c r="J43" s="11"/>
      <c r="K43" s="11"/>
      <c r="L43" s="11"/>
      <c r="M43" s="11"/>
      <c r="N43" s="11"/>
      <c r="O43" s="11"/>
      <c r="P43" s="11"/>
      <c r="Q43" s="13"/>
      <c r="S43" s="366"/>
    </row>
    <row r="44" spans="2:20">
      <c r="B44" s="360"/>
      <c r="E44" s="361"/>
      <c r="F44" s="11"/>
      <c r="G44" s="11"/>
      <c r="I44" s="11"/>
      <c r="J44" s="11"/>
      <c r="K44" s="11"/>
      <c r="L44" s="11"/>
      <c r="M44" s="11"/>
      <c r="N44" s="11"/>
      <c r="O44" s="11"/>
      <c r="P44" s="11"/>
      <c r="Q44" s="13"/>
      <c r="S44" s="366"/>
    </row>
    <row r="45" spans="2:20" ht="327.75" customHeight="1">
      <c r="B45" s="360"/>
      <c r="E45" s="361"/>
      <c r="F45" s="11"/>
      <c r="G45" s="11"/>
      <c r="I45" s="11"/>
      <c r="J45" s="11"/>
      <c r="K45" s="11"/>
      <c r="L45" s="11"/>
      <c r="M45" s="11"/>
      <c r="N45" s="11"/>
      <c r="O45" s="11"/>
      <c r="P45" s="11"/>
      <c r="Q45" s="13"/>
      <c r="S45" s="366"/>
    </row>
    <row r="46" spans="2:20">
      <c r="B46" s="360"/>
      <c r="E46" s="361"/>
      <c r="F46" s="11"/>
      <c r="G46" s="11"/>
      <c r="I46" s="11"/>
      <c r="J46" s="11"/>
      <c r="K46" s="11"/>
      <c r="L46" s="11"/>
      <c r="M46" s="11"/>
      <c r="N46" s="11"/>
      <c r="O46" s="11"/>
      <c r="P46" s="11"/>
      <c r="Q46" s="13"/>
      <c r="S46" s="366"/>
    </row>
    <row r="47" spans="2:20" ht="327.75" customHeight="1">
      <c r="B47" s="360"/>
      <c r="E47" s="361"/>
      <c r="F47" s="11"/>
      <c r="G47" s="11"/>
      <c r="I47" s="11"/>
      <c r="J47" s="11"/>
      <c r="K47" s="11"/>
      <c r="L47" s="11"/>
      <c r="M47" s="11"/>
      <c r="N47" s="11"/>
      <c r="O47" s="11"/>
      <c r="P47" s="11"/>
      <c r="Q47" s="13"/>
      <c r="S47" s="367"/>
    </row>
    <row r="48" spans="2:20">
      <c r="B48" s="360"/>
      <c r="E48" s="361"/>
      <c r="F48" s="11"/>
      <c r="G48" s="11"/>
      <c r="I48" s="11"/>
      <c r="J48" s="11"/>
      <c r="K48" s="11"/>
      <c r="L48" s="11"/>
      <c r="M48" s="11"/>
      <c r="N48" s="11"/>
      <c r="O48" s="11"/>
      <c r="P48" s="11"/>
      <c r="Q48" s="13"/>
      <c r="S48" s="366"/>
    </row>
    <row r="49" spans="2:19" ht="327.75" customHeight="1">
      <c r="B49" s="360"/>
      <c r="E49" s="361"/>
      <c r="F49" s="11"/>
      <c r="G49" s="11"/>
      <c r="I49" s="11"/>
      <c r="J49" s="11"/>
      <c r="K49" s="11"/>
      <c r="L49" s="11"/>
      <c r="M49" s="11"/>
      <c r="N49" s="11"/>
      <c r="O49" s="11"/>
      <c r="P49" s="11"/>
      <c r="Q49" s="13"/>
      <c r="S49" s="366"/>
    </row>
    <row r="50" spans="2:19">
      <c r="B50" s="360"/>
      <c r="E50" s="361"/>
      <c r="F50" s="11"/>
      <c r="G50" s="11"/>
      <c r="I50" s="11"/>
      <c r="J50" s="11"/>
      <c r="K50" s="11"/>
      <c r="L50" s="11"/>
      <c r="M50" s="11"/>
      <c r="N50" s="11"/>
      <c r="O50" s="11"/>
      <c r="P50" s="11"/>
      <c r="Q50" s="13"/>
      <c r="S50" s="366"/>
    </row>
    <row r="51" spans="2:19">
      <c r="B51" s="360"/>
      <c r="E51" s="361"/>
      <c r="F51" s="11"/>
      <c r="G51" s="11"/>
      <c r="I51" s="11"/>
      <c r="J51" s="11"/>
      <c r="K51" s="11"/>
      <c r="L51" s="11"/>
      <c r="M51" s="11"/>
      <c r="N51" s="11"/>
      <c r="O51" s="11"/>
      <c r="P51" s="11"/>
      <c r="Q51" s="13"/>
      <c r="S51" s="366"/>
    </row>
    <row r="52" spans="2:19">
      <c r="B52" s="360"/>
      <c r="E52" s="361"/>
      <c r="F52" s="11"/>
      <c r="G52" s="11"/>
      <c r="I52" s="11"/>
      <c r="J52" s="11"/>
      <c r="K52" s="11"/>
      <c r="L52" s="11"/>
      <c r="M52" s="11"/>
      <c r="N52" s="11"/>
      <c r="O52" s="11"/>
      <c r="P52" s="11"/>
      <c r="Q52" s="13"/>
      <c r="S52" s="366"/>
    </row>
    <row r="53" spans="2:19">
      <c r="B53" s="360"/>
      <c r="E53" s="361"/>
      <c r="F53" s="11"/>
      <c r="G53" s="11"/>
      <c r="I53" s="11"/>
      <c r="J53" s="11"/>
      <c r="K53" s="11"/>
      <c r="L53" s="11"/>
      <c r="M53" s="11"/>
      <c r="N53" s="11"/>
    </row>
    <row r="54" spans="2:19">
      <c r="B54" s="360"/>
      <c r="E54" s="361"/>
      <c r="F54" s="11"/>
      <c r="G54" s="11"/>
      <c r="I54" s="11"/>
      <c r="J54" s="11"/>
      <c r="K54" s="11"/>
      <c r="L54" s="11"/>
      <c r="M54" s="11"/>
      <c r="N54" s="11"/>
    </row>
    <row r="55" spans="2:19" ht="13">
      <c r="B55" s="360"/>
      <c r="E55" s="361"/>
      <c r="F55" s="11"/>
      <c r="G55" s="11"/>
      <c r="I55" s="11"/>
      <c r="J55" s="11"/>
      <c r="K55" s="11"/>
      <c r="L55" s="11"/>
      <c r="M55" s="11"/>
      <c r="N55" s="11"/>
      <c r="R55" s="14"/>
    </row>
    <row r="56" spans="2:19">
      <c r="B56" s="360"/>
      <c r="E56" s="361"/>
      <c r="F56" s="11"/>
      <c r="G56" s="11"/>
      <c r="I56" s="11"/>
      <c r="J56" s="11"/>
      <c r="K56" s="11"/>
      <c r="L56" s="11"/>
      <c r="M56" s="11"/>
      <c r="N56" s="11"/>
    </row>
    <row r="57" spans="2:19">
      <c r="B57" s="360"/>
      <c r="E57" s="361"/>
      <c r="F57" s="11"/>
      <c r="G57" s="11"/>
      <c r="I57" s="11"/>
      <c r="J57" s="11"/>
      <c r="K57" s="11"/>
      <c r="L57" s="11"/>
      <c r="M57" s="11"/>
      <c r="N57" s="11"/>
    </row>
    <row r="58" spans="2:19">
      <c r="E58" s="12"/>
      <c r="F58" s="11"/>
      <c r="G58" s="11"/>
      <c r="I58" s="11"/>
      <c r="J58" s="11"/>
      <c r="K58" s="11"/>
      <c r="L58" s="11"/>
      <c r="M58" s="11"/>
      <c r="N58" s="11"/>
    </row>
    <row r="59" spans="2:19">
      <c r="E59" s="12"/>
      <c r="F59" s="11"/>
      <c r="G59" s="11"/>
      <c r="I59" s="11"/>
      <c r="J59" s="11"/>
      <c r="K59" s="11"/>
      <c r="L59" s="11"/>
      <c r="M59" s="11"/>
      <c r="N59" s="11"/>
    </row>
    <row r="60" spans="2:19">
      <c r="E60" s="12"/>
      <c r="F60" s="11"/>
      <c r="G60" s="11"/>
      <c r="I60" s="11"/>
      <c r="J60" s="11"/>
      <c r="K60" s="11"/>
      <c r="L60" s="11"/>
      <c r="M60" s="11"/>
      <c r="N60" s="11"/>
    </row>
    <row r="61" spans="2:19">
      <c r="E61" s="12"/>
      <c r="F61" s="11"/>
      <c r="G61" s="11"/>
      <c r="I61" s="11"/>
      <c r="J61" s="11"/>
      <c r="K61" s="11"/>
      <c r="L61" s="11"/>
      <c r="M61" s="11"/>
      <c r="N61" s="11"/>
    </row>
    <row r="62" spans="2:19">
      <c r="E62" s="12"/>
      <c r="F62" s="11"/>
      <c r="G62" s="11"/>
      <c r="I62" s="11"/>
      <c r="J62" s="11"/>
      <c r="K62" s="11"/>
      <c r="L62" s="11"/>
      <c r="M62" s="11"/>
      <c r="N62" s="11"/>
    </row>
    <row r="63" spans="2:19">
      <c r="E63" s="12"/>
      <c r="F63" s="11"/>
      <c r="G63" s="11"/>
      <c r="I63" s="11"/>
      <c r="J63" s="11"/>
      <c r="K63" s="11"/>
      <c r="L63" s="11"/>
      <c r="M63" s="11"/>
      <c r="N63" s="11"/>
    </row>
    <row r="64" spans="2:19">
      <c r="E64" s="12"/>
      <c r="F64" s="11"/>
      <c r="G64" s="11"/>
      <c r="I64" s="11"/>
      <c r="J64" s="11"/>
      <c r="K64" s="11"/>
      <c r="L64" s="11"/>
      <c r="M64" s="11"/>
      <c r="N64" s="11"/>
    </row>
    <row r="65" spans="5:18">
      <c r="E65" s="12"/>
      <c r="F65" s="11"/>
      <c r="G65" s="11"/>
      <c r="I65" s="11"/>
      <c r="J65" s="11"/>
      <c r="K65" s="11"/>
      <c r="L65" s="11"/>
      <c r="M65" s="11"/>
      <c r="N65" s="11"/>
    </row>
    <row r="66" spans="5:18" ht="13">
      <c r="E66" s="12"/>
      <c r="F66" s="11"/>
      <c r="G66" s="11"/>
      <c r="I66" s="11"/>
      <c r="J66" s="11"/>
      <c r="K66" s="11"/>
      <c r="L66" s="11"/>
      <c r="M66" s="11"/>
      <c r="N66" s="11"/>
      <c r="R66" s="14"/>
    </row>
    <row r="67" spans="5:18">
      <c r="E67" s="12"/>
      <c r="F67" s="11"/>
      <c r="G67" s="11"/>
      <c r="I67" s="11"/>
      <c r="J67" s="11"/>
      <c r="K67" s="11"/>
      <c r="L67" s="11"/>
      <c r="M67" s="11"/>
      <c r="N67" s="11"/>
    </row>
  </sheetData>
  <sheetProtection sheet="1" objects="1" scenarios="1"/>
  <phoneticPr fontId="83"/>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O25" sqref="O25"/>
    </sheetView>
  </sheetViews>
  <sheetFormatPr defaultRowHeight="12.5"/>
  <cols>
    <col min="1" max="1" width="17.26953125" customWidth="1"/>
    <col min="2" max="2" width="12" bestFit="1" customWidth="1"/>
    <col min="8" max="8" width="12.1796875" customWidth="1"/>
    <col min="9" max="9" width="12.453125" bestFit="1" customWidth="1"/>
    <col min="10" max="10" width="15.453125" customWidth="1"/>
  </cols>
  <sheetData>
    <row r="2" spans="1:11">
      <c r="A2" t="s">
        <v>68</v>
      </c>
      <c r="B2" t="s">
        <v>66</v>
      </c>
      <c r="C2" t="s">
        <v>14</v>
      </c>
      <c r="D2" t="s">
        <v>28</v>
      </c>
      <c r="E2" t="s">
        <v>75</v>
      </c>
    </row>
    <row r="3" spans="1:11" ht="13">
      <c r="A3" t="s">
        <v>71</v>
      </c>
      <c r="B3">
        <f>Css</f>
        <v>1.0000000000000001E-7</v>
      </c>
      <c r="C3">
        <f>Cout</f>
        <v>10</v>
      </c>
      <c r="D3">
        <f>Cin</f>
        <v>40</v>
      </c>
      <c r="E3">
        <f>Cb</f>
        <v>0</v>
      </c>
      <c r="H3" t="s">
        <v>73</v>
      </c>
      <c r="I3" t="s">
        <v>74</v>
      </c>
      <c r="J3" s="3" t="s">
        <v>70</v>
      </c>
    </row>
    <row r="4" spans="1:11" ht="13">
      <c r="A4" s="6" t="s">
        <v>70</v>
      </c>
      <c r="B4" s="6">
        <f>SUM(B6:B158)/1000000000000</f>
        <v>9.9999999999999995E-8</v>
      </c>
      <c r="C4" s="6">
        <f>SUM(C6:C158)/1000000000000</f>
        <v>0</v>
      </c>
      <c r="D4" s="6">
        <f>SUM(D6:D158)/1000000000000</f>
        <v>0</v>
      </c>
      <c r="E4" s="6">
        <f>IF(E3="OPEN","OPEN",SUM(E6:E158)/1000000000000)</f>
        <v>0</v>
      </c>
      <c r="H4" s="76" t="s">
        <v>139</v>
      </c>
      <c r="I4" t="e">
        <f>Rt</f>
        <v>#NAME?</v>
      </c>
      <c r="J4" s="3" t="e">
        <f t="shared" ref="J4:J9" si="0">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7" t="s">
        <v>136</v>
      </c>
    </row>
    <row r="5" spans="1:11" ht="13">
      <c r="A5" t="s">
        <v>69</v>
      </c>
      <c r="J5" s="3"/>
      <c r="K5" s="17"/>
    </row>
    <row r="6" spans="1:11" ht="13">
      <c r="A6">
        <v>0.47</v>
      </c>
      <c r="B6">
        <f>IF(IF((B$3*10^12-$A7)*(B$3*10^12-$A6)*-1&lt;0,0,1)*IF(ABS(B$3*10^12-$A7)&gt;(B$3*10^12-$A6),$A6,$A7)=B7,0,IF((B$3*10^12-$A7)*(B$3*10^12-$A6)*-1&lt;0,0,1)*IF(ABS(B$3*10^12-$A7)&gt;(B$3*10^12-$A6),$A6,$A7))</f>
        <v>0</v>
      </c>
      <c r="C6">
        <f>IF(IF((C$3*10^12-$A7)*(C$3*10^12-$A6)*-1&lt;0,0,1)*IF(ABS(C$3*10^12-$A7)&gt;(C$3*10^12-$A6),$A6,$A7)=C7,0,IF((C$3*10^12-$A7)*(C$3*10^12-$A6)*-1&lt;0,0,1)*IF(ABS(C$3*10^12-$A7)&gt;(C$3*10^12-$A6),$A6,$A7))</f>
        <v>0</v>
      </c>
      <c r="D6">
        <f>IF(IF((D$3*10^12-$A7)*(D$3*10^12-$A6)*-1&lt;0,0,1)*IF(ABS(D$3*10^12-$A7)&gt;(D$3*10^12-$A6),$A6,$A7)=D7,0,IF((D$3*10^12-$A7)*(D$3*10^12-$A6)*-1&lt;0,0,1)*IF(ABS(D$3*10^12-$A7)&gt;(D$3*10^12-$A6),$A6,$A7))</f>
        <v>0</v>
      </c>
      <c r="E6">
        <f>IF(IF((E$3*10^12-$A7)*(E$3*10^12-$A6)*-1&lt;0,0,1)*IF(ABS(E$3*10^12-$A7)&gt;(E$3*10^12-$A6),$A6,$A7)=E7,0,IF((E$3*10^12-$A7)*(E$3*10^12-$A6)*-1&lt;0,0,1)*IF(ABS(E$3*10^12-$A7)&gt;(E$3*10^12-$A6),$A6,$A7))</f>
        <v>0</v>
      </c>
      <c r="H6" s="76" t="s">
        <v>162</v>
      </c>
      <c r="I6" t="e">
        <f>Rshunt</f>
        <v>#NAME?</v>
      </c>
      <c r="J6" s="3" t="e">
        <f t="shared" si="0"/>
        <v>#NAME?</v>
      </c>
      <c r="K6" s="17" t="s">
        <v>136</v>
      </c>
    </row>
    <row r="7" spans="1:11" ht="13">
      <c r="A7">
        <v>0.56000000000000005</v>
      </c>
      <c r="B7">
        <f t="shared" ref="B7:B70" si="1">IF(IF((B$3*10^12-$A8)*(B$3*10^12-$A7)*-1&lt;0,0,1)*IF(ABS(B$3*10^12-$A8)&gt;(B$3*10^12-$A7),$A7,$A8)=B8,0,IF((B$3*10^12-$A8)*(B$3*10^12-$A7)*-1&lt;0,0,1)*IF(ABS(B$3*10^12-$A8)&gt;(B$3*10^12-$A7),$A7,$A8))</f>
        <v>0</v>
      </c>
      <c r="C7">
        <f t="shared" ref="C7:C69" si="2">IF(IF((C$3*10^12-$A8)*(C$3*10^12-$A7)*-1&lt;0,0,1)*IF(ABS(C$3*10^12-$A8)&gt;(C$3*10^12-$A7),$A7,$A8)=C8,0,IF((C$3*10^12-$A8)*(C$3*10^12-$A7)*-1&lt;0,0,1)*IF(ABS(C$3*10^12-$A8)&gt;(C$3*10^12-$A7),$A7,$A8))</f>
        <v>0</v>
      </c>
      <c r="D7">
        <f t="shared" ref="D7:D69" si="3">IF(IF((D$3*10^12-$A8)*(D$3*10^12-$A7)*-1&lt;0,0,1)*IF(ABS(D$3*10^12-$A8)&gt;(D$3*10^12-$A7),$A7,$A8)=D8,0,IF((D$3*10^12-$A8)*(D$3*10^12-$A7)*-1&lt;0,0,1)*IF(ABS(D$3*10^12-$A8)&gt;(D$3*10^12-$A7),$A7,$A8))</f>
        <v>0</v>
      </c>
      <c r="E7">
        <f t="shared" ref="E7:E37" si="4">IF(IF((E$3*10^12-$A8)*(E$3*10^12-$A7)*-1&lt;0,0,1)*IF(ABS(E$3*10^12-$A8)&gt;(E$3*10^12-$A7),$A7,$A8)=E8,0,IF((E$3*10^12-$A8)*(E$3*10^12-$A7)*-1&lt;0,0,1)*IF(ABS(E$3*10^12-$A8)&gt;(E$3*10^12-$A7),$A7,$A8))</f>
        <v>0</v>
      </c>
      <c r="H7" t="s">
        <v>79</v>
      </c>
      <c r="I7">
        <v>6220.3534470000013</v>
      </c>
      <c r="J7" s="3">
        <f t="shared" si="0"/>
        <v>6190</v>
      </c>
      <c r="K7" s="17" t="s">
        <v>136</v>
      </c>
    </row>
    <row r="8" spans="1:11" ht="13">
      <c r="A8">
        <v>0.68</v>
      </c>
      <c r="B8">
        <f t="shared" si="1"/>
        <v>0</v>
      </c>
      <c r="C8">
        <f t="shared" si="2"/>
        <v>0</v>
      </c>
      <c r="D8">
        <f t="shared" si="3"/>
        <v>0</v>
      </c>
      <c r="E8">
        <f t="shared" si="4"/>
        <v>0</v>
      </c>
      <c r="J8" s="3"/>
      <c r="K8" s="17"/>
    </row>
    <row r="9" spans="1:11" ht="13">
      <c r="A9">
        <v>0.82</v>
      </c>
      <c r="B9">
        <f t="shared" si="1"/>
        <v>0</v>
      </c>
      <c r="C9">
        <f t="shared" si="2"/>
        <v>0</v>
      </c>
      <c r="D9">
        <f t="shared" si="3"/>
        <v>0</v>
      </c>
      <c r="E9">
        <f t="shared" si="4"/>
        <v>0</v>
      </c>
      <c r="H9" t="s">
        <v>377</v>
      </c>
      <c r="I9">
        <f>RTC_1</f>
        <v>1705999.9999999998</v>
      </c>
      <c r="J9" s="3">
        <f t="shared" si="0"/>
        <v>1690000</v>
      </c>
      <c r="K9" s="17" t="s">
        <v>136</v>
      </c>
    </row>
    <row r="10" spans="1:11" ht="13">
      <c r="A10">
        <v>1</v>
      </c>
      <c r="B10">
        <f t="shared" si="1"/>
        <v>0</v>
      </c>
      <c r="C10">
        <f t="shared" si="2"/>
        <v>0</v>
      </c>
      <c r="D10">
        <f t="shared" si="3"/>
        <v>0</v>
      </c>
      <c r="E10">
        <f t="shared" si="4"/>
        <v>0</v>
      </c>
      <c r="H10" t="s">
        <v>17</v>
      </c>
      <c r="I10">
        <f>Rfb</f>
        <v>85300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84500</v>
      </c>
      <c r="K10" s="17" t="s">
        <v>136</v>
      </c>
    </row>
    <row r="11" spans="1:11" ht="13">
      <c r="A11">
        <v>1.2</v>
      </c>
      <c r="B11">
        <f t="shared" si="1"/>
        <v>0</v>
      </c>
      <c r="C11">
        <f t="shared" si="2"/>
        <v>0</v>
      </c>
      <c r="D11">
        <f t="shared" si="3"/>
        <v>0</v>
      </c>
      <c r="E11">
        <f t="shared" si="4"/>
        <v>0</v>
      </c>
      <c r="J11" s="3"/>
    </row>
    <row r="12" spans="1:11" ht="13">
      <c r="A12">
        <v>1.5</v>
      </c>
      <c r="B12">
        <f t="shared" si="1"/>
        <v>0</v>
      </c>
      <c r="C12">
        <f t="shared" si="2"/>
        <v>0</v>
      </c>
      <c r="D12">
        <f t="shared" si="3"/>
        <v>0</v>
      </c>
      <c r="E12">
        <f t="shared" si="4"/>
        <v>0</v>
      </c>
      <c r="J12" s="3"/>
    </row>
    <row r="13" spans="1:11" ht="13">
      <c r="A13">
        <v>1.8</v>
      </c>
      <c r="B13">
        <f t="shared" si="1"/>
        <v>0</v>
      </c>
      <c r="C13">
        <f t="shared" si="2"/>
        <v>0</v>
      </c>
      <c r="D13">
        <f t="shared" si="3"/>
        <v>0</v>
      </c>
      <c r="E13">
        <f t="shared" si="4"/>
        <v>0</v>
      </c>
      <c r="H13" s="76"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7" t="s">
        <v>161</v>
      </c>
    </row>
    <row r="14" spans="1:11">
      <c r="A14">
        <v>2.2000000000000002</v>
      </c>
      <c r="B14">
        <f>IF(IF((B$3*10^12-$A15)*(B$3*10^12-$A14)*-1&lt;0,0,1)*IF(ABS(B$3*10^12-$A15)&gt;(B$3*10^12-$A14),$A14,$A15)=B15,0,IF((B$3*10^12-$A15)*(B$3*10^12-$A14)*-1&lt;0,0,1)*IF(ABS(B$3*10^12-$A15)&gt;(B$3*10^12-$A14),$A14,$A15))</f>
        <v>0</v>
      </c>
      <c r="C14">
        <f>IF(IF((C$3*10^12-$A15)*(C$3*10^12-$A14)*-1&lt;0,0,1)*IF(ABS(C$3*10^12-$A15)&gt;(C$3*10^12-$A14),$A14,$A15)=C15,0,IF((C$3*10^12-$A15)*(C$3*10^12-$A14)*-1&lt;0,0,1)*IF(ABS(C$3*10^12-$A15)&gt;(C$3*10^12-$A14),$A14,$A15))</f>
        <v>0</v>
      </c>
      <c r="D14">
        <f>IF(IF((D$3*10^12-$A15)*(D$3*10^12-$A14)*-1&lt;0,0,1)*IF(ABS(D$3*10^12-$A15)&gt;(D$3*10^12-$A14),$A14,$A15)=D15,0,IF((D$3*10^12-$A15)*(D$3*10^12-$A14)*-1&lt;0,0,1)*IF(ABS(D$3*10^12-$A15)&gt;(D$3*10^12-$A14),$A14,$A15))</f>
        <v>0</v>
      </c>
      <c r="E14">
        <f>IF(IF((E$3*10^12-$A15)*(E$3*10^12-$A14)*-1&lt;0,0,1)*IF(ABS(E$3*10^12-$A15)&gt;(E$3*10^12-$A14),$A14,$A15)=E15,0,IF((E$3*10^12-$A15)*(E$3*10^12-$A14)*-1&lt;0,0,1)*IF(ABS(E$3*10^12-$A15)&gt;(E$3*10^12-$A14),$A14,$A15))</f>
        <v>0</v>
      </c>
      <c r="H14" s="76" t="s">
        <v>160</v>
      </c>
      <c r="I14" t="e">
        <f>Cslope_ideal</f>
        <v>#NAME?</v>
      </c>
      <c r="J14" t="e">
        <f>#REF!*1000000000000</f>
        <v>#REF!</v>
      </c>
      <c r="K14" s="76" t="s">
        <v>15</v>
      </c>
    </row>
    <row r="15" spans="1:11">
      <c r="A15">
        <v>2.7</v>
      </c>
      <c r="B15">
        <f t="shared" si="1"/>
        <v>0</v>
      </c>
      <c r="C15">
        <f t="shared" si="2"/>
        <v>0</v>
      </c>
      <c r="D15">
        <f t="shared" si="3"/>
        <v>0</v>
      </c>
      <c r="E15">
        <f t="shared" si="4"/>
        <v>0</v>
      </c>
    </row>
    <row r="16" spans="1:11" ht="13">
      <c r="A16">
        <v>3.3</v>
      </c>
      <c r="B16">
        <f t="shared" si="1"/>
        <v>0</v>
      </c>
      <c r="C16">
        <f t="shared" si="2"/>
        <v>0</v>
      </c>
      <c r="D16">
        <f t="shared" si="3"/>
        <v>0</v>
      </c>
      <c r="E16">
        <f t="shared" si="4"/>
        <v>0</v>
      </c>
      <c r="H16" s="76" t="s">
        <v>130</v>
      </c>
      <c r="I16">
        <f>Ruvlo1</f>
        <v>146.66666666666669</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147</v>
      </c>
      <c r="K16" s="17" t="s">
        <v>113</v>
      </c>
    </row>
    <row r="17" spans="1:11" ht="13">
      <c r="A17">
        <v>3.9</v>
      </c>
      <c r="B17">
        <f t="shared" si="1"/>
        <v>0</v>
      </c>
      <c r="C17">
        <f t="shared" si="2"/>
        <v>0</v>
      </c>
      <c r="D17">
        <f t="shared" si="3"/>
        <v>0</v>
      </c>
      <c r="E17">
        <f t="shared" si="4"/>
        <v>0</v>
      </c>
      <c r="H17" s="76" t="s">
        <v>131</v>
      </c>
      <c r="I17" s="173">
        <f>Ruvlo2</f>
        <v>33.92307692307692</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34</v>
      </c>
      <c r="K17" s="17" t="s">
        <v>113</v>
      </c>
    </row>
    <row r="18" spans="1:11" ht="13">
      <c r="A18">
        <v>4.7</v>
      </c>
      <c r="B18">
        <f t="shared" si="1"/>
        <v>0</v>
      </c>
      <c r="C18">
        <f t="shared" si="2"/>
        <v>0</v>
      </c>
      <c r="D18">
        <f t="shared" si="3"/>
        <v>0</v>
      </c>
      <c r="E18">
        <f t="shared" si="4"/>
        <v>0</v>
      </c>
      <c r="H18" s="76" t="s">
        <v>295</v>
      </c>
      <c r="I18" s="173"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7" t="s">
        <v>113</v>
      </c>
    </row>
    <row r="19" spans="1:11">
      <c r="A19">
        <v>5.6</v>
      </c>
      <c r="B19">
        <f t="shared" si="1"/>
        <v>0</v>
      </c>
      <c r="C19">
        <f t="shared" si="2"/>
        <v>0</v>
      </c>
      <c r="D19">
        <f t="shared" si="3"/>
        <v>0</v>
      </c>
      <c r="E19">
        <f t="shared" si="4"/>
        <v>0</v>
      </c>
    </row>
    <row r="20" spans="1:11" ht="13">
      <c r="A20">
        <v>6.8</v>
      </c>
      <c r="B20">
        <f t="shared" si="1"/>
        <v>0</v>
      </c>
      <c r="C20">
        <f t="shared" si="2"/>
        <v>0</v>
      </c>
      <c r="D20">
        <f t="shared" si="3"/>
        <v>0</v>
      </c>
      <c r="E20">
        <f t="shared" si="4"/>
        <v>0</v>
      </c>
      <c r="H20" s="76"/>
      <c r="J20" s="3"/>
    </row>
    <row r="21" spans="1:11" ht="13">
      <c r="A21">
        <v>8.1999999999999993</v>
      </c>
      <c r="B21">
        <f t="shared" si="1"/>
        <v>0</v>
      </c>
      <c r="C21">
        <f t="shared" si="2"/>
        <v>0</v>
      </c>
      <c r="D21">
        <f t="shared" si="3"/>
        <v>0</v>
      </c>
      <c r="E21">
        <f t="shared" si="4"/>
        <v>0</v>
      </c>
      <c r="J21" s="3"/>
    </row>
    <row r="22" spans="1:11" ht="13">
      <c r="A22">
        <v>10</v>
      </c>
      <c r="B22">
        <f t="shared" si="1"/>
        <v>0</v>
      </c>
      <c r="C22">
        <f t="shared" si="2"/>
        <v>0</v>
      </c>
      <c r="D22">
        <f t="shared" si="3"/>
        <v>0</v>
      </c>
      <c r="E22">
        <f t="shared" si="4"/>
        <v>0</v>
      </c>
      <c r="H22" s="76"/>
      <c r="J22" s="3"/>
      <c r="K22" s="17"/>
    </row>
    <row r="23" spans="1:11" ht="13">
      <c r="A23">
        <v>12</v>
      </c>
      <c r="B23">
        <f t="shared" si="1"/>
        <v>0</v>
      </c>
      <c r="C23">
        <f t="shared" si="2"/>
        <v>0</v>
      </c>
      <c r="D23">
        <f t="shared" si="3"/>
        <v>0</v>
      </c>
      <c r="E23">
        <f t="shared" si="4"/>
        <v>0</v>
      </c>
      <c r="H23" t="s">
        <v>898</v>
      </c>
      <c r="I23">
        <f>'Calculations - Single'!H329</f>
        <v>-1893.2568135002375</v>
      </c>
      <c r="J23" s="3" t="e">
        <f>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#NUM!</v>
      </c>
      <c r="K23" s="17" t="s">
        <v>136</v>
      </c>
    </row>
    <row r="24" spans="1:11" ht="13">
      <c r="A24">
        <v>15</v>
      </c>
      <c r="B24">
        <f t="shared" si="1"/>
        <v>0</v>
      </c>
      <c r="C24">
        <f t="shared" si="2"/>
        <v>0</v>
      </c>
      <c r="D24">
        <f t="shared" si="3"/>
        <v>0</v>
      </c>
      <c r="E24">
        <f t="shared" si="4"/>
        <v>0</v>
      </c>
      <c r="H24" t="s">
        <v>899</v>
      </c>
      <c r="I24">
        <f>'Calculations - Dual'!H329</f>
        <v>-1893.2568135002375</v>
      </c>
      <c r="J24" s="3" t="e">
        <f>IF(I24&gt;(INT(0.5+100*POWER(10,IF(96*(LOG(I24)-INT(LOG(I24)))-ROUND(96*(LOG(I24)-INT(LOG(I24))),0)&lt;0,ROUND(96*(LOG(I24)-INT(LOG(I24))),0)-1,ROUND(96*(LOG(I24)-INT(LOG(I24))),0))/96))*POWER(10,INT(LOG(I24))-2)+INT(0.5+100*POWER(10,(IF(96*(LOG(I24)-INT(LOG(I24)))-ROUND(96*(LOG(I24)-INT(LOG(I24))),0)&lt;0,ROUND(96*(LOG(I24)-INT(LOG(I24))),0)-1,ROUND(96*(LOG(I24)-INT(LOG(I24))),0))+1)/96))*POWER(10,INT(LOG(I24))-2))/2,INT(0.5+100*POWER(10,(IF(96*(LOG(I24)-INT(LOG(I24)))-ROUND(96*(LOG(I24)-INT(LOG(I24))),0)&lt;0,ROUND(96*(LOG(I24)-INT(LOG(I24))),0)-1,ROUND(96*(LOG(I24)-INT(LOG(I24))),0))+1)/96))*POWER(10,INT(LOG(I24))-2),INT(0.5+100*POWER(10,IF(96*(LOG(I24)-INT(LOG(I24)))-ROUND(96*(LOG(I24)-INT(LOG(I24))),0)&lt;0,ROUND(96*(LOG(I24)-INT(LOG(I24))),0)-1,ROUND(96*(LOG(I24)-INT(LOG(I24))),0))/96))*POWER(10,INT(LOG(I24))-2))</f>
        <v>#NUM!</v>
      </c>
    </row>
    <row r="25" spans="1:11" ht="13">
      <c r="A25">
        <v>18</v>
      </c>
      <c r="B25">
        <f t="shared" si="1"/>
        <v>0</v>
      </c>
      <c r="C25">
        <f t="shared" si="2"/>
        <v>0</v>
      </c>
      <c r="D25">
        <f t="shared" si="3"/>
        <v>0</v>
      </c>
      <c r="E25">
        <f t="shared" si="4"/>
        <v>0</v>
      </c>
      <c r="H25" s="76" t="s">
        <v>900</v>
      </c>
      <c r="I25">
        <f>'Calculations - Dual'!O329</f>
        <v>-154.23575129533683</v>
      </c>
      <c r="J25" s="3" t="e">
        <f>IF(I25&gt;(INT(0.5+100*POWER(10,IF(96*(LOG(I25)-INT(LOG(I25)))-ROUND(96*(LOG(I25)-INT(LOG(I25))),0)&lt;0,ROUND(96*(LOG(I25)-INT(LOG(I25))),0)-1,ROUND(96*(LOG(I25)-INT(LOG(I25))),0))/96))*POWER(10,INT(LOG(I25))-2)+INT(0.5+100*POWER(10,(IF(96*(LOG(I25)-INT(LOG(I25)))-ROUND(96*(LOG(I25)-INT(LOG(I25))),0)&lt;0,ROUND(96*(LOG(I25)-INT(LOG(I25))),0)-1,ROUND(96*(LOG(I25)-INT(LOG(I25))),0))+1)/96))*POWER(10,INT(LOG(I25))-2))/2,INT(0.5+100*POWER(10,(IF(96*(LOG(I25)-INT(LOG(I25)))-ROUND(96*(LOG(I25)-INT(LOG(I25))),0)&lt;0,ROUND(96*(LOG(I25)-INT(LOG(I25))),0)-1,ROUND(96*(LOG(I25)-INT(LOG(I25))),0))+1)/96))*POWER(10,INT(LOG(I25))-2),INT(0.5+100*POWER(10,IF(96*(LOG(I25)-INT(LOG(I25)))-ROUND(96*(LOG(I25)-INT(LOG(I25))),0)&lt;0,ROUND(96*(LOG(I25)-INT(LOG(I25))),0)-1,ROUND(96*(LOG(I25)-INT(LOG(I25))),0))/96))*POWER(10,INT(LOG(I25))-2))</f>
        <v>#NUM!</v>
      </c>
      <c r="K25" s="17"/>
    </row>
    <row r="26" spans="1:11">
      <c r="A26">
        <v>22</v>
      </c>
      <c r="B26">
        <f t="shared" si="1"/>
        <v>0</v>
      </c>
      <c r="C26">
        <f t="shared" si="2"/>
        <v>0</v>
      </c>
      <c r="D26">
        <f t="shared" si="3"/>
        <v>0</v>
      </c>
      <c r="E26">
        <f t="shared" si="4"/>
        <v>0</v>
      </c>
    </row>
    <row r="27" spans="1:11">
      <c r="A27">
        <v>27</v>
      </c>
      <c r="B27">
        <f t="shared" si="1"/>
        <v>0</v>
      </c>
      <c r="C27">
        <f t="shared" si="2"/>
        <v>0</v>
      </c>
      <c r="D27">
        <f t="shared" si="3"/>
        <v>0</v>
      </c>
      <c r="E27">
        <f t="shared" si="4"/>
        <v>0</v>
      </c>
      <c r="H27" t="s">
        <v>901</v>
      </c>
      <c r="I27">
        <f>'Calculations - Single'!G327</f>
        <v>0.17066666666666666</v>
      </c>
    </row>
    <row r="28" spans="1:11" ht="13">
      <c r="A28">
        <v>33</v>
      </c>
      <c r="B28">
        <f t="shared" si="1"/>
        <v>0</v>
      </c>
      <c r="C28">
        <f t="shared" si="2"/>
        <v>0</v>
      </c>
      <c r="D28">
        <f t="shared" si="3"/>
        <v>0</v>
      </c>
      <c r="E28">
        <f t="shared" si="4"/>
        <v>0</v>
      </c>
      <c r="H28" s="76" t="s">
        <v>902</v>
      </c>
      <c r="I28">
        <f>'Calculations - Dual'!G327</f>
        <v>0.17066666666666666</v>
      </c>
      <c r="K28" s="17"/>
    </row>
    <row r="29" spans="1:11">
      <c r="A29">
        <v>39</v>
      </c>
      <c r="B29">
        <f t="shared" si="1"/>
        <v>0</v>
      </c>
      <c r="C29">
        <f t="shared" si="2"/>
        <v>0</v>
      </c>
      <c r="D29">
        <f t="shared" si="3"/>
        <v>0</v>
      </c>
      <c r="E29">
        <f t="shared" si="4"/>
        <v>0</v>
      </c>
      <c r="H29" s="76" t="s">
        <v>903</v>
      </c>
      <c r="I29">
        <f>'Calculations - Dual'!N327</f>
        <v>0.17066666666666666</v>
      </c>
      <c r="K29" s="76"/>
    </row>
    <row r="30" spans="1:11">
      <c r="A30">
        <v>47</v>
      </c>
      <c r="B30">
        <f t="shared" si="1"/>
        <v>0</v>
      </c>
      <c r="C30">
        <f t="shared" si="2"/>
        <v>0</v>
      </c>
      <c r="D30">
        <f t="shared" si="3"/>
        <v>0</v>
      </c>
      <c r="E30">
        <f t="shared" si="4"/>
        <v>0</v>
      </c>
      <c r="H30" s="4"/>
      <c r="K30" s="76"/>
    </row>
    <row r="31" spans="1:11" ht="13">
      <c r="A31">
        <v>56</v>
      </c>
      <c r="B31">
        <f t="shared" si="1"/>
        <v>0</v>
      </c>
      <c r="C31">
        <f t="shared" si="2"/>
        <v>0</v>
      </c>
      <c r="D31">
        <f t="shared" si="3"/>
        <v>0</v>
      </c>
      <c r="E31">
        <f t="shared" si="4"/>
        <v>0</v>
      </c>
      <c r="H31" s="4"/>
      <c r="K31" s="17"/>
    </row>
    <row r="32" spans="1:11">
      <c r="A32">
        <v>68</v>
      </c>
      <c r="B32">
        <f t="shared" si="1"/>
        <v>0</v>
      </c>
      <c r="C32">
        <f t="shared" si="2"/>
        <v>0</v>
      </c>
      <c r="D32">
        <f t="shared" si="3"/>
        <v>0</v>
      </c>
      <c r="E32">
        <f t="shared" si="4"/>
        <v>0</v>
      </c>
      <c r="H32" s="4"/>
      <c r="K32" s="76"/>
    </row>
    <row r="33" spans="1:8">
      <c r="A33">
        <v>82</v>
      </c>
      <c r="B33">
        <f t="shared" si="1"/>
        <v>0</v>
      </c>
      <c r="C33">
        <f t="shared" si="2"/>
        <v>0</v>
      </c>
      <c r="D33">
        <f t="shared" si="3"/>
        <v>0</v>
      </c>
      <c r="E33">
        <f t="shared" si="4"/>
        <v>0</v>
      </c>
    </row>
    <row r="34" spans="1:8">
      <c r="A34">
        <f>A22*10</f>
        <v>100</v>
      </c>
      <c r="B34">
        <f t="shared" si="1"/>
        <v>0</v>
      </c>
      <c r="C34">
        <f t="shared" si="2"/>
        <v>0</v>
      </c>
      <c r="D34">
        <f t="shared" si="3"/>
        <v>0</v>
      </c>
      <c r="E34">
        <f t="shared" si="4"/>
        <v>0</v>
      </c>
      <c r="H34" s="76"/>
    </row>
    <row r="35" spans="1:8">
      <c r="A35">
        <f t="shared" ref="A35:A98" si="5">A23*10</f>
        <v>120</v>
      </c>
      <c r="B35">
        <f t="shared" si="1"/>
        <v>0</v>
      </c>
      <c r="C35">
        <f t="shared" si="2"/>
        <v>0</v>
      </c>
      <c r="D35">
        <f t="shared" si="3"/>
        <v>0</v>
      </c>
      <c r="E35">
        <f t="shared" si="4"/>
        <v>0</v>
      </c>
      <c r="H35" s="76"/>
    </row>
    <row r="36" spans="1:8">
      <c r="A36">
        <f t="shared" si="5"/>
        <v>150</v>
      </c>
      <c r="B36">
        <f t="shared" si="1"/>
        <v>0</v>
      </c>
      <c r="C36">
        <f t="shared" si="2"/>
        <v>0</v>
      </c>
      <c r="D36">
        <f t="shared" si="3"/>
        <v>0</v>
      </c>
      <c r="E36">
        <f t="shared" si="4"/>
        <v>0</v>
      </c>
    </row>
    <row r="37" spans="1:8">
      <c r="A37">
        <f t="shared" si="5"/>
        <v>180</v>
      </c>
      <c r="B37">
        <f t="shared" si="1"/>
        <v>0</v>
      </c>
      <c r="C37">
        <f t="shared" si="2"/>
        <v>0</v>
      </c>
      <c r="D37">
        <f t="shared" si="3"/>
        <v>0</v>
      </c>
      <c r="E37">
        <f t="shared" si="4"/>
        <v>0</v>
      </c>
    </row>
    <row r="38" spans="1:8">
      <c r="A38">
        <f t="shared" si="5"/>
        <v>220</v>
      </c>
      <c r="B38">
        <f t="shared" si="1"/>
        <v>0</v>
      </c>
      <c r="C38">
        <f t="shared" si="2"/>
        <v>0</v>
      </c>
      <c r="D38">
        <f t="shared" si="3"/>
        <v>0</v>
      </c>
      <c r="E38">
        <f t="shared" ref="E38:E69" si="6">IF(IF((E$3*10^12-$A39)*(E$3*10^12-$A38)*-1&lt;0,0,1)*IF(ABS(E$3*10^12-$A39)&gt;(E$3*10^12-$A38),$A38,$A39)=E39,0,IF((E$3*10^12-$A39)*(E$3*10^12-$A38)*-1&lt;0,0,1)*IF(ABS(E$3*10^12-$A39)&gt;(E$3*10^12-$A38),$A38,$A39))</f>
        <v>0</v>
      </c>
    </row>
    <row r="39" spans="1:8">
      <c r="A39">
        <f t="shared" si="5"/>
        <v>270</v>
      </c>
      <c r="B39">
        <f t="shared" si="1"/>
        <v>0</v>
      </c>
      <c r="C39">
        <f t="shared" si="2"/>
        <v>0</v>
      </c>
      <c r="D39">
        <f t="shared" si="3"/>
        <v>0</v>
      </c>
      <c r="E39">
        <f t="shared" si="6"/>
        <v>0</v>
      </c>
    </row>
    <row r="40" spans="1:8">
      <c r="A40">
        <f t="shared" si="5"/>
        <v>330</v>
      </c>
      <c r="B40">
        <f t="shared" si="1"/>
        <v>0</v>
      </c>
      <c r="C40">
        <f t="shared" si="2"/>
        <v>0</v>
      </c>
      <c r="D40">
        <f t="shared" si="3"/>
        <v>0</v>
      </c>
      <c r="E40">
        <f t="shared" si="6"/>
        <v>0</v>
      </c>
    </row>
    <row r="41" spans="1:8">
      <c r="A41">
        <f t="shared" si="5"/>
        <v>390</v>
      </c>
      <c r="B41">
        <f t="shared" si="1"/>
        <v>0</v>
      </c>
      <c r="C41">
        <f t="shared" si="2"/>
        <v>0</v>
      </c>
      <c r="D41">
        <f t="shared" si="3"/>
        <v>0</v>
      </c>
      <c r="E41">
        <f t="shared" si="6"/>
        <v>0</v>
      </c>
    </row>
    <row r="42" spans="1:8">
      <c r="A42">
        <f t="shared" si="5"/>
        <v>470</v>
      </c>
      <c r="B42">
        <f t="shared" si="1"/>
        <v>0</v>
      </c>
      <c r="C42">
        <f t="shared" si="2"/>
        <v>0</v>
      </c>
      <c r="D42">
        <f t="shared" si="3"/>
        <v>0</v>
      </c>
      <c r="E42">
        <f t="shared" si="6"/>
        <v>0</v>
      </c>
    </row>
    <row r="43" spans="1:8">
      <c r="A43">
        <f t="shared" si="5"/>
        <v>560</v>
      </c>
      <c r="B43">
        <f t="shared" si="1"/>
        <v>0</v>
      </c>
      <c r="C43">
        <f t="shared" si="2"/>
        <v>0</v>
      </c>
      <c r="D43">
        <f t="shared" si="3"/>
        <v>0</v>
      </c>
      <c r="E43">
        <f t="shared" si="6"/>
        <v>0</v>
      </c>
    </row>
    <row r="44" spans="1:8">
      <c r="A44">
        <f t="shared" si="5"/>
        <v>680</v>
      </c>
      <c r="B44">
        <f t="shared" si="1"/>
        <v>0</v>
      </c>
      <c r="C44">
        <f t="shared" si="2"/>
        <v>0</v>
      </c>
      <c r="D44">
        <f t="shared" si="3"/>
        <v>0</v>
      </c>
      <c r="E44">
        <f t="shared" si="6"/>
        <v>0</v>
      </c>
    </row>
    <row r="45" spans="1:8">
      <c r="A45">
        <f>A33*10</f>
        <v>820</v>
      </c>
      <c r="B45">
        <f t="shared" si="1"/>
        <v>0</v>
      </c>
      <c r="C45">
        <f t="shared" si="2"/>
        <v>0</v>
      </c>
      <c r="D45">
        <f t="shared" si="3"/>
        <v>0</v>
      </c>
      <c r="E45">
        <f t="shared" si="6"/>
        <v>0</v>
      </c>
    </row>
    <row r="46" spans="1:8">
      <c r="A46">
        <f t="shared" si="5"/>
        <v>1000</v>
      </c>
      <c r="B46">
        <f t="shared" si="1"/>
        <v>0</v>
      </c>
      <c r="C46">
        <f t="shared" si="2"/>
        <v>0</v>
      </c>
      <c r="D46">
        <f t="shared" si="3"/>
        <v>0</v>
      </c>
      <c r="E46">
        <f t="shared" si="6"/>
        <v>0</v>
      </c>
    </row>
    <row r="47" spans="1:8">
      <c r="A47">
        <f t="shared" si="5"/>
        <v>1200</v>
      </c>
      <c r="B47">
        <f t="shared" si="1"/>
        <v>0</v>
      </c>
      <c r="C47">
        <f t="shared" si="2"/>
        <v>0</v>
      </c>
      <c r="D47">
        <f t="shared" si="3"/>
        <v>0</v>
      </c>
      <c r="E47">
        <f t="shared" si="6"/>
        <v>0</v>
      </c>
    </row>
    <row r="48" spans="1:8">
      <c r="A48">
        <f t="shared" si="5"/>
        <v>1500</v>
      </c>
      <c r="B48">
        <f t="shared" si="1"/>
        <v>0</v>
      </c>
      <c r="C48">
        <f t="shared" si="2"/>
        <v>0</v>
      </c>
      <c r="D48">
        <f t="shared" si="3"/>
        <v>0</v>
      </c>
      <c r="E48">
        <f t="shared" si="6"/>
        <v>0</v>
      </c>
    </row>
    <row r="49" spans="1:5">
      <c r="A49">
        <f t="shared" si="5"/>
        <v>1800</v>
      </c>
      <c r="B49">
        <f t="shared" si="1"/>
        <v>0</v>
      </c>
      <c r="C49">
        <f t="shared" si="2"/>
        <v>0</v>
      </c>
      <c r="D49">
        <f t="shared" si="3"/>
        <v>0</v>
      </c>
      <c r="E49">
        <f t="shared" si="6"/>
        <v>0</v>
      </c>
    </row>
    <row r="50" spans="1:5">
      <c r="A50">
        <f t="shared" si="5"/>
        <v>2200</v>
      </c>
      <c r="B50">
        <f t="shared" si="1"/>
        <v>0</v>
      </c>
      <c r="C50">
        <f t="shared" si="2"/>
        <v>0</v>
      </c>
      <c r="D50">
        <f t="shared" si="3"/>
        <v>0</v>
      </c>
      <c r="E50">
        <f t="shared" si="6"/>
        <v>0</v>
      </c>
    </row>
    <row r="51" spans="1:5">
      <c r="A51">
        <f t="shared" si="5"/>
        <v>2700</v>
      </c>
      <c r="B51">
        <f t="shared" si="1"/>
        <v>0</v>
      </c>
      <c r="C51">
        <f t="shared" si="2"/>
        <v>0</v>
      </c>
      <c r="D51">
        <f t="shared" si="3"/>
        <v>0</v>
      </c>
      <c r="E51">
        <f t="shared" si="6"/>
        <v>0</v>
      </c>
    </row>
    <row r="52" spans="1:5">
      <c r="A52">
        <f t="shared" si="5"/>
        <v>3300</v>
      </c>
      <c r="B52">
        <f t="shared" si="1"/>
        <v>0</v>
      </c>
      <c r="C52">
        <f t="shared" si="2"/>
        <v>0</v>
      </c>
      <c r="D52">
        <f t="shared" si="3"/>
        <v>0</v>
      </c>
      <c r="E52">
        <f t="shared" si="6"/>
        <v>0</v>
      </c>
    </row>
    <row r="53" spans="1:5">
      <c r="A53">
        <f t="shared" si="5"/>
        <v>3900</v>
      </c>
      <c r="B53">
        <f t="shared" si="1"/>
        <v>0</v>
      </c>
      <c r="C53">
        <f t="shared" si="2"/>
        <v>0</v>
      </c>
      <c r="D53">
        <f t="shared" si="3"/>
        <v>0</v>
      </c>
      <c r="E53">
        <f t="shared" si="6"/>
        <v>0</v>
      </c>
    </row>
    <row r="54" spans="1:5">
      <c r="A54">
        <f t="shared" si="5"/>
        <v>4700</v>
      </c>
      <c r="B54">
        <f t="shared" si="1"/>
        <v>0</v>
      </c>
      <c r="C54">
        <f t="shared" si="2"/>
        <v>0</v>
      </c>
      <c r="D54">
        <f t="shared" si="3"/>
        <v>0</v>
      </c>
      <c r="E54">
        <f t="shared" si="6"/>
        <v>0</v>
      </c>
    </row>
    <row r="55" spans="1:5">
      <c r="A55">
        <f t="shared" si="5"/>
        <v>5600</v>
      </c>
      <c r="B55">
        <f t="shared" si="1"/>
        <v>0</v>
      </c>
      <c r="C55">
        <f t="shared" si="2"/>
        <v>0</v>
      </c>
      <c r="D55">
        <f t="shared" si="3"/>
        <v>0</v>
      </c>
      <c r="E55">
        <f t="shared" si="6"/>
        <v>0</v>
      </c>
    </row>
    <row r="56" spans="1:5">
      <c r="A56">
        <f t="shared" si="5"/>
        <v>6800</v>
      </c>
      <c r="B56">
        <f t="shared" si="1"/>
        <v>0</v>
      </c>
      <c r="C56">
        <f t="shared" si="2"/>
        <v>0</v>
      </c>
      <c r="D56">
        <f t="shared" si="3"/>
        <v>0</v>
      </c>
      <c r="E56">
        <f t="shared" si="6"/>
        <v>0</v>
      </c>
    </row>
    <row r="57" spans="1:5">
      <c r="A57">
        <f t="shared" si="5"/>
        <v>8200</v>
      </c>
      <c r="B57">
        <f t="shared" si="1"/>
        <v>0</v>
      </c>
      <c r="C57">
        <f t="shared" si="2"/>
        <v>0</v>
      </c>
      <c r="D57">
        <f t="shared" si="3"/>
        <v>0</v>
      </c>
      <c r="E57">
        <f t="shared" si="6"/>
        <v>0</v>
      </c>
    </row>
    <row r="58" spans="1:5">
      <c r="A58">
        <f t="shared" si="5"/>
        <v>10000</v>
      </c>
      <c r="B58">
        <f t="shared" si="1"/>
        <v>0</v>
      </c>
      <c r="C58">
        <f t="shared" si="2"/>
        <v>0</v>
      </c>
      <c r="D58">
        <f t="shared" si="3"/>
        <v>0</v>
      </c>
      <c r="E58">
        <f t="shared" si="6"/>
        <v>0</v>
      </c>
    </row>
    <row r="59" spans="1:5">
      <c r="A59">
        <f t="shared" si="5"/>
        <v>12000</v>
      </c>
      <c r="B59">
        <f t="shared" si="1"/>
        <v>0</v>
      </c>
      <c r="C59">
        <f t="shared" si="2"/>
        <v>0</v>
      </c>
      <c r="D59">
        <f t="shared" si="3"/>
        <v>0</v>
      </c>
      <c r="E59">
        <f t="shared" si="6"/>
        <v>0</v>
      </c>
    </row>
    <row r="60" spans="1:5">
      <c r="A60">
        <f t="shared" si="5"/>
        <v>15000</v>
      </c>
      <c r="B60">
        <f t="shared" si="1"/>
        <v>0</v>
      </c>
      <c r="C60">
        <f t="shared" si="2"/>
        <v>0</v>
      </c>
      <c r="D60">
        <f t="shared" si="3"/>
        <v>0</v>
      </c>
      <c r="E60">
        <f t="shared" si="6"/>
        <v>0</v>
      </c>
    </row>
    <row r="61" spans="1:5">
      <c r="A61">
        <f t="shared" si="5"/>
        <v>18000</v>
      </c>
      <c r="B61">
        <f t="shared" si="1"/>
        <v>0</v>
      </c>
      <c r="C61">
        <f t="shared" si="2"/>
        <v>0</v>
      </c>
      <c r="D61">
        <f t="shared" si="3"/>
        <v>0</v>
      </c>
      <c r="E61">
        <f t="shared" si="6"/>
        <v>0</v>
      </c>
    </row>
    <row r="62" spans="1:5">
      <c r="A62">
        <f t="shared" si="5"/>
        <v>22000</v>
      </c>
      <c r="B62">
        <f t="shared" si="1"/>
        <v>0</v>
      </c>
      <c r="C62">
        <f t="shared" si="2"/>
        <v>0</v>
      </c>
      <c r="D62">
        <f t="shared" si="3"/>
        <v>0</v>
      </c>
      <c r="E62">
        <f t="shared" si="6"/>
        <v>0</v>
      </c>
    </row>
    <row r="63" spans="1:5">
      <c r="A63">
        <f t="shared" si="5"/>
        <v>27000</v>
      </c>
      <c r="B63">
        <f t="shared" si="1"/>
        <v>0</v>
      </c>
      <c r="C63">
        <f t="shared" si="2"/>
        <v>0</v>
      </c>
      <c r="D63">
        <f t="shared" si="3"/>
        <v>0</v>
      </c>
      <c r="E63">
        <f t="shared" si="6"/>
        <v>0</v>
      </c>
    </row>
    <row r="64" spans="1:5">
      <c r="A64">
        <f t="shared" si="5"/>
        <v>33000</v>
      </c>
      <c r="B64">
        <f t="shared" si="1"/>
        <v>0</v>
      </c>
      <c r="C64">
        <f t="shared" si="2"/>
        <v>0</v>
      </c>
      <c r="D64">
        <f t="shared" si="3"/>
        <v>0</v>
      </c>
      <c r="E64">
        <f t="shared" si="6"/>
        <v>0</v>
      </c>
    </row>
    <row r="65" spans="1:5">
      <c r="A65">
        <f t="shared" si="5"/>
        <v>39000</v>
      </c>
      <c r="B65">
        <f t="shared" si="1"/>
        <v>0</v>
      </c>
      <c r="C65">
        <f t="shared" si="2"/>
        <v>0</v>
      </c>
      <c r="D65">
        <f t="shared" si="3"/>
        <v>0</v>
      </c>
      <c r="E65">
        <f t="shared" si="6"/>
        <v>0</v>
      </c>
    </row>
    <row r="66" spans="1:5">
      <c r="A66">
        <f t="shared" si="5"/>
        <v>47000</v>
      </c>
      <c r="B66">
        <f t="shared" si="1"/>
        <v>0</v>
      </c>
      <c r="C66">
        <f t="shared" si="2"/>
        <v>0</v>
      </c>
      <c r="D66">
        <f t="shared" si="3"/>
        <v>0</v>
      </c>
      <c r="E66">
        <f t="shared" si="6"/>
        <v>0</v>
      </c>
    </row>
    <row r="67" spans="1:5">
      <c r="A67">
        <f t="shared" si="5"/>
        <v>56000</v>
      </c>
      <c r="B67">
        <f t="shared" si="1"/>
        <v>0</v>
      </c>
      <c r="C67">
        <f t="shared" si="2"/>
        <v>0</v>
      </c>
      <c r="D67">
        <f t="shared" si="3"/>
        <v>0</v>
      </c>
      <c r="E67">
        <f t="shared" si="6"/>
        <v>0</v>
      </c>
    </row>
    <row r="68" spans="1:5">
      <c r="A68">
        <f t="shared" si="5"/>
        <v>68000</v>
      </c>
      <c r="B68">
        <f t="shared" si="1"/>
        <v>0</v>
      </c>
      <c r="C68">
        <f t="shared" si="2"/>
        <v>0</v>
      </c>
      <c r="D68">
        <f t="shared" si="3"/>
        <v>0</v>
      </c>
      <c r="E68">
        <f t="shared" si="6"/>
        <v>0</v>
      </c>
    </row>
    <row r="69" spans="1:5">
      <c r="A69">
        <f t="shared" si="5"/>
        <v>82000</v>
      </c>
      <c r="B69">
        <f t="shared" si="1"/>
        <v>0</v>
      </c>
      <c r="C69">
        <f t="shared" si="2"/>
        <v>0</v>
      </c>
      <c r="D69">
        <f t="shared" si="3"/>
        <v>0</v>
      </c>
      <c r="E69">
        <f t="shared" si="6"/>
        <v>0</v>
      </c>
    </row>
    <row r="70" spans="1:5">
      <c r="A70">
        <f t="shared" si="5"/>
        <v>100000</v>
      </c>
      <c r="B70">
        <f t="shared" si="1"/>
        <v>100000</v>
      </c>
      <c r="C70">
        <f>IF(IF((C$3*10^12-$A71)*(C$3*10^12-$A70)*-1&lt;0,0,1)*IF(ABS(C$3*10^12-$A71)&gt;(C$3*10^12-$A70),$A70,$A71)=C71,0,IF((C$3*10^12-$A71)*(C$3*10^12-$A70)*-1&lt;0,0,1)*IF(ABS(C$3*10^12-$A71)&gt;(C$3*10^12-$A70),$A70,$A71))</f>
        <v>0</v>
      </c>
      <c r="D70">
        <f>IF(IF((D$3*10^12-$A71)*(D$3*10^12-$A70)*-1&lt;0,0,1)*IF(ABS(D$3*10^12-$A71)&gt;(D$3*10^12-$A70),$A70,$A71)=D71,0,IF((D$3*10^12-$A71)*(D$3*10^12-$A70)*-1&lt;0,0,1)*IF(ABS(D$3*10^12-$A71)&gt;(D$3*10^12-$A70),$A70,$A71))</f>
        <v>0</v>
      </c>
      <c r="E70">
        <f t="shared" ref="E70:E101" si="7">IF(IF((E$3*10^12-$A71)*(E$3*10^12-$A70)*-1&lt;0,0,1)*IF(ABS(E$3*10^12-$A71)&gt;(E$3*10^12-$A70),$A70,$A71)=E71,0,IF((E$3*10^12-$A71)*(E$3*10^12-$A70)*-1&lt;0,0,1)*IF(ABS(E$3*10^12-$A71)&gt;(E$3*10^12-$A70),$A70,$A71))</f>
        <v>0</v>
      </c>
    </row>
    <row r="71" spans="1:5">
      <c r="A71">
        <f t="shared" si="5"/>
        <v>120000</v>
      </c>
      <c r="B71">
        <f t="shared" ref="B71:B134" si="8">IF(IF((B$3*10^12-$A72)*(B$3*10^12-$A71)*-1&lt;0,0,1)*IF(ABS(B$3*10^12-$A72)&gt;(B$3*10^12-$A71),$A71,$A72)=B72,0,IF((B$3*10^12-$A72)*(B$3*10^12-$A71)*-1&lt;0,0,1)*IF(ABS(B$3*10^12-$A72)&gt;(B$3*10^12-$A71),$A71,$A72))</f>
        <v>0</v>
      </c>
      <c r="C71">
        <f t="shared" ref="C71:C133" si="9">IF(IF((C$3*10^12-$A72)*(C$3*10^12-$A71)*-1&lt;0,0,1)*IF(ABS(C$3*10^12-$A72)&gt;(C$3*10^12-$A71),$A71,$A72)=C72,0,IF((C$3*10^12-$A72)*(C$3*10^12-$A71)*-1&lt;0,0,1)*IF(ABS(C$3*10^12-$A72)&gt;(C$3*10^12-$A71),$A71,$A72))</f>
        <v>0</v>
      </c>
      <c r="D71">
        <f t="shared" ref="D71:D102" si="10">IF(IF((D$3*10^12-$A72)*(D$3*10^12-$A71)*-1&lt;0,0,1)*IF(ABS(D$3*10^12-$A72)&gt;(D$3*10^12-$A71),$A71,$A72)=D72,0,IF((D$3*10^12-$A72)*(D$3*10^12-$A71)*-1&lt;0,0,1)*IF(ABS(D$3*10^12-$A72)&gt;(D$3*10^12-$A71),$A71,$A72))</f>
        <v>0</v>
      </c>
      <c r="E71">
        <f t="shared" si="7"/>
        <v>0</v>
      </c>
    </row>
    <row r="72" spans="1:5">
      <c r="A72">
        <f t="shared" si="5"/>
        <v>150000</v>
      </c>
      <c r="B72">
        <f t="shared" si="8"/>
        <v>0</v>
      </c>
      <c r="C72">
        <f t="shared" si="9"/>
        <v>0</v>
      </c>
      <c r="D72">
        <f t="shared" si="10"/>
        <v>0</v>
      </c>
      <c r="E72">
        <f t="shared" si="7"/>
        <v>0</v>
      </c>
    </row>
    <row r="73" spans="1:5">
      <c r="A73">
        <f t="shared" si="5"/>
        <v>180000</v>
      </c>
      <c r="B73">
        <f t="shared" si="8"/>
        <v>0</v>
      </c>
      <c r="C73">
        <f t="shared" si="9"/>
        <v>0</v>
      </c>
      <c r="D73">
        <f t="shared" si="10"/>
        <v>0</v>
      </c>
      <c r="E73">
        <f t="shared" si="7"/>
        <v>0</v>
      </c>
    </row>
    <row r="74" spans="1:5">
      <c r="A74">
        <f t="shared" si="5"/>
        <v>220000</v>
      </c>
      <c r="B74">
        <f t="shared" si="8"/>
        <v>0</v>
      </c>
      <c r="C74">
        <f t="shared" si="9"/>
        <v>0</v>
      </c>
      <c r="D74">
        <f t="shared" si="10"/>
        <v>0</v>
      </c>
      <c r="E74">
        <f t="shared" si="7"/>
        <v>0</v>
      </c>
    </row>
    <row r="75" spans="1:5">
      <c r="A75">
        <f t="shared" si="5"/>
        <v>270000</v>
      </c>
      <c r="B75">
        <f t="shared" si="8"/>
        <v>0</v>
      </c>
      <c r="C75">
        <f t="shared" si="9"/>
        <v>0</v>
      </c>
      <c r="D75">
        <f t="shared" si="10"/>
        <v>0</v>
      </c>
      <c r="E75">
        <f t="shared" si="7"/>
        <v>0</v>
      </c>
    </row>
    <row r="76" spans="1:5">
      <c r="A76">
        <f t="shared" si="5"/>
        <v>330000</v>
      </c>
      <c r="B76">
        <f t="shared" si="8"/>
        <v>0</v>
      </c>
      <c r="C76">
        <f t="shared" si="9"/>
        <v>0</v>
      </c>
      <c r="D76">
        <f t="shared" si="10"/>
        <v>0</v>
      </c>
      <c r="E76">
        <f t="shared" si="7"/>
        <v>0</v>
      </c>
    </row>
    <row r="77" spans="1:5">
      <c r="A77">
        <f t="shared" si="5"/>
        <v>390000</v>
      </c>
      <c r="B77">
        <f t="shared" si="8"/>
        <v>0</v>
      </c>
      <c r="C77">
        <f t="shared" si="9"/>
        <v>0</v>
      </c>
      <c r="D77">
        <f t="shared" si="10"/>
        <v>0</v>
      </c>
      <c r="E77">
        <f t="shared" si="7"/>
        <v>0</v>
      </c>
    </row>
    <row r="78" spans="1:5">
      <c r="A78">
        <f t="shared" si="5"/>
        <v>470000</v>
      </c>
      <c r="B78">
        <f t="shared" si="8"/>
        <v>0</v>
      </c>
      <c r="C78">
        <f t="shared" si="9"/>
        <v>0</v>
      </c>
      <c r="D78">
        <f t="shared" si="10"/>
        <v>0</v>
      </c>
      <c r="E78">
        <f t="shared" si="7"/>
        <v>0</v>
      </c>
    </row>
    <row r="79" spans="1:5">
      <c r="A79">
        <f t="shared" si="5"/>
        <v>560000</v>
      </c>
      <c r="B79">
        <f t="shared" si="8"/>
        <v>0</v>
      </c>
      <c r="C79">
        <f t="shared" si="9"/>
        <v>0</v>
      </c>
      <c r="D79">
        <f t="shared" si="10"/>
        <v>0</v>
      </c>
      <c r="E79">
        <f t="shared" si="7"/>
        <v>0</v>
      </c>
    </row>
    <row r="80" spans="1:5">
      <c r="A80">
        <f t="shared" si="5"/>
        <v>680000</v>
      </c>
      <c r="B80">
        <f t="shared" si="8"/>
        <v>0</v>
      </c>
      <c r="C80">
        <f t="shared" si="9"/>
        <v>0</v>
      </c>
      <c r="D80">
        <f t="shared" si="10"/>
        <v>0</v>
      </c>
      <c r="E80">
        <f t="shared" si="7"/>
        <v>0</v>
      </c>
    </row>
    <row r="81" spans="1:5">
      <c r="A81">
        <f t="shared" si="5"/>
        <v>820000</v>
      </c>
      <c r="B81">
        <f t="shared" si="8"/>
        <v>0</v>
      </c>
      <c r="C81">
        <f t="shared" si="9"/>
        <v>0</v>
      </c>
      <c r="D81">
        <f t="shared" si="10"/>
        <v>0</v>
      </c>
      <c r="E81">
        <f t="shared" si="7"/>
        <v>0</v>
      </c>
    </row>
    <row r="82" spans="1:5">
      <c r="A82">
        <f t="shared" si="5"/>
        <v>1000000</v>
      </c>
      <c r="B82">
        <f t="shared" si="8"/>
        <v>0</v>
      </c>
      <c r="C82">
        <f t="shared" si="9"/>
        <v>0</v>
      </c>
      <c r="D82">
        <f t="shared" si="10"/>
        <v>0</v>
      </c>
      <c r="E82">
        <f t="shared" si="7"/>
        <v>0</v>
      </c>
    </row>
    <row r="83" spans="1:5">
      <c r="A83">
        <f t="shared" si="5"/>
        <v>1200000</v>
      </c>
      <c r="B83">
        <f t="shared" si="8"/>
        <v>0</v>
      </c>
      <c r="C83">
        <f t="shared" si="9"/>
        <v>0</v>
      </c>
      <c r="D83">
        <f t="shared" si="10"/>
        <v>0</v>
      </c>
      <c r="E83">
        <f t="shared" si="7"/>
        <v>0</v>
      </c>
    </row>
    <row r="84" spans="1:5">
      <c r="A84">
        <f t="shared" si="5"/>
        <v>1500000</v>
      </c>
      <c r="B84">
        <f t="shared" si="8"/>
        <v>0</v>
      </c>
      <c r="C84">
        <f t="shared" si="9"/>
        <v>0</v>
      </c>
      <c r="D84">
        <f t="shared" si="10"/>
        <v>0</v>
      </c>
      <c r="E84">
        <f t="shared" si="7"/>
        <v>0</v>
      </c>
    </row>
    <row r="85" spans="1:5">
      <c r="A85">
        <f t="shared" si="5"/>
        <v>1800000</v>
      </c>
      <c r="B85">
        <f t="shared" si="8"/>
        <v>0</v>
      </c>
      <c r="C85">
        <f t="shared" si="9"/>
        <v>0</v>
      </c>
      <c r="D85">
        <f t="shared" si="10"/>
        <v>0</v>
      </c>
      <c r="E85">
        <f t="shared" si="7"/>
        <v>0</v>
      </c>
    </row>
    <row r="86" spans="1:5">
      <c r="A86">
        <f t="shared" si="5"/>
        <v>2200000</v>
      </c>
      <c r="B86">
        <f t="shared" si="8"/>
        <v>0</v>
      </c>
      <c r="C86">
        <f t="shared" si="9"/>
        <v>0</v>
      </c>
      <c r="D86">
        <f t="shared" si="10"/>
        <v>0</v>
      </c>
      <c r="E86">
        <f t="shared" si="7"/>
        <v>0</v>
      </c>
    </row>
    <row r="87" spans="1:5">
      <c r="A87">
        <f t="shared" si="5"/>
        <v>2700000</v>
      </c>
      <c r="B87">
        <f t="shared" si="8"/>
        <v>0</v>
      </c>
      <c r="C87">
        <f t="shared" si="9"/>
        <v>0</v>
      </c>
      <c r="D87">
        <f t="shared" si="10"/>
        <v>0</v>
      </c>
      <c r="E87">
        <f t="shared" si="7"/>
        <v>0</v>
      </c>
    </row>
    <row r="88" spans="1:5">
      <c r="A88">
        <f t="shared" si="5"/>
        <v>3300000</v>
      </c>
      <c r="B88">
        <f t="shared" si="8"/>
        <v>0</v>
      </c>
      <c r="C88">
        <f t="shared" si="9"/>
        <v>0</v>
      </c>
      <c r="D88">
        <f t="shared" si="10"/>
        <v>0</v>
      </c>
      <c r="E88">
        <f t="shared" si="7"/>
        <v>0</v>
      </c>
    </row>
    <row r="89" spans="1:5">
      <c r="A89">
        <f t="shared" si="5"/>
        <v>3900000</v>
      </c>
      <c r="B89">
        <f t="shared" si="8"/>
        <v>0</v>
      </c>
      <c r="C89">
        <f t="shared" si="9"/>
        <v>0</v>
      </c>
      <c r="D89">
        <f t="shared" si="10"/>
        <v>0</v>
      </c>
      <c r="E89">
        <f t="shared" si="7"/>
        <v>0</v>
      </c>
    </row>
    <row r="90" spans="1:5">
      <c r="A90">
        <f t="shared" si="5"/>
        <v>4700000</v>
      </c>
      <c r="B90">
        <f t="shared" si="8"/>
        <v>0</v>
      </c>
      <c r="C90">
        <f t="shared" si="9"/>
        <v>0</v>
      </c>
      <c r="D90">
        <f t="shared" si="10"/>
        <v>0</v>
      </c>
      <c r="E90">
        <f t="shared" si="7"/>
        <v>0</v>
      </c>
    </row>
    <row r="91" spans="1:5">
      <c r="A91">
        <f t="shared" si="5"/>
        <v>5600000</v>
      </c>
      <c r="B91">
        <f t="shared" si="8"/>
        <v>0</v>
      </c>
      <c r="C91">
        <f t="shared" si="9"/>
        <v>0</v>
      </c>
      <c r="D91">
        <f t="shared" si="10"/>
        <v>0</v>
      </c>
      <c r="E91">
        <f t="shared" si="7"/>
        <v>0</v>
      </c>
    </row>
    <row r="92" spans="1:5">
      <c r="A92">
        <f t="shared" si="5"/>
        <v>6800000</v>
      </c>
      <c r="B92">
        <f t="shared" si="8"/>
        <v>0</v>
      </c>
      <c r="C92">
        <f t="shared" si="9"/>
        <v>0</v>
      </c>
      <c r="D92">
        <f t="shared" si="10"/>
        <v>0</v>
      </c>
      <c r="E92">
        <f t="shared" si="7"/>
        <v>0</v>
      </c>
    </row>
    <row r="93" spans="1:5">
      <c r="A93">
        <f t="shared" si="5"/>
        <v>8200000</v>
      </c>
      <c r="B93">
        <f t="shared" si="8"/>
        <v>0</v>
      </c>
      <c r="C93">
        <f t="shared" si="9"/>
        <v>0</v>
      </c>
      <c r="D93">
        <f t="shared" si="10"/>
        <v>0</v>
      </c>
      <c r="E93">
        <f t="shared" si="7"/>
        <v>0</v>
      </c>
    </row>
    <row r="94" spans="1:5">
      <c r="A94">
        <f t="shared" si="5"/>
        <v>10000000</v>
      </c>
      <c r="B94">
        <f t="shared" si="8"/>
        <v>0</v>
      </c>
      <c r="C94">
        <f t="shared" si="9"/>
        <v>0</v>
      </c>
      <c r="D94">
        <f t="shared" si="10"/>
        <v>0</v>
      </c>
      <c r="E94">
        <f t="shared" si="7"/>
        <v>0</v>
      </c>
    </row>
    <row r="95" spans="1:5">
      <c r="A95">
        <f t="shared" si="5"/>
        <v>12000000</v>
      </c>
      <c r="B95">
        <f t="shared" si="8"/>
        <v>0</v>
      </c>
      <c r="C95">
        <f t="shared" si="9"/>
        <v>0</v>
      </c>
      <c r="D95">
        <f t="shared" si="10"/>
        <v>0</v>
      </c>
      <c r="E95">
        <f t="shared" si="7"/>
        <v>0</v>
      </c>
    </row>
    <row r="96" spans="1:5">
      <c r="A96">
        <f t="shared" si="5"/>
        <v>15000000</v>
      </c>
      <c r="B96">
        <f t="shared" si="8"/>
        <v>0</v>
      </c>
      <c r="C96">
        <f t="shared" si="9"/>
        <v>0</v>
      </c>
      <c r="D96">
        <f t="shared" si="10"/>
        <v>0</v>
      </c>
      <c r="E96">
        <f t="shared" si="7"/>
        <v>0</v>
      </c>
    </row>
    <row r="97" spans="1:5">
      <c r="A97">
        <f t="shared" si="5"/>
        <v>18000000</v>
      </c>
      <c r="B97">
        <f t="shared" si="8"/>
        <v>0</v>
      </c>
      <c r="C97">
        <f t="shared" si="9"/>
        <v>0</v>
      </c>
      <c r="D97">
        <f t="shared" si="10"/>
        <v>0</v>
      </c>
      <c r="E97">
        <f t="shared" si="7"/>
        <v>0</v>
      </c>
    </row>
    <row r="98" spans="1:5">
      <c r="A98">
        <f t="shared" si="5"/>
        <v>22000000</v>
      </c>
      <c r="B98">
        <f t="shared" si="8"/>
        <v>0</v>
      </c>
      <c r="C98">
        <f t="shared" si="9"/>
        <v>0</v>
      </c>
      <c r="D98">
        <f t="shared" si="10"/>
        <v>0</v>
      </c>
      <c r="E98">
        <f t="shared" si="7"/>
        <v>0</v>
      </c>
    </row>
    <row r="99" spans="1:5">
      <c r="A99">
        <f t="shared" ref="A99:A159" si="11">A87*10</f>
        <v>27000000</v>
      </c>
      <c r="B99">
        <f t="shared" si="8"/>
        <v>0</v>
      </c>
      <c r="C99">
        <f t="shared" si="9"/>
        <v>0</v>
      </c>
      <c r="D99">
        <f t="shared" si="10"/>
        <v>0</v>
      </c>
      <c r="E99">
        <f t="shared" si="7"/>
        <v>0</v>
      </c>
    </row>
    <row r="100" spans="1:5">
      <c r="A100">
        <f t="shared" si="11"/>
        <v>33000000</v>
      </c>
      <c r="B100">
        <f t="shared" si="8"/>
        <v>0</v>
      </c>
      <c r="C100">
        <f t="shared" si="9"/>
        <v>0</v>
      </c>
      <c r="D100">
        <f t="shared" si="10"/>
        <v>0</v>
      </c>
      <c r="E100">
        <f t="shared" si="7"/>
        <v>0</v>
      </c>
    </row>
    <row r="101" spans="1:5">
      <c r="A101">
        <f t="shared" si="11"/>
        <v>39000000</v>
      </c>
      <c r="B101">
        <f t="shared" si="8"/>
        <v>0</v>
      </c>
      <c r="C101">
        <f t="shared" si="9"/>
        <v>0</v>
      </c>
      <c r="D101">
        <f t="shared" si="10"/>
        <v>0</v>
      </c>
      <c r="E101">
        <f t="shared" si="7"/>
        <v>0</v>
      </c>
    </row>
    <row r="102" spans="1:5">
      <c r="A102">
        <f t="shared" si="11"/>
        <v>47000000</v>
      </c>
      <c r="B102">
        <f t="shared" si="8"/>
        <v>0</v>
      </c>
      <c r="C102">
        <f t="shared" si="9"/>
        <v>0</v>
      </c>
      <c r="D102">
        <f t="shared" si="10"/>
        <v>0</v>
      </c>
      <c r="E102">
        <f t="shared" ref="E102:E133" si="12">IF(IF((E$3*10^12-$A103)*(E$3*10^12-$A102)*-1&lt;0,0,1)*IF(ABS(E$3*10^12-$A103)&gt;(E$3*10^12-$A102),$A102,$A103)=E103,0,IF((E$3*10^12-$A103)*(E$3*10^12-$A102)*-1&lt;0,0,1)*IF(ABS(E$3*10^12-$A103)&gt;(E$3*10^12-$A102),$A102,$A103))</f>
        <v>0</v>
      </c>
    </row>
    <row r="103" spans="1:5">
      <c r="A103">
        <f t="shared" si="11"/>
        <v>56000000</v>
      </c>
      <c r="B103">
        <f t="shared" si="8"/>
        <v>0</v>
      </c>
      <c r="C103">
        <f t="shared" si="9"/>
        <v>0</v>
      </c>
      <c r="D103">
        <f t="shared" ref="D103:D134" si="13">IF(IF((D$3*10^12-$A104)*(D$3*10^12-$A103)*-1&lt;0,0,1)*IF(ABS(D$3*10^12-$A104)&gt;(D$3*10^12-$A103),$A103,$A104)=D104,0,IF((D$3*10^12-$A104)*(D$3*10^12-$A103)*-1&lt;0,0,1)*IF(ABS(D$3*10^12-$A104)&gt;(D$3*10^12-$A103),$A103,$A104))</f>
        <v>0</v>
      </c>
      <c r="E103">
        <f t="shared" si="12"/>
        <v>0</v>
      </c>
    </row>
    <row r="104" spans="1:5">
      <c r="A104">
        <f t="shared" si="11"/>
        <v>68000000</v>
      </c>
      <c r="B104">
        <f t="shared" si="8"/>
        <v>0</v>
      </c>
      <c r="C104">
        <f t="shared" si="9"/>
        <v>0</v>
      </c>
      <c r="D104">
        <f t="shared" si="13"/>
        <v>0</v>
      </c>
      <c r="E104">
        <f t="shared" si="12"/>
        <v>0</v>
      </c>
    </row>
    <row r="105" spans="1:5">
      <c r="A105">
        <f t="shared" si="11"/>
        <v>82000000</v>
      </c>
      <c r="B105">
        <f t="shared" si="8"/>
        <v>0</v>
      </c>
      <c r="C105">
        <f t="shared" si="9"/>
        <v>0</v>
      </c>
      <c r="D105">
        <f t="shared" si="13"/>
        <v>0</v>
      </c>
      <c r="E105">
        <f t="shared" si="12"/>
        <v>0</v>
      </c>
    </row>
    <row r="106" spans="1:5">
      <c r="A106">
        <f t="shared" si="11"/>
        <v>100000000</v>
      </c>
      <c r="B106">
        <f t="shared" si="8"/>
        <v>0</v>
      </c>
      <c r="C106">
        <f t="shared" si="9"/>
        <v>0</v>
      </c>
      <c r="D106">
        <f t="shared" si="13"/>
        <v>0</v>
      </c>
      <c r="E106">
        <f t="shared" si="12"/>
        <v>0</v>
      </c>
    </row>
    <row r="107" spans="1:5">
      <c r="A107">
        <f t="shared" si="11"/>
        <v>120000000</v>
      </c>
      <c r="B107">
        <f t="shared" si="8"/>
        <v>0</v>
      </c>
      <c r="C107">
        <f t="shared" si="9"/>
        <v>0</v>
      </c>
      <c r="D107">
        <f t="shared" si="13"/>
        <v>0</v>
      </c>
      <c r="E107">
        <f t="shared" si="12"/>
        <v>0</v>
      </c>
    </row>
    <row r="108" spans="1:5">
      <c r="A108">
        <f t="shared" si="11"/>
        <v>150000000</v>
      </c>
      <c r="B108">
        <f t="shared" si="8"/>
        <v>0</v>
      </c>
      <c r="C108">
        <f t="shared" si="9"/>
        <v>0</v>
      </c>
      <c r="D108">
        <f t="shared" si="13"/>
        <v>0</v>
      </c>
      <c r="E108">
        <f t="shared" si="12"/>
        <v>0</v>
      </c>
    </row>
    <row r="109" spans="1:5">
      <c r="A109">
        <f t="shared" si="11"/>
        <v>180000000</v>
      </c>
      <c r="B109">
        <f t="shared" si="8"/>
        <v>0</v>
      </c>
      <c r="C109">
        <f t="shared" si="9"/>
        <v>0</v>
      </c>
      <c r="D109">
        <f t="shared" si="13"/>
        <v>0</v>
      </c>
      <c r="E109">
        <f t="shared" si="12"/>
        <v>0</v>
      </c>
    </row>
    <row r="110" spans="1:5">
      <c r="A110">
        <f t="shared" si="11"/>
        <v>220000000</v>
      </c>
      <c r="B110">
        <f t="shared" si="8"/>
        <v>0</v>
      </c>
      <c r="C110">
        <f t="shared" si="9"/>
        <v>0</v>
      </c>
      <c r="D110">
        <f t="shared" si="13"/>
        <v>0</v>
      </c>
      <c r="E110">
        <f t="shared" si="12"/>
        <v>0</v>
      </c>
    </row>
    <row r="111" spans="1:5">
      <c r="A111">
        <f t="shared" si="11"/>
        <v>270000000</v>
      </c>
      <c r="B111">
        <f t="shared" si="8"/>
        <v>0</v>
      </c>
      <c r="C111">
        <f t="shared" si="9"/>
        <v>0</v>
      </c>
      <c r="D111">
        <f t="shared" si="13"/>
        <v>0</v>
      </c>
      <c r="E111">
        <f t="shared" si="12"/>
        <v>0</v>
      </c>
    </row>
    <row r="112" spans="1:5">
      <c r="A112">
        <f t="shared" si="11"/>
        <v>330000000</v>
      </c>
      <c r="B112">
        <f t="shared" si="8"/>
        <v>0</v>
      </c>
      <c r="C112">
        <f t="shared" si="9"/>
        <v>0</v>
      </c>
      <c r="D112">
        <f t="shared" si="13"/>
        <v>0</v>
      </c>
      <c r="E112">
        <f t="shared" si="12"/>
        <v>0</v>
      </c>
    </row>
    <row r="113" spans="1:5">
      <c r="A113">
        <f t="shared" si="11"/>
        <v>390000000</v>
      </c>
      <c r="B113">
        <f t="shared" si="8"/>
        <v>0</v>
      </c>
      <c r="C113">
        <f t="shared" si="9"/>
        <v>0</v>
      </c>
      <c r="D113">
        <f t="shared" si="13"/>
        <v>0</v>
      </c>
      <c r="E113">
        <f t="shared" si="12"/>
        <v>0</v>
      </c>
    </row>
    <row r="114" spans="1:5">
      <c r="A114">
        <f t="shared" si="11"/>
        <v>470000000</v>
      </c>
      <c r="B114">
        <f t="shared" si="8"/>
        <v>0</v>
      </c>
      <c r="C114">
        <f t="shared" si="9"/>
        <v>0</v>
      </c>
      <c r="D114">
        <f t="shared" si="13"/>
        <v>0</v>
      </c>
      <c r="E114">
        <f t="shared" si="12"/>
        <v>0</v>
      </c>
    </row>
    <row r="115" spans="1:5">
      <c r="A115">
        <f t="shared" si="11"/>
        <v>560000000</v>
      </c>
      <c r="B115">
        <f t="shared" si="8"/>
        <v>0</v>
      </c>
      <c r="C115">
        <f t="shared" si="9"/>
        <v>0</v>
      </c>
      <c r="D115">
        <f t="shared" si="13"/>
        <v>0</v>
      </c>
      <c r="E115">
        <f t="shared" si="12"/>
        <v>0</v>
      </c>
    </row>
    <row r="116" spans="1:5">
      <c r="A116">
        <f t="shared" si="11"/>
        <v>680000000</v>
      </c>
      <c r="B116">
        <f t="shared" si="8"/>
        <v>0</v>
      </c>
      <c r="C116">
        <f t="shared" si="9"/>
        <v>0</v>
      </c>
      <c r="D116">
        <f t="shared" si="13"/>
        <v>0</v>
      </c>
      <c r="E116">
        <f t="shared" si="12"/>
        <v>0</v>
      </c>
    </row>
    <row r="117" spans="1:5">
      <c r="A117">
        <f t="shared" si="11"/>
        <v>820000000</v>
      </c>
      <c r="B117">
        <f t="shared" si="8"/>
        <v>0</v>
      </c>
      <c r="C117">
        <f t="shared" si="9"/>
        <v>0</v>
      </c>
      <c r="D117">
        <f t="shared" si="13"/>
        <v>0</v>
      </c>
      <c r="E117">
        <f t="shared" si="12"/>
        <v>0</v>
      </c>
    </row>
    <row r="118" spans="1:5">
      <c r="A118">
        <f t="shared" si="11"/>
        <v>1000000000</v>
      </c>
      <c r="B118">
        <f t="shared" si="8"/>
        <v>0</v>
      </c>
      <c r="C118">
        <f t="shared" si="9"/>
        <v>0</v>
      </c>
      <c r="D118">
        <f t="shared" si="13"/>
        <v>0</v>
      </c>
      <c r="E118">
        <f t="shared" si="12"/>
        <v>0</v>
      </c>
    </row>
    <row r="119" spans="1:5">
      <c r="A119">
        <f t="shared" si="11"/>
        <v>1200000000</v>
      </c>
      <c r="B119">
        <f t="shared" si="8"/>
        <v>0</v>
      </c>
      <c r="C119">
        <f t="shared" si="9"/>
        <v>0</v>
      </c>
      <c r="D119">
        <f t="shared" si="13"/>
        <v>0</v>
      </c>
      <c r="E119">
        <f t="shared" si="12"/>
        <v>0</v>
      </c>
    </row>
    <row r="120" spans="1:5">
      <c r="A120">
        <f t="shared" si="11"/>
        <v>1500000000</v>
      </c>
      <c r="B120">
        <f t="shared" si="8"/>
        <v>0</v>
      </c>
      <c r="C120">
        <f t="shared" si="9"/>
        <v>0</v>
      </c>
      <c r="D120">
        <f t="shared" si="13"/>
        <v>0</v>
      </c>
      <c r="E120">
        <f t="shared" si="12"/>
        <v>0</v>
      </c>
    </row>
    <row r="121" spans="1:5">
      <c r="A121">
        <f t="shared" si="11"/>
        <v>1800000000</v>
      </c>
      <c r="B121">
        <f t="shared" si="8"/>
        <v>0</v>
      </c>
      <c r="C121">
        <f t="shared" si="9"/>
        <v>0</v>
      </c>
      <c r="D121">
        <f t="shared" si="13"/>
        <v>0</v>
      </c>
      <c r="E121">
        <f t="shared" si="12"/>
        <v>0</v>
      </c>
    </row>
    <row r="122" spans="1:5">
      <c r="A122">
        <f t="shared" si="11"/>
        <v>2200000000</v>
      </c>
      <c r="B122">
        <f t="shared" si="8"/>
        <v>0</v>
      </c>
      <c r="C122">
        <f t="shared" si="9"/>
        <v>0</v>
      </c>
      <c r="D122">
        <f t="shared" si="13"/>
        <v>0</v>
      </c>
      <c r="E122">
        <f t="shared" si="12"/>
        <v>0</v>
      </c>
    </row>
    <row r="123" spans="1:5">
      <c r="A123">
        <f t="shared" si="11"/>
        <v>2700000000</v>
      </c>
      <c r="B123">
        <f t="shared" si="8"/>
        <v>0</v>
      </c>
      <c r="C123">
        <f t="shared" si="9"/>
        <v>0</v>
      </c>
      <c r="D123">
        <f t="shared" si="13"/>
        <v>0</v>
      </c>
      <c r="E123">
        <f t="shared" si="12"/>
        <v>0</v>
      </c>
    </row>
    <row r="124" spans="1:5">
      <c r="A124">
        <f t="shared" si="11"/>
        <v>3300000000</v>
      </c>
      <c r="B124">
        <f t="shared" si="8"/>
        <v>0</v>
      </c>
      <c r="C124">
        <f t="shared" si="9"/>
        <v>0</v>
      </c>
      <c r="D124">
        <f t="shared" si="13"/>
        <v>0</v>
      </c>
      <c r="E124">
        <f t="shared" si="12"/>
        <v>0</v>
      </c>
    </row>
    <row r="125" spans="1:5">
      <c r="A125">
        <f t="shared" si="11"/>
        <v>3900000000</v>
      </c>
      <c r="B125">
        <f t="shared" si="8"/>
        <v>0</v>
      </c>
      <c r="C125">
        <f t="shared" si="9"/>
        <v>0</v>
      </c>
      <c r="D125">
        <f t="shared" si="13"/>
        <v>0</v>
      </c>
      <c r="E125">
        <f t="shared" si="12"/>
        <v>0</v>
      </c>
    </row>
    <row r="126" spans="1:5">
      <c r="A126">
        <f t="shared" si="11"/>
        <v>4700000000</v>
      </c>
      <c r="B126">
        <f t="shared" si="8"/>
        <v>0</v>
      </c>
      <c r="C126">
        <f t="shared" si="9"/>
        <v>0</v>
      </c>
      <c r="D126">
        <f t="shared" si="13"/>
        <v>0</v>
      </c>
      <c r="E126">
        <f t="shared" si="12"/>
        <v>0</v>
      </c>
    </row>
    <row r="127" spans="1:5">
      <c r="A127">
        <f t="shared" si="11"/>
        <v>5600000000</v>
      </c>
      <c r="B127">
        <f t="shared" si="8"/>
        <v>0</v>
      </c>
      <c r="C127">
        <f t="shared" si="9"/>
        <v>0</v>
      </c>
      <c r="D127">
        <f t="shared" si="13"/>
        <v>0</v>
      </c>
      <c r="E127">
        <f t="shared" si="12"/>
        <v>0</v>
      </c>
    </row>
    <row r="128" spans="1:5">
      <c r="A128">
        <f t="shared" si="11"/>
        <v>6800000000</v>
      </c>
      <c r="B128">
        <f t="shared" si="8"/>
        <v>0</v>
      </c>
      <c r="C128">
        <f t="shared" si="9"/>
        <v>0</v>
      </c>
      <c r="D128">
        <f t="shared" si="13"/>
        <v>0</v>
      </c>
      <c r="E128">
        <f t="shared" si="12"/>
        <v>0</v>
      </c>
    </row>
    <row r="129" spans="1:5">
      <c r="A129">
        <f t="shared" si="11"/>
        <v>8200000000</v>
      </c>
      <c r="B129">
        <f t="shared" si="8"/>
        <v>0</v>
      </c>
      <c r="C129">
        <f t="shared" si="9"/>
        <v>0</v>
      </c>
      <c r="D129">
        <f t="shared" si="13"/>
        <v>0</v>
      </c>
      <c r="E129">
        <f t="shared" si="12"/>
        <v>0</v>
      </c>
    </row>
    <row r="130" spans="1:5">
      <c r="A130">
        <f t="shared" si="11"/>
        <v>10000000000</v>
      </c>
      <c r="B130">
        <f t="shared" si="8"/>
        <v>0</v>
      </c>
      <c r="C130">
        <f t="shared" si="9"/>
        <v>0</v>
      </c>
      <c r="D130">
        <f t="shared" si="13"/>
        <v>0</v>
      </c>
      <c r="E130">
        <f t="shared" si="12"/>
        <v>0</v>
      </c>
    </row>
    <row r="131" spans="1:5">
      <c r="A131">
        <f t="shared" si="11"/>
        <v>12000000000</v>
      </c>
      <c r="B131">
        <f t="shared" si="8"/>
        <v>0</v>
      </c>
      <c r="C131">
        <f t="shared" si="9"/>
        <v>0</v>
      </c>
      <c r="D131">
        <f t="shared" si="13"/>
        <v>0</v>
      </c>
      <c r="E131">
        <f t="shared" si="12"/>
        <v>0</v>
      </c>
    </row>
    <row r="132" spans="1:5">
      <c r="A132">
        <f t="shared" si="11"/>
        <v>15000000000</v>
      </c>
      <c r="B132">
        <f t="shared" si="8"/>
        <v>0</v>
      </c>
      <c r="C132">
        <f t="shared" si="9"/>
        <v>0</v>
      </c>
      <c r="D132">
        <f t="shared" si="13"/>
        <v>0</v>
      </c>
      <c r="E132">
        <f t="shared" si="12"/>
        <v>0</v>
      </c>
    </row>
    <row r="133" spans="1:5">
      <c r="A133">
        <f t="shared" si="11"/>
        <v>18000000000</v>
      </c>
      <c r="B133">
        <f t="shared" si="8"/>
        <v>0</v>
      </c>
      <c r="C133">
        <f t="shared" si="9"/>
        <v>0</v>
      </c>
      <c r="D133">
        <f t="shared" si="13"/>
        <v>0</v>
      </c>
      <c r="E133">
        <f t="shared" si="12"/>
        <v>0</v>
      </c>
    </row>
    <row r="134" spans="1:5">
      <c r="A134">
        <f t="shared" si="11"/>
        <v>22000000000</v>
      </c>
      <c r="B134">
        <f t="shared" si="8"/>
        <v>0</v>
      </c>
      <c r="C134">
        <f t="shared" ref="C134:D159" si="14">IF(IF((C$3*10^12-$A135)*(C$3*10^12-$A134)*-1&lt;0,0,1)*IF(ABS(C$3*10^12-$A135)&gt;(C$3*10^12-$A134),$A134,$A135)=C135,0,IF((C$3*10^12-$A135)*(C$3*10^12-$A134)*-1&lt;0,0,1)*IF(ABS(C$3*10^12-$A135)&gt;(C$3*10^12-$A134),$A134,$A135))</f>
        <v>0</v>
      </c>
      <c r="D134">
        <f t="shared" si="13"/>
        <v>0</v>
      </c>
      <c r="E134">
        <f t="shared" ref="E134:E159" si="15">IF(IF((E$3*10^12-$A135)*(E$3*10^12-$A134)*-1&lt;0,0,1)*IF(ABS(E$3*10^12-$A135)&gt;(E$3*10^12-$A134),$A134,$A135)=E135,0,IF((E$3*10^12-$A135)*(E$3*10^12-$A134)*-1&lt;0,0,1)*IF(ABS(E$3*10^12-$A135)&gt;(E$3*10^12-$A134),$A134,$A135))</f>
        <v>0</v>
      </c>
    </row>
    <row r="135" spans="1:5">
      <c r="A135">
        <f t="shared" si="11"/>
        <v>27000000000</v>
      </c>
      <c r="B135">
        <f t="shared" ref="B135:B159" si="16">IF(IF((B$3*10^12-$A136)*(B$3*10^12-$A135)*-1&lt;0,0,1)*IF(ABS(B$3*10^12-$A136)&gt;(B$3*10^12-$A135),$A135,$A136)=B136,0,IF((B$3*10^12-$A136)*(B$3*10^12-$A135)*-1&lt;0,0,1)*IF(ABS(B$3*10^12-$A136)&gt;(B$3*10^12-$A135),$A135,$A136))</f>
        <v>0</v>
      </c>
      <c r="C135">
        <f t="shared" si="14"/>
        <v>0</v>
      </c>
      <c r="D135">
        <f t="shared" si="14"/>
        <v>0</v>
      </c>
      <c r="E135">
        <f t="shared" si="15"/>
        <v>0</v>
      </c>
    </row>
    <row r="136" spans="1:5">
      <c r="A136">
        <f t="shared" si="11"/>
        <v>33000000000</v>
      </c>
      <c r="B136">
        <f t="shared" si="16"/>
        <v>0</v>
      </c>
      <c r="C136">
        <f t="shared" si="14"/>
        <v>0</v>
      </c>
      <c r="D136">
        <f t="shared" si="14"/>
        <v>0</v>
      </c>
      <c r="E136">
        <f t="shared" si="15"/>
        <v>0</v>
      </c>
    </row>
    <row r="137" spans="1:5">
      <c r="A137">
        <f t="shared" si="11"/>
        <v>39000000000</v>
      </c>
      <c r="B137">
        <f t="shared" si="16"/>
        <v>0</v>
      </c>
      <c r="C137">
        <f t="shared" si="14"/>
        <v>0</v>
      </c>
      <c r="D137">
        <f t="shared" si="14"/>
        <v>0</v>
      </c>
      <c r="E137">
        <f t="shared" si="15"/>
        <v>0</v>
      </c>
    </row>
    <row r="138" spans="1:5">
      <c r="A138">
        <f t="shared" si="11"/>
        <v>47000000000</v>
      </c>
      <c r="B138">
        <f t="shared" si="16"/>
        <v>0</v>
      </c>
      <c r="C138">
        <f t="shared" si="14"/>
        <v>0</v>
      </c>
      <c r="D138">
        <f t="shared" si="14"/>
        <v>0</v>
      </c>
      <c r="E138">
        <f t="shared" si="15"/>
        <v>0</v>
      </c>
    </row>
    <row r="139" spans="1:5">
      <c r="A139">
        <f t="shared" si="11"/>
        <v>56000000000</v>
      </c>
      <c r="B139">
        <f t="shared" si="16"/>
        <v>0</v>
      </c>
      <c r="C139">
        <f t="shared" si="14"/>
        <v>0</v>
      </c>
      <c r="D139">
        <f t="shared" si="14"/>
        <v>0</v>
      </c>
      <c r="E139">
        <f t="shared" si="15"/>
        <v>0</v>
      </c>
    </row>
    <row r="140" spans="1:5">
      <c r="A140">
        <f t="shared" si="11"/>
        <v>68000000000</v>
      </c>
      <c r="B140">
        <f t="shared" si="16"/>
        <v>0</v>
      </c>
      <c r="C140">
        <f t="shared" si="14"/>
        <v>0</v>
      </c>
      <c r="D140">
        <f t="shared" si="14"/>
        <v>0</v>
      </c>
      <c r="E140">
        <f t="shared" si="15"/>
        <v>0</v>
      </c>
    </row>
    <row r="141" spans="1:5">
      <c r="A141">
        <f t="shared" si="11"/>
        <v>82000000000</v>
      </c>
      <c r="B141">
        <f t="shared" si="16"/>
        <v>0</v>
      </c>
      <c r="C141">
        <f t="shared" si="14"/>
        <v>0</v>
      </c>
      <c r="D141">
        <f t="shared" si="14"/>
        <v>0</v>
      </c>
      <c r="E141">
        <f t="shared" si="15"/>
        <v>0</v>
      </c>
    </row>
    <row r="142" spans="1:5">
      <c r="A142">
        <f t="shared" si="11"/>
        <v>100000000000</v>
      </c>
      <c r="B142">
        <f t="shared" si="16"/>
        <v>0</v>
      </c>
      <c r="C142">
        <f t="shared" si="14"/>
        <v>0</v>
      </c>
      <c r="D142">
        <f t="shared" si="14"/>
        <v>0</v>
      </c>
      <c r="E142">
        <f t="shared" si="15"/>
        <v>0</v>
      </c>
    </row>
    <row r="143" spans="1:5">
      <c r="A143">
        <f t="shared" si="11"/>
        <v>120000000000</v>
      </c>
      <c r="B143">
        <f t="shared" si="16"/>
        <v>0</v>
      </c>
      <c r="C143">
        <f t="shared" si="14"/>
        <v>0</v>
      </c>
      <c r="D143">
        <f t="shared" si="14"/>
        <v>0</v>
      </c>
      <c r="E143">
        <f t="shared" si="15"/>
        <v>0</v>
      </c>
    </row>
    <row r="144" spans="1:5">
      <c r="A144">
        <f t="shared" si="11"/>
        <v>150000000000</v>
      </c>
      <c r="B144">
        <f t="shared" si="16"/>
        <v>0</v>
      </c>
      <c r="C144">
        <f t="shared" si="14"/>
        <v>0</v>
      </c>
      <c r="D144">
        <f t="shared" si="14"/>
        <v>0</v>
      </c>
      <c r="E144">
        <f t="shared" si="15"/>
        <v>0</v>
      </c>
    </row>
    <row r="145" spans="1:5">
      <c r="A145">
        <f t="shared" si="11"/>
        <v>180000000000</v>
      </c>
      <c r="B145">
        <f t="shared" si="16"/>
        <v>0</v>
      </c>
      <c r="C145">
        <f t="shared" si="14"/>
        <v>0</v>
      </c>
      <c r="D145">
        <f t="shared" si="14"/>
        <v>0</v>
      </c>
      <c r="E145">
        <f t="shared" si="15"/>
        <v>0</v>
      </c>
    </row>
    <row r="146" spans="1:5">
      <c r="A146">
        <f t="shared" si="11"/>
        <v>220000000000</v>
      </c>
      <c r="B146">
        <f t="shared" si="16"/>
        <v>0</v>
      </c>
      <c r="C146">
        <f t="shared" si="14"/>
        <v>0</v>
      </c>
      <c r="D146">
        <f t="shared" si="14"/>
        <v>0</v>
      </c>
      <c r="E146">
        <f t="shared" si="15"/>
        <v>0</v>
      </c>
    </row>
    <row r="147" spans="1:5">
      <c r="A147">
        <f t="shared" si="11"/>
        <v>270000000000</v>
      </c>
      <c r="B147">
        <f t="shared" si="16"/>
        <v>0</v>
      </c>
      <c r="C147">
        <f t="shared" si="14"/>
        <v>0</v>
      </c>
      <c r="D147">
        <f t="shared" si="14"/>
        <v>0</v>
      </c>
      <c r="E147">
        <f t="shared" si="15"/>
        <v>0</v>
      </c>
    </row>
    <row r="148" spans="1:5">
      <c r="A148">
        <f t="shared" si="11"/>
        <v>330000000000</v>
      </c>
      <c r="B148">
        <f t="shared" si="16"/>
        <v>0</v>
      </c>
      <c r="C148">
        <f t="shared" si="14"/>
        <v>0</v>
      </c>
      <c r="D148">
        <f t="shared" si="14"/>
        <v>0</v>
      </c>
      <c r="E148">
        <f t="shared" si="15"/>
        <v>0</v>
      </c>
    </row>
    <row r="149" spans="1:5">
      <c r="A149">
        <f t="shared" si="11"/>
        <v>390000000000</v>
      </c>
      <c r="B149">
        <f t="shared" si="16"/>
        <v>0</v>
      </c>
      <c r="C149">
        <f t="shared" si="14"/>
        <v>0</v>
      </c>
      <c r="D149">
        <f t="shared" si="14"/>
        <v>0</v>
      </c>
      <c r="E149">
        <f t="shared" si="15"/>
        <v>0</v>
      </c>
    </row>
    <row r="150" spans="1:5">
      <c r="A150">
        <f t="shared" si="11"/>
        <v>470000000000</v>
      </c>
      <c r="B150">
        <f t="shared" si="16"/>
        <v>0</v>
      </c>
      <c r="C150">
        <f t="shared" si="14"/>
        <v>0</v>
      </c>
      <c r="D150">
        <f t="shared" si="14"/>
        <v>0</v>
      </c>
      <c r="E150">
        <f t="shared" si="15"/>
        <v>0</v>
      </c>
    </row>
    <row r="151" spans="1:5">
      <c r="A151">
        <f t="shared" si="11"/>
        <v>560000000000</v>
      </c>
      <c r="B151">
        <f t="shared" si="16"/>
        <v>0</v>
      </c>
      <c r="C151">
        <f t="shared" si="14"/>
        <v>0</v>
      </c>
      <c r="D151">
        <f t="shared" si="14"/>
        <v>0</v>
      </c>
      <c r="E151">
        <f t="shared" si="15"/>
        <v>0</v>
      </c>
    </row>
    <row r="152" spans="1:5">
      <c r="A152">
        <f t="shared" si="11"/>
        <v>680000000000</v>
      </c>
      <c r="B152">
        <f t="shared" si="16"/>
        <v>0</v>
      </c>
      <c r="C152">
        <f t="shared" si="14"/>
        <v>0</v>
      </c>
      <c r="D152">
        <f t="shared" si="14"/>
        <v>0</v>
      </c>
      <c r="E152">
        <f t="shared" si="15"/>
        <v>0</v>
      </c>
    </row>
    <row r="153" spans="1:5">
      <c r="A153">
        <f t="shared" si="11"/>
        <v>820000000000</v>
      </c>
      <c r="B153">
        <f t="shared" si="16"/>
        <v>0</v>
      </c>
      <c r="C153">
        <f t="shared" si="14"/>
        <v>0</v>
      </c>
      <c r="D153">
        <f t="shared" si="14"/>
        <v>0</v>
      </c>
      <c r="E153">
        <f t="shared" si="15"/>
        <v>0</v>
      </c>
    </row>
    <row r="154" spans="1:5">
      <c r="A154">
        <f t="shared" si="11"/>
        <v>1000000000000</v>
      </c>
      <c r="B154">
        <f t="shared" si="16"/>
        <v>0</v>
      </c>
      <c r="C154">
        <f t="shared" si="14"/>
        <v>0</v>
      </c>
      <c r="D154">
        <f t="shared" si="14"/>
        <v>0</v>
      </c>
      <c r="E154">
        <f t="shared" si="15"/>
        <v>0</v>
      </c>
    </row>
    <row r="155" spans="1:5">
      <c r="A155">
        <f t="shared" si="11"/>
        <v>1200000000000</v>
      </c>
      <c r="B155">
        <f t="shared" si="16"/>
        <v>0</v>
      </c>
      <c r="C155">
        <f t="shared" si="14"/>
        <v>0</v>
      </c>
      <c r="D155">
        <f t="shared" si="14"/>
        <v>0</v>
      </c>
      <c r="E155">
        <f t="shared" si="15"/>
        <v>0</v>
      </c>
    </row>
    <row r="156" spans="1:5">
      <c r="A156">
        <f t="shared" si="11"/>
        <v>1500000000000</v>
      </c>
      <c r="B156">
        <f t="shared" si="16"/>
        <v>0</v>
      </c>
      <c r="C156">
        <f t="shared" si="14"/>
        <v>0</v>
      </c>
      <c r="D156">
        <f t="shared" si="14"/>
        <v>0</v>
      </c>
      <c r="E156">
        <f t="shared" si="15"/>
        <v>0</v>
      </c>
    </row>
    <row r="157" spans="1:5">
      <c r="A157">
        <f t="shared" si="11"/>
        <v>1800000000000</v>
      </c>
      <c r="B157">
        <f t="shared" si="16"/>
        <v>0</v>
      </c>
      <c r="C157">
        <f t="shared" si="14"/>
        <v>0</v>
      </c>
      <c r="D157">
        <f t="shared" si="14"/>
        <v>0</v>
      </c>
      <c r="E157">
        <f t="shared" si="15"/>
        <v>0</v>
      </c>
    </row>
    <row r="158" spans="1:5">
      <c r="A158">
        <f t="shared" si="11"/>
        <v>2200000000000</v>
      </c>
      <c r="B158">
        <f t="shared" si="16"/>
        <v>0</v>
      </c>
      <c r="C158">
        <f t="shared" si="14"/>
        <v>0</v>
      </c>
      <c r="D158">
        <f t="shared" si="14"/>
        <v>0</v>
      </c>
      <c r="E158">
        <f t="shared" si="15"/>
        <v>0</v>
      </c>
    </row>
    <row r="159" spans="1:5">
      <c r="A159" s="15">
        <f t="shared" si="11"/>
        <v>2700000000000</v>
      </c>
      <c r="B159">
        <f t="shared" si="16"/>
        <v>2700000000000</v>
      </c>
      <c r="C159">
        <f t="shared" si="14"/>
        <v>0</v>
      </c>
      <c r="D159">
        <f t="shared" si="14"/>
        <v>0</v>
      </c>
      <c r="E159">
        <f t="shared" si="15"/>
        <v>2700000000000</v>
      </c>
    </row>
  </sheetData>
  <sheetProtection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R687"/>
  <sheetViews>
    <sheetView zoomScaleNormal="100" workbookViewId="0">
      <pane ySplit="11" topLeftCell="A19" activePane="bottomLeft" state="frozen"/>
      <selection activeCell="A93" sqref="A93"/>
      <selection pane="bottomLeft" activeCell="B19" sqref="B19"/>
    </sheetView>
  </sheetViews>
  <sheetFormatPr defaultColWidth="9.1796875" defaultRowHeight="12.5"/>
  <cols>
    <col min="1" max="1" width="14.7265625" style="170" bestFit="1" customWidth="1"/>
    <col min="2" max="2" width="10.7265625" style="170" customWidth="1"/>
    <col min="3" max="3" width="10" style="170" customWidth="1"/>
    <col min="4" max="4" width="13.81640625" style="170" customWidth="1"/>
    <col min="5" max="5" width="10.1796875" style="170" customWidth="1"/>
    <col min="6" max="6" width="3.26953125" style="170" customWidth="1"/>
    <col min="7" max="7" width="16.1796875" style="170" customWidth="1"/>
    <col min="8" max="8" width="15.7265625" style="170" customWidth="1"/>
    <col min="9" max="9" width="10" style="170" customWidth="1"/>
    <col min="10" max="10" width="10.81640625" style="170" customWidth="1"/>
    <col min="11" max="11" width="10.1796875" style="170" customWidth="1"/>
    <col min="12" max="14" width="11.81640625" style="170" customWidth="1"/>
    <col min="15" max="15" width="14.26953125" style="170" customWidth="1"/>
    <col min="16" max="16" width="11" style="170" customWidth="1"/>
    <col min="17" max="17" width="12" style="170" customWidth="1"/>
    <col min="18" max="18" width="11.453125" style="170" customWidth="1"/>
    <col min="19" max="19" width="10.81640625" style="170" customWidth="1"/>
    <col min="20" max="20" width="11.453125" style="170" customWidth="1"/>
    <col min="21" max="21" width="11.81640625" style="170" customWidth="1"/>
    <col min="22" max="22" width="13.54296875" style="170" customWidth="1"/>
    <col min="23" max="23" width="9.453125" style="170" customWidth="1"/>
    <col min="24" max="24" width="16.26953125" style="170" bestFit="1" customWidth="1"/>
    <col min="25" max="25" width="16.1796875" style="172" customWidth="1"/>
    <col min="26" max="26" width="8.81640625" style="170" bestFit="1" customWidth="1"/>
    <col min="27" max="27" width="13.54296875" style="170" bestFit="1" customWidth="1"/>
    <col min="28" max="28" width="10.7265625" style="170" bestFit="1" customWidth="1"/>
    <col min="29" max="29" width="9.1796875" style="170"/>
    <col min="30" max="30" width="13.54296875" style="170" customWidth="1"/>
    <col min="31" max="31" width="10.54296875" style="170" customWidth="1"/>
    <col min="32" max="32" width="9.1796875" style="170"/>
    <col min="33" max="33" width="9.453125" style="170" bestFit="1" customWidth="1"/>
    <col min="34" max="34" width="11.453125" style="170" bestFit="1" customWidth="1"/>
    <col min="35" max="35" width="5.81640625" style="170" customWidth="1"/>
    <col min="36" max="36" width="12.26953125" style="170" customWidth="1"/>
    <col min="37" max="37" width="8.81640625" style="170" customWidth="1"/>
    <col min="38" max="38" width="18.1796875" style="170" customWidth="1"/>
    <col min="39" max="39" width="45.26953125" style="170" customWidth="1"/>
    <col min="40" max="40" width="19.26953125" style="170" bestFit="1" customWidth="1"/>
    <col min="41" max="41" width="40.7265625" style="170" bestFit="1" customWidth="1"/>
    <col min="42" max="42" width="40.1796875" style="170" bestFit="1" customWidth="1"/>
    <col min="43" max="43" width="40.7265625" style="170" bestFit="1" customWidth="1"/>
    <col min="44" max="44" width="40.1796875" style="170" bestFit="1" customWidth="1"/>
    <col min="45" max="45" width="28.453125" style="170" customWidth="1"/>
    <col min="46" max="16384" width="9.1796875" style="170"/>
  </cols>
  <sheetData>
    <row r="1" spans="1:44" ht="13" thickBot="1"/>
    <row r="2" spans="1:44" s="189" customFormat="1" ht="13">
      <c r="A2" s="724" t="s">
        <v>770</v>
      </c>
      <c r="G2" s="927" t="s">
        <v>764</v>
      </c>
      <c r="H2" s="928"/>
      <c r="I2" s="929"/>
      <c r="J2" s="930"/>
      <c r="K2" s="927" t="s">
        <v>683</v>
      </c>
      <c r="L2" s="928"/>
      <c r="M2" s="928"/>
      <c r="N2" s="636"/>
      <c r="O2" s="637"/>
      <c r="P2" s="927" t="s">
        <v>684</v>
      </c>
      <c r="Q2" s="929"/>
      <c r="R2" s="930"/>
      <c r="S2" s="927" t="s">
        <v>765</v>
      </c>
      <c r="T2" s="929"/>
      <c r="U2" s="930"/>
      <c r="V2" s="927" t="s">
        <v>685</v>
      </c>
      <c r="W2" s="928"/>
      <c r="X2" s="931"/>
      <c r="Y2" s="536"/>
      <c r="AA2" s="724" t="s">
        <v>796</v>
      </c>
    </row>
    <row r="3" spans="1:44">
      <c r="B3" s="338"/>
      <c r="H3" s="638" t="s">
        <v>757</v>
      </c>
      <c r="I3" s="735">
        <f>Vref/(Vout_eff*Npri_sec)</f>
        <v>0.11730205278592375</v>
      </c>
      <c r="J3" s="639" t="s">
        <v>686</v>
      </c>
      <c r="K3" s="640" t="s">
        <v>687</v>
      </c>
      <c r="L3" s="269">
        <f>1/Rcs_gain</f>
        <v>66.666666666666671</v>
      </c>
      <c r="M3" s="639" t="s">
        <v>688</v>
      </c>
      <c r="N3" s="194" t="s">
        <v>689</v>
      </c>
      <c r="O3" s="641">
        <f>gmEA</f>
        <v>5.9999999999999995E-4</v>
      </c>
      <c r="P3" s="642" t="s">
        <v>690</v>
      </c>
      <c r="Q3" s="643">
        <f>1/(2*Pi*D25*D26)</f>
        <v>345989.0071168617</v>
      </c>
      <c r="R3" s="639" t="s">
        <v>8</v>
      </c>
      <c r="S3" s="642"/>
      <c r="T3" s="643"/>
      <c r="U3" s="639"/>
      <c r="V3" s="644" t="s">
        <v>692</v>
      </c>
      <c r="W3" s="643">
        <f>Am*Afb*Aea</f>
        <v>199848.11543227147</v>
      </c>
      <c r="X3" s="645" t="s">
        <v>686</v>
      </c>
      <c r="AA3" s="170">
        <f>MIN(z_RHP/10,'Calculations - Single'!Y212/10)</f>
        <v>9.3793168857026004</v>
      </c>
      <c r="AB3" s="170" t="s">
        <v>2</v>
      </c>
    </row>
    <row r="4" spans="1:44" ht="13">
      <c r="B4" s="170">
        <f>BODE_TYPE*0+IF('Variable Mgmt'!Y17="BCM",2, 1)</f>
        <v>2</v>
      </c>
      <c r="H4" s="646" t="s">
        <v>693</v>
      </c>
      <c r="I4" s="643">
        <f>1/(2*Pi*Rcomp*Ccomp)</f>
        <v>186.80157661239005</v>
      </c>
      <c r="J4" s="639" t="s">
        <v>8</v>
      </c>
      <c r="K4" s="642" t="s">
        <v>694</v>
      </c>
      <c r="L4" s="269">
        <f>CHOOSE(BODE_TYPE, Rload_pri/Rcs_gain*(Lmag/(2*Vout_eff*Npri_sec)*Fsw_DCM)*SQRT(Iout_eff/(Lmag/(2*Vout_eff*Npri_sec)*Fsw_DCM*Npri_sec)), Rload_pri/(Rcs_gain*2*(2*M+1)))</f>
        <v>9.46502880033397</v>
      </c>
      <c r="M4" s="639" t="s">
        <v>686</v>
      </c>
      <c r="N4" s="647" t="s">
        <v>755</v>
      </c>
      <c r="O4" s="713">
        <f>REAout</f>
        <v>300000000</v>
      </c>
      <c r="P4" s="642" t="s">
        <v>695</v>
      </c>
      <c r="Q4" s="643">
        <f>CHOOSE(BODE_TYPE, 2/(2*Pi*D25*Rload_sec), 1/(2*Pi*D25*[0]!Rload_sec)*(2*M+1)/(M+1))</f>
        <v>81.12256154812502</v>
      </c>
      <c r="R4" s="639" t="s">
        <v>8</v>
      </c>
      <c r="S4" s="648"/>
      <c r="T4" s="649"/>
      <c r="U4" s="645"/>
      <c r="V4" s="719" t="s">
        <v>696</v>
      </c>
      <c r="W4" s="720">
        <f>AK7</f>
        <v>7.2443999999999997</v>
      </c>
      <c r="X4" s="721" t="s">
        <v>2</v>
      </c>
    </row>
    <row r="5" spans="1:44" ht="13">
      <c r="H5" s="638" t="s">
        <v>697</v>
      </c>
      <c r="I5" s="190">
        <f>1/(2*Pi*REAout*Ccomp)</f>
        <v>8.8419412929864646E-2</v>
      </c>
      <c r="J5" s="639" t="s">
        <v>8</v>
      </c>
      <c r="K5" s="642"/>
      <c r="L5" s="190"/>
      <c r="M5" s="639"/>
      <c r="N5" s="647"/>
      <c r="O5" s="647"/>
      <c r="P5" s="648" t="s">
        <v>712</v>
      </c>
      <c r="Q5" s="650">
        <f>Rload_pri/(2*Pi*Lmag*M*(M+1))</f>
        <v>186264.644725716</v>
      </c>
      <c r="R5" s="645" t="s">
        <v>8</v>
      </c>
      <c r="S5" s="648"/>
      <c r="T5" s="188"/>
      <c r="U5" s="645"/>
      <c r="V5" s="719" t="s">
        <v>698</v>
      </c>
      <c r="W5" s="722">
        <f>AK9</f>
        <v>62.168876512939079</v>
      </c>
      <c r="X5" s="723" t="s">
        <v>699</v>
      </c>
    </row>
    <row r="6" spans="1:44">
      <c r="H6" s="638" t="s">
        <v>700</v>
      </c>
      <c r="I6" s="171">
        <f>gmEA*REAout</f>
        <v>179999.99999999997</v>
      </c>
      <c r="J6" s="639" t="s">
        <v>686</v>
      </c>
      <c r="K6" s="648"/>
      <c r="L6" s="651"/>
      <c r="M6" s="652"/>
      <c r="N6" s="725"/>
      <c r="O6" s="645"/>
      <c r="P6" s="648"/>
      <c r="Q6" s="188"/>
      <c r="R6" s="645"/>
      <c r="S6" s="648"/>
      <c r="T6" s="651"/>
      <c r="U6" s="645"/>
      <c r="V6" s="726" t="s">
        <v>701</v>
      </c>
      <c r="W6" s="188">
        <v>57.295779578552292</v>
      </c>
      <c r="X6" s="645"/>
      <c r="AJ6" s="653" t="s">
        <v>702</v>
      </c>
      <c r="AK6" s="653"/>
    </row>
    <row r="7" spans="1:44" ht="13" thickBot="1">
      <c r="H7" s="654" t="s">
        <v>703</v>
      </c>
      <c r="I7" s="655">
        <f>1/(2*Pi*Rcomp*Chf)</f>
        <v>23847.009780305114</v>
      </c>
      <c r="J7" s="656" t="s">
        <v>8</v>
      </c>
      <c r="K7" s="657"/>
      <c r="L7" s="658"/>
      <c r="M7" s="658"/>
      <c r="N7" s="659"/>
      <c r="O7" s="656"/>
      <c r="P7" s="657"/>
      <c r="Q7" s="657"/>
      <c r="R7" s="656"/>
      <c r="S7" s="657"/>
      <c r="T7" s="657"/>
      <c r="U7" s="656"/>
      <c r="V7" s="657"/>
      <c r="W7" s="657"/>
      <c r="X7" s="656"/>
      <c r="AJ7" s="170" t="s">
        <v>704</v>
      </c>
      <c r="AK7" s="170">
        <f>SUM(AJ12:AJ613)/1000</f>
        <v>7.2443999999999997</v>
      </c>
      <c r="AL7" s="197">
        <f>AK7*1000</f>
        <v>7244.4</v>
      </c>
    </row>
    <row r="8" spans="1:44">
      <c r="H8" s="660"/>
      <c r="I8" s="661"/>
      <c r="J8" s="662"/>
      <c r="K8" s="662"/>
      <c r="L8" s="663"/>
      <c r="M8" s="663"/>
      <c r="N8" s="663"/>
      <c r="O8" s="662"/>
      <c r="P8" s="662"/>
      <c r="Q8" s="662"/>
      <c r="R8" s="662"/>
      <c r="S8" s="662"/>
      <c r="T8" s="662"/>
      <c r="U8" s="662"/>
      <c r="V8" s="662"/>
      <c r="W8" s="662"/>
      <c r="X8" s="662"/>
      <c r="AL8" s="170">
        <v>0</v>
      </c>
    </row>
    <row r="9" spans="1:44" ht="13" thickBot="1">
      <c r="A9" s="711"/>
      <c r="B9" s="716" t="s">
        <v>758</v>
      </c>
      <c r="AJ9" s="170" t="s">
        <v>705</v>
      </c>
      <c r="AK9" s="172">
        <f>SUM(AK13:AK613)</f>
        <v>62.168876512939079</v>
      </c>
      <c r="AL9" s="443">
        <f>AK9</f>
        <v>62.168876512939079</v>
      </c>
    </row>
    <row r="10" spans="1:44" ht="14">
      <c r="A10" s="714"/>
      <c r="B10" s="259" t="s">
        <v>762</v>
      </c>
      <c r="G10" s="932" t="s">
        <v>706</v>
      </c>
      <c r="H10" s="935" t="s">
        <v>756</v>
      </c>
      <c r="I10" s="937" t="s">
        <v>707</v>
      </c>
      <c r="J10" s="938"/>
      <c r="K10" s="938"/>
      <c r="L10" s="938"/>
      <c r="M10" s="938"/>
      <c r="N10" s="939"/>
      <c r="O10" s="937" t="s">
        <v>708</v>
      </c>
      <c r="P10" s="938"/>
      <c r="Q10" s="938"/>
      <c r="R10" s="938"/>
      <c r="S10" s="938"/>
      <c r="T10" s="939"/>
      <c r="U10" s="917" t="s">
        <v>760</v>
      </c>
      <c r="V10" s="940"/>
      <c r="W10" s="917" t="s">
        <v>709</v>
      </c>
      <c r="X10" s="918"/>
      <c r="Y10" s="919"/>
      <c r="AD10" s="920" t="s">
        <v>710</v>
      </c>
      <c r="AE10" s="921"/>
      <c r="AG10" s="920" t="s">
        <v>711</v>
      </c>
      <c r="AH10" s="921"/>
      <c r="AM10" s="333" t="s">
        <v>761</v>
      </c>
    </row>
    <row r="11" spans="1:44" ht="13">
      <c r="G11" s="933"/>
      <c r="H11" s="936"/>
      <c r="I11" s="922" t="s">
        <v>695</v>
      </c>
      <c r="J11" s="923"/>
      <c r="K11" s="923" t="s">
        <v>690</v>
      </c>
      <c r="L11" s="924"/>
      <c r="M11" s="925" t="s">
        <v>712</v>
      </c>
      <c r="N11" s="926"/>
      <c r="O11" s="922" t="s">
        <v>713</v>
      </c>
      <c r="P11" s="923"/>
      <c r="Q11" s="923" t="s">
        <v>714</v>
      </c>
      <c r="R11" s="924"/>
      <c r="S11" s="925" t="s">
        <v>715</v>
      </c>
      <c r="T11" s="926"/>
      <c r="U11" s="922" t="s">
        <v>691</v>
      </c>
      <c r="V11" s="924"/>
      <c r="W11" s="642"/>
      <c r="X11" s="171"/>
      <c r="Y11" s="664"/>
      <c r="AD11" s="642"/>
      <c r="AE11" s="639"/>
      <c r="AG11" s="642"/>
      <c r="AH11" s="639"/>
    </row>
    <row r="12" spans="1:44" ht="13.5" thickBot="1">
      <c r="A12" s="662"/>
      <c r="B12" s="662"/>
      <c r="C12" s="662"/>
      <c r="D12" s="662"/>
      <c r="E12" s="662"/>
      <c r="F12" s="707"/>
      <c r="G12" s="934"/>
      <c r="H12" s="665"/>
      <c r="I12" s="666" t="s">
        <v>716</v>
      </c>
      <c r="J12" s="667" t="s">
        <v>717</v>
      </c>
      <c r="K12" s="667" t="s">
        <v>716</v>
      </c>
      <c r="L12" s="668" t="s">
        <v>717</v>
      </c>
      <c r="M12" s="667" t="s">
        <v>716</v>
      </c>
      <c r="N12" s="668" t="s">
        <v>717</v>
      </c>
      <c r="O12" s="666" t="s">
        <v>716</v>
      </c>
      <c r="P12" s="667" t="s">
        <v>717</v>
      </c>
      <c r="Q12" s="667" t="s">
        <v>716</v>
      </c>
      <c r="R12" s="668" t="s">
        <v>717</v>
      </c>
      <c r="S12" s="666" t="s">
        <v>716</v>
      </c>
      <c r="T12" s="667" t="s">
        <v>717</v>
      </c>
      <c r="U12" s="666" t="s">
        <v>716</v>
      </c>
      <c r="V12" s="668" t="s">
        <v>717</v>
      </c>
      <c r="W12" s="669" t="s">
        <v>718</v>
      </c>
      <c r="X12" s="670" t="s">
        <v>719</v>
      </c>
      <c r="Y12" s="671" t="s">
        <v>720</v>
      </c>
      <c r="AB12" s="672" t="s">
        <v>721</v>
      </c>
      <c r="AD12" s="673" t="s">
        <v>722</v>
      </c>
      <c r="AE12" s="674" t="s">
        <v>723</v>
      </c>
      <c r="AG12" s="673" t="s">
        <v>722</v>
      </c>
      <c r="AH12" s="674" t="s">
        <v>723</v>
      </c>
    </row>
    <row r="13" spans="1:44" ht="13">
      <c r="A13" s="333" t="s">
        <v>739</v>
      </c>
      <c r="B13" s="710" t="str">
        <f>Nps</f>
        <v>0.05</v>
      </c>
      <c r="D13" s="170" t="s">
        <v>766</v>
      </c>
      <c r="G13" s="675">
        <v>1</v>
      </c>
      <c r="H13" s="676">
        <f>G13/1000</f>
        <v>1E-3</v>
      </c>
      <c r="I13" s="677">
        <f t="shared" ref="I13:I76" si="0">SQRT(1+(G13/pole1)^2)</f>
        <v>1.0000759749102461</v>
      </c>
      <c r="J13" s="678">
        <f t="shared" ref="J13:J76" si="1">ATAN(G13/pole1)</f>
        <v>1.2326402589742736E-2</v>
      </c>
      <c r="K13" s="678">
        <f t="shared" ref="K13:K76" si="2">SQRT(1+(G13/Zero1)^2)</f>
        <v>1.0000000000041767</v>
      </c>
      <c r="L13" s="679">
        <f t="shared" ref="L13:L76" si="3">ATAN(G13/Zero1)</f>
        <v>2.8902652379919519E-6</v>
      </c>
      <c r="M13" s="678">
        <f t="shared" ref="M13:M76" si="4">SQRT(1+(G13/z_RHP)^2)</f>
        <v>1.0000000000144116</v>
      </c>
      <c r="N13" s="679">
        <f t="shared" ref="N13:N76" si="5">-ATAN(G13/z_RHP)</f>
        <v>-5.3687053786452186E-6</v>
      </c>
      <c r="O13" s="677">
        <f t="shared" ref="O13:O76" si="6">SQRT(1+(G13/Pole2)^2)</f>
        <v>11.353857174801917</v>
      </c>
      <c r="P13" s="680">
        <f t="shared" ref="P13:P76" si="7">ATAN(G13/Pole2)</f>
        <v>1.4826062597791301</v>
      </c>
      <c r="Q13" s="678">
        <f t="shared" ref="Q13:Q76" si="8">SQRT(1+(G13/Zero2)^2)</f>
        <v>1.0000143286679382</v>
      </c>
      <c r="R13" s="679">
        <f t="shared" ref="R13:R76" si="9">ATAN(G13/Zero2)</f>
        <v>5.3532227392570717E-3</v>
      </c>
      <c r="S13" s="677">
        <f t="shared" ref="S13:S76" si="10">SQRT(1+(G13/pole4)^2)</f>
        <v>1.0000000008792291</v>
      </c>
      <c r="T13" s="680">
        <f t="shared" ref="T13:T76" si="11">ATAN(G13/pole4)</f>
        <v>4.1933978667620292E-5</v>
      </c>
      <c r="U13" s="681">
        <f>IMABS(IMPRODUCT(AO13, AR13))</f>
        <v>0.99959999984121373</v>
      </c>
      <c r="V13" s="682">
        <f>IMARGUMENT(IMPRODUCT(AO13, AR13))</f>
        <v>-2.1942245322913315E-5</v>
      </c>
      <c r="W13" s="683">
        <f t="shared" ref="W13:W76" si="12">20*LOG10(((K13*Q13*M13*U13)/(I13*O13*S13))*Adc)</f>
        <v>84.90712212149819</v>
      </c>
      <c r="X13" s="684">
        <f t="shared" ref="X13:X76" si="13">((L13+R13+N13+V13)-(J13+P13+T13))*radconv</f>
        <v>-85.350417079971976</v>
      </c>
      <c r="Y13" s="685">
        <f t="shared" ref="Y13:Y76" si="14">IF(X13&gt;0,X13,X13+180)</f>
        <v>94.649582920028024</v>
      </c>
      <c r="AA13" s="170">
        <f t="shared" ref="AA13:AA76" si="15">IF(W13&lt;0,G13,1000000000)</f>
        <v>1000000000</v>
      </c>
      <c r="AB13" s="170">
        <f t="shared" ref="AB13:AB76" si="16">G13^2</f>
        <v>1</v>
      </c>
      <c r="AD13" s="686">
        <f t="shared" ref="AD13:AD76" si="17">20*LOG10((Q13/(O13*S13))*Aea)</f>
        <v>84.00270601594363</v>
      </c>
      <c r="AE13" s="687">
        <f t="shared" ref="AE13:AE76" si="18">(R13-(P13+T13))*radconv</f>
        <v>-84.642767031982103</v>
      </c>
      <c r="AG13" s="686">
        <f t="shared" ref="AG13:AG76" si="19">20*LOG10((K13*M13/(I13*U13))*Acs*Am)</f>
        <v>56.003428782314664</v>
      </c>
      <c r="AH13" s="687">
        <f t="shared" ref="AH13:AH76" si="20">(L13+N13-(J13+V13))*radconv</f>
        <v>-0.70513565188691329</v>
      </c>
      <c r="AJ13" s="170">
        <f t="shared" ref="AJ13:AJ76" si="21">SUM((W14&lt;0)*(W13&gt;0))*G13</f>
        <v>0</v>
      </c>
      <c r="AK13" s="170">
        <f t="shared" ref="AK13:AK44" si="22">IF(AJ13&gt;0,Y11,0)</f>
        <v>0</v>
      </c>
      <c r="AM13" s="170" t="str">
        <f>IMSUB(1,IMEXP(COMPLEX(0,-2*Pi*G13*Tsw)))</f>
        <v>4.91288010273649E-10+0.00003134607778953i</v>
      </c>
      <c r="AN13" s="170" t="str">
        <f>COMPLEX(0, 2*Pi*G13*Tsw)</f>
        <v>0.0000313460777946633i</v>
      </c>
      <c r="AO13" s="170" t="str">
        <f>IMDIV(AM13, AN13)</f>
        <v>0.999999999836238-0.0000156730297644221i</v>
      </c>
      <c r="AP13" s="170" t="str">
        <f>IMDIV(IMEXP(COMPLEX(0,-2*Pi*G13*Tsw)),6)</f>
        <v>0.166666666584785-0.000005224346298255i</v>
      </c>
      <c r="AQ13" s="170" t="str">
        <f>IMSUB(1, AP13)</f>
        <v>0.833333333415215+0.000005224346298255i</v>
      </c>
      <c r="AR13" s="170" t="str">
        <f>IMDIV(0.833, AQ13)</f>
        <v>0.999599999862494-6.26670787020503E-06i</v>
      </c>
    </row>
    <row r="14" spans="1:44" ht="13">
      <c r="A14" s="333" t="s">
        <v>736</v>
      </c>
      <c r="B14" s="711">
        <f>Vout+Vfwd1</f>
        <v>170.5</v>
      </c>
      <c r="C14" s="170" t="s">
        <v>0</v>
      </c>
      <c r="D14" s="170" t="s">
        <v>763</v>
      </c>
      <c r="G14" s="688">
        <v>1.0965</v>
      </c>
      <c r="H14" s="676">
        <f t="shared" ref="H14:H77" si="23">G14/1000</f>
        <v>1.0965E-3</v>
      </c>
      <c r="I14" s="677">
        <f t="shared" si="0"/>
        <v>1.0000913448633251</v>
      </c>
      <c r="J14" s="678">
        <f t="shared" si="1"/>
        <v>1.3515761956354668E-2</v>
      </c>
      <c r="K14" s="678">
        <f t="shared" si="2"/>
        <v>1.0000000000050218</v>
      </c>
      <c r="L14" s="679">
        <f t="shared" si="3"/>
        <v>3.1691758334563902E-6</v>
      </c>
      <c r="M14" s="678">
        <f t="shared" si="4"/>
        <v>1.000000000017327</v>
      </c>
      <c r="N14" s="679">
        <f t="shared" si="5"/>
        <v>-5.88678544767304E-6</v>
      </c>
      <c r="O14" s="677">
        <f t="shared" si="6"/>
        <v>12.44137642548716</v>
      </c>
      <c r="P14" s="680">
        <f t="shared" si="7"/>
        <v>1.490332570153392</v>
      </c>
      <c r="Q14" s="689">
        <f t="shared" si="8"/>
        <v>1.0000172275080186</v>
      </c>
      <c r="R14" s="690">
        <f t="shared" si="9"/>
        <v>5.8697973899797121E-3</v>
      </c>
      <c r="S14" s="677">
        <f t="shared" si="10"/>
        <v>1.0000000010571082</v>
      </c>
      <c r="T14" s="680">
        <f t="shared" si="11"/>
        <v>4.5980607603592999E-5</v>
      </c>
      <c r="U14" s="681">
        <f t="shared" ref="U14:U77" si="24">IMABS(IMPRODUCT(AO14, AR14))</f>
        <v>0.99959999980909142</v>
      </c>
      <c r="V14" s="682">
        <f t="shared" ref="V14:V77" si="25">IMARGUMENT(IMPRODUCT(AO14, AR14))</f>
        <v>-2.4059682318220893E-5</v>
      </c>
      <c r="W14" s="683">
        <f t="shared" si="12"/>
        <v>84.112513737219302</v>
      </c>
      <c r="X14" s="684">
        <f t="shared" si="13"/>
        <v>-85.832016659280924</v>
      </c>
      <c r="Y14" s="687">
        <f t="shared" si="14"/>
        <v>94.167983340719076</v>
      </c>
      <c r="AA14" s="170">
        <f t="shared" si="15"/>
        <v>1000000000</v>
      </c>
      <c r="AB14" s="170">
        <f t="shared" si="16"/>
        <v>1.2023122500000001</v>
      </c>
      <c r="AD14" s="686">
        <f t="shared" si="17"/>
        <v>83.20823112245958</v>
      </c>
      <c r="AE14" s="687">
        <f t="shared" si="18"/>
        <v>-85.056086315577176</v>
      </c>
      <c r="AG14" s="686">
        <f t="shared" si="19"/>
        <v>56.003295292078064</v>
      </c>
      <c r="AH14" s="687">
        <f t="shared" si="20"/>
        <v>-0.77317330719408173</v>
      </c>
      <c r="AJ14" s="170">
        <f t="shared" si="21"/>
        <v>0</v>
      </c>
      <c r="AK14" s="170">
        <f t="shared" si="22"/>
        <v>0</v>
      </c>
      <c r="AM14" s="170" t="str">
        <f t="shared" ref="AM14:AM77" si="26">IMSUB(1,IMEXP(COMPLEX(0,-2*Pi*G14*Tsw)))</f>
        <v>5.90681947798544E-10+0.0000343709742950809i</v>
      </c>
      <c r="AN14" s="170" t="str">
        <f t="shared" ref="AN14:AN77" si="27">COMPLEX(0, 2*Pi*G14*Tsw)</f>
        <v>0.0000343709743018483i</v>
      </c>
      <c r="AO14" s="170" t="str">
        <f t="shared" ref="AO14:AO77" si="28">IMDIV(AM14, AN14)</f>
        <v>0.999999999803107-0.0000171854874584332i</v>
      </c>
      <c r="AP14" s="170" t="str">
        <f t="shared" ref="AP14:AP77" si="29">IMDIV(IMEXP(COMPLEX(0,-2*Pi*G14*Tsw)),6)</f>
        <v>0.16666666656822-5.72849571584682E-06i</v>
      </c>
      <c r="AQ14" s="170" t="str">
        <f t="shared" ref="AQ14:AQ77" si="30">IMSUB(1, AP14)</f>
        <v>0.83333333343178+5.72849571584682E-06i</v>
      </c>
      <c r="AR14" s="170" t="str">
        <f t="shared" ref="AR14:AR77" si="31">IMDIV(0.833, AQ14)</f>
        <v>0.999599999834676-6.87144517912434E-06i</v>
      </c>
    </row>
    <row r="15" spans="1:44" ht="13">
      <c r="A15" s="333" t="s">
        <v>735</v>
      </c>
      <c r="B15" s="711">
        <f>'Design Converter'!E11+IF(MODE=2,ABS('Design Converter'!E13*'Design Converter'!L14),0)</f>
        <v>0.63500000000000001</v>
      </c>
      <c r="C15" s="170" t="s">
        <v>1</v>
      </c>
      <c r="G15" s="688">
        <v>1.2022999999999999</v>
      </c>
      <c r="H15" s="676">
        <f t="shared" si="23"/>
        <v>1.2022999999999999E-3</v>
      </c>
      <c r="I15" s="677">
        <f>SQRT(1+(G15/pole1)^2)</f>
        <v>1.0001098217956741</v>
      </c>
      <c r="J15" s="678">
        <f t="shared" si="1"/>
        <v>1.4819699452208552E-2</v>
      </c>
      <c r="K15" s="678">
        <f t="shared" si="2"/>
        <v>1.0000000000060378</v>
      </c>
      <c r="L15" s="679">
        <f t="shared" si="3"/>
        <v>3.4749658956334128E-6</v>
      </c>
      <c r="M15" s="678">
        <f t="shared" si="4"/>
        <v>1.0000000000208322</v>
      </c>
      <c r="N15" s="679">
        <f t="shared" si="5"/>
        <v>-6.4547944767175168E-6</v>
      </c>
      <c r="O15" s="677">
        <f t="shared" si="6"/>
        <v>13.634413995467316</v>
      </c>
      <c r="P15" s="680">
        <f t="shared" si="7"/>
        <v>1.4973865909433812</v>
      </c>
      <c r="Q15" s="689">
        <f t="shared" si="8"/>
        <v>1.0000207123857661</v>
      </c>
      <c r="R15" s="690">
        <f t="shared" si="9"/>
        <v>6.436152308648929E-3</v>
      </c>
      <c r="S15" s="677">
        <f t="shared" si="10"/>
        <v>1.000000001270948</v>
      </c>
      <c r="T15" s="680">
        <f t="shared" si="11"/>
        <v>5.0417222538913623E-5</v>
      </c>
      <c r="U15" s="681">
        <f t="shared" si="24"/>
        <v>0.9995999997704702</v>
      </c>
      <c r="V15" s="682">
        <f t="shared" si="25"/>
        <v>-2.6381182523143074E-5</v>
      </c>
      <c r="W15" s="683">
        <f t="shared" si="12"/>
        <v>83.317022600986817</v>
      </c>
      <c r="X15" s="684">
        <f t="shared" si="13"/>
        <v>-86.278844883885583</v>
      </c>
      <c r="Y15" s="687">
        <f t="shared" si="14"/>
        <v>93.721155116114417</v>
      </c>
      <c r="AA15" s="170">
        <f t="shared" si="15"/>
        <v>1000000000</v>
      </c>
      <c r="AB15" s="170">
        <f t="shared" si="16"/>
        <v>1.4455252899999997</v>
      </c>
      <c r="AD15" s="686">
        <f t="shared" si="17"/>
        <v>82.412900458977788</v>
      </c>
      <c r="AE15" s="687">
        <f t="shared" si="18"/>
        <v>-85.42805638863102</v>
      </c>
      <c r="AG15" s="686">
        <f t="shared" si="19"/>
        <v>56.003134819998543</v>
      </c>
      <c r="AH15" s="687">
        <f t="shared" si="20"/>
        <v>-0.8477654344168295</v>
      </c>
      <c r="AJ15" s="170">
        <f t="shared" si="21"/>
        <v>0</v>
      </c>
      <c r="AK15" s="170">
        <f t="shared" si="22"/>
        <v>0</v>
      </c>
      <c r="AM15" s="170" t="str">
        <f t="shared" si="26"/>
        <v>7.10170033890734E-10+0.0000376873893236022i</v>
      </c>
      <c r="AN15" s="170" t="str">
        <f t="shared" si="27"/>
        <v>0.0000376873893325237i</v>
      </c>
      <c r="AO15" s="170" t="str">
        <f t="shared" si="28"/>
        <v>0.999999999763276-0.0000188437046574056i</v>
      </c>
      <c r="AP15" s="170" t="str">
        <f t="shared" si="29"/>
        <v>0.166666666548305-0.0000062812315539337i</v>
      </c>
      <c r="AQ15" s="170" t="str">
        <f t="shared" si="30"/>
        <v>0.833333333451695+0.0000062812315539337i</v>
      </c>
      <c r="AR15" s="170" t="str">
        <f t="shared" si="31"/>
        <v>0.999599999801232-7.53446287100619E-06i</v>
      </c>
    </row>
    <row r="16" spans="1:44" ht="13">
      <c r="A16" s="333" t="s">
        <v>3</v>
      </c>
      <c r="B16" s="711">
        <f>VIN_nom</f>
        <v>12.5</v>
      </c>
      <c r="C16" s="170" t="s">
        <v>0</v>
      </c>
      <c r="G16" s="688">
        <v>1.3183</v>
      </c>
      <c r="H16" s="676">
        <f t="shared" si="23"/>
        <v>1.3183000000000001E-3</v>
      </c>
      <c r="I16" s="677">
        <f t="shared" si="0"/>
        <v>1.0001320342270497</v>
      </c>
      <c r="J16" s="678">
        <f t="shared" si="1"/>
        <v>1.6249289286321047E-2</v>
      </c>
      <c r="K16" s="678">
        <f t="shared" si="2"/>
        <v>1.0000000000072591</v>
      </c>
      <c r="L16" s="679">
        <f t="shared" si="3"/>
        <v>3.8102366632369609E-6</v>
      </c>
      <c r="M16" s="678">
        <f t="shared" si="4"/>
        <v>1.000000000025046</v>
      </c>
      <c r="N16" s="679">
        <f t="shared" si="5"/>
        <v>-7.0775643006178151E-6</v>
      </c>
      <c r="O16" s="677">
        <f t="shared" si="6"/>
        <v>14.943119487105452</v>
      </c>
      <c r="P16" s="680">
        <f t="shared" si="7"/>
        <v>1.5038258458495424</v>
      </c>
      <c r="Q16" s="689">
        <f t="shared" si="8"/>
        <v>1.0000249018737184</v>
      </c>
      <c r="R16" s="690">
        <f t="shared" si="9"/>
        <v>7.0571037935624054E-3</v>
      </c>
      <c r="S16" s="677">
        <f t="shared" si="10"/>
        <v>1.0000000015280257</v>
      </c>
      <c r="T16" s="680">
        <f t="shared" si="11"/>
        <v>5.5281564053612853E-5</v>
      </c>
      <c r="U16" s="681">
        <f t="shared" si="24"/>
        <v>0.9995999997240439</v>
      </c>
      <c r="V16" s="682">
        <f t="shared" si="25"/>
        <v>-2.8926468512444393E-5</v>
      </c>
      <c r="W16" s="683">
        <f t="shared" si="12"/>
        <v>82.520770228472045</v>
      </c>
      <c r="X16" s="684">
        <f t="shared" si="13"/>
        <v>-86.694559591120367</v>
      </c>
      <c r="Y16" s="687">
        <f t="shared" si="14"/>
        <v>93.305440408879633</v>
      </c>
      <c r="AA16" s="170">
        <f t="shared" si="15"/>
        <v>1000000000</v>
      </c>
      <c r="AB16" s="170">
        <f t="shared" si="16"/>
        <v>1.7379148900000001</v>
      </c>
      <c r="AD16" s="686">
        <f t="shared" si="17"/>
        <v>81.616840998218379</v>
      </c>
      <c r="AE16" s="687">
        <f t="shared" si="18"/>
        <v>-85.76169932521519</v>
      </c>
      <c r="AG16" s="686">
        <f t="shared" si="19"/>
        <v>56.00294190905003</v>
      </c>
      <c r="AH16" s="687">
        <f t="shared" si="20"/>
        <v>-0.92954553677742935</v>
      </c>
      <c r="AJ16" s="170">
        <f t="shared" si="21"/>
        <v>0</v>
      </c>
      <c r="AK16" s="170">
        <f t="shared" si="22"/>
        <v>0</v>
      </c>
      <c r="AM16" s="170" t="str">
        <f t="shared" si="26"/>
        <v>8.53817017087977E-10+0.0000413235343449437i</v>
      </c>
      <c r="AN16" s="170" t="str">
        <f t="shared" si="27"/>
        <v>0.0000413235343567046i</v>
      </c>
      <c r="AO16" s="170" t="str">
        <f t="shared" si="28"/>
        <v>0.999999999715395-0.0000206617616421149i</v>
      </c>
      <c r="AP16" s="170" t="str">
        <f t="shared" si="29"/>
        <v>0.166666666524364-6.88725572415728E-06i</v>
      </c>
      <c r="AQ16" s="170" t="str">
        <f t="shared" si="30"/>
        <v>0.833333333475636+6.88725572415728E-06i</v>
      </c>
      <c r="AR16" s="170" t="str">
        <f t="shared" si="31"/>
        <v>0.999599999761027-8.26140098285536E-06i</v>
      </c>
    </row>
    <row r="17" spans="1:44">
      <c r="G17" s="688">
        <v>1.4454</v>
      </c>
      <c r="H17" s="676">
        <f t="shared" si="23"/>
        <v>1.4454000000000001E-3</v>
      </c>
      <c r="I17" s="677">
        <f t="shared" si="0"/>
        <v>1.0001587187848648</v>
      </c>
      <c r="J17" s="678">
        <f t="shared" si="1"/>
        <v>1.7815599606181325E-2</v>
      </c>
      <c r="K17" s="678">
        <f t="shared" si="2"/>
        <v>1.0000000000087261</v>
      </c>
      <c r="L17" s="679">
        <f t="shared" si="3"/>
        <v>4.1775893749808974E-6</v>
      </c>
      <c r="M17" s="678">
        <f t="shared" si="4"/>
        <v>1.0000000000301084</v>
      </c>
      <c r="N17" s="679">
        <f t="shared" si="5"/>
        <v>-7.7599267542125946E-6</v>
      </c>
      <c r="O17" s="677">
        <f t="shared" si="6"/>
        <v>16.377646783184598</v>
      </c>
      <c r="P17" s="680">
        <f t="shared" si="7"/>
        <v>1.5096994902633263</v>
      </c>
      <c r="Q17" s="689">
        <f t="shared" si="8"/>
        <v>1.0000299349495194</v>
      </c>
      <c r="R17" s="690">
        <f t="shared" si="9"/>
        <v>7.7374676461440545E-3</v>
      </c>
      <c r="S17" s="677">
        <f t="shared" si="10"/>
        <v>1.0000000018368691</v>
      </c>
      <c r="T17" s="680">
        <f t="shared" si="11"/>
        <v>6.0611372727482457E-5</v>
      </c>
      <c r="U17" s="681">
        <f t="shared" si="24"/>
        <v>0.99959999966826685</v>
      </c>
      <c r="V17" s="682">
        <f t="shared" si="25"/>
        <v>-3.1715328403665438E-5</v>
      </c>
      <c r="W17" s="683">
        <f t="shared" si="12"/>
        <v>81.724377569347141</v>
      </c>
      <c r="X17" s="684">
        <f t="shared" si="13"/>
        <v>-87.082338834456237</v>
      </c>
      <c r="Y17" s="687">
        <f t="shared" si="14"/>
        <v>92.917661165543763</v>
      </c>
      <c r="AA17" s="170">
        <f t="shared" si="15"/>
        <v>1000000000</v>
      </c>
      <c r="AB17" s="170">
        <f t="shared" si="16"/>
        <v>2.0891811599999999</v>
      </c>
      <c r="AD17" s="686">
        <f t="shared" si="17"/>
        <v>80.820680084955313</v>
      </c>
      <c r="AE17" s="687">
        <f t="shared" si="18"/>
        <v>-86.059557759082395</v>
      </c>
      <c r="AG17" s="686">
        <f t="shared" si="19"/>
        <v>56.00271016415752</v>
      </c>
      <c r="AH17" s="687">
        <f t="shared" si="20"/>
        <v>-1.0191467664428868</v>
      </c>
      <c r="AJ17" s="170">
        <f t="shared" si="21"/>
        <v>0</v>
      </c>
      <c r="AK17" s="170">
        <f t="shared" si="22"/>
        <v>0</v>
      </c>
      <c r="AM17" s="170" t="str">
        <f t="shared" si="26"/>
        <v>1.02638997301341E-09+0.0000453076208289052i</v>
      </c>
      <c r="AN17" s="170" t="str">
        <f t="shared" si="27"/>
        <v>0.0000453076208444063i</v>
      </c>
      <c r="AO17" s="170" t="str">
        <f t="shared" si="28"/>
        <v>0.99999999965787-0.0000226538042361173i</v>
      </c>
      <c r="AP17" s="170" t="str">
        <f t="shared" si="29"/>
        <v>0.166666666495602-7.55127013815087E-06i</v>
      </c>
      <c r="AQ17" s="170" t="str">
        <f t="shared" si="30"/>
        <v>0.833333333504398+7.55127013815087E-06i</v>
      </c>
      <c r="AR17" s="170" t="str">
        <f t="shared" si="31"/>
        <v>0.999599999712726-9.05789955165221E-06i</v>
      </c>
    </row>
    <row r="18" spans="1:44">
      <c r="A18" s="170" t="s">
        <v>742</v>
      </c>
      <c r="B18" s="715">
        <f>Vout_eff*Npri_sec/Vin_eff</f>
        <v>0.68200000000000005</v>
      </c>
      <c r="C18" s="170" t="s">
        <v>686</v>
      </c>
      <c r="G18" s="688">
        <v>1.5849</v>
      </c>
      <c r="H18" s="676">
        <f t="shared" si="23"/>
        <v>1.5849E-3</v>
      </c>
      <c r="I18" s="677">
        <f t="shared" si="0"/>
        <v>1.0001908310269674</v>
      </c>
      <c r="J18" s="678">
        <f t="shared" si="1"/>
        <v>1.9534619773161181E-2</v>
      </c>
      <c r="K18" s="678">
        <f t="shared" si="2"/>
        <v>1.0000000000104918</v>
      </c>
      <c r="L18" s="679">
        <f t="shared" si="3"/>
        <v>4.5807813756741596E-6</v>
      </c>
      <c r="M18" s="678">
        <f t="shared" si="4"/>
        <v>1.0000000000362004</v>
      </c>
      <c r="N18" s="679">
        <f t="shared" si="5"/>
        <v>-8.5088611544912074E-6</v>
      </c>
      <c r="O18" s="677">
        <f t="shared" si="6"/>
        <v>17.952669336058641</v>
      </c>
      <c r="P18" s="680">
        <f t="shared" si="7"/>
        <v>1.5150654589307329</v>
      </c>
      <c r="Q18" s="689">
        <f t="shared" si="8"/>
        <v>1.000035991905919</v>
      </c>
      <c r="R18" s="690">
        <f t="shared" si="9"/>
        <v>8.4842001906592999E-3</v>
      </c>
      <c r="S18" s="677">
        <f t="shared" si="10"/>
        <v>1.0000000022085431</v>
      </c>
      <c r="T18" s="680">
        <f t="shared" si="11"/>
        <v>6.6461162731412898E-5</v>
      </c>
      <c r="U18" s="681">
        <f t="shared" si="24"/>
        <v>0.99959999960114188</v>
      </c>
      <c r="V18" s="682">
        <f t="shared" si="25"/>
        <v>-3.477627806344865E-5</v>
      </c>
      <c r="W18" s="683">
        <f t="shared" si="12"/>
        <v>80.926600671388499</v>
      </c>
      <c r="X18" s="684">
        <f t="shared" si="13"/>
        <v>-87.446024527109046</v>
      </c>
      <c r="Y18" s="687">
        <f t="shared" si="14"/>
        <v>92.553975472890954</v>
      </c>
      <c r="AA18" s="170">
        <f t="shared" si="15"/>
        <v>1000000000</v>
      </c>
      <c r="AB18" s="170">
        <f t="shared" si="16"/>
        <v>2.51190801</v>
      </c>
      <c r="AD18" s="686">
        <f t="shared" si="17"/>
        <v>80.023182062162363</v>
      </c>
      <c r="AE18" s="687">
        <f t="shared" si="18"/>
        <v>-86.324555662079504</v>
      </c>
      <c r="AG18" s="686">
        <f t="shared" si="19"/>
        <v>56.002431290158377</v>
      </c>
      <c r="AH18" s="687">
        <f t="shared" si="20"/>
        <v>-1.1174837971045604</v>
      </c>
      <c r="AJ18" s="170">
        <f t="shared" si="21"/>
        <v>0</v>
      </c>
      <c r="AK18" s="170">
        <f t="shared" si="22"/>
        <v>0</v>
      </c>
      <c r="AM18" s="170" t="str">
        <f t="shared" si="26"/>
        <v>1.23407095653505E-09+0.0000496803986763254i</v>
      </c>
      <c r="AN18" s="170" t="str">
        <f t="shared" si="27"/>
        <v>0.0000496803986967618i</v>
      </c>
      <c r="AO18" s="170" t="str">
        <f t="shared" si="28"/>
        <v>0.999999999588642-0.0000248401983258538i</v>
      </c>
      <c r="AP18" s="170" t="str">
        <f t="shared" si="29"/>
        <v>0.166666666460988-8.28006644605423E-06i</v>
      </c>
      <c r="AQ18" s="170" t="str">
        <f t="shared" si="30"/>
        <v>0.833333333539012+8.28006644605423E-06i</v>
      </c>
      <c r="AR18" s="170" t="str">
        <f t="shared" si="31"/>
        <v>0.999599999654598-9.93210529748765E-06i</v>
      </c>
    </row>
    <row r="19" spans="1:44">
      <c r="A19" s="170" t="s">
        <v>759</v>
      </c>
      <c r="B19" s="170">
        <f>1/'Calculations - Single'!AQ105/1000*0+1/CHOOSE(MODE, 'Calculations - Single'!AQ105,'Calculations - Dual'!AP105)/1000</f>
        <v>4.9888832332643889E-6</v>
      </c>
      <c r="C19" s="170" t="s">
        <v>51</v>
      </c>
      <c r="G19" s="688">
        <v>1.7378</v>
      </c>
      <c r="H19" s="676">
        <f t="shared" si="23"/>
        <v>1.7378000000000001E-3</v>
      </c>
      <c r="I19" s="677">
        <f t="shared" si="0"/>
        <v>1.0002294227405248</v>
      </c>
      <c r="J19" s="678">
        <f t="shared" si="1"/>
        <v>2.1418631458711097E-2</v>
      </c>
      <c r="K19" s="678">
        <f t="shared" si="2"/>
        <v>1.0000000000126139</v>
      </c>
      <c r="L19" s="679">
        <f t="shared" si="3"/>
        <v>5.0227029305541633E-6</v>
      </c>
      <c r="M19" s="678">
        <f t="shared" si="4"/>
        <v>1.0000000000435221</v>
      </c>
      <c r="N19" s="679">
        <f t="shared" si="5"/>
        <v>-9.3297362068285982E-6</v>
      </c>
      <c r="O19" s="677">
        <f t="shared" si="6"/>
        <v>19.679478545251072</v>
      </c>
      <c r="P19" s="680">
        <f t="shared" si="7"/>
        <v>1.5199600788585879</v>
      </c>
      <c r="Q19" s="689">
        <f t="shared" si="8"/>
        <v>1.0000432712179335</v>
      </c>
      <c r="R19" s="690">
        <f t="shared" si="9"/>
        <v>9.3026509833793701E-3</v>
      </c>
      <c r="S19" s="677">
        <f t="shared" si="10"/>
        <v>1.0000000026552274</v>
      </c>
      <c r="T19" s="680">
        <f t="shared" si="11"/>
        <v>7.2872868042309151E-5</v>
      </c>
      <c r="U19" s="681">
        <f t="shared" si="24"/>
        <v>0.99959999952047374</v>
      </c>
      <c r="V19" s="682">
        <f t="shared" si="25"/>
        <v>-3.8131257989850618E-5</v>
      </c>
      <c r="W19" s="683">
        <f t="shared" si="12"/>
        <v>80.128637663976917</v>
      </c>
      <c r="X19" s="684">
        <f t="shared" si="13"/>
        <v>-87.788099035939936</v>
      </c>
      <c r="Y19" s="687">
        <f t="shared" si="14"/>
        <v>92.211900964060064</v>
      </c>
      <c r="AA19" s="170">
        <f t="shared" si="15"/>
        <v>1000000000</v>
      </c>
      <c r="AB19" s="170">
        <f t="shared" si="16"/>
        <v>3.0199488400000001</v>
      </c>
      <c r="AD19" s="686">
        <f t="shared" si="17"/>
        <v>79.225554188314206</v>
      </c>
      <c r="AE19" s="687">
        <f t="shared" si="18"/>
        <v>-86.558470314025314</v>
      </c>
      <c r="AG19" s="686">
        <f t="shared" si="19"/>
        <v>56.002096157996853</v>
      </c>
      <c r="AH19" s="687">
        <f t="shared" si="20"/>
        <v>-1.2252592016089525</v>
      </c>
      <c r="AJ19" s="170">
        <f t="shared" si="21"/>
        <v>0</v>
      </c>
      <c r="AK19" s="170">
        <f t="shared" si="22"/>
        <v>0</v>
      </c>
      <c r="AM19" s="170" t="str">
        <f t="shared" si="26"/>
        <v>1.48366596786076E-09+0.0000544732139646259i</v>
      </c>
      <c r="AN19" s="170" t="str">
        <f t="shared" si="27"/>
        <v>0.0000544732139915659i</v>
      </c>
      <c r="AO19" s="170" t="str">
        <f t="shared" si="28"/>
        <v>0.999999999505445-0.0000272366151938543i</v>
      </c>
      <c r="AP19" s="170" t="str">
        <f t="shared" si="29"/>
        <v>0.166666666419389-9.07886899410432E-06i</v>
      </c>
      <c r="AQ19" s="170" t="str">
        <f t="shared" si="30"/>
        <v>0.833333333580611+9.07886899410432E-06i</v>
      </c>
      <c r="AR19" s="170" t="str">
        <f t="shared" si="31"/>
        <v>0.99959999958474-0.0000108902849280524i</v>
      </c>
    </row>
    <row r="20" spans="1:44">
      <c r="G20" s="688">
        <v>1.9055</v>
      </c>
      <c r="H20" s="676">
        <f t="shared" si="23"/>
        <v>1.9055000000000001E-3</v>
      </c>
      <c r="I20" s="677">
        <f t="shared" si="0"/>
        <v>1.0002758320374017</v>
      </c>
      <c r="J20" s="678">
        <f t="shared" si="1"/>
        <v>2.3484831255980367E-2</v>
      </c>
      <c r="K20" s="678">
        <f t="shared" si="2"/>
        <v>1.0000000000151656</v>
      </c>
      <c r="L20" s="679">
        <f t="shared" si="3"/>
        <v>5.5074004109533182E-6</v>
      </c>
      <c r="M20" s="678">
        <f t="shared" si="4"/>
        <v>1.000000000052327</v>
      </c>
      <c r="N20" s="679">
        <f t="shared" si="5"/>
        <v>-1.0230068098749879E-5</v>
      </c>
      <c r="O20" s="677">
        <f t="shared" si="6"/>
        <v>21.573885890409944</v>
      </c>
      <c r="P20" s="680">
        <f t="shared" si="7"/>
        <v>1.5244273767792089</v>
      </c>
      <c r="Q20" s="689">
        <f t="shared" si="8"/>
        <v>1.0000520254132717</v>
      </c>
      <c r="R20" s="690">
        <f t="shared" si="9"/>
        <v>1.0200309587021462E-2</v>
      </c>
      <c r="S20" s="677">
        <f t="shared" si="10"/>
        <v>1.0000000031924201</v>
      </c>
      <c r="T20" s="680">
        <f t="shared" si="11"/>
        <v>7.9905196227926474E-5</v>
      </c>
      <c r="U20" s="681">
        <f t="shared" si="24"/>
        <v>0.99959999942345801</v>
      </c>
      <c r="V20" s="682">
        <f t="shared" si="25"/>
        <v>-4.1810973095836665E-5</v>
      </c>
      <c r="W20" s="683">
        <f t="shared" si="12"/>
        <v>79.330014874030638</v>
      </c>
      <c r="X20" s="684">
        <f t="shared" si="13"/>
        <v>-88.111646400538987</v>
      </c>
      <c r="Y20" s="687">
        <f t="shared" si="14"/>
        <v>91.888353599461013</v>
      </c>
      <c r="AA20" s="170">
        <f t="shared" si="15"/>
        <v>1000000000</v>
      </c>
      <c r="AB20" s="170">
        <f t="shared" si="16"/>
        <v>3.63093025</v>
      </c>
      <c r="AD20" s="686">
        <f t="shared" si="17"/>
        <v>78.427334403333305</v>
      </c>
      <c r="AE20" s="687">
        <f t="shared" si="18"/>
        <v>-86.763398504231517</v>
      </c>
      <c r="AG20" s="686">
        <f t="shared" si="19"/>
        <v>56.001693154717472</v>
      </c>
      <c r="AH20" s="687">
        <f t="shared" si="20"/>
        <v>-1.3434567117105454</v>
      </c>
      <c r="AJ20" s="170">
        <f t="shared" si="21"/>
        <v>0</v>
      </c>
      <c r="AK20" s="170">
        <f t="shared" si="22"/>
        <v>0</v>
      </c>
      <c r="AM20" s="170" t="str">
        <f t="shared" si="26"/>
        <v>1.7838339694265E-09+0.0000597299512022148i</v>
      </c>
      <c r="AN20" s="170" t="str">
        <f t="shared" si="27"/>
        <v>0.0000597299512377309i</v>
      </c>
      <c r="AO20" s="170" t="str">
        <f t="shared" si="28"/>
        <v>0.999999999405389-0.0000298649828513449i</v>
      </c>
      <c r="AP20" s="170" t="str">
        <f t="shared" si="29"/>
        <v>0.166666666369361-0.0000099549918670358i</v>
      </c>
      <c r="AQ20" s="170" t="str">
        <f t="shared" si="30"/>
        <v>0.833333333630639+0.0000099549918670358i</v>
      </c>
      <c r="AR20" s="170" t="str">
        <f t="shared" si="31"/>
        <v>0.999599999500726-0.0000119412118341222i</v>
      </c>
    </row>
    <row r="21" spans="1:44" ht="13">
      <c r="A21" s="333" t="s">
        <v>738</v>
      </c>
      <c r="B21" s="718">
        <f>Vout_eff/Iout_eff</f>
        <v>268.50393700787401</v>
      </c>
      <c r="C21" s="706" t="s">
        <v>45</v>
      </c>
      <c r="D21" s="706"/>
      <c r="E21" s="706"/>
      <c r="G21" s="688">
        <v>2.0893000000000002</v>
      </c>
      <c r="H21" s="676">
        <f t="shared" si="23"/>
        <v>2.0893000000000001E-3</v>
      </c>
      <c r="I21" s="677">
        <f t="shared" si="0"/>
        <v>1.0003316013586581</v>
      </c>
      <c r="J21" s="678">
        <f t="shared" si="1"/>
        <v>2.5749165100843369E-2</v>
      </c>
      <c r="K21" s="678">
        <f t="shared" si="2"/>
        <v>1.0000000000182325</v>
      </c>
      <c r="L21" s="679">
        <f t="shared" si="3"/>
        <v>6.0386311616800014E-6</v>
      </c>
      <c r="M21" s="678">
        <f t="shared" si="4"/>
        <v>1.0000000000629088</v>
      </c>
      <c r="N21" s="679">
        <f t="shared" si="5"/>
        <v>-1.1216836147240799E-5</v>
      </c>
      <c r="O21" s="677">
        <f t="shared" si="6"/>
        <v>23.6505768759245</v>
      </c>
      <c r="P21" s="680">
        <f t="shared" si="7"/>
        <v>1.5285014512732087</v>
      </c>
      <c r="Q21" s="689">
        <f t="shared" si="8"/>
        <v>1.0000625456278904</v>
      </c>
      <c r="R21" s="690">
        <f t="shared" si="9"/>
        <v>1.118412876369268E-2</v>
      </c>
      <c r="S21" s="677">
        <f t="shared" si="10"/>
        <v>1.0000000038379893</v>
      </c>
      <c r="T21" s="680">
        <f t="shared" si="11"/>
        <v>8.7612661457442531E-5</v>
      </c>
      <c r="U21" s="681">
        <f t="shared" si="24"/>
        <v>0.99959999930686949</v>
      </c>
      <c r="V21" s="682">
        <f t="shared" si="25"/>
        <v>-4.5843949719553165E-5</v>
      </c>
      <c r="W21" s="683">
        <f t="shared" si="12"/>
        <v>78.531354759878099</v>
      </c>
      <c r="X21" s="684">
        <f t="shared" si="13"/>
        <v>-88.419140539042814</v>
      </c>
      <c r="Y21" s="687">
        <f t="shared" si="14"/>
        <v>91.580859460957186</v>
      </c>
      <c r="AA21" s="170">
        <f t="shared" si="15"/>
        <v>1000000000</v>
      </c>
      <c r="AB21" s="170">
        <f t="shared" si="16"/>
        <v>4.3651744900000002</v>
      </c>
      <c r="AD21" s="686">
        <f t="shared" si="17"/>
        <v>77.629158549167471</v>
      </c>
      <c r="AE21" s="687">
        <f t="shared" si="18"/>
        <v>-86.940898696963529</v>
      </c>
      <c r="AG21" s="686">
        <f t="shared" si="19"/>
        <v>56.001208896756935</v>
      </c>
      <c r="AH21" s="687">
        <f t="shared" si="20"/>
        <v>-1.4729885124029964</v>
      </c>
      <c r="AJ21" s="170">
        <f t="shared" si="21"/>
        <v>0</v>
      </c>
      <c r="AK21" s="170">
        <f t="shared" si="22"/>
        <v>0</v>
      </c>
      <c r="AM21" s="170" t="str">
        <f t="shared" si="26"/>
        <v>2.14455897484811E-09+0.0000654913602895733i</v>
      </c>
      <c r="AN21" s="170" t="str">
        <f t="shared" si="27"/>
        <v>0.00006549136033639i</v>
      </c>
      <c r="AO21" s="170" t="str">
        <f t="shared" si="28"/>
        <v>0.999999999285147-0.0000327456776563014i</v>
      </c>
      <c r="AP21" s="170" t="str">
        <f t="shared" si="29"/>
        <v>0.16666666630924-0.0000109152267149289i</v>
      </c>
      <c r="AQ21" s="170" t="str">
        <f t="shared" si="30"/>
        <v>0.83333333369076+0.0000109152267149289i</v>
      </c>
      <c r="AR21" s="170" t="str">
        <f t="shared" si="31"/>
        <v>0.999599999399763-0.0000130930327356137i</v>
      </c>
    </row>
    <row r="22" spans="1:44">
      <c r="A22" s="170" t="s">
        <v>737</v>
      </c>
      <c r="B22" s="718">
        <f>Rload_sec*(Npri_sec^2)</f>
        <v>0.67125984251968518</v>
      </c>
      <c r="C22" s="706" t="s">
        <v>45</v>
      </c>
      <c r="D22" s="706"/>
      <c r="E22" s="706"/>
      <c r="G22" s="688">
        <v>2.2909000000000002</v>
      </c>
      <c r="H22" s="676">
        <f t="shared" si="23"/>
        <v>2.2909000000000002E-3</v>
      </c>
      <c r="I22" s="677">
        <f t="shared" si="0"/>
        <v>1.0003986689353435</v>
      </c>
      <c r="J22" s="678">
        <f t="shared" si="1"/>
        <v>2.8232482460910879E-2</v>
      </c>
      <c r="K22" s="678">
        <f t="shared" si="2"/>
        <v>1.0000000000219209</v>
      </c>
      <c r="L22" s="679">
        <f t="shared" si="3"/>
        <v>6.6213086336374371E-6</v>
      </c>
      <c r="M22" s="678">
        <f t="shared" si="4"/>
        <v>1.0000000000756346</v>
      </c>
      <c r="N22" s="679">
        <f t="shared" si="5"/>
        <v>-1.2299167151436335E-5</v>
      </c>
      <c r="O22" s="677">
        <f t="shared" si="6"/>
        <v>25.928759349673332</v>
      </c>
      <c r="P22" s="680">
        <f>ATAN(G22/Pole2)</f>
        <v>1.5322195457933292</v>
      </c>
      <c r="Q22" s="689">
        <f t="shared" si="8"/>
        <v>1.0000751977533175</v>
      </c>
      <c r="R22" s="690">
        <f t="shared" si="9"/>
        <v>1.226320034640993E-2</v>
      </c>
      <c r="S22" s="677">
        <f t="shared" si="10"/>
        <v>1.0000000046143911</v>
      </c>
      <c r="T22" s="680">
        <f t="shared" si="11"/>
        <v>9.6066551490435253E-5</v>
      </c>
      <c r="U22" s="681">
        <f t="shared" si="24"/>
        <v>0.99959999916665454</v>
      </c>
      <c r="V22" s="682">
        <f t="shared" si="25"/>
        <v>-5.02675037899144E-5</v>
      </c>
      <c r="W22" s="683">
        <f t="shared" si="12"/>
        <v>77.732082338328581</v>
      </c>
      <c r="X22" s="684">
        <f t="shared" si="13"/>
        <v>-88.713395470890561</v>
      </c>
      <c r="Y22" s="687">
        <f t="shared" si="14"/>
        <v>91.286604529109439</v>
      </c>
      <c r="AA22" s="170">
        <f t="shared" si="15"/>
        <v>1000000000</v>
      </c>
      <c r="AB22" s="170">
        <f t="shared" si="16"/>
        <v>5.2482228100000006</v>
      </c>
      <c r="AD22" s="686">
        <f t="shared" si="17"/>
        <v>76.830468457634595</v>
      </c>
      <c r="AE22" s="687">
        <f t="shared" si="18"/>
        <v>-87.092587945707649</v>
      </c>
      <c r="AG22" s="686">
        <f t="shared" si="19"/>
        <v>56.000626569177044</v>
      </c>
      <c r="AH22" s="687">
        <f t="shared" si="20"/>
        <v>-1.6150472935486961</v>
      </c>
      <c r="AJ22" s="170">
        <f t="shared" si="21"/>
        <v>0</v>
      </c>
      <c r="AK22" s="170">
        <f t="shared" si="22"/>
        <v>0</v>
      </c>
      <c r="AM22" s="170" t="str">
        <f t="shared" si="26"/>
        <v>2.57838994599524E-09+0.0000718107295580754i</v>
      </c>
      <c r="AN22" s="170" t="str">
        <f t="shared" si="27"/>
        <v>0.0000718107296197941i</v>
      </c>
      <c r="AO22" s="170" t="str">
        <f t="shared" si="28"/>
        <v>0.999999999140537-0.0000359053578712634i</v>
      </c>
      <c r="AP22" s="170" t="str">
        <f t="shared" si="29"/>
        <v>0.166666666236935-0.0000119684549263459i</v>
      </c>
      <c r="AQ22" s="170" t="str">
        <f t="shared" si="30"/>
        <v>0.833333333763065+0.0000119684549263459i</v>
      </c>
      <c r="AR22" s="170" t="str">
        <f t="shared" si="31"/>
        <v>0.99959999927834-0.0000143564010354826i</v>
      </c>
    </row>
    <row r="23" spans="1:44">
      <c r="B23" s="633"/>
      <c r="G23" s="688">
        <v>2.5118999999999998</v>
      </c>
      <c r="H23" s="676">
        <f t="shared" si="23"/>
        <v>2.5118999999999996E-3</v>
      </c>
      <c r="I23" s="677">
        <f t="shared" si="0"/>
        <v>1.0004792778116107</v>
      </c>
      <c r="J23" s="678">
        <f t="shared" si="1"/>
        <v>3.0954368582895585E-2</v>
      </c>
      <c r="K23" s="678">
        <f t="shared" si="2"/>
        <v>1.0000000000263543</v>
      </c>
      <c r="L23" s="679">
        <f t="shared" si="3"/>
        <v>7.2600572512046442E-6</v>
      </c>
      <c r="M23" s="678">
        <f t="shared" si="4"/>
        <v>1.0000000000909313</v>
      </c>
      <c r="N23" s="679">
        <f t="shared" si="5"/>
        <v>-1.3485651039930978E-5</v>
      </c>
      <c r="O23" s="677">
        <f t="shared" si="6"/>
        <v>28.42651433670742</v>
      </c>
      <c r="P23" s="680">
        <f t="shared" si="7"/>
        <v>1.5356106421663356</v>
      </c>
      <c r="Q23" s="689">
        <f t="shared" si="8"/>
        <v>1.0000904053205963</v>
      </c>
      <c r="R23" s="690">
        <f t="shared" si="9"/>
        <v>1.3446078252551494E-2</v>
      </c>
      <c r="S23" s="677">
        <f t="shared" si="10"/>
        <v>1.0000000055476217</v>
      </c>
      <c r="T23" s="680">
        <f t="shared" si="11"/>
        <v>1.0533396068736857E-4</v>
      </c>
      <c r="U23" s="681">
        <f t="shared" si="24"/>
        <v>0.99959999899811425</v>
      </c>
      <c r="V23" s="682">
        <f t="shared" si="25"/>
        <v>-5.5116748485120785E-5</v>
      </c>
      <c r="W23" s="683">
        <f t="shared" si="12"/>
        <v>76.932677101777102</v>
      </c>
      <c r="X23" s="684">
        <f t="shared" si="13"/>
        <v>-88.99670986432163</v>
      </c>
      <c r="Y23" s="687">
        <f t="shared" si="14"/>
        <v>91.00329013567837</v>
      </c>
      <c r="AA23" s="170">
        <f t="shared" si="15"/>
        <v>1000000000</v>
      </c>
      <c r="AB23" s="170">
        <f t="shared" si="16"/>
        <v>6.309641609999999</v>
      </c>
      <c r="AD23" s="686">
        <f t="shared" si="17"/>
        <v>76.031763074963095</v>
      </c>
      <c r="AE23" s="687">
        <f t="shared" si="18"/>
        <v>-87.219640527681022</v>
      </c>
      <c r="AG23" s="686">
        <f t="shared" si="19"/>
        <v>55.999926718226092</v>
      </c>
      <c r="AH23" s="687">
        <f t="shared" si="20"/>
        <v>-1.770753422496024</v>
      </c>
      <c r="AJ23" s="170">
        <f t="shared" si="21"/>
        <v>0</v>
      </c>
      <c r="AK23" s="170">
        <f t="shared" si="22"/>
        <v>0</v>
      </c>
      <c r="AM23" s="170" t="str">
        <f t="shared" si="26"/>
        <v>3.09985304092208E-09+0.0000787382127310557i</v>
      </c>
      <c r="AN23" s="170" t="str">
        <f t="shared" si="27"/>
        <v>0.0000787382128124147i</v>
      </c>
      <c r="AO23" s="170" t="str">
        <f t="shared" si="28"/>
        <v>0.999999998966715-0.0000393691059296348i</v>
      </c>
      <c r="AP23" s="170" t="str">
        <f t="shared" si="29"/>
        <v>0.166666666150024-0.0000131230354551759i</v>
      </c>
      <c r="AQ23" s="170" t="str">
        <f t="shared" si="30"/>
        <v>0.833333333849976+0.0000131230354551759i</v>
      </c>
      <c r="AR23" s="170" t="str">
        <f t="shared" si="31"/>
        <v>0.999599999132388-0.0000157413434657706i</v>
      </c>
    </row>
    <row r="24" spans="1:44">
      <c r="D24" s="712"/>
      <c r="E24" s="189"/>
      <c r="G24" s="688">
        <v>2.7542</v>
      </c>
      <c r="H24" s="676">
        <f t="shared" si="23"/>
        <v>2.7542000000000001E-3</v>
      </c>
      <c r="I24" s="677">
        <f t="shared" si="0"/>
        <v>1.0005761725247735</v>
      </c>
      <c r="J24" s="678">
        <f t="shared" si="1"/>
        <v>3.3938061673418334E-2</v>
      </c>
      <c r="K24" s="678">
        <f t="shared" si="2"/>
        <v>1.0000000000316838</v>
      </c>
      <c r="L24" s="679">
        <f t="shared" si="3"/>
        <v>7.960368518331458E-6</v>
      </c>
      <c r="M24" s="678">
        <f t="shared" si="4"/>
        <v>1.0000000001093201</v>
      </c>
      <c r="N24" s="679">
        <f t="shared" si="5"/>
        <v>-1.4786488352929085E-5</v>
      </c>
      <c r="O24" s="677">
        <f t="shared" si="6"/>
        <v>31.165315723641097</v>
      </c>
      <c r="P24" s="680">
        <f t="shared" si="7"/>
        <v>1.5387038659375265</v>
      </c>
      <c r="Q24" s="689">
        <f t="shared" si="8"/>
        <v>1.0001086866685782</v>
      </c>
      <c r="R24" s="690">
        <f t="shared" si="9"/>
        <v>1.474291867290353E-2</v>
      </c>
      <c r="S24" s="677">
        <f t="shared" si="10"/>
        <v>1.0000000066694972</v>
      </c>
      <c r="T24" s="680">
        <f t="shared" si="11"/>
        <v>1.1549456360053017E-4</v>
      </c>
      <c r="U24" s="681">
        <f t="shared" si="24"/>
        <v>0.99959999879550787</v>
      </c>
      <c r="V24" s="682">
        <f t="shared" si="25"/>
        <v>-6.0433355720092612E-5</v>
      </c>
      <c r="W24" s="683">
        <f t="shared" si="12"/>
        <v>76.133036267265851</v>
      </c>
      <c r="X24" s="684">
        <f t="shared" si="13"/>
        <v>-89.271509256903613</v>
      </c>
      <c r="Y24" s="687">
        <f t="shared" si="14"/>
        <v>90.728490743096387</v>
      </c>
      <c r="AA24" s="170">
        <f t="shared" si="15"/>
        <v>1000000000</v>
      </c>
      <c r="AB24" s="170">
        <f t="shared" si="16"/>
        <v>7.5856176399999997</v>
      </c>
      <c r="AD24" s="686">
        <f t="shared" si="17"/>
        <v>75.232963414883955</v>
      </c>
      <c r="AE24" s="687">
        <f t="shared" si="18"/>
        <v>-87.323147871854175</v>
      </c>
      <c r="AG24" s="686">
        <f t="shared" si="19"/>
        <v>55.999085547315026</v>
      </c>
      <c r="AH24" s="687">
        <f t="shared" si="20"/>
        <v>-1.9414362325923795</v>
      </c>
      <c r="AJ24" s="170">
        <f t="shared" si="21"/>
        <v>0</v>
      </c>
      <c r="AK24" s="170">
        <f t="shared" si="22"/>
        <v>0</v>
      </c>
      <c r="AM24" s="170" t="str">
        <f t="shared" si="26"/>
        <v>3.72672503967664E-09+0.0000863333673548147i</v>
      </c>
      <c r="AN24" s="170" t="str">
        <f t="shared" si="27"/>
        <v>0.0000863333674620616i</v>
      </c>
      <c r="AO24" s="170" t="str">
        <f t="shared" si="28"/>
        <v>0.999999998757758-0.0000431666822369035i</v>
      </c>
      <c r="AP24" s="170" t="str">
        <f t="shared" si="29"/>
        <v>0.166666666045546-0.0000143888945591358i</v>
      </c>
      <c r="AQ24" s="170" t="str">
        <f t="shared" si="30"/>
        <v>0.833333333954454+0.0000143888945591358i</v>
      </c>
      <c r="AR24" s="170" t="str">
        <f t="shared" si="31"/>
        <v>0.999599998956935-0.0000172597667706998i</v>
      </c>
    </row>
    <row r="25" spans="1:44" ht="13">
      <c r="A25" s="333" t="s">
        <v>751</v>
      </c>
      <c r="B25" s="711">
        <f>'Design Converter'!E34+'Design Converter'!E34*0+IF(MODE=2,ABS('Design Converter'!L34*('Design Converter'!L14)^2),0)</f>
        <v>10.269500000000001</v>
      </c>
      <c r="C25" s="170" t="s">
        <v>749</v>
      </c>
      <c r="D25" s="709">
        <f>Cout_sec*0.000001</f>
        <v>1.0269500000000001E-5</v>
      </c>
      <c r="E25" s="170" t="s">
        <v>13</v>
      </c>
      <c r="G25" s="688">
        <v>3.02</v>
      </c>
      <c r="H25" s="676">
        <f t="shared" si="23"/>
        <v>3.0200000000000001E-3</v>
      </c>
      <c r="I25" s="677">
        <f t="shared" si="0"/>
        <v>1.0006927079715695</v>
      </c>
      <c r="J25" s="678">
        <f t="shared" si="1"/>
        <v>3.7210437716225835E-2</v>
      </c>
      <c r="K25" s="678">
        <f t="shared" si="2"/>
        <v>1.0000000000380942</v>
      </c>
      <c r="L25" s="679">
        <f t="shared" si="3"/>
        <v>8.7286010185383265E-6</v>
      </c>
      <c r="M25" s="678">
        <f t="shared" si="4"/>
        <v>1.0000000001314386</v>
      </c>
      <c r="N25" s="679">
        <f t="shared" si="5"/>
        <v>-1.6213490242243616E-5</v>
      </c>
      <c r="O25" s="677">
        <f t="shared" si="6"/>
        <v>34.170031130667752</v>
      </c>
      <c r="P25" s="680">
        <f t="shared" si="7"/>
        <v>1.5415267368649452</v>
      </c>
      <c r="Q25" s="689">
        <f t="shared" si="8"/>
        <v>1.000130675581268</v>
      </c>
      <c r="R25" s="690">
        <f t="shared" si="9"/>
        <v>1.6165478821551373E-2</v>
      </c>
      <c r="S25" s="677">
        <f t="shared" si="10"/>
        <v>1.0000000080189226</v>
      </c>
      <c r="T25" s="680">
        <f t="shared" si="11"/>
        <v>1.2664061497342984E-4</v>
      </c>
      <c r="U25" s="681">
        <f t="shared" si="24"/>
        <v>0.99959999855180537</v>
      </c>
      <c r="V25" s="682">
        <f t="shared" si="25"/>
        <v>-6.626561073344471E-5</v>
      </c>
      <c r="W25" s="683">
        <f t="shared" si="12"/>
        <v>75.332738780926988</v>
      </c>
      <c r="X25" s="684">
        <f t="shared" si="13"/>
        <v>-89.540245021078405</v>
      </c>
      <c r="Y25" s="687">
        <f t="shared" si="14"/>
        <v>90.459754978921595</v>
      </c>
      <c r="AA25" s="170">
        <f t="shared" si="15"/>
        <v>1000000000</v>
      </c>
      <c r="AB25" s="170">
        <f t="shared" si="16"/>
        <v>9.1204000000000001</v>
      </c>
      <c r="AD25" s="686">
        <f t="shared" si="17"/>
        <v>74.433677502663699</v>
      </c>
      <c r="AE25" s="687">
        <f t="shared" si="18"/>
        <v>-87.404018391278726</v>
      </c>
      <c r="AG25" s="686">
        <f t="shared" si="19"/>
        <v>55.998073977431659</v>
      </c>
      <c r="AH25" s="687">
        <f t="shared" si="20"/>
        <v>-2.1286331501472335</v>
      </c>
      <c r="AJ25" s="170">
        <f t="shared" si="21"/>
        <v>0</v>
      </c>
      <c r="AK25" s="170">
        <f t="shared" si="22"/>
        <v>0</v>
      </c>
      <c r="AM25" s="170" t="str">
        <f t="shared" si="26"/>
        <v>4.4807459964602E-09+0.0000946651547984929i</v>
      </c>
      <c r="AN25" s="170" t="str">
        <f t="shared" si="27"/>
        <v>0.0000946651549398831i</v>
      </c>
      <c r="AO25" s="170" t="str">
        <f t="shared" si="28"/>
        <v>0.999999998506418-0.0000473325797576277i</v>
      </c>
      <c r="AP25" s="170" t="str">
        <f t="shared" si="29"/>
        <v>0.166666665919876-0.0000157775257997488i</v>
      </c>
      <c r="AQ25" s="170" t="str">
        <f t="shared" si="30"/>
        <v>0.833333334080124+0.0000157775257997488i</v>
      </c>
      <c r="AR25" s="170" t="str">
        <f t="shared" si="31"/>
        <v>0.999599998745893-0.0000189254577066106i</v>
      </c>
    </row>
    <row r="26" spans="1:44" ht="13">
      <c r="A26" s="333" t="s">
        <v>746</v>
      </c>
      <c r="B26" s="711">
        <f>IF(MODE=2,('Design Converter'!E35*'Design Converter'!E34+'Design Converter'!L34*'Design Converter'!L35)/Cout_sec,'Design Converter'!E35)</f>
        <v>44.792833146696523</v>
      </c>
      <c r="C26" s="170" t="s">
        <v>748</v>
      </c>
      <c r="D26" s="189">
        <f>B26*0.001</f>
        <v>4.4792833146696527E-2</v>
      </c>
      <c r="E26" s="706" t="s">
        <v>45</v>
      </c>
      <c r="G26" s="688">
        <v>3.3113000000000001</v>
      </c>
      <c r="H26" s="676">
        <f t="shared" si="23"/>
        <v>3.3113000000000001E-3</v>
      </c>
      <c r="I26" s="677">
        <f t="shared" si="0"/>
        <v>1.0008327276101587</v>
      </c>
      <c r="J26" s="678">
        <f t="shared" si="1"/>
        <v>4.0795836987612501E-2</v>
      </c>
      <c r="K26" s="678">
        <f t="shared" si="2"/>
        <v>1.0000000000457976</v>
      </c>
      <c r="L26" s="679">
        <f t="shared" si="3"/>
        <v>9.5705352822971959E-6</v>
      </c>
      <c r="M26" s="678">
        <f t="shared" si="4"/>
        <v>1.0000000001580178</v>
      </c>
      <c r="N26" s="679">
        <f t="shared" si="5"/>
        <v>-1.7777394118605952E-5</v>
      </c>
      <c r="O26" s="677">
        <f t="shared" si="6"/>
        <v>37.463269455085516</v>
      </c>
      <c r="P26" s="680">
        <f t="shared" si="7"/>
        <v>1.5441003442052437</v>
      </c>
      <c r="Q26" s="689">
        <f t="shared" si="8"/>
        <v>1.0001570984411556</v>
      </c>
      <c r="R26" s="690">
        <f t="shared" si="9"/>
        <v>1.7724439472786273E-2</v>
      </c>
      <c r="S26" s="677">
        <f t="shared" si="10"/>
        <v>1.000000009640492</v>
      </c>
      <c r="T26" s="680">
        <f t="shared" si="11"/>
        <v>1.3885598275105524E-4</v>
      </c>
      <c r="U26" s="681">
        <f t="shared" si="24"/>
        <v>0.99959999825895129</v>
      </c>
      <c r="V26" s="682">
        <f t="shared" si="25"/>
        <v>-7.2657391177116191E-5</v>
      </c>
      <c r="W26" s="683">
        <f t="shared" si="12"/>
        <v>74.532546938976381</v>
      </c>
      <c r="X26" s="684">
        <f t="shared" si="13"/>
        <v>-89.804915717354433</v>
      </c>
      <c r="Y26" s="687">
        <f t="shared" si="14"/>
        <v>90.195084282645567</v>
      </c>
      <c r="AA26" s="170">
        <f t="shared" si="15"/>
        <v>1000000000</v>
      </c>
      <c r="AB26" s="170">
        <f t="shared" si="16"/>
        <v>10.964707690000001</v>
      </c>
      <c r="AD26" s="686">
        <f t="shared" si="17"/>
        <v>73.634700931183275</v>
      </c>
      <c r="AE26" s="687">
        <f t="shared" si="18"/>
        <v>-87.462853253345088</v>
      </c>
      <c r="AG26" s="686">
        <f t="shared" si="19"/>
        <v>55.996858712050908</v>
      </c>
      <c r="AH26" s="687">
        <f t="shared" si="20"/>
        <v>-2.3337365402700776</v>
      </c>
      <c r="AJ26" s="170">
        <f t="shared" si="21"/>
        <v>0</v>
      </c>
      <c r="AK26" s="170">
        <f t="shared" si="22"/>
        <v>0</v>
      </c>
      <c r="AM26" s="170" t="str">
        <f t="shared" si="26"/>
        <v>5.38683297968134E-09+0.000103796267215091i</v>
      </c>
      <c r="AN26" s="170" t="str">
        <f t="shared" si="27"/>
        <v>0.000103796267401469i</v>
      </c>
      <c r="AO26" s="170" t="str">
        <f t="shared" si="28"/>
        <v>0.999999998204386-0.0000518981377128509i</v>
      </c>
      <c r="AP26" s="170" t="str">
        <f t="shared" si="29"/>
        <v>0.166666665768861-0.0000172993778691818i</v>
      </c>
      <c r="AQ26" s="170" t="str">
        <f t="shared" si="30"/>
        <v>0.833333334231139+0.0000172993778691818i</v>
      </c>
      <c r="AR26" s="170" t="str">
        <f t="shared" si="31"/>
        <v>0.99959999849229-0.0000207509496879856i</v>
      </c>
    </row>
    <row r="27" spans="1:44">
      <c r="A27" s="170" t="s">
        <v>740</v>
      </c>
      <c r="B27" s="717">
        <f>Cout_sec/Npri_sec^2</f>
        <v>4107.7999999999993</v>
      </c>
      <c r="C27" s="170" t="s">
        <v>749</v>
      </c>
      <c r="D27" s="709">
        <f>Cout_pri*0.000001</f>
        <v>4.1077999999999991E-3</v>
      </c>
      <c r="E27" s="170" t="s">
        <v>13</v>
      </c>
      <c r="G27" s="688">
        <v>3.6307999999999998</v>
      </c>
      <c r="H27" s="676">
        <f t="shared" si="23"/>
        <v>3.6308E-3</v>
      </c>
      <c r="I27" s="677">
        <f t="shared" si="0"/>
        <v>1.0010010920595995</v>
      </c>
      <c r="J27" s="678">
        <f t="shared" si="1"/>
        <v>4.4727119692535955E-2</v>
      </c>
      <c r="K27" s="678">
        <f t="shared" si="2"/>
        <v>1.0000000000550617</v>
      </c>
      <c r="L27" s="679">
        <f t="shared" si="3"/>
        <v>1.0493975025745188E-5</v>
      </c>
      <c r="M27" s="678">
        <f t="shared" si="4"/>
        <v>1.0000000001899827</v>
      </c>
      <c r="N27" s="679">
        <f t="shared" si="5"/>
        <v>-1.9492695486503494E-5</v>
      </c>
      <c r="O27" s="677">
        <f t="shared" si="6"/>
        <v>41.075555031296886</v>
      </c>
      <c r="P27" s="680">
        <f t="shared" si="7"/>
        <v>1.5464485411468125</v>
      </c>
      <c r="Q27" s="689">
        <f t="shared" si="8"/>
        <v>1.0001888741711784</v>
      </c>
      <c r="R27" s="690">
        <f t="shared" si="9"/>
        <v>1.9434219721504352E-2</v>
      </c>
      <c r="S27" s="677">
        <f t="shared" si="10"/>
        <v>1.0000000115906233</v>
      </c>
      <c r="T27" s="680">
        <f t="shared" si="11"/>
        <v>1.5225388865916148E-4</v>
      </c>
      <c r="U27" s="681">
        <f t="shared" si="24"/>
        <v>0.99959999790676624</v>
      </c>
      <c r="V27" s="682">
        <f t="shared" si="25"/>
        <v>-7.9667933269704595E-5</v>
      </c>
      <c r="W27" s="683">
        <f t="shared" si="12"/>
        <v>73.731806525839929</v>
      </c>
      <c r="X27" s="684">
        <f t="shared" si="13"/>
        <v>-90.067954895056815</v>
      </c>
      <c r="Y27" s="687">
        <f t="shared" si="14"/>
        <v>89.932045104943185</v>
      </c>
      <c r="AA27" s="170">
        <f t="shared" si="15"/>
        <v>1000000000</v>
      </c>
      <c r="AB27" s="170">
        <f t="shared" si="16"/>
        <v>13.182708639999998</v>
      </c>
      <c r="AD27" s="686">
        <f t="shared" si="17"/>
        <v>72.835421576123196</v>
      </c>
      <c r="AE27" s="687">
        <f t="shared" si="18"/>
        <v>-87.500199478921658</v>
      </c>
      <c r="AG27" s="686">
        <f t="shared" si="19"/>
        <v>55.995397660095065</v>
      </c>
      <c r="AH27" s="687">
        <f t="shared" si="20"/>
        <v>-2.5586261434469746</v>
      </c>
      <c r="AJ27" s="170">
        <f t="shared" si="21"/>
        <v>0</v>
      </c>
      <c r="AK27" s="170">
        <f t="shared" si="22"/>
        <v>0</v>
      </c>
      <c r="AM27" s="170" t="str">
        <f t="shared" si="26"/>
        <v>6.47650999496818E-09+0.000113811339011163i</v>
      </c>
      <c r="AN27" s="170" t="str">
        <f t="shared" si="27"/>
        <v>0.000113811339256863i</v>
      </c>
      <c r="AO27" s="170" t="str">
        <f t="shared" si="28"/>
        <v>0.999999997841164-0.0000569056654394622i</v>
      </c>
      <c r="AP27" s="170" t="str">
        <f t="shared" si="29"/>
        <v>0.166666665587248-0.0000189685565018605i</v>
      </c>
      <c r="AQ27" s="170" t="str">
        <f t="shared" si="30"/>
        <v>0.833333334412752+0.0000189685565018605i</v>
      </c>
      <c r="AR27" s="170" t="str">
        <f t="shared" si="31"/>
        <v>0.999599998187302-0.0000227531628243784i</v>
      </c>
    </row>
    <row r="28" spans="1:44">
      <c r="B28" s="633"/>
      <c r="D28" s="189"/>
      <c r="G28" s="688">
        <v>3.9811000000000001</v>
      </c>
      <c r="H28" s="676">
        <f t="shared" si="23"/>
        <v>3.9811000000000004E-3</v>
      </c>
      <c r="I28" s="677">
        <f t="shared" si="0"/>
        <v>1.0012034598808148</v>
      </c>
      <c r="J28" s="678">
        <f t="shared" si="1"/>
        <v>4.9035786712151398E-2</v>
      </c>
      <c r="K28" s="678">
        <f t="shared" si="2"/>
        <v>1.000000000066199</v>
      </c>
      <c r="L28" s="679">
        <f t="shared" si="3"/>
        <v>1.1506434938493991E-5</v>
      </c>
      <c r="M28" s="678">
        <f t="shared" si="4"/>
        <v>1.0000000002284102</v>
      </c>
      <c r="N28" s="679">
        <f t="shared" si="5"/>
        <v>-2.1373352979875238E-5</v>
      </c>
      <c r="O28" s="677">
        <f t="shared" si="6"/>
        <v>45.03628372424545</v>
      </c>
      <c r="P28" s="680">
        <f t="shared" si="7"/>
        <v>1.548590183048183</v>
      </c>
      <c r="Q28" s="689">
        <f t="shared" si="8"/>
        <v>1.0002270731566547</v>
      </c>
      <c r="R28" s="690">
        <f t="shared" si="9"/>
        <v>2.1308692895789669E-2</v>
      </c>
      <c r="S28" s="677">
        <f t="shared" si="10"/>
        <v>1.0000000139350431</v>
      </c>
      <c r="T28" s="680">
        <f t="shared" si="11"/>
        <v>1.6694336102060885E-4</v>
      </c>
      <c r="U28" s="681">
        <f t="shared" si="24"/>
        <v>0.99959999748336614</v>
      </c>
      <c r="V28" s="682">
        <f t="shared" si="25"/>
        <v>-8.7354305572407876E-5</v>
      </c>
      <c r="W28" s="683">
        <f t="shared" si="12"/>
        <v>72.930800297141644</v>
      </c>
      <c r="X28" s="684">
        <f t="shared" si="13"/>
        <v>-90.331462756908408</v>
      </c>
      <c r="Y28" s="687">
        <f t="shared" si="14"/>
        <v>89.668537243091592</v>
      </c>
      <c r="AA28" s="170">
        <f t="shared" si="15"/>
        <v>1000000000</v>
      </c>
      <c r="AB28" s="170">
        <f t="shared" si="16"/>
        <v>15.849157210000001</v>
      </c>
      <c r="AD28" s="686">
        <f t="shared" si="17"/>
        <v>72.036171159854547</v>
      </c>
      <c r="AE28" s="687">
        <f t="shared" si="18"/>
        <v>-87.516348764189544</v>
      </c>
      <c r="AG28" s="686">
        <f t="shared" si="19"/>
        <v>55.993641855023569</v>
      </c>
      <c r="AH28" s="687">
        <f t="shared" si="20"/>
        <v>-2.8051039266442346</v>
      </c>
      <c r="AJ28" s="170">
        <f t="shared" si="21"/>
        <v>0</v>
      </c>
      <c r="AK28" s="170">
        <f t="shared" si="22"/>
        <v>0</v>
      </c>
      <c r="AM28" s="170" t="str">
        <f t="shared" si="26"/>
        <v>7.78650499633216E-09+0.000124791869984436i</v>
      </c>
      <c r="AN28" s="170" t="str">
        <f t="shared" si="27"/>
        <v>0.000124791870308334i</v>
      </c>
      <c r="AO28" s="170" t="str">
        <f t="shared" si="28"/>
        <v>0.999999997404494-0.000062395931538596i</v>
      </c>
      <c r="AP28" s="170" t="str">
        <f t="shared" si="29"/>
        <v>0.166666665368916-0.000020798644997406i</v>
      </c>
      <c r="AQ28" s="170" t="str">
        <f t="shared" si="30"/>
        <v>0.833333334631084+0.000020798644997406i</v>
      </c>
      <c r="AR28" s="170" t="str">
        <f t="shared" si="31"/>
        <v>0.999599997820651-0.0000249483905540433i</v>
      </c>
    </row>
    <row r="29" spans="1:44">
      <c r="B29" s="633"/>
      <c r="D29" s="189"/>
      <c r="G29" s="688">
        <v>4.3651999999999997</v>
      </c>
      <c r="H29" s="676">
        <f t="shared" si="23"/>
        <v>4.3651999999999996E-3</v>
      </c>
      <c r="I29" s="677">
        <f t="shared" si="0"/>
        <v>1.0014467082265894</v>
      </c>
      <c r="J29" s="678">
        <f t="shared" si="1"/>
        <v>5.3758092224650111E-2</v>
      </c>
      <c r="K29" s="678">
        <f t="shared" si="2"/>
        <v>1.0000000000795892</v>
      </c>
      <c r="L29" s="679">
        <f t="shared" si="3"/>
        <v>1.2616585816248171E-5</v>
      </c>
      <c r="M29" s="678">
        <f t="shared" si="4"/>
        <v>1.0000000002746106</v>
      </c>
      <c r="N29" s="679">
        <f t="shared" si="5"/>
        <v>-2.3435472714796846E-5</v>
      </c>
      <c r="O29" s="677">
        <f t="shared" si="6"/>
        <v>49.379375572150877</v>
      </c>
      <c r="P29" s="680">
        <f t="shared" si="7"/>
        <v>1.5505435724004288</v>
      </c>
      <c r="Q29" s="689">
        <f t="shared" si="8"/>
        <v>1.0002729970450064</v>
      </c>
      <c r="R29" s="690">
        <f t="shared" si="9"/>
        <v>2.3363858984147053E-2</v>
      </c>
      <c r="S29" s="677">
        <f t="shared" si="10"/>
        <v>1.0000000167536884</v>
      </c>
      <c r="T29" s="680">
        <f t="shared" si="11"/>
        <v>1.8305020174268081E-4</v>
      </c>
      <c r="U29" s="681">
        <f t="shared" si="24"/>
        <v>0.99959999697433222</v>
      </c>
      <c r="V29" s="682">
        <f t="shared" si="25"/>
        <v>-9.5782327429557086E-5</v>
      </c>
      <c r="W29" s="683">
        <f t="shared" si="12"/>
        <v>72.129428081168413</v>
      </c>
      <c r="X29" s="684">
        <f t="shared" si="13"/>
        <v>-90.597659843092785</v>
      </c>
      <c r="Y29" s="687">
        <f t="shared" si="14"/>
        <v>89.402340156907215</v>
      </c>
      <c r="AA29" s="170">
        <f t="shared" si="15"/>
        <v>1000000000</v>
      </c>
      <c r="AB29" s="170">
        <f t="shared" si="16"/>
        <v>19.054971039999998</v>
      </c>
      <c r="AD29" s="686">
        <f t="shared" si="17"/>
        <v>71.236908980113157</v>
      </c>
      <c r="AE29" s="687">
        <f t="shared" si="18"/>
        <v>-87.511440240746794</v>
      </c>
      <c r="AG29" s="686">
        <f t="shared" si="19"/>
        <v>55.991531827638106</v>
      </c>
      <c r="AH29" s="687">
        <f t="shared" si="20"/>
        <v>-3.0752437561061385</v>
      </c>
      <c r="AJ29" s="170">
        <f t="shared" si="21"/>
        <v>0</v>
      </c>
      <c r="AK29" s="170">
        <f t="shared" si="22"/>
        <v>0</v>
      </c>
      <c r="AM29" s="170" t="str">
        <f t="shared" si="26"/>
        <v>9.36148403241077E-09+0.000136831898362281i</v>
      </c>
      <c r="AN29" s="170" t="str">
        <f t="shared" si="27"/>
        <v>0.000136831898789264i</v>
      </c>
      <c r="AO29" s="170" t="str">
        <f t="shared" si="28"/>
        <v>0.999999996879507-0.0000684159477084249i</v>
      </c>
      <c r="AP29" s="170" t="str">
        <f t="shared" si="29"/>
        <v>0.166666665106419-0.0000228053163937135i</v>
      </c>
      <c r="AQ29" s="170" t="str">
        <f t="shared" si="30"/>
        <v>0.833333334893581+0.0000228053163937135i</v>
      </c>
      <c r="AR29" s="170" t="str">
        <f t="shared" si="31"/>
        <v>0.999599997379833-0.0000273554329976652i</v>
      </c>
    </row>
    <row r="30" spans="1:44">
      <c r="A30" s="170" t="s">
        <v>18</v>
      </c>
      <c r="B30" s="714">
        <f>Vref</f>
        <v>1</v>
      </c>
      <c r="C30" s="170" t="s">
        <v>0</v>
      </c>
      <c r="D30" s="189"/>
      <c r="G30" s="688">
        <v>4.7862999999999998</v>
      </c>
      <c r="H30" s="676">
        <f t="shared" si="23"/>
        <v>4.7862999999999994E-3</v>
      </c>
      <c r="I30" s="677">
        <f t="shared" si="0"/>
        <v>1.0017390379616484</v>
      </c>
      <c r="J30" s="678">
        <f t="shared" si="1"/>
        <v>5.8932528964493372E-2</v>
      </c>
      <c r="K30" s="678">
        <f t="shared" si="2"/>
        <v>1.0000000000956852</v>
      </c>
      <c r="L30" s="679">
        <f t="shared" si="3"/>
        <v>1.3833676507756947E-5</v>
      </c>
      <c r="M30" s="678">
        <f t="shared" si="4"/>
        <v>1.0000000003301481</v>
      </c>
      <c r="N30" s="679">
        <f t="shared" si="5"/>
        <v>-2.5696234548400781E-5</v>
      </c>
      <c r="O30" s="677">
        <f t="shared" si="6"/>
        <v>54.14101357323559</v>
      </c>
      <c r="P30" s="680">
        <f t="shared" si="7"/>
        <v>1.5523249905323282</v>
      </c>
      <c r="Q30" s="689">
        <f t="shared" si="8"/>
        <v>1.0003281991865818</v>
      </c>
      <c r="R30" s="690">
        <f t="shared" si="9"/>
        <v>2.5616769876729204E-2</v>
      </c>
      <c r="S30" s="677">
        <f t="shared" si="10"/>
        <v>1.0000000201419714</v>
      </c>
      <c r="T30" s="680">
        <f t="shared" si="11"/>
        <v>2.007085995193657E-4</v>
      </c>
      <c r="U30" s="681">
        <f t="shared" si="24"/>
        <v>0.99959999636241637</v>
      </c>
      <c r="V30" s="682">
        <f t="shared" si="25"/>
        <v>-1.0502221037000181E-4</v>
      </c>
      <c r="W30" s="683">
        <f t="shared" si="12"/>
        <v>71.327756513317013</v>
      </c>
      <c r="X30" s="684">
        <f t="shared" si="13"/>
        <v>-90.86871964060775</v>
      </c>
      <c r="Y30" s="687">
        <f t="shared" si="14"/>
        <v>89.13128035939225</v>
      </c>
      <c r="AA30" s="170">
        <f t="shared" si="15"/>
        <v>1000000000</v>
      </c>
      <c r="AB30" s="170">
        <f t="shared" si="16"/>
        <v>22.908667689999998</v>
      </c>
      <c r="AD30" s="686">
        <f t="shared" si="17"/>
        <v>70.43777252268967</v>
      </c>
      <c r="AE30" s="687">
        <f t="shared" si="18"/>
        <v>-87.485437447124554</v>
      </c>
      <c r="AG30" s="686">
        <f t="shared" si="19"/>
        <v>55.988996727844508</v>
      </c>
      <c r="AH30" s="687">
        <f t="shared" si="20"/>
        <v>-3.3712475346507831</v>
      </c>
      <c r="AJ30" s="170">
        <f t="shared" si="21"/>
        <v>0</v>
      </c>
      <c r="AK30" s="170">
        <f t="shared" si="22"/>
        <v>0</v>
      </c>
      <c r="AM30" s="170" t="str">
        <f t="shared" si="26"/>
        <v>1.12547600128465E-08+0.00015003173158574i</v>
      </c>
      <c r="AN30" s="170" t="str">
        <f t="shared" si="27"/>
        <v>0.000150031732148597i</v>
      </c>
      <c r="AO30" s="170" t="str">
        <f t="shared" si="28"/>
        <v>0.999999996248414-0.0000750158639886885i</v>
      </c>
      <c r="AP30" s="170" t="str">
        <f t="shared" si="29"/>
        <v>0.166666664790873-0.0000250052885976233i</v>
      </c>
      <c r="AQ30" s="170" t="str">
        <f t="shared" si="30"/>
        <v>0.833333335209127+0.0000250052885976233i</v>
      </c>
      <c r="AR30" s="170" t="str">
        <f t="shared" si="31"/>
        <v>0.999599996849927-0.0000299943436165831i</v>
      </c>
    </row>
    <row r="31" spans="1:44">
      <c r="A31" s="170" t="s">
        <v>745</v>
      </c>
      <c r="B31" s="714">
        <v>600</v>
      </c>
      <c r="C31" s="170" t="s">
        <v>753</v>
      </c>
      <c r="D31" s="708">
        <f>B31*0.000001</f>
        <v>5.9999999999999995E-4</v>
      </c>
      <c r="E31" s="170" t="s">
        <v>754</v>
      </c>
      <c r="G31" s="688">
        <v>5.2481</v>
      </c>
      <c r="H31" s="676">
        <f t="shared" si="23"/>
        <v>5.2481000000000003E-3</v>
      </c>
      <c r="I31" s="677">
        <f t="shared" si="0"/>
        <v>1.0020904375642508</v>
      </c>
      <c r="J31" s="678">
        <f t="shared" si="1"/>
        <v>6.4603443264605931E-2</v>
      </c>
      <c r="K31" s="678">
        <f t="shared" si="2"/>
        <v>1.0000000001150402</v>
      </c>
      <c r="L31" s="679">
        <f t="shared" si="3"/>
        <v>1.5168400994384483E-5</v>
      </c>
      <c r="M31" s="678">
        <f t="shared" si="4"/>
        <v>1.0000000003969294</v>
      </c>
      <c r="N31" s="679">
        <f t="shared" si="5"/>
        <v>-2.8175502690482885E-5</v>
      </c>
      <c r="O31" s="677">
        <f t="shared" si="6"/>
        <v>59.363035938707029</v>
      </c>
      <c r="P31" s="680">
        <f t="shared" si="7"/>
        <v>1.5539500303518374</v>
      </c>
      <c r="Q31" s="689">
        <f t="shared" si="8"/>
        <v>1.0003945730882784</v>
      </c>
      <c r="R31" s="690">
        <f t="shared" si="9"/>
        <v>2.8087128440341374E-2</v>
      </c>
      <c r="S31" s="677">
        <f t="shared" si="10"/>
        <v>1.0000000242162195</v>
      </c>
      <c r="T31" s="680">
        <f t="shared" si="11"/>
        <v>2.2007371002163273E-4</v>
      </c>
      <c r="U31" s="681">
        <f t="shared" si="24"/>
        <v>0.99959999562661939</v>
      </c>
      <c r="V31" s="682">
        <f t="shared" si="25"/>
        <v>-1.1515514437747089E-4</v>
      </c>
      <c r="W31" s="683">
        <f t="shared" si="12"/>
        <v>70.525491964155691</v>
      </c>
      <c r="X31" s="684">
        <f t="shared" si="13"/>
        <v>-91.146961590897348</v>
      </c>
      <c r="Y31" s="687">
        <f t="shared" si="14"/>
        <v>88.853038409102652</v>
      </c>
      <c r="AA31" s="170">
        <f t="shared" si="15"/>
        <v>1000000000</v>
      </c>
      <c r="AB31" s="170">
        <f t="shared" si="16"/>
        <v>27.542553609999999</v>
      </c>
      <c r="AD31" s="686">
        <f t="shared" si="17"/>
        <v>69.63855436434342</v>
      </c>
      <c r="AE31" s="687">
        <f t="shared" si="18"/>
        <v>-87.438113789791657</v>
      </c>
      <c r="AG31" s="686">
        <f t="shared" si="19"/>
        <v>55.985950349816662</v>
      </c>
      <c r="AH31" s="687">
        <f t="shared" si="20"/>
        <v>-3.6956519935665177</v>
      </c>
      <c r="AJ31" s="170">
        <f t="shared" si="21"/>
        <v>0</v>
      </c>
      <c r="AK31" s="170">
        <f t="shared" si="22"/>
        <v>0</v>
      </c>
      <c r="AM31" s="170" t="str">
        <f t="shared" si="26"/>
        <v>1.35313340532406E-08+0.000164507350132171i</v>
      </c>
      <c r="AN31" s="170" t="str">
        <f t="shared" si="27"/>
        <v>0.000164507350874172i</v>
      </c>
      <c r="AO31" s="170" t="str">
        <f t="shared" si="28"/>
        <v>0.999999995489557-0.0000822536742664491i</v>
      </c>
      <c r="AP31" s="170" t="str">
        <f t="shared" si="29"/>
        <v>0.166666664411444-0.0000274178916886952i</v>
      </c>
      <c r="AQ31" s="170" t="str">
        <f t="shared" si="30"/>
        <v>0.833333335588556+0.0000274178916886952i</v>
      </c>
      <c r="AR31" s="170" t="str">
        <f t="shared" si="31"/>
        <v>0.999599996212741-0.0000328883092248127i</v>
      </c>
    </row>
    <row r="32" spans="1:44">
      <c r="A32" s="170" t="s">
        <v>741</v>
      </c>
      <c r="B32" s="714">
        <v>300</v>
      </c>
      <c r="C32" s="706" t="s">
        <v>747</v>
      </c>
      <c r="D32" s="708">
        <f>B32*1000000</f>
        <v>300000000</v>
      </c>
      <c r="E32" s="706" t="s">
        <v>45</v>
      </c>
      <c r="G32" s="688">
        <v>5.7544000000000004</v>
      </c>
      <c r="H32" s="676">
        <f t="shared" si="23"/>
        <v>5.7544000000000007E-3</v>
      </c>
      <c r="I32" s="677">
        <f t="shared" si="0"/>
        <v>1.0025127049957083</v>
      </c>
      <c r="J32" s="678">
        <f t="shared" si="1"/>
        <v>7.0816027100227025E-2</v>
      </c>
      <c r="K32" s="678">
        <f t="shared" si="2"/>
        <v>1.0000000001383076</v>
      </c>
      <c r="L32" s="679">
        <f t="shared" si="3"/>
        <v>1.6631742284013671E-5</v>
      </c>
      <c r="M32" s="678">
        <f t="shared" si="4"/>
        <v>1.0000000004772096</v>
      </c>
      <c r="N32" s="679">
        <f t="shared" si="5"/>
        <v>-3.0893678221344358E-5</v>
      </c>
      <c r="O32" s="677">
        <f t="shared" si="6"/>
        <v>65.0884129947719</v>
      </c>
      <c r="P32" s="680">
        <f t="shared" si="7"/>
        <v>1.5554320046551577</v>
      </c>
      <c r="Q32" s="689">
        <f t="shared" si="8"/>
        <v>1.0004743577832944</v>
      </c>
      <c r="R32" s="690">
        <f t="shared" si="9"/>
        <v>3.0795140733886693E-2</v>
      </c>
      <c r="S32" s="677">
        <f t="shared" si="10"/>
        <v>1.0000000291140239</v>
      </c>
      <c r="T32" s="680">
        <f t="shared" si="11"/>
        <v>2.4130488230282506E-4</v>
      </c>
      <c r="U32" s="681">
        <f t="shared" si="24"/>
        <v>0.99959999474209149</v>
      </c>
      <c r="V32" s="682">
        <f t="shared" si="25"/>
        <v>-1.2626450886943786E-4</v>
      </c>
      <c r="W32" s="683">
        <f t="shared" si="12"/>
        <v>69.722773687078984</v>
      </c>
      <c r="X32" s="684">
        <f t="shared" si="13"/>
        <v>-91.43459449548601</v>
      </c>
      <c r="Y32" s="687">
        <f t="shared" si="14"/>
        <v>88.56540550451399</v>
      </c>
      <c r="AA32" s="170">
        <f t="shared" si="15"/>
        <v>1000000000</v>
      </c>
      <c r="AB32" s="170">
        <f t="shared" si="16"/>
        <v>33.113119360000006</v>
      </c>
      <c r="AD32" s="686">
        <f t="shared" si="17"/>
        <v>68.839495440169003</v>
      </c>
      <c r="AE32" s="687">
        <f t="shared" si="18"/>
        <v>-87.369083443916026</v>
      </c>
      <c r="AG32" s="686">
        <f t="shared" si="19"/>
        <v>55.982291012286332</v>
      </c>
      <c r="AH32" s="687">
        <f t="shared" si="20"/>
        <v>-4.051042204632445</v>
      </c>
      <c r="AJ32" s="170">
        <f t="shared" si="21"/>
        <v>0</v>
      </c>
      <c r="AK32" s="170">
        <f t="shared" si="22"/>
        <v>0</v>
      </c>
      <c r="AM32" s="170" t="str">
        <f t="shared" si="26"/>
        <v>1.62680879878252E-08+0.000180377869083476i</v>
      </c>
      <c r="AN32" s="170" t="str">
        <f t="shared" si="27"/>
        <v>0.00018037787006161i</v>
      </c>
      <c r="AO32" s="170" t="str">
        <f t="shared" si="28"/>
        <v>0.999999994577306-0.0000901889349412356i</v>
      </c>
      <c r="AP32" s="170" t="str">
        <f t="shared" si="29"/>
        <v>0.166666663955319-0.0000300629781805793i</v>
      </c>
      <c r="AQ32" s="170" t="str">
        <f t="shared" si="30"/>
        <v>0.833333336044681+0.0000300629781805793i</v>
      </c>
      <c r="AR32" s="170" t="str">
        <f t="shared" si="31"/>
        <v>0.999599995446758-0.0000360611433055785i</v>
      </c>
    </row>
    <row r="33" spans="1:44">
      <c r="A33" s="170" t="s">
        <v>771</v>
      </c>
      <c r="B33" s="633">
        <f>RCS/1000</f>
        <v>1.5E-3</v>
      </c>
      <c r="C33" s="706" t="s">
        <v>45</v>
      </c>
      <c r="D33" s="189"/>
      <c r="G33" s="688">
        <v>6.3095999999999997</v>
      </c>
      <c r="H33" s="676">
        <f t="shared" si="23"/>
        <v>6.3095999999999994E-3</v>
      </c>
      <c r="I33" s="677">
        <f t="shared" si="0"/>
        <v>1.0030201952234874</v>
      </c>
      <c r="J33" s="678">
        <f t="shared" si="1"/>
        <v>7.7622335013736235E-2</v>
      </c>
      <c r="K33" s="678">
        <f t="shared" si="2"/>
        <v>1.0000000001662834</v>
      </c>
      <c r="L33" s="679">
        <f t="shared" si="3"/>
        <v>1.8236417543663188E-5</v>
      </c>
      <c r="M33" s="678">
        <f t="shared" si="4"/>
        <v>1.0000000005737368</v>
      </c>
      <c r="N33" s="679">
        <f t="shared" si="5"/>
        <v>-3.3874383444468669E-5</v>
      </c>
      <c r="O33" s="677">
        <f t="shared" si="6"/>
        <v>71.366901136818854</v>
      </c>
      <c r="P33" s="680">
        <f t="shared" si="7"/>
        <v>1.5567837704121852</v>
      </c>
      <c r="Q33" s="689">
        <f t="shared" si="8"/>
        <v>1.0005702808233814</v>
      </c>
      <c r="R33" s="690">
        <f t="shared" si="9"/>
        <v>3.3764180379672298E-2</v>
      </c>
      <c r="S33" s="677">
        <f t="shared" si="10"/>
        <v>1.0000000350030422</v>
      </c>
      <c r="T33" s="680">
        <f t="shared" si="11"/>
        <v>2.6458662578208065E-4</v>
      </c>
      <c r="U33" s="681">
        <f t="shared" si="24"/>
        <v>0.99959999367854946</v>
      </c>
      <c r="V33" s="682">
        <f t="shared" si="25"/>
        <v>-1.3844684855579198E-4</v>
      </c>
      <c r="W33" s="683">
        <f t="shared" si="12"/>
        <v>68.919347389550893</v>
      </c>
      <c r="X33" s="684">
        <f t="shared" si="13"/>
        <v>-91.734015028195259</v>
      </c>
      <c r="Y33" s="687">
        <f t="shared" si="14"/>
        <v>88.265984971804741</v>
      </c>
      <c r="AA33" s="170">
        <f t="shared" si="15"/>
        <v>1000000000</v>
      </c>
      <c r="AB33" s="170">
        <f t="shared" si="16"/>
        <v>39.811052159999996</v>
      </c>
      <c r="AD33" s="686">
        <f t="shared" si="17"/>
        <v>68.040464994124733</v>
      </c>
      <c r="AE33" s="687">
        <f t="shared" si="18"/>
        <v>-87.277754421310178</v>
      </c>
      <c r="AG33" s="686">
        <f t="shared" si="19"/>
        <v>55.977895179285539</v>
      </c>
      <c r="AH33" s="687">
        <f t="shared" si="20"/>
        <v>-4.4403957666486846</v>
      </c>
      <c r="AJ33" s="170">
        <f t="shared" si="21"/>
        <v>0</v>
      </c>
      <c r="AK33" s="170">
        <f t="shared" si="22"/>
        <v>0</v>
      </c>
      <c r="AM33" s="170" t="str">
        <f t="shared" si="26"/>
        <v>1.95587039897305E-08+0.000197781211163759i</v>
      </c>
      <c r="AN33" s="170" t="str">
        <f t="shared" si="27"/>
        <v>0.000197781212453207i</v>
      </c>
      <c r="AO33" s="170" t="str">
        <f t="shared" si="28"/>
        <v>0.999999993480432-0.0000988906061760436i</v>
      </c>
      <c r="AP33" s="170" t="str">
        <f t="shared" si="29"/>
        <v>0.166666663406883-0.0000329635351939598i</v>
      </c>
      <c r="AQ33" s="170" t="str">
        <f t="shared" si="30"/>
        <v>0.833333336593117+0.0000329635351939598i</v>
      </c>
      <c r="AR33" s="170" t="str">
        <f t="shared" si="31"/>
        <v>0.999599994525754-0.0000395404193646462i</v>
      </c>
    </row>
    <row r="34" spans="1:44">
      <c r="A34" s="170" t="s">
        <v>752</v>
      </c>
      <c r="B34" s="715">
        <f>10*B33</f>
        <v>1.4999999999999999E-2</v>
      </c>
      <c r="C34" s="706" t="s">
        <v>45</v>
      </c>
      <c r="D34" s="189"/>
      <c r="E34" s="706"/>
      <c r="G34" s="688">
        <v>6.9183000000000003</v>
      </c>
      <c r="H34" s="676">
        <f t="shared" si="23"/>
        <v>6.9183000000000005E-3</v>
      </c>
      <c r="I34" s="677">
        <f t="shared" si="0"/>
        <v>1.0036299275735301</v>
      </c>
      <c r="J34" s="678">
        <f t="shared" si="1"/>
        <v>8.5076214848901849E-2</v>
      </c>
      <c r="K34" s="678">
        <f t="shared" si="2"/>
        <v>1.0000000001999143</v>
      </c>
      <c r="L34" s="679">
        <f t="shared" si="3"/>
        <v>1.9995721993390445E-5</v>
      </c>
      <c r="M34" s="678">
        <f t="shared" si="4"/>
        <v>1.0000000006897758</v>
      </c>
      <c r="N34" s="679">
        <f t="shared" si="5"/>
        <v>-3.7142314404358157E-5</v>
      </c>
      <c r="O34" s="677">
        <f t="shared" si="6"/>
        <v>78.25051954462073</v>
      </c>
      <c r="P34" s="680">
        <f t="shared" si="7"/>
        <v>1.5580165110575266</v>
      </c>
      <c r="Q34" s="689">
        <f t="shared" si="8"/>
        <v>1.0006855811434965</v>
      </c>
      <c r="R34" s="690">
        <f t="shared" si="9"/>
        <v>3.701863552103761E-2</v>
      </c>
      <c r="S34" s="677">
        <f t="shared" si="10"/>
        <v>1.0000000420824404</v>
      </c>
      <c r="T34" s="680">
        <f t="shared" si="11"/>
        <v>2.9011183664717132E-4</v>
      </c>
      <c r="U34" s="681">
        <f t="shared" si="24"/>
        <v>0.99959999240002828</v>
      </c>
      <c r="V34" s="682">
        <f t="shared" si="25"/>
        <v>-1.5180309777438545E-4</v>
      </c>
      <c r="W34" s="683">
        <f t="shared" si="12"/>
        <v>68.115261852734221</v>
      </c>
      <c r="X34" s="684">
        <f t="shared" si="13"/>
        <v>-92.047569357599613</v>
      </c>
      <c r="Y34" s="687">
        <f t="shared" si="14"/>
        <v>87.952430642400387</v>
      </c>
      <c r="AA34" s="170">
        <f t="shared" si="15"/>
        <v>1000000000</v>
      </c>
      <c r="AB34" s="170">
        <f t="shared" si="16"/>
        <v>47.862874890000008</v>
      </c>
      <c r="AD34" s="686">
        <f t="shared" si="17"/>
        <v>67.241657983789779</v>
      </c>
      <c r="AE34" s="687">
        <f t="shared" si="18"/>
        <v>-87.163381200030656</v>
      </c>
      <c r="AG34" s="686">
        <f t="shared" si="19"/>
        <v>55.972616675022891</v>
      </c>
      <c r="AH34" s="687">
        <f t="shared" si="20"/>
        <v>-4.8667928039101165</v>
      </c>
      <c r="AJ34" s="170">
        <f t="shared" si="21"/>
        <v>0</v>
      </c>
      <c r="AK34" s="170">
        <f t="shared" si="22"/>
        <v>0</v>
      </c>
      <c r="AM34" s="170" t="str">
        <f t="shared" si="26"/>
        <v>2.35144700377887E-08+0.000216861568307024i</v>
      </c>
      <c r="AN34" s="170" t="str">
        <f t="shared" si="27"/>
        <v>0.000216861570006819i</v>
      </c>
      <c r="AO34" s="170" t="str">
        <f t="shared" si="28"/>
        <v>0.999999992161843-0.000108430783919204i</v>
      </c>
      <c r="AP34" s="170" t="str">
        <f t="shared" si="29"/>
        <v>0.166666662747588-0.0000361435947178373i</v>
      </c>
      <c r="AQ34" s="170" t="str">
        <f t="shared" si="30"/>
        <v>0.833333337252412+0.0000361435947178373i</v>
      </c>
      <c r="AR34" s="170" t="str">
        <f t="shared" si="31"/>
        <v>0.999599993418582-0.000043354964246595i</v>
      </c>
    </row>
    <row r="35" spans="1:44">
      <c r="B35" s="633"/>
      <c r="D35" s="189"/>
      <c r="G35" s="688">
        <v>7.5857999999999999</v>
      </c>
      <c r="H35" s="676">
        <f t="shared" si="23"/>
        <v>7.5858000000000002E-3</v>
      </c>
      <c r="I35" s="677">
        <f t="shared" si="0"/>
        <v>1.0043625777468828</v>
      </c>
      <c r="J35" s="678">
        <f t="shared" si="1"/>
        <v>9.3239224533708628E-2</v>
      </c>
      <c r="K35" s="678">
        <f t="shared" si="2"/>
        <v>1.0000000002403522</v>
      </c>
      <c r="L35" s="679">
        <f t="shared" si="3"/>
        <v>2.1924974038907255E-5</v>
      </c>
      <c r="M35" s="678">
        <f t="shared" si="4"/>
        <v>1.0000000008293004</v>
      </c>
      <c r="N35" s="679">
        <f t="shared" si="5"/>
        <v>-4.0725925239202163E-5</v>
      </c>
      <c r="O35" s="677">
        <f t="shared" si="6"/>
        <v>85.799204445513809</v>
      </c>
      <c r="P35" s="680">
        <f t="shared" si="7"/>
        <v>1.5591409431797516</v>
      </c>
      <c r="Q35" s="689">
        <f t="shared" si="8"/>
        <v>1.0008242003038237</v>
      </c>
      <c r="R35" s="690">
        <f t="shared" si="9"/>
        <v>4.0586564605238414E-2</v>
      </c>
      <c r="S35" s="677">
        <f t="shared" si="10"/>
        <v>1.0000000505946867</v>
      </c>
      <c r="T35" s="680">
        <f t="shared" si="11"/>
        <v>3.1810276483375109E-4</v>
      </c>
      <c r="U35" s="681">
        <f t="shared" si="24"/>
        <v>0.99959999086274254</v>
      </c>
      <c r="V35" s="682">
        <f t="shared" si="25"/>
        <v>-1.6644955185802059E-4</v>
      </c>
      <c r="W35" s="683">
        <f t="shared" si="12"/>
        <v>67.31020587571544</v>
      </c>
      <c r="X35" s="684">
        <f t="shared" si="13"/>
        <v>-92.377811027696552</v>
      </c>
      <c r="Y35" s="687">
        <f t="shared" si="14"/>
        <v>87.622188972303448</v>
      </c>
      <c r="AA35" s="170">
        <f t="shared" si="15"/>
        <v>1000000000</v>
      </c>
      <c r="AB35" s="170">
        <f t="shared" si="16"/>
        <v>57.544361639999998</v>
      </c>
      <c r="AD35" s="686">
        <f t="shared" si="17"/>
        <v>66.442940407593341</v>
      </c>
      <c r="AE35" s="687">
        <f t="shared" si="18"/>
        <v>-87.024982898748007</v>
      </c>
      <c r="AG35" s="686">
        <f t="shared" si="19"/>
        <v>55.966278300916628</v>
      </c>
      <c r="AH35" s="687">
        <f t="shared" si="20"/>
        <v>-5.3337544152801479</v>
      </c>
      <c r="AJ35" s="170">
        <f t="shared" si="21"/>
        <v>0</v>
      </c>
      <c r="AK35" s="170">
        <f t="shared" si="22"/>
        <v>0</v>
      </c>
      <c r="AM35" s="170" t="str">
        <f t="shared" si="26"/>
        <v>2.82708709775648E-08+0.00023778507469396i</v>
      </c>
      <c r="AN35" s="170" t="str">
        <f t="shared" si="27"/>
        <v>0.000237785076934757i</v>
      </c>
      <c r="AO35" s="170" t="str">
        <f t="shared" si="28"/>
        <v>0.999999990576377-0.000118892536663778i</v>
      </c>
      <c r="AP35" s="170" t="str">
        <f t="shared" si="29"/>
        <v>0.166666661954855-0.0000396308457823267i</v>
      </c>
      <c r="AQ35" s="170" t="str">
        <f t="shared" si="30"/>
        <v>0.833333338045145+0.0000396308457823267i</v>
      </c>
      <c r="AR35" s="170" t="str">
        <f t="shared" si="31"/>
        <v>0.999599992087323-0.0000475379914877251i</v>
      </c>
    </row>
    <row r="36" spans="1:44">
      <c r="B36" s="633"/>
      <c r="D36" s="189"/>
      <c r="G36" s="688">
        <v>8.3176000000000005</v>
      </c>
      <c r="H36" s="676">
        <f t="shared" si="23"/>
        <v>8.3176000000000014E-3</v>
      </c>
      <c r="I36" s="677">
        <f t="shared" si="0"/>
        <v>1.0052425892268018</v>
      </c>
      <c r="J36" s="678">
        <f t="shared" si="1"/>
        <v>0.10217423623092795</v>
      </c>
      <c r="K36" s="678">
        <f t="shared" si="2"/>
        <v>1.0000000002889626</v>
      </c>
      <c r="L36" s="679">
        <f t="shared" si="3"/>
        <v>2.4040070138957685E-5</v>
      </c>
      <c r="M36" s="678">
        <f t="shared" si="4"/>
        <v>1.0000000009970229</v>
      </c>
      <c r="N36" s="679">
        <f t="shared" si="5"/>
        <v>-4.4654743828167296E-5</v>
      </c>
      <c r="O36" s="677">
        <f t="shared" si="6"/>
        <v>94.075154742024083</v>
      </c>
      <c r="P36" s="680">
        <f t="shared" si="7"/>
        <v>1.5601663274522977</v>
      </c>
      <c r="Q36" s="689">
        <f t="shared" si="8"/>
        <v>1.0009908088871635</v>
      </c>
      <c r="R36" s="690">
        <f t="shared" si="9"/>
        <v>4.449699974248935E-2</v>
      </c>
      <c r="S36" s="677">
        <f t="shared" si="10"/>
        <v>1.0000000608272515</v>
      </c>
      <c r="T36" s="680">
        <f t="shared" si="11"/>
        <v>3.4879004702628296E-4</v>
      </c>
      <c r="U36" s="681">
        <f t="shared" si="24"/>
        <v>0.99959998901477065</v>
      </c>
      <c r="V36" s="682">
        <f t="shared" si="25"/>
        <v>-1.8250689642495277E-4</v>
      </c>
      <c r="W36" s="683">
        <f t="shared" si="12"/>
        <v>66.504210847471114</v>
      </c>
      <c r="X36" s="684">
        <f t="shared" si="13"/>
        <v>-92.727230438490409</v>
      </c>
      <c r="Y36" s="687">
        <f t="shared" si="14"/>
        <v>87.272769561509591</v>
      </c>
      <c r="AA36" s="170">
        <f t="shared" si="15"/>
        <v>1000000000</v>
      </c>
      <c r="AB36" s="170">
        <f t="shared" si="16"/>
        <v>69.182469760000004</v>
      </c>
      <c r="AD36" s="686">
        <f t="shared" si="17"/>
        <v>65.644552542642344</v>
      </c>
      <c r="AE36" s="687">
        <f t="shared" si="18"/>
        <v>-86.86143991208732</v>
      </c>
      <c r="AG36" s="686">
        <f t="shared" si="19"/>
        <v>55.958671169738707</v>
      </c>
      <c r="AH36" s="687">
        <f t="shared" si="20"/>
        <v>-5.8448767765848304</v>
      </c>
      <c r="AJ36" s="170">
        <f t="shared" si="21"/>
        <v>0</v>
      </c>
      <c r="AK36" s="170">
        <f t="shared" si="22"/>
        <v>0</v>
      </c>
      <c r="AM36" s="170" t="str">
        <f t="shared" si="26"/>
        <v>3.39885379840865E-08+0.000260724133711014i</v>
      </c>
      <c r="AN36" s="170" t="str">
        <f t="shared" si="27"/>
        <v>0.000260724136664891i</v>
      </c>
      <c r="AO36" s="170" t="str">
        <f t="shared" si="28"/>
        <v>0.999999988670489-0.000130362069346008i</v>
      </c>
      <c r="AP36" s="170" t="str">
        <f t="shared" si="29"/>
        <v>0.16666666100191-0.000043454022285169i</v>
      </c>
      <c r="AQ36" s="170" t="str">
        <f t="shared" si="30"/>
        <v>0.83333333899809+0.000043454022285169i</v>
      </c>
      <c r="AR36" s="170" t="str">
        <f t="shared" si="31"/>
        <v>0.999599990487016-0.0000521239679611295i</v>
      </c>
    </row>
    <row r="37" spans="1:44">
      <c r="A37" s="189" t="s">
        <v>743</v>
      </c>
      <c r="B37" s="714">
        <f>'Design Converter'!E60*0.001</f>
        <v>0.14200000000000002</v>
      </c>
      <c r="C37" s="706" t="s">
        <v>747</v>
      </c>
      <c r="D37" s="189">
        <f>B37*1000000</f>
        <v>142000.00000000003</v>
      </c>
      <c r="E37" s="706" t="s">
        <v>45</v>
      </c>
      <c r="G37" s="688">
        <v>9.1201000000000008</v>
      </c>
      <c r="H37" s="676">
        <f t="shared" si="23"/>
        <v>9.1201000000000008E-3</v>
      </c>
      <c r="I37" s="677">
        <f t="shared" si="0"/>
        <v>1.0062997030786967</v>
      </c>
      <c r="J37" s="678">
        <f t="shared" si="1"/>
        <v>0.11195363337349701</v>
      </c>
      <c r="K37" s="678">
        <f t="shared" si="2"/>
        <v>1.0000000003474119</v>
      </c>
      <c r="L37" s="679">
        <f t="shared" si="3"/>
        <v>2.6359507990978732E-5</v>
      </c>
      <c r="M37" s="678">
        <f t="shared" si="4"/>
        <v>1.000000001198694</v>
      </c>
      <c r="N37" s="679">
        <f t="shared" si="5"/>
        <v>-4.8963129885124817E-5</v>
      </c>
      <c r="O37" s="677">
        <f t="shared" si="6"/>
        <v>103.1507482466324</v>
      </c>
      <c r="P37" s="680">
        <f t="shared" si="7"/>
        <v>1.5611016257703463</v>
      </c>
      <c r="Q37" s="689">
        <f t="shared" si="8"/>
        <v>1.0011911036687056</v>
      </c>
      <c r="R37" s="690">
        <f t="shared" si="9"/>
        <v>4.8783657014253148E-2</v>
      </c>
      <c r="S37" s="677">
        <f t="shared" si="10"/>
        <v>1.0000000731309693</v>
      </c>
      <c r="T37" s="680">
        <f t="shared" si="11"/>
        <v>3.8244206042516106E-4</v>
      </c>
      <c r="U37" s="681">
        <f t="shared" si="24"/>
        <v>0.99959998679275164</v>
      </c>
      <c r="V37" s="682">
        <f t="shared" si="25"/>
        <v>-2.001155531901443E-4</v>
      </c>
      <c r="W37" s="683">
        <f t="shared" si="12"/>
        <v>65.696870451338739</v>
      </c>
      <c r="X37" s="684">
        <f t="shared" si="13"/>
        <v>-93.098580876078216</v>
      </c>
      <c r="Y37" s="687">
        <f t="shared" si="14"/>
        <v>86.901419123921784</v>
      </c>
      <c r="AA37" s="170">
        <f t="shared" si="15"/>
        <v>1000000000</v>
      </c>
      <c r="AB37" s="170">
        <f t="shared" si="16"/>
        <v>83.176224010000013</v>
      </c>
      <c r="AD37" s="686">
        <f t="shared" si="17"/>
        <v>64.846341452197223</v>
      </c>
      <c r="AE37" s="687">
        <f t="shared" si="18"/>
        <v>-86.671349306528725</v>
      </c>
      <c r="AG37" s="686">
        <f t="shared" si="19"/>
        <v>55.94954190266732</v>
      </c>
      <c r="AH37" s="687">
        <f t="shared" si="20"/>
        <v>-6.4043000162978414</v>
      </c>
      <c r="AJ37" s="170">
        <f t="shared" si="21"/>
        <v>0</v>
      </c>
      <c r="AK37" s="170">
        <f t="shared" si="22"/>
        <v>0</v>
      </c>
      <c r="AM37" s="170" t="str">
        <f t="shared" si="26"/>
        <v>4.08635050241912E-08+0.000285879360201098i</v>
      </c>
      <c r="AN37" s="170" t="str">
        <f t="shared" si="27"/>
        <v>0.000285879364095109i</v>
      </c>
      <c r="AO37" s="170" t="str">
        <f t="shared" si="28"/>
        <v>0.999999986378831-0.000142939680706007i</v>
      </c>
      <c r="AP37" s="170" t="str">
        <f t="shared" si="29"/>
        <v>0.166666659856083-0.0000476465600335163i</v>
      </c>
      <c r="AQ37" s="170" t="str">
        <f t="shared" si="30"/>
        <v>0.833333340143917+0.0000476465600335163i</v>
      </c>
      <c r="AR37" s="170" t="str">
        <f t="shared" si="31"/>
        <v>0.999599988562796-0.000057153000570377i</v>
      </c>
    </row>
    <row r="38" spans="1:44">
      <c r="A38" s="189" t="s">
        <v>744</v>
      </c>
      <c r="B38" s="714">
        <f>'Design Converter'!E62*1000</f>
        <v>6000</v>
      </c>
      <c r="C38" s="170" t="s">
        <v>15</v>
      </c>
      <c r="D38" s="189">
        <f>B38*0.000000000001</f>
        <v>6E-9</v>
      </c>
      <c r="E38" s="170" t="s">
        <v>13</v>
      </c>
      <c r="G38" s="688">
        <v>10</v>
      </c>
      <c r="H38" s="676">
        <f t="shared" si="23"/>
        <v>0.01</v>
      </c>
      <c r="I38" s="677">
        <f t="shared" si="0"/>
        <v>1.0075691337411734</v>
      </c>
      <c r="J38" s="678">
        <f t="shared" si="1"/>
        <v>0.12265151398054859</v>
      </c>
      <c r="K38" s="678">
        <f t="shared" si="2"/>
        <v>1.0000000004176817</v>
      </c>
      <c r="L38" s="679">
        <f t="shared" si="3"/>
        <v>2.8902652371951929E-5</v>
      </c>
      <c r="M38" s="678">
        <f t="shared" si="4"/>
        <v>1.0000000014411499</v>
      </c>
      <c r="N38" s="679">
        <f t="shared" si="5"/>
        <v>-5.368705373538727E-5</v>
      </c>
      <c r="O38" s="677">
        <f t="shared" si="6"/>
        <v>113.1017562842421</v>
      </c>
      <c r="P38" s="680">
        <f t="shared" si="7"/>
        <v>1.5619546159118738</v>
      </c>
      <c r="Q38" s="689">
        <f t="shared" si="8"/>
        <v>1.0014318519593424</v>
      </c>
      <c r="R38" s="690">
        <f t="shared" si="9"/>
        <v>5.3481689282245455E-2</v>
      </c>
      <c r="S38" s="677">
        <f t="shared" si="10"/>
        <v>1.0000000879229247</v>
      </c>
      <c r="T38" s="680">
        <f t="shared" si="11"/>
        <v>4.1933976234228133E-4</v>
      </c>
      <c r="U38" s="681">
        <f t="shared" si="24"/>
        <v>0.99959998412136719</v>
      </c>
      <c r="V38" s="682">
        <f t="shared" si="25"/>
        <v>-2.194225420460569E-4</v>
      </c>
      <c r="W38" s="683">
        <f t="shared" si="12"/>
        <v>64.888069149758607</v>
      </c>
      <c r="X38" s="684">
        <f t="shared" si="13"/>
        <v>-93.494564840182932</v>
      </c>
      <c r="Y38" s="687">
        <f t="shared" si="14"/>
        <v>86.505435159817068</v>
      </c>
      <c r="AA38" s="170">
        <f t="shared" si="15"/>
        <v>1000000000</v>
      </c>
      <c r="AB38" s="170">
        <f t="shared" si="16"/>
        <v>100</v>
      </c>
      <c r="AD38" s="686">
        <f t="shared" si="17"/>
        <v>64.048490373923272</v>
      </c>
      <c r="AE38" s="687">
        <f t="shared" si="18"/>
        <v>-86.453158702976552</v>
      </c>
      <c r="AG38" s="686">
        <f t="shared" si="19"/>
        <v>55.938591725786409</v>
      </c>
      <c r="AH38" s="687">
        <f t="shared" si="20"/>
        <v>-7.0162621659991053</v>
      </c>
      <c r="AJ38" s="170">
        <f t="shared" si="21"/>
        <v>0</v>
      </c>
      <c r="AK38" s="170">
        <f t="shared" si="22"/>
        <v>0</v>
      </c>
      <c r="AM38" s="170" t="str">
        <f t="shared" si="26"/>
        <v>4.91288290049852E-08+0.000313460772813313i</v>
      </c>
      <c r="AN38" s="170" t="str">
        <f t="shared" si="27"/>
        <v>0.000313460777946633i</v>
      </c>
      <c r="AO38" s="170" t="str">
        <f t="shared" si="28"/>
        <v>0.999999983623725-0.000156730386898196i</v>
      </c>
      <c r="AP38" s="170" t="str">
        <f t="shared" si="29"/>
        <v>0.166666658478528-0.0000522434621355522i</v>
      </c>
      <c r="AQ38" s="170" t="str">
        <f t="shared" si="30"/>
        <v>0.833333341521472+0.0000522434621355522i</v>
      </c>
      <c r="AR38" s="170" t="str">
        <f t="shared" si="31"/>
        <v>0.99959998624943-0.0000626670762230326i</v>
      </c>
    </row>
    <row r="39" spans="1:44">
      <c r="A39" s="189" t="s">
        <v>750</v>
      </c>
      <c r="B39" s="714">
        <f>'Design Converter'!E64</f>
        <v>47</v>
      </c>
      <c r="C39" s="170" t="s">
        <v>15</v>
      </c>
      <c r="D39" s="189">
        <f>B39*0.000000000001</f>
        <v>4.6999999999999999E-11</v>
      </c>
      <c r="E39" s="170" t="s">
        <v>13</v>
      </c>
      <c r="G39" s="688">
        <v>10.965</v>
      </c>
      <c r="H39" s="676">
        <f t="shared" si="23"/>
        <v>1.0964999999999999E-2</v>
      </c>
      <c r="I39" s="677">
        <f t="shared" si="0"/>
        <v>1.0090935571360287</v>
      </c>
      <c r="J39" s="678">
        <f t="shared" si="1"/>
        <v>0.13435160602593932</v>
      </c>
      <c r="K39" s="678">
        <f t="shared" si="2"/>
        <v>1.0000000005021836</v>
      </c>
      <c r="L39" s="679">
        <f t="shared" si="3"/>
        <v>3.1691758324059944E-5</v>
      </c>
      <c r="M39" s="678">
        <f t="shared" si="4"/>
        <v>1.0000000017327122</v>
      </c>
      <c r="N39" s="679">
        <f t="shared" si="5"/>
        <v>-5.8867854409409709E-5</v>
      </c>
      <c r="O39" s="677">
        <f t="shared" si="6"/>
        <v>124.0152600935335</v>
      </c>
      <c r="P39" s="680">
        <f t="shared" si="7"/>
        <v>1.5627327156207649</v>
      </c>
      <c r="Q39" s="689">
        <f t="shared" si="8"/>
        <v>1.0017212842315086</v>
      </c>
      <c r="R39" s="690">
        <f t="shared" si="9"/>
        <v>5.8631371064889151E-2</v>
      </c>
      <c r="S39" s="677">
        <f t="shared" si="10"/>
        <v>1.0000001057108083</v>
      </c>
      <c r="T39" s="680">
        <f t="shared" si="11"/>
        <v>4.5980604395566088E-4</v>
      </c>
      <c r="U39" s="681">
        <f t="shared" si="24"/>
        <v>0.99959998090892321</v>
      </c>
      <c r="V39" s="682">
        <f t="shared" si="25"/>
        <v>-2.4059681743784003E-4</v>
      </c>
      <c r="W39" s="683">
        <f t="shared" si="12"/>
        <v>64.07733182625725</v>
      </c>
      <c r="X39" s="684">
        <f t="shared" si="13"/>
        <v>-93.918126309938003</v>
      </c>
      <c r="Y39" s="687">
        <f t="shared" si="14"/>
        <v>86.081873690061997</v>
      </c>
      <c r="AA39" s="170">
        <f t="shared" si="15"/>
        <v>1000000000</v>
      </c>
      <c r="AB39" s="170">
        <f t="shared" si="16"/>
        <v>120.23122499999999</v>
      </c>
      <c r="AD39" s="686">
        <f t="shared" si="17"/>
        <v>63.250884647296566</v>
      </c>
      <c r="AE39" s="687">
        <f t="shared" si="18"/>
        <v>-86.205004047220953</v>
      </c>
      <c r="AG39" s="686">
        <f t="shared" si="19"/>
        <v>55.925460184739954</v>
      </c>
      <c r="AH39" s="687">
        <f t="shared" si="20"/>
        <v>-7.6855518982786091</v>
      </c>
      <c r="AJ39" s="170">
        <f t="shared" si="21"/>
        <v>0</v>
      </c>
      <c r="AK39" s="170">
        <f t="shared" si="22"/>
        <v>0</v>
      </c>
      <c r="AM39" s="170" t="str">
        <f t="shared" si="26"/>
        <v>5.90681930034975E-08+0.000343709736251045i</v>
      </c>
      <c r="AN39" s="170" t="str">
        <f t="shared" si="27"/>
        <v>0.000343709743018483i</v>
      </c>
      <c r="AO39" s="170" t="str">
        <f t="shared" si="28"/>
        <v>0.999999980310602-0.000171854869416143i</v>
      </c>
      <c r="AP39" s="170" t="str">
        <f t="shared" si="29"/>
        <v>0.166666656821968-0.0000572849560418408i</v>
      </c>
      <c r="AQ39" s="170" t="str">
        <f t="shared" si="30"/>
        <v>0.833333343178032+0.0000572849560418408i</v>
      </c>
      <c r="AR39" s="170" t="str">
        <f t="shared" si="31"/>
        <v>0.999599983467522-0.0000687144485230665i</v>
      </c>
    </row>
    <row r="40" spans="1:44">
      <c r="B40" s="633"/>
      <c r="D40" s="189"/>
      <c r="G40" s="688">
        <v>12.023</v>
      </c>
      <c r="H40" s="676">
        <f t="shared" si="23"/>
        <v>1.2022999999999999E-2</v>
      </c>
      <c r="I40" s="677">
        <f t="shared" si="0"/>
        <v>1.0109231252758537</v>
      </c>
      <c r="J40" s="678">
        <f t="shared" si="1"/>
        <v>0.1471367693177654</v>
      </c>
      <c r="K40" s="678">
        <f t="shared" si="2"/>
        <v>1.0000000006037693</v>
      </c>
      <c r="L40" s="679">
        <f t="shared" si="3"/>
        <v>3.4749658942486813E-5</v>
      </c>
      <c r="M40" s="678">
        <f t="shared" si="4"/>
        <v>1.0000000020832185</v>
      </c>
      <c r="N40" s="679">
        <f t="shared" si="5"/>
        <v>-6.4547944678426648E-5</v>
      </c>
      <c r="O40" s="677">
        <f t="shared" si="6"/>
        <v>135.98060339614435</v>
      </c>
      <c r="P40" s="680">
        <f t="shared" si="7"/>
        <v>1.5634422704900111</v>
      </c>
      <c r="Q40" s="689">
        <f t="shared" si="8"/>
        <v>1.0020691193992202</v>
      </c>
      <c r="R40" s="690">
        <f t="shared" si="9"/>
        <v>6.4273757858824582E-2</v>
      </c>
      <c r="S40" s="677">
        <f t="shared" si="10"/>
        <v>1.0000001270948087</v>
      </c>
      <c r="T40" s="680">
        <f t="shared" si="11"/>
        <v>5.0417218309787616E-4</v>
      </c>
      <c r="U40" s="681">
        <f t="shared" si="24"/>
        <v>0.99959997704703429</v>
      </c>
      <c r="V40" s="682">
        <f t="shared" si="25"/>
        <v>-2.6381172254461276E-4</v>
      </c>
      <c r="W40" s="683">
        <f t="shared" si="12"/>
        <v>63.264576482772632</v>
      </c>
      <c r="X40" s="684">
        <f t="shared" si="13"/>
        <v>-94.372054106142443</v>
      </c>
      <c r="Y40" s="687">
        <f t="shared" si="14"/>
        <v>85.627945893857557</v>
      </c>
      <c r="AA40" s="170">
        <f t="shared" si="15"/>
        <v>1000000000</v>
      </c>
      <c r="AB40" s="170">
        <f t="shared" si="16"/>
        <v>144.55252899999999</v>
      </c>
      <c r="AD40" s="686">
        <f t="shared" si="17"/>
        <v>62.453863293891047</v>
      </c>
      <c r="AE40" s="687">
        <f t="shared" si="18"/>
        <v>-85.924915589094951</v>
      </c>
      <c r="AG40" s="686">
        <f t="shared" si="19"/>
        <v>55.909726261775596</v>
      </c>
      <c r="AH40" s="687">
        <f t="shared" si="20"/>
        <v>-8.416907920437172</v>
      </c>
      <c r="AJ40" s="170">
        <f t="shared" si="21"/>
        <v>0</v>
      </c>
      <c r="AK40" s="170">
        <f t="shared" si="22"/>
        <v>0</v>
      </c>
      <c r="AM40" s="170" t="str">
        <f t="shared" si="26"/>
        <v>7.10169649753567E-08+0.000376873884403757i</v>
      </c>
      <c r="AN40" s="170" t="str">
        <f t="shared" si="27"/>
        <v>0.000376873893325237i</v>
      </c>
      <c r="AO40" s="170" t="str">
        <f t="shared" si="28"/>
        <v>0.999999976327678-0.000188436944646813i</v>
      </c>
      <c r="AP40" s="170" t="str">
        <f t="shared" si="29"/>
        <v>0.166666654830506-0.0000628123140672928i</v>
      </c>
      <c r="AQ40" s="170" t="str">
        <f t="shared" si="30"/>
        <v>0.833333345169494+0.0000628123140672928i</v>
      </c>
      <c r="AR40" s="170" t="str">
        <f t="shared" si="31"/>
        <v>0.999599980123205-0.0000753446244016407i</v>
      </c>
    </row>
    <row r="41" spans="1:44" ht="13">
      <c r="A41" s="333" t="str">
        <f>V3</f>
        <v>Adc</v>
      </c>
      <c r="B41" s="170">
        <f>Adc</f>
        <v>199848.11543227147</v>
      </c>
      <c r="C41" s="170" t="str">
        <f>X3</f>
        <v>V/V</v>
      </c>
      <c r="D41" s="172">
        <f>10*LOG10(B41)</f>
        <v>53.007000572184694</v>
      </c>
      <c r="E41" s="170" t="s">
        <v>781</v>
      </c>
      <c r="G41" s="688">
        <v>13.183</v>
      </c>
      <c r="H41" s="676">
        <f t="shared" si="23"/>
        <v>1.3183E-2</v>
      </c>
      <c r="I41" s="677">
        <f t="shared" si="0"/>
        <v>1.0131182501137901</v>
      </c>
      <c r="J41" s="678">
        <f t="shared" si="1"/>
        <v>0.16109891528445491</v>
      </c>
      <c r="K41" s="678">
        <f t="shared" si="2"/>
        <v>1.0000000007258951</v>
      </c>
      <c r="L41" s="679">
        <f t="shared" si="3"/>
        <v>3.8102366614115119E-5</v>
      </c>
      <c r="M41" s="678">
        <f t="shared" si="4"/>
        <v>1.0000000025045959</v>
      </c>
      <c r="N41" s="679">
        <f t="shared" si="5"/>
        <v>-7.077564288918366E-5</v>
      </c>
      <c r="O41" s="677">
        <f t="shared" si="6"/>
        <v>149.09957075924487</v>
      </c>
      <c r="P41" s="680">
        <f t="shared" si="7"/>
        <v>1.5640893490872785</v>
      </c>
      <c r="Q41" s="689">
        <f t="shared" si="8"/>
        <v>1.002487125480422</v>
      </c>
      <c r="R41" s="690">
        <f t="shared" si="9"/>
        <v>7.0455398224557847E-2</v>
      </c>
      <c r="S41" s="677">
        <f t="shared" si="10"/>
        <v>1.0000001528025548</v>
      </c>
      <c r="T41" s="680">
        <f t="shared" si="11"/>
        <v>5.5281558478485055E-4</v>
      </c>
      <c r="U41" s="681">
        <f t="shared" si="24"/>
        <v>0.99959997240428644</v>
      </c>
      <c r="V41" s="682">
        <f t="shared" si="25"/>
        <v>-2.892647357069987E-4</v>
      </c>
      <c r="W41" s="683">
        <f t="shared" si="12"/>
        <v>62.449369994012748</v>
      </c>
      <c r="X41" s="684">
        <f t="shared" si="13"/>
        <v>-94.85932924942054</v>
      </c>
      <c r="Y41" s="687">
        <f t="shared" si="14"/>
        <v>85.14067075057946</v>
      </c>
      <c r="AA41" s="170">
        <f t="shared" si="15"/>
        <v>1000000000</v>
      </c>
      <c r="AB41" s="170">
        <f t="shared" si="16"/>
        <v>173.79148899999998</v>
      </c>
      <c r="AD41" s="686">
        <f t="shared" si="17"/>
        <v>61.657496988776821</v>
      </c>
      <c r="AE41" s="687">
        <f t="shared" si="18"/>
        <v>-85.61059561956607</v>
      </c>
      <c r="AG41" s="686">
        <f t="shared" si="19"/>
        <v>55.890886158815</v>
      </c>
      <c r="AH41" s="687">
        <f t="shared" si="20"/>
        <v>-9.2155863327806458</v>
      </c>
      <c r="AJ41" s="170">
        <f t="shared" si="21"/>
        <v>0</v>
      </c>
      <c r="AK41" s="170">
        <f t="shared" si="22"/>
        <v>0</v>
      </c>
      <c r="AM41" s="170" t="str">
        <f t="shared" si="26"/>
        <v>8.53817230250797E-08+0.000413235331806131i</v>
      </c>
      <c r="AN41" s="170" t="str">
        <f t="shared" si="27"/>
        <v>0.000413235343567046i</v>
      </c>
      <c r="AO41" s="170" t="str">
        <f t="shared" si="28"/>
        <v>0.999999971539426-0.000206617668005028i</v>
      </c>
      <c r="AP41" s="170" t="str">
        <f t="shared" si="29"/>
        <v>0.166666652436379-0.0000688725553010218i</v>
      </c>
      <c r="AQ41" s="170" t="str">
        <f t="shared" si="30"/>
        <v>0.833333347563621+0.0000688725553010218i</v>
      </c>
      <c r="AR41" s="170" t="str">
        <f t="shared" si="31"/>
        <v>0.999599976102681-0.0000826140041488931i</v>
      </c>
    </row>
    <row r="42" spans="1:44" ht="13">
      <c r="A42" s="333" t="str">
        <f>V4</f>
        <v>Crossover</v>
      </c>
      <c r="B42" s="332">
        <f>W4</f>
        <v>7.2443999999999997</v>
      </c>
      <c r="C42" s="170" t="str">
        <f>X4</f>
        <v>kHz</v>
      </c>
      <c r="G42" s="688">
        <v>14.454000000000001</v>
      </c>
      <c r="H42" s="676">
        <f t="shared" si="23"/>
        <v>1.4454E-2</v>
      </c>
      <c r="I42" s="677">
        <f t="shared" si="0"/>
        <v>1.0157491206682094</v>
      </c>
      <c r="J42" s="678">
        <f t="shared" si="1"/>
        <v>0.17632450353605433</v>
      </c>
      <c r="K42" s="678">
        <f t="shared" si="2"/>
        <v>1.0000000008726126</v>
      </c>
      <c r="L42" s="679">
        <f t="shared" si="3"/>
        <v>4.1775893725749215E-5</v>
      </c>
      <c r="M42" s="678">
        <f t="shared" si="4"/>
        <v>1.0000000030108231</v>
      </c>
      <c r="N42" s="679">
        <f t="shared" si="5"/>
        <v>-7.7599267387925102E-5</v>
      </c>
      <c r="O42" s="677">
        <f t="shared" si="6"/>
        <v>163.47394720711827</v>
      </c>
      <c r="P42" s="680">
        <f t="shared" si="7"/>
        <v>1.5646791059542446</v>
      </c>
      <c r="Q42" s="689">
        <f t="shared" si="8"/>
        <v>1.0029890724798642</v>
      </c>
      <c r="R42" s="690">
        <f t="shared" si="9"/>
        <v>7.7222353753625655E-2</v>
      </c>
      <c r="S42" s="677">
        <f t="shared" si="10"/>
        <v>1.0000001836869088</v>
      </c>
      <c r="T42" s="680">
        <f t="shared" si="11"/>
        <v>6.0611365379363048E-4</v>
      </c>
      <c r="U42" s="681">
        <f t="shared" si="24"/>
        <v>0.99959996682665875</v>
      </c>
      <c r="V42" s="682">
        <f t="shared" si="25"/>
        <v>-3.1715334152675894E-4</v>
      </c>
      <c r="W42" s="683">
        <f t="shared" si="12"/>
        <v>61.631748188736672</v>
      </c>
      <c r="X42" s="684">
        <f t="shared" si="13"/>
        <v>-95.382595925992504</v>
      </c>
      <c r="Y42" s="687">
        <f t="shared" si="14"/>
        <v>84.617404074007496</v>
      </c>
      <c r="AA42" s="170">
        <f t="shared" si="15"/>
        <v>1000000000</v>
      </c>
      <c r="AB42" s="170">
        <f t="shared" si="16"/>
        <v>208.91811600000003</v>
      </c>
      <c r="AD42" s="686">
        <f t="shared" si="17"/>
        <v>60.862401552485949</v>
      </c>
      <c r="AE42" s="687">
        <f t="shared" si="18"/>
        <v>-85.259721961023246</v>
      </c>
      <c r="AG42" s="686">
        <f t="shared" si="19"/>
        <v>55.868359886761887</v>
      </c>
      <c r="AH42" s="687">
        <f t="shared" si="20"/>
        <v>-10.086530869071822</v>
      </c>
      <c r="AJ42" s="170">
        <f t="shared" si="21"/>
        <v>0</v>
      </c>
      <c r="AK42" s="170">
        <f t="shared" si="22"/>
        <v>0</v>
      </c>
      <c r="AM42" s="170" t="str">
        <f t="shared" si="26"/>
        <v>1.02639023946693E-07+0.000453076192942963i</v>
      </c>
      <c r="AN42" s="170" t="str">
        <f t="shared" si="27"/>
        <v>0.000453076208444063i</v>
      </c>
      <c r="AO42" s="170" t="str">
        <f t="shared" si="28"/>
        <v>0.999999965786992-0.000226538101171041i</v>
      </c>
      <c r="AP42" s="170" t="str">
        <f t="shared" si="29"/>
        <v>0.166666649560163-0.0000755126988238272i</v>
      </c>
      <c r="AQ42" s="170" t="str">
        <f t="shared" si="30"/>
        <v>0.833333350439837+0.0000755126988238272i</v>
      </c>
      <c r="AR42" s="170" t="str">
        <f t="shared" si="31"/>
        <v>0.999599971272571-0.0000905789880306266i</v>
      </c>
    </row>
    <row r="43" spans="1:44" ht="13">
      <c r="A43" s="333" t="str">
        <f>V5</f>
        <v>Phase Margin</v>
      </c>
      <c r="B43" s="531">
        <f>W5</f>
        <v>62.168876512939079</v>
      </c>
      <c r="C43" s="170" t="str">
        <f>X5</f>
        <v>°</v>
      </c>
      <c r="G43" s="688">
        <v>15.849</v>
      </c>
      <c r="H43" s="676">
        <f t="shared" si="23"/>
        <v>1.5848999999999999E-2</v>
      </c>
      <c r="I43" s="677">
        <f t="shared" si="0"/>
        <v>1.0189062012970402</v>
      </c>
      <c r="J43" s="678">
        <f t="shared" si="1"/>
        <v>0.19294070986555287</v>
      </c>
      <c r="K43" s="678">
        <f t="shared" si="2"/>
        <v>1.0000000010491779</v>
      </c>
      <c r="L43" s="679">
        <f t="shared" si="3"/>
        <v>4.580781372502164E-5</v>
      </c>
      <c r="M43" s="678">
        <f t="shared" si="4"/>
        <v>1.0000000036200358</v>
      </c>
      <c r="N43" s="679">
        <f t="shared" si="5"/>
        <v>-8.5088611341616364E-5</v>
      </c>
      <c r="O43" s="677">
        <f t="shared" si="6"/>
        <v>179.25075628567379</v>
      </c>
      <c r="P43" s="680">
        <f t="shared" si="7"/>
        <v>1.5652175208365862</v>
      </c>
      <c r="Q43" s="689">
        <f t="shared" si="8"/>
        <v>1.0035928012523299</v>
      </c>
      <c r="R43" s="690">
        <f t="shared" si="9"/>
        <v>8.4641328885806569E-2</v>
      </c>
      <c r="S43" s="677">
        <f t="shared" si="10"/>
        <v>1.000000220854284</v>
      </c>
      <c r="T43" s="680">
        <f t="shared" si="11"/>
        <v>6.6461153043780973E-4</v>
      </c>
      <c r="U43" s="681">
        <f t="shared" si="24"/>
        <v>0.99959996011433305</v>
      </c>
      <c r="V43" s="682">
        <f t="shared" si="25"/>
        <v>-3.4776278358746618E-4</v>
      </c>
      <c r="W43" s="683">
        <f>20*LOG10(((K43*Q43*M43*U43)/(I43*O43*S43))*Adc)</f>
        <v>60.809770575278677</v>
      </c>
      <c r="X43" s="684">
        <f t="shared" si="13"/>
        <v>-95.945710926919617</v>
      </c>
      <c r="Y43" s="687">
        <f t="shared" si="14"/>
        <v>84.054289073080383</v>
      </c>
      <c r="AA43" s="170">
        <f t="shared" si="15"/>
        <v>1000000000</v>
      </c>
      <c r="AB43" s="170">
        <f t="shared" si="16"/>
        <v>251.19080099999999</v>
      </c>
      <c r="AD43" s="686">
        <f t="shared" si="17"/>
        <v>60.067378999204415</v>
      </c>
      <c r="AE43" s="687">
        <f t="shared" si="18"/>
        <v>-84.868846579017529</v>
      </c>
      <c r="AG43" s="686">
        <f t="shared" si="19"/>
        <v>55.841404943237123</v>
      </c>
      <c r="AH43" s="687">
        <f t="shared" si="20"/>
        <v>-11.037013668313985</v>
      </c>
      <c r="AJ43" s="170">
        <f t="shared" si="21"/>
        <v>0</v>
      </c>
      <c r="AK43" s="170">
        <f t="shared" si="22"/>
        <v>0</v>
      </c>
      <c r="AM43" s="170" t="str">
        <f t="shared" si="26"/>
        <v>1.23407097984973E-07+0.000496803966531238i</v>
      </c>
      <c r="AN43" s="170" t="str">
        <f t="shared" si="27"/>
        <v>0.000496803986967618i</v>
      </c>
      <c r="AO43" s="170" t="str">
        <f t="shared" si="28"/>
        <v>0.9999999588643-0.000248401987951471i</v>
      </c>
      <c r="AP43" s="170" t="str">
        <f t="shared" si="29"/>
        <v>0.166666646098817-0.0000828006610885397i</v>
      </c>
      <c r="AQ43" s="170" t="str">
        <f t="shared" si="30"/>
        <v>0.833333353901183+0.0000828006610885397i</v>
      </c>
      <c r="AR43" s="170" t="str">
        <f t="shared" si="31"/>
        <v>0.999599965459836-0.0000993210431056027i</v>
      </c>
    </row>
    <row r="44" spans="1:44">
      <c r="G44" s="688">
        <v>17.378</v>
      </c>
      <c r="H44" s="676">
        <f t="shared" si="23"/>
        <v>1.7378000000000001E-2</v>
      </c>
      <c r="I44" s="677">
        <f t="shared" si="0"/>
        <v>1.0226875434776559</v>
      </c>
      <c r="J44" s="678">
        <f t="shared" si="1"/>
        <v>0.21102961755739638</v>
      </c>
      <c r="K44" s="678">
        <f t="shared" si="2"/>
        <v>1.0000000012613772</v>
      </c>
      <c r="L44" s="679">
        <f t="shared" si="3"/>
        <v>5.0227029263727176E-5</v>
      </c>
      <c r="M44" s="678">
        <f t="shared" si="4"/>
        <v>1.0000000043521988</v>
      </c>
      <c r="N44" s="679">
        <f t="shared" si="5"/>
        <v>-9.3297361800293878E-5</v>
      </c>
      <c r="O44" s="677">
        <f t="shared" si="6"/>
        <v>196.54309344594057</v>
      </c>
      <c r="P44" s="680">
        <f t="shared" si="7"/>
        <v>1.565708362130027</v>
      </c>
      <c r="Q44" s="689">
        <f t="shared" si="8"/>
        <v>1.0043178933119474</v>
      </c>
      <c r="R44" s="690">
        <f t="shared" si="9"/>
        <v>9.2762206841980208E-2</v>
      </c>
      <c r="S44" s="677">
        <f t="shared" si="10"/>
        <v>1.0000002655227105</v>
      </c>
      <c r="T44" s="680">
        <f t="shared" si="11"/>
        <v>7.2872855271706601E-4</v>
      </c>
      <c r="U44" s="681">
        <f t="shared" si="24"/>
        <v>0.99959995204734065</v>
      </c>
      <c r="V44" s="682">
        <f t="shared" si="25"/>
        <v>-3.8131248813188558E-4</v>
      </c>
      <c r="W44" s="683">
        <f t="shared" si="12"/>
        <v>59.983932356710426</v>
      </c>
      <c r="X44" s="684">
        <f t="shared" si="13"/>
        <v>-96.550773111653783</v>
      </c>
      <c r="Y44" s="687">
        <f t="shared" si="14"/>
        <v>83.449226888346217</v>
      </c>
      <c r="AA44" s="170">
        <f t="shared" si="15"/>
        <v>1000000000</v>
      </c>
      <c r="AB44" s="170">
        <f t="shared" si="16"/>
        <v>301.99488400000001</v>
      </c>
      <c r="AD44" s="686">
        <f t="shared" si="17"/>
        <v>59.273716057120524</v>
      </c>
      <c r="AE44" s="687">
        <f t="shared" si="18"/>
        <v>-84.435351314989063</v>
      </c>
      <c r="AG44" s="686">
        <f t="shared" si="19"/>
        <v>55.809229806946874</v>
      </c>
      <c r="AH44" s="687">
        <f t="shared" si="20"/>
        <v>-12.071726604123608</v>
      </c>
      <c r="AJ44" s="170">
        <f t="shared" si="21"/>
        <v>0</v>
      </c>
      <c r="AK44" s="170">
        <f t="shared" si="22"/>
        <v>0</v>
      </c>
      <c r="AM44" s="170" t="str">
        <f t="shared" si="26"/>
        <v>1.48366548047285E-07+0.00054473211297565i</v>
      </c>
      <c r="AN44" s="170" t="str">
        <f t="shared" si="27"/>
        <v>0.000544732139915659i</v>
      </c>
      <c r="AO44" s="170" t="str">
        <f t="shared" si="28"/>
        <v>0.999999950544484-0.000272366062465594i</v>
      </c>
      <c r="AP44" s="170" t="str">
        <f t="shared" si="29"/>
        <v>0.166666641938909-0.0000907886854959417i</v>
      </c>
      <c r="AQ44" s="170" t="str">
        <f t="shared" si="30"/>
        <v>0.833333358061091+0.0000907886854959417i</v>
      </c>
      <c r="AR44" s="170" t="str">
        <f t="shared" si="31"/>
        <v>0.999599958473987-0.000108902836270474i</v>
      </c>
    </row>
    <row r="45" spans="1:44">
      <c r="G45" s="688">
        <v>19.055</v>
      </c>
      <c r="H45" s="676">
        <f t="shared" si="23"/>
        <v>1.9054999999999999E-2</v>
      </c>
      <c r="I45" s="677">
        <f t="shared" si="0"/>
        <v>1.0272166352876233</v>
      </c>
      <c r="J45" s="678">
        <f t="shared" si="1"/>
        <v>0.23070913430747464</v>
      </c>
      <c r="K45" s="678">
        <f t="shared" si="2"/>
        <v>1.0000000015165729</v>
      </c>
      <c r="L45" s="679">
        <f t="shared" si="3"/>
        <v>5.5074004054407507E-5</v>
      </c>
      <c r="M45" s="678">
        <f t="shared" si="4"/>
        <v>1.0000000052327147</v>
      </c>
      <c r="N45" s="679">
        <f t="shared" si="5"/>
        <v>-1.02300680634194E-4</v>
      </c>
      <c r="O45" s="677">
        <f t="shared" si="6"/>
        <v>215.50929270275779</v>
      </c>
      <c r="P45" s="680">
        <f t="shared" si="7"/>
        <v>1.566156139005197</v>
      </c>
      <c r="Q45" s="689">
        <f t="shared" si="8"/>
        <v>1.00518921269516</v>
      </c>
      <c r="R45" s="690">
        <f t="shared" si="9"/>
        <v>0.10165502127228911</v>
      </c>
      <c r="S45" s="677">
        <f t="shared" si="10"/>
        <v>1.0000003192419697</v>
      </c>
      <c r="T45" s="680">
        <f t="shared" si="11"/>
        <v>7.9905179391929408E-4</v>
      </c>
      <c r="U45" s="681">
        <f t="shared" si="24"/>
        <v>0.99959994234579153</v>
      </c>
      <c r="V45" s="682">
        <f t="shared" si="25"/>
        <v>-4.1810964596420081E-4</v>
      </c>
      <c r="W45" s="683">
        <f t="shared" si="12"/>
        <v>59.152918352734062</v>
      </c>
      <c r="X45" s="684">
        <f t="shared" si="13"/>
        <v>-97.200837043030447</v>
      </c>
      <c r="Y45" s="687">
        <f t="shared" si="14"/>
        <v>82.799162956969553</v>
      </c>
      <c r="AA45" s="170">
        <f t="shared" si="15"/>
        <v>1000000000</v>
      </c>
      <c r="AB45" s="170">
        <f t="shared" si="16"/>
        <v>363.09302500000001</v>
      </c>
      <c r="AD45" s="686">
        <f t="shared" si="17"/>
        <v>58.481083683207054</v>
      </c>
      <c r="AE45" s="687">
        <f t="shared" si="18"/>
        <v>-83.955515529624407</v>
      </c>
      <c r="AG45" s="686">
        <f t="shared" si="19"/>
        <v>55.77084834548458</v>
      </c>
      <c r="AH45" s="687">
        <f t="shared" si="20"/>
        <v>-13.197409677176395</v>
      </c>
      <c r="AJ45" s="170">
        <f t="shared" si="21"/>
        <v>0</v>
      </c>
      <c r="AK45" s="170">
        <f t="shared" ref="AK45:AK53" si="32">IF(AJ45&gt;0,Y43,0)</f>
        <v>0</v>
      </c>
      <c r="AM45" s="170" t="str">
        <f t="shared" si="26"/>
        <v>1.78383347981814E-07+0.000597299476861213i</v>
      </c>
      <c r="AN45" s="170" t="str">
        <f t="shared" si="27"/>
        <v>0.000597299512377309i</v>
      </c>
      <c r="AO45" s="170" t="str">
        <f t="shared" si="28"/>
        <v>0.999999940538883-0.000298649746543123i</v>
      </c>
      <c r="AP45" s="170" t="str">
        <f t="shared" si="29"/>
        <v>0.166666636936109-0.0000995499128102022i</v>
      </c>
      <c r="AQ45" s="170" t="str">
        <f t="shared" si="30"/>
        <v>0.833333363063891+0.0000995499128102022i</v>
      </c>
      <c r="AR45" s="170" t="str">
        <f t="shared" si="31"/>
        <v>0.999599950072646-0.000119412101189551i</v>
      </c>
    </row>
    <row r="46" spans="1:44">
      <c r="G46" s="688">
        <v>20.893000000000001</v>
      </c>
      <c r="H46" s="676">
        <f t="shared" si="23"/>
        <v>2.0893000000000002E-2</v>
      </c>
      <c r="I46" s="677">
        <f t="shared" si="0"/>
        <v>1.0326331718852</v>
      </c>
      <c r="J46" s="678">
        <f t="shared" si="1"/>
        <v>0.25207048768622015</v>
      </c>
      <c r="K46" s="678">
        <f t="shared" si="2"/>
        <v>1.0000000018232533</v>
      </c>
      <c r="L46" s="679">
        <f t="shared" si="3"/>
        <v>6.0386311544134309E-5</v>
      </c>
      <c r="M46" s="678">
        <f t="shared" si="4"/>
        <v>1.0000000062908707</v>
      </c>
      <c r="N46" s="679">
        <f t="shared" si="5"/>
        <v>-1.1216836100668781E-4</v>
      </c>
      <c r="O46" s="677">
        <f t="shared" si="6"/>
        <v>236.29637884741584</v>
      </c>
      <c r="P46" s="680">
        <f t="shared" si="7"/>
        <v>1.5665643407194647</v>
      </c>
      <c r="Q46" s="689">
        <f t="shared" si="8"/>
        <v>1.0062353187866349</v>
      </c>
      <c r="R46" s="690">
        <f t="shared" si="9"/>
        <v>0.11138304101548753</v>
      </c>
      <c r="S46" s="677">
        <f t="shared" si="10"/>
        <v>1.0000003837988507</v>
      </c>
      <c r="T46" s="680">
        <f t="shared" si="11"/>
        <v>8.7612639264526945E-4</v>
      </c>
      <c r="U46" s="681">
        <f t="shared" si="24"/>
        <v>0.99959993068699904</v>
      </c>
      <c r="V46" s="682">
        <f t="shared" si="25"/>
        <v>-4.584395062627574E-4</v>
      </c>
      <c r="W46" s="683">
        <f t="shared" si="12"/>
        <v>58.316450600893475</v>
      </c>
      <c r="X46" s="684">
        <f t="shared" si="13"/>
        <v>-97.897753981867197</v>
      </c>
      <c r="Y46" s="687">
        <f t="shared" si="14"/>
        <v>82.102246018132803</v>
      </c>
      <c r="AA46" s="170">
        <f t="shared" si="15"/>
        <v>1000000000</v>
      </c>
      <c r="AB46" s="170">
        <f t="shared" si="16"/>
        <v>436.51744900000006</v>
      </c>
      <c r="AD46" s="686">
        <f t="shared" si="17"/>
        <v>57.690296581977648</v>
      </c>
      <c r="AE46" s="687">
        <f t="shared" si="18"/>
        <v>-83.425945339346285</v>
      </c>
      <c r="AG46" s="686">
        <f t="shared" si="19"/>
        <v>55.725167897488447</v>
      </c>
      <c r="AH46" s="687">
        <f t="shared" si="20"/>
        <v>-14.41927534471905</v>
      </c>
      <c r="AJ46" s="170">
        <f t="shared" si="21"/>
        <v>0</v>
      </c>
      <c r="AK46" s="170">
        <f t="shared" si="32"/>
        <v>0</v>
      </c>
      <c r="AM46" s="170" t="str">
        <f t="shared" si="26"/>
        <v>2.14455906033528E-07+0.000654913556547203i</v>
      </c>
      <c r="AN46" s="170" t="str">
        <f t="shared" si="27"/>
        <v>0.0006549136033639i</v>
      </c>
      <c r="AO46" s="170" t="str">
        <f t="shared" si="28"/>
        <v>0.999999928514698-0.000327456789616212i</v>
      </c>
      <c r="AP46" s="170" t="str">
        <f t="shared" si="29"/>
        <v>0.166666630924016-0.000109152259424534i</v>
      </c>
      <c r="AQ46" s="170" t="str">
        <f t="shared" si="30"/>
        <v>0.833333369075984+0.000109152259424534i</v>
      </c>
      <c r="AR46" s="170" t="str">
        <f t="shared" si="31"/>
        <v>0.999599939976372-0.000130930304747104i</v>
      </c>
    </row>
    <row r="47" spans="1:44">
      <c r="G47" s="688">
        <v>22.909000000000002</v>
      </c>
      <c r="H47" s="676">
        <f t="shared" si="23"/>
        <v>2.2909000000000002E-2</v>
      </c>
      <c r="I47" s="677">
        <f t="shared" si="0"/>
        <v>1.0391100426618454</v>
      </c>
      <c r="J47" s="678">
        <f t="shared" si="1"/>
        <v>0.27523270281463769</v>
      </c>
      <c r="K47" s="678">
        <f t="shared" si="2"/>
        <v>1.0000000021920863</v>
      </c>
      <c r="L47" s="679">
        <f t="shared" si="3"/>
        <v>6.6213086240578804E-5</v>
      </c>
      <c r="M47" s="678">
        <f t="shared" si="4"/>
        <v>1.0000000075634756</v>
      </c>
      <c r="N47" s="679">
        <f t="shared" si="5"/>
        <v>-1.2299167090040199E-4</v>
      </c>
      <c r="O47" s="677">
        <f t="shared" si="6"/>
        <v>259.09661545710549</v>
      </c>
      <c r="P47" s="680">
        <f t="shared" si="7"/>
        <v>1.5669367530951079</v>
      </c>
      <c r="Q47" s="689">
        <f t="shared" si="8"/>
        <v>1.0074919930866488</v>
      </c>
      <c r="R47" s="690">
        <f t="shared" si="9"/>
        <v>0.12202880989609577</v>
      </c>
      <c r="S47" s="677">
        <f t="shared" si="10"/>
        <v>1.0000004614390121</v>
      </c>
      <c r="T47" s="680">
        <f t="shared" si="11"/>
        <v>9.606652223340073E-4</v>
      </c>
      <c r="U47" s="681">
        <f t="shared" si="24"/>
        <v>0.9995999166653986</v>
      </c>
      <c r="V47" s="682">
        <f t="shared" si="25"/>
        <v>-5.0267508613741942E-4</v>
      </c>
      <c r="W47" s="683">
        <f t="shared" si="12"/>
        <v>57.47288787155189</v>
      </c>
      <c r="X47" s="684">
        <f t="shared" si="13"/>
        <v>-98.643895695140671</v>
      </c>
      <c r="Y47" s="687">
        <f t="shared" si="14"/>
        <v>81.356104304859329</v>
      </c>
      <c r="AA47" s="170">
        <f t="shared" si="15"/>
        <v>1000000000</v>
      </c>
      <c r="AB47" s="170">
        <f t="shared" si="16"/>
        <v>524.82228100000009</v>
      </c>
      <c r="AD47" s="686">
        <f t="shared" si="17"/>
        <v>56.901043362707924</v>
      </c>
      <c r="AE47" s="687">
        <f t="shared" si="18"/>
        <v>-82.842169087657581</v>
      </c>
      <c r="AG47" s="686">
        <f t="shared" si="19"/>
        <v>55.670858631094205</v>
      </c>
      <c r="AH47" s="687">
        <f t="shared" si="20"/>
        <v>-15.744124285613159</v>
      </c>
      <c r="AJ47" s="170">
        <f t="shared" si="21"/>
        <v>0</v>
      </c>
      <c r="AK47" s="170">
        <f t="shared" si="32"/>
        <v>0</v>
      </c>
      <c r="AM47" s="170" t="str">
        <f t="shared" si="26"/>
        <v>2.57839033013241E-07+0.000718107234479243i</v>
      </c>
      <c r="AN47" s="170" t="str">
        <f t="shared" si="27"/>
        <v>0.000718107296197941i</v>
      </c>
      <c r="AO47" s="170" t="str">
        <f t="shared" si="28"/>
        <v>0.999999914053654-0.000359053632205638i</v>
      </c>
      <c r="AP47" s="170" t="str">
        <f t="shared" si="29"/>
        <v>0.166666623693494-0.000119684539079874i</v>
      </c>
      <c r="AQ47" s="170" t="str">
        <f t="shared" si="30"/>
        <v>0.833333376306506+0.000119684539079874i</v>
      </c>
      <c r="AR47" s="170" t="str">
        <f t="shared" si="31"/>
        <v>0.999599927833957-0.000143563980549219i</v>
      </c>
    </row>
    <row r="48" spans="1:44">
      <c r="A48" s="170" t="s">
        <v>802</v>
      </c>
      <c r="G48" s="688">
        <v>25.119</v>
      </c>
      <c r="H48" s="676">
        <f t="shared" si="23"/>
        <v>2.5118999999999999E-2</v>
      </c>
      <c r="I48" s="677">
        <f t="shared" si="0"/>
        <v>1.0468421719840133</v>
      </c>
      <c r="J48" s="678">
        <f t="shared" si="1"/>
        <v>0.30027956209339679</v>
      </c>
      <c r="K48" s="678">
        <f t="shared" si="2"/>
        <v>1.0000000026354214</v>
      </c>
      <c r="L48" s="679">
        <f t="shared" si="3"/>
        <v>7.2600572385766594E-5</v>
      </c>
      <c r="M48" s="678">
        <f t="shared" si="4"/>
        <v>1.0000000090931391</v>
      </c>
      <c r="N48" s="679">
        <f t="shared" si="5"/>
        <v>-1.3485650958997225E-4</v>
      </c>
      <c r="O48" s="677">
        <f t="shared" si="6"/>
        <v>284.09095679641632</v>
      </c>
      <c r="P48" s="680">
        <f t="shared" si="7"/>
        <v>1.5672763201169153</v>
      </c>
      <c r="Q48" s="689">
        <f t="shared" si="8"/>
        <v>1.0090004367845897</v>
      </c>
      <c r="R48" s="690">
        <f t="shared" si="9"/>
        <v>0.13366708404005595</v>
      </c>
      <c r="S48" s="677">
        <f t="shared" si="10"/>
        <v>1.0000005547620139</v>
      </c>
      <c r="T48" s="680">
        <f t="shared" si="11"/>
        <v>1.0533392212009876E-3</v>
      </c>
      <c r="U48" s="681">
        <f t="shared" si="24"/>
        <v>0.99959989981152286</v>
      </c>
      <c r="V48" s="682">
        <f t="shared" si="25"/>
        <v>-5.5116746255511355E-4</v>
      </c>
      <c r="W48" s="683">
        <f t="shared" si="12"/>
        <v>56.621575204884287</v>
      </c>
      <c r="X48" s="684">
        <f t="shared" si="13"/>
        <v>-99.44000885742426</v>
      </c>
      <c r="Y48" s="687">
        <f t="shared" si="14"/>
        <v>80.55999114257574</v>
      </c>
      <c r="AA48" s="170">
        <f t="shared" si="15"/>
        <v>1000000000</v>
      </c>
      <c r="AB48" s="170">
        <f t="shared" si="16"/>
        <v>630.96416099999999</v>
      </c>
      <c r="AD48" s="686">
        <f t="shared" si="17"/>
        <v>56.114124179224511</v>
      </c>
      <c r="AE48" s="687">
        <f t="shared" si="18"/>
        <v>-82.200110683875835</v>
      </c>
      <c r="AG48" s="686">
        <f t="shared" si="19"/>
        <v>55.606465440809018</v>
      </c>
      <c r="AH48" s="687">
        <f t="shared" si="20"/>
        <v>-17.176739034657547</v>
      </c>
      <c r="AJ48" s="170">
        <f t="shared" si="21"/>
        <v>0</v>
      </c>
      <c r="AK48" s="170">
        <f t="shared" si="32"/>
        <v>0</v>
      </c>
      <c r="AM48" s="170" t="str">
        <f t="shared" si="26"/>
        <v>3.09985291990778E-07+0.000787382046765186i</v>
      </c>
      <c r="AN48" s="170" t="str">
        <f t="shared" si="27"/>
        <v>0.000787382128124147i</v>
      </c>
      <c r="AO48" s="170" t="str">
        <f t="shared" si="28"/>
        <v>0.999999896671568-0.000393691043927152i</v>
      </c>
      <c r="AP48" s="170" t="str">
        <f t="shared" si="29"/>
        <v>0.166666615002451-0.000131230341127531i</v>
      </c>
      <c r="AQ48" s="170" t="str">
        <f t="shared" si="30"/>
        <v>0.833333384997549+0.000131230341127531i</v>
      </c>
      <c r="AR48" s="170" t="str">
        <f t="shared" si="31"/>
        <v>0.999599913238849-0.000157413395367294i</v>
      </c>
    </row>
    <row r="49" spans="1:44" ht="13">
      <c r="A49" s="170">
        <v>0.1</v>
      </c>
      <c r="C49" s="333" t="s">
        <v>803</v>
      </c>
      <c r="D49" s="761">
        <f>Fco_desire*1000</f>
        <v>8000</v>
      </c>
      <c r="E49" s="761" t="s">
        <v>8</v>
      </c>
      <c r="G49" s="688">
        <v>27.542000000000002</v>
      </c>
      <c r="H49" s="676">
        <f t="shared" si="23"/>
        <v>2.7542000000000001E-2</v>
      </c>
      <c r="I49" s="677">
        <f t="shared" si="0"/>
        <v>1.0560623572652046</v>
      </c>
      <c r="J49" s="678">
        <f t="shared" si="1"/>
        <v>0.32730009028659812</v>
      </c>
      <c r="K49" s="678">
        <f t="shared" si="2"/>
        <v>1.0000000031683733</v>
      </c>
      <c r="L49" s="679">
        <f t="shared" si="3"/>
        <v>7.9603685016853222E-5</v>
      </c>
      <c r="M49" s="678">
        <f t="shared" si="4"/>
        <v>1.0000000109320117</v>
      </c>
      <c r="N49" s="679">
        <f t="shared" si="5"/>
        <v>-1.4786488246242686E-4</v>
      </c>
      <c r="O49" s="677">
        <f t="shared" si="6"/>
        <v>311.49428632869513</v>
      </c>
      <c r="P49" s="680">
        <f t="shared" si="7"/>
        <v>1.5675859895219435</v>
      </c>
      <c r="Q49" s="689">
        <f t="shared" si="8"/>
        <v>1.0108108205766553</v>
      </c>
      <c r="R49" s="690">
        <f t="shared" si="9"/>
        <v>0.14638521662632312</v>
      </c>
      <c r="S49" s="677">
        <f t="shared" si="10"/>
        <v>1.0000006669494945</v>
      </c>
      <c r="T49" s="680">
        <f t="shared" si="11"/>
        <v>1.1549451276138714E-3</v>
      </c>
      <c r="U49" s="681">
        <f t="shared" si="24"/>
        <v>0.99959987955077134</v>
      </c>
      <c r="V49" s="682">
        <f t="shared" si="25"/>
        <v>-6.043335364961784E-4</v>
      </c>
      <c r="W49" s="683">
        <f t="shared" si="12"/>
        <v>55.761124070423634</v>
      </c>
      <c r="X49" s="684">
        <f t="shared" si="13"/>
        <v>-100.28643037087551</v>
      </c>
      <c r="Y49" s="687">
        <f t="shared" si="14"/>
        <v>79.713569629124493</v>
      </c>
      <c r="AA49" s="170">
        <f t="shared" si="15"/>
        <v>1000000000</v>
      </c>
      <c r="AB49" s="170">
        <f t="shared" si="16"/>
        <v>758.56176400000004</v>
      </c>
      <c r="AD49" s="686">
        <f t="shared" si="17"/>
        <v>55.329840257607536</v>
      </c>
      <c r="AE49" s="687">
        <f t="shared" si="18"/>
        <v>-81.494979702152705</v>
      </c>
      <c r="AG49" s="686">
        <f t="shared" si="19"/>
        <v>55.530298580071531</v>
      </c>
      <c r="AH49" s="687">
        <f t="shared" si="20"/>
        <v>-18.722199146524787</v>
      </c>
      <c r="AJ49" s="170">
        <f t="shared" si="21"/>
        <v>0</v>
      </c>
      <c r="AK49" s="170">
        <f t="shared" si="32"/>
        <v>0</v>
      </c>
      <c r="AM49" s="170" t="str">
        <f t="shared" si="26"/>
        <v>3.72672493975656E-07+0.000863333567373709i</v>
      </c>
      <c r="AN49" s="170" t="str">
        <f t="shared" si="27"/>
        <v>0.000863333674620616i</v>
      </c>
      <c r="AO49" s="170" t="str">
        <f t="shared" si="28"/>
        <v>0.999999875775832-0.000431666810795285i</v>
      </c>
      <c r="AP49" s="170" t="str">
        <f t="shared" si="29"/>
        <v>0.166666604554584-0.000143888927895618i</v>
      </c>
      <c r="AQ49" s="170" t="str">
        <f t="shared" si="30"/>
        <v>0.833333395445416+0.000143888927895618i</v>
      </c>
      <c r="AR49" s="170" t="str">
        <f t="shared" si="31"/>
        <v>0.999599895693459-0.000172597615914607i</v>
      </c>
    </row>
    <row r="50" spans="1:44">
      <c r="A50" s="170">
        <v>0.2</v>
      </c>
      <c r="C50" s="760" t="s">
        <v>810</v>
      </c>
      <c r="D50" s="170">
        <f>SQRT(1+(D49/Zero1)^2)*SQRT(1+(D49/z_RHP)^2)/SQRT(1+(D49/pole1)^2)/D58</f>
        <v>1.0258734479788678E-2</v>
      </c>
      <c r="G50" s="688">
        <v>30.2</v>
      </c>
      <c r="H50" s="676">
        <f t="shared" si="23"/>
        <v>3.0199999999999998E-2</v>
      </c>
      <c r="I50" s="677">
        <f t="shared" si="0"/>
        <v>1.0670471305182856</v>
      </c>
      <c r="J50" s="678">
        <f t="shared" si="1"/>
        <v>0.35638055682582281</v>
      </c>
      <c r="K50" s="678">
        <f t="shared" si="2"/>
        <v>1.0000000038094237</v>
      </c>
      <c r="L50" s="679">
        <f t="shared" si="3"/>
        <v>8.7286009965927054E-5</v>
      </c>
      <c r="M50" s="678">
        <f t="shared" si="4"/>
        <v>1.0000000131438633</v>
      </c>
      <c r="N50" s="679">
        <f t="shared" si="5"/>
        <v>-1.6213490101592404E-4</v>
      </c>
      <c r="O50" s="677">
        <f t="shared" si="6"/>
        <v>341.555416802428</v>
      </c>
      <c r="P50" s="680">
        <f t="shared" si="7"/>
        <v>1.5678685400303969</v>
      </c>
      <c r="Q50" s="689">
        <f t="shared" si="8"/>
        <v>1.0129841182685724</v>
      </c>
      <c r="R50" s="690">
        <f t="shared" si="9"/>
        <v>0.16028205156496886</v>
      </c>
      <c r="S50" s="677">
        <f t="shared" si="10"/>
        <v>1.0000008018919551</v>
      </c>
      <c r="T50" s="680">
        <f t="shared" si="11"/>
        <v>1.2664054794908812E-3</v>
      </c>
      <c r="U50" s="681">
        <f t="shared" si="24"/>
        <v>0.99959985518053374</v>
      </c>
      <c r="V50" s="682">
        <f t="shared" si="25"/>
        <v>-6.626560375952511E-4</v>
      </c>
      <c r="W50" s="683">
        <f t="shared" si="12"/>
        <v>54.889675155760791</v>
      </c>
      <c r="X50" s="684">
        <f t="shared" si="13"/>
        <v>-101.1826826198774</v>
      </c>
      <c r="Y50" s="687">
        <f t="shared" si="14"/>
        <v>78.817317380122603</v>
      </c>
      <c r="AA50" s="170">
        <f t="shared" si="15"/>
        <v>1000000000</v>
      </c>
      <c r="AB50" s="170">
        <f t="shared" si="16"/>
        <v>912.04</v>
      </c>
      <c r="AD50" s="686">
        <f t="shared" si="17"/>
        <v>54.548272320450558</v>
      </c>
      <c r="AE50" s="687">
        <f t="shared" si="18"/>
        <v>-80.721324870073587</v>
      </c>
      <c r="AG50" s="686">
        <f t="shared" si="19"/>
        <v>55.440418026089517</v>
      </c>
      <c r="AH50" s="687">
        <f t="shared" si="20"/>
        <v>-20.385422961270919</v>
      </c>
      <c r="AJ50" s="170">
        <f t="shared" si="21"/>
        <v>0</v>
      </c>
      <c r="AK50" s="170">
        <f t="shared" si="32"/>
        <v>0</v>
      </c>
      <c r="AM50" s="170" t="str">
        <f t="shared" si="26"/>
        <v>4.48074545023047E-07+0.000946651408008673i</v>
      </c>
      <c r="AN50" s="170" t="str">
        <f t="shared" si="27"/>
        <v>0.000946651549398831i</v>
      </c>
      <c r="AO50" s="170" t="str">
        <f t="shared" si="28"/>
        <v>0.999999850641814-0.000473325739875032i</v>
      </c>
      <c r="AP50" s="170" t="str">
        <f t="shared" si="29"/>
        <v>0.166666591987576-0.000157775234668112i</v>
      </c>
      <c r="AQ50" s="170" t="str">
        <f t="shared" si="30"/>
        <v>0.833333408012424+0.000157775234668112i</v>
      </c>
      <c r="AR50" s="170" t="str">
        <f t="shared" si="31"/>
        <v>0.999599874589339-0.000189254508785032i</v>
      </c>
    </row>
    <row r="51" spans="1:44" ht="13">
      <c r="A51" s="170">
        <v>0.3</v>
      </c>
      <c r="C51" s="333" t="s">
        <v>811</v>
      </c>
      <c r="D51" s="761">
        <f>20*LOG(D50*Acs*Am)</f>
        <v>16.222489402427009</v>
      </c>
      <c r="E51" s="333" t="s">
        <v>781</v>
      </c>
      <c r="G51" s="688">
        <v>33.113</v>
      </c>
      <c r="H51" s="676">
        <f t="shared" si="23"/>
        <v>3.3112999999999997E-2</v>
      </c>
      <c r="I51" s="677">
        <f t="shared" si="0"/>
        <v>1.0800994702151359</v>
      </c>
      <c r="J51" s="678">
        <f t="shared" si="1"/>
        <v>0.38754230138662199</v>
      </c>
      <c r="K51" s="678">
        <f t="shared" si="2"/>
        <v>1.0000000045797572</v>
      </c>
      <c r="L51" s="679">
        <f t="shared" si="3"/>
        <v>9.5705352533689137E-5</v>
      </c>
      <c r="M51" s="678">
        <f t="shared" si="4"/>
        <v>1.000000015801787</v>
      </c>
      <c r="N51" s="679">
        <f t="shared" si="5"/>
        <v>-1.7777393933202318E-4</v>
      </c>
      <c r="O51" s="677">
        <f t="shared" si="6"/>
        <v>374.50054182395297</v>
      </c>
      <c r="P51" s="680">
        <f t="shared" si="7"/>
        <v>1.5681261005156981</v>
      </c>
      <c r="Q51" s="689">
        <f t="shared" si="8"/>
        <v>1.0155895609069434</v>
      </c>
      <c r="R51" s="690">
        <f t="shared" si="9"/>
        <v>0.17544053364728465</v>
      </c>
      <c r="S51" s="677">
        <f t="shared" si="10"/>
        <v>1.0000009640487451</v>
      </c>
      <c r="T51" s="680">
        <f t="shared" si="11"/>
        <v>1.3885589440091762E-3</v>
      </c>
      <c r="U51" s="681">
        <f t="shared" si="24"/>
        <v>0.9995998258954637</v>
      </c>
      <c r="V51" s="682">
        <f t="shared" si="25"/>
        <v>-7.2657380926395793E-4</v>
      </c>
      <c r="W51" s="683">
        <f t="shared" si="12"/>
        <v>54.006556879011526</v>
      </c>
      <c r="X51" s="684">
        <f t="shared" si="13"/>
        <v>-102.12543390280698</v>
      </c>
      <c r="Y51" s="687">
        <f t="shared" si="14"/>
        <v>77.874566097193025</v>
      </c>
      <c r="AA51" s="170">
        <f t="shared" si="15"/>
        <v>1000000000</v>
      </c>
      <c r="AB51" s="170">
        <f t="shared" si="16"/>
        <v>1096.470769</v>
      </c>
      <c r="AD51" s="686">
        <f t="shared" si="17"/>
        <v>53.770757284598083</v>
      </c>
      <c r="AE51" s="687">
        <f t="shared" si="18"/>
        <v>-79.874563828711544</v>
      </c>
      <c r="AG51" s="686">
        <f t="shared" si="19"/>
        <v>55.334815294130152</v>
      </c>
      <c r="AH51" s="687">
        <f t="shared" si="20"/>
        <v>-22.167610848449158</v>
      </c>
      <c r="AJ51" s="170">
        <f t="shared" si="21"/>
        <v>0</v>
      </c>
      <c r="AK51" s="170">
        <f t="shared" si="32"/>
        <v>0</v>
      </c>
      <c r="AM51" s="170" t="str">
        <f t="shared" si="26"/>
        <v>5.38683208040069E-07+0.001037962487637i</v>
      </c>
      <c r="AN51" s="170" t="str">
        <f t="shared" si="27"/>
        <v>0.00103796267401469i</v>
      </c>
      <c r="AO51" s="170" t="str">
        <f t="shared" si="28"/>
        <v>0.999999820438928-0.000518981290489493i</v>
      </c>
      <c r="AP51" s="170" t="str">
        <f t="shared" si="29"/>
        <v>0.166666576886132-0.0001729937479395i</v>
      </c>
      <c r="AQ51" s="170" t="str">
        <f t="shared" si="30"/>
        <v>0.833333423113868+0.0001729937479395i</v>
      </c>
      <c r="AR51" s="170" t="str">
        <f t="shared" si="31"/>
        <v>0.999599849229073-0.000207509406873109i</v>
      </c>
    </row>
    <row r="52" spans="1:44">
      <c r="A52" s="170">
        <v>0.4</v>
      </c>
      <c r="C52" s="170" t="s">
        <v>694</v>
      </c>
      <c r="D52" s="170" t="str">
        <f>IMSUB(1,IMEXP(COMPLEX(0,-2*Pi*D49*Tsw)))</f>
        <v>0.031278024692186+0.2481486138501i</v>
      </c>
      <c r="G52" s="688">
        <v>36.308</v>
      </c>
      <c r="H52" s="676">
        <f t="shared" si="23"/>
        <v>3.6308E-2</v>
      </c>
      <c r="I52" s="677">
        <f t="shared" si="0"/>
        <v>1.095590539595467</v>
      </c>
      <c r="J52" s="678">
        <f t="shared" si="1"/>
        <v>0.42083104414995542</v>
      </c>
      <c r="K52" s="678">
        <f t="shared" si="2"/>
        <v>1.0000000055061755</v>
      </c>
      <c r="L52" s="679">
        <f t="shared" si="3"/>
        <v>1.0493974987609288E-4</v>
      </c>
      <c r="M52" s="678">
        <f t="shared" si="4"/>
        <v>1.0000000189982587</v>
      </c>
      <c r="N52" s="679">
        <f t="shared" si="5"/>
        <v>-1.9492695242087497E-4</v>
      </c>
      <c r="O52" s="677">
        <f t="shared" si="6"/>
        <v>410.63502299841628</v>
      </c>
      <c r="P52" s="680">
        <f t="shared" si="7"/>
        <v>1.5683610718059044</v>
      </c>
      <c r="Q52" s="689">
        <f t="shared" si="8"/>
        <v>1.0187140921676412</v>
      </c>
      <c r="R52" s="690">
        <f t="shared" si="9"/>
        <v>0.19197307307543277</v>
      </c>
      <c r="S52" s="677">
        <f t="shared" si="10"/>
        <v>1.0000011590616769</v>
      </c>
      <c r="T52" s="680">
        <f t="shared" si="11"/>
        <v>1.5225377218796936E-3</v>
      </c>
      <c r="U52" s="681">
        <f t="shared" si="24"/>
        <v>0.99959979067665738</v>
      </c>
      <c r="V52" s="682">
        <f t="shared" si="25"/>
        <v>-7.9667929197562283E-4</v>
      </c>
      <c r="W52" s="683">
        <f t="shared" si="12"/>
        <v>53.109475478418595</v>
      </c>
      <c r="X52" s="684">
        <f t="shared" si="13"/>
        <v>-103.11110336899625</v>
      </c>
      <c r="Y52" s="687">
        <f t="shared" si="14"/>
        <v>76.888896631003746</v>
      </c>
      <c r="AA52" s="170">
        <f t="shared" si="15"/>
        <v>1000000000</v>
      </c>
      <c r="AB52" s="170">
        <f t="shared" si="16"/>
        <v>1318.2708640000001</v>
      </c>
      <c r="AD52" s="686">
        <f t="shared" si="17"/>
        <v>52.997366562533529</v>
      </c>
      <c r="AE52" s="687">
        <f t="shared" si="18"/>
        <v>-78.948458375538664</v>
      </c>
      <c r="AG52" s="686">
        <f t="shared" si="19"/>
        <v>55.211125227660041</v>
      </c>
      <c r="AH52" s="687">
        <f t="shared" si="20"/>
        <v>-24.071352271241917</v>
      </c>
      <c r="AJ52" s="170">
        <f t="shared" si="21"/>
        <v>0</v>
      </c>
      <c r="AK52" s="170">
        <f t="shared" si="32"/>
        <v>0</v>
      </c>
      <c r="AM52" s="170" t="str">
        <f t="shared" si="26"/>
        <v>6.47650976959291E-07+0.00113811314686854i</v>
      </c>
      <c r="AN52" s="170" t="str">
        <f t="shared" si="27"/>
        <v>0.00113811339256863i</v>
      </c>
      <c r="AO52" s="170" t="str">
        <f t="shared" si="28"/>
        <v>0.999999784116335-0.00056905663459209i</v>
      </c>
      <c r="AP52" s="170" t="str">
        <f t="shared" si="29"/>
        <v>0.166666558724837-0.00018968552447809i</v>
      </c>
      <c r="AQ52" s="170" t="str">
        <f t="shared" si="30"/>
        <v>0.833333441275163+0.00018968552447809i</v>
      </c>
      <c r="AR52" s="170" t="str">
        <f t="shared" si="31"/>
        <v>0.99959981873032-0.000227531509588676i</v>
      </c>
    </row>
    <row r="53" spans="1:44">
      <c r="A53" s="170">
        <v>0.5</v>
      </c>
      <c r="C53" s="170" t="s">
        <v>804</v>
      </c>
      <c r="D53" s="170" t="str">
        <f>COMPLEX(0, 2*Pi*D49*Tsw)</f>
        <v>0.250768622357306i</v>
      </c>
      <c r="G53" s="688">
        <v>39.811</v>
      </c>
      <c r="H53" s="676">
        <f t="shared" si="23"/>
        <v>3.9810999999999999E-2</v>
      </c>
      <c r="I53" s="677">
        <f t="shared" si="0"/>
        <v>1.1139285469595577</v>
      </c>
      <c r="J53" s="678">
        <f t="shared" si="1"/>
        <v>0.45622128635552989</v>
      </c>
      <c r="K53" s="678">
        <f t="shared" si="2"/>
        <v>1.0000000066199022</v>
      </c>
      <c r="L53" s="679">
        <f t="shared" si="3"/>
        <v>1.1506434888220817E-4</v>
      </c>
      <c r="M53" s="678">
        <f t="shared" si="4"/>
        <v>1.0000000228410106</v>
      </c>
      <c r="N53" s="679">
        <f t="shared" si="5"/>
        <v>-2.1373352657670514E-4</v>
      </c>
      <c r="O53" s="677">
        <f t="shared" si="6"/>
        <v>450.25291244929616</v>
      </c>
      <c r="P53" s="680">
        <f t="shared" si="7"/>
        <v>1.5685753509955778</v>
      </c>
      <c r="Q53" s="689">
        <f t="shared" si="8"/>
        <v>1.0224577192005393</v>
      </c>
      <c r="R53" s="690">
        <f t="shared" si="9"/>
        <v>0.20997775246735206</v>
      </c>
      <c r="S53" s="677">
        <f t="shared" si="10"/>
        <v>1.0000013935033445</v>
      </c>
      <c r="T53" s="680">
        <f t="shared" si="11"/>
        <v>1.6694320748091272E-3</v>
      </c>
      <c r="U53" s="681">
        <f t="shared" si="24"/>
        <v>0.9995997483371194</v>
      </c>
      <c r="V53" s="682">
        <f t="shared" si="25"/>
        <v>-8.7354298357551687E-4</v>
      </c>
      <c r="W53" s="683">
        <f t="shared" si="12"/>
        <v>52.197141927806562</v>
      </c>
      <c r="X53" s="684">
        <f t="shared" si="13"/>
        <v>-104.13281786916907</v>
      </c>
      <c r="Y53" s="687">
        <f t="shared" si="14"/>
        <v>75.867182130830926</v>
      </c>
      <c r="AA53" s="170">
        <f t="shared" si="15"/>
        <v>1000000000</v>
      </c>
      <c r="AB53" s="170">
        <f t="shared" si="16"/>
        <v>1584.9157210000001</v>
      </c>
      <c r="AD53" s="686">
        <f t="shared" si="17"/>
        <v>52.229214544812464</v>
      </c>
      <c r="AE53" s="687">
        <f t="shared" si="18"/>
        <v>-77.937559953403337</v>
      </c>
      <c r="AG53" s="686">
        <f t="shared" si="19"/>
        <v>55.066944430576669</v>
      </c>
      <c r="AH53" s="687">
        <f t="shared" si="20"/>
        <v>-26.095157263287074</v>
      </c>
      <c r="AJ53" s="170">
        <f t="shared" si="21"/>
        <v>0</v>
      </c>
      <c r="AK53" s="170">
        <f t="shared" si="32"/>
        <v>0</v>
      </c>
      <c r="AM53" s="170" t="str">
        <f t="shared" si="26"/>
        <v>7.78650444011042E-07+0.00124791837918584i</v>
      </c>
      <c r="AN53" s="170" t="str">
        <f t="shared" si="27"/>
        <v>0.00124791870308334i</v>
      </c>
      <c r="AO53" s="170" t="str">
        <f t="shared" si="28"/>
        <v>0.999999740449839-0.000623959270814007i</v>
      </c>
      <c r="AP53" s="170" t="str">
        <f t="shared" si="29"/>
        <v>0.166666536891593-0.000207986396530973i</v>
      </c>
      <c r="AQ53" s="170" t="str">
        <f t="shared" si="30"/>
        <v>0.833333463108407+0.000207986396530973i</v>
      </c>
      <c r="AR53" s="170" t="str">
        <f t="shared" si="31"/>
        <v>0.999599782065166-0.00024948374912173i</v>
      </c>
    </row>
    <row r="54" spans="1:44">
      <c r="A54" s="170">
        <v>0.6</v>
      </c>
      <c r="C54" s="170" t="s">
        <v>805</v>
      </c>
      <c r="D54" s="170" t="str">
        <f>IMDIV(D52, D53)</f>
        <v>0.989552087966281-0.124728621939071i</v>
      </c>
      <c r="G54" s="688">
        <v>43.652000000000001</v>
      </c>
      <c r="H54" s="676">
        <f t="shared" si="23"/>
        <v>4.3652000000000003E-2</v>
      </c>
      <c r="I54" s="677">
        <f t="shared" si="0"/>
        <v>1.1355839650977704</v>
      </c>
      <c r="J54" s="678">
        <f t="shared" si="1"/>
        <v>0.49366056990699519</v>
      </c>
      <c r="K54" s="678">
        <f t="shared" si="2"/>
        <v>1.0000000079589118</v>
      </c>
      <c r="L54" s="679">
        <f t="shared" si="3"/>
        <v>1.2616585749974739E-4</v>
      </c>
      <c r="M54" s="678">
        <f t="shared" si="4"/>
        <v>1.0000000274610688</v>
      </c>
      <c r="N54" s="679">
        <f t="shared" si="5"/>
        <v>-2.3435472290045197E-4</v>
      </c>
      <c r="O54" s="677">
        <f t="shared" si="6"/>
        <v>493.69350126323627</v>
      </c>
      <c r="P54" s="680">
        <f t="shared" si="7"/>
        <v>1.5687707771750412</v>
      </c>
      <c r="Q54" s="689">
        <f t="shared" si="8"/>
        <v>1.0269405346659246</v>
      </c>
      <c r="R54" s="690">
        <f t="shared" si="9"/>
        <v>0.22956172884970025</v>
      </c>
      <c r="S54" s="677">
        <f t="shared" si="10"/>
        <v>1.0000016753674519</v>
      </c>
      <c r="T54" s="680">
        <f t="shared" si="11"/>
        <v>1.8304999933652895E-3</v>
      </c>
      <c r="U54" s="681">
        <f t="shared" si="24"/>
        <v>0.99959969743321642</v>
      </c>
      <c r="V54" s="682">
        <f t="shared" si="25"/>
        <v>-9.5782314787937813E-4</v>
      </c>
      <c r="W54" s="683">
        <f t="shared" si="12"/>
        <v>51.267881909043481</v>
      </c>
      <c r="X54" s="684">
        <f t="shared" si="13"/>
        <v>-105.18165155594463</v>
      </c>
      <c r="Y54" s="687">
        <f t="shared" si="14"/>
        <v>74.818348444055374</v>
      </c>
      <c r="AA54" s="170">
        <f t="shared" si="15"/>
        <v>1000000000</v>
      </c>
      <c r="AB54" s="170">
        <f t="shared" si="16"/>
        <v>1905.497104</v>
      </c>
      <c r="AD54" s="686">
        <f t="shared" si="17"/>
        <v>51.467193268799498</v>
      </c>
      <c r="AE54" s="687">
        <f t="shared" si="18"/>
        <v>-76.835906366589924</v>
      </c>
      <c r="AG54" s="686">
        <f t="shared" si="19"/>
        <v>54.899706572472027</v>
      </c>
      <c r="AH54" s="687">
        <f t="shared" si="20"/>
        <v>-28.235986741442421</v>
      </c>
      <c r="AJ54" s="170">
        <f t="shared" si="21"/>
        <v>0</v>
      </c>
      <c r="AK54" s="170">
        <f t="shared" ref="AK54:AK85" si="33">IF(AJ54&gt;0,Y54,0)</f>
        <v>0</v>
      </c>
      <c r="AM54" s="170" t="str">
        <f t="shared" si="26"/>
        <v>9.36148280006321E-07+0.00136831856090946i</v>
      </c>
      <c r="AN54" s="170" t="str">
        <f t="shared" si="27"/>
        <v>0.00136831898789264i</v>
      </c>
      <c r="AO54" s="170" t="str">
        <f t="shared" si="28"/>
        <v>0.999999687950556-0.000684159387021363i</v>
      </c>
      <c r="AP54" s="170" t="str">
        <f t="shared" si="29"/>
        <v>0.166666510641953-0.00022805309348491i</v>
      </c>
      <c r="AQ54" s="170" t="str">
        <f t="shared" si="30"/>
        <v>0.833333489358047+0.00022805309348491i</v>
      </c>
      <c r="AR54" s="170" t="str">
        <f t="shared" si="31"/>
        <v>0.999599737983448-0.000273554123775152i</v>
      </c>
    </row>
    <row r="55" spans="1:44">
      <c r="A55" s="170">
        <v>0.7</v>
      </c>
      <c r="C55" s="170" t="s">
        <v>806</v>
      </c>
      <c r="D55" s="170" t="str">
        <f>IMDIV(IMEXP(COMPLEX(0,-2*Pi*D49*Tsw)),6)</f>
        <v>0.161453662551302-0.04135810230835i</v>
      </c>
      <c r="G55" s="688">
        <v>47.863</v>
      </c>
      <c r="H55" s="676">
        <f t="shared" si="23"/>
        <v>4.7863000000000003E-2</v>
      </c>
      <c r="I55" s="677">
        <f t="shared" si="0"/>
        <v>1.1610814000891174</v>
      </c>
      <c r="J55" s="678">
        <f t="shared" si="1"/>
        <v>0.53304040750468551</v>
      </c>
      <c r="K55" s="678">
        <f t="shared" si="2"/>
        <v>1.0000000095685302</v>
      </c>
      <c r="L55" s="679">
        <f t="shared" si="3"/>
        <v>1.3833676420394098E-4</v>
      </c>
      <c r="M55" s="678">
        <f t="shared" si="4"/>
        <v>1.0000000330148231</v>
      </c>
      <c r="N55" s="679">
        <f t="shared" si="5"/>
        <v>-2.5696233988485416E-4</v>
      </c>
      <c r="O55" s="677">
        <f t="shared" si="6"/>
        <v>541.31870009609679</v>
      </c>
      <c r="P55" s="680">
        <f t="shared" si="7"/>
        <v>1.5689489851667555</v>
      </c>
      <c r="Q55" s="689">
        <f t="shared" si="8"/>
        <v>1.0323035448873372</v>
      </c>
      <c r="R55" s="690">
        <f t="shared" si="9"/>
        <v>0.25082767568208175</v>
      </c>
      <c r="S55" s="677">
        <f t="shared" si="10"/>
        <v>1.0000020141951216</v>
      </c>
      <c r="T55" s="680">
        <f t="shared" si="11"/>
        <v>2.0070833270399865E-3</v>
      </c>
      <c r="U55" s="681">
        <f t="shared" si="24"/>
        <v>0.99959963624183068</v>
      </c>
      <c r="V55" s="682">
        <f t="shared" si="25"/>
        <v>-1.0502219356037235E-3</v>
      </c>
      <c r="W55" s="683">
        <f t="shared" si="12"/>
        <v>50.32034021740688</v>
      </c>
      <c r="X55" s="684">
        <f t="shared" si="13"/>
        <v>-106.24572113414608</v>
      </c>
      <c r="Y55" s="687">
        <f t="shared" si="14"/>
        <v>73.754278865853919</v>
      </c>
      <c r="AA55" s="170">
        <f t="shared" si="15"/>
        <v>1000000000</v>
      </c>
      <c r="AB55" s="170">
        <f t="shared" si="16"/>
        <v>2290.8667689999997</v>
      </c>
      <c r="AD55" s="686">
        <f t="shared" si="17"/>
        <v>50.712520375914771</v>
      </c>
      <c r="AE55" s="687">
        <f t="shared" si="18"/>
        <v>-75.637785409928455</v>
      </c>
      <c r="AG55" s="686">
        <f t="shared" si="19"/>
        <v>54.706838837149128</v>
      </c>
      <c r="AH55" s="687">
        <f t="shared" si="20"/>
        <v>-30.487589155155835</v>
      </c>
      <c r="AJ55" s="170">
        <f t="shared" si="21"/>
        <v>0</v>
      </c>
      <c r="AK55" s="170">
        <f t="shared" si="33"/>
        <v>0</v>
      </c>
      <c r="AM55" s="170" t="str">
        <f t="shared" si="26"/>
        <v>1.12547582098443E-06+0.00150031675862897i</v>
      </c>
      <c r="AN55" s="170" t="str">
        <f t="shared" si="27"/>
        <v>0.00150031732148597i</v>
      </c>
      <c r="AO55" s="170" t="str">
        <f t="shared" si="28"/>
        <v>0.999999624841364-0.000750158519712161i</v>
      </c>
      <c r="AP55" s="170" t="str">
        <f t="shared" si="29"/>
        <v>0.166666479087363-0.000250052793104828i</v>
      </c>
      <c r="AQ55" s="170" t="str">
        <f t="shared" si="30"/>
        <v>0.833333520912637+0.000250052793104828i</v>
      </c>
      <c r="AR55" s="170" t="str">
        <f t="shared" si="31"/>
        <v>0.999599684992993-0.000299943164347289i</v>
      </c>
    </row>
    <row r="56" spans="1:44">
      <c r="A56" s="170">
        <v>0.8</v>
      </c>
      <c r="C56" s="170" t="s">
        <v>807</v>
      </c>
      <c r="D56" s="170" t="str">
        <f>IMSUB(1, D55)</f>
        <v>0.838546337448698+0.04135810230835i</v>
      </c>
      <c r="G56" s="688">
        <v>52.481000000000002</v>
      </c>
      <c r="H56" s="676">
        <f t="shared" si="23"/>
        <v>5.2481E-2</v>
      </c>
      <c r="I56" s="677">
        <f t="shared" si="0"/>
        <v>1.1910182642475018</v>
      </c>
      <c r="J56" s="678">
        <f t="shared" si="1"/>
        <v>0.57421733311067558</v>
      </c>
      <c r="K56" s="678">
        <f t="shared" si="2"/>
        <v>1.0000000115040193</v>
      </c>
      <c r="L56" s="679">
        <f t="shared" si="3"/>
        <v>1.5168400879216081E-4</v>
      </c>
      <c r="M56" s="678">
        <f t="shared" si="4"/>
        <v>1.0000000396929467</v>
      </c>
      <c r="N56" s="679">
        <f t="shared" si="5"/>
        <v>-2.8175501952359538E-4</v>
      </c>
      <c r="O56" s="677">
        <f t="shared" si="6"/>
        <v>593.5469683066558</v>
      </c>
      <c r="P56" s="680">
        <f t="shared" si="7"/>
        <v>1.569111539361919</v>
      </c>
      <c r="Q56" s="689">
        <f t="shared" si="8"/>
        <v>1.0387156427280149</v>
      </c>
      <c r="R56" s="690">
        <f t="shared" si="9"/>
        <v>0.27388494022536725</v>
      </c>
      <c r="S56" s="677">
        <f t="shared" si="10"/>
        <v>1.0000024216190382</v>
      </c>
      <c r="T56" s="680">
        <f t="shared" si="11"/>
        <v>2.2007335828534073E-3</v>
      </c>
      <c r="U56" s="681">
        <f t="shared" si="24"/>
        <v>0.99959956266213335</v>
      </c>
      <c r="V56" s="682">
        <f t="shared" si="25"/>
        <v>-1.1515512065499434E-3</v>
      </c>
      <c r="W56" s="683">
        <f t="shared" si="12"/>
        <v>49.352964894407762</v>
      </c>
      <c r="X56" s="684">
        <f t="shared" si="13"/>
        <v>-107.31077176683779</v>
      </c>
      <c r="Y56" s="687">
        <f t="shared" si="14"/>
        <v>72.689228233162211</v>
      </c>
      <c r="AA56" s="170">
        <f t="shared" si="15"/>
        <v>1000000000</v>
      </c>
      <c r="AB56" s="170">
        <f t="shared" si="16"/>
        <v>2754.255361</v>
      </c>
      <c r="AD56" s="686">
        <f t="shared" si="17"/>
        <v>49.966260687180657</v>
      </c>
      <c r="AE56" s="687">
        <f t="shared" si="18"/>
        <v>-74.337110474680074</v>
      </c>
      <c r="AG56" s="686">
        <f t="shared" si="19"/>
        <v>54.48572448160639</v>
      </c>
      <c r="AH56" s="687">
        <f t="shared" si="20"/>
        <v>-32.841703243949929</v>
      </c>
      <c r="AJ56" s="170">
        <f t="shared" si="21"/>
        <v>0</v>
      </c>
      <c r="AK56" s="170">
        <f t="shared" si="33"/>
        <v>0</v>
      </c>
      <c r="AM56" s="170" t="str">
        <f t="shared" si="26"/>
        <v>1.35313311899754E-06+0.0016450727667405i</v>
      </c>
      <c r="AN56" s="170" t="str">
        <f t="shared" si="27"/>
        <v>0.00164507350874172i</v>
      </c>
      <c r="AO56" s="170" t="str">
        <f t="shared" si="28"/>
        <v>0.999999548955584-0.000822536568613594i</v>
      </c>
      <c r="AP56" s="170" t="str">
        <f t="shared" si="29"/>
        <v>0.16666644114448-0.00027417879445675i</v>
      </c>
      <c r="AQ56" s="170" t="str">
        <f t="shared" si="30"/>
        <v>0.83333355885552+0.00027417879445675i</v>
      </c>
      <c r="AR56" s="170" t="str">
        <f t="shared" si="31"/>
        <v>0.999599621274523-0.000328882733916143i</v>
      </c>
    </row>
    <row r="57" spans="1:44">
      <c r="A57" s="170">
        <v>0.9</v>
      </c>
      <c r="C57" s="170" t="s">
        <v>808</v>
      </c>
      <c r="D57" s="170" t="str">
        <f>IMDIV(0.833,D56)</f>
        <v>0.990975145069189-0.048876072322373i</v>
      </c>
      <c r="G57" s="688">
        <v>57.544000000000004</v>
      </c>
      <c r="H57" s="676">
        <f t="shared" si="23"/>
        <v>5.7544000000000005E-2</v>
      </c>
      <c r="I57" s="677">
        <f t="shared" si="0"/>
        <v>1.2260393010752981</v>
      </c>
      <c r="J57" s="678">
        <f t="shared" si="1"/>
        <v>0.6169712367528597</v>
      </c>
      <c r="K57" s="678">
        <f t="shared" si="2"/>
        <v>1.0000000138307426</v>
      </c>
      <c r="L57" s="679">
        <f t="shared" si="3"/>
        <v>1.6631742132194307E-4</v>
      </c>
      <c r="M57" s="678">
        <f t="shared" si="4"/>
        <v>1.0000000477209665</v>
      </c>
      <c r="N57" s="679">
        <f t="shared" si="5"/>
        <v>-3.0893677248322111E-4</v>
      </c>
      <c r="O57" s="677">
        <f t="shared" si="6"/>
        <v>650.80807510186833</v>
      </c>
      <c r="P57" s="680">
        <f t="shared" si="7"/>
        <v>1.5692597748808133</v>
      </c>
      <c r="Q57" s="689">
        <f t="shared" si="8"/>
        <v>1.0463718546432361</v>
      </c>
      <c r="R57" s="690">
        <f t="shared" si="9"/>
        <v>0.29882455208600273</v>
      </c>
      <c r="S57" s="677">
        <f t="shared" si="10"/>
        <v>1.0000029113981861</v>
      </c>
      <c r="T57" s="680">
        <f t="shared" si="11"/>
        <v>2.4130441863094345E-3</v>
      </c>
      <c r="U57" s="681">
        <f t="shared" si="24"/>
        <v>0.99959947420927875</v>
      </c>
      <c r="V57" s="682">
        <f t="shared" si="25"/>
        <v>-1.2626447616172654E-3</v>
      </c>
      <c r="W57" s="683">
        <f t="shared" si="12"/>
        <v>48.365071264699978</v>
      </c>
      <c r="X57" s="684">
        <f t="shared" si="13"/>
        <v>-108.35919743204659</v>
      </c>
      <c r="Y57" s="687">
        <f t="shared" si="14"/>
        <v>71.640802567953415</v>
      </c>
      <c r="AA57" s="170">
        <f t="shared" si="15"/>
        <v>1000000000</v>
      </c>
      <c r="AB57" s="170">
        <f t="shared" si="16"/>
        <v>3311.3119360000005</v>
      </c>
      <c r="AD57" s="686">
        <f t="shared" si="17"/>
        <v>49.230087144500054</v>
      </c>
      <c r="AE57" s="687">
        <f t="shared" si="18"/>
        <v>-72.928833741892532</v>
      </c>
      <c r="AG57" s="686">
        <f t="shared" si="19"/>
        <v>54.234005931778306</v>
      </c>
      <c r="AH57" s="687">
        <f t="shared" si="20"/>
        <v>-35.285675258258784</v>
      </c>
      <c r="AJ57" s="170">
        <f t="shared" si="21"/>
        <v>0</v>
      </c>
      <c r="AK57" s="170">
        <f t="shared" si="33"/>
        <v>0</v>
      </c>
      <c r="AM57" s="170" t="str">
        <f t="shared" si="26"/>
        <v>1.62680835902318E-06+0.0018037777224819i</v>
      </c>
      <c r="AN57" s="170" t="str">
        <f t="shared" si="27"/>
        <v>0.0018037787006161i</v>
      </c>
      <c r="AO57" s="170" t="str">
        <f t="shared" si="28"/>
        <v>0.999999457730486-0.000901889105613414i</v>
      </c>
      <c r="AP57" s="170" t="str">
        <f t="shared" si="29"/>
        <v>0.16666639553194-0.00030062962041365i</v>
      </c>
      <c r="AQ57" s="170" t="str">
        <f t="shared" si="30"/>
        <v>0.83333360446806+0.00030062962041365i</v>
      </c>
      <c r="AR57" s="170" t="str">
        <f t="shared" si="31"/>
        <v>0.999599544676217-0.000360610960689017i</v>
      </c>
    </row>
    <row r="58" spans="1:44">
      <c r="A58" s="170">
        <v>1</v>
      </c>
      <c r="C58" s="170" t="s">
        <v>809</v>
      </c>
      <c r="D58" s="170">
        <f>IMABS(IMPRODUCT(D54, D57))</f>
        <v>0.98958205518855502</v>
      </c>
      <c r="G58" s="688">
        <v>63.095999999999997</v>
      </c>
      <c r="H58" s="676">
        <f t="shared" si="23"/>
        <v>6.3095999999999999E-2</v>
      </c>
      <c r="I58" s="677">
        <f t="shared" si="0"/>
        <v>1.2668666869944427</v>
      </c>
      <c r="J58" s="678">
        <f t="shared" si="1"/>
        <v>0.66104834831162895</v>
      </c>
      <c r="K58" s="678">
        <f t="shared" si="2"/>
        <v>1.000000016628346</v>
      </c>
      <c r="L58" s="679">
        <f t="shared" si="3"/>
        <v>1.8236417343523825E-4</v>
      </c>
      <c r="M58" s="678">
        <f t="shared" si="4"/>
        <v>1.0000000573736911</v>
      </c>
      <c r="N58" s="679">
        <f t="shared" si="5"/>
        <v>-3.3874382161759771E-4</v>
      </c>
      <c r="O58" s="677">
        <f t="shared" si="6"/>
        <v>713.59964811317536</v>
      </c>
      <c r="P58" s="680">
        <f t="shared" si="7"/>
        <v>1.5693949803537381</v>
      </c>
      <c r="Q58" s="689">
        <f t="shared" si="8"/>
        <v>1.0555039965334205</v>
      </c>
      <c r="R58" s="690">
        <f t="shared" si="9"/>
        <v>0.32573837684544743</v>
      </c>
      <c r="S58" s="677">
        <f t="shared" si="10"/>
        <v>1.0000035002981644</v>
      </c>
      <c r="T58" s="680">
        <f t="shared" si="11"/>
        <v>2.6458601453641655E-3</v>
      </c>
      <c r="U58" s="681">
        <f t="shared" si="24"/>
        <v>0.9995993678554318</v>
      </c>
      <c r="V58" s="682">
        <f t="shared" si="25"/>
        <v>-1.3844680537344301E-3</v>
      </c>
      <c r="W58" s="683">
        <f t="shared" si="12"/>
        <v>47.355977611581075</v>
      </c>
      <c r="X58" s="684">
        <f t="shared" si="13"/>
        <v>-109.37143577162878</v>
      </c>
      <c r="Y58" s="687">
        <f t="shared" si="14"/>
        <v>70.628564228371218</v>
      </c>
      <c r="AA58" s="170">
        <f t="shared" si="15"/>
        <v>1000000000</v>
      </c>
      <c r="AB58" s="170">
        <f t="shared" si="16"/>
        <v>3981.1052159999995</v>
      </c>
      <c r="AD58" s="686">
        <f t="shared" si="17"/>
        <v>48.505524795664314</v>
      </c>
      <c r="AE58" s="687">
        <f t="shared" si="18"/>
        <v>-71.407871245706502</v>
      </c>
      <c r="AG58" s="686">
        <f t="shared" si="19"/>
        <v>53.949476475791073</v>
      </c>
      <c r="AH58" s="687">
        <f t="shared" si="20"/>
        <v>-37.804916173041669</v>
      </c>
      <c r="AJ58" s="170">
        <f t="shared" si="21"/>
        <v>0</v>
      </c>
      <c r="AK58" s="170">
        <f t="shared" si="33"/>
        <v>0</v>
      </c>
      <c r="AM58" s="170" t="str">
        <f t="shared" si="26"/>
        <v>0.0000019558697620381+0.00197781083508426i</v>
      </c>
      <c r="AN58" s="170" t="str">
        <f t="shared" si="27"/>
        <v>0.00197781212453207i</v>
      </c>
      <c r="AO58" s="170" t="str">
        <f t="shared" si="28"/>
        <v>0.999999348043328-0.000988905739720267i</v>
      </c>
      <c r="AP58" s="170" t="str">
        <f t="shared" si="29"/>
        <v>0.166666340688373-0.00032963513918071i</v>
      </c>
      <c r="AQ58" s="170" t="str">
        <f t="shared" si="30"/>
        <v>0.833333659311627+0.00032963513918071i</v>
      </c>
      <c r="AR58" s="170" t="str">
        <f t="shared" si="31"/>
        <v>0.999599452576038-0.000395403570938259i</v>
      </c>
    </row>
    <row r="59" spans="1:44">
      <c r="A59" s="170">
        <v>1.2</v>
      </c>
      <c r="G59" s="688">
        <v>69.183000000000007</v>
      </c>
      <c r="H59" s="676">
        <f t="shared" si="23"/>
        <v>6.9183000000000008E-2</v>
      </c>
      <c r="I59" s="677">
        <f t="shared" si="0"/>
        <v>1.3142690562152508</v>
      </c>
      <c r="J59" s="678">
        <f t="shared" si="1"/>
        <v>0.70612935023009082</v>
      </c>
      <c r="K59" s="678">
        <f t="shared" si="2"/>
        <v>1.0000000199914447</v>
      </c>
      <c r="L59" s="679">
        <f t="shared" si="3"/>
        <v>1.9995721729559825E-4</v>
      </c>
      <c r="M59" s="678">
        <f t="shared" si="4"/>
        <v>1.0000000689775737</v>
      </c>
      <c r="N59" s="679">
        <f t="shared" si="5"/>
        <v>-3.7142312713447006E-4</v>
      </c>
      <c r="O59" s="677">
        <f t="shared" si="6"/>
        <v>782.44193452313584</v>
      </c>
      <c r="P59" s="680">
        <f t="shared" si="7"/>
        <v>1.569518276337587</v>
      </c>
      <c r="Q59" s="689">
        <f t="shared" si="8"/>
        <v>1.0663785588850279</v>
      </c>
      <c r="R59" s="690">
        <f t="shared" si="9"/>
        <v>0.35469261627186166</v>
      </c>
      <c r="S59" s="677">
        <f t="shared" si="10"/>
        <v>1.0000042082352696</v>
      </c>
      <c r="T59" s="680">
        <f t="shared" si="11"/>
        <v>2.9011103088271337E-3</v>
      </c>
      <c r="U59" s="681">
        <f t="shared" si="24"/>
        <v>0.99959924000373646</v>
      </c>
      <c r="V59" s="682">
        <f t="shared" si="25"/>
        <v>-1.5180304190609093E-3</v>
      </c>
      <c r="W59" s="683">
        <f t="shared" si="12"/>
        <v>46.325983778506917</v>
      </c>
      <c r="X59" s="684">
        <f t="shared" si="13"/>
        <v>-110.32563723627176</v>
      </c>
      <c r="Y59" s="687">
        <f t="shared" si="14"/>
        <v>69.67436276372824</v>
      </c>
      <c r="AA59" s="170">
        <f t="shared" si="15"/>
        <v>1000000000</v>
      </c>
      <c r="AB59" s="170">
        <f t="shared" si="16"/>
        <v>4786.2874890000012</v>
      </c>
      <c r="AD59" s="686">
        <f t="shared" si="17"/>
        <v>47.794599273816011</v>
      </c>
      <c r="AE59" s="687">
        <f t="shared" si="18"/>
        <v>-69.770604622282718</v>
      </c>
      <c r="AG59" s="686">
        <f t="shared" si="19"/>
        <v>53.630410386466963</v>
      </c>
      <c r="AH59" s="687">
        <f t="shared" si="20"/>
        <v>-40.381079141420948</v>
      </c>
      <c r="AJ59" s="170">
        <f t="shared" si="21"/>
        <v>0</v>
      </c>
      <c r="AK59" s="170">
        <f t="shared" si="33"/>
        <v>0</v>
      </c>
      <c r="AM59" s="170" t="str">
        <f t="shared" si="26"/>
        <v>2.35144610605253E-06+0.00216861400027361i</v>
      </c>
      <c r="AN59" s="170" t="str">
        <f t="shared" si="27"/>
        <v>0.00216861570006819i</v>
      </c>
      <c r="AO59" s="170" t="str">
        <f t="shared" si="28"/>
        <v>0.999999216184509-0.00108430742522919i</v>
      </c>
      <c r="AP59" s="170" t="str">
        <f t="shared" si="29"/>
        <v>0.166666274758982-0.000361435666712268i</v>
      </c>
      <c r="AQ59" s="170" t="str">
        <f t="shared" si="30"/>
        <v>0.833333725241018+0.000361435666712268i</v>
      </c>
      <c r="AR59" s="170" t="str">
        <f t="shared" si="31"/>
        <v>0.999599341859195-0.000433548821590689i</v>
      </c>
    </row>
    <row r="60" spans="1:44">
      <c r="A60" s="170">
        <v>1.5</v>
      </c>
      <c r="C60" s="170" t="s">
        <v>743</v>
      </c>
      <c r="D60" s="170">
        <f>10^(-D51/20)/O3*'Design Converter'!E40/10*Acs</f>
        <v>146413.81322197305</v>
      </c>
      <c r="G60" s="688">
        <v>75.858000000000004</v>
      </c>
      <c r="H60" s="676">
        <f t="shared" si="23"/>
        <v>7.5858000000000009E-2</v>
      </c>
      <c r="I60" s="677">
        <f t="shared" si="0"/>
        <v>1.3690941376823997</v>
      </c>
      <c r="J60" s="678">
        <f t="shared" si="1"/>
        <v>0.7518743362354392</v>
      </c>
      <c r="K60" s="678">
        <f t="shared" si="2"/>
        <v>1.000000024035224</v>
      </c>
      <c r="L60" s="679">
        <f t="shared" si="3"/>
        <v>2.1924973691105965E-4</v>
      </c>
      <c r="M60" s="678">
        <f t="shared" si="4"/>
        <v>1.0000000829300459</v>
      </c>
      <c r="N60" s="679">
        <f t="shared" si="5"/>
        <v>-4.0725923010116413E-4</v>
      </c>
      <c r="O60" s="677">
        <f t="shared" si="6"/>
        <v>857.93434967269377</v>
      </c>
      <c r="P60" s="680">
        <f t="shared" si="7"/>
        <v>1.5696307361796997</v>
      </c>
      <c r="Q60" s="689">
        <f t="shared" si="8"/>
        <v>1.079309034233864</v>
      </c>
      <c r="R60" s="690">
        <f t="shared" si="9"/>
        <v>0.38574416810016871</v>
      </c>
      <c r="S60" s="677">
        <f t="shared" si="10"/>
        <v>1.0000050594559919</v>
      </c>
      <c r="T60" s="680">
        <f t="shared" si="11"/>
        <v>3.181017026157616E-3</v>
      </c>
      <c r="U60" s="681">
        <f t="shared" si="24"/>
        <v>0.99959908627531191</v>
      </c>
      <c r="V60" s="682">
        <f t="shared" si="25"/>
        <v>-1.6644947858197475E-3</v>
      </c>
      <c r="W60" s="683">
        <f t="shared" si="12"/>
        <v>45.275644039610953</v>
      </c>
      <c r="X60" s="684">
        <f t="shared" si="13"/>
        <v>-111.1993296176144</v>
      </c>
      <c r="Y60" s="687">
        <f t="shared" si="14"/>
        <v>68.800670382385604</v>
      </c>
      <c r="AA60" s="170">
        <f t="shared" si="15"/>
        <v>1000000000</v>
      </c>
      <c r="AB60" s="170">
        <f t="shared" si="16"/>
        <v>5754.4361640000006</v>
      </c>
      <c r="AD60" s="686">
        <f t="shared" si="17"/>
        <v>47.099241276000484</v>
      </c>
      <c r="AE60" s="687">
        <f t="shared" si="18"/>
        <v>-68.013962701059896</v>
      </c>
      <c r="AG60" s="686">
        <f t="shared" si="19"/>
        <v>53.275431316993661</v>
      </c>
      <c r="AH60" s="687">
        <f t="shared" si="20"/>
        <v>-42.994629863838554</v>
      </c>
      <c r="AJ60" s="170">
        <f t="shared" si="21"/>
        <v>0</v>
      </c>
      <c r="AK60" s="170">
        <f t="shared" si="33"/>
        <v>0</v>
      </c>
      <c r="AM60" s="170" t="str">
        <f t="shared" si="26"/>
        <v>2.82708580900959E-06+0.00237784852855109i</v>
      </c>
      <c r="AN60" s="170" t="str">
        <f t="shared" si="27"/>
        <v>0.00237785076934757i</v>
      </c>
      <c r="AO60" s="170" t="str">
        <f t="shared" si="28"/>
        <v>0.999999057637885-0.00118892482465806i</v>
      </c>
      <c r="AP60" s="170" t="str">
        <f t="shared" si="29"/>
        <v>0.166666195485698-0.000396308088091848i</v>
      </c>
      <c r="AQ60" s="170" t="str">
        <f t="shared" si="30"/>
        <v>0.833333804514302+0.000396308088091848i</v>
      </c>
      <c r="AR60" s="170" t="str">
        <f t="shared" si="31"/>
        <v>0.99959920873368-0.000475378832738292i</v>
      </c>
    </row>
    <row r="61" spans="1:44">
      <c r="A61" s="170">
        <v>1.8</v>
      </c>
      <c r="C61" s="170" t="s">
        <v>744</v>
      </c>
      <c r="D61" s="170">
        <f>1/(6.28*D60*pole1*2)</f>
        <v>6.7032690855983549E-9</v>
      </c>
      <c r="G61" s="688">
        <v>83.176000000000002</v>
      </c>
      <c r="H61" s="676">
        <f t="shared" si="23"/>
        <v>8.3176E-2</v>
      </c>
      <c r="I61" s="677">
        <f t="shared" si="0"/>
        <v>1.4322242560229355</v>
      </c>
      <c r="J61" s="678">
        <f t="shared" si="1"/>
        <v>0.79789572590317515</v>
      </c>
      <c r="K61" s="678">
        <f t="shared" si="2"/>
        <v>1.0000000288962483</v>
      </c>
      <c r="L61" s="679">
        <f t="shared" si="3"/>
        <v>2.4040069680476923E-4</v>
      </c>
      <c r="M61" s="678">
        <f t="shared" si="4"/>
        <v>1.0000000997023024</v>
      </c>
      <c r="N61" s="679">
        <f t="shared" si="5"/>
        <v>-4.4654740889728191E-4</v>
      </c>
      <c r="O61" s="677">
        <f t="shared" si="6"/>
        <v>940.69892844287733</v>
      </c>
      <c r="P61" s="680">
        <f t="shared" si="7"/>
        <v>1.5697332872206968</v>
      </c>
      <c r="Q61" s="689">
        <f t="shared" si="8"/>
        <v>1.0946506052881959</v>
      </c>
      <c r="R61" s="690">
        <f t="shared" si="9"/>
        <v>0.41890841562736486</v>
      </c>
      <c r="S61" s="677">
        <f t="shared" si="10"/>
        <v>1.0000060827068389</v>
      </c>
      <c r="T61" s="680">
        <f t="shared" si="11"/>
        <v>3.4878864678447156E-3</v>
      </c>
      <c r="U61" s="681">
        <f t="shared" si="24"/>
        <v>0.99959890147857999</v>
      </c>
      <c r="V61" s="682">
        <f t="shared" si="25"/>
        <v>-1.8250679642886644E-3</v>
      </c>
      <c r="W61" s="683">
        <f t="shared" si="12"/>
        <v>44.206741783420526</v>
      </c>
      <c r="X61" s="684">
        <f t="shared" si="13"/>
        <v>-111.96968701697587</v>
      </c>
      <c r="Y61" s="687">
        <f t="shared" si="14"/>
        <v>68.030312983024132</v>
      </c>
      <c r="AA61" s="170">
        <f t="shared" si="15"/>
        <v>1000000000</v>
      </c>
      <c r="AB61" s="170">
        <f t="shared" si="16"/>
        <v>6918.2469760000004</v>
      </c>
      <c r="AD61" s="686">
        <f t="shared" si="17"/>
        <v>46.421894713005443</v>
      </c>
      <c r="AE61" s="687">
        <f t="shared" si="18"/>
        <v>-66.137249350583943</v>
      </c>
      <c r="AG61" s="686">
        <f t="shared" si="19"/>
        <v>52.883878835334158</v>
      </c>
      <c r="AH61" s="687">
        <f t="shared" si="20"/>
        <v>-45.623300282796428</v>
      </c>
      <c r="AJ61" s="170">
        <f t="shared" si="21"/>
        <v>0</v>
      </c>
      <c r="AK61" s="170">
        <f t="shared" si="33"/>
        <v>0</v>
      </c>
      <c r="AM61" s="170" t="str">
        <f t="shared" si="26"/>
        <v>3.39885184696964E-06+0.00260723841277253i</v>
      </c>
      <c r="AN61" s="170" t="str">
        <f t="shared" si="27"/>
        <v>0.00260724136664891i</v>
      </c>
      <c r="AO61" s="170" t="str">
        <f t="shared" si="28"/>
        <v>0.999998867049128-0.0013036199449912i</v>
      </c>
      <c r="AP61" s="170" t="str">
        <f t="shared" si="29"/>
        <v>0.166666100191359-0.000434539735462088i</v>
      </c>
      <c r="AQ61" s="170" t="str">
        <f t="shared" si="30"/>
        <v>0.833333899808641+0.000434539735462088i</v>
      </c>
      <c r="AR61" s="170" t="str">
        <f t="shared" si="31"/>
        <v>0.999599048703706-0.000521238253107916i</v>
      </c>
    </row>
    <row r="62" spans="1:44">
      <c r="A62" s="170">
        <v>2</v>
      </c>
      <c r="C62" s="170" t="s">
        <v>812</v>
      </c>
      <c r="D62" s="170">
        <f>D61/150</f>
        <v>4.4688460570655696E-11</v>
      </c>
      <c r="G62" s="688">
        <v>91.201000000000008</v>
      </c>
      <c r="H62" s="676">
        <f t="shared" si="23"/>
        <v>9.1201000000000004E-2</v>
      </c>
      <c r="I62" s="677">
        <f t="shared" si="0"/>
        <v>1.5046292704939959</v>
      </c>
      <c r="J62" s="678">
        <f t="shared" si="1"/>
        <v>0.8438171665094325</v>
      </c>
      <c r="K62" s="678">
        <f t="shared" si="2"/>
        <v>1.0000000347411824</v>
      </c>
      <c r="L62" s="679">
        <f t="shared" si="3"/>
        <v>2.6359507386576836E-4</v>
      </c>
      <c r="M62" s="678">
        <f t="shared" si="4"/>
        <v>1.0000001198693975</v>
      </c>
      <c r="N62" s="679">
        <f t="shared" si="5"/>
        <v>-4.896312601146576E-4</v>
      </c>
      <c r="O62" s="677">
        <f t="shared" si="6"/>
        <v>1031.4594933316646</v>
      </c>
      <c r="P62" s="680">
        <f t="shared" si="7"/>
        <v>1.5698268266224515</v>
      </c>
      <c r="Q62" s="689">
        <f t="shared" si="8"/>
        <v>1.1128174183288473</v>
      </c>
      <c r="R62" s="690">
        <f t="shared" si="9"/>
        <v>0.45418244997376073</v>
      </c>
      <c r="S62" s="677">
        <f t="shared" si="10"/>
        <v>1.0000073130704517</v>
      </c>
      <c r="T62" s="680">
        <f t="shared" si="11"/>
        <v>3.8244021452969964E-3</v>
      </c>
      <c r="U62" s="681">
        <f t="shared" si="24"/>
        <v>0.99959867927763768</v>
      </c>
      <c r="V62" s="682">
        <f t="shared" si="25"/>
        <v>-2.0011542403568661E-3</v>
      </c>
      <c r="W62" s="683">
        <f t="shared" si="12"/>
        <v>43.12129706534072</v>
      </c>
      <c r="X62" s="684">
        <f t="shared" si="13"/>
        <v>-112.61560738353668</v>
      </c>
      <c r="Y62" s="687">
        <f t="shared" si="14"/>
        <v>67.384392616463316</v>
      </c>
      <c r="AA62" s="170">
        <f t="shared" si="15"/>
        <v>1000000000</v>
      </c>
      <c r="AB62" s="170">
        <f t="shared" si="16"/>
        <v>8317.6224010000005</v>
      </c>
      <c r="AD62" s="686">
        <f t="shared" si="17"/>
        <v>45.764821330614694</v>
      </c>
      <c r="AE62" s="687">
        <f t="shared" si="18"/>
        <v>-64.140836394851434</v>
      </c>
      <c r="AG62" s="686">
        <f t="shared" si="19"/>
        <v>52.455511361220118</v>
      </c>
      <c r="AH62" s="687">
        <f t="shared" si="20"/>
        <v>-48.245455604168917</v>
      </c>
      <c r="AJ62" s="170">
        <f t="shared" si="21"/>
        <v>0</v>
      </c>
      <c r="AK62" s="170">
        <f t="shared" si="33"/>
        <v>0</v>
      </c>
      <c r="AM62" s="170" t="str">
        <f t="shared" si="26"/>
        <v>4.08634775794781E-06+0.0028587897469417i</v>
      </c>
      <c r="AN62" s="170" t="str">
        <f t="shared" si="27"/>
        <v>0.00285879364095109i</v>
      </c>
      <c r="AO62" s="170" t="str">
        <f t="shared" si="28"/>
        <v>0.999998637883709-0.00142939584704978i</v>
      </c>
      <c r="AP62" s="170" t="str">
        <f t="shared" si="29"/>
        <v>0.166665985608707-0.000476464957823617i</v>
      </c>
      <c r="AQ62" s="170" t="str">
        <f t="shared" si="30"/>
        <v>0.833334014391293+0.000476464957823617i</v>
      </c>
      <c r="AR62" s="170" t="str">
        <f t="shared" si="31"/>
        <v>0.999598856282542-0.000571528125186502i</v>
      </c>
    </row>
    <row r="63" spans="1:44">
      <c r="A63" s="170">
        <v>2.5</v>
      </c>
      <c r="G63" s="688">
        <v>100</v>
      </c>
      <c r="H63" s="676">
        <f t="shared" si="23"/>
        <v>0.1</v>
      </c>
      <c r="I63" s="677">
        <f t="shared" si="0"/>
        <v>1.5873109105634793</v>
      </c>
      <c r="J63" s="678">
        <f t="shared" si="1"/>
        <v>0.8892478801003747</v>
      </c>
      <c r="K63" s="678">
        <f t="shared" si="2"/>
        <v>1.0000000417681649</v>
      </c>
      <c r="L63" s="679">
        <f t="shared" si="3"/>
        <v>2.8902651575192859E-4</v>
      </c>
      <c r="M63" s="678">
        <f t="shared" si="4"/>
        <v>1.0000001441149768</v>
      </c>
      <c r="N63" s="679">
        <f t="shared" si="5"/>
        <v>-5.3687048628896174E-4</v>
      </c>
      <c r="O63" s="677">
        <f t="shared" si="6"/>
        <v>1130.9737960969785</v>
      </c>
      <c r="P63" s="680">
        <f t="shared" si="7"/>
        <v>1.5699121328960186</v>
      </c>
      <c r="Q63" s="689">
        <f t="shared" si="8"/>
        <v>1.1342730764114146</v>
      </c>
      <c r="R63" s="690">
        <f t="shared" si="9"/>
        <v>0.49150850502535226</v>
      </c>
      <c r="S63" s="677">
        <f t="shared" si="10"/>
        <v>1.0000087922541929</v>
      </c>
      <c r="T63" s="680">
        <f t="shared" si="11"/>
        <v>4.1933732897579453E-3</v>
      </c>
      <c r="U63" s="681">
        <f t="shared" si="24"/>
        <v>0.9995984121401541</v>
      </c>
      <c r="V63" s="682">
        <f t="shared" si="25"/>
        <v>-2.1942237208938185E-3</v>
      </c>
      <c r="W63" s="683">
        <f t="shared" si="12"/>
        <v>42.022499131105064</v>
      </c>
      <c r="X63" s="684">
        <f t="shared" si="13"/>
        <v>-113.11830985197949</v>
      </c>
      <c r="Y63" s="687">
        <f t="shared" si="14"/>
        <v>66.88169014802051</v>
      </c>
      <c r="AA63" s="170">
        <f t="shared" si="15"/>
        <v>1000000000</v>
      </c>
      <c r="AB63" s="170">
        <f t="shared" si="16"/>
        <v>10000</v>
      </c>
      <c r="AD63" s="686">
        <f t="shared" si="17"/>
        <v>45.130675351356103</v>
      </c>
      <c r="AE63" s="687">
        <f t="shared" si="18"/>
        <v>-62.028239150889384</v>
      </c>
      <c r="AG63" s="686">
        <f t="shared" si="19"/>
        <v>51.990864048760216</v>
      </c>
      <c r="AH63" s="687">
        <f t="shared" si="20"/>
        <v>-50.838631183773366</v>
      </c>
      <c r="AJ63" s="170">
        <f t="shared" si="21"/>
        <v>0</v>
      </c>
      <c r="AK63" s="170">
        <f t="shared" si="33"/>
        <v>0</v>
      </c>
      <c r="AM63" s="170" t="str">
        <f t="shared" si="26"/>
        <v>4.91287894299752E-06+0.00313460264614846i</v>
      </c>
      <c r="AN63" s="170" t="str">
        <f t="shared" si="27"/>
        <v>0.00313460777946633i</v>
      </c>
      <c r="AO63" s="170" t="str">
        <f t="shared" si="28"/>
        <v>0.999998362373148-0.00156730260646324i</v>
      </c>
      <c r="AP63" s="170" t="str">
        <f t="shared" si="29"/>
        <v>0.166665847853509-0.000522433774358077i</v>
      </c>
      <c r="AQ63" s="170" t="str">
        <f t="shared" si="30"/>
        <v>0.833334152146491+0.000522433774358077i</v>
      </c>
      <c r="AR63" s="170" t="str">
        <f t="shared" si="31"/>
        <v>0.99959862494738-0.000626668283220202i</v>
      </c>
    </row>
    <row r="64" spans="1:44">
      <c r="A64" s="170">
        <v>3</v>
      </c>
      <c r="C64" s="170" t="s">
        <v>743</v>
      </c>
      <c r="D64" s="172">
        <f>D60/1000</f>
        <v>146.41381322197304</v>
      </c>
      <c r="G64" s="688">
        <v>109.65</v>
      </c>
      <c r="H64" s="676">
        <f t="shared" si="23"/>
        <v>0.10965000000000001</v>
      </c>
      <c r="I64" s="677">
        <f t="shared" si="0"/>
        <v>1.6813627524553894</v>
      </c>
      <c r="J64" s="678">
        <f t="shared" si="1"/>
        <v>0.93383466310278529</v>
      </c>
      <c r="K64" s="678">
        <f t="shared" si="2"/>
        <v>1.0000000502183761</v>
      </c>
      <c r="L64" s="679">
        <f t="shared" si="3"/>
        <v>3.1691757273664284E-4</v>
      </c>
      <c r="M64" s="678">
        <f t="shared" si="4"/>
        <v>1.0000001732711994</v>
      </c>
      <c r="N64" s="679">
        <f t="shared" si="5"/>
        <v>-5.8867847677342069E-4</v>
      </c>
      <c r="O64" s="677">
        <f t="shared" si="6"/>
        <v>1240.1126858502323</v>
      </c>
      <c r="P64" s="680">
        <f t="shared" si="7"/>
        <v>1.5699899483747866</v>
      </c>
      <c r="Q64" s="689">
        <f t="shared" si="8"/>
        <v>1.1595486743739041</v>
      </c>
      <c r="R64" s="690">
        <f t="shared" si="9"/>
        <v>0.53079577903886388</v>
      </c>
      <c r="S64" s="677">
        <f t="shared" si="10"/>
        <v>1.0000105710255196</v>
      </c>
      <c r="T64" s="680">
        <f t="shared" si="11"/>
        <v>4.5980283596943972E-3</v>
      </c>
      <c r="U64" s="681">
        <f t="shared" si="24"/>
        <v>0.99959809089753093</v>
      </c>
      <c r="V64" s="682">
        <f t="shared" si="25"/>
        <v>-2.4059659272309387E-3</v>
      </c>
      <c r="W64" s="683">
        <f t="shared" si="12"/>
        <v>40.913747855030486</v>
      </c>
      <c r="X64" s="684">
        <f t="shared" si="13"/>
        <v>-113.46309515122547</v>
      </c>
      <c r="Y64" s="687">
        <f t="shared" si="14"/>
        <v>66.536904848774526</v>
      </c>
      <c r="AA64" s="170">
        <f t="shared" si="15"/>
        <v>1000000000</v>
      </c>
      <c r="AB64" s="170">
        <f t="shared" si="16"/>
        <v>12023.122500000001</v>
      </c>
      <c r="AD64" s="686">
        <f t="shared" si="17"/>
        <v>44.521914954948983</v>
      </c>
      <c r="AE64" s="687">
        <f t="shared" si="18"/>
        <v>-59.804887684980748</v>
      </c>
      <c r="AG64" s="686">
        <f t="shared" si="19"/>
        <v>51.490878751891593</v>
      </c>
      <c r="AH64" s="687">
        <f t="shared" si="20"/>
        <v>-53.382504079364452</v>
      </c>
      <c r="AJ64" s="170">
        <f t="shared" si="21"/>
        <v>0</v>
      </c>
      <c r="AK64" s="170">
        <f t="shared" si="33"/>
        <v>0</v>
      </c>
      <c r="AM64" s="170" t="str">
        <f t="shared" si="26"/>
        <v>5.90681355705502E-06+0.00343709066275093i</v>
      </c>
      <c r="AN64" s="170" t="str">
        <f t="shared" si="27"/>
        <v>0.00343709743018483i</v>
      </c>
      <c r="AO64" s="170" t="str">
        <f t="shared" si="28"/>
        <v>0.999998031061372-0.00171854702318909i</v>
      </c>
      <c r="AP64" s="170" t="str">
        <f t="shared" si="29"/>
        <v>0.166665682197741-0.000572848443791822i</v>
      </c>
      <c r="AQ64" s="170" t="str">
        <f t="shared" si="30"/>
        <v>0.833334317802259+0.000572848443791822i</v>
      </c>
      <c r="AR64" s="170" t="str">
        <f t="shared" si="31"/>
        <v>0.999598346758455-0.00068714121706594i</v>
      </c>
    </row>
    <row r="65" spans="1:44">
      <c r="A65" s="170">
        <v>4</v>
      </c>
      <c r="C65" s="170" t="s">
        <v>744</v>
      </c>
      <c r="D65" s="172">
        <f>D61*1000000000</f>
        <v>6.7032690855983548</v>
      </c>
      <c r="G65" s="688">
        <v>120.23</v>
      </c>
      <c r="H65" s="676">
        <f t="shared" si="23"/>
        <v>0.12023</v>
      </c>
      <c r="I65" s="677">
        <f t="shared" si="0"/>
        <v>1.7878916415012167</v>
      </c>
      <c r="J65" s="678">
        <f t="shared" si="1"/>
        <v>0.97723346433419001</v>
      </c>
      <c r="K65" s="678">
        <f t="shared" si="2"/>
        <v>1.0000000603769381</v>
      </c>
      <c r="L65" s="679">
        <f t="shared" si="3"/>
        <v>3.4749657557755386E-4</v>
      </c>
      <c r="M65" s="678">
        <f t="shared" si="4"/>
        <v>1.0000002083218369</v>
      </c>
      <c r="N65" s="679">
        <f t="shared" si="5"/>
        <v>-6.4547935803575319E-4</v>
      </c>
      <c r="O65" s="677">
        <f t="shared" si="6"/>
        <v>1359.7696312235946</v>
      </c>
      <c r="P65" s="680">
        <f t="shared" si="7"/>
        <v>1.5700609080392649</v>
      </c>
      <c r="Q65" s="689">
        <f t="shared" si="8"/>
        <v>1.1892232781748238</v>
      </c>
      <c r="R65" s="690">
        <f t="shared" si="9"/>
        <v>0.57187998776979687</v>
      </c>
      <c r="S65" s="677">
        <f t="shared" si="10"/>
        <v>1.0000127094008997</v>
      </c>
      <c r="T65" s="680">
        <f t="shared" si="11"/>
        <v>5.0416795403636474E-3</v>
      </c>
      <c r="U65" s="681">
        <f t="shared" si="24"/>
        <v>0.99959770471074605</v>
      </c>
      <c r="V65" s="682">
        <f t="shared" si="25"/>
        <v>-2.6381142557070441E-3</v>
      </c>
      <c r="W65" s="683">
        <f t="shared" si="12"/>
        <v>39.799535492260183</v>
      </c>
      <c r="X65" s="684">
        <f t="shared" si="13"/>
        <v>-113.64000008492305</v>
      </c>
      <c r="Y65" s="687">
        <f t="shared" si="14"/>
        <v>66.359999915076955</v>
      </c>
      <c r="AA65" s="170">
        <f t="shared" si="15"/>
        <v>1000000000</v>
      </c>
      <c r="AB65" s="170">
        <f t="shared" si="16"/>
        <v>14455.252900000001</v>
      </c>
      <c r="AD65" s="686">
        <f t="shared" si="17"/>
        <v>43.941300992261596</v>
      </c>
      <c r="AE65" s="687">
        <f t="shared" si="18"/>
        <v>-57.480420946926287</v>
      </c>
      <c r="AG65" s="686">
        <f t="shared" si="19"/>
        <v>50.95728706325896</v>
      </c>
      <c r="AH65" s="687">
        <f t="shared" si="20"/>
        <v>-55.857273512200692</v>
      </c>
      <c r="AJ65" s="170">
        <f t="shared" si="21"/>
        <v>0</v>
      </c>
      <c r="AK65" s="170">
        <f t="shared" si="33"/>
        <v>0</v>
      </c>
      <c r="AM65" s="170" t="str">
        <f t="shared" si="26"/>
        <v>7.10168816797641E-06+0.00376873001177858i</v>
      </c>
      <c r="AN65" s="170" t="str">
        <f t="shared" si="27"/>
        <v>0.00376873893325237i</v>
      </c>
      <c r="AO65" s="170" t="str">
        <f t="shared" si="28"/>
        <v>0.999997632769489-0.00188436723629666i</v>
      </c>
      <c r="AP65" s="170" t="str">
        <f t="shared" si="29"/>
        <v>0.166665483051972-0.000628121668629763i</v>
      </c>
      <c r="AQ65" s="170" t="str">
        <f t="shared" si="30"/>
        <v>0.833334516948028+0.000628121668629763i</v>
      </c>
      <c r="AR65" s="170" t="str">
        <f t="shared" si="31"/>
        <v>0.999598012329478-0.000753441935614127i</v>
      </c>
    </row>
    <row r="66" spans="1:44">
      <c r="A66" s="170">
        <v>5</v>
      </c>
      <c r="C66" s="170" t="s">
        <v>812</v>
      </c>
      <c r="D66" s="172">
        <f>D62*1000000000000</f>
        <v>44.6884605706557</v>
      </c>
      <c r="G66" s="688">
        <v>131.83000000000001</v>
      </c>
      <c r="H66" s="676">
        <f t="shared" si="23"/>
        <v>0.13183</v>
      </c>
      <c r="I66" s="677">
        <f t="shared" si="0"/>
        <v>1.9081034750146026</v>
      </c>
      <c r="J66" s="678">
        <f t="shared" si="1"/>
        <v>1.0191611091459769</v>
      </c>
      <c r="K66" s="678">
        <f t="shared" si="2"/>
        <v>1.0000000725895146</v>
      </c>
      <c r="L66" s="679">
        <f t="shared" si="3"/>
        <v>3.8102364788665901E-4</v>
      </c>
      <c r="M66" s="678">
        <f t="shared" si="4"/>
        <v>1.0000002504595509</v>
      </c>
      <c r="N66" s="679">
        <f t="shared" si="5"/>
        <v>-7.0775631189738154E-4</v>
      </c>
      <c r="O66" s="677">
        <f t="shared" si="6"/>
        <v>1490.9625079320765</v>
      </c>
      <c r="P66" s="680">
        <f t="shared" si="7"/>
        <v>1.5701256190677373</v>
      </c>
      <c r="Q66" s="689">
        <f t="shared" si="8"/>
        <v>1.2239459446396763</v>
      </c>
      <c r="R66" s="690">
        <f t="shared" si="9"/>
        <v>0.61455598186194893</v>
      </c>
      <c r="S66" s="677">
        <f t="shared" si="10"/>
        <v>1.0000152801399109</v>
      </c>
      <c r="T66" s="680">
        <f t="shared" si="11"/>
        <v>5.5281000975927891E-3</v>
      </c>
      <c r="U66" s="681">
        <f t="shared" si="24"/>
        <v>0.99959724043932974</v>
      </c>
      <c r="V66" s="682">
        <f t="shared" si="25"/>
        <v>-2.8926434534115924E-3</v>
      </c>
      <c r="W66" s="683">
        <f t="shared" si="12"/>
        <v>38.684244049897671</v>
      </c>
      <c r="X66" s="684">
        <f t="shared" si="13"/>
        <v>-113.64493103904493</v>
      </c>
      <c r="Y66" s="687">
        <f t="shared" si="14"/>
        <v>66.355068960955066</v>
      </c>
      <c r="AA66" s="170">
        <f t="shared" si="15"/>
        <v>1000000000</v>
      </c>
      <c r="AB66" s="170">
        <f t="shared" si="16"/>
        <v>17379.148900000004</v>
      </c>
      <c r="AD66" s="686">
        <f t="shared" si="17"/>
        <v>43.391227680790152</v>
      </c>
      <c r="AE66" s="687">
        <f t="shared" si="18"/>
        <v>-55.066844109979883</v>
      </c>
      <c r="AG66" s="686">
        <f t="shared" si="19"/>
        <v>50.392077000836231</v>
      </c>
      <c r="AH66" s="687">
        <f t="shared" si="20"/>
        <v>-58.24661440565302</v>
      </c>
      <c r="AJ66" s="170">
        <f t="shared" si="21"/>
        <v>0</v>
      </c>
      <c r="AK66" s="170">
        <f t="shared" si="33"/>
        <v>0</v>
      </c>
      <c r="AM66" s="170" t="str">
        <f t="shared" si="26"/>
        <v>8.53816030899068E-06+0.00413234167476507i</v>
      </c>
      <c r="AN66" s="170" t="str">
        <f t="shared" si="27"/>
        <v>0.00413235343567046i</v>
      </c>
      <c r="AO66" s="170" t="str">
        <f t="shared" si="28"/>
        <v>0.999997153944944-0.00206617377770481i</v>
      </c>
      <c r="AP66" s="170" t="str">
        <f t="shared" si="29"/>
        <v>0.166665243639949-0.000688723612460845i</v>
      </c>
      <c r="AQ66" s="170" t="str">
        <f t="shared" si="30"/>
        <v>0.833334756360051+0.000688723612460845i</v>
      </c>
      <c r="AR66" s="170" t="str">
        <f t="shared" si="31"/>
        <v>0.999597610281182-0.000826134361858577i</v>
      </c>
    </row>
    <row r="67" spans="1:44">
      <c r="A67" s="170">
        <v>6</v>
      </c>
      <c r="G67" s="688">
        <v>144.54</v>
      </c>
      <c r="H67" s="676">
        <f t="shared" si="23"/>
        <v>0.14454</v>
      </c>
      <c r="I67" s="677">
        <f t="shared" si="0"/>
        <v>2.0431905476054051</v>
      </c>
      <c r="J67" s="678">
        <f t="shared" si="1"/>
        <v>1.0593596299286603</v>
      </c>
      <c r="K67" s="678">
        <f t="shared" si="2"/>
        <v>1.0000000872612611</v>
      </c>
      <c r="L67" s="679">
        <f t="shared" si="3"/>
        <v>4.1775891319774031E-4</v>
      </c>
      <c r="M67" s="678">
        <f t="shared" si="4"/>
        <v>1.0000003010822709</v>
      </c>
      <c r="N67" s="679">
        <f t="shared" si="5"/>
        <v>-7.759925196784436E-4</v>
      </c>
      <c r="O67" s="677">
        <f t="shared" si="6"/>
        <v>1634.7091917364287</v>
      </c>
      <c r="P67" s="680">
        <f t="shared" si="7"/>
        <v>1.5701845971567299</v>
      </c>
      <c r="Q67" s="689">
        <f t="shared" si="8"/>
        <v>1.2644002338665694</v>
      </c>
      <c r="R67" s="690">
        <f t="shared" si="9"/>
        <v>0.65853628555669264</v>
      </c>
      <c r="S67" s="677">
        <f t="shared" si="10"/>
        <v>1.0000183685238633</v>
      </c>
      <c r="T67" s="680">
        <f t="shared" si="11"/>
        <v>6.0610630583617514E-3</v>
      </c>
      <c r="U67" s="681">
        <f t="shared" si="24"/>
        <v>0.99959668268128077</v>
      </c>
      <c r="V67" s="682">
        <f t="shared" si="25"/>
        <v>-3.1715282507778003E-3</v>
      </c>
      <c r="W67" s="683">
        <f t="shared" si="12"/>
        <v>37.573044938378061</v>
      </c>
      <c r="X67" s="684">
        <f t="shared" si="13"/>
        <v>-113.47995035574621</v>
      </c>
      <c r="Y67" s="687">
        <f t="shared" si="14"/>
        <v>66.520049644253788</v>
      </c>
      <c r="AA67" s="170">
        <f t="shared" si="15"/>
        <v>1000000000</v>
      </c>
      <c r="AB67" s="170">
        <f t="shared" si="16"/>
        <v>20891.811599999997</v>
      </c>
      <c r="AD67" s="686">
        <f t="shared" si="17"/>
        <v>42.874171814344528</v>
      </c>
      <c r="AE67" s="687">
        <f t="shared" si="18"/>
        <v>-52.580874047598691</v>
      </c>
      <c r="AG67" s="686">
        <f t="shared" si="19"/>
        <v>49.797943448918673</v>
      </c>
      <c r="AH67" s="687">
        <f t="shared" si="20"/>
        <v>-60.535645940980075</v>
      </c>
      <c r="AJ67" s="170">
        <f t="shared" si="21"/>
        <v>0</v>
      </c>
      <c r="AK67" s="170">
        <f t="shared" si="33"/>
        <v>0</v>
      </c>
      <c r="AM67" s="170" t="str">
        <f t="shared" si="26"/>
        <v>0.000010263884975048+0.00453074658335639i</v>
      </c>
      <c r="AN67" s="170" t="str">
        <f t="shared" si="27"/>
        <v>0.00453076208444063i</v>
      </c>
      <c r="AO67" s="170" t="str">
        <f t="shared" si="28"/>
        <v>0.999996578702666-0.0022653771669662i</v>
      </c>
      <c r="AP67" s="170" t="str">
        <f t="shared" si="29"/>
        <v>0.166664956019171-0.000755124430559398i</v>
      </c>
      <c r="AQ67" s="170" t="str">
        <f t="shared" si="30"/>
        <v>0.833335043980829+0.000755124430559398i</v>
      </c>
      <c r="AR67" s="170" t="str">
        <f t="shared" si="31"/>
        <v>0.999597127275915-0.000905782394458381i</v>
      </c>
    </row>
    <row r="68" spans="1:44">
      <c r="A68" s="170">
        <v>7</v>
      </c>
      <c r="G68" s="688">
        <v>158.49</v>
      </c>
      <c r="H68" s="676">
        <f t="shared" si="23"/>
        <v>0.15849000000000002</v>
      </c>
      <c r="I68" s="677">
        <f t="shared" si="0"/>
        <v>2.1947630177667188</v>
      </c>
      <c r="J68" s="678">
        <f t="shared" si="1"/>
        <v>1.0977164455691697</v>
      </c>
      <c r="K68" s="678">
        <f t="shared" si="2"/>
        <v>1.0000001049177845</v>
      </c>
      <c r="L68" s="679">
        <f t="shared" si="3"/>
        <v>4.5807810553026015E-4</v>
      </c>
      <c r="M68" s="678">
        <f t="shared" si="4"/>
        <v>1.0000003620035252</v>
      </c>
      <c r="N68" s="679">
        <f t="shared" si="5"/>
        <v>-8.5088591012052572E-4</v>
      </c>
      <c r="O68" s="677">
        <f t="shared" si="6"/>
        <v>1792.4799476977705</v>
      </c>
      <c r="P68" s="680">
        <f t="shared" si="7"/>
        <v>1.5702384404692185</v>
      </c>
      <c r="Q68" s="689">
        <f t="shared" si="8"/>
        <v>1.3114309255732306</v>
      </c>
      <c r="R68" s="690">
        <f t="shared" si="9"/>
        <v>0.70358792532815551</v>
      </c>
      <c r="S68" s="677">
        <f t="shared" si="10"/>
        <v>1.0000220851869452</v>
      </c>
      <c r="T68" s="680">
        <f t="shared" si="11"/>
        <v>6.6460184306258276E-3</v>
      </c>
      <c r="U68" s="681">
        <f t="shared" si="24"/>
        <v>0.99959601145574561</v>
      </c>
      <c r="V68" s="682">
        <f t="shared" si="25"/>
        <v>-3.4776210421516166E-3</v>
      </c>
      <c r="W68" s="683">
        <f t="shared" si="12"/>
        <v>36.468373287770149</v>
      </c>
      <c r="X68" s="684">
        <f t="shared" si="13"/>
        <v>-113.15248443739773</v>
      </c>
      <c r="Y68" s="687">
        <f t="shared" si="14"/>
        <v>66.847515562602268</v>
      </c>
      <c r="AA68" s="170">
        <f t="shared" si="15"/>
        <v>1000000000</v>
      </c>
      <c r="AB68" s="170">
        <f t="shared" si="16"/>
        <v>25119.080100000003</v>
      </c>
      <c r="AD68" s="686">
        <f t="shared" si="17"/>
        <v>42.391080571327819</v>
      </c>
      <c r="AE68" s="687">
        <f t="shared" si="18"/>
        <v>-50.036205694237275</v>
      </c>
      <c r="AG68" s="686">
        <f t="shared" si="19"/>
        <v>49.17637470641796</v>
      </c>
      <c r="AH68" s="687">
        <f t="shared" si="20"/>
        <v>-62.717772725782723</v>
      </c>
      <c r="AJ68" s="170">
        <f t="shared" si="21"/>
        <v>0</v>
      </c>
      <c r="AK68" s="170">
        <f t="shared" si="33"/>
        <v>0</v>
      </c>
      <c r="AM68" s="170" t="str">
        <f t="shared" si="26"/>
        <v>0.0000123406846910257+0.00496801943332151i</v>
      </c>
      <c r="AN68" s="170" t="str">
        <f t="shared" si="27"/>
        <v>0.00496803986967618i</v>
      </c>
      <c r="AO68" s="170" t="str">
        <f t="shared" si="28"/>
        <v>0.999995886435052-0.00248401482571638i</v>
      </c>
      <c r="AP68" s="170" t="str">
        <f t="shared" si="29"/>
        <v>0.166664609885885-0.000828003238886918i</v>
      </c>
      <c r="AQ68" s="170" t="str">
        <f t="shared" si="30"/>
        <v>0.833335390114115+0.000828003238886918i</v>
      </c>
      <c r="AR68" s="170" t="str">
        <f t="shared" si="31"/>
        <v>0.999596546010903-0.000993200561857651i</v>
      </c>
    </row>
    <row r="69" spans="1:44">
      <c r="A69" s="170">
        <v>8</v>
      </c>
      <c r="G69" s="688">
        <v>173.78</v>
      </c>
      <c r="H69" s="676">
        <f t="shared" si="23"/>
        <v>0.17377999999999999</v>
      </c>
      <c r="I69" s="677">
        <f t="shared" si="0"/>
        <v>2.3641026116554769</v>
      </c>
      <c r="J69" s="678">
        <f t="shared" si="1"/>
        <v>1.1340499619681448</v>
      </c>
      <c r="K69" s="678">
        <f t="shared" si="2"/>
        <v>1.0000001261377156</v>
      </c>
      <c r="L69" s="679">
        <f t="shared" si="3"/>
        <v>5.0227025082282548E-4</v>
      </c>
      <c r="M69" s="678">
        <f t="shared" si="4"/>
        <v>1.0000004352197938</v>
      </c>
      <c r="N69" s="679">
        <f t="shared" si="5"/>
        <v>-9.3297335001095449E-4</v>
      </c>
      <c r="O69" s="677">
        <f t="shared" si="6"/>
        <v>1965.4057489816125</v>
      </c>
      <c r="P69" s="680">
        <f t="shared" si="7"/>
        <v>1.5702875259818001</v>
      </c>
      <c r="Q69" s="689">
        <f t="shared" si="8"/>
        <v>1.36581224282652</v>
      </c>
      <c r="R69" s="690">
        <f t="shared" si="9"/>
        <v>0.74930114324228503</v>
      </c>
      <c r="S69" s="677">
        <f t="shared" si="10"/>
        <v>1.0000265519220752</v>
      </c>
      <c r="T69" s="680">
        <f t="shared" si="11"/>
        <v>7.2871578252135319E-3</v>
      </c>
      <c r="U69" s="681">
        <f t="shared" si="24"/>
        <v>0.99959520476636088</v>
      </c>
      <c r="V69" s="682">
        <f t="shared" si="25"/>
        <v>-3.81311592758236E-3</v>
      </c>
      <c r="W69" s="683">
        <f t="shared" si="12"/>
        <v>35.37570780742729</v>
      </c>
      <c r="X69" s="684">
        <f t="shared" si="13"/>
        <v>-112.67600778246533</v>
      </c>
      <c r="Y69" s="687">
        <f t="shared" si="14"/>
        <v>67.323992217534666</v>
      </c>
      <c r="AA69" s="170">
        <f t="shared" si="15"/>
        <v>1000000000</v>
      </c>
      <c r="AB69" s="170">
        <f t="shared" si="16"/>
        <v>30199.488400000002</v>
      </c>
      <c r="AD69" s="686">
        <f t="shared" si="17"/>
        <v>41.943995063039992</v>
      </c>
      <c r="AE69" s="687">
        <f t="shared" si="18"/>
        <v>-47.456578210943782</v>
      </c>
      <c r="AG69" s="686">
        <f t="shared" si="19"/>
        <v>48.530808753662157</v>
      </c>
      <c r="AH69" s="687">
        <f t="shared" si="20"/>
        <v>-64.782478672133095</v>
      </c>
      <c r="AJ69" s="170">
        <f t="shared" si="21"/>
        <v>0</v>
      </c>
      <c r="AK69" s="170">
        <f t="shared" si="33"/>
        <v>0</v>
      </c>
      <c r="AM69" s="170" t="str">
        <f t="shared" si="26"/>
        <v>0.0000148366185249715+0.00544729445918675i</v>
      </c>
      <c r="AN69" s="170" t="str">
        <f t="shared" si="27"/>
        <v>0.00544732139915659i</v>
      </c>
      <c r="AO69" s="170" t="str">
        <f t="shared" si="28"/>
        <v>0.9999950544556-0.00272365396454644i</v>
      </c>
      <c r="AP69" s="170" t="str">
        <f t="shared" si="29"/>
        <v>0.166664193896913-0.000907882409864458i</v>
      </c>
      <c r="AQ69" s="170" t="str">
        <f t="shared" si="30"/>
        <v>0.833335806103087+0.000907882409864458i</v>
      </c>
      <c r="AR69" s="170" t="str">
        <f t="shared" si="31"/>
        <v>0.999595847438088-0.00108901535277404i</v>
      </c>
    </row>
    <row r="70" spans="1:44">
      <c r="A70" s="170">
        <v>9</v>
      </c>
      <c r="G70" s="688">
        <v>190.55</v>
      </c>
      <c r="H70" s="676">
        <f t="shared" si="23"/>
        <v>0.19055000000000002</v>
      </c>
      <c r="I70" s="677">
        <f t="shared" si="0"/>
        <v>2.5529202065796373</v>
      </c>
      <c r="J70" s="678">
        <f t="shared" si="1"/>
        <v>1.1683088134857758</v>
      </c>
      <c r="K70" s="678">
        <f t="shared" si="2"/>
        <v>1.000000151657285</v>
      </c>
      <c r="L70" s="679">
        <f t="shared" si="3"/>
        <v>5.5073998541841306E-4</v>
      </c>
      <c r="M70" s="678">
        <f t="shared" si="4"/>
        <v>1.0000005232713296</v>
      </c>
      <c r="N70" s="679">
        <f t="shared" si="5"/>
        <v>-1.0230064530373836E-3</v>
      </c>
      <c r="O70" s="677">
        <f t="shared" si="6"/>
        <v>2155.0699580580426</v>
      </c>
      <c r="P70" s="680">
        <f t="shared" si="7"/>
        <v>1.570332304718886</v>
      </c>
      <c r="Q70" s="689">
        <f t="shared" si="8"/>
        <v>1.4284730770552103</v>
      </c>
      <c r="R70" s="690">
        <f t="shared" si="9"/>
        <v>0.79533134066753985</v>
      </c>
      <c r="S70" s="677">
        <f t="shared" si="10"/>
        <v>1.0000319236924959</v>
      </c>
      <c r="T70" s="680">
        <f t="shared" si="11"/>
        <v>7.9903495856709292E-3</v>
      </c>
      <c r="U70" s="681">
        <f t="shared" si="24"/>
        <v>0.99959423462588359</v>
      </c>
      <c r="V70" s="682">
        <f t="shared" si="25"/>
        <v>-4.1810846533201183E-3</v>
      </c>
      <c r="W70" s="683">
        <f t="shared" si="12"/>
        <v>34.29767349385984</v>
      </c>
      <c r="X70" s="684">
        <f t="shared" si="13"/>
        <v>-112.06787935535553</v>
      </c>
      <c r="Y70" s="687">
        <f t="shared" si="14"/>
        <v>67.932120644644471</v>
      </c>
      <c r="AA70" s="170">
        <f t="shared" si="15"/>
        <v>1000000000</v>
      </c>
      <c r="AB70" s="170">
        <f t="shared" si="16"/>
        <v>36309.302500000005</v>
      </c>
      <c r="AD70" s="686">
        <f t="shared" si="17"/>
        <v>41.533386554085823</v>
      </c>
      <c r="AE70" s="687">
        <f t="shared" si="18"/>
        <v>-44.862097718067638</v>
      </c>
      <c r="AG70" s="686">
        <f t="shared" si="19"/>
        <v>47.863399808948088</v>
      </c>
      <c r="AH70" s="687">
        <f t="shared" si="20"/>
        <v>-66.726664627896099</v>
      </c>
      <c r="AJ70" s="170">
        <f t="shared" si="21"/>
        <v>0</v>
      </c>
      <c r="AK70" s="170">
        <f t="shared" si="33"/>
        <v>0</v>
      </c>
      <c r="AM70" s="170" t="str">
        <f t="shared" si="26"/>
        <v>0.0000178382823400325+0.00597295960773971i</v>
      </c>
      <c r="AN70" s="170" t="str">
        <f t="shared" si="27"/>
        <v>0.00597299512377309i</v>
      </c>
      <c r="AO70" s="170" t="str">
        <f t="shared" si="28"/>
        <v>0.999994053898816-0.00298648868287778i</v>
      </c>
      <c r="AP70" s="170" t="str">
        <f t="shared" si="29"/>
        <v>0.16666369361961-0.000995493267956618i</v>
      </c>
      <c r="AQ70" s="170" t="str">
        <f t="shared" si="30"/>
        <v>0.83333630638039+0.000995493267956618i</v>
      </c>
      <c r="AR70" s="170" t="str">
        <f t="shared" si="31"/>
        <v>0.999595007321582-0.00119410386041366i</v>
      </c>
    </row>
    <row r="71" spans="1:44">
      <c r="A71" s="170">
        <v>10</v>
      </c>
      <c r="G71" s="688">
        <v>208.93</v>
      </c>
      <c r="H71" s="676">
        <f t="shared" si="23"/>
        <v>0.20893</v>
      </c>
      <c r="I71" s="677">
        <f t="shared" si="0"/>
        <v>2.7628113883812033</v>
      </c>
      <c r="J71" s="678">
        <f t="shared" si="1"/>
        <v>1.2004372869813342</v>
      </c>
      <c r="K71" s="678">
        <f t="shared" si="2"/>
        <v>1.0000001823253148</v>
      </c>
      <c r="L71" s="679">
        <f t="shared" si="3"/>
        <v>6.0386304277566089E-4</v>
      </c>
      <c r="M71" s="678">
        <f t="shared" si="4"/>
        <v>1.0000006290868679</v>
      </c>
      <c r="N71" s="679">
        <f t="shared" si="5"/>
        <v>-1.1216831443470415E-3</v>
      </c>
      <c r="O71" s="677">
        <f t="shared" si="6"/>
        <v>2362.9428401127579</v>
      </c>
      <c r="P71" s="680">
        <f t="shared" si="7"/>
        <v>1.5703731256861462</v>
      </c>
      <c r="Q71" s="689">
        <f t="shared" si="8"/>
        <v>1.5003171922510548</v>
      </c>
      <c r="R71" s="690">
        <f t="shared" si="9"/>
        <v>0.8412577515098123</v>
      </c>
      <c r="S71" s="677">
        <f t="shared" si="10"/>
        <v>1.0000383791559548</v>
      </c>
      <c r="T71" s="680">
        <f t="shared" si="11"/>
        <v>8.7610420075164216E-3</v>
      </c>
      <c r="U71" s="681">
        <f t="shared" si="24"/>
        <v>0.99959306876734122</v>
      </c>
      <c r="V71" s="682">
        <f t="shared" si="25"/>
        <v>-4.5843794932070529E-3</v>
      </c>
      <c r="W71" s="683">
        <f t="shared" si="12"/>
        <v>33.237712207916836</v>
      </c>
      <c r="X71" s="684">
        <f t="shared" si="13"/>
        <v>-111.34952919398806</v>
      </c>
      <c r="Y71" s="687">
        <f t="shared" si="14"/>
        <v>68.650470806011938</v>
      </c>
      <c r="AA71" s="170">
        <f t="shared" si="15"/>
        <v>1000000000</v>
      </c>
      <c r="AB71" s="170">
        <f t="shared" si="16"/>
        <v>43651.744900000005</v>
      </c>
      <c r="AD71" s="686">
        <f t="shared" si="17"/>
        <v>41.159714147133961</v>
      </c>
      <c r="AE71" s="687">
        <f t="shared" si="18"/>
        <v>-42.277204497881996</v>
      </c>
      <c r="AG71" s="686">
        <f t="shared" si="19"/>
        <v>47.177131191227346</v>
      </c>
      <c r="AH71" s="687">
        <f t="shared" si="20"/>
        <v>-68.546993502211606</v>
      </c>
      <c r="AJ71" s="170">
        <f t="shared" si="21"/>
        <v>0</v>
      </c>
      <c r="AK71" s="170">
        <f t="shared" si="33"/>
        <v>0</v>
      </c>
      <c r="AM71" s="170" t="str">
        <f t="shared" si="26"/>
        <v>0.0000214455147410364+0.00654908921704095i</v>
      </c>
      <c r="AN71" s="170" t="str">
        <f t="shared" si="27"/>
        <v>0.006549136033639i</v>
      </c>
      <c r="AO71" s="170" t="str">
        <f t="shared" si="28"/>
        <v>0.999992851484866-0.00327455631260117i</v>
      </c>
      <c r="AP71" s="170" t="str">
        <f t="shared" si="29"/>
        <v>0.16666309241421-0.00109151486950682i</v>
      </c>
      <c r="AQ71" s="170" t="str">
        <f t="shared" si="30"/>
        <v>0.83333690758579+0.00109151486950682i</v>
      </c>
      <c r="AR71" s="170" t="str">
        <f t="shared" si="31"/>
        <v>0.999593997719557-0.00130928043873821i</v>
      </c>
    </row>
    <row r="72" spans="1:44">
      <c r="A72" s="170">
        <v>11</v>
      </c>
      <c r="G72" s="688">
        <v>229.09</v>
      </c>
      <c r="H72" s="676">
        <f t="shared" si="23"/>
        <v>0.22909000000000002</v>
      </c>
      <c r="I72" s="677">
        <f t="shared" si="0"/>
        <v>2.9958251077241198</v>
      </c>
      <c r="J72" s="678">
        <f t="shared" si="1"/>
        <v>1.2304666729683484</v>
      </c>
      <c r="K72" s="678">
        <f t="shared" si="2"/>
        <v>1.0000002192086161</v>
      </c>
      <c r="L72" s="679">
        <f t="shared" si="3"/>
        <v>6.6213076661024136E-4</v>
      </c>
      <c r="M72" s="678">
        <f t="shared" si="4"/>
        <v>1.000000756347277</v>
      </c>
      <c r="N72" s="679">
        <f t="shared" si="5"/>
        <v>-1.2299160950432057E-3</v>
      </c>
      <c r="O72" s="677">
        <f t="shared" si="6"/>
        <v>2590.9470496582367</v>
      </c>
      <c r="P72" s="680">
        <f t="shared" si="7"/>
        <v>1.5704103675276244</v>
      </c>
      <c r="Q72" s="689">
        <f t="shared" si="8"/>
        <v>1.5824069051197933</v>
      </c>
      <c r="R72" s="690">
        <f t="shared" si="9"/>
        <v>0.88673125553279009</v>
      </c>
      <c r="S72" s="677">
        <f t="shared" si="10"/>
        <v>1.0000461428472791</v>
      </c>
      <c r="T72" s="680">
        <f t="shared" si="11"/>
        <v>9.6063596691925261E-3</v>
      </c>
      <c r="U72" s="681">
        <f t="shared" si="24"/>
        <v>0.99959166663762045</v>
      </c>
      <c r="V72" s="682">
        <f t="shared" si="25"/>
        <v>-5.0267303360874288E-3</v>
      </c>
      <c r="W72" s="683">
        <f t="shared" si="12"/>
        <v>32.196924884740007</v>
      </c>
      <c r="X72" s="684">
        <f t="shared" si="13"/>
        <v>-110.54342097898693</v>
      </c>
      <c r="Y72" s="687">
        <f t="shared" si="14"/>
        <v>69.45657902101307</v>
      </c>
      <c r="AA72" s="170">
        <f t="shared" si="15"/>
        <v>1000000000</v>
      </c>
      <c r="AB72" s="170">
        <f t="shared" si="16"/>
        <v>52482.2281</v>
      </c>
      <c r="AD72" s="686">
        <f t="shared" si="17"/>
        <v>40.822241956404454</v>
      </c>
      <c r="AE72" s="687">
        <f t="shared" si="18"/>
        <v>-39.72233156947474</v>
      </c>
      <c r="AG72" s="686">
        <f t="shared" si="19"/>
        <v>46.473840426201008</v>
      </c>
      <c r="AH72" s="687">
        <f t="shared" si="20"/>
        <v>-70.245068542837629</v>
      </c>
      <c r="AJ72" s="170">
        <f t="shared" si="21"/>
        <v>0</v>
      </c>
      <c r="AK72" s="170">
        <f t="shared" si="33"/>
        <v>0</v>
      </c>
      <c r="AM72" s="170" t="str">
        <f t="shared" si="26"/>
        <v>0.0000257837936410432+0.00718101124343886i</v>
      </c>
      <c r="AN72" s="170" t="str">
        <f t="shared" si="27"/>
        <v>0.00718107296197941i</v>
      </c>
      <c r="AO72" s="170" t="str">
        <f t="shared" si="28"/>
        <v>0.999991405387346-0.00359052105131878i</v>
      </c>
      <c r="AP72" s="170" t="str">
        <f t="shared" si="29"/>
        <v>0.166662369367726-0.00119683520723981i</v>
      </c>
      <c r="AQ72" s="170" t="str">
        <f t="shared" si="30"/>
        <v>0.833337630632274+0.00119683520723981i</v>
      </c>
      <c r="AR72" s="170" t="str">
        <f t="shared" si="31"/>
        <v>0.999592783514878-0.00143561000036174i</v>
      </c>
    </row>
    <row r="73" spans="1:44">
      <c r="A73" s="170">
        <v>12</v>
      </c>
      <c r="G73" s="688">
        <v>251.19</v>
      </c>
      <c r="H73" s="676">
        <f t="shared" si="23"/>
        <v>0.25119000000000002</v>
      </c>
      <c r="I73" s="677">
        <f t="shared" si="0"/>
        <v>3.2538981705672141</v>
      </c>
      <c r="J73" s="678">
        <f t="shared" si="1"/>
        <v>1.2584169908924265</v>
      </c>
      <c r="K73" s="678">
        <f t="shared" si="2"/>
        <v>1.0000002635421217</v>
      </c>
      <c r="L73" s="679">
        <f t="shared" si="3"/>
        <v>7.2600559757785075E-4</v>
      </c>
      <c r="M73" s="678">
        <f t="shared" si="4"/>
        <v>1.0000009093135065</v>
      </c>
      <c r="N73" s="679">
        <f t="shared" si="5"/>
        <v>-1.3485642865630604E-3</v>
      </c>
      <c r="O73" s="677">
        <f t="shared" si="6"/>
        <v>2840.8921439136557</v>
      </c>
      <c r="P73" s="680">
        <f t="shared" si="7"/>
        <v>1.5704443246878144</v>
      </c>
      <c r="Q73" s="689">
        <f t="shared" si="8"/>
        <v>1.6757649426901406</v>
      </c>
      <c r="R73" s="690">
        <f t="shared" si="9"/>
        <v>0.93136102549360367</v>
      </c>
      <c r="S73" s="677">
        <f t="shared" si="10"/>
        <v>1.0000554746780608</v>
      </c>
      <c r="T73" s="680">
        <f t="shared" si="11"/>
        <v>1.0533006564981882E-2</v>
      </c>
      <c r="U73" s="681">
        <f t="shared" si="24"/>
        <v>0.99958998129347587</v>
      </c>
      <c r="V73" s="682">
        <f t="shared" si="25"/>
        <v>-5.5116475605500653E-3</v>
      </c>
      <c r="W73" s="683">
        <f t="shared" si="12"/>
        <v>31.177055332904466</v>
      </c>
      <c r="X73" s="684">
        <f t="shared" si="13"/>
        <v>-109.6737193226524</v>
      </c>
      <c r="Y73" s="687">
        <f t="shared" si="14"/>
        <v>70.326280677347597</v>
      </c>
      <c r="AA73" s="170">
        <f t="shared" si="15"/>
        <v>1000000000</v>
      </c>
      <c r="AB73" s="170">
        <f t="shared" si="16"/>
        <v>63096.416100000002</v>
      </c>
      <c r="AD73" s="686">
        <f t="shared" si="17"/>
        <v>40.520135365712108</v>
      </c>
      <c r="AE73" s="687">
        <f t="shared" si="18"/>
        <v>-37.220272665412125</v>
      </c>
      <c r="AG73" s="686">
        <f t="shared" si="19"/>
        <v>45.75610675446881</v>
      </c>
      <c r="AH73" s="687">
        <f t="shared" si="20"/>
        <v>-71.821858369752377</v>
      </c>
      <c r="AJ73" s="170">
        <f t="shared" si="21"/>
        <v>0</v>
      </c>
      <c r="AK73" s="170">
        <f t="shared" si="33"/>
        <v>0</v>
      </c>
      <c r="AM73" s="170" t="str">
        <f t="shared" si="26"/>
        <v>0.0000309983706330286+0.00787373992252988i</v>
      </c>
      <c r="AN73" s="170" t="str">
        <f t="shared" si="27"/>
        <v>0.00787382128124147i</v>
      </c>
      <c r="AO73" s="170" t="str">
        <f t="shared" si="28"/>
        <v>0.999989667188436-0.00393689030088591i</v>
      </c>
      <c r="AP73" s="170" t="str">
        <f t="shared" si="29"/>
        <v>0.166661500271561-0.00131228998708831i</v>
      </c>
      <c r="AQ73" s="170" t="str">
        <f t="shared" si="30"/>
        <v>0.833338499728439+0.00131228998708831i</v>
      </c>
      <c r="AR73" s="170" t="str">
        <f t="shared" si="31"/>
        <v>0.999591324057131-0.00157409466401466i</v>
      </c>
    </row>
    <row r="74" spans="1:44">
      <c r="A74" s="170">
        <v>13</v>
      </c>
      <c r="G74" s="688">
        <v>275.42</v>
      </c>
      <c r="H74" s="676">
        <f t="shared" si="23"/>
        <v>0.27542</v>
      </c>
      <c r="I74" s="677">
        <f t="shared" si="0"/>
        <v>3.5393177652273704</v>
      </c>
      <c r="J74" s="678">
        <f t="shared" si="1"/>
        <v>1.2843550182163956</v>
      </c>
      <c r="K74" s="678">
        <f t="shared" si="2"/>
        <v>1.0000003168372844</v>
      </c>
      <c r="L74" s="679">
        <f t="shared" si="3"/>
        <v>7.9603668370722773E-4</v>
      </c>
      <c r="M74" s="678">
        <f t="shared" si="4"/>
        <v>1.0000010932005916</v>
      </c>
      <c r="N74" s="679">
        <f t="shared" si="5"/>
        <v>-1.4786477577616427E-3</v>
      </c>
      <c r="O74" s="677">
        <f t="shared" si="6"/>
        <v>3114.9269721042115</v>
      </c>
      <c r="P74" s="680">
        <f t="shared" si="7"/>
        <v>1.5704752919757394</v>
      </c>
      <c r="Q74" s="689">
        <f t="shared" si="8"/>
        <v>1.7815306619547986</v>
      </c>
      <c r="R74" s="690">
        <f t="shared" si="9"/>
        <v>0.97482237482981127</v>
      </c>
      <c r="S74" s="677">
        <f t="shared" si="10"/>
        <v>1.0000666927477382</v>
      </c>
      <c r="T74" s="680">
        <f t="shared" si="11"/>
        <v>1.154894292538909E-2</v>
      </c>
      <c r="U74" s="681">
        <f t="shared" si="24"/>
        <v>0.99958795528131972</v>
      </c>
      <c r="V74" s="682">
        <f t="shared" si="25"/>
        <v>-6.0432996879505015E-3</v>
      </c>
      <c r="W74" s="683">
        <f t="shared" si="12"/>
        <v>30.17837193492262</v>
      </c>
      <c r="X74" s="684">
        <f t="shared" si="13"/>
        <v>-108.76359225915209</v>
      </c>
      <c r="Y74" s="687">
        <f t="shared" si="14"/>
        <v>71.236407740847909</v>
      </c>
      <c r="AA74" s="170">
        <f t="shared" si="15"/>
        <v>1000000000</v>
      </c>
      <c r="AB74" s="170">
        <f t="shared" si="16"/>
        <v>75856.176400000011</v>
      </c>
      <c r="AD74" s="686">
        <f t="shared" si="17"/>
        <v>40.251779477580655</v>
      </c>
      <c r="AE74" s="687">
        <f t="shared" si="18"/>
        <v>-34.790103934333139</v>
      </c>
      <c r="AG74" s="686">
        <f t="shared" si="19"/>
        <v>45.02581445452681</v>
      </c>
      <c r="AH74" s="687">
        <f t="shared" si="20"/>
        <v>-73.280977191123071</v>
      </c>
      <c r="AJ74" s="170">
        <f t="shared" si="21"/>
        <v>0</v>
      </c>
      <c r="AK74" s="170">
        <f t="shared" si="33"/>
        <v>0</v>
      </c>
      <c r="AM74" s="170" t="str">
        <f t="shared" si="26"/>
        <v>0.0000372670202130054+0.0086332294996947i</v>
      </c>
      <c r="AN74" s="170" t="str">
        <f t="shared" si="27"/>
        <v>0.00863333674620616i</v>
      </c>
      <c r="AO74" s="170" t="str">
        <f t="shared" si="28"/>
        <v>0.999987577629066-0.00431664156148919i</v>
      </c>
      <c r="AP74" s="170" t="str">
        <f t="shared" si="29"/>
        <v>0.166660455496631-0.00143887158328245i</v>
      </c>
      <c r="AQ74" s="170" t="str">
        <f t="shared" si="30"/>
        <v>0.833339544503369+0.00143887158328245i</v>
      </c>
      <c r="AR74" s="170" t="str">
        <f t="shared" si="31"/>
        <v>0.999589569594827-0.00172592436795098i</v>
      </c>
    </row>
    <row r="75" spans="1:44">
      <c r="A75" s="170">
        <v>14</v>
      </c>
      <c r="G75" s="688">
        <v>302</v>
      </c>
      <c r="H75" s="676">
        <f t="shared" si="23"/>
        <v>0.30199999999999999</v>
      </c>
      <c r="I75" s="677">
        <f t="shared" si="0"/>
        <v>3.8547318810431856</v>
      </c>
      <c r="J75" s="678">
        <f t="shared" si="1"/>
        <v>1.3083732673754254</v>
      </c>
      <c r="K75" s="678">
        <f t="shared" si="2"/>
        <v>1.0000003809423061</v>
      </c>
      <c r="L75" s="679">
        <f t="shared" si="3"/>
        <v>8.7285988020316559E-4</v>
      </c>
      <c r="M75" s="678">
        <f t="shared" si="4"/>
        <v>1.0000013143854656</v>
      </c>
      <c r="N75" s="679">
        <f t="shared" si="5"/>
        <v>-1.6213476036493458E-3</v>
      </c>
      <c r="O75" s="677">
        <f t="shared" si="6"/>
        <v>3415.539675469754</v>
      </c>
      <c r="P75" s="680">
        <f t="shared" si="7"/>
        <v>1.5705035472902495</v>
      </c>
      <c r="Q75" s="689">
        <f t="shared" si="8"/>
        <v>1.9009688020679609</v>
      </c>
      <c r="R75" s="690">
        <f t="shared" si="9"/>
        <v>1.0168499182975927</v>
      </c>
      <c r="S75" s="677">
        <f t="shared" si="10"/>
        <v>1.0000801860127633</v>
      </c>
      <c r="T75" s="680">
        <f t="shared" si="11"/>
        <v>1.2663384615973399E-2</v>
      </c>
      <c r="U75" s="681">
        <f t="shared" si="24"/>
        <v>0.99958551834839404</v>
      </c>
      <c r="V75" s="682">
        <f t="shared" si="25"/>
        <v>-6.6265133395315362E-3</v>
      </c>
      <c r="W75" s="683">
        <f t="shared" si="12"/>
        <v>29.200148106360988</v>
      </c>
      <c r="X75" s="684">
        <f t="shared" si="13"/>
        <v>-107.83439755261267</v>
      </c>
      <c r="Y75" s="687">
        <f t="shared" si="14"/>
        <v>72.165602447387329</v>
      </c>
      <c r="AA75" s="170">
        <f t="shared" si="15"/>
        <v>1000000000</v>
      </c>
      <c r="AB75" s="170">
        <f t="shared" si="16"/>
        <v>91204</v>
      </c>
      <c r="AD75" s="686">
        <f t="shared" si="17"/>
        <v>40.015066741575318</v>
      </c>
      <c r="AE75" s="687">
        <f t="shared" si="18"/>
        <v>-32.447574783304077</v>
      </c>
      <c r="AG75" s="686">
        <f t="shared" si="19"/>
        <v>44.284345713333664</v>
      </c>
      <c r="AH75" s="687">
        <f t="shared" si="20"/>
        <v>-74.627480273956323</v>
      </c>
      <c r="AJ75" s="170">
        <f t="shared" si="21"/>
        <v>0</v>
      </c>
      <c r="AK75" s="170">
        <f t="shared" si="33"/>
        <v>0</v>
      </c>
      <c r="AM75" s="170" t="str">
        <f t="shared" si="26"/>
        <v>0.0000448071231820002+0.00946637410445734i</v>
      </c>
      <c r="AN75" s="170" t="str">
        <f t="shared" si="27"/>
        <v>0.00946651549398831i</v>
      </c>
      <c r="AO75" s="170" t="str">
        <f t="shared" si="28"/>
        <v>0.999985064247657-0.0047332223995677i</v>
      </c>
      <c r="AP75" s="170" t="str">
        <f t="shared" si="29"/>
        <v>0.166659198812803-0.00157772901740956i</v>
      </c>
      <c r="AQ75" s="170" t="str">
        <f t="shared" si="30"/>
        <v>0.833340801187197+0.00157772901740956i</v>
      </c>
      <c r="AR75" s="170" t="str">
        <f t="shared" si="31"/>
        <v>0.999587459293625-0.0018924768086712i</v>
      </c>
    </row>
    <row r="76" spans="1:44">
      <c r="A76" s="170">
        <v>15</v>
      </c>
      <c r="G76" s="688">
        <v>331.13</v>
      </c>
      <c r="H76" s="676">
        <f t="shared" si="23"/>
        <v>0.33112999999999998</v>
      </c>
      <c r="I76" s="677">
        <f t="shared" si="0"/>
        <v>4.2025571448704575</v>
      </c>
      <c r="J76" s="678">
        <f t="shared" si="1"/>
        <v>1.3305412716505667</v>
      </c>
      <c r="K76" s="678">
        <f t="shared" si="2"/>
        <v>1.0000004579756232</v>
      </c>
      <c r="L76" s="679">
        <f t="shared" si="3"/>
        <v>9.5705323605424302E-4</v>
      </c>
      <c r="M76" s="678">
        <f t="shared" si="4"/>
        <v>1.00000158017746</v>
      </c>
      <c r="N76" s="679">
        <f t="shared" si="5"/>
        <v>-1.7777375392874436E-3</v>
      </c>
      <c r="O76" s="677">
        <f t="shared" si="6"/>
        <v>3744.9922006118295</v>
      </c>
      <c r="P76" s="680">
        <f t="shared" si="7"/>
        <v>1.570529303538688</v>
      </c>
      <c r="Q76" s="689">
        <f t="shared" si="8"/>
        <v>2.0352433815924336</v>
      </c>
      <c r="R76" s="690">
        <f t="shared" si="9"/>
        <v>1.0571667380232843</v>
      </c>
      <c r="S76" s="677">
        <f t="shared" si="10"/>
        <v>1.0000964002744615</v>
      </c>
      <c r="T76" s="680">
        <f t="shared" si="11"/>
        <v>1.3884706040899891E-2</v>
      </c>
      <c r="U76" s="681">
        <f t="shared" si="24"/>
        <v>0.99958258997236793</v>
      </c>
      <c r="V76" s="682">
        <f t="shared" si="25"/>
        <v>-7.2656760964680727E-3</v>
      </c>
      <c r="W76" s="683">
        <f t="shared" si="12"/>
        <v>28.242591352123654</v>
      </c>
      <c r="X76" s="684">
        <f t="shared" si="13"/>
        <v>-106.90675719819461</v>
      </c>
      <c r="Y76" s="687">
        <f t="shared" si="14"/>
        <v>73.093242801805388</v>
      </c>
      <c r="AA76" s="170">
        <f t="shared" si="15"/>
        <v>1000000000</v>
      </c>
      <c r="AB76" s="170">
        <f t="shared" si="16"/>
        <v>109647.0769</v>
      </c>
      <c r="AD76" s="686">
        <f t="shared" si="17"/>
        <v>39.807921491637003</v>
      </c>
      <c r="AE76" s="687">
        <f t="shared" si="18"/>
        <v>-30.20904345448308</v>
      </c>
      <c r="AG76" s="686">
        <f t="shared" si="19"/>
        <v>43.533985101305035</v>
      </c>
      <c r="AH76" s="687">
        <f t="shared" si="20"/>
        <v>-75.86512859148678</v>
      </c>
      <c r="AJ76" s="170">
        <f t="shared" si="21"/>
        <v>0</v>
      </c>
      <c r="AK76" s="170">
        <f t="shared" si="33"/>
        <v>0</v>
      </c>
      <c r="AM76" s="170" t="str">
        <f t="shared" si="26"/>
        <v>0.0000538678420010097+0.0103794403634465i</v>
      </c>
      <c r="AN76" s="170" t="str">
        <f t="shared" si="27"/>
        <v>0.0103796267401469i</v>
      </c>
      <c r="AO76" s="170" t="str">
        <f t="shared" si="28"/>
        <v>0.999982043988183-0.00518976677577977i</v>
      </c>
      <c r="AP76" s="170" t="str">
        <f t="shared" si="29"/>
        <v>0.166657688693-0.00172990672724108i</v>
      </c>
      <c r="AQ76" s="170" t="str">
        <f t="shared" si="30"/>
        <v>0.833342311307+0.00172990672724108i</v>
      </c>
      <c r="AR76" s="170" t="str">
        <f t="shared" si="31"/>
        <v>0.999584923427267-0.00207500406498448i</v>
      </c>
    </row>
    <row r="77" spans="1:44">
      <c r="A77" s="170">
        <v>16</v>
      </c>
      <c r="G77" s="688">
        <v>363.08</v>
      </c>
      <c r="H77" s="676">
        <f t="shared" si="23"/>
        <v>0.36307999999999996</v>
      </c>
      <c r="I77" s="677">
        <f t="shared" ref="I77:I140" si="34">SQRT(1+(G77/pole1)^2)</f>
        <v>4.5860509204661746</v>
      </c>
      <c r="J77" s="678">
        <f t="shared" ref="J77:J140" si="35">ATAN(G77/pole1)</f>
        <v>1.3509777913319572</v>
      </c>
      <c r="K77" s="678">
        <f t="shared" ref="K77:K140" si="36">SQRT(1+(G77/Zero1)^2)</f>
        <v>1.0000005506174077</v>
      </c>
      <c r="L77" s="679">
        <f t="shared" ref="L77:L140" si="37">ATAN(G77/Zero1)</f>
        <v>1.0493971174021669E-3</v>
      </c>
      <c r="M77" s="678">
        <f t="shared" ref="M77:M140" si="38">SQRT(1+(G77/z_RHP)^2)</f>
        <v>1.0000018998240825</v>
      </c>
      <c r="N77" s="679">
        <f t="shared" ref="N77:N140" si="39">-ATAN(G77/z_RHP)</f>
        <v>-1.9492670800543624E-3</v>
      </c>
      <c r="O77" s="677">
        <f t="shared" ref="O77:O140" si="40">SQRT(1+(G77/Pole2)^2)</f>
        <v>4106.3381754661896</v>
      </c>
      <c r="P77" s="680">
        <f t="shared" ref="P77:P140" si="41">ATAN(G77/Pole2)</f>
        <v>1.5705528008194036</v>
      </c>
      <c r="Q77" s="689">
        <f t="shared" ref="Q77:Q140" si="42">SQRT(1+(G77/Zero2)^2)</f>
        <v>2.1858271107510148</v>
      </c>
      <c r="R77" s="690">
        <f t="shared" ref="R77:R140" si="43">ATAN(G77/Zero2)</f>
        <v>1.0956228359781253</v>
      </c>
      <c r="S77" s="677">
        <f t="shared" ref="S77:S140" si="44">SQRT(1+(G77/pole4)^2)</f>
        <v>1.0001158995185011</v>
      </c>
      <c r="T77" s="680">
        <f t="shared" ref="T77:T140" si="45">ATAN(G77/pole4)</f>
        <v>1.5224212668829489E-2</v>
      </c>
      <c r="U77" s="681">
        <f t="shared" si="24"/>
        <v>0.99957906828164056</v>
      </c>
      <c r="V77" s="682">
        <f t="shared" si="25"/>
        <v>-7.9667111948361589E-3</v>
      </c>
      <c r="W77" s="683">
        <f t="shared" ref="W77:W140" si="46">20*LOG10(((K77*Q77*M77*U77)/(I77*O77*S77))*Adc)</f>
        <v>27.303803321280281</v>
      </c>
      <c r="X77" s="684">
        <f t="shared" ref="X77:X140" si="47">((L77+R77+N77+V77)-(J77+P77+T77))*radconv</f>
        <v>-105.99710914141575</v>
      </c>
      <c r="Y77" s="687">
        <f t="shared" ref="Y77:Y140" si="48">IF(X77&gt;0,X77,X77+180)</f>
        <v>74.002890858584252</v>
      </c>
      <c r="AA77" s="170">
        <f t="shared" ref="AA77:AA140" si="49">IF(W77&lt;0,G77,1000000000)</f>
        <v>1000000000</v>
      </c>
      <c r="AB77" s="170">
        <f t="shared" ref="AB77:AB140" si="50">G77^2</f>
        <v>131827.0864</v>
      </c>
      <c r="AD77" s="686">
        <f t="shared" ref="AD77:AD140" si="51">20*LOG10((Q77/(O77*S77))*Aea)</f>
        <v>39.627665381663228</v>
      </c>
      <c r="AE77" s="687">
        <f t="shared" ref="AE77:AE140" si="52">(R77-(P77+T77))*radconv</f>
        <v>-28.083765714125736</v>
      </c>
      <c r="AG77" s="686">
        <f t="shared" ref="AG77:AG140" si="53">20*LOG10((K77*M77/(I77*U77))*Acs*Am)</f>
        <v>42.775514384124236</v>
      </c>
      <c r="AH77" s="687">
        <f t="shared" ref="AH77:AH140" si="54">(L77+N77-(J77+V77))*radconv</f>
        <v>-77.00042557011939</v>
      </c>
      <c r="AJ77" s="170">
        <f t="shared" ref="AJ77:AJ140" si="55">SUM((W78&lt;0)*(W77&gt;0))*G77</f>
        <v>0</v>
      </c>
      <c r="AK77" s="170">
        <f t="shared" si="33"/>
        <v>0</v>
      </c>
      <c r="AM77" s="170" t="str">
        <f t="shared" si="26"/>
        <v>0.0000647644056339658+0.0113808882271674i</v>
      </c>
      <c r="AN77" s="170" t="str">
        <f t="shared" si="27"/>
        <v>0.0113811339256863i</v>
      </c>
      <c r="AO77" s="170" t="str">
        <f t="shared" si="28"/>
        <v>0.999978411771577-0.00569050553809913i</v>
      </c>
      <c r="AP77" s="170" t="str">
        <f t="shared" si="29"/>
        <v>0.166655872599061-0.0018968147045279i</v>
      </c>
      <c r="AQ77" s="170" t="str">
        <f t="shared" si="30"/>
        <v>0.833344127400939+0.0018968147045279i</v>
      </c>
      <c r="AR77" s="170" t="str">
        <f t="shared" si="31"/>
        <v>0.999581873783524-0.00227519644553747i</v>
      </c>
    </row>
    <row r="78" spans="1:44">
      <c r="A78" s="170">
        <v>17</v>
      </c>
      <c r="G78" s="688">
        <v>398.11</v>
      </c>
      <c r="H78" s="676">
        <f t="shared" ref="H78:H141" si="56">G78/1000</f>
        <v>0.39811000000000002</v>
      </c>
      <c r="I78" s="677">
        <f t="shared" si="34"/>
        <v>5.0083610865375077</v>
      </c>
      <c r="J78" s="678">
        <f t="shared" si="35"/>
        <v>1.3697791642470012</v>
      </c>
      <c r="K78" s="678">
        <f t="shared" si="36"/>
        <v>1.0000006619900059</v>
      </c>
      <c r="L78" s="679">
        <f t="shared" si="37"/>
        <v>1.1506429860907532E-3</v>
      </c>
      <c r="M78" s="678">
        <f t="shared" si="38"/>
        <v>1.0000022840984801</v>
      </c>
      <c r="N78" s="679">
        <f t="shared" si="39"/>
        <v>-2.1373320437286492E-3</v>
      </c>
      <c r="O78" s="677">
        <f t="shared" si="40"/>
        <v>4502.5181306583718</v>
      </c>
      <c r="P78" s="680">
        <f t="shared" si="41"/>
        <v>1.5705742288534332</v>
      </c>
      <c r="Q78" s="689">
        <f t="shared" si="42"/>
        <v>2.3541407679399486</v>
      </c>
      <c r="R78" s="690">
        <f t="shared" si="43"/>
        <v>1.1320736758617038</v>
      </c>
      <c r="S78" s="677">
        <f t="shared" si="44"/>
        <v>1.0001393407236148</v>
      </c>
      <c r="T78" s="680">
        <f t="shared" si="45"/>
        <v>1.6692785607802813E-2</v>
      </c>
      <c r="U78" s="681">
        <f t="shared" ref="U78:U141" si="57">IMABS(IMPRODUCT(AO78, AR78))</f>
        <v>0.99957483460278351</v>
      </c>
      <c r="V78" s="682">
        <f t="shared" ref="V78:V141" si="58">IMARGUMENT(IMPRODUCT(AO78, AR78))</f>
        <v>-8.7353220952997215E-3</v>
      </c>
      <c r="W78" s="683">
        <f t="shared" si="46"/>
        <v>26.382749303997414</v>
      </c>
      <c r="X78" s="684">
        <f t="shared" si="47"/>
        <v>-105.1202524680928</v>
      </c>
      <c r="Y78" s="687">
        <f t="shared" si="48"/>
        <v>74.879747531907199</v>
      </c>
      <c r="AA78" s="170">
        <f t="shared" si="49"/>
        <v>1000000000</v>
      </c>
      <c r="AB78" s="170">
        <f t="shared" si="50"/>
        <v>158491.57210000002</v>
      </c>
      <c r="AD78" s="686">
        <f t="shared" si="51"/>
        <v>39.471779048317678</v>
      </c>
      <c r="AE78" s="687">
        <f t="shared" si="52"/>
        <v>-26.080657194024113</v>
      </c>
      <c r="AG78" s="686">
        <f t="shared" si="53"/>
        <v>42.010420277848475</v>
      </c>
      <c r="AH78" s="687">
        <f t="shared" si="54"/>
        <v>-78.038601095428803</v>
      </c>
      <c r="AJ78" s="170">
        <f t="shared" si="55"/>
        <v>0</v>
      </c>
      <c r="AK78" s="170">
        <f t="shared" si="33"/>
        <v>0</v>
      </c>
      <c r="AM78" s="170" t="str">
        <f t="shared" ref="AM78:AM141" si="59">IMSUB(1,IMEXP(COMPLEX(0,-2*Pi*G78*Tsw)))</f>
        <v>0.0000778640439860201+0.0124788631358294i</v>
      </c>
      <c r="AN78" s="170" t="str">
        <f t="shared" ref="AN78:AN141" si="60">COMPLEX(0, 2*Pi*G78*Tsw)</f>
        <v>0.0124791870308334i</v>
      </c>
      <c r="AO78" s="170" t="str">
        <f t="shared" ref="AO78:AO141" si="61">IMDIV(AM78, AN78)</f>
        <v>0.999974045183937-0.0062395125414528i</v>
      </c>
      <c r="AP78" s="170" t="str">
        <f t="shared" ref="AP78:AP141" si="62">IMDIV(IMEXP(COMPLEX(0,-2*Pi*G78*Tsw)),6)</f>
        <v>0.166653689326002-0.00207981052263823i</v>
      </c>
      <c r="AQ78" s="170" t="str">
        <f t="shared" ref="AQ78:AQ141" si="63">IMSUB(1, AP78)</f>
        <v>0.833346310673998+0.00207981052263823i</v>
      </c>
      <c r="AR78" s="170" t="str">
        <f t="shared" ref="AR78:AR141" si="64">IMDIV(0.833, AQ78)</f>
        <v>0.999578207602942-0.00249468108005548i</v>
      </c>
    </row>
    <row r="79" spans="1:44">
      <c r="A79" s="170">
        <v>18</v>
      </c>
      <c r="G79" s="688">
        <v>436.52</v>
      </c>
      <c r="H79" s="676">
        <f t="shared" si="56"/>
        <v>0.43651999999999996</v>
      </c>
      <c r="I79" s="677">
        <f t="shared" si="34"/>
        <v>5.4731247179940441</v>
      </c>
      <c r="J79" s="678">
        <f t="shared" si="35"/>
        <v>1.3870531784700484</v>
      </c>
      <c r="K79" s="678">
        <f t="shared" si="36"/>
        <v>1.0000007958908717</v>
      </c>
      <c r="L79" s="679">
        <f t="shared" si="37"/>
        <v>1.2616579122637674E-3</v>
      </c>
      <c r="M79" s="678">
        <f t="shared" si="38"/>
        <v>1.0000027461031373</v>
      </c>
      <c r="N79" s="679">
        <f t="shared" si="39"/>
        <v>-2.3435429815019636E-3</v>
      </c>
      <c r="O79" s="677">
        <f t="shared" si="40"/>
        <v>4936.9249861584185</v>
      </c>
      <c r="P79" s="680">
        <f t="shared" si="41"/>
        <v>1.5705937715586631</v>
      </c>
      <c r="Q79" s="689">
        <f t="shared" si="42"/>
        <v>2.5417879876168863</v>
      </c>
      <c r="R79" s="690">
        <f t="shared" si="43"/>
        <v>1.1664435171182788</v>
      </c>
      <c r="S79" s="677">
        <f t="shared" si="44"/>
        <v>1.0001675228535793</v>
      </c>
      <c r="T79" s="680">
        <f t="shared" si="45"/>
        <v>1.830297627892204E-2</v>
      </c>
      <c r="U79" s="681">
        <f t="shared" si="57"/>
        <v>0.99956974460908921</v>
      </c>
      <c r="V79" s="682">
        <f t="shared" si="58"/>
        <v>-9.5780894540673789E-3</v>
      </c>
      <c r="W79" s="683">
        <f t="shared" si="46"/>
        <v>25.47778798812212</v>
      </c>
      <c r="X79" s="684">
        <f t="shared" si="47"/>
        <v>-104.2878519174912</v>
      </c>
      <c r="Y79" s="687">
        <f t="shared" si="48"/>
        <v>75.712148082508804</v>
      </c>
      <c r="AA79" s="170">
        <f t="shared" si="49"/>
        <v>1000000000</v>
      </c>
      <c r="AB79" s="170">
        <f t="shared" si="50"/>
        <v>190549.71039999998</v>
      </c>
      <c r="AD79" s="686">
        <f t="shared" si="51"/>
        <v>39.337651029011766</v>
      </c>
      <c r="AE79" s="687">
        <f t="shared" si="52"/>
        <v>-24.204787189540671</v>
      </c>
      <c r="AG79" s="686">
        <f t="shared" si="53"/>
        <v>41.239675441361364</v>
      </c>
      <c r="AH79" s="687">
        <f t="shared" si="54"/>
        <v>-78.985496523662746</v>
      </c>
      <c r="AJ79" s="170">
        <f t="shared" si="55"/>
        <v>0</v>
      </c>
      <c r="AK79" s="170">
        <f t="shared" si="33"/>
        <v>0</v>
      </c>
      <c r="AM79" s="170" t="str">
        <f t="shared" si="59"/>
        <v>0.000093613382016966+0.0136827628997012i</v>
      </c>
      <c r="AN79" s="170" t="str">
        <f t="shared" si="60"/>
        <v>0.0136831898789264i</v>
      </c>
      <c r="AO79" s="170" t="str">
        <f t="shared" si="61"/>
        <v>0.999968795344581-0.00684148819429458i</v>
      </c>
      <c r="AP79" s="170" t="str">
        <f t="shared" si="62"/>
        <v>0.166651064436331-0.00228046048328353i</v>
      </c>
      <c r="AQ79" s="170" t="str">
        <f t="shared" si="63"/>
        <v>0.833348935563669+0.00228046048328353i</v>
      </c>
      <c r="AR79" s="170" t="str">
        <f t="shared" si="64"/>
        <v>0.99957379991502-0.00273533504820515i</v>
      </c>
    </row>
    <row r="80" spans="1:44">
      <c r="A80" s="170">
        <v>19</v>
      </c>
      <c r="G80" s="688">
        <v>478.63</v>
      </c>
      <c r="H80" s="676">
        <f t="shared" si="56"/>
        <v>0.47863</v>
      </c>
      <c r="I80" s="677">
        <f t="shared" si="34"/>
        <v>5.9842294210107401</v>
      </c>
      <c r="J80" s="678">
        <f t="shared" si="35"/>
        <v>1.4029027742062348</v>
      </c>
      <c r="K80" s="678">
        <f t="shared" si="36"/>
        <v>1.000000956852571</v>
      </c>
      <c r="L80" s="679">
        <f t="shared" si="37"/>
        <v>1.3833667684119354E-3</v>
      </c>
      <c r="M80" s="678">
        <f t="shared" si="38"/>
        <v>1.0000033014769014</v>
      </c>
      <c r="N80" s="679">
        <f t="shared" si="39"/>
        <v>-2.5696177997170644E-3</v>
      </c>
      <c r="O80" s="677">
        <f t="shared" si="40"/>
        <v>5413.1778566173871</v>
      </c>
      <c r="P80" s="680">
        <f t="shared" si="41"/>
        <v>1.570611592424038</v>
      </c>
      <c r="Q80" s="689">
        <f t="shared" si="42"/>
        <v>2.7504655748975089</v>
      </c>
      <c r="R80" s="690">
        <f t="shared" si="43"/>
        <v>1.198693868734058</v>
      </c>
      <c r="S80" s="677">
        <f t="shared" si="44"/>
        <v>1.0002013994341483</v>
      </c>
      <c r="T80" s="680">
        <f t="shared" si="45"/>
        <v>2.0068165761381304E-2</v>
      </c>
      <c r="U80" s="681">
        <f t="shared" si="57"/>
        <v>0.99956362604440874</v>
      </c>
      <c r="V80" s="682">
        <f t="shared" si="58"/>
        <v>-1.0502032138697314E-2</v>
      </c>
      <c r="W80" s="683">
        <f t="shared" si="46"/>
        <v>24.5874114924551</v>
      </c>
      <c r="X80" s="684">
        <f t="shared" si="47"/>
        <v>-103.50923453712804</v>
      </c>
      <c r="Y80" s="687">
        <f t="shared" si="48"/>
        <v>76.490765462871963</v>
      </c>
      <c r="AA80" s="170">
        <f t="shared" si="49"/>
        <v>1000000000</v>
      </c>
      <c r="AB80" s="170">
        <f t="shared" si="50"/>
        <v>229086.67689999999</v>
      </c>
      <c r="AD80" s="686">
        <f t="shared" si="51"/>
        <v>39.222779285774905</v>
      </c>
      <c r="AE80" s="687">
        <f t="shared" si="52"/>
        <v>-22.459137119907961</v>
      </c>
      <c r="AG80" s="686">
        <f t="shared" si="53"/>
        <v>40.464277025363458</v>
      </c>
      <c r="AH80" s="687">
        <f t="shared" si="54"/>
        <v>-79.846653180128769</v>
      </c>
      <c r="AJ80" s="170">
        <f t="shared" si="55"/>
        <v>0</v>
      </c>
      <c r="AK80" s="170">
        <f t="shared" si="33"/>
        <v>0</v>
      </c>
      <c r="AM80" s="170" t="str">
        <f t="shared" si="59"/>
        <v>0.000112545492113036+0.0150026103641323i</v>
      </c>
      <c r="AN80" s="170" t="str">
        <f t="shared" si="60"/>
        <v>0.0150031732148597i</v>
      </c>
      <c r="AO80" s="170" t="str">
        <f t="shared" si="61"/>
        <v>0.999962484554478-0.00750144589423035i</v>
      </c>
      <c r="AP80" s="170" t="str">
        <f t="shared" si="62"/>
        <v>0.166647909084648-0.00250043506068872i</v>
      </c>
      <c r="AQ80" s="170" t="str">
        <f t="shared" si="63"/>
        <v>0.833352090915352+0.00250043506068872i</v>
      </c>
      <c r="AR80" s="170" t="str">
        <f t="shared" si="64"/>
        <v>0.999568501568907-0.00299915984387547i</v>
      </c>
    </row>
    <row r="81" spans="1:44">
      <c r="A81" s="170">
        <v>20</v>
      </c>
      <c r="G81" s="688">
        <v>524.80999999999995</v>
      </c>
      <c r="H81" s="676">
        <f t="shared" si="56"/>
        <v>0.52481</v>
      </c>
      <c r="I81" s="677">
        <f t="shared" si="34"/>
        <v>6.5461783184628537</v>
      </c>
      <c r="J81" s="678">
        <f t="shared" si="35"/>
        <v>1.4174349784422904</v>
      </c>
      <c r="K81" s="678">
        <f t="shared" si="36"/>
        <v>1.000001150401282</v>
      </c>
      <c r="L81" s="679">
        <f t="shared" si="37"/>
        <v>1.5168389362391866E-3</v>
      </c>
      <c r="M81" s="678">
        <f t="shared" si="38"/>
        <v>1.0000039692868838</v>
      </c>
      <c r="N81" s="679">
        <f t="shared" si="39"/>
        <v>-2.8175428140376963E-3</v>
      </c>
      <c r="O81" s="677">
        <f t="shared" si="40"/>
        <v>5935.461343366851</v>
      </c>
      <c r="P81" s="680">
        <f t="shared" si="41"/>
        <v>1.5706278478937834</v>
      </c>
      <c r="Q81" s="689">
        <f t="shared" si="42"/>
        <v>2.9821164706944776</v>
      </c>
      <c r="R81" s="690">
        <f t="shared" si="43"/>
        <v>1.2288383872483626</v>
      </c>
      <c r="S81" s="677">
        <f t="shared" si="44"/>
        <v>1.0002421328828659</v>
      </c>
      <c r="T81" s="680">
        <f t="shared" si="45"/>
        <v>2.2003819487284904E-2</v>
      </c>
      <c r="U81" s="681">
        <f t="shared" si="57"/>
        <v>0.99955626890386939</v>
      </c>
      <c r="V81" s="682">
        <f t="shared" si="58"/>
        <v>-1.1515265261841261E-2</v>
      </c>
      <c r="W81" s="683">
        <f t="shared" si="46"/>
        <v>23.709733458187081</v>
      </c>
      <c r="X81" s="684">
        <f t="shared" si="47"/>
        <v>-102.79116262531184</v>
      </c>
      <c r="Y81" s="687">
        <f t="shared" si="48"/>
        <v>77.208837374688159</v>
      </c>
      <c r="AA81" s="170">
        <f t="shared" si="49"/>
        <v>1000000000</v>
      </c>
      <c r="AB81" s="170">
        <f t="shared" si="50"/>
        <v>275425.53609999997</v>
      </c>
      <c r="AD81" s="686">
        <f t="shared" si="51"/>
        <v>39.124749628655017</v>
      </c>
      <c r="AE81" s="687">
        <f t="shared" si="52"/>
        <v>-20.843819590642035</v>
      </c>
      <c r="AG81" s="686">
        <f t="shared" si="53"/>
        <v>39.684756511103259</v>
      </c>
      <c r="AH81" s="687">
        <f t="shared" si="54"/>
        <v>-80.627790834207786</v>
      </c>
      <c r="AJ81" s="170">
        <f t="shared" si="55"/>
        <v>0</v>
      </c>
      <c r="AK81" s="170">
        <f t="shared" si="33"/>
        <v>0</v>
      </c>
      <c r="AM81" s="170" t="str">
        <f t="shared" si="59"/>
        <v>0.000135310290868995+0.0164499930961405i</v>
      </c>
      <c r="AN81" s="170" t="str">
        <f t="shared" si="60"/>
        <v>0.0164507350874172i</v>
      </c>
      <c r="AO81" s="170" t="str">
        <f t="shared" si="61"/>
        <v>0.999954896162831-0.0082251820450559i</v>
      </c>
      <c r="AP81" s="170" t="str">
        <f t="shared" si="62"/>
        <v>0.166644114951522-0.00274166551602342i</v>
      </c>
      <c r="AQ81" s="170" t="str">
        <f t="shared" si="63"/>
        <v>0.833355885048478+0.00274166551602342i</v>
      </c>
      <c r="AR81" s="170" t="str">
        <f t="shared" si="64"/>
        <v>0.999562130732878-0.00328846903720348i</v>
      </c>
    </row>
    <row r="82" spans="1:44">
      <c r="A82" s="170">
        <v>21</v>
      </c>
      <c r="G82" s="688">
        <v>575.44000000000005</v>
      </c>
      <c r="H82" s="676">
        <f t="shared" si="56"/>
        <v>0.57544000000000006</v>
      </c>
      <c r="I82" s="677">
        <f t="shared" si="34"/>
        <v>7.1636050127097723</v>
      </c>
      <c r="J82" s="678">
        <f t="shared" si="35"/>
        <v>1.4307444137833052</v>
      </c>
      <c r="K82" s="678">
        <f t="shared" si="36"/>
        <v>1.0000013830733008</v>
      </c>
      <c r="L82" s="679">
        <f t="shared" si="37"/>
        <v>1.6631726950282915E-3</v>
      </c>
      <c r="M82" s="678">
        <f t="shared" si="38"/>
        <v>1.0000047720853869</v>
      </c>
      <c r="N82" s="679">
        <f t="shared" si="39"/>
        <v>-3.0893579946654226E-3</v>
      </c>
      <c r="O82" s="677">
        <f t="shared" si="40"/>
        <v>6508.0731450852572</v>
      </c>
      <c r="P82" s="680">
        <f t="shared" si="41"/>
        <v>1.5706426714837711</v>
      </c>
      <c r="Q82" s="689">
        <f t="shared" si="42"/>
        <v>3.2387352190249454</v>
      </c>
      <c r="R82" s="690">
        <f t="shared" si="43"/>
        <v>1.2569046355309437</v>
      </c>
      <c r="S82" s="677">
        <f t="shared" si="44"/>
        <v>1.0002910978734316</v>
      </c>
      <c r="T82" s="680">
        <f t="shared" si="45"/>
        <v>2.4125806763364233E-2</v>
      </c>
      <c r="U82" s="681">
        <f t="shared" si="57"/>
        <v>0.99954742481656467</v>
      </c>
      <c r="V82" s="682">
        <f t="shared" si="58"/>
        <v>-1.2626122271917476E-2</v>
      </c>
      <c r="W82" s="683">
        <f t="shared" si="46"/>
        <v>22.84342236120996</v>
      </c>
      <c r="X82" s="684">
        <f t="shared" si="47"/>
        <v>-102.13892674239267</v>
      </c>
      <c r="Y82" s="687">
        <f t="shared" si="48"/>
        <v>77.86107325760733</v>
      </c>
      <c r="AA82" s="170">
        <f t="shared" si="49"/>
        <v>1000000000</v>
      </c>
      <c r="AB82" s="170">
        <f t="shared" si="50"/>
        <v>331131.19360000006</v>
      </c>
      <c r="AD82" s="686">
        <f t="shared" si="51"/>
        <v>39.041382397520259</v>
      </c>
      <c r="AE82" s="687">
        <f t="shared" si="52"/>
        <v>-19.358172259829583</v>
      </c>
      <c r="AG82" s="686">
        <f t="shared" si="53"/>
        <v>38.90196635167748</v>
      </c>
      <c r="AH82" s="687">
        <f t="shared" si="54"/>
        <v>-81.333907445315816</v>
      </c>
      <c r="AJ82" s="170">
        <f t="shared" si="55"/>
        <v>0</v>
      </c>
      <c r="AK82" s="170">
        <f t="shared" si="33"/>
        <v>0</v>
      </c>
      <c r="AM82" s="170" t="str">
        <f t="shared" si="59"/>
        <v>0.000162676469242951+0.0180368088877185i</v>
      </c>
      <c r="AN82" s="170" t="str">
        <f t="shared" si="60"/>
        <v>0.018037787006161i</v>
      </c>
      <c r="AO82" s="170" t="str">
        <f t="shared" si="61"/>
        <v>0.999945773922147-0.0090186489721487i</v>
      </c>
      <c r="AP82" s="170" t="str">
        <f t="shared" si="62"/>
        <v>0.166639553921793-0.00300613481461975i</v>
      </c>
      <c r="AQ82" s="170" t="str">
        <f t="shared" si="63"/>
        <v>0.833360446078207+0.00300613481461975i</v>
      </c>
      <c r="AR82" s="170" t="str">
        <f t="shared" si="64"/>
        <v>0.999554472363389-0.00360563728770788i</v>
      </c>
    </row>
    <row r="83" spans="1:44">
      <c r="A83" s="170">
        <v>22</v>
      </c>
      <c r="G83" s="688">
        <v>630.96</v>
      </c>
      <c r="H83" s="676">
        <f t="shared" si="56"/>
        <v>0.63096000000000008</v>
      </c>
      <c r="I83" s="677">
        <f t="shared" si="34"/>
        <v>7.8418824437521106</v>
      </c>
      <c r="J83" s="678">
        <f t="shared" si="35"/>
        <v>1.4429277600228021</v>
      </c>
      <c r="K83" s="678">
        <f t="shared" si="36"/>
        <v>1.000001662833242</v>
      </c>
      <c r="L83" s="679">
        <f t="shared" si="37"/>
        <v>1.823639732962746E-3</v>
      </c>
      <c r="M83" s="678">
        <f t="shared" si="38"/>
        <v>1.0000057373528146</v>
      </c>
      <c r="N83" s="679">
        <f t="shared" si="39"/>
        <v>-3.3874253891752839E-3</v>
      </c>
      <c r="O83" s="677">
        <f t="shared" si="40"/>
        <v>7135.9895444657695</v>
      </c>
      <c r="P83" s="680">
        <f t="shared" si="41"/>
        <v>1.5706561920599671</v>
      </c>
      <c r="Q83" s="689">
        <f t="shared" si="42"/>
        <v>3.5226224137426789</v>
      </c>
      <c r="R83" s="690">
        <f t="shared" si="43"/>
        <v>1.282958762039528</v>
      </c>
      <c r="S83" s="677">
        <f t="shared" si="44"/>
        <v>1.000349969189833</v>
      </c>
      <c r="T83" s="680">
        <f t="shared" si="45"/>
        <v>2.6452491562913988E-2</v>
      </c>
      <c r="U83" s="681">
        <f t="shared" si="57"/>
        <v>0.99953679116360095</v>
      </c>
      <c r="V83" s="682">
        <f t="shared" si="58"/>
        <v>-1.3844251650029664E-2</v>
      </c>
      <c r="W83" s="683">
        <f t="shared" si="46"/>
        <v>21.986833075876433</v>
      </c>
      <c r="X83" s="684">
        <f t="shared" si="47"/>
        <v>-101.55595105693651</v>
      </c>
      <c r="Y83" s="687">
        <f t="shared" si="48"/>
        <v>78.444048943063493</v>
      </c>
      <c r="AA83" s="170">
        <f t="shared" si="49"/>
        <v>1000000000</v>
      </c>
      <c r="AB83" s="170">
        <f t="shared" si="50"/>
        <v>398110.52160000004</v>
      </c>
      <c r="AD83" s="686">
        <f t="shared" si="51"/>
        <v>38.970648621133648</v>
      </c>
      <c r="AE83" s="687">
        <f t="shared" si="52"/>
        <v>-17.999464661659292</v>
      </c>
      <c r="AG83" s="686">
        <f t="shared" si="53"/>
        <v>38.116295652825812</v>
      </c>
      <c r="AH83" s="687">
        <f t="shared" si="54"/>
        <v>-81.970052013337011</v>
      </c>
      <c r="AJ83" s="170">
        <f t="shared" si="55"/>
        <v>0</v>
      </c>
      <c r="AK83" s="170">
        <f t="shared" si="33"/>
        <v>0</v>
      </c>
      <c r="AM83" s="170" t="str">
        <f t="shared" si="59"/>
        <v>0.00019558066436498+0.0197768318224767i</v>
      </c>
      <c r="AN83" s="170" t="str">
        <f t="shared" si="60"/>
        <v>0.0197781212453207i</v>
      </c>
      <c r="AO83" s="170" t="str">
        <f t="shared" si="61"/>
        <v>0.999934805595132-0.00988873826482646i</v>
      </c>
      <c r="AP83" s="170" t="str">
        <f t="shared" si="62"/>
        <v>0.166634069889273-0.00329613863707945i</v>
      </c>
      <c r="AQ83" s="170" t="str">
        <f t="shared" si="63"/>
        <v>0.833365930110727+0.00329613863707945i</v>
      </c>
      <c r="AR83" s="170" t="str">
        <f t="shared" si="64"/>
        <v>0.999545264457515-0.00395341307659465i</v>
      </c>
    </row>
    <row r="84" spans="1:44">
      <c r="A84" s="170">
        <v>23</v>
      </c>
      <c r="G84" s="688">
        <v>691.83</v>
      </c>
      <c r="H84" s="676">
        <f t="shared" si="56"/>
        <v>0.69183000000000006</v>
      </c>
      <c r="I84" s="677">
        <f t="shared" si="34"/>
        <v>8.5866358495334243</v>
      </c>
      <c r="J84" s="678">
        <f t="shared" si="35"/>
        <v>1.4540714048526118</v>
      </c>
      <c r="K84" s="678">
        <f t="shared" si="36"/>
        <v>1.0000019991424924</v>
      </c>
      <c r="L84" s="679">
        <f t="shared" si="37"/>
        <v>1.9995695346561025E-3</v>
      </c>
      <c r="M84" s="678">
        <f t="shared" si="38"/>
        <v>1.0000068977338135</v>
      </c>
      <c r="N84" s="679">
        <f t="shared" si="39"/>
        <v>-3.714214362373069E-3</v>
      </c>
      <c r="O84" s="677">
        <f t="shared" si="40"/>
        <v>7824.4130188807594</v>
      </c>
      <c r="P84" s="680">
        <f t="shared" si="41"/>
        <v>1.5706685216802754</v>
      </c>
      <c r="Q84" s="689">
        <f t="shared" si="42"/>
        <v>3.836186007608454</v>
      </c>
      <c r="R84" s="690">
        <f t="shared" si="43"/>
        <v>1.3070744196523487</v>
      </c>
      <c r="S84" s="677">
        <f t="shared" si="44"/>
        <v>1.0004207359030763</v>
      </c>
      <c r="T84" s="680">
        <f t="shared" si="45"/>
        <v>2.900304950986056E-2</v>
      </c>
      <c r="U84" s="681">
        <f t="shared" si="57"/>
        <v>0.99952400849730683</v>
      </c>
      <c r="V84" s="682">
        <f t="shared" si="58"/>
        <v>-1.5179738821448052E-2</v>
      </c>
      <c r="W84" s="683">
        <f t="shared" si="46"/>
        <v>21.138786222430163</v>
      </c>
      <c r="X84" s="684">
        <f t="shared" si="47"/>
        <v>-101.04471348541048</v>
      </c>
      <c r="Y84" s="687">
        <f t="shared" si="48"/>
        <v>78.955286514589517</v>
      </c>
      <c r="AA84" s="170">
        <f t="shared" si="49"/>
        <v>1000000000</v>
      </c>
      <c r="AB84" s="170">
        <f t="shared" si="50"/>
        <v>478628.74890000006</v>
      </c>
      <c r="AD84" s="686">
        <f t="shared" si="51"/>
        <v>38.910754203077104</v>
      </c>
      <c r="AE84" s="687">
        <f t="shared" si="52"/>
        <v>-16.764581899821319</v>
      </c>
      <c r="AG84" s="686">
        <f t="shared" si="53"/>
        <v>37.328365379420816</v>
      </c>
      <c r="AH84" s="687">
        <f t="shared" si="54"/>
        <v>-82.540661646441805</v>
      </c>
      <c r="AJ84" s="170">
        <f t="shared" si="55"/>
        <v>0</v>
      </c>
      <c r="AK84" s="170">
        <f t="shared" si="33"/>
        <v>0</v>
      </c>
      <c r="AM84" s="170" t="str">
        <f t="shared" si="59"/>
        <v>0.000235135487367977+0.0216844572456708i</v>
      </c>
      <c r="AN84" s="170" t="str">
        <f t="shared" si="60"/>
        <v>0.0216861570006819i</v>
      </c>
      <c r="AO84" s="170" t="str">
        <f t="shared" si="61"/>
        <v>0.999921620275504-0.0108426535582392i</v>
      </c>
      <c r="AP84" s="170" t="str">
        <f t="shared" si="62"/>
        <v>0.166627477418772-0.0036140762076118i</v>
      </c>
      <c r="AQ84" s="170" t="str">
        <f t="shared" si="63"/>
        <v>0.833372522581228+0.0036140762076118i</v>
      </c>
      <c r="AR84" s="170" t="str">
        <f t="shared" si="64"/>
        <v>0.999534195825702-0.00433466746016451i</v>
      </c>
    </row>
    <row r="85" spans="1:44">
      <c r="A85" s="170">
        <v>24</v>
      </c>
      <c r="G85" s="688">
        <v>758.58</v>
      </c>
      <c r="H85" s="676">
        <f t="shared" si="56"/>
        <v>0.75858000000000003</v>
      </c>
      <c r="I85" s="677">
        <f t="shared" si="34"/>
        <v>9.4043540864660855</v>
      </c>
      <c r="J85" s="678">
        <f t="shared" si="35"/>
        <v>1.464261192000389</v>
      </c>
      <c r="K85" s="678">
        <f t="shared" si="36"/>
        <v>1.0000024035195454</v>
      </c>
      <c r="L85" s="679">
        <f t="shared" si="37"/>
        <v>2.1924938911077082E-3</v>
      </c>
      <c r="M85" s="678">
        <f t="shared" si="38"/>
        <v>1.0000082929705554</v>
      </c>
      <c r="N85" s="679">
        <f t="shared" si="39"/>
        <v>-4.0725700103759217E-3</v>
      </c>
      <c r="O85" s="677">
        <f t="shared" si="40"/>
        <v>8579.3377270527581</v>
      </c>
      <c r="P85" s="680">
        <f t="shared" si="41"/>
        <v>1.5706797676811191</v>
      </c>
      <c r="Q85" s="689">
        <f t="shared" si="42"/>
        <v>4.1822002747218665</v>
      </c>
      <c r="R85" s="690">
        <f t="shared" si="43"/>
        <v>1.3293486220662414</v>
      </c>
      <c r="S85" s="677">
        <f t="shared" si="44"/>
        <v>1.000505818952699</v>
      </c>
      <c r="T85" s="680">
        <f t="shared" si="45"/>
        <v>3.1799554525481985E-2</v>
      </c>
      <c r="U85" s="681">
        <f t="shared" si="57"/>
        <v>0.99950863927370515</v>
      </c>
      <c r="V85" s="682">
        <f t="shared" si="58"/>
        <v>-1.6644202560200289E-2</v>
      </c>
      <c r="W85" s="683">
        <f t="shared" si="46"/>
        <v>20.297874510869018</v>
      </c>
      <c r="X85" s="684">
        <f t="shared" si="47"/>
        <v>-100.60658588173074</v>
      </c>
      <c r="Y85" s="687">
        <f t="shared" si="48"/>
        <v>79.393414118269263</v>
      </c>
      <c r="AA85" s="170">
        <f t="shared" si="49"/>
        <v>1000000000</v>
      </c>
      <c r="AB85" s="170">
        <f t="shared" si="50"/>
        <v>575443.61640000006</v>
      </c>
      <c r="AD85" s="686">
        <f t="shared" si="51"/>
        <v>38.860078964818968</v>
      </c>
      <c r="AE85" s="687">
        <f t="shared" si="52"/>
        <v>-15.649236391377704</v>
      </c>
      <c r="AG85" s="686">
        <f t="shared" si="53"/>
        <v>36.538396026077407</v>
      </c>
      <c r="AH85" s="687">
        <f t="shared" si="54"/>
        <v>-83.050064368053</v>
      </c>
      <c r="AJ85" s="170">
        <f t="shared" si="55"/>
        <v>0</v>
      </c>
      <c r="AK85" s="170">
        <f t="shared" si="33"/>
        <v>0</v>
      </c>
      <c r="AM85" s="170" t="str">
        <f t="shared" si="59"/>
        <v>0.000282695393613031+0.0237762669597133i</v>
      </c>
      <c r="AN85" s="170" t="str">
        <f t="shared" si="60"/>
        <v>0.0237785076934757i</v>
      </c>
      <c r="AO85" s="170" t="str">
        <f t="shared" si="61"/>
        <v>0.999905766426082-0.0118886936580379i</v>
      </c>
      <c r="AP85" s="170" t="str">
        <f t="shared" si="62"/>
        <v>0.166619550767731-0.00396271115995222i</v>
      </c>
      <c r="AQ85" s="170" t="str">
        <f t="shared" si="63"/>
        <v>0.833380449232269+0.00396271115995222i</v>
      </c>
      <c r="AR85" s="170" t="str">
        <f t="shared" si="64"/>
        <v>0.999520887686722-0.00475270637784978i</v>
      </c>
    </row>
    <row r="86" spans="1:44">
      <c r="A86" s="170">
        <v>25</v>
      </c>
      <c r="G86" s="688">
        <v>831.76</v>
      </c>
      <c r="H86" s="676">
        <f t="shared" si="56"/>
        <v>0.83175999999999994</v>
      </c>
      <c r="I86" s="677">
        <f t="shared" si="34"/>
        <v>10.301778096719278</v>
      </c>
      <c r="J86" s="678">
        <f t="shared" si="35"/>
        <v>1.4735726108345013</v>
      </c>
      <c r="K86" s="678">
        <f t="shared" si="36"/>
        <v>1.0000028896206876</v>
      </c>
      <c r="L86" s="679">
        <f t="shared" si="37"/>
        <v>2.4040023832559796E-3</v>
      </c>
      <c r="M86" s="678">
        <f t="shared" si="38"/>
        <v>1.0000099701810428</v>
      </c>
      <c r="N86" s="679">
        <f t="shared" si="39"/>
        <v>-4.4654447049332843E-3</v>
      </c>
      <c r="O86" s="677">
        <f t="shared" si="40"/>
        <v>9406.9840223823994</v>
      </c>
      <c r="P86" s="680">
        <f t="shared" si="41"/>
        <v>1.570690022797834</v>
      </c>
      <c r="Q86" s="689">
        <f t="shared" si="42"/>
        <v>4.5635506752726389</v>
      </c>
      <c r="R86" s="690">
        <f t="shared" si="43"/>
        <v>1.3498760560786696</v>
      </c>
      <c r="S86" s="677">
        <f t="shared" si="44"/>
        <v>1.0006080876485617</v>
      </c>
      <c r="T86" s="680">
        <f t="shared" si="45"/>
        <v>3.4864872471168339E-2</v>
      </c>
      <c r="U86" s="681">
        <f t="shared" si="57"/>
        <v>0.99949016482976127</v>
      </c>
      <c r="V86" s="682">
        <f t="shared" si="58"/>
        <v>-1.8249697194597674E-2</v>
      </c>
      <c r="W86" s="683">
        <f t="shared" si="46"/>
        <v>19.463208769522993</v>
      </c>
      <c r="X86" s="684">
        <f t="shared" si="47"/>
        <v>-100.24255248922854</v>
      </c>
      <c r="Y86" s="687">
        <f t="shared" si="48"/>
        <v>79.757447510771456</v>
      </c>
      <c r="AA86" s="170">
        <f t="shared" si="49"/>
        <v>1000000000</v>
      </c>
      <c r="AB86" s="170">
        <f t="shared" si="50"/>
        <v>691824.69759999996</v>
      </c>
      <c r="AD86" s="686">
        <f t="shared" si="51"/>
        <v>38.817219346475568</v>
      </c>
      <c r="AE86" s="687">
        <f t="shared" si="52"/>
        <v>-14.649318413149429</v>
      </c>
      <c r="AG86" s="686">
        <f t="shared" si="53"/>
        <v>35.746910997776588</v>
      </c>
      <c r="AH86" s="687">
        <f t="shared" si="54"/>
        <v>-83.501972820405143</v>
      </c>
      <c r="AJ86" s="170">
        <f t="shared" si="55"/>
        <v>0</v>
      </c>
      <c r="AK86" s="170">
        <f>IF(AJ86&gt;0,Y86,0)</f>
        <v>0</v>
      </c>
      <c r="AM86" s="170" t="str">
        <f t="shared" si="59"/>
        <v>0.000339866123955979+0.0260694598895009i</v>
      </c>
      <c r="AN86" s="170" t="str">
        <f t="shared" si="60"/>
        <v>0.0260724136664891i</v>
      </c>
      <c r="AO86" s="170" t="str">
        <f t="shared" si="61"/>
        <v>0.999886708724939-0.0130354683806206i</v>
      </c>
      <c r="AP86" s="170" t="str">
        <f t="shared" si="62"/>
        <v>0.166610022312674-0.00434490998158348i</v>
      </c>
      <c r="AQ86" s="170" t="str">
        <f t="shared" si="63"/>
        <v>0.833389977687326+0.00434490998158348i</v>
      </c>
      <c r="AR86" s="170" t="str">
        <f t="shared" si="64"/>
        <v>0.999504891065964-0.00521095632789497i</v>
      </c>
    </row>
    <row r="87" spans="1:44">
      <c r="A87" s="170">
        <v>26</v>
      </c>
      <c r="G87" s="688">
        <v>912.01</v>
      </c>
      <c r="H87" s="676">
        <f t="shared" si="56"/>
        <v>0.91200999999999999</v>
      </c>
      <c r="I87" s="677">
        <f t="shared" si="34"/>
        <v>11.286758797933505</v>
      </c>
      <c r="J87" s="678">
        <f t="shared" si="35"/>
        <v>1.4820806051296027</v>
      </c>
      <c r="K87" s="678">
        <f t="shared" si="36"/>
        <v>1.0000034741122745</v>
      </c>
      <c r="L87" s="679">
        <f t="shared" si="37"/>
        <v>2.6359446946638745E-3</v>
      </c>
      <c r="M87" s="678">
        <f t="shared" si="38"/>
        <v>1.0000119868686175</v>
      </c>
      <c r="N87" s="679">
        <f t="shared" si="39"/>
        <v>-4.8962738651132116E-3</v>
      </c>
      <c r="O87" s="677">
        <f t="shared" si="40"/>
        <v>10314.590134290425</v>
      </c>
      <c r="P87" s="680">
        <f t="shared" si="41"/>
        <v>1.5706993767475805</v>
      </c>
      <c r="Q87" s="689">
        <f t="shared" si="42"/>
        <v>4.9835991666272745</v>
      </c>
      <c r="R87" s="690">
        <f t="shared" si="43"/>
        <v>1.3687665951714747</v>
      </c>
      <c r="S87" s="677">
        <f t="shared" si="44"/>
        <v>1.0007310425076457</v>
      </c>
      <c r="T87" s="680">
        <f t="shared" si="45"/>
        <v>3.8225578678861206E-2</v>
      </c>
      <c r="U87" s="681">
        <f t="shared" si="57"/>
        <v>0.99946795229494045</v>
      </c>
      <c r="V87" s="682">
        <f t="shared" si="58"/>
        <v>-2.0010247306384617E-2</v>
      </c>
      <c r="W87" s="683">
        <f t="shared" si="46"/>
        <v>18.633603166069676</v>
      </c>
      <c r="X87" s="684">
        <f t="shared" si="47"/>
        <v>-99.953034183172221</v>
      </c>
      <c r="Y87" s="687">
        <f t="shared" si="48"/>
        <v>80.046965816827779</v>
      </c>
      <c r="AA87" s="170">
        <f t="shared" si="49"/>
        <v>1000000000</v>
      </c>
      <c r="AB87" s="170">
        <f t="shared" si="50"/>
        <v>831762.24009999994</v>
      </c>
      <c r="AD87" s="686">
        <f t="shared" si="51"/>
        <v>38.780925251844607</v>
      </c>
      <c r="AE87" s="687">
        <f t="shared" si="52"/>
        <v>-13.760060473115146</v>
      </c>
      <c r="AG87" s="686">
        <f t="shared" si="53"/>
        <v>34.953985561327414</v>
      </c>
      <c r="AH87" s="687">
        <f t="shared" si="54"/>
        <v>-83.899968272099215</v>
      </c>
      <c r="AJ87" s="170">
        <f t="shared" si="55"/>
        <v>0</v>
      </c>
      <c r="AK87" s="170">
        <f t="shared" ref="AK87:AK150" si="65">IF(AJ87&gt;0,Y87,0)</f>
        <v>0</v>
      </c>
      <c r="AM87" s="170" t="str">
        <f t="shared" si="59"/>
        <v>0.000408607224400948+0.0285840425576505i</v>
      </c>
      <c r="AN87" s="170" t="str">
        <f t="shared" si="60"/>
        <v>0.0285879364095109i</v>
      </c>
      <c r="AO87" s="170" t="str">
        <f t="shared" si="61"/>
        <v>0.999863793881285-0.014292994728539i</v>
      </c>
      <c r="AP87" s="170" t="str">
        <f t="shared" si="62"/>
        <v>0.1665985654626-0.00476400709294175i</v>
      </c>
      <c r="AQ87" s="170" t="str">
        <f t="shared" si="63"/>
        <v>0.8334014345374+0.00476400709294175i</v>
      </c>
      <c r="AR87" s="170" t="str">
        <f t="shared" si="64"/>
        <v>0.999485658167208-0.00571340121036047i</v>
      </c>
    </row>
    <row r="88" spans="1:44">
      <c r="A88" s="170">
        <v>27</v>
      </c>
      <c r="G88" s="688">
        <v>1000</v>
      </c>
      <c r="H88" s="676">
        <f t="shared" si="56"/>
        <v>1</v>
      </c>
      <c r="I88" s="677">
        <f t="shared" si="34"/>
        <v>12.367521687039249</v>
      </c>
      <c r="J88" s="678">
        <f t="shared" si="35"/>
        <v>1.489851018227758</v>
      </c>
      <c r="K88" s="678">
        <f t="shared" si="36"/>
        <v>1.00000417680785</v>
      </c>
      <c r="L88" s="679">
        <f t="shared" si="37"/>
        <v>2.8902571899685073E-3</v>
      </c>
      <c r="M88" s="678">
        <f t="shared" si="38"/>
        <v>1.0000144113948775</v>
      </c>
      <c r="N88" s="679">
        <f t="shared" si="39"/>
        <v>-5.368653798861674E-3</v>
      </c>
      <c r="O88" s="677">
        <f t="shared" si="40"/>
        <v>11309.733584209707</v>
      </c>
      <c r="P88" s="680">
        <f t="shared" si="41"/>
        <v>1.5707079073821972</v>
      </c>
      <c r="Q88" s="689">
        <f t="shared" si="42"/>
        <v>5.4458737762806679</v>
      </c>
      <c r="R88" s="690">
        <f t="shared" si="43"/>
        <v>1.3861231654102266</v>
      </c>
      <c r="S88" s="677">
        <f t="shared" si="44"/>
        <v>1.00087884310188</v>
      </c>
      <c r="T88" s="680">
        <f t="shared" si="45"/>
        <v>4.1909424871736753E-2</v>
      </c>
      <c r="U88" s="681">
        <f t="shared" si="57"/>
        <v>0.99944124947248991</v>
      </c>
      <c r="V88" s="682">
        <f t="shared" si="58"/>
        <v>-2.1940529989323724E-2</v>
      </c>
      <c r="W88" s="683">
        <f t="shared" si="46"/>
        <v>17.808328131784336</v>
      </c>
      <c r="X88" s="684">
        <f t="shared" si="47"/>
        <v>-99.738436840480517</v>
      </c>
      <c r="Y88" s="687">
        <f t="shared" si="48"/>
        <v>80.261563159519483</v>
      </c>
      <c r="AA88" s="170">
        <f t="shared" si="49"/>
        <v>1000000000</v>
      </c>
      <c r="AB88" s="170">
        <f t="shared" si="50"/>
        <v>1000000</v>
      </c>
      <c r="AD88" s="686">
        <f t="shared" si="51"/>
        <v>38.750123849040065</v>
      </c>
      <c r="AE88" s="687">
        <f t="shared" si="52"/>
        <v>-12.977159859304898</v>
      </c>
      <c r="AG88" s="686">
        <f t="shared" si="53"/>
        <v>34.159976058519668</v>
      </c>
      <c r="AH88" s="687">
        <f t="shared" si="54"/>
        <v>-84.247077440965782</v>
      </c>
      <c r="AJ88" s="170">
        <f t="shared" si="55"/>
        <v>0</v>
      </c>
      <c r="AK88" s="170">
        <f t="shared" si="65"/>
        <v>0</v>
      </c>
      <c r="AM88" s="170" t="str">
        <f t="shared" si="59"/>
        <v>0.000491248070507044+0.0313409447264636i</v>
      </c>
      <c r="AN88" s="170" t="str">
        <f t="shared" si="60"/>
        <v>0.0313460777946633i</v>
      </c>
      <c r="AO88" s="170" t="str">
        <f t="shared" si="61"/>
        <v>0.999836245279766-0.0156717556092673i</v>
      </c>
      <c r="AP88" s="170" t="str">
        <f t="shared" si="62"/>
        <v>0.166584791988249-0.00522349078774393i</v>
      </c>
      <c r="AQ88" s="170" t="str">
        <f t="shared" si="63"/>
        <v>0.833415208011751+0.00522349078774393i</v>
      </c>
      <c r="AR88" s="170" t="str">
        <f t="shared" si="64"/>
        <v>0.999462537973461-0.0062642045760772i</v>
      </c>
    </row>
    <row r="89" spans="1:44">
      <c r="A89" s="170">
        <v>28</v>
      </c>
      <c r="G89" s="688">
        <v>1096.5</v>
      </c>
      <c r="H89" s="676">
        <f t="shared" si="56"/>
        <v>1.0965</v>
      </c>
      <c r="I89" s="677">
        <f t="shared" si="34"/>
        <v>13.553526129182631</v>
      </c>
      <c r="J89" s="678">
        <f t="shared" si="35"/>
        <v>1.4969476835615985</v>
      </c>
      <c r="K89" s="678">
        <f t="shared" si="36"/>
        <v>1.0000050218251224</v>
      </c>
      <c r="L89" s="679">
        <f t="shared" si="37"/>
        <v>3.1691652234730854E-3</v>
      </c>
      <c r="M89" s="678">
        <f t="shared" si="38"/>
        <v>1.0000173269713419</v>
      </c>
      <c r="N89" s="679">
        <f t="shared" si="39"/>
        <v>-5.8867174484572961E-3</v>
      </c>
      <c r="O89" s="677">
        <f t="shared" si="40"/>
        <v>12401.122866928932</v>
      </c>
      <c r="P89" s="680">
        <f t="shared" si="41"/>
        <v>1.5707156889355822</v>
      </c>
      <c r="Q89" s="689">
        <f t="shared" si="42"/>
        <v>5.9544363985374655</v>
      </c>
      <c r="R89" s="690">
        <f t="shared" si="43"/>
        <v>1.4020546745063271</v>
      </c>
      <c r="S89" s="677">
        <f t="shared" si="44"/>
        <v>1.0010565499903468</v>
      </c>
      <c r="T89" s="680">
        <f t="shared" si="45"/>
        <v>4.5948244363475367E-2</v>
      </c>
      <c r="U89" s="681">
        <f t="shared" si="57"/>
        <v>0.99940914100516232</v>
      </c>
      <c r="V89" s="682">
        <f t="shared" si="58"/>
        <v>-2.4057408673143866E-2</v>
      </c>
      <c r="W89" s="683">
        <f t="shared" si="46"/>
        <v>16.986436437490706</v>
      </c>
      <c r="X89" s="684">
        <f t="shared" si="47"/>
        <v>-99.599081563118062</v>
      </c>
      <c r="Y89" s="687">
        <f t="shared" si="48"/>
        <v>80.400918436881938</v>
      </c>
      <c r="AA89" s="170">
        <f t="shared" si="49"/>
        <v>1000000000</v>
      </c>
      <c r="AB89" s="170">
        <f t="shared" si="50"/>
        <v>1202312.25</v>
      </c>
      <c r="AD89" s="686">
        <f t="shared" si="51"/>
        <v>38.723870877568928</v>
      </c>
      <c r="AE89" s="687">
        <f t="shared" si="52"/>
        <v>-12.296204787304767</v>
      </c>
      <c r="AG89" s="686">
        <f t="shared" si="53"/>
        <v>33.36489543770422</v>
      </c>
      <c r="AH89" s="687">
        <f t="shared" si="54"/>
        <v>-84.546100806678098</v>
      </c>
      <c r="AJ89" s="170">
        <f t="shared" si="55"/>
        <v>0</v>
      </c>
      <c r="AK89" s="170">
        <f t="shared" si="65"/>
        <v>0</v>
      </c>
      <c r="AM89" s="170" t="str">
        <f t="shared" si="59"/>
        <v>0.000590623788660039+0.0343642072636824i</v>
      </c>
      <c r="AN89" s="170" t="str">
        <f t="shared" si="60"/>
        <v>0.0343709743018483i</v>
      </c>
      <c r="AO89" s="170" t="str">
        <f t="shared" si="61"/>
        <v>0.999803117650769-0.0171837953580582i</v>
      </c>
      <c r="AP89" s="170" t="str">
        <f t="shared" si="62"/>
        <v>0.166568229368557-0.0057273678772804i</v>
      </c>
      <c r="AQ89" s="170" t="str">
        <f t="shared" si="63"/>
        <v>0.833431770631443+0.0057273678772804i</v>
      </c>
      <c r="AR89" s="170" t="str">
        <f t="shared" si="64"/>
        <v>0.999434738340624-0.00686814520098435i</v>
      </c>
    </row>
    <row r="90" spans="1:44">
      <c r="A90" s="170">
        <v>29</v>
      </c>
      <c r="G90" s="688">
        <v>1202.3</v>
      </c>
      <c r="H90" s="676">
        <f t="shared" si="56"/>
        <v>1.2022999999999999</v>
      </c>
      <c r="I90" s="677">
        <f t="shared" si="34"/>
        <v>14.854482561671125</v>
      </c>
      <c r="J90" s="678">
        <f t="shared" si="35"/>
        <v>1.5034256280771316</v>
      </c>
      <c r="K90" s="678">
        <f t="shared" si="36"/>
        <v>1.0000060376757611</v>
      </c>
      <c r="L90" s="679">
        <f t="shared" si="37"/>
        <v>3.4749519085616088E-3</v>
      </c>
      <c r="M90" s="678">
        <f t="shared" si="38"/>
        <v>1.0000208319688835</v>
      </c>
      <c r="N90" s="679">
        <f t="shared" si="39"/>
        <v>-6.454704834062572E-3</v>
      </c>
      <c r="O90" s="677">
        <f t="shared" si="40"/>
        <v>13597.692671912946</v>
      </c>
      <c r="P90" s="680">
        <f t="shared" si="41"/>
        <v>1.570722784906208</v>
      </c>
      <c r="Q90" s="689">
        <f t="shared" si="42"/>
        <v>6.513463021717973</v>
      </c>
      <c r="R90" s="690">
        <f t="shared" si="43"/>
        <v>1.4166585443941802</v>
      </c>
      <c r="S90" s="677">
        <f t="shared" si="44"/>
        <v>1.0012701415366614</v>
      </c>
      <c r="T90" s="680">
        <f t="shared" si="45"/>
        <v>5.0374569164034017E-2</v>
      </c>
      <c r="U90" s="681">
        <f t="shared" si="57"/>
        <v>0.99937054515474721</v>
      </c>
      <c r="V90" s="682">
        <f t="shared" si="58"/>
        <v>-2.637817574115512E-2</v>
      </c>
      <c r="W90" s="683">
        <f t="shared" si="46"/>
        <v>16.167524171318284</v>
      </c>
      <c r="X90" s="684">
        <f t="shared" si="47"/>
        <v>-99.535509785322702</v>
      </c>
      <c r="Y90" s="687">
        <f t="shared" si="48"/>
        <v>80.464490214677298</v>
      </c>
      <c r="AA90" s="170">
        <f t="shared" si="49"/>
        <v>1000000000</v>
      </c>
      <c r="AB90" s="170">
        <f t="shared" si="50"/>
        <v>1445525.2899999998</v>
      </c>
      <c r="AD90" s="686">
        <f t="shared" si="51"/>
        <v>38.701359406435522</v>
      </c>
      <c r="AE90" s="687">
        <f t="shared" si="52"/>
        <v>-11.713480976501245</v>
      </c>
      <c r="AG90" s="686">
        <f t="shared" si="53"/>
        <v>32.569165530606597</v>
      </c>
      <c r="AH90" s="687">
        <f t="shared" si="54"/>
        <v>-84.799312522922378</v>
      </c>
      <c r="AJ90" s="170">
        <f t="shared" si="55"/>
        <v>0</v>
      </c>
      <c r="AK90" s="170">
        <f t="shared" si="65"/>
        <v>0</v>
      </c>
      <c r="AM90" s="170" t="str">
        <f t="shared" si="59"/>
        <v>0.000710085604506028+0.0376784684859558i</v>
      </c>
      <c r="AN90" s="170" t="str">
        <f t="shared" si="60"/>
        <v>0.0376873893325237i</v>
      </c>
      <c r="AO90" s="170" t="str">
        <f t="shared" si="61"/>
        <v>0.999763293591679-0.0188414644018134i</v>
      </c>
      <c r="AP90" s="170" t="str">
        <f t="shared" si="62"/>
        <v>0.166548319065916-0.0062797447476593i</v>
      </c>
      <c r="AQ90" s="170" t="str">
        <f t="shared" si="63"/>
        <v>0.833451680934084+0.0062797447476593i</v>
      </c>
      <c r="AR90" s="170" t="str">
        <f t="shared" si="64"/>
        <v>0.999401323277517-0.00753011284784018i</v>
      </c>
    </row>
    <row r="91" spans="1:44">
      <c r="A91" s="170">
        <v>30</v>
      </c>
      <c r="G91" s="688">
        <v>1318.3</v>
      </c>
      <c r="H91" s="676">
        <f t="shared" si="56"/>
        <v>1.3183</v>
      </c>
      <c r="I91" s="677">
        <f t="shared" si="34"/>
        <v>16.281458384809397</v>
      </c>
      <c r="J91" s="678">
        <f t="shared" si="35"/>
        <v>1.5093380855794911</v>
      </c>
      <c r="K91" s="678">
        <f t="shared" si="36"/>
        <v>1.000007258925369</v>
      </c>
      <c r="L91" s="679">
        <f t="shared" si="37"/>
        <v>3.8102182245333739E-3</v>
      </c>
      <c r="M91" s="678">
        <f t="shared" si="38"/>
        <v>1.0000250456445734</v>
      </c>
      <c r="N91" s="679">
        <f t="shared" si="39"/>
        <v>-7.077446128034506E-3</v>
      </c>
      <c r="O91" s="677">
        <f t="shared" si="40"/>
        <v>14909.621759317391</v>
      </c>
      <c r="P91" s="680">
        <f t="shared" si="41"/>
        <v>1.5707292560122241</v>
      </c>
      <c r="Q91" s="689">
        <f t="shared" si="42"/>
        <v>7.1277182562157257</v>
      </c>
      <c r="R91" s="690">
        <f t="shared" si="43"/>
        <v>1.4300345957024807</v>
      </c>
      <c r="S91" s="677">
        <f t="shared" si="44"/>
        <v>1.0015268600144682</v>
      </c>
      <c r="T91" s="680">
        <f t="shared" si="45"/>
        <v>5.522535271241856E-2</v>
      </c>
      <c r="U91" s="681">
        <f t="shared" si="57"/>
        <v>0.99932415100455685</v>
      </c>
      <c r="V91" s="682">
        <f t="shared" si="58"/>
        <v>-2.892252369071632E-2</v>
      </c>
      <c r="W91" s="683">
        <f t="shared" si="46"/>
        <v>15.350969279529567</v>
      </c>
      <c r="X91" s="684">
        <f t="shared" si="47"/>
        <v>-99.548429054052136</v>
      </c>
      <c r="Y91" s="687">
        <f t="shared" si="48"/>
        <v>80.451570945947864</v>
      </c>
      <c r="AA91" s="170">
        <f t="shared" si="49"/>
        <v>1000000000</v>
      </c>
      <c r="AB91" s="170">
        <f t="shared" si="50"/>
        <v>1737914.89</v>
      </c>
      <c r="AD91" s="686">
        <f t="shared" si="51"/>
        <v>38.68187605082997</v>
      </c>
      <c r="AE91" s="687">
        <f t="shared" si="52"/>
        <v>-11.225389881144881</v>
      </c>
      <c r="AG91" s="686">
        <f t="shared" si="53"/>
        <v>31.772900469708031</v>
      </c>
      <c r="AH91" s="687">
        <f t="shared" si="54"/>
        <v>-85.008762088429776</v>
      </c>
      <c r="AJ91" s="170">
        <f t="shared" si="55"/>
        <v>0</v>
      </c>
      <c r="AK91" s="170">
        <f t="shared" si="65"/>
        <v>0</v>
      </c>
      <c r="AM91" s="170" t="str">
        <f t="shared" si="59"/>
        <v>0.000853695752132011+0.0413117744453997i</v>
      </c>
      <c r="AN91" s="170" t="str">
        <f t="shared" si="60"/>
        <v>0.0413235343567046i</v>
      </c>
      <c r="AO91" s="170" t="str">
        <f t="shared" si="61"/>
        <v>0.999715418550519-0.0206588271168413i</v>
      </c>
      <c r="AP91" s="170" t="str">
        <f t="shared" si="62"/>
        <v>0.166524384041311-0.00688529574089995i</v>
      </c>
      <c r="AQ91" s="170" t="str">
        <f t="shared" si="63"/>
        <v>0.833475615958689+0.00688529574089995i</v>
      </c>
      <c r="AR91" s="170" t="str">
        <f t="shared" si="64"/>
        <v>0.999361158674283-0.00825566698976102i</v>
      </c>
    </row>
    <row r="92" spans="1:44">
      <c r="A92" s="170">
        <v>31</v>
      </c>
      <c r="G92" s="688">
        <v>1445.4</v>
      </c>
      <c r="H92" s="676">
        <f t="shared" si="56"/>
        <v>1.4454</v>
      </c>
      <c r="I92" s="677">
        <f t="shared" si="34"/>
        <v>17.84552496796907</v>
      </c>
      <c r="J92" s="678">
        <f t="shared" si="35"/>
        <v>1.5147305013222621</v>
      </c>
      <c r="K92" s="678">
        <f t="shared" si="36"/>
        <v>1.0000087260884207</v>
      </c>
      <c r="L92" s="679">
        <f t="shared" si="37"/>
        <v>4.1775650724774653E-3</v>
      </c>
      <c r="M92" s="678">
        <f t="shared" si="38"/>
        <v>1.0000301077783773</v>
      </c>
      <c r="N92" s="679">
        <f t="shared" si="39"/>
        <v>-7.759771001547614E-3</v>
      </c>
      <c r="O92" s="677">
        <f t="shared" si="40"/>
        <v>16347.088889302488</v>
      </c>
      <c r="P92" s="680">
        <f t="shared" si="41"/>
        <v>1.5707351538235257</v>
      </c>
      <c r="Q92" s="689">
        <f t="shared" si="42"/>
        <v>7.8019737977119323</v>
      </c>
      <c r="R92" s="690">
        <f t="shared" si="43"/>
        <v>1.4422700707963383</v>
      </c>
      <c r="S92" s="677">
        <f t="shared" si="44"/>
        <v>1.0018351853039038</v>
      </c>
      <c r="T92" s="680">
        <f t="shared" si="45"/>
        <v>6.0537312535265425E-2</v>
      </c>
      <c r="U92" s="681">
        <f t="shared" si="57"/>
        <v>0.9992684228425045</v>
      </c>
      <c r="V92" s="682">
        <f t="shared" si="58"/>
        <v>-3.1710128294670022E-2</v>
      </c>
      <c r="W92" s="683">
        <f t="shared" si="46"/>
        <v>14.536750814687752</v>
      </c>
      <c r="X92" s="684">
        <f t="shared" si="47"/>
        <v>-99.638806323130979</v>
      </c>
      <c r="Y92" s="687">
        <f t="shared" si="48"/>
        <v>80.361193676869021</v>
      </c>
      <c r="AA92" s="170">
        <f t="shared" si="49"/>
        <v>1000000000</v>
      </c>
      <c r="AB92" s="170">
        <f t="shared" si="50"/>
        <v>2089181.1600000001</v>
      </c>
      <c r="AD92" s="686">
        <f t="shared" si="51"/>
        <v>38.664805759329234</v>
      </c>
      <c r="AE92" s="687">
        <f t="shared" si="52"/>
        <v>-10.829039595964652</v>
      </c>
      <c r="AG92" s="686">
        <f t="shared" si="53"/>
        <v>30.976721075440338</v>
      </c>
      <c r="AH92" s="687">
        <f t="shared" si="54"/>
        <v>-85.176053684808295</v>
      </c>
      <c r="AJ92" s="170">
        <f t="shared" si="55"/>
        <v>0</v>
      </c>
      <c r="AK92" s="170">
        <f t="shared" si="65"/>
        <v>0</v>
      </c>
      <c r="AM92" s="170" t="str">
        <f t="shared" si="59"/>
        <v>0.00102621468581199+0.0452921213352015i</v>
      </c>
      <c r="AN92" s="170" t="str">
        <f t="shared" si="60"/>
        <v>0.0453076208444063i</v>
      </c>
      <c r="AO92" s="170" t="str">
        <f t="shared" si="61"/>
        <v>0.999657905029751-0.0226499354123267i</v>
      </c>
      <c r="AP92" s="170" t="str">
        <f t="shared" si="62"/>
        <v>0.166495630885698-0.00754868688920025i</v>
      </c>
      <c r="AQ92" s="170" t="str">
        <f t="shared" si="63"/>
        <v>0.833504369114302+0.00754868688920025i</v>
      </c>
      <c r="AR92" s="170" t="str">
        <f t="shared" si="64"/>
        <v>0.999312916236613-0.0090503428518553i</v>
      </c>
    </row>
    <row r="93" spans="1:44">
      <c r="A93" s="170">
        <v>32</v>
      </c>
      <c r="G93" s="688">
        <v>1584.9</v>
      </c>
      <c r="H93" s="676">
        <f t="shared" si="56"/>
        <v>1.5849000000000002</v>
      </c>
      <c r="I93" s="677">
        <f t="shared" si="34"/>
        <v>19.562680552921361</v>
      </c>
      <c r="J93" s="678">
        <f t="shared" si="35"/>
        <v>1.5196562995344252</v>
      </c>
      <c r="K93" s="678">
        <f t="shared" si="36"/>
        <v>1.0000104917239678</v>
      </c>
      <c r="L93" s="679">
        <f t="shared" si="37"/>
        <v>4.5807493357456746E-3</v>
      </c>
      <c r="M93" s="678">
        <f t="shared" si="38"/>
        <v>1.0000361997038656</v>
      </c>
      <c r="N93" s="679">
        <f t="shared" si="39"/>
        <v>-8.5086558143971439E-3</v>
      </c>
      <c r="O93" s="677">
        <f t="shared" si="40"/>
        <v>17924.796715440323</v>
      </c>
      <c r="P93" s="680">
        <f t="shared" si="41"/>
        <v>1.5707405381565989</v>
      </c>
      <c r="Q93" s="689">
        <f t="shared" si="42"/>
        <v>8.543132168881975</v>
      </c>
      <c r="R93" s="690">
        <f t="shared" si="43"/>
        <v>1.4534742783154484</v>
      </c>
      <c r="S93" s="677">
        <f t="shared" si="44"/>
        <v>1.0022061096224761</v>
      </c>
      <c r="T93" s="680">
        <f t="shared" si="45"/>
        <v>6.6363566459662002E-2</v>
      </c>
      <c r="U93" s="681">
        <f t="shared" si="57"/>
        <v>0.99920136920888369</v>
      </c>
      <c r="V93" s="682">
        <f t="shared" si="58"/>
        <v>-3.4769415750169966E-2</v>
      </c>
      <c r="W93" s="683">
        <f t="shared" si="46"/>
        <v>13.723016646010882</v>
      </c>
      <c r="X93" s="684">
        <f t="shared" si="47"/>
        <v>-99.808299669764821</v>
      </c>
      <c r="Y93" s="687">
        <f t="shared" si="48"/>
        <v>80.191700330235179</v>
      </c>
      <c r="AA93" s="170">
        <f t="shared" si="49"/>
        <v>1000000000</v>
      </c>
      <c r="AB93" s="170">
        <f t="shared" si="50"/>
        <v>2511908.0100000002</v>
      </c>
      <c r="AD93" s="686">
        <f t="shared" si="51"/>
        <v>38.649566907881272</v>
      </c>
      <c r="AE93" s="687">
        <f t="shared" si="52"/>
        <v>-10.521214051779197</v>
      </c>
      <c r="AG93" s="686">
        <f t="shared" si="53"/>
        <v>30.179391491041617</v>
      </c>
      <c r="AH93" s="687">
        <f t="shared" si="54"/>
        <v>-85.302804056192059</v>
      </c>
      <c r="AJ93" s="170">
        <f t="shared" si="55"/>
        <v>0</v>
      </c>
      <c r="AK93" s="170">
        <f t="shared" si="65"/>
        <v>0</v>
      </c>
      <c r="AM93" s="170" t="str">
        <f t="shared" si="59"/>
        <v>0.00123381720634097+0.0496599648387198i</v>
      </c>
      <c r="AN93" s="170" t="str">
        <f t="shared" si="60"/>
        <v>0.0496803986967618i</v>
      </c>
      <c r="AO93" s="170" t="str">
        <f t="shared" si="61"/>
        <v>0.999588693758947-0.0248350906737266i</v>
      </c>
      <c r="AP93" s="170" t="str">
        <f t="shared" si="62"/>
        <v>0.16646103046561-0.0082766608064533i</v>
      </c>
      <c r="AQ93" s="170" t="str">
        <f t="shared" si="63"/>
        <v>0.83353896953439+0.0082766608064533i</v>
      </c>
      <c r="AR93" s="170" t="str">
        <f t="shared" si="64"/>
        <v>0.999254873764642-0.00992214395682676i</v>
      </c>
    </row>
    <row r="94" spans="1:44">
      <c r="A94" s="170">
        <v>33</v>
      </c>
      <c r="G94" s="688">
        <v>1737.8</v>
      </c>
      <c r="H94" s="676">
        <f t="shared" si="56"/>
        <v>1.7378</v>
      </c>
      <c r="I94" s="677">
        <f t="shared" si="34"/>
        <v>21.445235271351645</v>
      </c>
      <c r="J94" s="678">
        <f t="shared" si="35"/>
        <v>1.5241490067021772</v>
      </c>
      <c r="K94" s="678">
        <f t="shared" si="36"/>
        <v>1.0000126136928118</v>
      </c>
      <c r="L94" s="679">
        <f t="shared" si="37"/>
        <v>5.02266069441476E-3</v>
      </c>
      <c r="M94" s="678">
        <f t="shared" si="38"/>
        <v>1.0000435210418066</v>
      </c>
      <c r="N94" s="679">
        <f t="shared" si="39"/>
        <v>-9.3294655221192874E-3</v>
      </c>
      <c r="O94" s="677">
        <f t="shared" si="40"/>
        <v>19654.054971252048</v>
      </c>
      <c r="P94" s="680">
        <f t="shared" si="41"/>
        <v>1.5707454467092403</v>
      </c>
      <c r="Q94" s="689">
        <f t="shared" si="42"/>
        <v>9.3565115435979074</v>
      </c>
      <c r="R94" s="690">
        <f t="shared" si="43"/>
        <v>1.463714360802004</v>
      </c>
      <c r="S94" s="677">
        <f t="shared" si="44"/>
        <v>1.0026517116703648</v>
      </c>
      <c r="T94" s="680">
        <f t="shared" si="45"/>
        <v>7.2744281608211642E-2</v>
      </c>
      <c r="U94" s="681">
        <f t="shared" si="57"/>
        <v>0.99912079983759161</v>
      </c>
      <c r="V94" s="682">
        <f t="shared" si="58"/>
        <v>-3.8122203158179907E-2</v>
      </c>
      <c r="W94" s="683">
        <f t="shared" si="46"/>
        <v>12.910466253204294</v>
      </c>
      <c r="X94" s="684">
        <f t="shared" si="47"/>
        <v>-100.05867845299157</v>
      </c>
      <c r="Y94" s="687">
        <f t="shared" si="48"/>
        <v>79.941321547008428</v>
      </c>
      <c r="AA94" s="170">
        <f t="shared" si="49"/>
        <v>1000000000</v>
      </c>
      <c r="AB94" s="170">
        <f t="shared" si="50"/>
        <v>3019948.84</v>
      </c>
      <c r="AD94" s="686">
        <f t="shared" si="51"/>
        <v>38.635683937491187</v>
      </c>
      <c r="AE94" s="687">
        <f t="shared" si="52"/>
        <v>-10.300369830818331</v>
      </c>
      <c r="AG94" s="686">
        <f t="shared" si="53"/>
        <v>29.382124877120297</v>
      </c>
      <c r="AH94" s="687">
        <f t="shared" si="54"/>
        <v>-85.389825923773515</v>
      </c>
      <c r="AJ94" s="170">
        <f t="shared" si="55"/>
        <v>0</v>
      </c>
      <c r="AK94" s="170">
        <f t="shared" si="65"/>
        <v>0</v>
      </c>
      <c r="AM94" s="170" t="str">
        <f t="shared" si="59"/>
        <v>0.00148329868034203+0.0544462779784688i</v>
      </c>
      <c r="AN94" s="170" t="str">
        <f t="shared" si="60"/>
        <v>0.0544732139915658i</v>
      </c>
      <c r="AO94" s="170" t="str">
        <f t="shared" si="61"/>
        <v>0.9995055181965-0.0272298726594633i</v>
      </c>
      <c r="AP94" s="170" t="str">
        <f t="shared" si="62"/>
        <v>0.166419450219943-0.00907437966307813i</v>
      </c>
      <c r="AQ94" s="170" t="str">
        <f t="shared" si="63"/>
        <v>0.833580549780057+0.00907437966307813i</v>
      </c>
      <c r="AR94" s="170" t="str">
        <f t="shared" si="64"/>
        <v>0.99918513787389-0.0108771555396357i</v>
      </c>
    </row>
    <row r="95" spans="1:44">
      <c r="A95" s="170">
        <v>34</v>
      </c>
      <c r="G95" s="688">
        <v>1905.5</v>
      </c>
      <c r="H95" s="676">
        <f t="shared" si="56"/>
        <v>1.9055</v>
      </c>
      <c r="I95" s="677">
        <f t="shared" si="34"/>
        <v>23.510426583034636</v>
      </c>
      <c r="J95" s="678">
        <f t="shared" si="35"/>
        <v>1.5282491713754942</v>
      </c>
      <c r="K95" s="678">
        <f t="shared" si="36"/>
        <v>1.0000151656146457</v>
      </c>
      <c r="L95" s="679">
        <f t="shared" si="37"/>
        <v>5.5073447295252223E-3</v>
      </c>
      <c r="M95" s="678">
        <f t="shared" si="38"/>
        <v>1.0000523257776626</v>
      </c>
      <c r="N95" s="679">
        <f t="shared" si="39"/>
        <v>-1.0229711247998268E-2</v>
      </c>
      <c r="O95" s="677">
        <f t="shared" si="40"/>
        <v>21550.697283671107</v>
      </c>
      <c r="P95" s="680">
        <f t="shared" si="41"/>
        <v>1.5707499245839984</v>
      </c>
      <c r="Q95" s="689">
        <f t="shared" si="42"/>
        <v>10.249562585162261</v>
      </c>
      <c r="R95" s="690">
        <f t="shared" si="43"/>
        <v>1.4730757344326189</v>
      </c>
      <c r="S95" s="677">
        <f t="shared" si="44"/>
        <v>1.0031873406355369</v>
      </c>
      <c r="T95" s="680">
        <f t="shared" si="45"/>
        <v>7.9735784285187225E-2</v>
      </c>
      <c r="U95" s="681">
        <f t="shared" si="57"/>
        <v>0.9990239297226079</v>
      </c>
      <c r="V95" s="682">
        <f t="shared" si="58"/>
        <v>-4.1799040710819274E-2</v>
      </c>
      <c r="W95" s="683">
        <f t="shared" si="46"/>
        <v>12.098134231072224</v>
      </c>
      <c r="X95" s="684">
        <f t="shared" si="47"/>
        <v>-100.39255074888325</v>
      </c>
      <c r="Y95" s="687">
        <f t="shared" si="48"/>
        <v>79.607449251116748</v>
      </c>
      <c r="AA95" s="170">
        <f t="shared" si="49"/>
        <v>1000000000</v>
      </c>
      <c r="AB95" s="170">
        <f t="shared" si="50"/>
        <v>3630930.25</v>
      </c>
      <c r="AD95" s="686">
        <f t="shared" si="51"/>
        <v>38.622689342207778</v>
      </c>
      <c r="AE95" s="687">
        <f t="shared" si="52"/>
        <v>-10.164842790354122</v>
      </c>
      <c r="AG95" s="686">
        <f t="shared" si="53"/>
        <v>28.584471819008673</v>
      </c>
      <c r="AH95" s="687">
        <f t="shared" si="54"/>
        <v>-85.437890712205032</v>
      </c>
      <c r="AJ95" s="170">
        <f t="shared" si="55"/>
        <v>0</v>
      </c>
      <c r="AK95" s="170">
        <f t="shared" si="65"/>
        <v>0</v>
      </c>
      <c r="AM95" s="170" t="str">
        <f t="shared" si="59"/>
        <v>0.00178330325681497+0.0596944414759376i</v>
      </c>
      <c r="AN95" s="170" t="str">
        <f t="shared" si="60"/>
        <v>0.0597299512377309i</v>
      </c>
      <c r="AO95" s="170" t="str">
        <f t="shared" si="61"/>
        <v>0.999405494880584-0.029856097650528i</v>
      </c>
      <c r="AP95" s="170" t="str">
        <f t="shared" si="62"/>
        <v>0.166369449457198-0.00994907357932293i</v>
      </c>
      <c r="AQ95" s="170" t="str">
        <f t="shared" si="63"/>
        <v>0.833630550542802+0.00994907357932293i</v>
      </c>
      <c r="AR95" s="170" t="str">
        <f t="shared" si="64"/>
        <v>0.999101301696605-0.0119239060484342i</v>
      </c>
    </row>
    <row r="96" spans="1:44">
      <c r="A96" s="170">
        <v>35</v>
      </c>
      <c r="G96" s="688">
        <v>2089.3000000000002</v>
      </c>
      <c r="H96" s="676">
        <f t="shared" si="56"/>
        <v>2.0893000000000002</v>
      </c>
      <c r="I96" s="677">
        <f t="shared" si="34"/>
        <v>25.774263845489113</v>
      </c>
      <c r="J96" s="678">
        <f t="shared" si="35"/>
        <v>1.5319881939236348</v>
      </c>
      <c r="K96" s="678">
        <f t="shared" si="36"/>
        <v>1.0000182323669442</v>
      </c>
      <c r="L96" s="679">
        <f t="shared" si="37"/>
        <v>6.038557763664033E-3</v>
      </c>
      <c r="M96" s="678">
        <f t="shared" si="38"/>
        <v>1.0000629067279541</v>
      </c>
      <c r="N96" s="679">
        <f t="shared" si="39"/>
        <v>-1.1216365758784586E-2</v>
      </c>
      <c r="O96" s="677">
        <f t="shared" si="40"/>
        <v>23629.426306282061</v>
      </c>
      <c r="P96" s="680">
        <f t="shared" si="41"/>
        <v>1.5707540066815204</v>
      </c>
      <c r="Q96" s="689">
        <f t="shared" si="42"/>
        <v>11.229210468078728</v>
      </c>
      <c r="R96" s="690">
        <f t="shared" si="43"/>
        <v>1.481624742094336</v>
      </c>
      <c r="S96" s="677">
        <f t="shared" si="44"/>
        <v>1.003830652294966</v>
      </c>
      <c r="T96" s="680">
        <f t="shared" si="45"/>
        <v>8.7389517524668586E-2</v>
      </c>
      <c r="U96" s="681">
        <f t="shared" si="57"/>
        <v>0.99890755177039392</v>
      </c>
      <c r="V96" s="682">
        <f t="shared" si="58"/>
        <v>-4.5828234901455177E-2</v>
      </c>
      <c r="W96" s="683">
        <f t="shared" si="46"/>
        <v>11.286198246968313</v>
      </c>
      <c r="X96" s="684">
        <f t="shared" si="47"/>
        <v>-100.81267009832459</v>
      </c>
      <c r="Y96" s="687">
        <f t="shared" si="48"/>
        <v>79.187329901675412</v>
      </c>
      <c r="AA96" s="170">
        <f t="shared" si="49"/>
        <v>1000000000</v>
      </c>
      <c r="AB96" s="170">
        <f t="shared" si="50"/>
        <v>4365174.4900000012</v>
      </c>
      <c r="AD96" s="686">
        <f t="shared" si="51"/>
        <v>38.610161929312156</v>
      </c>
      <c r="AE96" s="687">
        <f t="shared" si="52"/>
        <v>-10.11378123135523</v>
      </c>
      <c r="AG96" s="686">
        <f t="shared" si="53"/>
        <v>27.787087033019734</v>
      </c>
      <c r="AH96" s="687">
        <f t="shared" si="54"/>
        <v>-85.44735997619361</v>
      </c>
      <c r="AJ96" s="170">
        <f t="shared" si="55"/>
        <v>0</v>
      </c>
      <c r="AK96" s="170">
        <f t="shared" si="65"/>
        <v>0</v>
      </c>
      <c r="AM96" s="170" t="str">
        <f t="shared" si="59"/>
        <v>0.00214379272662002+0.0654445536770299i</v>
      </c>
      <c r="AN96" s="170" t="str">
        <f t="shared" si="60"/>
        <v>0.06549136033639i</v>
      </c>
      <c r="AO96" s="170" t="str">
        <f t="shared" si="61"/>
        <v>0.999285300242358-0.0327339776668043i</v>
      </c>
      <c r="AP96" s="170" t="str">
        <f t="shared" si="62"/>
        <v>0.166309367878897-0.0109074256128383i</v>
      </c>
      <c r="AQ96" s="170" t="str">
        <f t="shared" si="63"/>
        <v>0.833690632121103+0.0109074256128383i</v>
      </c>
      <c r="AR96" s="170" t="str">
        <f t="shared" si="64"/>
        <v>0.99900059494143-0.013070225640873i</v>
      </c>
    </row>
    <row r="97" spans="1:44">
      <c r="A97" s="170" t="s">
        <v>801</v>
      </c>
      <c r="G97" s="688">
        <v>2290.9</v>
      </c>
      <c r="H97" s="676">
        <f t="shared" si="56"/>
        <v>2.2909000000000002</v>
      </c>
      <c r="I97" s="677">
        <f t="shared" si="34"/>
        <v>28.257685814783621</v>
      </c>
      <c r="J97" s="678">
        <f t="shared" si="35"/>
        <v>1.5354003340090958</v>
      </c>
      <c r="K97" s="678">
        <f t="shared" si="36"/>
        <v>1.0000219206237546</v>
      </c>
      <c r="L97" s="679">
        <f t="shared" si="37"/>
        <v>6.6212118730753881E-3</v>
      </c>
      <c r="M97" s="678">
        <f t="shared" si="38"/>
        <v>1.0000756318962252</v>
      </c>
      <c r="N97" s="679">
        <f t="shared" si="39"/>
        <v>-1.2298547045330505E-2</v>
      </c>
      <c r="O97" s="677">
        <f t="shared" si="40"/>
        <v>25909.468586083967</v>
      </c>
      <c r="P97" s="680">
        <f t="shared" si="41"/>
        <v>1.5707577308662721</v>
      </c>
      <c r="Q97" s="689">
        <f t="shared" si="42"/>
        <v>12.304517923798571</v>
      </c>
      <c r="R97" s="690">
        <f t="shared" si="43"/>
        <v>1.4894356331671867</v>
      </c>
      <c r="S97" s="677">
        <f t="shared" si="44"/>
        <v>1.0046037937276788</v>
      </c>
      <c r="T97" s="680">
        <f t="shared" si="45"/>
        <v>9.5772651714879961E-2</v>
      </c>
      <c r="U97" s="681">
        <f t="shared" si="57"/>
        <v>0.99876763931268542</v>
      </c>
      <c r="V97" s="682">
        <f t="shared" si="58"/>
        <v>-5.024679397316674E-2</v>
      </c>
      <c r="W97" s="683">
        <f t="shared" si="46"/>
        <v>10.473631533121043</v>
      </c>
      <c r="X97" s="684">
        <f t="shared" si="47"/>
        <v>-101.32295740580082</v>
      </c>
      <c r="Y97" s="687">
        <f t="shared" si="48"/>
        <v>78.677042594199179</v>
      </c>
      <c r="AA97" s="170">
        <f t="shared" si="49"/>
        <v>1000000000</v>
      </c>
      <c r="AB97" s="170">
        <f t="shared" si="50"/>
        <v>5248222.8100000005</v>
      </c>
      <c r="AD97" s="686">
        <f t="shared" si="51"/>
        <v>38.597675779029089</v>
      </c>
      <c r="AE97" s="687">
        <f t="shared" si="52"/>
        <v>-10.146781726941516</v>
      </c>
      <c r="AG97" s="686">
        <f t="shared" si="53"/>
        <v>26.989439826337684</v>
      </c>
      <c r="AH97" s="687">
        <f t="shared" si="54"/>
        <v>-85.418317214828321</v>
      </c>
      <c r="AJ97" s="170">
        <f t="shared" si="55"/>
        <v>0</v>
      </c>
      <c r="AK97" s="170">
        <f t="shared" si="65"/>
        <v>0</v>
      </c>
      <c r="AM97" s="170" t="str">
        <f t="shared" si="59"/>
        <v>0.00257728261849199+0.0717490268316485i</v>
      </c>
      <c r="AN97" s="170" t="str">
        <f t="shared" si="60"/>
        <v>0.0718107296197941i</v>
      </c>
      <c r="AO97" s="170" t="str">
        <f t="shared" si="61"/>
        <v>0.999140758094615-0.0358899377869791i</v>
      </c>
      <c r="AP97" s="170" t="str">
        <f t="shared" si="62"/>
        <v>0.166237119563585-0.0119581711386081i</v>
      </c>
      <c r="AQ97" s="170" t="str">
        <f t="shared" si="63"/>
        <v>0.833762880436415+0.0119581711386081i</v>
      </c>
      <c r="AR97" s="170" t="str">
        <f t="shared" si="64"/>
        <v>0.998879540799424-0.0143263423882358i</v>
      </c>
    </row>
    <row r="98" spans="1:44">
      <c r="G98" s="688">
        <v>2511.9</v>
      </c>
      <c r="H98" s="676">
        <f t="shared" si="56"/>
        <v>2.5119000000000002</v>
      </c>
      <c r="I98" s="677">
        <f t="shared" si="34"/>
        <v>30.980402360880763</v>
      </c>
      <c r="J98" s="678">
        <f t="shared" si="35"/>
        <v>1.5385122486296703</v>
      </c>
      <c r="K98" s="678">
        <f t="shared" si="36"/>
        <v>1.0000263538683831</v>
      </c>
      <c r="L98" s="679">
        <f t="shared" si="37"/>
        <v>7.2599296999563915E-3</v>
      </c>
      <c r="M98" s="678">
        <f t="shared" si="38"/>
        <v>1.0000909272581133</v>
      </c>
      <c r="N98" s="679">
        <f t="shared" si="39"/>
        <v>-1.3484833617261242E-2</v>
      </c>
      <c r="O98" s="677">
        <f t="shared" si="40"/>
        <v>28408.919696726109</v>
      </c>
      <c r="P98" s="680">
        <f t="shared" si="41"/>
        <v>1.570761126582749</v>
      </c>
      <c r="Q98" s="689">
        <f t="shared" si="42"/>
        <v>13.484020702851542</v>
      </c>
      <c r="R98" s="690">
        <f t="shared" si="43"/>
        <v>1.4965663206472735</v>
      </c>
      <c r="S98" s="677">
        <f t="shared" si="44"/>
        <v>1.0055323184046139</v>
      </c>
      <c r="T98" s="680">
        <f t="shared" si="45"/>
        <v>0.104946965470848</v>
      </c>
      <c r="U98" s="681">
        <f t="shared" si="57"/>
        <v>0.99859953901317799</v>
      </c>
      <c r="V98" s="682">
        <f t="shared" si="58"/>
        <v>-5.5089445190645167E-2</v>
      </c>
      <c r="W98" s="683">
        <f t="shared" si="46"/>
        <v>9.6604791000016235</v>
      </c>
      <c r="X98" s="684">
        <f t="shared" si="47"/>
        <v>-101.92737955568806</v>
      </c>
      <c r="Y98" s="687">
        <f t="shared" si="48"/>
        <v>78.072620444311937</v>
      </c>
      <c r="AA98" s="170">
        <f t="shared" si="49"/>
        <v>1000000000</v>
      </c>
      <c r="AB98" s="170">
        <f t="shared" si="50"/>
        <v>6309641.6100000003</v>
      </c>
      <c r="AD98" s="686">
        <f t="shared" si="51"/>
        <v>38.584823259013319</v>
      </c>
      <c r="AE98" s="687">
        <f t="shared" si="52"/>
        <v>-10.264067447808111</v>
      </c>
      <c r="AG98" s="686">
        <f t="shared" si="53"/>
        <v>26.192063963792069</v>
      </c>
      <c r="AH98" s="687">
        <f t="shared" si="54"/>
        <v>-85.350526690384044</v>
      </c>
      <c r="AJ98" s="170">
        <f t="shared" si="55"/>
        <v>0</v>
      </c>
      <c r="AK98" s="170">
        <f t="shared" si="65"/>
        <v>0</v>
      </c>
      <c r="AM98" s="170" t="str">
        <f t="shared" si="59"/>
        <v>0.00309825189452295+0.078656879064983i</v>
      </c>
      <c r="AN98" s="170" t="str">
        <f t="shared" si="60"/>
        <v>0.0787382128124147i</v>
      </c>
      <c r="AO98" s="170" t="str">
        <f t="shared" si="61"/>
        <v>0.998967035896211-0.0393487708681451i</v>
      </c>
      <c r="AP98" s="170" t="str">
        <f t="shared" si="62"/>
        <v>0.166150291350913-0.0131094798441638i</v>
      </c>
      <c r="AQ98" s="170" t="str">
        <f t="shared" si="63"/>
        <v>0.833849708649087+0.0131094798441638i</v>
      </c>
      <c r="AR98" s="170" t="str">
        <f t="shared" si="64"/>
        <v>0.998734124170432-0.0157017322602445i</v>
      </c>
    </row>
    <row r="99" spans="1:44">
      <c r="G99" s="688">
        <v>2754.2</v>
      </c>
      <c r="H99" s="676">
        <f t="shared" si="56"/>
        <v>2.7542</v>
      </c>
      <c r="I99" s="677">
        <f t="shared" si="34"/>
        <v>33.965821413965635</v>
      </c>
      <c r="J99" s="678">
        <f t="shared" si="35"/>
        <v>1.5413507111623603</v>
      </c>
      <c r="K99" s="678">
        <f t="shared" si="36"/>
        <v>1.0000316832315617</v>
      </c>
      <c r="L99" s="679">
        <f t="shared" si="37"/>
        <v>7.9602003820958434E-3</v>
      </c>
      <c r="M99" s="678">
        <f t="shared" si="38"/>
        <v>1.0001093141441306</v>
      </c>
      <c r="N99" s="679">
        <f t="shared" si="39"/>
        <v>-1.4785410854910461E-2</v>
      </c>
      <c r="O99" s="677">
        <f t="shared" si="40"/>
        <v>31149.268131919744</v>
      </c>
      <c r="P99" s="680">
        <f t="shared" si="41"/>
        <v>1.570764223311889</v>
      </c>
      <c r="Q99" s="689">
        <f t="shared" si="42"/>
        <v>14.77786012751881</v>
      </c>
      <c r="R99" s="690">
        <f t="shared" si="43"/>
        <v>1.5030757809305013</v>
      </c>
      <c r="S99" s="677">
        <f t="shared" si="44"/>
        <v>1.0066474031853934</v>
      </c>
      <c r="T99" s="680">
        <f t="shared" si="45"/>
        <v>0.11498510820564516</v>
      </c>
      <c r="U99" s="681">
        <f t="shared" si="57"/>
        <v>0.99839756492145448</v>
      </c>
      <c r="V99" s="682">
        <f t="shared" si="58"/>
        <v>-6.0397374280787695E-2</v>
      </c>
      <c r="W99" s="683">
        <f t="shared" si="46"/>
        <v>8.8461801403601861</v>
      </c>
      <c r="X99" s="684">
        <f t="shared" si="47"/>
        <v>-102.63088448801251</v>
      </c>
      <c r="Y99" s="687">
        <f t="shared" si="48"/>
        <v>77.369115511987488</v>
      </c>
      <c r="AA99" s="170">
        <f t="shared" si="49"/>
        <v>1000000000</v>
      </c>
      <c r="AB99" s="170">
        <f t="shared" si="50"/>
        <v>7585617.6399999987</v>
      </c>
      <c r="AD99" s="686">
        <f t="shared" si="51"/>
        <v>38.571176641318942</v>
      </c>
      <c r="AE99" s="687">
        <f t="shared" si="52"/>
        <v>-10.466423489266161</v>
      </c>
      <c r="AG99" s="686">
        <f t="shared" si="53"/>
        <v>25.394925547174157</v>
      </c>
      <c r="AH99" s="687">
        <f t="shared" si="54"/>
        <v>-85.243431710915686</v>
      </c>
      <c r="AJ99" s="170">
        <f t="shared" si="55"/>
        <v>0</v>
      </c>
      <c r="AK99" s="170">
        <f t="shared" si="65"/>
        <v>0</v>
      </c>
      <c r="AM99" s="170" t="str">
        <f t="shared" si="59"/>
        <v>0.00372441099694099+0.0862261605118068i</v>
      </c>
      <c r="AN99" s="170" t="str">
        <f t="shared" si="60"/>
        <v>0.0863333674620616i</v>
      </c>
      <c r="AO99" s="170" t="str">
        <f t="shared" si="61"/>
        <v>0.998758221144311-0.0431398786636887i</v>
      </c>
      <c r="AP99" s="170" t="str">
        <f t="shared" si="62"/>
        <v>0.16604593150051-0.0143710267519678i</v>
      </c>
      <c r="AQ99" s="170" t="str">
        <f t="shared" si="63"/>
        <v>0.83395406849949+0.0143710267519678i</v>
      </c>
      <c r="AR99" s="170" t="str">
        <f t="shared" si="64"/>
        <v>0.998559442277907-0.017207571736206i</v>
      </c>
    </row>
    <row r="100" spans="1:44">
      <c r="G100" s="688">
        <v>3020</v>
      </c>
      <c r="H100" s="676">
        <f t="shared" si="56"/>
        <v>3.02</v>
      </c>
      <c r="I100" s="677">
        <f t="shared" si="34"/>
        <v>37.241049763306535</v>
      </c>
      <c r="J100" s="678">
        <f t="shared" si="35"/>
        <v>1.5439410094014159</v>
      </c>
      <c r="K100" s="678">
        <f t="shared" si="36"/>
        <v>1.0000380935123145</v>
      </c>
      <c r="L100" s="679">
        <f t="shared" si="37"/>
        <v>8.7283793559571349E-3</v>
      </c>
      <c r="M100" s="678">
        <f t="shared" si="38"/>
        <v>1.0001314299960189</v>
      </c>
      <c r="N100" s="679">
        <f t="shared" si="39"/>
        <v>-1.6212069748378605E-2</v>
      </c>
      <c r="O100" s="677">
        <f t="shared" si="40"/>
        <v>34155.395305438979</v>
      </c>
      <c r="P100" s="680">
        <f t="shared" si="41"/>
        <v>1.5707670488436036</v>
      </c>
      <c r="Q100" s="689">
        <f t="shared" si="42"/>
        <v>16.197784991892252</v>
      </c>
      <c r="R100" s="690">
        <f t="shared" si="43"/>
        <v>1.5090202054301467</v>
      </c>
      <c r="S100" s="677">
        <f t="shared" si="44"/>
        <v>1.0079870264702435</v>
      </c>
      <c r="T100" s="680">
        <f t="shared" si="45"/>
        <v>0.12597004243834384</v>
      </c>
      <c r="U100" s="681">
        <f t="shared" si="57"/>
        <v>0.99815477804575437</v>
      </c>
      <c r="V100" s="682">
        <f t="shared" si="58"/>
        <v>-6.6218183791358728E-2</v>
      </c>
      <c r="W100" s="683">
        <f t="shared" si="46"/>
        <v>8.0298204618167013</v>
      </c>
      <c r="X100" s="684">
        <f t="shared" si="47"/>
        <v>-103.43949540964815</v>
      </c>
      <c r="Y100" s="687">
        <f t="shared" si="48"/>
        <v>76.560504590351854</v>
      </c>
      <c r="AA100" s="170">
        <f t="shared" si="49"/>
        <v>1000000000</v>
      </c>
      <c r="AB100" s="170">
        <f t="shared" si="50"/>
        <v>9120400</v>
      </c>
      <c r="AD100" s="686">
        <f t="shared" si="51"/>
        <v>38.556277528293272</v>
      </c>
      <c r="AE100" s="687">
        <f t="shared" si="52"/>
        <v>-10.75538531493704</v>
      </c>
      <c r="AG100" s="686">
        <f t="shared" si="53"/>
        <v>24.597689904735823</v>
      </c>
      <c r="AH100" s="687">
        <f t="shared" si="54"/>
        <v>-85.096065169507611</v>
      </c>
      <c r="AJ100" s="170">
        <f t="shared" si="55"/>
        <v>0</v>
      </c>
      <c r="AK100" s="170">
        <f t="shared" si="65"/>
        <v>0</v>
      </c>
      <c r="AM100" s="170" t="str">
        <f t="shared" si="59"/>
        <v>0.00447740059883805+0.0945238281152054i</v>
      </c>
      <c r="AN100" s="170" t="str">
        <f t="shared" si="60"/>
        <v>0.0946651549398831i</v>
      </c>
      <c r="AO100" s="170" t="str">
        <f t="shared" si="61"/>
        <v>0.998507087166683-0.0472972404860206i</v>
      </c>
      <c r="AP100" s="170" t="str">
        <f t="shared" si="62"/>
        <v>0.165920433233527-0.0157539713525342i</v>
      </c>
      <c r="AQ100" s="170" t="str">
        <f t="shared" si="63"/>
        <v>0.834079566766473+0.0157539713525342i</v>
      </c>
      <c r="AR100" s="170" t="str">
        <f t="shared" si="64"/>
        <v>0.998349516780065-0.0188566778444688i</v>
      </c>
    </row>
    <row r="101" spans="1:44">
      <c r="G101" s="688">
        <v>3311.3</v>
      </c>
      <c r="H101" s="676">
        <f t="shared" si="56"/>
        <v>3.3113000000000001</v>
      </c>
      <c r="I101" s="677">
        <f t="shared" si="34"/>
        <v>40.830731754282496</v>
      </c>
      <c r="J101" s="678">
        <f t="shared" si="35"/>
        <v>1.5463025213911235</v>
      </c>
      <c r="K101" s="678">
        <f t="shared" si="36"/>
        <v>1.0000457965241369</v>
      </c>
      <c r="L101" s="679">
        <f t="shared" si="37"/>
        <v>9.5702430937895343E-3</v>
      </c>
      <c r="M101" s="678">
        <f t="shared" si="38"/>
        <v>1.0001580053880061</v>
      </c>
      <c r="N101" s="679">
        <f t="shared" si="39"/>
        <v>-1.7775521711535906E-2</v>
      </c>
      <c r="O101" s="677">
        <f t="shared" si="40"/>
        <v>37449.920684353172</v>
      </c>
      <c r="P101" s="680">
        <f t="shared" si="41"/>
        <v>1.5707696244686475</v>
      </c>
      <c r="Q101" s="689">
        <f t="shared" si="42"/>
        <v>17.75448006086296</v>
      </c>
      <c r="R101" s="690">
        <f t="shared" si="43"/>
        <v>1.5144426920260752</v>
      </c>
      <c r="S101" s="677">
        <f t="shared" si="44"/>
        <v>1.0095944652154145</v>
      </c>
      <c r="T101" s="680">
        <f t="shared" si="45"/>
        <v>0.13797374100101606</v>
      </c>
      <c r="U101" s="681">
        <f t="shared" si="57"/>
        <v>0.99786324911948088</v>
      </c>
      <c r="V101" s="682">
        <f t="shared" si="58"/>
        <v>-7.2594894848049346E-2</v>
      </c>
      <c r="W101" s="683">
        <f t="shared" si="46"/>
        <v>7.2116504285178546</v>
      </c>
      <c r="X101" s="684">
        <f t="shared" si="47"/>
        <v>-104.35872591377857</v>
      </c>
      <c r="Y101" s="687">
        <f t="shared" si="48"/>
        <v>75.641274086221429</v>
      </c>
      <c r="AA101" s="170">
        <f t="shared" si="49"/>
        <v>1000000000</v>
      </c>
      <c r="AB101" s="170">
        <f t="shared" si="50"/>
        <v>10964707.690000001</v>
      </c>
      <c r="AD101" s="686">
        <f t="shared" si="51"/>
        <v>38.539652007415754</v>
      </c>
      <c r="AE101" s="687">
        <f t="shared" si="52"/>
        <v>-11.132608557588108</v>
      </c>
      <c r="AG101" s="686">
        <f t="shared" si="53"/>
        <v>23.801219871729927</v>
      </c>
      <c r="AH101" s="687">
        <f t="shared" si="54"/>
        <v>-84.907355168706445</v>
      </c>
      <c r="AJ101" s="170">
        <f t="shared" si="55"/>
        <v>0</v>
      </c>
      <c r="AK101" s="170">
        <f t="shared" si="65"/>
        <v>0</v>
      </c>
      <c r="AM101" s="170" t="str">
        <f t="shared" si="59"/>
        <v>0.00538199797222605+0.103609990069874i</v>
      </c>
      <c r="AN101" s="170" t="str">
        <f t="shared" si="60"/>
        <v>0.103796267401469i</v>
      </c>
      <c r="AO101" s="170" t="str">
        <f t="shared" si="61"/>
        <v>0.998205356163006-0.051851556004507i</v>
      </c>
      <c r="AP101" s="170" t="str">
        <f t="shared" si="62"/>
        <v>0.165769667004629-0.0172683316783123i</v>
      </c>
      <c r="AQ101" s="170" t="str">
        <f t="shared" si="63"/>
        <v>0.834230332995371+0.0172683316783123i</v>
      </c>
      <c r="AR101" s="170" t="str">
        <f t="shared" si="64"/>
        <v>0.99809752478446-0.0206603361488849i</v>
      </c>
    </row>
    <row r="102" spans="1:44">
      <c r="G102" s="688">
        <v>3630.8</v>
      </c>
      <c r="H102" s="676">
        <f t="shared" si="56"/>
        <v>3.6308000000000002</v>
      </c>
      <c r="I102" s="677">
        <f t="shared" si="34"/>
        <v>44.768139390763885</v>
      </c>
      <c r="J102" s="678">
        <f t="shared" si="35"/>
        <v>1.5484571545273988</v>
      </c>
      <c r="K102" s="678">
        <f t="shared" si="36"/>
        <v>1.0000550602401095</v>
      </c>
      <c r="L102" s="679">
        <f t="shared" si="37"/>
        <v>1.0493589840453168E-2</v>
      </c>
      <c r="M102" s="678">
        <f t="shared" si="38"/>
        <v>1.0001899645454486</v>
      </c>
      <c r="N102" s="679">
        <f t="shared" si="39"/>
        <v>-1.9490227203165515E-2</v>
      </c>
      <c r="O102" s="677">
        <f t="shared" si="40"/>
        <v>41063.380549208305</v>
      </c>
      <c r="P102" s="680">
        <f t="shared" si="41"/>
        <v>1.5707719741968706</v>
      </c>
      <c r="Q102" s="689">
        <f t="shared" si="42"/>
        <v>19.462374362071369</v>
      </c>
      <c r="R102" s="690">
        <f t="shared" si="43"/>
        <v>1.5193924996241204</v>
      </c>
      <c r="S102" s="677">
        <f t="shared" si="44"/>
        <v>1.0115242196655911</v>
      </c>
      <c r="T102" s="680">
        <f t="shared" si="45"/>
        <v>0.15109350868528698</v>
      </c>
      <c r="U102" s="681">
        <f t="shared" si="57"/>
        <v>0.99751297072075595</v>
      </c>
      <c r="V102" s="682">
        <f t="shared" si="58"/>
        <v>-7.9585589100691717E-2</v>
      </c>
      <c r="W102" s="683">
        <f t="shared" si="46"/>
        <v>6.3904160889928265</v>
      </c>
      <c r="X102" s="684">
        <f t="shared" si="47"/>
        <v>-105.39629495402315</v>
      </c>
      <c r="Y102" s="687">
        <f t="shared" si="48"/>
        <v>74.603705045976852</v>
      </c>
      <c r="AA102" s="170">
        <f t="shared" si="49"/>
        <v>1000000000</v>
      </c>
      <c r="AB102" s="170">
        <f t="shared" si="50"/>
        <v>13182708.640000001</v>
      </c>
      <c r="AD102" s="686">
        <f t="shared" si="51"/>
        <v>38.520746828055024</v>
      </c>
      <c r="AE102" s="687">
        <f t="shared" si="52"/>
        <v>-11.600847419364408</v>
      </c>
      <c r="AG102" s="686">
        <f t="shared" si="53"/>
        <v>23.004989771011005</v>
      </c>
      <c r="AH102" s="687">
        <f t="shared" si="54"/>
        <v>-84.675610793173789</v>
      </c>
      <c r="AJ102" s="170">
        <f t="shared" si="55"/>
        <v>0</v>
      </c>
      <c r="AK102" s="170">
        <f t="shared" si="65"/>
        <v>0</v>
      </c>
      <c r="AM102" s="170" t="str">
        <f t="shared" si="59"/>
        <v>0.00646952262480105+0.113565798225564i</v>
      </c>
      <c r="AN102" s="170" t="str">
        <f t="shared" si="60"/>
        <v>0.113811339256863i</v>
      </c>
      <c r="AO102" s="170" t="str">
        <f t="shared" si="61"/>
        <v>0.997842560917899-0.056844271116078i</v>
      </c>
      <c r="AP102" s="170" t="str">
        <f t="shared" si="62"/>
        <v>0.165588412895866-0.018927633037594i</v>
      </c>
      <c r="AQ102" s="170" t="str">
        <f t="shared" si="63"/>
        <v>0.834411587104134+0.018927633037594i</v>
      </c>
      <c r="AR102" s="170" t="str">
        <f t="shared" si="64"/>
        <v>0.997794863868729-0.0226337880753164i</v>
      </c>
    </row>
    <row r="103" spans="1:44">
      <c r="G103" s="688">
        <v>3981.1</v>
      </c>
      <c r="H103" s="676">
        <f t="shared" si="56"/>
        <v>3.9811000000000001</v>
      </c>
      <c r="I103" s="677">
        <f t="shared" si="34"/>
        <v>49.08531427335793</v>
      </c>
      <c r="J103" s="678">
        <f t="shared" si="35"/>
        <v>1.5504222250465631</v>
      </c>
      <c r="K103" s="678">
        <f t="shared" si="36"/>
        <v>1.0000661968314926</v>
      </c>
      <c r="L103" s="679">
        <f t="shared" si="37"/>
        <v>1.1505927169507499E-2</v>
      </c>
      <c r="M103" s="678">
        <f t="shared" si="38"/>
        <v>1.0002283840292383</v>
      </c>
      <c r="N103" s="679">
        <f t="shared" si="39"/>
        <v>-2.1370099281642713E-2</v>
      </c>
      <c r="O103" s="677">
        <f t="shared" si="40"/>
        <v>45025.1802071989</v>
      </c>
      <c r="P103" s="680">
        <f t="shared" si="41"/>
        <v>1.5707741170003888</v>
      </c>
      <c r="Q103" s="689">
        <f t="shared" si="42"/>
        <v>21.335366777435279</v>
      </c>
      <c r="R103" s="690">
        <f t="shared" si="43"/>
        <v>1.5239086161684758</v>
      </c>
      <c r="S103" s="677">
        <f t="shared" si="44"/>
        <v>1.0138392803135441</v>
      </c>
      <c r="T103" s="680">
        <f t="shared" si="45"/>
        <v>0.16541788296612836</v>
      </c>
      <c r="U103" s="681">
        <f t="shared" si="57"/>
        <v>0.99709233296434097</v>
      </c>
      <c r="V103" s="682">
        <f t="shared" si="58"/>
        <v>-8.7245807307947815E-2</v>
      </c>
      <c r="W103" s="683">
        <f t="shared" si="46"/>
        <v>5.5657464121662246</v>
      </c>
      <c r="X103" s="684">
        <f t="shared" si="47"/>
        <v>-106.5595840019691</v>
      </c>
      <c r="Y103" s="687">
        <f t="shared" si="48"/>
        <v>73.4404159980309</v>
      </c>
      <c r="AA103" s="170">
        <f t="shared" si="49"/>
        <v>1000000000</v>
      </c>
      <c r="AB103" s="170">
        <f t="shared" si="50"/>
        <v>15849157.209999999</v>
      </c>
      <c r="AD103" s="686">
        <f t="shared" si="51"/>
        <v>38.498960901409184</v>
      </c>
      <c r="AE103" s="687">
        <f t="shared" si="52"/>
        <v>-12.162941966281796</v>
      </c>
      <c r="AG103" s="686">
        <f t="shared" si="53"/>
        <v>22.209433010640684</v>
      </c>
      <c r="AH103" s="687">
        <f t="shared" si="54"/>
        <v>-84.399008946349255</v>
      </c>
      <c r="AJ103" s="170">
        <f t="shared" si="55"/>
        <v>0</v>
      </c>
      <c r="AK103" s="170">
        <f t="shared" si="65"/>
        <v>0</v>
      </c>
      <c r="AM103" s="170" t="str">
        <f t="shared" si="59"/>
        <v>0.00777640574703398+0.124468224891838i</v>
      </c>
      <c r="AN103" s="170" t="str">
        <f t="shared" si="60"/>
        <v>0.124791870308334i</v>
      </c>
      <c r="AO103" s="170" t="str">
        <f t="shared" si="61"/>
        <v>0.997406518423866-0.0623150027948146i</v>
      </c>
      <c r="AP103" s="170" t="str">
        <f t="shared" si="62"/>
        <v>0.165370599042161-0.0207447041486397i</v>
      </c>
      <c r="AQ103" s="170" t="str">
        <f t="shared" si="63"/>
        <v>0.834629400957839+0.0207447041486397i</v>
      </c>
      <c r="AR103" s="170" t="str">
        <f t="shared" si="64"/>
        <v>0.997431571387024-0.0247911502197151i</v>
      </c>
    </row>
    <row r="104" spans="1:44">
      <c r="G104" s="688">
        <v>4365.2</v>
      </c>
      <c r="H104" s="676">
        <f t="shared" si="56"/>
        <v>4.3651999999999997</v>
      </c>
      <c r="I104" s="677">
        <f t="shared" si="34"/>
        <v>53.819229071696476</v>
      </c>
      <c r="J104" s="678">
        <f t="shared" si="35"/>
        <v>1.5522145379674868</v>
      </c>
      <c r="K104" s="678">
        <f t="shared" si="36"/>
        <v>1.0000795859518761</v>
      </c>
      <c r="L104" s="679">
        <f t="shared" si="37"/>
        <v>1.2615916452213473E-2</v>
      </c>
      <c r="M104" s="678">
        <f t="shared" si="38"/>
        <v>1.0002745729956186</v>
      </c>
      <c r="N104" s="679">
        <f t="shared" si="39"/>
        <v>-2.3431183711465908E-2</v>
      </c>
      <c r="O104" s="677">
        <f t="shared" si="40"/>
        <v>49369.248858935767</v>
      </c>
      <c r="P104" s="680">
        <f t="shared" si="41"/>
        <v>1.5707760712709991</v>
      </c>
      <c r="Q104" s="689">
        <f t="shared" si="42"/>
        <v>23.389498015121017</v>
      </c>
      <c r="R104" s="690">
        <f t="shared" si="43"/>
        <v>1.5280290598673034</v>
      </c>
      <c r="S104" s="677">
        <f t="shared" si="44"/>
        <v>1.0166156486630198</v>
      </c>
      <c r="T104" s="680">
        <f t="shared" si="45"/>
        <v>0.18104583795164161</v>
      </c>
      <c r="U104" s="681">
        <f t="shared" si="57"/>
        <v>0.99658727543088999</v>
      </c>
      <c r="V104" s="682">
        <f t="shared" si="58"/>
        <v>-9.5639381742550975E-2</v>
      </c>
      <c r="W104" s="683">
        <f t="shared" si="46"/>
        <v>4.7367861012148014</v>
      </c>
      <c r="X104" s="684">
        <f t="shared" si="47"/>
        <v>-107.85712989824854</v>
      </c>
      <c r="Y104" s="687">
        <f t="shared" si="48"/>
        <v>72.142870101751456</v>
      </c>
      <c r="AA104" s="170">
        <f t="shared" si="49"/>
        <v>1000000000</v>
      </c>
      <c r="AB104" s="170">
        <f t="shared" si="50"/>
        <v>19054971.039999999</v>
      </c>
      <c r="AD104" s="686">
        <f t="shared" si="51"/>
        <v>38.473601922782265</v>
      </c>
      <c r="AE104" s="687">
        <f t="shared" si="52"/>
        <v>-12.822385767919556</v>
      </c>
      <c r="AG104" s="686">
        <f t="shared" si="53"/>
        <v>21.414633241158676</v>
      </c>
      <c r="AH104" s="687">
        <f t="shared" si="54"/>
        <v>-84.075278259628561</v>
      </c>
      <c r="AJ104" s="170">
        <f t="shared" si="55"/>
        <v>0</v>
      </c>
      <c r="AK104" s="170">
        <f t="shared" si="65"/>
        <v>0</v>
      </c>
      <c r="AM104" s="170" t="str">
        <f t="shared" si="59"/>
        <v>0.009346887144556+0.136405315108389i</v>
      </c>
      <c r="AN104" s="170" t="str">
        <f t="shared" si="60"/>
        <v>0.136831898789264i</v>
      </c>
      <c r="AO104" s="170" t="str">
        <f t="shared" si="61"/>
        <v>0.996882425189963-0.0683092701867071i</v>
      </c>
      <c r="AP104" s="170" t="str">
        <f t="shared" si="62"/>
        <v>0.165108852142574-0.0227342191847315i</v>
      </c>
      <c r="AQ104" s="170" t="str">
        <f t="shared" si="63"/>
        <v>0.834891147857426+0.0227342191847315i</v>
      </c>
      <c r="AR104" s="170" t="str">
        <f t="shared" si="64"/>
        <v>0.996995603092791-0.0271483493687679i</v>
      </c>
    </row>
    <row r="105" spans="1:44">
      <c r="G105" s="688">
        <v>4786.3</v>
      </c>
      <c r="H105" s="676">
        <f t="shared" si="56"/>
        <v>4.7862999999999998</v>
      </c>
      <c r="I105" s="677">
        <f t="shared" si="34"/>
        <v>59.009322791649247</v>
      </c>
      <c r="J105" s="678">
        <f t="shared" si="35"/>
        <v>1.5538490407948162</v>
      </c>
      <c r="K105" s="678">
        <f t="shared" si="36"/>
        <v>1.0000956807254722</v>
      </c>
      <c r="L105" s="679">
        <f t="shared" si="37"/>
        <v>1.3832794156933177E-2</v>
      </c>
      <c r="M105" s="678">
        <f t="shared" si="38"/>
        <v>1.0003300937541852</v>
      </c>
      <c r="N105" s="679">
        <f t="shared" si="39"/>
        <v>-2.5690581082676203E-2</v>
      </c>
      <c r="O105" s="677">
        <f t="shared" si="40"/>
        <v>54131.777651738732</v>
      </c>
      <c r="P105" s="680">
        <f t="shared" si="41"/>
        <v>1.5707778533576027</v>
      </c>
      <c r="Q105" s="689">
        <f t="shared" si="42"/>
        <v>25.641881519686272</v>
      </c>
      <c r="R105" s="690">
        <f t="shared" si="43"/>
        <v>1.5317877362610173</v>
      </c>
      <c r="S105" s="677">
        <f t="shared" si="44"/>
        <v>1.019943107728509</v>
      </c>
      <c r="T105" s="680">
        <f t="shared" si="45"/>
        <v>0.19807681519319337</v>
      </c>
      <c r="U105" s="681">
        <f t="shared" si="57"/>
        <v>0.9959811080674259</v>
      </c>
      <c r="V105" s="682">
        <f t="shared" si="58"/>
        <v>-0.1048339142892496</v>
      </c>
      <c r="W105" s="683">
        <f t="shared" si="46"/>
        <v>3.9027413115275782</v>
      </c>
      <c r="X105" s="684">
        <f t="shared" si="47"/>
        <v>-109.29786882902394</v>
      </c>
      <c r="Y105" s="687">
        <f t="shared" si="48"/>
        <v>70.70213117097606</v>
      </c>
      <c r="AA105" s="170">
        <f t="shared" si="49"/>
        <v>1000000000</v>
      </c>
      <c r="AB105" s="170">
        <f t="shared" si="50"/>
        <v>22908667.690000001</v>
      </c>
      <c r="AD105" s="686">
        <f t="shared" si="51"/>
        <v>38.443883148816667</v>
      </c>
      <c r="AE105" s="687">
        <f t="shared" si="52"/>
        <v>-13.582934697838741</v>
      </c>
      <c r="AG105" s="686">
        <f t="shared" si="53"/>
        <v>20.620876705565856</v>
      </c>
      <c r="AH105" s="687">
        <f t="shared" si="54"/>
        <v>-83.701852440237815</v>
      </c>
      <c r="AJ105" s="170">
        <f t="shared" si="55"/>
        <v>0</v>
      </c>
      <c r="AK105" s="170">
        <f t="shared" si="65"/>
        <v>0</v>
      </c>
      <c r="AM105" s="170" t="str">
        <f t="shared" si="59"/>
        <v>0.011233664554794+0.149469508229131i</v>
      </c>
      <c r="AN105" s="170" t="str">
        <f t="shared" si="60"/>
        <v>0.150031732148597i</v>
      </c>
      <c r="AO105" s="170" t="str">
        <f t="shared" si="61"/>
        <v>0.996252633283543-0.0748752573466776i</v>
      </c>
      <c r="AP105" s="170" t="str">
        <f t="shared" si="62"/>
        <v>0.164794389240868-0.0249115847048552i</v>
      </c>
      <c r="AQ105" s="170" t="str">
        <f t="shared" si="63"/>
        <v>0.835205610759132+0.0249115847048552i</v>
      </c>
      <c r="AR105" s="170" t="str">
        <f t="shared" si="64"/>
        <v>0.996472695020735-0.0297216800609394i</v>
      </c>
    </row>
    <row r="106" spans="1:44">
      <c r="G106" s="688">
        <v>5248.1</v>
      </c>
      <c r="H106" s="676">
        <f t="shared" si="56"/>
        <v>5.2481</v>
      </c>
      <c r="I106" s="677">
        <f t="shared" si="34"/>
        <v>64.701198271062324</v>
      </c>
      <c r="J106" s="678">
        <f t="shared" si="35"/>
        <v>1.5553400470979248</v>
      </c>
      <c r="K106" s="678">
        <f t="shared" si="36"/>
        <v>1.0001150335780189</v>
      </c>
      <c r="L106" s="679">
        <f t="shared" si="37"/>
        <v>1.516723783891598E-2</v>
      </c>
      <c r="M106" s="678">
        <f t="shared" si="38"/>
        <v>1.0003968507308896</v>
      </c>
      <c r="N106" s="679">
        <f t="shared" si="39"/>
        <v>-2.8168050455550434E-2</v>
      </c>
      <c r="O106" s="677">
        <f t="shared" si="40"/>
        <v>59354.612599697954</v>
      </c>
      <c r="P106" s="680">
        <f t="shared" si="41"/>
        <v>1.5707794789046274</v>
      </c>
      <c r="Q106" s="689">
        <f t="shared" si="42"/>
        <v>28.112308060327038</v>
      </c>
      <c r="R106" s="690">
        <f t="shared" si="43"/>
        <v>1.5352172129097239</v>
      </c>
      <c r="S106" s="677">
        <f t="shared" si="44"/>
        <v>1.0239298996545059</v>
      </c>
      <c r="T106" s="680">
        <f t="shared" si="45"/>
        <v>0.21662061443260011</v>
      </c>
      <c r="U106" s="681">
        <f t="shared" si="57"/>
        <v>0.99525360511698824</v>
      </c>
      <c r="V106" s="682">
        <f t="shared" si="58"/>
        <v>-0.11490713429525669</v>
      </c>
      <c r="W106" s="683">
        <f t="shared" si="46"/>
        <v>3.0623113547972203</v>
      </c>
      <c r="X106" s="684">
        <f t="shared" si="47"/>
        <v>-110.89202077128539</v>
      </c>
      <c r="Y106" s="687">
        <f t="shared" si="48"/>
        <v>69.107979228714612</v>
      </c>
      <c r="AA106" s="170">
        <f t="shared" si="49"/>
        <v>1000000000</v>
      </c>
      <c r="AB106" s="170">
        <f t="shared" si="50"/>
        <v>27542553.610000003</v>
      </c>
      <c r="AD106" s="686">
        <f t="shared" si="51"/>
        <v>38.408886173165385</v>
      </c>
      <c r="AE106" s="687">
        <f t="shared" si="52"/>
        <v>-14.449014730458661</v>
      </c>
      <c r="AG106" s="686">
        <f t="shared" si="53"/>
        <v>19.82813737748145</v>
      </c>
      <c r="AH106" s="687">
        <f t="shared" si="54"/>
        <v>-83.275618363658452</v>
      </c>
      <c r="AJ106" s="170">
        <f t="shared" si="55"/>
        <v>0</v>
      </c>
      <c r="AK106" s="170">
        <f t="shared" si="65"/>
        <v>0</v>
      </c>
      <c r="AM106" s="170" t="str">
        <f t="shared" si="59"/>
        <v>0.013500845593072+0.163766352937397i</v>
      </c>
      <c r="AN106" s="170" t="str">
        <f t="shared" si="60"/>
        <v>0.164507350874172i</v>
      </c>
      <c r="AO106" s="170" t="str">
        <f t="shared" si="61"/>
        <v>0.995495654553809-0.0820683423648254i</v>
      </c>
      <c r="AP106" s="170" t="str">
        <f t="shared" si="62"/>
        <v>0.164416525734488-0.0272943921562328i</v>
      </c>
      <c r="AQ106" s="170" t="str">
        <f t="shared" si="63"/>
        <v>0.835583474265512+0.0272943921562328i</v>
      </c>
      <c r="AR106" s="170" t="str">
        <f t="shared" si="64"/>
        <v>0.995845605329959-0.0325293657857815i</v>
      </c>
    </row>
    <row r="107" spans="1:44">
      <c r="G107" s="688">
        <v>5370.3</v>
      </c>
      <c r="H107" s="676">
        <f t="shared" si="56"/>
        <v>5.3703000000000003</v>
      </c>
      <c r="I107" s="677">
        <f t="shared" si="34"/>
        <v>66.207385125315199</v>
      </c>
      <c r="J107" s="678">
        <f t="shared" si="35"/>
        <v>1.5556916972419905</v>
      </c>
      <c r="K107" s="678">
        <f t="shared" si="36"/>
        <v>1.0001204526454928</v>
      </c>
      <c r="L107" s="679">
        <f t="shared" si="37"/>
        <v>1.5520345101550695E-2</v>
      </c>
      <c r="M107" s="678">
        <f t="shared" si="38"/>
        <v>1.0004155430446204</v>
      </c>
      <c r="N107" s="679">
        <f t="shared" si="39"/>
        <v>-2.8823573648749632E-2</v>
      </c>
      <c r="O107" s="677">
        <f t="shared" si="40"/>
        <v>60736.66203809427</v>
      </c>
      <c r="P107" s="680">
        <f t="shared" si="41"/>
        <v>1.5707798622746796</v>
      </c>
      <c r="Q107" s="689">
        <f t="shared" si="42"/>
        <v>28.766073535286619</v>
      </c>
      <c r="R107" s="690">
        <f t="shared" si="43"/>
        <v>1.5360261479096924</v>
      </c>
      <c r="S107" s="677">
        <f t="shared" si="44"/>
        <v>1.0250434916719153</v>
      </c>
      <c r="T107" s="680">
        <f t="shared" si="45"/>
        <v>0.2215029371665809</v>
      </c>
      <c r="U107" s="681">
        <f t="shared" si="57"/>
        <v>0.99505016188695983</v>
      </c>
      <c r="V107" s="682">
        <f t="shared" si="58"/>
        <v>-0.11757081198820592</v>
      </c>
      <c r="W107" s="683">
        <f t="shared" si="46"/>
        <v>2.8511741816526244</v>
      </c>
      <c r="X107" s="684">
        <f t="shared" si="47"/>
        <v>-111.31552337812268</v>
      </c>
      <c r="Y107" s="687">
        <f t="shared" si="48"/>
        <v>68.684476621877323</v>
      </c>
      <c r="AA107" s="170">
        <f t="shared" si="49"/>
        <v>1000000000</v>
      </c>
      <c r="AB107" s="170">
        <f t="shared" si="50"/>
        <v>28840122.090000004</v>
      </c>
      <c r="AD107" s="686">
        <f t="shared" si="51"/>
        <v>38.399197572069298</v>
      </c>
      <c r="AE107" s="687">
        <f t="shared" si="52"/>
        <v>-14.682424621690609</v>
      </c>
      <c r="AG107" s="686">
        <f t="shared" si="53"/>
        <v>19.63024019387743</v>
      </c>
      <c r="AH107" s="687">
        <f t="shared" si="54"/>
        <v>-83.160476099336748</v>
      </c>
      <c r="AJ107" s="170">
        <f t="shared" si="55"/>
        <v>0</v>
      </c>
      <c r="AK107" s="170">
        <f t="shared" si="65"/>
        <v>0</v>
      </c>
      <c r="AM107" s="170" t="str">
        <f t="shared" si="59"/>
        <v>0.014135386826024+0.167543918097094i</v>
      </c>
      <c r="AN107" s="170" t="str">
        <f t="shared" si="60"/>
        <v>0.16833784158068i</v>
      </c>
      <c r="AO107" s="170" t="str">
        <f t="shared" si="61"/>
        <v>0.995283749178847-0.0839703461402009i</v>
      </c>
      <c r="AP107" s="170" t="str">
        <f t="shared" si="62"/>
        <v>0.164310768862329-0.0279239863495157i</v>
      </c>
      <c r="AQ107" s="170" t="str">
        <f t="shared" si="63"/>
        <v>0.835689231137671+0.0279239863495157i</v>
      </c>
      <c r="AR107" s="170" t="str">
        <f t="shared" si="64"/>
        <v>0.995670337555437-0.0332696460341673i</v>
      </c>
    </row>
    <row r="108" spans="1:44">
      <c r="G108" s="688">
        <v>5432.85</v>
      </c>
      <c r="H108" s="676">
        <f t="shared" si="56"/>
        <v>5.4328500000000002</v>
      </c>
      <c r="I108" s="677">
        <f t="shared" si="34"/>
        <v>66.978353715217239</v>
      </c>
      <c r="J108" s="678">
        <f t="shared" si="35"/>
        <v>1.5558655752900878</v>
      </c>
      <c r="K108" s="678">
        <f t="shared" si="36"/>
        <v>1.0001232747312194</v>
      </c>
      <c r="L108" s="679">
        <f t="shared" si="37"/>
        <v>1.5701087138705532E-2</v>
      </c>
      <c r="M108" s="678">
        <f t="shared" si="38"/>
        <v>1.0004252773356055</v>
      </c>
      <c r="N108" s="679">
        <f t="shared" si="39"/>
        <v>-2.9159103996438323E-2</v>
      </c>
      <c r="O108" s="677">
        <f t="shared" si="40"/>
        <v>61444.085870926494</v>
      </c>
      <c r="P108" s="680">
        <f t="shared" si="41"/>
        <v>1.5707800518355435</v>
      </c>
      <c r="Q108" s="689">
        <f t="shared" si="42"/>
        <v>29.100720755302433</v>
      </c>
      <c r="R108" s="690">
        <f t="shared" si="43"/>
        <v>1.5364261501800864</v>
      </c>
      <c r="S108" s="677">
        <f t="shared" si="44"/>
        <v>1.0256229401656898</v>
      </c>
      <c r="T108" s="680">
        <f t="shared" si="45"/>
        <v>0.22399789848119567</v>
      </c>
      <c r="U108" s="681">
        <f t="shared" si="57"/>
        <v>0.9949442611347773</v>
      </c>
      <c r="V108" s="682">
        <f t="shared" si="58"/>
        <v>-0.11893394329738841</v>
      </c>
      <c r="W108" s="683">
        <f t="shared" si="46"/>
        <v>2.7447692485514548</v>
      </c>
      <c r="X108" s="684">
        <f t="shared" si="47"/>
        <v>-111.53249941705049</v>
      </c>
      <c r="Y108" s="687">
        <f t="shared" si="48"/>
        <v>68.467500582949512</v>
      </c>
      <c r="AA108" s="170">
        <f t="shared" si="49"/>
        <v>1000000000</v>
      </c>
      <c r="AB108" s="170">
        <f t="shared" si="50"/>
        <v>29515859.122500002</v>
      </c>
      <c r="AD108" s="686">
        <f t="shared" si="51"/>
        <v>38.394168741122215</v>
      </c>
      <c r="AE108" s="687">
        <f t="shared" si="52"/>
        <v>-14.80246779435185</v>
      </c>
      <c r="AG108" s="686">
        <f t="shared" si="53"/>
        <v>19.530713026044513</v>
      </c>
      <c r="AH108" s="687">
        <f t="shared" si="54"/>
        <v>-83.101205623548225</v>
      </c>
      <c r="AJ108" s="170">
        <f t="shared" si="55"/>
        <v>0</v>
      </c>
      <c r="AK108" s="170">
        <f t="shared" si="65"/>
        <v>0</v>
      </c>
      <c r="AM108" s="170" t="str">
        <f t="shared" si="59"/>
        <v>0.014465784496459+0.16947657676452i</v>
      </c>
      <c r="AN108" s="170" t="str">
        <f t="shared" si="60"/>
        <v>0.170298538746736i</v>
      </c>
      <c r="AO108" s="170" t="str">
        <f t="shared" si="61"/>
        <v>0.995173405548486-0.0849436795107924i</v>
      </c>
      <c r="AP108" s="170" t="str">
        <f t="shared" si="62"/>
        <v>0.164255702583923-0.02824609612742i</v>
      </c>
      <c r="AQ108" s="170" t="str">
        <f t="shared" si="63"/>
        <v>0.835744297416077+0.02824609612742i</v>
      </c>
      <c r="AR108" s="170" t="str">
        <f t="shared" si="64"/>
        <v>0.995579119798366-0.0336481189368818i</v>
      </c>
    </row>
    <row r="109" spans="1:44">
      <c r="G109" s="688">
        <v>5495.4</v>
      </c>
      <c r="H109" s="676">
        <f t="shared" si="56"/>
        <v>5.4954000000000001</v>
      </c>
      <c r="I109" s="677">
        <f t="shared" si="34"/>
        <v>67.749324284026599</v>
      </c>
      <c r="J109" s="678">
        <f t="shared" si="35"/>
        <v>1.5560354959647849</v>
      </c>
      <c r="K109" s="678">
        <f t="shared" si="36"/>
        <v>1.000126129488472</v>
      </c>
      <c r="L109" s="679">
        <f t="shared" si="37"/>
        <v>1.5881828149945588E-2</v>
      </c>
      <c r="M109" s="678">
        <f t="shared" si="38"/>
        <v>1.0004351242528833</v>
      </c>
      <c r="N109" s="679">
        <f t="shared" si="39"/>
        <v>-2.9494627776894707E-2</v>
      </c>
      <c r="O109" s="677">
        <f t="shared" si="40"/>
        <v>62151.509703760865</v>
      </c>
      <c r="P109" s="680">
        <f t="shared" si="41"/>
        <v>1.5707802370811501</v>
      </c>
      <c r="Q109" s="689">
        <f t="shared" si="42"/>
        <v>29.435372525615154</v>
      </c>
      <c r="R109" s="690">
        <f t="shared" si="43"/>
        <v>1.5368170572324984</v>
      </c>
      <c r="S109" s="677">
        <f t="shared" si="44"/>
        <v>1.0262087657569341</v>
      </c>
      <c r="T109" s="680">
        <f t="shared" si="45"/>
        <v>0.22649002672725521</v>
      </c>
      <c r="U109" s="681">
        <f t="shared" si="57"/>
        <v>0.9948371666030863</v>
      </c>
      <c r="V109" s="682">
        <f t="shared" si="58"/>
        <v>-0.12029685870331408</v>
      </c>
      <c r="W109" s="683">
        <f t="shared" si="46"/>
        <v>2.6394586001118396</v>
      </c>
      <c r="X109" s="684">
        <f t="shared" si="47"/>
        <v>-111.74959457483192</v>
      </c>
      <c r="Y109" s="687">
        <f t="shared" si="48"/>
        <v>68.250405425168083</v>
      </c>
      <c r="AA109" s="170">
        <f t="shared" si="49"/>
        <v>1000000000</v>
      </c>
      <c r="AB109" s="170">
        <f t="shared" si="50"/>
        <v>30199421.159999996</v>
      </c>
      <c r="AD109" s="686">
        <f t="shared" si="51"/>
        <v>38.389092782809648</v>
      </c>
      <c r="AE109" s="687">
        <f t="shared" si="52"/>
        <v>-14.922869514500306</v>
      </c>
      <c r="AG109" s="686">
        <f t="shared" si="53"/>
        <v>19.432348312732085</v>
      </c>
      <c r="AH109" s="687">
        <f t="shared" si="54"/>
        <v>-83.041720459816958</v>
      </c>
      <c r="AJ109" s="170">
        <f t="shared" si="55"/>
        <v>0</v>
      </c>
      <c r="AK109" s="170">
        <f t="shared" si="65"/>
        <v>0</v>
      </c>
      <c r="AM109" s="170" t="str">
        <f t="shared" si="59"/>
        <v>0.01479997088776+0.171408583907695i</v>
      </c>
      <c r="AN109" s="170" t="str">
        <f t="shared" si="60"/>
        <v>0.172259235912793i</v>
      </c>
      <c r="AO109" s="170" t="str">
        <f t="shared" si="61"/>
        <v>0.995061791603856-0.0859168497371749i</v>
      </c>
      <c r="AP109" s="170" t="str">
        <f t="shared" si="62"/>
        <v>0.16420000485204-0.0285680973179492i</v>
      </c>
      <c r="AQ109" s="170" t="str">
        <f t="shared" si="63"/>
        <v>0.83579999514796+0.0285680973179492i</v>
      </c>
      <c r="AR109" s="170" t="str">
        <f t="shared" si="64"/>
        <v>0.995486885257819-0.034026281863944i</v>
      </c>
    </row>
    <row r="110" spans="1:44">
      <c r="G110" s="688">
        <v>5559.4</v>
      </c>
      <c r="H110" s="676">
        <f t="shared" si="56"/>
        <v>5.5593999999999992</v>
      </c>
      <c r="I110" s="677">
        <f t="shared" si="34"/>
        <v>68.538169050851721</v>
      </c>
      <c r="J110" s="678">
        <f t="shared" si="35"/>
        <v>1.5562053988891791</v>
      </c>
      <c r="K110" s="678">
        <f t="shared" si="36"/>
        <v>1.0001290842392241</v>
      </c>
      <c r="L110" s="679">
        <f t="shared" si="37"/>
        <v>1.6066757926603364E-2</v>
      </c>
      <c r="M110" s="678">
        <f t="shared" si="38"/>
        <v>1.0004453160053772</v>
      </c>
      <c r="N110" s="679">
        <f t="shared" si="39"/>
        <v>-2.9837922610768522E-2</v>
      </c>
      <c r="O110" s="677">
        <f t="shared" si="40"/>
        <v>62875.332650228251</v>
      </c>
      <c r="P110" s="680">
        <f t="shared" si="41"/>
        <v>1.5707804223064765</v>
      </c>
      <c r="Q110" s="689">
        <f t="shared" si="42"/>
        <v>29.777786560554947</v>
      </c>
      <c r="R110" s="690">
        <f t="shared" si="43"/>
        <v>1.5372079318763139</v>
      </c>
      <c r="S110" s="677">
        <f t="shared" si="44"/>
        <v>1.0268147608087885</v>
      </c>
      <c r="T110" s="680">
        <f t="shared" si="45"/>
        <v>0.2290369665887721</v>
      </c>
      <c r="U110" s="681">
        <f t="shared" si="57"/>
        <v>0.99472635500836504</v>
      </c>
      <c r="V110" s="682">
        <f t="shared" si="58"/>
        <v>-0.12169114250783587</v>
      </c>
      <c r="W110" s="683">
        <f t="shared" si="46"/>
        <v>2.5328121877600522</v>
      </c>
      <c r="X110" s="684">
        <f t="shared" si="47"/>
        <v>-111.97183357238268</v>
      </c>
      <c r="Y110" s="687">
        <f t="shared" si="48"/>
        <v>68.028166427617322</v>
      </c>
      <c r="AA110" s="170">
        <f t="shared" si="49"/>
        <v>1000000000</v>
      </c>
      <c r="AB110" s="170">
        <f t="shared" si="50"/>
        <v>30906928.359999996</v>
      </c>
      <c r="AD110" s="686">
        <f t="shared" si="51"/>
        <v>38.383850376980739</v>
      </c>
      <c r="AE110" s="687">
        <f t="shared" si="52"/>
        <v>-15.04641356460019</v>
      </c>
      <c r="AG110" s="686">
        <f t="shared" si="53"/>
        <v>19.332879398550627</v>
      </c>
      <c r="AH110" s="687">
        <f t="shared" si="54"/>
        <v>-82.980642252200155</v>
      </c>
      <c r="AJ110" s="170">
        <f t="shared" si="55"/>
        <v>0</v>
      </c>
      <c r="AK110" s="170">
        <f t="shared" si="65"/>
        <v>0</v>
      </c>
      <c r="AM110" s="170" t="str">
        <f t="shared" si="59"/>
        <v>0.015145824346641+0.173384695686048i</v>
      </c>
      <c r="AN110" s="170" t="str">
        <f t="shared" si="60"/>
        <v>0.174265384891651i</v>
      </c>
      <c r="AO110" s="170" t="str">
        <f t="shared" si="61"/>
        <v>0.994946275726814-0.0869124086579665i</v>
      </c>
      <c r="AP110" s="170" t="str">
        <f t="shared" si="62"/>
        <v>0.164142362608893-0.028897449281008i</v>
      </c>
      <c r="AQ110" s="170" t="str">
        <f t="shared" si="63"/>
        <v>0.835857637391107+0.028897449281008i</v>
      </c>
      <c r="AR110" s="170" t="str">
        <f t="shared" si="64"/>
        <v>0.995391461571488-0.0344128868227968i</v>
      </c>
    </row>
    <row r="111" spans="1:44">
      <c r="G111" s="688">
        <v>5623.4</v>
      </c>
      <c r="H111" s="676">
        <f t="shared" si="56"/>
        <v>5.6233999999999993</v>
      </c>
      <c r="I111" s="677">
        <f t="shared" si="34"/>
        <v>69.327015751143435</v>
      </c>
      <c r="J111" s="678">
        <f t="shared" si="35"/>
        <v>1.556371435292079</v>
      </c>
      <c r="K111" s="678">
        <f t="shared" si="36"/>
        <v>1.00013207319321</v>
      </c>
      <c r="L111" s="679">
        <f t="shared" si="37"/>
        <v>1.6251686604238286E-2</v>
      </c>
      <c r="M111" s="678">
        <f t="shared" si="38"/>
        <v>1.0004556256592845</v>
      </c>
      <c r="N111" s="679">
        <f t="shared" si="39"/>
        <v>-3.01812104098204E-2</v>
      </c>
      <c r="O111" s="677">
        <f t="shared" si="40"/>
        <v>63599.155596697739</v>
      </c>
      <c r="P111" s="680">
        <f t="shared" si="41"/>
        <v>1.5707806033156986</v>
      </c>
      <c r="Q111" s="689">
        <f t="shared" si="42"/>
        <v>30.120205041592921</v>
      </c>
      <c r="R111" s="690">
        <f t="shared" si="43"/>
        <v>1.5375899193402922</v>
      </c>
      <c r="S111" s="677">
        <f t="shared" si="44"/>
        <v>1.0274274088254827</v>
      </c>
      <c r="T111" s="680">
        <f t="shared" si="45"/>
        <v>0.23158088549009165</v>
      </c>
      <c r="U111" s="681">
        <f t="shared" si="57"/>
        <v>0.99461429600273998</v>
      </c>
      <c r="V111" s="682">
        <f t="shared" si="58"/>
        <v>-0.12308519522082051</v>
      </c>
      <c r="W111" s="683">
        <f t="shared" si="46"/>
        <v>2.4272572223273916</v>
      </c>
      <c r="X111" s="684">
        <f t="shared" si="47"/>
        <v>-112.19417332196657</v>
      </c>
      <c r="Y111" s="687">
        <f t="shared" si="48"/>
        <v>67.805826678033426</v>
      </c>
      <c r="AA111" s="170">
        <f t="shared" si="49"/>
        <v>1000000000</v>
      </c>
      <c r="AB111" s="170">
        <f t="shared" si="50"/>
        <v>31622627.559999995</v>
      </c>
      <c r="AD111" s="686">
        <f t="shared" si="51"/>
        <v>38.378558644442627</v>
      </c>
      <c r="AE111" s="687">
        <f t="shared" si="52"/>
        <v>-15.170293482762517</v>
      </c>
      <c r="AG111" s="686">
        <f t="shared" si="53"/>
        <v>19.234573260649029</v>
      </c>
      <c r="AH111" s="687">
        <f t="shared" si="54"/>
        <v>-82.919355409693637</v>
      </c>
      <c r="AJ111" s="170">
        <f t="shared" si="55"/>
        <v>0</v>
      </c>
      <c r="AK111" s="170">
        <f t="shared" si="65"/>
        <v>0</v>
      </c>
      <c r="AM111" s="170" t="str">
        <f t="shared" si="59"/>
        <v>0.015495641481524+0.175360109654742i</v>
      </c>
      <c r="AN111" s="170" t="str">
        <f t="shared" si="60"/>
        <v>0.17627153387051i</v>
      </c>
      <c r="AO111" s="170" t="str">
        <f t="shared" si="61"/>
        <v>0.994829430505566-0.087907792831185i</v>
      </c>
      <c r="AP111" s="170" t="str">
        <f t="shared" si="62"/>
        <v>0.164084059753079-0.029226684942457i</v>
      </c>
      <c r="AQ111" s="170" t="str">
        <f t="shared" si="63"/>
        <v>0.835915940246921+0.029226684942457i</v>
      </c>
      <c r="AR111" s="170" t="str">
        <f t="shared" si="64"/>
        <v>0.995294976267099-0.0347991601734214i</v>
      </c>
    </row>
    <row r="112" spans="1:44">
      <c r="G112" s="688">
        <v>5688.9</v>
      </c>
      <c r="H112" s="676">
        <f t="shared" si="56"/>
        <v>5.6888999999999994</v>
      </c>
      <c r="I112" s="677">
        <f t="shared" si="34"/>
        <v>70.134352979864161</v>
      </c>
      <c r="J112" s="678">
        <f t="shared" si="35"/>
        <v>1.5565374957937586</v>
      </c>
      <c r="K112" s="678">
        <f t="shared" si="36"/>
        <v>1.000135167615571</v>
      </c>
      <c r="L112" s="679">
        <f t="shared" si="37"/>
        <v>1.6440948396604312E-2</v>
      </c>
      <c r="M112" s="678">
        <f t="shared" si="38"/>
        <v>1.0004662990206696</v>
      </c>
      <c r="N112" s="679">
        <f t="shared" si="39"/>
        <v>-3.0532536648387031E-2</v>
      </c>
      <c r="O112" s="677">
        <f t="shared" si="40"/>
        <v>64339.943143477227</v>
      </c>
      <c r="P112" s="680">
        <f t="shared" si="41"/>
        <v>1.5707807843503252</v>
      </c>
      <c r="Q112" s="689">
        <f t="shared" si="42"/>
        <v>30.470653402993339</v>
      </c>
      <c r="R112" s="690">
        <f t="shared" si="43"/>
        <v>1.5379719701126695</v>
      </c>
      <c r="S112" s="677">
        <f t="shared" si="44"/>
        <v>1.0280612920530594</v>
      </c>
      <c r="T112" s="680">
        <f t="shared" si="45"/>
        <v>0.2341812708043346</v>
      </c>
      <c r="U112" s="681">
        <f t="shared" si="57"/>
        <v>0.99449832027029161</v>
      </c>
      <c r="V112" s="682">
        <f t="shared" si="58"/>
        <v>-0.12451167909877907</v>
      </c>
      <c r="W112" s="683">
        <f t="shared" si="46"/>
        <v>2.3203313116205613</v>
      </c>
      <c r="X112" s="684">
        <f t="shared" si="47"/>
        <v>-112.4218165819607</v>
      </c>
      <c r="Y112" s="687">
        <f t="shared" si="48"/>
        <v>67.578183418039302</v>
      </c>
      <c r="AA112" s="170">
        <f t="shared" si="49"/>
        <v>1000000000</v>
      </c>
      <c r="AB112" s="170">
        <f t="shared" si="50"/>
        <v>32363583.209999997</v>
      </c>
      <c r="AD112" s="686">
        <f t="shared" si="51"/>
        <v>38.373091837033357</v>
      </c>
      <c r="AE112" s="687">
        <f t="shared" si="52"/>
        <v>-15.297405062224801</v>
      </c>
      <c r="AG112" s="686">
        <f t="shared" si="53"/>
        <v>19.135139889641618</v>
      </c>
      <c r="AH112" s="687">
        <f t="shared" si="54"/>
        <v>-82.856424078537728</v>
      </c>
      <c r="AJ112" s="170">
        <f t="shared" si="55"/>
        <v>0</v>
      </c>
      <c r="AK112" s="170">
        <f t="shared" si="65"/>
        <v>0</v>
      </c>
      <c r="AM112" s="170" t="str">
        <f t="shared" si="59"/>
        <v>0.0158577600988909+0.177381091558341i</v>
      </c>
      <c r="AN112" s="170" t="str">
        <f t="shared" si="60"/>
        <v>0.17832470196606i</v>
      </c>
      <c r="AO112" s="170" t="str">
        <f t="shared" si="61"/>
        <v>0.994708470574657-0.088926323297089i</v>
      </c>
      <c r="AP112" s="170" t="str">
        <f t="shared" si="62"/>
        <v>0.164023706650185-0.0295635152597235i</v>
      </c>
      <c r="AQ112" s="170" t="str">
        <f t="shared" si="63"/>
        <v>0.835976293349815+0.0295635152597235i</v>
      </c>
      <c r="AR112" s="170" t="str">
        <f t="shared" si="64"/>
        <v>0.995195131885518-0.0351941397165776i</v>
      </c>
    </row>
    <row r="113" spans="7:44">
      <c r="G113" s="688">
        <v>5754.4</v>
      </c>
      <c r="H113" s="676">
        <f t="shared" si="56"/>
        <v>5.7543999999999995</v>
      </c>
      <c r="I113" s="677">
        <f t="shared" si="34"/>
        <v>70.941692098596405</v>
      </c>
      <c r="J113" s="678">
        <f t="shared" si="35"/>
        <v>1.556699776656713</v>
      </c>
      <c r="K113" s="678">
        <f t="shared" si="36"/>
        <v>1.000138297862577</v>
      </c>
      <c r="L113" s="679">
        <f t="shared" si="37"/>
        <v>1.6630209011041147E-2</v>
      </c>
      <c r="M113" s="678">
        <f t="shared" si="38"/>
        <v>1.0004770958670925</v>
      </c>
      <c r="N113" s="679">
        <f t="shared" si="39"/>
        <v>-3.0883855347503038E-2</v>
      </c>
      <c r="O113" s="677">
        <f t="shared" si="40"/>
        <v>65080.730690258766</v>
      </c>
      <c r="P113" s="680">
        <f t="shared" si="41"/>
        <v>1.5707809612636643</v>
      </c>
      <c r="Q113" s="689">
        <f t="shared" si="42"/>
        <v>30.821106110833465</v>
      </c>
      <c r="R113" s="690">
        <f t="shared" si="43"/>
        <v>1.5383453326891563</v>
      </c>
      <c r="S113" s="677">
        <f t="shared" si="44"/>
        <v>1.0287021184402787</v>
      </c>
      <c r="T113" s="680">
        <f t="shared" si="45"/>
        <v>0.23677843386058819</v>
      </c>
      <c r="U113" s="681">
        <f t="shared" si="57"/>
        <v>0.99438104055007348</v>
      </c>
      <c r="V113" s="682">
        <f t="shared" si="58"/>
        <v>-0.1259379155146923</v>
      </c>
      <c r="W113" s="683">
        <f t="shared" si="46"/>
        <v>2.2144944816565326</v>
      </c>
      <c r="X113" s="684">
        <f t="shared" si="47"/>
        <v>-112.64954168062921</v>
      </c>
      <c r="Y113" s="687">
        <f t="shared" si="48"/>
        <v>67.350458319370787</v>
      </c>
      <c r="AA113" s="170">
        <f t="shared" si="49"/>
        <v>1000000000</v>
      </c>
      <c r="AB113" s="170">
        <f t="shared" si="50"/>
        <v>33113119.359999996</v>
      </c>
      <c r="AD113" s="686">
        <f t="shared" si="51"/>
        <v>38.367573425320657</v>
      </c>
      <c r="AE113" s="687">
        <f t="shared" si="52"/>
        <v>-15.42482958072789</v>
      </c>
      <c r="AG113" s="686">
        <f t="shared" si="53"/>
        <v>19.036870220505683</v>
      </c>
      <c r="AH113" s="687">
        <f t="shared" si="54"/>
        <v>-82.793290004077022</v>
      </c>
      <c r="AJ113" s="170">
        <f t="shared" si="55"/>
        <v>0</v>
      </c>
      <c r="AK113" s="170">
        <f t="shared" si="65"/>
        <v>0</v>
      </c>
      <c r="AM113" s="170" t="str">
        <f t="shared" si="59"/>
        <v>0.016224027365655+0.179401325712347i</v>
      </c>
      <c r="AN113" s="170" t="str">
        <f t="shared" si="60"/>
        <v>0.18037787006161i</v>
      </c>
      <c r="AO113" s="170" t="str">
        <f t="shared" si="61"/>
        <v>0.994586118857433-0.0899446664943627i</v>
      </c>
      <c r="AP113" s="170" t="str">
        <f t="shared" si="62"/>
        <v>0.163962662105724-0.0299002209520578i</v>
      </c>
      <c r="AQ113" s="170" t="str">
        <f t="shared" si="63"/>
        <v>0.836037337894276+0.0299002209520578i</v>
      </c>
      <c r="AR113" s="170" t="str">
        <f t="shared" si="64"/>
        <v>0.995094178661656-0.0355887643547477i</v>
      </c>
    </row>
    <row r="114" spans="7:44">
      <c r="G114" s="688">
        <v>5821.4</v>
      </c>
      <c r="H114" s="676">
        <f t="shared" si="56"/>
        <v>5.8213999999999997</v>
      </c>
      <c r="I114" s="677">
        <f t="shared" si="34"/>
        <v>71.767521788372363</v>
      </c>
      <c r="J114" s="678">
        <f t="shared" si="35"/>
        <v>1.5568619963799588</v>
      </c>
      <c r="K114" s="678">
        <f t="shared" si="36"/>
        <v>1.0001415368589353</v>
      </c>
      <c r="L114" s="679">
        <f t="shared" si="37"/>
        <v>1.6823802605197797E-2</v>
      </c>
      <c r="M114" s="678">
        <f t="shared" si="38"/>
        <v>1.0004882677246425</v>
      </c>
      <c r="N114" s="679">
        <f t="shared" si="39"/>
        <v>-3.1243211622441043E-2</v>
      </c>
      <c r="O114" s="677">
        <f t="shared" si="40"/>
        <v>65838.482837350341</v>
      </c>
      <c r="P114" s="680">
        <f t="shared" si="41"/>
        <v>1.570781138109542</v>
      </c>
      <c r="Q114" s="689">
        <f t="shared" si="42"/>
        <v>31.179588797298987</v>
      </c>
      <c r="R114" s="690">
        <f t="shared" si="43"/>
        <v>1.538718561938577</v>
      </c>
      <c r="S114" s="677">
        <f t="shared" si="44"/>
        <v>1.0293647902073335</v>
      </c>
      <c r="T114" s="680">
        <f t="shared" si="45"/>
        <v>0.23943170992546262</v>
      </c>
      <c r="U114" s="681">
        <f t="shared" si="57"/>
        <v>0.99425972729408518</v>
      </c>
      <c r="V114" s="682">
        <f t="shared" si="58"/>
        <v>-0.12739655495853944</v>
      </c>
      <c r="W114" s="683">
        <f t="shared" si="46"/>
        <v>2.1073336063921242</v>
      </c>
      <c r="X114" s="684">
        <f t="shared" si="47"/>
        <v>-112.88255476450468</v>
      </c>
      <c r="Y114" s="687">
        <f t="shared" si="48"/>
        <v>67.117445235495325</v>
      </c>
      <c r="AA114" s="170">
        <f t="shared" si="49"/>
        <v>1000000000</v>
      </c>
      <c r="AB114" s="170">
        <f t="shared" si="50"/>
        <v>33888697.959999993</v>
      </c>
      <c r="AD114" s="686">
        <f t="shared" si="51"/>
        <v>38.361875297925764</v>
      </c>
      <c r="AE114" s="687">
        <f t="shared" si="52"/>
        <v>-15.555476773017327</v>
      </c>
      <c r="AG114" s="686">
        <f t="shared" si="53"/>
        <v>18.937526937491761</v>
      </c>
      <c r="AH114" s="687">
        <f t="shared" si="54"/>
        <v>-82.728508127544558</v>
      </c>
      <c r="AJ114" s="170">
        <f t="shared" si="55"/>
        <v>0</v>
      </c>
      <c r="AK114" s="170">
        <f t="shared" si="65"/>
        <v>0</v>
      </c>
      <c r="AM114" s="170" t="str">
        <f t="shared" si="59"/>
        <v>0.0166029730708021+0.181467042260609i</v>
      </c>
      <c r="AN114" s="170" t="str">
        <f t="shared" si="60"/>
        <v>0.182478057273853i</v>
      </c>
      <c r="AO114" s="170" t="str">
        <f t="shared" si="61"/>
        <v>0.994459525554206-0.0909861345459486i</v>
      </c>
      <c r="AP114" s="170" t="str">
        <f t="shared" si="62"/>
        <v>0.1638995044882-0.0302445070434348i</v>
      </c>
      <c r="AQ114" s="170" t="str">
        <f t="shared" si="63"/>
        <v>0.8361004955118+0.0302445070434348i</v>
      </c>
      <c r="AR114" s="170" t="str">
        <f t="shared" si="64"/>
        <v>0.994989767981029-0.0359920550309291i</v>
      </c>
    </row>
    <row r="115" spans="7:44">
      <c r="G115" s="688">
        <v>5888.4</v>
      </c>
      <c r="H115" s="676">
        <f t="shared" si="56"/>
        <v>5.8883999999999999</v>
      </c>
      <c r="I115" s="677">
        <f t="shared" si="34"/>
        <v>72.593353323758421</v>
      </c>
      <c r="J115" s="678">
        <f t="shared" si="35"/>
        <v>1.5570205252414819</v>
      </c>
      <c r="K115" s="678">
        <f t="shared" si="36"/>
        <v>1.0001448133388344</v>
      </c>
      <c r="L115" s="679">
        <f t="shared" si="37"/>
        <v>1.7017394938182596E-2</v>
      </c>
      <c r="M115" s="678">
        <f t="shared" si="38"/>
        <v>1.0004995687792835</v>
      </c>
      <c r="N115" s="679">
        <f t="shared" si="39"/>
        <v>-3.1602559825629074E-2</v>
      </c>
      <c r="O115" s="677">
        <f t="shared" si="40"/>
        <v>66596.23498444393</v>
      </c>
      <c r="P115" s="680">
        <f t="shared" si="41"/>
        <v>1.5707813109310078</v>
      </c>
      <c r="Q115" s="689">
        <f t="shared" si="42"/>
        <v>31.538075728345056</v>
      </c>
      <c r="R115" s="690">
        <f t="shared" si="43"/>
        <v>1.5390833063949969</v>
      </c>
      <c r="S115" s="677">
        <f t="shared" si="44"/>
        <v>1.0300346992187641</v>
      </c>
      <c r="T115" s="680">
        <f t="shared" si="45"/>
        <v>0.24208155337494297</v>
      </c>
      <c r="U115" s="681">
        <f t="shared" si="57"/>
        <v>0.99413705246371842</v>
      </c>
      <c r="V115" s="682">
        <f t="shared" si="58"/>
        <v>-0.12885492970006804</v>
      </c>
      <c r="W115" s="683">
        <f t="shared" si="46"/>
        <v>2.001258236400616</v>
      </c>
      <c r="X115" s="684">
        <f t="shared" si="47"/>
        <v>-113.11563005891009</v>
      </c>
      <c r="Y115" s="687">
        <f t="shared" si="48"/>
        <v>66.884369941089915</v>
      </c>
      <c r="AA115" s="170">
        <f t="shared" si="49"/>
        <v>1000000000</v>
      </c>
      <c r="AB115" s="170">
        <f t="shared" si="50"/>
        <v>34673254.559999995</v>
      </c>
      <c r="AD115" s="686">
        <f t="shared" si="51"/>
        <v>38.356123289995324</v>
      </c>
      <c r="AE115" s="687">
        <f t="shared" si="52"/>
        <v>-15.686413203179505</v>
      </c>
      <c r="AG115" s="686">
        <f t="shared" si="53"/>
        <v>18.839347091352924</v>
      </c>
      <c r="AH115" s="687">
        <f t="shared" si="54"/>
        <v>-82.663529556320682</v>
      </c>
      <c r="AJ115" s="170">
        <f t="shared" si="55"/>
        <v>0</v>
      </c>
      <c r="AK115" s="170">
        <f t="shared" si="65"/>
        <v>0</v>
      </c>
      <c r="AM115" s="170" t="str">
        <f t="shared" si="59"/>
        <v>0.016986256328514+0.183531958396817i</v>
      </c>
      <c r="AN115" s="170" t="str">
        <f t="shared" si="60"/>
        <v>0.184578244486095i</v>
      </c>
      <c r="AO115" s="170" t="str">
        <f t="shared" si="61"/>
        <v>0.994331476647256-0.0920274021231881i</v>
      </c>
      <c r="AP115" s="170" t="str">
        <f t="shared" si="62"/>
        <v>0.163835623945248-0.0305886597328028i</v>
      </c>
      <c r="AQ115" s="170" t="str">
        <f t="shared" si="63"/>
        <v>0.836164376054752+0.0305886597328028i</v>
      </c>
      <c r="AR115" s="170" t="str">
        <f t="shared" si="64"/>
        <v>0.994884200502672-0.036394966293954i</v>
      </c>
    </row>
    <row r="116" spans="7:44">
      <c r="G116" s="688">
        <v>5957</v>
      </c>
      <c r="H116" s="676">
        <f t="shared" si="56"/>
        <v>5.9569999999999999</v>
      </c>
      <c r="I116" s="677">
        <f t="shared" si="34"/>
        <v>73.438908056466929</v>
      </c>
      <c r="J116" s="678">
        <f t="shared" si="35"/>
        <v>1.557179145770053</v>
      </c>
      <c r="K116" s="678">
        <f t="shared" si="36"/>
        <v>1.0001482068995675</v>
      </c>
      <c r="L116" s="679">
        <f t="shared" si="37"/>
        <v>1.7215609049807332E-2</v>
      </c>
      <c r="M116" s="678">
        <f t="shared" si="38"/>
        <v>1.0005112735671691</v>
      </c>
      <c r="N116" s="679">
        <f t="shared" si="39"/>
        <v>-3.1970481018621634E-2</v>
      </c>
      <c r="O116" s="677">
        <f t="shared" si="40"/>
        <v>67372.082705201479</v>
      </c>
      <c r="P116" s="680">
        <f t="shared" si="41"/>
        <v>1.5707814838516494</v>
      </c>
      <c r="Q116" s="689">
        <f t="shared" si="42"/>
        <v>31.905127789739417</v>
      </c>
      <c r="R116" s="690">
        <f t="shared" si="43"/>
        <v>1.5394482686134863</v>
      </c>
      <c r="S116" s="677">
        <f t="shared" si="44"/>
        <v>1.0307280898718127</v>
      </c>
      <c r="T116" s="680">
        <f t="shared" si="45"/>
        <v>0.24479108828109961</v>
      </c>
      <c r="U116" s="681">
        <f t="shared" si="57"/>
        <v>0.99401003886359418</v>
      </c>
      <c r="V116" s="682">
        <f t="shared" si="58"/>
        <v>-0.1303478539978509</v>
      </c>
      <c r="W116" s="683">
        <f t="shared" si="46"/>
        <v>1.8937473529892923</v>
      </c>
      <c r="X116" s="684">
        <f t="shared" si="47"/>
        <v>-113.35432413431337</v>
      </c>
      <c r="Y116" s="687">
        <f t="shared" si="48"/>
        <v>66.645675865686627</v>
      </c>
      <c r="AA116" s="170">
        <f t="shared" si="49"/>
        <v>1000000000</v>
      </c>
      <c r="AB116" s="170">
        <f t="shared" si="50"/>
        <v>35485849</v>
      </c>
      <c r="AD116" s="686">
        <f t="shared" si="51"/>
        <v>38.350178172726487</v>
      </c>
      <c r="AE116" s="687">
        <f t="shared" si="52"/>
        <v>-15.820757230720943</v>
      </c>
      <c r="AG116" s="686">
        <f t="shared" si="53"/>
        <v>18.740000931837187</v>
      </c>
      <c r="AH116" s="687">
        <f t="shared" si="54"/>
        <v>-82.596803081196057</v>
      </c>
      <c r="AJ116" s="170">
        <f t="shared" si="55"/>
        <v>0</v>
      </c>
      <c r="AK116" s="170">
        <f t="shared" si="65"/>
        <v>0</v>
      </c>
      <c r="AM116" s="170" t="str">
        <f t="shared" si="59"/>
        <v>0.017383185017963+0.185645347139534i</v>
      </c>
      <c r="AN116" s="170" t="str">
        <f t="shared" si="60"/>
        <v>0.186728585422809i</v>
      </c>
      <c r="AO116" s="170" t="str">
        <f t="shared" si="61"/>
        <v>0.994198862049845-0.0930933256876675i</v>
      </c>
      <c r="AP116" s="170" t="str">
        <f t="shared" si="62"/>
        <v>0.163769469163673-0.0309408911899223i</v>
      </c>
      <c r="AQ116" s="170" t="str">
        <f t="shared" si="63"/>
        <v>0.836230530836327+0.0309408911899223i</v>
      </c>
      <c r="AR116" s="170" t="str">
        <f t="shared" si="64"/>
        <v>0.994774915275132-0.0368071019617154i</v>
      </c>
    </row>
    <row r="117" spans="7:44">
      <c r="G117" s="688">
        <v>6025.6</v>
      </c>
      <c r="H117" s="676">
        <f t="shared" si="56"/>
        <v>6.0256000000000007</v>
      </c>
      <c r="I117" s="677">
        <f t="shared" si="34"/>
        <v>74.284464594868197</v>
      </c>
      <c r="J117" s="678">
        <f t="shared" si="35"/>
        <v>1.5573341552479512</v>
      </c>
      <c r="K117" s="678">
        <f t="shared" si="36"/>
        <v>1.0001516397546899</v>
      </c>
      <c r="L117" s="679">
        <f t="shared" si="37"/>
        <v>1.7413821808545248E-2</v>
      </c>
      <c r="M117" s="678">
        <f t="shared" si="38"/>
        <v>1.0005231137870885</v>
      </c>
      <c r="N117" s="679">
        <f t="shared" si="39"/>
        <v>-3.2338393553435651E-2</v>
      </c>
      <c r="O117" s="677">
        <f t="shared" si="40"/>
        <v>68147.930425960993</v>
      </c>
      <c r="P117" s="680">
        <f t="shared" si="41"/>
        <v>1.5707816528349716</v>
      </c>
      <c r="Q117" s="689">
        <f t="shared" si="42"/>
        <v>32.272184004145544</v>
      </c>
      <c r="R117" s="690">
        <f t="shared" si="43"/>
        <v>1.5398049288900801</v>
      </c>
      <c r="S117" s="677">
        <f t="shared" si="44"/>
        <v>1.0314290374903528</v>
      </c>
      <c r="T117" s="680">
        <f t="shared" si="45"/>
        <v>0.24749696029111184</v>
      </c>
      <c r="U117" s="681">
        <f t="shared" si="57"/>
        <v>0.99388160097407152</v>
      </c>
      <c r="V117" s="682">
        <f t="shared" si="58"/>
        <v>-0.13184049462133915</v>
      </c>
      <c r="W117" s="683">
        <f t="shared" si="46"/>
        <v>1.7873203969369869</v>
      </c>
      <c r="X117" s="684">
        <f t="shared" si="47"/>
        <v>-113.59306021200203</v>
      </c>
      <c r="Y117" s="687">
        <f t="shared" si="48"/>
        <v>66.40693978799797</v>
      </c>
      <c r="AA117" s="170">
        <f t="shared" si="49"/>
        <v>1000000000</v>
      </c>
      <c r="AB117" s="170">
        <f t="shared" si="50"/>
        <v>36307855.360000007</v>
      </c>
      <c r="AD117" s="686">
        <f t="shared" si="51"/>
        <v>38.344176740448404</v>
      </c>
      <c r="AE117" s="687">
        <f t="shared" si="52"/>
        <v>-15.955366830413421</v>
      </c>
      <c r="AG117" s="686">
        <f t="shared" si="53"/>
        <v>18.641820193066202</v>
      </c>
      <c r="AH117" s="687">
        <f t="shared" si="54"/>
        <v>-82.529885542885523</v>
      </c>
      <c r="AJ117" s="170">
        <f t="shared" si="55"/>
        <v>0</v>
      </c>
      <c r="AK117" s="170">
        <f t="shared" si="65"/>
        <v>0</v>
      </c>
      <c r="AM117" s="170" t="str">
        <f t="shared" si="59"/>
        <v>0.017784657292547+0.187757877464783i</v>
      </c>
      <c r="AN117" s="170" t="str">
        <f t="shared" si="60"/>
        <v>0.188878926359523i</v>
      </c>
      <c r="AO117" s="170" t="str">
        <f t="shared" si="61"/>
        <v>0.994064722219957-0.0941590342307149i</v>
      </c>
      <c r="AP117" s="170" t="str">
        <f t="shared" si="62"/>
        <v>0.163702557117909-0.0312929795774638i</v>
      </c>
      <c r="AQ117" s="170" t="str">
        <f t="shared" si="63"/>
        <v>0.836297442882091+0.0312929795774638i</v>
      </c>
      <c r="AR117" s="170" t="str">
        <f t="shared" si="64"/>
        <v>0.994664421077945-0.0372188312664857i</v>
      </c>
    </row>
    <row r="118" spans="7:44">
      <c r="G118" s="688">
        <v>6095.8</v>
      </c>
      <c r="H118" s="676">
        <f t="shared" si="56"/>
        <v>6.0958000000000006</v>
      </c>
      <c r="I118" s="677">
        <f t="shared" si="34"/>
        <v>75.149744374333849</v>
      </c>
      <c r="J118" s="678">
        <f t="shared" si="35"/>
        <v>1.5574891689017578</v>
      </c>
      <c r="K118" s="678">
        <f t="shared" si="36"/>
        <v>1.0001551933557902</v>
      </c>
      <c r="L118" s="679">
        <f t="shared" si="37"/>
        <v>1.7616656188566969E-2</v>
      </c>
      <c r="M118" s="678">
        <f t="shared" si="38"/>
        <v>1.0005353703657418</v>
      </c>
      <c r="N118" s="679">
        <f t="shared" si="39"/>
        <v>-3.2714878071589071E-2</v>
      </c>
      <c r="O118" s="677">
        <f t="shared" si="40"/>
        <v>68941.873720384494</v>
      </c>
      <c r="P118" s="680">
        <f t="shared" si="41"/>
        <v>1.570781821822141</v>
      </c>
      <c r="Q118" s="689">
        <f t="shared" si="42"/>
        <v>32.647805449733035</v>
      </c>
      <c r="R118" s="690">
        <f t="shared" si="43"/>
        <v>1.5401616051739015</v>
      </c>
      <c r="S118" s="677">
        <f t="shared" si="44"/>
        <v>1.0321541410821635</v>
      </c>
      <c r="T118" s="680">
        <f t="shared" si="45"/>
        <v>0.25026211746893773</v>
      </c>
      <c r="U118" s="681">
        <f t="shared" si="57"/>
        <v>0.99374869460020521</v>
      </c>
      <c r="V118" s="682">
        <f t="shared" si="58"/>
        <v>-0.13336765209095391</v>
      </c>
      <c r="W118" s="683">
        <f t="shared" si="46"/>
        <v>1.6795062632140432</v>
      </c>
      <c r="X118" s="684">
        <f t="shared" si="47"/>
        <v>-113.83739641061486</v>
      </c>
      <c r="Y118" s="687">
        <f t="shared" si="48"/>
        <v>66.162603589385142</v>
      </c>
      <c r="AA118" s="170">
        <f t="shared" si="49"/>
        <v>1000000000</v>
      </c>
      <c r="AB118" s="170">
        <f t="shared" si="50"/>
        <v>37158777.640000001</v>
      </c>
      <c r="AD118" s="686">
        <f t="shared" si="51"/>
        <v>38.337977139165304</v>
      </c>
      <c r="AE118" s="687">
        <f t="shared" si="52"/>
        <v>-16.093372303087058</v>
      </c>
      <c r="AG118" s="686">
        <f t="shared" si="53"/>
        <v>18.54252884940022</v>
      </c>
      <c r="AH118" s="687">
        <f t="shared" si="54"/>
        <v>-82.461216913303076</v>
      </c>
      <c r="AJ118" s="170">
        <f t="shared" si="55"/>
        <v>0</v>
      </c>
      <c r="AK118" s="170">
        <f t="shared" si="65"/>
        <v>0</v>
      </c>
      <c r="AM118" s="170" t="str">
        <f t="shared" si="59"/>
        <v>0.0182001951952619+0.189918780760033i</v>
      </c>
      <c r="AN118" s="170" t="str">
        <f t="shared" si="60"/>
        <v>0.191079421020708i</v>
      </c>
      <c r="AO118" s="170" t="str">
        <f t="shared" si="61"/>
        <v>0.993925875144089-0.0952493737841579i</v>
      </c>
      <c r="AP118" s="170" t="str">
        <f t="shared" si="62"/>
        <v>0.16363330080079-0.0316531301266722i</v>
      </c>
      <c r="AQ118" s="170" t="str">
        <f t="shared" si="63"/>
        <v>0.83636669919921+0.0316531301266722i</v>
      </c>
      <c r="AR118" s="170" t="str">
        <f t="shared" si="64"/>
        <v>0.994550100165289-0.0376397383685509i</v>
      </c>
    </row>
    <row r="119" spans="7:44">
      <c r="G119" s="688">
        <v>6166</v>
      </c>
      <c r="H119" s="676">
        <f t="shared" si="56"/>
        <v>6.1660000000000004</v>
      </c>
      <c r="I119" s="677">
        <f t="shared" si="34"/>
        <v>76.015025918479509</v>
      </c>
      <c r="J119" s="678">
        <f t="shared" si="35"/>
        <v>1.5576406535080805</v>
      </c>
      <c r="K119" s="678">
        <f t="shared" si="36"/>
        <v>1.0001587881047675</v>
      </c>
      <c r="L119" s="679">
        <f t="shared" si="37"/>
        <v>1.7819489118887706E-2</v>
      </c>
      <c r="M119" s="678">
        <f t="shared" si="38"/>
        <v>1.0005477687573849</v>
      </c>
      <c r="N119" s="679">
        <f t="shared" si="39"/>
        <v>-3.3091353312609172E-2</v>
      </c>
      <c r="O119" s="677">
        <f t="shared" si="40"/>
        <v>69735.817014809931</v>
      </c>
      <c r="P119" s="680">
        <f t="shared" si="41"/>
        <v>1.5707819869614674</v>
      </c>
      <c r="Q119" s="689">
        <f t="shared" si="42"/>
        <v>33.023430954223279</v>
      </c>
      <c r="R119" s="690">
        <f t="shared" si="43"/>
        <v>1.5405101674618835</v>
      </c>
      <c r="S119" s="677">
        <f t="shared" si="44"/>
        <v>1.0328871255060614</v>
      </c>
      <c r="T119" s="680">
        <f t="shared" si="45"/>
        <v>0.25302337116815765</v>
      </c>
      <c r="U119" s="681">
        <f t="shared" si="57"/>
        <v>0.9936143001073684</v>
      </c>
      <c r="V119" s="682">
        <f t="shared" si="58"/>
        <v>-0.134894505897446</v>
      </c>
      <c r="W119" s="683">
        <f t="shared" si="46"/>
        <v>1.5727732044236955</v>
      </c>
      <c r="X119" s="684">
        <f t="shared" si="47"/>
        <v>-114.08175358700885</v>
      </c>
      <c r="Y119" s="687">
        <f t="shared" si="48"/>
        <v>65.918246412991152</v>
      </c>
      <c r="AA119" s="170">
        <f t="shared" si="49"/>
        <v>1000000000</v>
      </c>
      <c r="AB119" s="170">
        <f t="shared" si="50"/>
        <v>38019556</v>
      </c>
      <c r="AD119" s="686">
        <f t="shared" si="51"/>
        <v>38.331718792718142</v>
      </c>
      <c r="AE119" s="687">
        <f t="shared" si="52"/>
        <v>-16.23161880016287</v>
      </c>
      <c r="AG119" s="686">
        <f t="shared" si="53"/>
        <v>18.444403653954822</v>
      </c>
      <c r="AH119" s="687">
        <f t="shared" si="54"/>
        <v>-82.392363034330387</v>
      </c>
      <c r="AJ119" s="170">
        <f t="shared" si="55"/>
        <v>0</v>
      </c>
      <c r="AK119" s="170">
        <f t="shared" si="65"/>
        <v>0</v>
      </c>
      <c r="AM119" s="170" t="str">
        <f t="shared" si="59"/>
        <v>0.01862048714425+0.192078764435349i</v>
      </c>
      <c r="AN119" s="170" t="str">
        <f t="shared" si="60"/>
        <v>0.193279915681894i</v>
      </c>
      <c r="AO119" s="170" t="str">
        <f t="shared" si="61"/>
        <v>0.993785431650737-0.0963394829646768i</v>
      </c>
      <c r="AP119" s="170" t="str">
        <f t="shared" si="62"/>
        <v>0.163563252142625-0.0320131274058915i</v>
      </c>
      <c r="AQ119" s="170" t="str">
        <f t="shared" si="63"/>
        <v>0.836436747857375+0.0320131274058915i</v>
      </c>
      <c r="AR119" s="170" t="str">
        <f t="shared" si="64"/>
        <v>0.994434517320012-0.0380602107467546i</v>
      </c>
    </row>
    <row r="120" spans="7:44">
      <c r="G120" s="688">
        <v>6237.8</v>
      </c>
      <c r="H120" s="676">
        <f t="shared" si="56"/>
        <v>6.2378</v>
      </c>
      <c r="I120" s="677">
        <f t="shared" si="34"/>
        <v>76.900030742681309</v>
      </c>
      <c r="J120" s="678">
        <f t="shared" si="35"/>
        <v>1.5577920642993088</v>
      </c>
      <c r="K120" s="678">
        <f t="shared" si="36"/>
        <v>1.0001625073502132</v>
      </c>
      <c r="L120" s="679">
        <f t="shared" si="37"/>
        <v>1.802694350496007E-2</v>
      </c>
      <c r="M120" s="678">
        <f t="shared" si="38"/>
        <v>1.0005605964260893</v>
      </c>
      <c r="N120" s="679">
        <f t="shared" si="39"/>
        <v>-3.3476399478321671E-2</v>
      </c>
      <c r="O120" s="677">
        <f t="shared" si="40"/>
        <v>70547.855882899385</v>
      </c>
      <c r="P120" s="680">
        <f t="shared" si="41"/>
        <v>1.5707821520196676</v>
      </c>
      <c r="Q120" s="689">
        <f t="shared" si="42"/>
        <v>33.407621779792429</v>
      </c>
      <c r="R120" s="690">
        <f t="shared" si="43"/>
        <v>1.5408585658711003</v>
      </c>
      <c r="S120" s="677">
        <f t="shared" si="44"/>
        <v>1.0336449509609791</v>
      </c>
      <c r="T120" s="680">
        <f t="shared" si="45"/>
        <v>0.25584348629667214</v>
      </c>
      <c r="U120" s="681">
        <f t="shared" si="57"/>
        <v>0.99347530492306801</v>
      </c>
      <c r="V120" s="682">
        <f t="shared" si="58"/>
        <v>-0.13645584219535797</v>
      </c>
      <c r="W120" s="683">
        <f t="shared" si="46"/>
        <v>1.464698792166764</v>
      </c>
      <c r="X120" s="684">
        <f t="shared" si="47"/>
        <v>-114.331690419631</v>
      </c>
      <c r="Y120" s="687">
        <f t="shared" si="48"/>
        <v>65.668309580368998</v>
      </c>
      <c r="AA120" s="170">
        <f t="shared" si="49"/>
        <v>1000000000</v>
      </c>
      <c r="AB120" s="170">
        <f t="shared" si="50"/>
        <v>38910148.840000004</v>
      </c>
      <c r="AD120" s="686">
        <f t="shared" si="51"/>
        <v>38.325257173555379</v>
      </c>
      <c r="AE120" s="687">
        <f t="shared" si="52"/>
        <v>-16.373247193630625</v>
      </c>
      <c r="AG120" s="686">
        <f t="shared" si="53"/>
        <v>18.345221142474465</v>
      </c>
      <c r="AH120" s="687">
        <f t="shared" si="54"/>
        <v>-82.321755512738491</v>
      </c>
      <c r="AJ120" s="170">
        <f t="shared" si="55"/>
        <v>0</v>
      </c>
      <c r="AK120" s="170">
        <f t="shared" si="65"/>
        <v>0</v>
      </c>
      <c r="AM120" s="170" t="str">
        <f t="shared" si="59"/>
        <v>0.019055274088132+0.194287016307552i</v>
      </c>
      <c r="AN120" s="170" t="str">
        <f t="shared" si="60"/>
        <v>0.195530564067551i</v>
      </c>
      <c r="AO120" s="170" t="str">
        <f t="shared" si="61"/>
        <v>0.993640136180605-0.0974541968873412i</v>
      </c>
      <c r="AP120" s="170" t="str">
        <f t="shared" si="62"/>
        <v>0.163490787651978-0.032381169384592i</v>
      </c>
      <c r="AQ120" s="170" t="str">
        <f t="shared" si="63"/>
        <v>0.836509212348022+0.032381169384592i</v>
      </c>
      <c r="AR120" s="170" t="str">
        <f t="shared" si="64"/>
        <v>0.994314996893739-0.0384898120197401i</v>
      </c>
    </row>
    <row r="121" spans="7:44">
      <c r="G121" s="688">
        <v>6309.6</v>
      </c>
      <c r="H121" s="676">
        <f t="shared" si="56"/>
        <v>6.3096000000000005</v>
      </c>
      <c r="I121" s="677">
        <f t="shared" si="34"/>
        <v>77.785037289717593</v>
      </c>
      <c r="J121" s="678">
        <f t="shared" si="35"/>
        <v>1.5579400297129489</v>
      </c>
      <c r="K121" s="678">
        <f t="shared" si="36"/>
        <v>1.0001662696396538</v>
      </c>
      <c r="L121" s="679">
        <f t="shared" si="37"/>
        <v>1.8234396339213203E-2</v>
      </c>
      <c r="M121" s="678">
        <f t="shared" si="38"/>
        <v>1.0005735724346414</v>
      </c>
      <c r="N121" s="679">
        <f t="shared" si="39"/>
        <v>-3.3861435714122208E-2</v>
      </c>
      <c r="O121" s="677">
        <f t="shared" si="40"/>
        <v>71359.894750990745</v>
      </c>
      <c r="P121" s="680">
        <f t="shared" si="41"/>
        <v>1.5707823133213128</v>
      </c>
      <c r="Q121" s="689">
        <f t="shared" si="42"/>
        <v>33.791816568220028</v>
      </c>
      <c r="R121" s="690">
        <f t="shared" si="43"/>
        <v>1.5411990421156265</v>
      </c>
      <c r="S121" s="677">
        <f t="shared" si="44"/>
        <v>1.0344109849619645</v>
      </c>
      <c r="T121" s="680">
        <f t="shared" si="45"/>
        <v>0.25865944691548459</v>
      </c>
      <c r="U121" s="681">
        <f t="shared" si="57"/>
        <v>0.99333475671068938</v>
      </c>
      <c r="V121" s="682">
        <f t="shared" si="58"/>
        <v>-0.13801685378810161</v>
      </c>
      <c r="W121" s="683">
        <f t="shared" si="46"/>
        <v>1.3577014175935251</v>
      </c>
      <c r="X121" s="684">
        <f t="shared" si="47"/>
        <v>-114.58162641788819</v>
      </c>
      <c r="Y121" s="687">
        <f t="shared" si="48"/>
        <v>65.418373582111812</v>
      </c>
      <c r="AA121" s="170">
        <f t="shared" si="49"/>
        <v>1000000000</v>
      </c>
      <c r="AB121" s="170">
        <f t="shared" si="50"/>
        <v>39811052.160000004</v>
      </c>
      <c r="AD121" s="686">
        <f t="shared" si="51"/>
        <v>38.318734388473317</v>
      </c>
      <c r="AE121" s="687">
        <f t="shared" si="52"/>
        <v>-16.515091242593385</v>
      </c>
      <c r="AG121" s="686">
        <f t="shared" si="53"/>
        <v>18.247204334503841</v>
      </c>
      <c r="AH121" s="687">
        <f t="shared" si="54"/>
        <v>-82.250968709758112</v>
      </c>
      <c r="AJ121" s="170">
        <f t="shared" si="55"/>
        <v>0</v>
      </c>
      <c r="AK121" s="170">
        <f t="shared" si="65"/>
        <v>0</v>
      </c>
      <c r="AM121" s="170" t="str">
        <f t="shared" si="59"/>
        <v>0.019495029925142+0.196494284035188i</v>
      </c>
      <c r="AN121" s="170" t="str">
        <f t="shared" si="60"/>
        <v>0.197781212453207i</v>
      </c>
      <c r="AO121" s="170" t="str">
        <f t="shared" si="61"/>
        <v>0.99349317156035-0.0985686642494131i</v>
      </c>
      <c r="AP121" s="170" t="str">
        <f t="shared" si="62"/>
        <v>0.163417495012476-0.032749047339198i</v>
      </c>
      <c r="AQ121" s="170" t="str">
        <f t="shared" si="63"/>
        <v>0.836582504987524+0.032749047339198i</v>
      </c>
      <c r="AR121" s="170" t="str">
        <f t="shared" si="64"/>
        <v>0.994194160822647-0.0389189487504531i</v>
      </c>
    </row>
    <row r="122" spans="7:44">
      <c r="G122" s="688">
        <v>6383.05</v>
      </c>
      <c r="H122" s="676">
        <f t="shared" si="56"/>
        <v>6.3830499999999999</v>
      </c>
      <c r="I122" s="677">
        <f t="shared" si="34"/>
        <v>78.690383453009062</v>
      </c>
      <c r="J122" s="678">
        <f t="shared" si="35"/>
        <v>1.5580879515937802</v>
      </c>
      <c r="K122" s="678">
        <f t="shared" si="36"/>
        <v>1.0001701629270052</v>
      </c>
      <c r="L122" s="679">
        <f t="shared" si="37"/>
        <v>1.8446614919291903E-2</v>
      </c>
      <c r="M122" s="678">
        <f t="shared" si="38"/>
        <v>1.0005870001247614</v>
      </c>
      <c r="N122" s="679">
        <f t="shared" si="39"/>
        <v>-3.4255309882219677E-2</v>
      </c>
      <c r="O122" s="677">
        <f t="shared" si="40"/>
        <v>72190.594679423113</v>
      </c>
      <c r="P122" s="680">
        <f t="shared" si="41"/>
        <v>1.5707824745748882</v>
      </c>
      <c r="Q122" s="689">
        <f t="shared" si="42"/>
        <v>34.184844306713011</v>
      </c>
      <c r="R122" s="690">
        <f t="shared" si="43"/>
        <v>1.5415394237551485</v>
      </c>
      <c r="S122" s="677">
        <f t="shared" si="44"/>
        <v>1.0352030974755326</v>
      </c>
      <c r="T122" s="680">
        <f t="shared" si="45"/>
        <v>0.26153578401188332</v>
      </c>
      <c r="U122" s="681">
        <f t="shared" si="57"/>
        <v>0.99318937363810722</v>
      </c>
      <c r="V122" s="682">
        <f t="shared" si="58"/>
        <v>-0.13961339852310822</v>
      </c>
      <c r="W122" s="683">
        <f t="shared" si="46"/>
        <v>1.2493326928930411</v>
      </c>
      <c r="X122" s="684">
        <f t="shared" si="47"/>
        <v>-114.83729387514929</v>
      </c>
      <c r="Y122" s="687">
        <f t="shared" si="48"/>
        <v>65.162706124850715</v>
      </c>
      <c r="AA122" s="170">
        <f t="shared" si="49"/>
        <v>1000000000</v>
      </c>
      <c r="AB122" s="170">
        <f t="shared" si="50"/>
        <v>40743327.302500002</v>
      </c>
      <c r="AD122" s="686">
        <f t="shared" si="51"/>
        <v>38.311998583733882</v>
      </c>
      <c r="AE122" s="687">
        <f t="shared" si="52"/>
        <v>-16.66040002662093</v>
      </c>
      <c r="AG122" s="686">
        <f t="shared" si="53"/>
        <v>18.148114109708995</v>
      </c>
      <c r="AH122" s="687">
        <f t="shared" si="54"/>
        <v>-82.178376832543165</v>
      </c>
      <c r="AJ122" s="170">
        <f t="shared" si="55"/>
        <v>0</v>
      </c>
      <c r="AK122" s="170">
        <f t="shared" si="65"/>
        <v>0</v>
      </c>
      <c r="AM122" s="170" t="str">
        <f t="shared" si="59"/>
        <v>0.019950030735705+0.198751245895602i</v>
      </c>
      <c r="AN122" s="170" t="str">
        <f t="shared" si="60"/>
        <v>0.200083581867225i</v>
      </c>
      <c r="AO122" s="170" t="str">
        <f t="shared" si="61"/>
        <v>0.993341102957128-0.0997084845719315i</v>
      </c>
      <c r="AP122" s="170" t="str">
        <f t="shared" si="62"/>
        <v>0.163341661544049-0.033125207649267i</v>
      </c>
      <c r="AQ122" s="170" t="str">
        <f t="shared" si="63"/>
        <v>0.836658338455951+0.033125207649267i</v>
      </c>
      <c r="AR122" s="170" t="str">
        <f t="shared" si="64"/>
        <v>0.994069188925887-0.0393574614479768i</v>
      </c>
    </row>
    <row r="123" spans="7:44">
      <c r="G123" s="688">
        <v>6456.5</v>
      </c>
      <c r="H123" s="676">
        <f t="shared" si="56"/>
        <v>6.4565000000000001</v>
      </c>
      <c r="I123" s="677">
        <f t="shared" si="34"/>
        <v>79.595731298946689</v>
      </c>
      <c r="J123" s="678">
        <f t="shared" si="35"/>
        <v>1.5582325084541391</v>
      </c>
      <c r="K123" s="678">
        <f t="shared" si="36"/>
        <v>1.0001741012583942</v>
      </c>
      <c r="L123" s="679">
        <f t="shared" si="37"/>
        <v>1.8658831837644878E-2</v>
      </c>
      <c r="M123" s="678">
        <f t="shared" si="38"/>
        <v>1.0006005830386269</v>
      </c>
      <c r="N123" s="679">
        <f t="shared" si="39"/>
        <v>-3.4649173417923063E-2</v>
      </c>
      <c r="O123" s="677">
        <f t="shared" si="40"/>
        <v>73021.29460785733</v>
      </c>
      <c r="P123" s="680">
        <f t="shared" si="41"/>
        <v>1.5707826321595797</v>
      </c>
      <c r="Q123" s="689">
        <f t="shared" si="42"/>
        <v>34.577875915813237</v>
      </c>
      <c r="R123" s="690">
        <f t="shared" si="43"/>
        <v>1.5418720674937034</v>
      </c>
      <c r="S123" s="677">
        <f t="shared" si="44"/>
        <v>1.0360037614125501</v>
      </c>
      <c r="T123" s="680">
        <f t="shared" si="45"/>
        <v>0.26440769894808624</v>
      </c>
      <c r="U123" s="681">
        <f t="shared" si="57"/>
        <v>0.99304236938053247</v>
      </c>
      <c r="V123" s="682">
        <f t="shared" si="58"/>
        <v>-0.14120959594563529</v>
      </c>
      <c r="W123" s="683">
        <f t="shared" si="46"/>
        <v>1.1420373145253551</v>
      </c>
      <c r="X123" s="684">
        <f t="shared" si="47"/>
        <v>-115.0929378851592</v>
      </c>
      <c r="Y123" s="687">
        <f t="shared" si="48"/>
        <v>64.907062114840798</v>
      </c>
      <c r="AA123" s="170">
        <f t="shared" si="49"/>
        <v>1000000000</v>
      </c>
      <c r="AB123" s="170">
        <f t="shared" si="50"/>
        <v>41686392.25</v>
      </c>
      <c r="AD123" s="686">
        <f t="shared" si="51"/>
        <v>38.305199120325668</v>
      </c>
      <c r="AE123" s="687">
        <f t="shared" si="52"/>
        <v>-16.805898578389296</v>
      </c>
      <c r="AG123" s="686">
        <f t="shared" si="53"/>
        <v>18.050189622307141</v>
      </c>
      <c r="AH123" s="687">
        <f t="shared" si="54"/>
        <v>-82.105611539414809</v>
      </c>
      <c r="AJ123" s="170">
        <f t="shared" si="55"/>
        <v>0</v>
      </c>
      <c r="AK123" s="170">
        <f t="shared" si="65"/>
        <v>0</v>
      </c>
      <c r="AM123" s="170" t="str">
        <f t="shared" si="59"/>
        <v>0.020410226695675+0.201007154195024i</v>
      </c>
      <c r="AN123" s="170" t="str">
        <f t="shared" si="60"/>
        <v>0.202385951281243i</v>
      </c>
      <c r="AO123" s="170" t="str">
        <f t="shared" si="61"/>
        <v>0.993187288556887-0.100848040916201i</v>
      </c>
      <c r="AP123" s="170" t="str">
        <f t="shared" si="62"/>
        <v>0.163264962217387-0.0335011923658373i</v>
      </c>
      <c r="AQ123" s="170" t="str">
        <f t="shared" si="63"/>
        <v>0.836735037782613+0.0335011923658373i</v>
      </c>
      <c r="AR123" s="170" t="str">
        <f t="shared" si="64"/>
        <v>0.993942845101289-0.0397954776014016i</v>
      </c>
    </row>
    <row r="124" spans="7:44">
      <c r="G124" s="688">
        <v>6531.7</v>
      </c>
      <c r="H124" s="676">
        <f t="shared" si="56"/>
        <v>6.5316999999999998</v>
      </c>
      <c r="I124" s="677">
        <f t="shared" si="34"/>
        <v>80.522651403830267</v>
      </c>
      <c r="J124" s="678">
        <f t="shared" si="35"/>
        <v>1.5583771417698851</v>
      </c>
      <c r="K124" s="678">
        <f t="shared" si="36"/>
        <v>1.0001781800894878</v>
      </c>
      <c r="L124" s="679">
        <f t="shared" si="37"/>
        <v>1.8876103237850751E-2</v>
      </c>
      <c r="M124" s="678">
        <f t="shared" si="38"/>
        <v>1.0006146503840354</v>
      </c>
      <c r="N124" s="679">
        <f t="shared" si="39"/>
        <v>-3.5052409898039968E-2</v>
      </c>
      <c r="O124" s="677">
        <f t="shared" si="40"/>
        <v>73871.786569986492</v>
      </c>
      <c r="P124" s="680">
        <f t="shared" si="41"/>
        <v>1.5707827898270437</v>
      </c>
      <c r="Q124" s="689">
        <f t="shared" si="42"/>
        <v>34.980275664411479</v>
      </c>
      <c r="R124" s="690">
        <f t="shared" si="43"/>
        <v>1.5422048923645211</v>
      </c>
      <c r="S124" s="677">
        <f t="shared" si="44"/>
        <v>1.036832340531568</v>
      </c>
      <c r="T124" s="680">
        <f t="shared" si="45"/>
        <v>0.26734341918973198</v>
      </c>
      <c r="U124" s="681">
        <f t="shared" si="57"/>
        <v>0.99289018522258687</v>
      </c>
      <c r="V124" s="682">
        <f t="shared" si="58"/>
        <v>-0.14284346016024449</v>
      </c>
      <c r="W124" s="683">
        <f t="shared" si="46"/>
        <v>1.0332706269504162</v>
      </c>
      <c r="X124" s="684">
        <f t="shared" si="47"/>
        <v>-115.3546372549806</v>
      </c>
      <c r="Y124" s="687">
        <f t="shared" si="48"/>
        <v>64.645362745019398</v>
      </c>
      <c r="AA124" s="170">
        <f t="shared" si="49"/>
        <v>1000000000</v>
      </c>
      <c r="AB124" s="170">
        <f t="shared" si="50"/>
        <v>42663104.890000001</v>
      </c>
      <c r="AD124" s="686">
        <f t="shared" si="51"/>
        <v>38.298171903825285</v>
      </c>
      <c r="AE124" s="687">
        <f t="shared" si="52"/>
        <v>-16.955042531502549</v>
      </c>
      <c r="AG124" s="686">
        <f t="shared" si="53"/>
        <v>17.951112587678573</v>
      </c>
      <c r="AH124" s="687">
        <f t="shared" si="54"/>
        <v>-82.030939908319866</v>
      </c>
      <c r="AJ124" s="170">
        <f t="shared" si="55"/>
        <v>0</v>
      </c>
      <c r="AK124" s="170">
        <f t="shared" si="65"/>
        <v>0</v>
      </c>
      <c r="AM124" s="170" t="str">
        <f t="shared" si="59"/>
        <v>0.020886766904903+0.203315707160235i</v>
      </c>
      <c r="AN124" s="170" t="str">
        <f t="shared" si="60"/>
        <v>0.204743176331402i</v>
      </c>
      <c r="AO124" s="170" t="str">
        <f t="shared" si="61"/>
        <v>0.993028001241631-0.102014471393641i</v>
      </c>
      <c r="AP124" s="170" t="str">
        <f t="shared" si="62"/>
        <v>0.163185538849183-0.0338859511933725i</v>
      </c>
      <c r="AQ124" s="170" t="str">
        <f t="shared" si="63"/>
        <v>0.836814461150817+0.0338859511933725i</v>
      </c>
      <c r="AR124" s="170" t="str">
        <f t="shared" si="64"/>
        <v>0.993812072310843-0.0402434099088068i</v>
      </c>
    </row>
    <row r="125" spans="7:44">
      <c r="G125" s="688">
        <v>6606.9</v>
      </c>
      <c r="H125" s="676">
        <f t="shared" si="56"/>
        <v>6.6068999999999996</v>
      </c>
      <c r="I125" s="677">
        <f t="shared" si="34"/>
        <v>81.449573154811958</v>
      </c>
      <c r="J125" s="678">
        <f t="shared" si="35"/>
        <v>1.5585184831433172</v>
      </c>
      <c r="K125" s="678">
        <f t="shared" si="36"/>
        <v>1.0001823061354678</v>
      </c>
      <c r="L125" s="679">
        <f t="shared" si="37"/>
        <v>1.9093372855696403E-2</v>
      </c>
      <c r="M125" s="678">
        <f t="shared" si="38"/>
        <v>1.000628880424455</v>
      </c>
      <c r="N125" s="679">
        <f t="shared" si="39"/>
        <v>-3.545563497478936E-2</v>
      </c>
      <c r="O125" s="677">
        <f t="shared" si="40"/>
        <v>74722.278532117445</v>
      </c>
      <c r="P125" s="680">
        <f t="shared" si="41"/>
        <v>1.5707829439053531</v>
      </c>
      <c r="Q125" s="689">
        <f t="shared" si="42"/>
        <v>35.382679199722695</v>
      </c>
      <c r="R125" s="690">
        <f t="shared" si="43"/>
        <v>1.5425301469053181</v>
      </c>
      <c r="S125" s="677">
        <f t="shared" si="44"/>
        <v>1.0376698412262344</v>
      </c>
      <c r="T125" s="680">
        <f t="shared" si="45"/>
        <v>0.2702744258336065</v>
      </c>
      <c r="U125" s="681">
        <f t="shared" si="57"/>
        <v>0.99273630613403541</v>
      </c>
      <c r="V125" s="682">
        <f t="shared" si="58"/>
        <v>-0.14447695228592392</v>
      </c>
      <c r="W125" s="683">
        <f t="shared" si="46"/>
        <v>0.92557528345259565</v>
      </c>
      <c r="X125" s="684">
        <f t="shared" si="47"/>
        <v>-115.61628961309022</v>
      </c>
      <c r="Y125" s="687">
        <f t="shared" si="48"/>
        <v>64.383710386909783</v>
      </c>
      <c r="AA125" s="170">
        <f t="shared" si="49"/>
        <v>1000000000</v>
      </c>
      <c r="AB125" s="170">
        <f t="shared" si="50"/>
        <v>43651127.609999992</v>
      </c>
      <c r="AD125" s="686">
        <f t="shared" si="51"/>
        <v>38.291078377241689</v>
      </c>
      <c r="AE125" s="687">
        <f t="shared" si="52"/>
        <v>-17.104349957673687</v>
      </c>
      <c r="AG125" s="686">
        <f t="shared" si="53"/>
        <v>17.853203274695492</v>
      </c>
      <c r="AH125" s="687">
        <f t="shared" si="54"/>
        <v>-81.956100430705888</v>
      </c>
      <c r="AJ125" s="170">
        <f t="shared" si="55"/>
        <v>0</v>
      </c>
      <c r="AK125" s="170">
        <f t="shared" si="65"/>
        <v>0</v>
      </c>
      <c r="AM125" s="170" t="str">
        <f t="shared" si="59"/>
        <v>0.021368747564021+0.205623130400222i</v>
      </c>
      <c r="AN125" s="170" t="str">
        <f t="shared" si="60"/>
        <v>0.207100401381561i</v>
      </c>
      <c r="AO125" s="170" t="str">
        <f t="shared" si="61"/>
        <v>0.992866884991607-0.103180618779446i</v>
      </c>
      <c r="AP125" s="170" t="str">
        <f t="shared" si="62"/>
        <v>0.16310520873933-0.0342705217333703i</v>
      </c>
      <c r="AQ125" s="170" t="str">
        <f t="shared" si="63"/>
        <v>0.83689479126067+0.0342705217333703i</v>
      </c>
      <c r="AR125" s="170" t="str">
        <f t="shared" si="64"/>
        <v>0.993679866781303-0.040690810632533i</v>
      </c>
    </row>
    <row r="126" spans="7:44">
      <c r="G126" s="688">
        <v>6683.85</v>
      </c>
      <c r="H126" s="676">
        <f t="shared" si="56"/>
        <v>6.6838500000000005</v>
      </c>
      <c r="I126" s="677">
        <f t="shared" si="34"/>
        <v>82.398067204294733</v>
      </c>
      <c r="J126" s="678">
        <f t="shared" si="35"/>
        <v>1.5586598218564034</v>
      </c>
      <c r="K126" s="678">
        <f t="shared" si="36"/>
        <v>1.0001865770749925</v>
      </c>
      <c r="L126" s="679">
        <f t="shared" si="37"/>
        <v>1.9315696748479192E-2</v>
      </c>
      <c r="M126" s="678">
        <f t="shared" si="38"/>
        <v>1.000643610027085</v>
      </c>
      <c r="N126" s="679">
        <f t="shared" si="39"/>
        <v>-3.5868231673042539E-2</v>
      </c>
      <c r="O126" s="677">
        <f t="shared" si="40"/>
        <v>75592.562527943432</v>
      </c>
      <c r="P126" s="680">
        <f t="shared" si="41"/>
        <v>1.5707830979802277</v>
      </c>
      <c r="Q126" s="689">
        <f t="shared" si="42"/>
        <v>35.794450965698502</v>
      </c>
      <c r="R126" s="690">
        <f t="shared" si="43"/>
        <v>1.5428554001773267</v>
      </c>
      <c r="S126" s="677">
        <f t="shared" si="44"/>
        <v>1.0385360445295924</v>
      </c>
      <c r="T126" s="680">
        <f t="shared" si="45"/>
        <v>0.27326872076041625</v>
      </c>
      <c r="U126" s="681">
        <f t="shared" si="57"/>
        <v>0.99257709390059479</v>
      </c>
      <c r="V126" s="682">
        <f t="shared" si="58"/>
        <v>-0.14614806845505682</v>
      </c>
      <c r="W126" s="683">
        <f t="shared" si="46"/>
        <v>0.81645585363013085</v>
      </c>
      <c r="X126" s="684">
        <f t="shared" si="47"/>
        <v>-115.88397110741943</v>
      </c>
      <c r="Y126" s="687">
        <f t="shared" si="48"/>
        <v>64.116028892580573</v>
      </c>
      <c r="AA126" s="170">
        <f t="shared" si="49"/>
        <v>1000000000</v>
      </c>
      <c r="AB126" s="170">
        <f t="shared" si="50"/>
        <v>44673850.822500005</v>
      </c>
      <c r="AD126" s="686">
        <f t="shared" si="51"/>
        <v>38.283751368463072</v>
      </c>
      <c r="AE126" s="687">
        <f t="shared" si="52"/>
        <v>-17.257283607853207</v>
      </c>
      <c r="AG126" s="686">
        <f t="shared" si="53"/>
        <v>17.754197113778904</v>
      </c>
      <c r="AH126" s="687">
        <f t="shared" si="54"/>
        <v>-81.879352467502031</v>
      </c>
      <c r="AJ126" s="170">
        <f t="shared" si="55"/>
        <v>0</v>
      </c>
      <c r="AK126" s="170">
        <f t="shared" si="65"/>
        <v>0</v>
      </c>
      <c r="AM126" s="170" t="str">
        <f t="shared" si="59"/>
        <v>0.021867573566698+0.207983067483151i</v>
      </c>
      <c r="AN126" s="170" t="str">
        <f t="shared" si="60"/>
        <v>0.20951248206786i</v>
      </c>
      <c r="AO126" s="170" t="str">
        <f t="shared" si="61"/>
        <v>0.992700126648237-0.104373607485664i</v>
      </c>
      <c r="AP126" s="170" t="str">
        <f t="shared" si="62"/>
        <v>0.163022071072217-0.0346638445805252i</v>
      </c>
      <c r="AQ126" s="170" t="str">
        <f t="shared" si="63"/>
        <v>0.836977928927783+0.0346638445805252i</v>
      </c>
      <c r="AR126" s="170" t="str">
        <f t="shared" si="64"/>
        <v>0.993543104382604-0.0411480668295408i</v>
      </c>
    </row>
    <row r="127" spans="7:44">
      <c r="G127" s="688">
        <v>6760.8</v>
      </c>
      <c r="H127" s="676">
        <f t="shared" si="56"/>
        <v>6.7608000000000006</v>
      </c>
      <c r="I127" s="677">
        <f t="shared" si="34"/>
        <v>83.346562862349131</v>
      </c>
      <c r="J127" s="678">
        <f t="shared" si="35"/>
        <v>1.5587979436631587</v>
      </c>
      <c r="K127" s="678">
        <f t="shared" si="36"/>
        <v>1.0001908974512288</v>
      </c>
      <c r="L127" s="679">
        <f t="shared" si="37"/>
        <v>1.9538018731571738E-2</v>
      </c>
      <c r="M127" s="678">
        <f t="shared" si="38"/>
        <v>1.0006585099702843</v>
      </c>
      <c r="N127" s="679">
        <f t="shared" si="39"/>
        <v>-3.628081615428725E-2</v>
      </c>
      <c r="O127" s="677">
        <f t="shared" si="40"/>
        <v>76462.846523771135</v>
      </c>
      <c r="P127" s="680">
        <f t="shared" si="41"/>
        <v>1.5707832485478068</v>
      </c>
      <c r="Q127" s="689">
        <f t="shared" si="42"/>
        <v>36.206226432226416</v>
      </c>
      <c r="R127" s="690">
        <f t="shared" si="43"/>
        <v>1.5431732552345101</v>
      </c>
      <c r="S127" s="677">
        <f t="shared" si="44"/>
        <v>1.0394115435736246</v>
      </c>
      <c r="T127" s="680">
        <f t="shared" si="45"/>
        <v>0.27625799824626901</v>
      </c>
      <c r="U127" s="681">
        <f t="shared" si="57"/>
        <v>0.99241611177476596</v>
      </c>
      <c r="V127" s="682">
        <f t="shared" si="58"/>
        <v>-0.14781878644316643</v>
      </c>
      <c r="W127" s="683">
        <f t="shared" si="46"/>
        <v>0.70840451243274327</v>
      </c>
      <c r="X127" s="684">
        <f t="shared" si="47"/>
        <v>-116.15158108927619</v>
      </c>
      <c r="Y127" s="687">
        <f t="shared" si="48"/>
        <v>63.848418910723808</v>
      </c>
      <c r="AA127" s="170">
        <f t="shared" si="49"/>
        <v>1000000000</v>
      </c>
      <c r="AB127" s="170">
        <f t="shared" si="50"/>
        <v>45708416.640000001</v>
      </c>
      <c r="AD127" s="686">
        <f t="shared" si="51"/>
        <v>38.27635541634934</v>
      </c>
      <c r="AE127" s="687">
        <f t="shared" si="52"/>
        <v>-17.410353465374264</v>
      </c>
      <c r="AG127" s="686">
        <f t="shared" si="53"/>
        <v>17.656359412892311</v>
      </c>
      <c r="AH127" s="687">
        <f t="shared" si="54"/>
        <v>-81.802442412668412</v>
      </c>
      <c r="AJ127" s="170">
        <f t="shared" si="55"/>
        <v>0</v>
      </c>
      <c r="AK127" s="170">
        <f t="shared" si="65"/>
        <v>0</v>
      </c>
      <c r="AM127" s="170" t="str">
        <f t="shared" si="59"/>
        <v>0.022372090471397+0.210341794493469i</v>
      </c>
      <c r="AN127" s="170" t="str">
        <f t="shared" si="60"/>
        <v>0.21192456275416i</v>
      </c>
      <c r="AO127" s="170" t="str">
        <f t="shared" si="61"/>
        <v>0.992531454399993-0.105566292932969i</v>
      </c>
      <c r="AP127" s="170" t="str">
        <f t="shared" si="62"/>
        <v>0.162937984921434-0.0350569657489115i</v>
      </c>
      <c r="AQ127" s="170" t="str">
        <f t="shared" si="63"/>
        <v>0.837062015078566+0.0350569657489115i</v>
      </c>
      <c r="AR127" s="170" t="str">
        <f t="shared" si="64"/>
        <v>0.993404847626645-0.0416047545948925i</v>
      </c>
    </row>
    <row r="128" spans="7:44">
      <c r="G128" s="688">
        <v>6839.55</v>
      </c>
      <c r="H128" s="676">
        <f t="shared" si="56"/>
        <v>6.83955</v>
      </c>
      <c r="I128" s="677">
        <f t="shared" si="34"/>
        <v>84.317247162150423</v>
      </c>
      <c r="J128" s="678">
        <f t="shared" si="35"/>
        <v>1.558936079001134</v>
      </c>
      <c r="K128" s="678">
        <f t="shared" si="36"/>
        <v>1.0001953700730879</v>
      </c>
      <c r="L128" s="679">
        <f t="shared" si="37"/>
        <v>1.9765539228763247E-2</v>
      </c>
      <c r="M128" s="678">
        <f t="shared" si="38"/>
        <v>1.0006739348062612</v>
      </c>
      <c r="N128" s="679">
        <f t="shared" si="39"/>
        <v>-3.6703038939497314E-2</v>
      </c>
      <c r="O128" s="677">
        <f t="shared" si="40"/>
        <v>77353.488039970849</v>
      </c>
      <c r="P128" s="680">
        <f t="shared" si="41"/>
        <v>1.5707833991296372</v>
      </c>
      <c r="Q128" s="689">
        <f t="shared" si="42"/>
        <v>36.627637774590397</v>
      </c>
      <c r="R128" s="690">
        <f t="shared" si="43"/>
        <v>1.5434911459608358</v>
      </c>
      <c r="S128" s="677">
        <f t="shared" si="44"/>
        <v>1.0403171220877667</v>
      </c>
      <c r="T128" s="680">
        <f t="shared" si="45"/>
        <v>0.27931196303595418</v>
      </c>
      <c r="U128" s="681">
        <f t="shared" si="57"/>
        <v>0.99224953410197536</v>
      </c>
      <c r="V128" s="682">
        <f t="shared" si="58"/>
        <v>-0.14952816878205868</v>
      </c>
      <c r="W128" s="683">
        <f t="shared" si="46"/>
        <v>0.59890463544537476</v>
      </c>
      <c r="X128" s="684">
        <f t="shared" si="47"/>
        <v>-116.42536579838341</v>
      </c>
      <c r="Y128" s="687">
        <f t="shared" si="48"/>
        <v>63.57463420161659</v>
      </c>
      <c r="AA128" s="170">
        <f t="shared" si="49"/>
        <v>1000000000</v>
      </c>
      <c r="AB128" s="170">
        <f t="shared" si="50"/>
        <v>46779444.202500001</v>
      </c>
      <c r="AD128" s="686">
        <f t="shared" si="51"/>
        <v>38.268715351127149</v>
      </c>
      <c r="AE128" s="687">
        <f t="shared" si="52"/>
        <v>-17.567127589522464</v>
      </c>
      <c r="AG128" s="686">
        <f t="shared" si="53"/>
        <v>17.557415710021193</v>
      </c>
      <c r="AH128" s="687">
        <f t="shared" si="54"/>
        <v>-81.723572210218165</v>
      </c>
      <c r="AJ128" s="170">
        <f t="shared" si="55"/>
        <v>0</v>
      </c>
      <c r="AK128" s="170">
        <f t="shared" si="65"/>
        <v>0</v>
      </c>
      <c r="AM128" s="170" t="str">
        <f t="shared" si="59"/>
        <v>0.022894298017835+0.212754429222848i</v>
      </c>
      <c r="AN128" s="170" t="str">
        <f t="shared" si="60"/>
        <v>0.214393066380489i</v>
      </c>
      <c r="AO128" s="170" t="str">
        <f t="shared" si="61"/>
        <v>0.992356855632948-0.106786559865718i</v>
      </c>
      <c r="AP128" s="170" t="str">
        <f t="shared" si="62"/>
        <v>0.162850950330361-0.0354590715371413i</v>
      </c>
      <c r="AQ128" s="170" t="str">
        <f t="shared" si="63"/>
        <v>0.837149049669639+0.0354590715371413i</v>
      </c>
      <c r="AR128" s="170" t="str">
        <f t="shared" si="64"/>
        <v>0.993261812723616-0.0420715303760736i</v>
      </c>
    </row>
    <row r="129" spans="7:44">
      <c r="G129" s="688">
        <v>6918.3</v>
      </c>
      <c r="H129" s="676">
        <f t="shared" si="56"/>
        <v>6.9183000000000003</v>
      </c>
      <c r="I129" s="677">
        <f t="shared" si="34"/>
        <v>85.287933034218042</v>
      </c>
      <c r="J129" s="678">
        <f t="shared" si="35"/>
        <v>1.5590710700276349</v>
      </c>
      <c r="K129" s="678">
        <f t="shared" si="36"/>
        <v>1.0001998944701722</v>
      </c>
      <c r="L129" s="679">
        <f t="shared" si="37"/>
        <v>1.99930576793576E-2</v>
      </c>
      <c r="M129" s="678">
        <f t="shared" si="38"/>
        <v>1.0006895380289438</v>
      </c>
      <c r="N129" s="679">
        <f t="shared" si="39"/>
        <v>-3.7125248632980494E-2</v>
      </c>
      <c r="O129" s="677">
        <f t="shared" si="40"/>
        <v>78244.129556172265</v>
      </c>
      <c r="P129" s="680">
        <f t="shared" si="41"/>
        <v>1.5707835462833657</v>
      </c>
      <c r="Q129" s="689">
        <f t="shared" si="42"/>
        <v>37.049052734140027</v>
      </c>
      <c r="R129" s="690">
        <f t="shared" si="43"/>
        <v>1.5438018050130906</v>
      </c>
      <c r="S129" s="677">
        <f t="shared" si="44"/>
        <v>1.0412323863985791</v>
      </c>
      <c r="T129" s="680">
        <f t="shared" si="45"/>
        <v>0.28236058722426127</v>
      </c>
      <c r="U129" s="681">
        <f t="shared" si="57"/>
        <v>0.99208110806353478</v>
      </c>
      <c r="V129" s="682">
        <f t="shared" si="58"/>
        <v>-0.15123712494246752</v>
      </c>
      <c r="W129" s="683">
        <f t="shared" si="46"/>
        <v>0.49046976473413795</v>
      </c>
      <c r="X129" s="684">
        <f t="shared" si="47"/>
        <v>-116.69905345471413</v>
      </c>
      <c r="Y129" s="687">
        <f t="shared" si="48"/>
        <v>63.300946545285868</v>
      </c>
      <c r="AA129" s="170">
        <f t="shared" si="49"/>
        <v>1000000000</v>
      </c>
      <c r="AB129" s="170">
        <f t="shared" si="50"/>
        <v>47862874.890000001</v>
      </c>
      <c r="AD129" s="686">
        <f t="shared" si="51"/>
        <v>38.261003643137684</v>
      </c>
      <c r="AE129" s="687">
        <f t="shared" si="52"/>
        <v>-17.724009867739078</v>
      </c>
      <c r="AG129" s="686">
        <f t="shared" si="53"/>
        <v>17.459641511457914</v>
      </c>
      <c r="AH129" s="687">
        <f t="shared" si="54"/>
        <v>-81.644545637379878</v>
      </c>
      <c r="AJ129" s="170">
        <f t="shared" si="55"/>
        <v>0</v>
      </c>
      <c r="AK129" s="170">
        <f t="shared" si="65"/>
        <v>0</v>
      </c>
      <c r="AM129" s="170" t="str">
        <f t="shared" si="59"/>
        <v>0.023422459564765+0.215165767531611i</v>
      </c>
      <c r="AN129" s="170" t="str">
        <f t="shared" si="60"/>
        <v>0.216861570006819i</v>
      </c>
      <c r="AO129" s="170" t="str">
        <f t="shared" si="61"/>
        <v>0.992180253628365-0.108006501862126i</v>
      </c>
      <c r="AP129" s="170" t="str">
        <f t="shared" si="62"/>
        <v>0.162762923405873-0.0358609612552685i</v>
      </c>
      <c r="AQ129" s="170" t="str">
        <f t="shared" si="63"/>
        <v>0.837237076594127+0.0358609612552685i</v>
      </c>
      <c r="AR129" s="170" t="str">
        <f t="shared" si="64"/>
        <v>0.993117219120387-0.0425376982367936i</v>
      </c>
    </row>
    <row r="130" spans="7:44">
      <c r="G130" s="688">
        <v>6998.9</v>
      </c>
      <c r="H130" s="676">
        <f t="shared" si="56"/>
        <v>6.9988999999999999</v>
      </c>
      <c r="I130" s="677">
        <f t="shared" si="34"/>
        <v>86.28142389314705</v>
      </c>
      <c r="J130" s="678">
        <f t="shared" si="35"/>
        <v>1.5592060870402507</v>
      </c>
      <c r="K130" s="678">
        <f t="shared" si="36"/>
        <v>1.0002045787679195</v>
      </c>
      <c r="L130" s="679">
        <f t="shared" si="37"/>
        <v>2.0225918864005661E-2</v>
      </c>
      <c r="M130" s="678">
        <f t="shared" si="38"/>
        <v>1.000705692516753</v>
      </c>
      <c r="N130" s="679">
        <f t="shared" si="39"/>
        <v>-3.7557363190272537E-2</v>
      </c>
      <c r="O130" s="677">
        <f t="shared" si="40"/>
        <v>79155.694079422668</v>
      </c>
      <c r="P130" s="680">
        <f t="shared" si="41"/>
        <v>1.5707836934649555</v>
      </c>
      <c r="Q130" s="689">
        <f t="shared" si="42"/>
        <v>37.480371218989198</v>
      </c>
      <c r="R130" s="690">
        <f t="shared" si="43"/>
        <v>1.5441125280975099</v>
      </c>
      <c r="S130" s="677">
        <f t="shared" si="44"/>
        <v>1.0421791553013855</v>
      </c>
      <c r="T130" s="680">
        <f t="shared" si="45"/>
        <v>0.28547525524398232</v>
      </c>
      <c r="U130" s="681">
        <f t="shared" si="57"/>
        <v>0.99190681418028437</v>
      </c>
      <c r="V130" s="682">
        <f t="shared" si="58"/>
        <v>-0.15298578188029271</v>
      </c>
      <c r="W130" s="683">
        <f t="shared" si="46"/>
        <v>0.38056351436847646</v>
      </c>
      <c r="X130" s="684">
        <f t="shared" si="47"/>
        <v>-116.97905904334314</v>
      </c>
      <c r="Y130" s="687">
        <f t="shared" si="48"/>
        <v>63.020940956656858</v>
      </c>
      <c r="AA130" s="170">
        <f t="shared" si="49"/>
        <v>1000000000</v>
      </c>
      <c r="AB130" s="170">
        <f t="shared" si="50"/>
        <v>48984601.209999993</v>
      </c>
      <c r="AD130" s="686">
        <f t="shared" si="51"/>
        <v>38.253036896187552</v>
      </c>
      <c r="AE130" s="687">
        <f t="shared" si="52"/>
        <v>-17.884672511586448</v>
      </c>
      <c r="AG130" s="686">
        <f t="shared" si="53"/>
        <v>17.360754239200496</v>
      </c>
      <c r="AH130" s="687">
        <f t="shared" si="54"/>
        <v>-81.563507257225226</v>
      </c>
      <c r="AJ130" s="170">
        <f t="shared" si="55"/>
        <v>0</v>
      </c>
      <c r="AK130" s="170">
        <f t="shared" si="65"/>
        <v>0</v>
      </c>
      <c r="AM130" s="170" t="str">
        <f t="shared" si="59"/>
        <v>0.023969190808385+0.217632395356853i</v>
      </c>
      <c r="AN130" s="170" t="str">
        <f t="shared" si="60"/>
        <v>0.219388063877069i</v>
      </c>
      <c r="AO130" s="170" t="str">
        <f t="shared" si="61"/>
        <v>0.991997429170988-0.109254762473385i</v>
      </c>
      <c r="AP130" s="170" t="str">
        <f t="shared" si="62"/>
        <v>0.162671801531936-0.0362720658928088i</v>
      </c>
      <c r="AQ130" s="170" t="str">
        <f t="shared" si="63"/>
        <v>0.837328198468064+0.0362720658928088i</v>
      </c>
      <c r="AR130" s="170" t="str">
        <f t="shared" si="64"/>
        <v>0.992967618080341-0.0430141812234802i</v>
      </c>
    </row>
    <row r="131" spans="7:44">
      <c r="G131" s="688">
        <v>7079.5</v>
      </c>
      <c r="H131" s="676">
        <f t="shared" si="56"/>
        <v>7.0795000000000003</v>
      </c>
      <c r="I131" s="677">
        <f t="shared" si="34"/>
        <v>87.274916289141814</v>
      </c>
      <c r="J131" s="678">
        <f t="shared" si="35"/>
        <v>1.5593380301278925</v>
      </c>
      <c r="K131" s="678">
        <f t="shared" si="36"/>
        <v>1.0002093173005813</v>
      </c>
      <c r="L131" s="679">
        <f t="shared" si="37"/>
        <v>2.0458777854901425E-2</v>
      </c>
      <c r="M131" s="678">
        <f t="shared" si="38"/>
        <v>1.000722033853269</v>
      </c>
      <c r="N131" s="679">
        <f t="shared" si="39"/>
        <v>-3.7989463715776398E-2</v>
      </c>
      <c r="O131" s="677">
        <f t="shared" si="40"/>
        <v>80067.258602674759</v>
      </c>
      <c r="P131" s="680">
        <f t="shared" si="41"/>
        <v>1.570783837295225</v>
      </c>
      <c r="Q131" s="689">
        <f t="shared" si="42"/>
        <v>37.911693240185322</v>
      </c>
      <c r="R131" s="690">
        <f t="shared" si="43"/>
        <v>1.5444161810063657</v>
      </c>
      <c r="S131" s="677">
        <f t="shared" si="44"/>
        <v>1.0431360161378558</v>
      </c>
      <c r="T131" s="680">
        <f t="shared" si="45"/>
        <v>0.28858423925538662</v>
      </c>
      <c r="U131" s="681">
        <f t="shared" si="57"/>
        <v>0.99173058986303153</v>
      </c>
      <c r="V131" s="682">
        <f t="shared" si="58"/>
        <v>-0.15473398261083962</v>
      </c>
      <c r="W131" s="683">
        <f t="shared" si="46"/>
        <v>0.2717193122468114</v>
      </c>
      <c r="X131" s="684">
        <f t="shared" si="47"/>
        <v>-117.25894092153973</v>
      </c>
      <c r="Y131" s="687">
        <f t="shared" si="48"/>
        <v>62.741059078460268</v>
      </c>
      <c r="AA131" s="170">
        <f t="shared" si="49"/>
        <v>1000000000</v>
      </c>
      <c r="AB131" s="170">
        <f t="shared" si="50"/>
        <v>50119320.25</v>
      </c>
      <c r="AD131" s="686">
        <f t="shared" si="51"/>
        <v>38.244995743958107</v>
      </c>
      <c r="AE131" s="687">
        <f t="shared" si="52"/>
        <v>-18.045414384950337</v>
      </c>
      <c r="AG131" s="686">
        <f t="shared" si="53"/>
        <v>17.263037771507438</v>
      </c>
      <c r="AH131" s="687">
        <f t="shared" si="54"/>
        <v>-81.482318214624996</v>
      </c>
      <c r="AJ131" s="170">
        <f t="shared" si="55"/>
        <v>0</v>
      </c>
      <c r="AK131" s="170">
        <f t="shared" si="65"/>
        <v>0</v>
      </c>
      <c r="AM131" s="170" t="str">
        <f t="shared" si="59"/>
        <v>0.024522152220517+0.220097633997978i</v>
      </c>
      <c r="AN131" s="170" t="str">
        <f t="shared" si="60"/>
        <v>0.221914557747319i</v>
      </c>
      <c r="AO131" s="170" t="str">
        <f t="shared" si="61"/>
        <v>0.991812507625526-0.110502674855784i</v>
      </c>
      <c r="AP131" s="170" t="str">
        <f t="shared" si="62"/>
        <v>0.162579641296581-0.036682938999663i</v>
      </c>
      <c r="AQ131" s="170" t="str">
        <f t="shared" si="63"/>
        <v>0.837420358703419+0.036682938999663i</v>
      </c>
      <c r="AR131" s="170" t="str">
        <f t="shared" si="64"/>
        <v>0.99281639122901-0.0434900139921457i</v>
      </c>
    </row>
    <row r="132" spans="7:44">
      <c r="G132" s="688">
        <v>7161.95</v>
      </c>
      <c r="H132" s="676">
        <f t="shared" si="56"/>
        <v>7.16195</v>
      </c>
      <c r="I132" s="677">
        <f t="shared" si="34"/>
        <v>88.291213706945143</v>
      </c>
      <c r="J132" s="678">
        <f t="shared" si="35"/>
        <v>1.5594699293024732</v>
      </c>
      <c r="K132" s="678">
        <f t="shared" si="36"/>
        <v>1.0002142207117564</v>
      </c>
      <c r="L132" s="679">
        <f t="shared" si="37"/>
        <v>2.069697932796865E-2</v>
      </c>
      <c r="M132" s="678">
        <f t="shared" si="38"/>
        <v>1.0007389435915377</v>
      </c>
      <c r="N132" s="679">
        <f t="shared" si="39"/>
        <v>-3.8431467495283075E-2</v>
      </c>
      <c r="O132" s="677">
        <f t="shared" si="40"/>
        <v>80999.746132975881</v>
      </c>
      <c r="P132" s="680">
        <f t="shared" si="41"/>
        <v>1.5707839810771904</v>
      </c>
      <c r="Q132" s="689">
        <f t="shared" si="42"/>
        <v>38.352918867225497</v>
      </c>
      <c r="R132" s="690">
        <f t="shared" si="43"/>
        <v>1.5447197367998025</v>
      </c>
      <c r="S132" s="677">
        <f t="shared" si="44"/>
        <v>1.0441252527816696</v>
      </c>
      <c r="T132" s="680">
        <f t="shared" si="45"/>
        <v>0.29175865584078037</v>
      </c>
      <c r="U132" s="681">
        <f t="shared" si="57"/>
        <v>0.99154832639175938</v>
      </c>
      <c r="V132" s="682">
        <f t="shared" si="58"/>
        <v>-0.15652183236699371</v>
      </c>
      <c r="W132" s="683">
        <f t="shared" si="46"/>
        <v>0.16144892155564433</v>
      </c>
      <c r="X132" s="684">
        <f t="shared" si="47"/>
        <v>-117.54510789038515</v>
      </c>
      <c r="Y132" s="687">
        <f t="shared" si="48"/>
        <v>62.454892109614846</v>
      </c>
      <c r="AA132" s="170">
        <f t="shared" si="49"/>
        <v>1000000000</v>
      </c>
      <c r="AB132" s="170">
        <f t="shared" si="50"/>
        <v>51293527.802499995</v>
      </c>
      <c r="AD132" s="686">
        <f t="shared" si="51"/>
        <v>38.23669339102598</v>
      </c>
      <c r="AE132" s="687">
        <f t="shared" si="52"/>
        <v>-18.209910830186811</v>
      </c>
      <c r="AG132" s="686">
        <f t="shared" si="53"/>
        <v>17.164262669221067</v>
      </c>
      <c r="AH132" s="687">
        <f t="shared" si="54"/>
        <v>-81.399116247137542</v>
      </c>
      <c r="AJ132" s="170">
        <f t="shared" si="55"/>
        <v>0</v>
      </c>
      <c r="AK132" s="170">
        <f t="shared" si="65"/>
        <v>0</v>
      </c>
      <c r="AM132" s="170" t="str">
        <f t="shared" si="59"/>
        <v>0.02509424830457+0.222618003115581i</v>
      </c>
      <c r="AN132" s="170" t="str">
        <f t="shared" si="60"/>
        <v>0.224499041861489i</v>
      </c>
      <c r="AO132" s="170" t="str">
        <f t="shared" si="61"/>
        <v>0.991621172498952-0.111778865943012i</v>
      </c>
      <c r="AP132" s="170" t="str">
        <f t="shared" si="62"/>
        <v>0.162484291949238-0.0371030005192635i</v>
      </c>
      <c r="AQ132" s="170" t="str">
        <f t="shared" si="63"/>
        <v>0.837515708050762+0.0371030005192635i</v>
      </c>
      <c r="AR132" s="170" t="str">
        <f t="shared" si="64"/>
        <v>0.992660014812067-0.0439760886762878i</v>
      </c>
    </row>
    <row r="133" spans="7:44">
      <c r="G133" s="688">
        <v>7244.4</v>
      </c>
      <c r="H133" s="676">
        <f t="shared" si="56"/>
        <v>7.2443999999999997</v>
      </c>
      <c r="I133" s="677">
        <f t="shared" si="34"/>
        <v>89.307512625825922</v>
      </c>
      <c r="J133" s="678">
        <f t="shared" si="35"/>
        <v>1.5595988265148146</v>
      </c>
      <c r="K133" s="678">
        <f t="shared" si="36"/>
        <v>1.0002191808744696</v>
      </c>
      <c r="L133" s="679">
        <f t="shared" si="37"/>
        <v>2.0935178452032861E-2</v>
      </c>
      <c r="M133" s="678">
        <f t="shared" si="38"/>
        <v>1.0007560488348834</v>
      </c>
      <c r="N133" s="679">
        <f t="shared" si="39"/>
        <v>-3.8873456251396758E-2</v>
      </c>
      <c r="O133" s="677">
        <f t="shared" si="40"/>
        <v>81932.233663278617</v>
      </c>
      <c r="P133" s="680">
        <f t="shared" si="41"/>
        <v>1.5707841215863321</v>
      </c>
      <c r="Q133" s="689">
        <f t="shared" si="42"/>
        <v>38.794147947948517</v>
      </c>
      <c r="R133" s="690">
        <f t="shared" si="43"/>
        <v>1.5450163875763461</v>
      </c>
      <c r="S133" s="677">
        <f t="shared" si="44"/>
        <v>1.045124991013185</v>
      </c>
      <c r="T133" s="680">
        <f t="shared" si="45"/>
        <v>0.2949270311813143</v>
      </c>
      <c r="U133" s="681">
        <f t="shared" si="57"/>
        <v>0.99136404918353338</v>
      </c>
      <c r="V133" s="682">
        <f t="shared" si="58"/>
        <v>-0.15830919431781512</v>
      </c>
      <c r="W133" s="683">
        <f t="shared" si="46"/>
        <v>5.2236433387616403E-2</v>
      </c>
      <c r="X133" s="684">
        <f t="shared" si="47"/>
        <v>-117.83112348706092</v>
      </c>
      <c r="Y133" s="687">
        <f t="shared" si="48"/>
        <v>62.168876512939079</v>
      </c>
      <c r="AA133" s="170">
        <f t="shared" si="49"/>
        <v>1000000000</v>
      </c>
      <c r="AB133" s="170">
        <f t="shared" si="50"/>
        <v>52481331.359999992</v>
      </c>
      <c r="AD133" s="686">
        <f t="shared" si="51"/>
        <v>38.228313904321837</v>
      </c>
      <c r="AE133" s="687">
        <f t="shared" si="52"/>
        <v>-18.37445657839633</v>
      </c>
      <c r="AG133" s="686">
        <f t="shared" si="53"/>
        <v>17.066658477093959</v>
      </c>
      <c r="AH133" s="687">
        <f t="shared" si="54"/>
        <v>-81.315769502881082</v>
      </c>
      <c r="AJ133" s="170">
        <f t="shared" si="55"/>
        <v>7244.4</v>
      </c>
      <c r="AK133" s="170">
        <f t="shared" si="65"/>
        <v>62.168876512939079</v>
      </c>
      <c r="AM133" s="170" t="str">
        <f t="shared" si="59"/>
        <v>0.025672856324645+0.225136885244118i</v>
      </c>
      <c r="AN133" s="170" t="str">
        <f t="shared" si="60"/>
        <v>0.227083525975659i</v>
      </c>
      <c r="AO133" s="170" t="str">
        <f t="shared" si="61"/>
        <v>0.991427644417721-0.113054684237186i</v>
      </c>
      <c r="AP133" s="170" t="str">
        <f t="shared" si="62"/>
        <v>0.162387857279226-0.037522814207353i</v>
      </c>
      <c r="AQ133" s="170" t="str">
        <f t="shared" si="63"/>
        <v>0.837612142720774+0.037522814207353i</v>
      </c>
      <c r="AR133" s="170" t="str">
        <f t="shared" si="64"/>
        <v>0.992501944718651-0.0444614687069183i</v>
      </c>
    </row>
    <row r="134" spans="7:44">
      <c r="G134" s="688">
        <v>7328.75</v>
      </c>
      <c r="H134" s="676">
        <f t="shared" si="56"/>
        <v>7.3287500000000003</v>
      </c>
      <c r="I134" s="677">
        <f t="shared" si="34"/>
        <v>90.347232911175723</v>
      </c>
      <c r="J134" s="678">
        <f t="shared" si="35"/>
        <v>1.5597276931779336</v>
      </c>
      <c r="K134" s="678">
        <f t="shared" si="36"/>
        <v>1.0002243140679308</v>
      </c>
      <c r="L134" s="679">
        <f t="shared" si="37"/>
        <v>2.1178864241874793E-2</v>
      </c>
      <c r="M134" s="678">
        <f t="shared" si="38"/>
        <v>1.0007737505605032</v>
      </c>
      <c r="N134" s="679">
        <f t="shared" si="39"/>
        <v>-3.9325614589458761E-2</v>
      </c>
      <c r="O134" s="677">
        <f t="shared" si="40"/>
        <v>82886.209687307375</v>
      </c>
      <c r="P134" s="680">
        <f t="shared" si="41"/>
        <v>1.5707842620617667</v>
      </c>
      <c r="Q134" s="689">
        <f t="shared" si="42"/>
        <v>39.245548282921305</v>
      </c>
      <c r="R134" s="690">
        <f t="shared" si="43"/>
        <v>1.545312971726057</v>
      </c>
      <c r="S134" s="677">
        <f t="shared" si="44"/>
        <v>1.0461586034631636</v>
      </c>
      <c r="T134" s="680">
        <f t="shared" si="45"/>
        <v>0.29816211957037408</v>
      </c>
      <c r="U134" s="681">
        <f t="shared" si="57"/>
        <v>0.99117344495184767</v>
      </c>
      <c r="V134" s="682">
        <f t="shared" si="58"/>
        <v>-0.16013723444889555</v>
      </c>
      <c r="W134" s="683">
        <f t="shared" si="46"/>
        <v>-5.8424755659201522E-2</v>
      </c>
      <c r="X134" s="684">
        <f t="shared" si="47"/>
        <v>-118.123562524406</v>
      </c>
      <c r="Y134" s="687">
        <f t="shared" si="48"/>
        <v>61.876437475594003</v>
      </c>
      <c r="AA134" s="170">
        <f t="shared" si="49"/>
        <v>7328.75</v>
      </c>
      <c r="AB134" s="170">
        <f t="shared" si="50"/>
        <v>53710576.5625</v>
      </c>
      <c r="AD134" s="686">
        <f t="shared" si="51"/>
        <v>38.219661894754552</v>
      </c>
      <c r="AE134" s="687">
        <f t="shared" si="52"/>
        <v>-18.542828518234238</v>
      </c>
      <c r="AG134" s="686">
        <f t="shared" si="53"/>
        <v>16.967989597267714</v>
      </c>
      <c r="AH134" s="687">
        <f t="shared" si="54"/>
        <v>-81.230358631566048</v>
      </c>
      <c r="AJ134" s="170">
        <f t="shared" si="55"/>
        <v>0</v>
      </c>
      <c r="AK134" s="170">
        <f t="shared" si="65"/>
        <v>0</v>
      </c>
      <c r="AM134" s="170" t="str">
        <f t="shared" si="59"/>
        <v>0.026271532672555+0.22771225684215i</v>
      </c>
      <c r="AN134" s="170" t="str">
        <f t="shared" si="60"/>
        <v>0.229727567637639i</v>
      </c>
      <c r="AO134" s="170" t="str">
        <f t="shared" si="61"/>
        <v>0.991227388091847-0.1143595126293i</v>
      </c>
      <c r="AP134" s="170" t="str">
        <f t="shared" si="62"/>
        <v>0.162288077887908-0.037952042807025i</v>
      </c>
      <c r="AQ134" s="170" t="str">
        <f t="shared" si="63"/>
        <v>0.837711922112092+0.037952042807025i</v>
      </c>
      <c r="AR134" s="170" t="str">
        <f t="shared" si="64"/>
        <v>0.992338483424923-0.0449573076470572i</v>
      </c>
    </row>
    <row r="135" spans="7:44">
      <c r="G135" s="688">
        <v>7413.1</v>
      </c>
      <c r="H135" s="676">
        <f t="shared" si="56"/>
        <v>7.4131</v>
      </c>
      <c r="I135" s="677">
        <f t="shared" si="34"/>
        <v>91.386954662747812</v>
      </c>
      <c r="J135" s="678">
        <f t="shared" si="35"/>
        <v>1.5598536275761703</v>
      </c>
      <c r="K135" s="678">
        <f t="shared" si="36"/>
        <v>1.0002295066568652</v>
      </c>
      <c r="L135" s="679">
        <f t="shared" si="37"/>
        <v>2.1422547516047597E-2</v>
      </c>
      <c r="M135" s="678">
        <f t="shared" si="38"/>
        <v>1.0007916568842143</v>
      </c>
      <c r="N135" s="679">
        <f t="shared" si="39"/>
        <v>-3.9777756839779216E-2</v>
      </c>
      <c r="O135" s="677">
        <f t="shared" si="40"/>
        <v>83840.185711337734</v>
      </c>
      <c r="P135" s="680">
        <f t="shared" si="41"/>
        <v>1.5707843993404005</v>
      </c>
      <c r="Q135" s="689">
        <f t="shared" si="42"/>
        <v>39.696951991507753</v>
      </c>
      <c r="R135" s="690">
        <f t="shared" si="43"/>
        <v>1.5456028108395932</v>
      </c>
      <c r="S135" s="677">
        <f t="shared" si="44"/>
        <v>1.0472031431162525</v>
      </c>
      <c r="T135" s="680">
        <f t="shared" si="45"/>
        <v>0.30139078797381064</v>
      </c>
      <c r="U135" s="681">
        <f t="shared" si="57"/>
        <v>0.99098074002052805</v>
      </c>
      <c r="V135" s="682">
        <f t="shared" si="58"/>
        <v>-0.16196475293308574</v>
      </c>
      <c r="W135" s="683">
        <f t="shared" si="46"/>
        <v>-0.16803205106712121</v>
      </c>
      <c r="X135" s="684">
        <f t="shared" si="47"/>
        <v>-118.41582133042263</v>
      </c>
      <c r="Y135" s="687">
        <f t="shared" si="48"/>
        <v>61.584178669577369</v>
      </c>
      <c r="AA135" s="170">
        <f t="shared" si="49"/>
        <v>7413.1</v>
      </c>
      <c r="AB135" s="170">
        <f t="shared" si="50"/>
        <v>54954051.610000007</v>
      </c>
      <c r="AD135" s="686">
        <f t="shared" si="51"/>
        <v>38.210929969909905</v>
      </c>
      <c r="AE135" s="687">
        <f t="shared" si="52"/>
        <v>-18.711218898933708</v>
      </c>
      <c r="AG135" s="686">
        <f t="shared" si="53"/>
        <v>16.870491993750242</v>
      </c>
      <c r="AH135" s="687">
        <f t="shared" si="54"/>
        <v>-81.144808864391408</v>
      </c>
      <c r="AJ135" s="170">
        <f t="shared" si="55"/>
        <v>0</v>
      </c>
      <c r="AK135" s="170">
        <f t="shared" si="65"/>
        <v>0</v>
      </c>
      <c r="AM135" s="170" t="str">
        <f t="shared" si="59"/>
        <v>0.026877016309673+0.23028603651467i</v>
      </c>
      <c r="AN135" s="170" t="str">
        <f t="shared" si="60"/>
        <v>0.232371609299618i</v>
      </c>
      <c r="AO135" s="170" t="str">
        <f t="shared" si="61"/>
        <v>0.991024838226864-0.115663941867434i</v>
      </c>
      <c r="AP135" s="170" t="str">
        <f t="shared" si="62"/>
        <v>0.162187163948388-0.0383810060857783i</v>
      </c>
      <c r="AQ135" s="170" t="str">
        <f t="shared" si="63"/>
        <v>0.837812836051612+0.0383810060857783i</v>
      </c>
      <c r="AR135" s="170" t="str">
        <f t="shared" si="64"/>
        <v>0.992173257821041-0.0454524044129469i</v>
      </c>
    </row>
    <row r="136" spans="7:44">
      <c r="G136" s="688">
        <v>7499.45</v>
      </c>
      <c r="H136" s="676">
        <f t="shared" si="56"/>
        <v>7.4994499999999995</v>
      </c>
      <c r="I136" s="677">
        <f t="shared" si="34"/>
        <v>92.451330442251788</v>
      </c>
      <c r="J136" s="678">
        <f t="shared" si="35"/>
        <v>1.5599796138747521</v>
      </c>
      <c r="K136" s="678">
        <f t="shared" si="36"/>
        <v>1.000234883889537</v>
      </c>
      <c r="L136" s="679">
        <f t="shared" si="37"/>
        <v>2.1672006062299118E-2</v>
      </c>
      <c r="M136" s="678">
        <f t="shared" si="38"/>
        <v>1.0008101997008088</v>
      </c>
      <c r="N136" s="679">
        <f t="shared" si="39"/>
        <v>-4.0240602855973397E-2</v>
      </c>
      <c r="O136" s="677">
        <f t="shared" si="40"/>
        <v>84816.781202448081</v>
      </c>
      <c r="P136" s="680">
        <f t="shared" si="41"/>
        <v>1.5707845366752311</v>
      </c>
      <c r="Q136" s="689">
        <f t="shared" si="42"/>
        <v>40.159062186922014</v>
      </c>
      <c r="R136" s="690">
        <f t="shared" si="43"/>
        <v>1.54589277283927</v>
      </c>
      <c r="S136" s="677">
        <f t="shared" si="44"/>
        <v>1.0482837343737719</v>
      </c>
      <c r="T136" s="680">
        <f t="shared" si="45"/>
        <v>0.30468931020472723</v>
      </c>
      <c r="U136" s="681">
        <f t="shared" si="57"/>
        <v>0.99078129361770073</v>
      </c>
      <c r="V136" s="682">
        <f t="shared" si="58"/>
        <v>-0.16383505702694068</v>
      </c>
      <c r="W136" s="683">
        <f t="shared" si="46"/>
        <v>-0.27917323830446883</v>
      </c>
      <c r="X136" s="684">
        <f t="shared" si="47"/>
        <v>-118.71481221872925</v>
      </c>
      <c r="Y136" s="687">
        <f t="shared" si="48"/>
        <v>61.28518778127075</v>
      </c>
      <c r="AA136" s="170">
        <f t="shared" si="49"/>
        <v>7499.45</v>
      </c>
      <c r="AB136" s="170">
        <f t="shared" si="50"/>
        <v>56241750.302499995</v>
      </c>
      <c r="AD136" s="686">
        <f t="shared" si="51"/>
        <v>38.201908668162773</v>
      </c>
      <c r="AE136" s="687">
        <f t="shared" si="52"/>
        <v>-18.883604571497802</v>
      </c>
      <c r="AG136" s="686">
        <f t="shared" si="53"/>
        <v>16.771868732819613</v>
      </c>
      <c r="AH136" s="687">
        <f t="shared" si="54"/>
        <v>-81.057093017921147</v>
      </c>
      <c r="AJ136" s="170">
        <f t="shared" si="55"/>
        <v>0</v>
      </c>
      <c r="AK136" s="170">
        <f t="shared" si="65"/>
        <v>0</v>
      </c>
      <c r="AM136" s="170" t="str">
        <f t="shared" si="59"/>
        <v>0.0275039032971121+0.232919174602795i</v>
      </c>
      <c r="AN136" s="170" t="str">
        <f t="shared" si="60"/>
        <v>0.235078343117188i</v>
      </c>
      <c r="AO136" s="170" t="str">
        <f t="shared" si="61"/>
        <v>0.990815110887026-0.116998881872335i</v>
      </c>
      <c r="AP136" s="170" t="str">
        <f t="shared" si="62"/>
        <v>0.162082682783815-0.0388198624337992i</v>
      </c>
      <c r="AQ136" s="170" t="str">
        <f t="shared" si="63"/>
        <v>0.837917317216185+0.0388198624337992i</v>
      </c>
      <c r="AR136" s="170" t="str">
        <f t="shared" si="64"/>
        <v>0.992002291501098-0.0459584635606125i</v>
      </c>
    </row>
    <row r="137" spans="7:44">
      <c r="G137" s="688">
        <v>7585.8</v>
      </c>
      <c r="H137" s="676">
        <f t="shared" si="56"/>
        <v>7.5857999999999999</v>
      </c>
      <c r="I137" s="677">
        <f t="shared" si="34"/>
        <v>93.515707655789754</v>
      </c>
      <c r="J137" s="678">
        <f t="shared" si="35"/>
        <v>1.5601027322731889</v>
      </c>
      <c r="K137" s="678">
        <f t="shared" si="36"/>
        <v>1.0002403233657202</v>
      </c>
      <c r="L137" s="679">
        <f t="shared" si="37"/>
        <v>2.1921461910878428E-2</v>
      </c>
      <c r="M137" s="678">
        <f t="shared" si="38"/>
        <v>1.0008289569094326</v>
      </c>
      <c r="N137" s="679">
        <f t="shared" si="39"/>
        <v>-4.0703431622297677E-2</v>
      </c>
      <c r="O137" s="677">
        <f t="shared" si="40"/>
        <v>85793.376693559971</v>
      </c>
      <c r="P137" s="680">
        <f t="shared" si="41"/>
        <v>1.5707846708834665</v>
      </c>
      <c r="Q137" s="689">
        <f t="shared" si="42"/>
        <v>40.621175682005628</v>
      </c>
      <c r="R137" s="690">
        <f t="shared" si="43"/>
        <v>1.5461761375469627</v>
      </c>
      <c r="S137" s="677">
        <f t="shared" si="44"/>
        <v>1.0493757076572097</v>
      </c>
      <c r="T137" s="680">
        <f t="shared" si="45"/>
        <v>0.30798100334831707</v>
      </c>
      <c r="U137" s="681">
        <f t="shared" si="57"/>
        <v>0.99057965328341002</v>
      </c>
      <c r="V137" s="682">
        <f t="shared" si="58"/>
        <v>-0.16570480259572562</v>
      </c>
      <c r="W137" s="683">
        <f t="shared" si="46"/>
        <v>-0.38926324252389266</v>
      </c>
      <c r="X137" s="684">
        <f t="shared" si="47"/>
        <v>-119.01359249351684</v>
      </c>
      <c r="Y137" s="687">
        <f t="shared" si="48"/>
        <v>60.986407506483161</v>
      </c>
      <c r="AA137" s="170">
        <f t="shared" si="49"/>
        <v>7585.8</v>
      </c>
      <c r="AB137" s="170">
        <f t="shared" si="50"/>
        <v>57544361.640000001</v>
      </c>
      <c r="AD137" s="686">
        <f t="shared" si="51"/>
        <v>38.19280452582516</v>
      </c>
      <c r="AE137" s="687">
        <f t="shared" si="52"/>
        <v>-19.055976784026324</v>
      </c>
      <c r="AG137" s="686">
        <f t="shared" si="53"/>
        <v>16.674418674344079</v>
      </c>
      <c r="AH137" s="687">
        <f t="shared" si="54"/>
        <v>-80.969244020226114</v>
      </c>
      <c r="AJ137" s="170">
        <f t="shared" si="55"/>
        <v>0</v>
      </c>
      <c r="AK137" s="170">
        <f t="shared" si="65"/>
        <v>0</v>
      </c>
      <c r="AM137" s="170" t="str">
        <f t="shared" si="59"/>
        <v>0.028137915183344+0.235550606231067i</v>
      </c>
      <c r="AN137" s="170" t="str">
        <f t="shared" si="60"/>
        <v>0.237785076934757i</v>
      </c>
      <c r="AO137" s="170" t="str">
        <f t="shared" si="61"/>
        <v>0.990602981766164-0.118333393945762i</v>
      </c>
      <c r="AP137" s="170" t="str">
        <f t="shared" si="62"/>
        <v>0.161977014136109-0.0392584343718445i</v>
      </c>
      <c r="AQ137" s="170" t="str">
        <f t="shared" si="63"/>
        <v>0.838022985863891+0.0392584343718445i</v>
      </c>
      <c r="AR137" s="170" t="str">
        <f t="shared" si="64"/>
        <v>0.991829485315069-0.0464637288166533i</v>
      </c>
    </row>
    <row r="138" spans="7:44">
      <c r="G138" s="688">
        <v>7674.15</v>
      </c>
      <c r="H138" s="676">
        <f t="shared" si="56"/>
        <v>7.67415</v>
      </c>
      <c r="I138" s="677">
        <f t="shared" si="34"/>
        <v>94.60473893107627</v>
      </c>
      <c r="J138" s="678">
        <f t="shared" si="35"/>
        <v>1.5602258349348535</v>
      </c>
      <c r="K138" s="678">
        <f t="shared" si="36"/>
        <v>1.0002459532502455</v>
      </c>
      <c r="L138" s="679">
        <f t="shared" si="37"/>
        <v>2.2176692719567945E-2</v>
      </c>
      <c r="M138" s="678">
        <f t="shared" si="38"/>
        <v>1.0008483704495568</v>
      </c>
      <c r="N138" s="679">
        <f t="shared" si="39"/>
        <v>-4.117696216148696E-2</v>
      </c>
      <c r="O138" s="677">
        <f t="shared" si="40"/>
        <v>86792.591651751864</v>
      </c>
      <c r="P138" s="680">
        <f t="shared" si="41"/>
        <v>1.5707848050741946</v>
      </c>
      <c r="Q138" s="689">
        <f t="shared" si="42"/>
        <v>41.093995741842868</v>
      </c>
      <c r="R138" s="690">
        <f t="shared" si="43"/>
        <v>1.5464594692433258</v>
      </c>
      <c r="S138" s="677">
        <f t="shared" si="44"/>
        <v>1.0505047162309067</v>
      </c>
      <c r="T138" s="680">
        <f t="shared" si="45"/>
        <v>0.3113418169696836</v>
      </c>
      <c r="U138" s="681">
        <f t="shared" si="57"/>
        <v>0.990371075956056</v>
      </c>
      <c r="V138" s="682">
        <f t="shared" si="58"/>
        <v>-0.16761727006654606</v>
      </c>
      <c r="W138" s="683">
        <f t="shared" si="46"/>
        <v>-0.50084176818376003</v>
      </c>
      <c r="X138" s="684">
        <f t="shared" si="47"/>
        <v>-119.31906413897957</v>
      </c>
      <c r="Y138" s="687">
        <f t="shared" si="48"/>
        <v>60.68093586102043</v>
      </c>
      <c r="AA138" s="170">
        <f t="shared" si="49"/>
        <v>7674.15</v>
      </c>
      <c r="AB138" s="170">
        <f t="shared" si="50"/>
        <v>58892578.222499996</v>
      </c>
      <c r="AD138" s="686">
        <f t="shared" si="51"/>
        <v>38.183404269371685</v>
      </c>
      <c r="AE138" s="687">
        <f t="shared" si="52"/>
        <v>-19.232311198620682</v>
      </c>
      <c r="AG138" s="686">
        <f t="shared" si="53"/>
        <v>16.575898607487403</v>
      </c>
      <c r="AH138" s="687">
        <f t="shared" si="54"/>
        <v>-80.87922862177588</v>
      </c>
      <c r="AJ138" s="170">
        <f t="shared" si="55"/>
        <v>0</v>
      </c>
      <c r="AK138" s="170">
        <f t="shared" si="65"/>
        <v>0</v>
      </c>
      <c r="AM138" s="170" t="str">
        <f t="shared" si="59"/>
        <v>0.028793981269116+0.238241199587532i</v>
      </c>
      <c r="AN138" s="170" t="str">
        <f t="shared" si="60"/>
        <v>0.240554502907915i</v>
      </c>
      <c r="AO138" s="170" t="str">
        <f t="shared" si="61"/>
        <v>0.990383454508567-0.11969836740133i</v>
      </c>
      <c r="AP138" s="170" t="str">
        <f t="shared" si="62"/>
        <v>0.161867669788481-0.039706866597922i</v>
      </c>
      <c r="AQ138" s="170" t="str">
        <f t="shared" si="63"/>
        <v>0.838132330211519+0.039706866597922i</v>
      </c>
      <c r="AR138" s="170" t="str">
        <f t="shared" si="64"/>
        <v>0.99165077726047-0.0469798666691094i</v>
      </c>
    </row>
    <row r="139" spans="7:44">
      <c r="G139" s="688">
        <v>7762.5</v>
      </c>
      <c r="H139" s="676">
        <f t="shared" si="56"/>
        <v>7.7625000000000002</v>
      </c>
      <c r="I139" s="677">
        <f t="shared" si="34"/>
        <v>95.693771607396783</v>
      </c>
      <c r="J139" s="678">
        <f t="shared" si="35"/>
        <v>1.5603461356851027</v>
      </c>
      <c r="K139" s="678">
        <f t="shared" si="36"/>
        <v>1.0002516482928225</v>
      </c>
      <c r="L139" s="679">
        <f t="shared" si="37"/>
        <v>2.2431920638514298E-2</v>
      </c>
      <c r="M139" s="678">
        <f t="shared" si="38"/>
        <v>1.0008680084023482</v>
      </c>
      <c r="N139" s="679">
        <f t="shared" si="39"/>
        <v>-4.1650474224637725E-2</v>
      </c>
      <c r="O139" s="677">
        <f t="shared" si="40"/>
        <v>87791.806609945314</v>
      </c>
      <c r="P139" s="680">
        <f t="shared" si="41"/>
        <v>1.5707849362103006</v>
      </c>
      <c r="Q139" s="689">
        <f t="shared" si="42"/>
        <v>41.566819025527003</v>
      </c>
      <c r="R139" s="690">
        <f t="shared" si="43"/>
        <v>1.5467363551556261</v>
      </c>
      <c r="S139" s="677">
        <f t="shared" si="44"/>
        <v>1.0516455647721432</v>
      </c>
      <c r="T139" s="680">
        <f t="shared" si="45"/>
        <v>0.31469537663059532</v>
      </c>
      <c r="U139" s="681">
        <f t="shared" si="57"/>
        <v>0.99016021016004097</v>
      </c>
      <c r="V139" s="682">
        <f t="shared" si="58"/>
        <v>-0.16952914021059129</v>
      </c>
      <c r="W139" s="683">
        <f t="shared" si="46"/>
        <v>-0.6113730246107445</v>
      </c>
      <c r="X139" s="684">
        <f t="shared" si="47"/>
        <v>-119.62429364929781</v>
      </c>
      <c r="Y139" s="687">
        <f t="shared" si="48"/>
        <v>60.375706350702188</v>
      </c>
      <c r="AA139" s="170">
        <f t="shared" si="49"/>
        <v>7762.5</v>
      </c>
      <c r="AB139" s="170">
        <f t="shared" si="50"/>
        <v>60256406.25</v>
      </c>
      <c r="AD139" s="686">
        <f t="shared" si="51"/>
        <v>38.173918299559098</v>
      </c>
      <c r="AE139" s="687">
        <f t="shared" si="52"/>
        <v>-19.40859913310166</v>
      </c>
      <c r="AG139" s="686">
        <f t="shared" si="53"/>
        <v>16.478552443532443</v>
      </c>
      <c r="AH139" s="687">
        <f t="shared" si="54"/>
        <v>-80.789086016901081</v>
      </c>
      <c r="AJ139" s="170">
        <f t="shared" si="55"/>
        <v>0</v>
      </c>
      <c r="AK139" s="170">
        <f t="shared" si="65"/>
        <v>0</v>
      </c>
      <c r="AM139" s="170" t="str">
        <f t="shared" si="59"/>
        <v>0.029457496228568+0.240929965701819i</v>
      </c>
      <c r="AN139" s="170" t="str">
        <f t="shared" si="60"/>
        <v>0.243323928881074i</v>
      </c>
      <c r="AO139" s="170" t="str">
        <f t="shared" si="61"/>
        <v>0.990161414907841-0.121062882569866i</v>
      </c>
      <c r="AP139" s="170" t="str">
        <f t="shared" si="62"/>
        <v>0.161757083961905-0.0401549942836365i</v>
      </c>
      <c r="AQ139" s="170" t="str">
        <f t="shared" si="63"/>
        <v>0.838242916038095+0.0401549942836365i</v>
      </c>
      <c r="AR139" s="170" t="str">
        <f t="shared" si="64"/>
        <v>0.991470153064589-0.04749515631683i</v>
      </c>
    </row>
    <row r="140" spans="7:44">
      <c r="G140" s="688">
        <v>7852.9</v>
      </c>
      <c r="H140" s="676">
        <f t="shared" si="56"/>
        <v>7.8529</v>
      </c>
      <c r="I140" s="677">
        <f t="shared" si="34"/>
        <v>96.808074694039348</v>
      </c>
      <c r="J140" s="678">
        <f t="shared" si="35"/>
        <v>1.5604664262379833</v>
      </c>
      <c r="K140" s="678">
        <f t="shared" si="36"/>
        <v>1.000257542920677</v>
      </c>
      <c r="L140" s="679">
        <f t="shared" si="37"/>
        <v>2.2693067628321646E-2</v>
      </c>
      <c r="M140" s="678">
        <f t="shared" si="38"/>
        <v>1.0008883342878072</v>
      </c>
      <c r="N140" s="679">
        <f t="shared" si="39"/>
        <v>-4.2134953923906378E-2</v>
      </c>
      <c r="O140" s="677">
        <f t="shared" si="40"/>
        <v>88814.206521895743</v>
      </c>
      <c r="P140" s="680">
        <f t="shared" si="41"/>
        <v>1.5707850673349613</v>
      </c>
      <c r="Q140" s="689">
        <f t="shared" si="42"/>
        <v>42.050616531357349</v>
      </c>
      <c r="R140" s="690">
        <f t="shared" si="43"/>
        <v>1.5470132205908329</v>
      </c>
      <c r="S140" s="677">
        <f t="shared" si="44"/>
        <v>1.0528250997069213</v>
      </c>
      <c r="T140" s="680">
        <f t="shared" si="45"/>
        <v>0.31811918716995086</v>
      </c>
      <c r="U140" s="681">
        <f t="shared" si="57"/>
        <v>0.98994208730182198</v>
      </c>
      <c r="V140" s="682">
        <f t="shared" si="58"/>
        <v>-0.17148474688772736</v>
      </c>
      <c r="W140" s="683">
        <f t="shared" si="46"/>
        <v>-0.72341154500214455</v>
      </c>
      <c r="X140" s="684">
        <f t="shared" si="47"/>
        <v>-119.93634400703331</v>
      </c>
      <c r="Y140" s="687">
        <f t="shared" si="48"/>
        <v>60.063655992966687</v>
      </c>
      <c r="AA140" s="170">
        <f t="shared" si="49"/>
        <v>7852.9</v>
      </c>
      <c r="AB140" s="170">
        <f t="shared" si="50"/>
        <v>61668038.409999996</v>
      </c>
      <c r="AD140" s="686">
        <f t="shared" si="51"/>
        <v>38.164124050532003</v>
      </c>
      <c r="AE140" s="687">
        <f t="shared" si="52"/>
        <v>-19.588913319024432</v>
      </c>
      <c r="AG140" s="686">
        <f t="shared" si="53"/>
        <v>16.380135431162024</v>
      </c>
      <c r="AH140" s="687">
        <f t="shared" si="54"/>
        <v>-80.696726170482762</v>
      </c>
      <c r="AJ140" s="170">
        <f t="shared" si="55"/>
        <v>0</v>
      </c>
      <c r="AK140" s="170">
        <f t="shared" si="65"/>
        <v>0</v>
      </c>
      <c r="AM140" s="170" t="str">
        <f t="shared" si="59"/>
        <v>0.030144111664435+0.243679206870081i</v>
      </c>
      <c r="AN140" s="170" t="str">
        <f t="shared" si="60"/>
        <v>0.246157614313711i</v>
      </c>
      <c r="AO140" s="170" t="str">
        <f t="shared" si="61"/>
        <v>0.989931623888459-0.122458579022538i</v>
      </c>
      <c r="AP140" s="170" t="str">
        <f t="shared" si="62"/>
        <v>0.161642648055928-0.0406132011450135i</v>
      </c>
      <c r="AQ140" s="170" t="str">
        <f t="shared" si="63"/>
        <v>0.838357351944072+0.0406132011450135i</v>
      </c>
      <c r="AR140" s="170" t="str">
        <f t="shared" si="64"/>
        <v>0.991283359785489-0.0480215153947366i</v>
      </c>
    </row>
    <row r="141" spans="7:44">
      <c r="G141" s="688">
        <v>7943.3</v>
      </c>
      <c r="H141" s="676">
        <f t="shared" si="56"/>
        <v>7.9432999999999998</v>
      </c>
      <c r="I141" s="677">
        <f t="shared" ref="I141:I204" si="66">SQRT(1+(G141/pole1)^2)</f>
        <v>97.922379149596466</v>
      </c>
      <c r="J141" s="678">
        <f t="shared" ref="J141:J204" si="67">ATAN(G141/pole1)</f>
        <v>1.5605839791078442</v>
      </c>
      <c r="K141" s="678">
        <f t="shared" ref="K141:K204" si="68">SQRT(1+(G141/Zero1)^2)</f>
        <v>1.0002635057630389</v>
      </c>
      <c r="L141" s="679">
        <f t="shared" ref="L141:L204" si="69">ATAN(G141/Zero1)</f>
        <v>2.2954211522402006E-2</v>
      </c>
      <c r="M141" s="678">
        <f t="shared" ref="M141:M204" si="70">SQRT(1+(G141/z_RHP)^2)</f>
        <v>1.000908895092782</v>
      </c>
      <c r="N141" s="679">
        <f t="shared" ref="N141:N204" si="71">-ATAN(G141/z_RHP)</f>
        <v>-4.2619413832389735E-2</v>
      </c>
      <c r="O141" s="677">
        <f t="shared" ref="O141:O204" si="72">SQRT(1+(G141/Pole2)^2)</f>
        <v>89836.606433847672</v>
      </c>
      <c r="P141" s="680">
        <f t="shared" ref="P141:P204" si="73">ATAN(G141/Pole2)</f>
        <v>1.5707851954750514</v>
      </c>
      <c r="Q141" s="689">
        <f t="shared" ref="Q141:Q147" si="74">SQRT(1+(G141/Zero2)^2)</f>
        <v>42.534417187228392</v>
      </c>
      <c r="R141" s="690">
        <f t="shared" ref="R141:R147" si="75">ATAN(G141/Zero2)</f>
        <v>1.5472837877266747</v>
      </c>
      <c r="S141" s="677">
        <f t="shared" ref="S141:S204" si="76">SQRT(1+(G141/pole4)^2)</f>
        <v>1.0540169486542494</v>
      </c>
      <c r="T141" s="680">
        <f t="shared" ref="T141:T204" si="77">ATAN(G141/pole4)</f>
        <v>0.32153529460665947</v>
      </c>
      <c r="U141" s="681">
        <f t="shared" si="57"/>
        <v>0.98972157757724077</v>
      </c>
      <c r="V141" s="682">
        <f t="shared" si="58"/>
        <v>-0.17343971473935746</v>
      </c>
      <c r="W141" s="683">
        <f t="shared" ref="W141:W204" si="78">20*LOG10(((K141*Q141*M141*U141)/(I141*O141*S141))*Adc)</f>
        <v>-0.8344066802395862</v>
      </c>
      <c r="X141" s="684">
        <f t="shared" ref="X141:X204" si="79">((L141+R141+N141+V141)-(J141+P141+T141))*radconv</f>
        <v>-120.2481192882217</v>
      </c>
      <c r="Y141" s="687">
        <f t="shared" ref="Y141:Y204" si="80">IF(X141&gt;0,X141,X141+180)</f>
        <v>59.751880711778298</v>
      </c>
      <c r="AA141" s="170">
        <f t="shared" ref="AA141:AA204" si="81">IF(W141&lt;0,G141,1000000000)</f>
        <v>7943.3</v>
      </c>
      <c r="AB141" s="170">
        <f t="shared" ref="AB141:AB204" si="82">G141^2</f>
        <v>63096014.890000001</v>
      </c>
      <c r="AD141" s="686">
        <f t="shared" ref="AD141:AD204" si="83">20*LOG10((Q141/(O141*S141))*Aea)</f>
        <v>38.154241179198259</v>
      </c>
      <c r="AE141" s="687">
        <f t="shared" ref="AE141:AE204" si="84">(R141-(P141+T141))*radconv</f>
        <v>-19.769146844644698</v>
      </c>
      <c r="AG141" s="686">
        <f t="shared" ref="AG141:AG204" si="85">20*LOG10((K141*M141/(I141*U141))*Acs*Am)</f>
        <v>16.282893164316377</v>
      </c>
      <c r="AH141" s="687">
        <f t="shared" ref="AH141:AH204" si="86">(L141+N141-(J141+V141))*radconv</f>
        <v>-80.604245111830579</v>
      </c>
      <c r="AJ141" s="170">
        <f t="shared" ref="AJ141:AJ204" si="87">SUM((W142&lt;0)*(W141&gt;0))*G141</f>
        <v>0</v>
      </c>
      <c r="AK141" s="170">
        <f t="shared" si="65"/>
        <v>0</v>
      </c>
      <c r="AM141" s="170" t="str">
        <f t="shared" si="59"/>
        <v>0.0308385148178441+0.246426491350905i</v>
      </c>
      <c r="AN141" s="170" t="str">
        <f t="shared" si="60"/>
        <v>0.248991299746349i</v>
      </c>
      <c r="AO141" s="170" t="str">
        <f t="shared" si="61"/>
        <v>0.989699204759135-0.123853784647334i</v>
      </c>
      <c r="AP141" s="170" t="str">
        <f t="shared" si="62"/>
        <v>0.161526914197026-0.0410710818918175i</v>
      </c>
      <c r="AQ141" s="170" t="str">
        <f t="shared" si="63"/>
        <v>0.838473085802974+0.0410710818918175i</v>
      </c>
      <c r="AR141" s="170" t="str">
        <f t="shared" si="64"/>
        <v>0.991094571263916-0.0485469682785752i</v>
      </c>
    </row>
    <row r="142" spans="7:44">
      <c r="G142" s="688">
        <v>8035.8</v>
      </c>
      <c r="H142" s="676">
        <f t="shared" ref="H142:H205" si="88">G142/1000</f>
        <v>8.0358000000000001</v>
      </c>
      <c r="I142" s="677">
        <f t="shared" si="66"/>
        <v>99.062570365064062</v>
      </c>
      <c r="J142" s="678">
        <f t="shared" si="67"/>
        <v>1.5607015252902896</v>
      </c>
      <c r="K142" s="678">
        <f t="shared" si="68"/>
        <v>1.0002696777313405</v>
      </c>
      <c r="L142" s="679">
        <f t="shared" si="69"/>
        <v>2.3221418570722536E-2</v>
      </c>
      <c r="M142" s="678">
        <f t="shared" si="70"/>
        <v>1.0009301766806762</v>
      </c>
      <c r="N142" s="679">
        <f t="shared" si="71"/>
        <v>-4.311510706574697E-2</v>
      </c>
      <c r="O142" s="677">
        <f t="shared" si="72"/>
        <v>90882.756786233615</v>
      </c>
      <c r="P142" s="680">
        <f t="shared" si="73"/>
        <v>1.5707853236075442</v>
      </c>
      <c r="Q142" s="689">
        <f t="shared" si="74"/>
        <v>43.029459724968874</v>
      </c>
      <c r="R142" s="690">
        <f t="shared" si="75"/>
        <v>1.5475543422636613</v>
      </c>
      <c r="S142" s="677">
        <f t="shared" si="76"/>
        <v>1.055249187250312</v>
      </c>
      <c r="T142" s="680">
        <f t="shared" si="77"/>
        <v>0.32502272913025626</v>
      </c>
      <c r="U142" s="681">
        <f t="shared" ref="U142:U205" si="89">IMABS(IMPRODUCT(AO142, AR142))</f>
        <v>0.98949347954693623</v>
      </c>
      <c r="V142" s="682">
        <f t="shared" ref="V142:V205" si="90">IMARGUMENT(IMPRODUCT(AO142, AR142))</f>
        <v>-0.17543942833920304</v>
      </c>
      <c r="W142" s="683">
        <f t="shared" si="78"/>
        <v>-0.9469267456267666</v>
      </c>
      <c r="X142" s="684">
        <f t="shared" si="79"/>
        <v>-120.56684162020754</v>
      </c>
      <c r="Y142" s="687">
        <f t="shared" si="80"/>
        <v>59.433158379792459</v>
      </c>
      <c r="AA142" s="170">
        <f t="shared" si="81"/>
        <v>8035.8</v>
      </c>
      <c r="AB142" s="170">
        <f t="shared" si="82"/>
        <v>64574081.640000001</v>
      </c>
      <c r="AD142" s="686">
        <f t="shared" si="83"/>
        <v>38.144037594056677</v>
      </c>
      <c r="AE142" s="687">
        <f t="shared" si="84"/>
        <v>-19.95346783273925</v>
      </c>
      <c r="AG142" s="686">
        <f t="shared" si="85"/>
        <v>16.184580765021007</v>
      </c>
      <c r="AH142" s="687">
        <f t="shared" si="86"/>
        <v>-80.509496156447895</v>
      </c>
      <c r="AJ142" s="170">
        <f t="shared" si="87"/>
        <v>0</v>
      </c>
      <c r="AK142" s="170">
        <f t="shared" si="65"/>
        <v>0</v>
      </c>
      <c r="AM142" s="170" t="str">
        <f t="shared" ref="AM142:AM205" si="91">IMSUB(1,IMEXP(COMPLEX(0,-2*Pi*G142*Tsw)))</f>
        <v>0.031557104384058+0.249235547085502i</v>
      </c>
      <c r="AN142" s="170" t="str">
        <f t="shared" ref="AN142:AN205" si="92">COMPLEX(0, 2*Pi*G142*Tsw)</f>
        <v>0.251890811942355i</v>
      </c>
      <c r="AO142" s="170" t="str">
        <f t="shared" ref="AO142:AO205" si="93">IMDIV(AM142, AN142)</f>
        <v>0.989458667283741-0.125280887145974i</v>
      </c>
      <c r="AP142" s="170" t="str">
        <f t="shared" ref="AP142:AP205" si="94">IMDIV(IMEXP(COMPLEX(0,-2*Pi*G142*Tsw)),6)</f>
        <v>0.161407149269324-0.0415392578475837i</v>
      </c>
      <c r="AQ142" s="170" t="str">
        <f t="shared" ref="AQ142:AQ205" si="95">IMSUB(1, AP142)</f>
        <v>0.838592850730676+0.0415392578475837i</v>
      </c>
      <c r="AR142" s="170" t="str">
        <f t="shared" ref="AR142:AR205" si="96">IMDIV(0.833, AQ142)</f>
        <v>0.990899337668667-0.0490836799437944i</v>
      </c>
    </row>
    <row r="143" spans="7:44">
      <c r="G143" s="688">
        <v>8128.3</v>
      </c>
      <c r="H143" s="676">
        <f t="shared" si="88"/>
        <v>8.1282999999999994</v>
      </c>
      <c r="I143" s="677">
        <f t="shared" si="66"/>
        <v>100.20276291813984</v>
      </c>
      <c r="J143" s="678">
        <f t="shared" si="67"/>
        <v>1.5608163963927282</v>
      </c>
      <c r="K143" s="678">
        <f t="shared" si="68"/>
        <v>1.0002759211176193</v>
      </c>
      <c r="L143" s="679">
        <f t="shared" si="69"/>
        <v>2.3488622302487834E-2</v>
      </c>
      <c r="M143" s="678">
        <f t="shared" si="70"/>
        <v>1.0009517041984142</v>
      </c>
      <c r="N143" s="679">
        <f t="shared" si="71"/>
        <v>-4.3610779099094603E-2</v>
      </c>
      <c r="O143" s="677">
        <f t="shared" si="72"/>
        <v>91928.907138620998</v>
      </c>
      <c r="P143" s="680">
        <f t="shared" si="73"/>
        <v>1.5707854488237432</v>
      </c>
      <c r="Q143" s="689">
        <f t="shared" si="74"/>
        <v>43.524505340805575</v>
      </c>
      <c r="R143" s="690">
        <f t="shared" si="75"/>
        <v>1.5478187422712355</v>
      </c>
      <c r="S143" s="677">
        <f t="shared" si="76"/>
        <v>1.0564942299685003</v>
      </c>
      <c r="T143" s="680">
        <f t="shared" si="77"/>
        <v>0.32850198623930932</v>
      </c>
      <c r="U143" s="681">
        <f t="shared" si="89"/>
        <v>0.98926289233609099</v>
      </c>
      <c r="V143" s="682">
        <f t="shared" si="90"/>
        <v>-0.17743845875172015</v>
      </c>
      <c r="W143" s="683">
        <f t="shared" si="78"/>
        <v>-1.0584073088323851</v>
      </c>
      <c r="X143" s="684">
        <f t="shared" si="79"/>
        <v>-120.88525444312995</v>
      </c>
      <c r="Y143" s="687">
        <f t="shared" si="80"/>
        <v>59.114745556870048</v>
      </c>
      <c r="AA143" s="170">
        <f t="shared" si="81"/>
        <v>8128.3</v>
      </c>
      <c r="AB143" s="170">
        <f t="shared" si="82"/>
        <v>66069260.890000001</v>
      </c>
      <c r="AD143" s="686">
        <f t="shared" si="83"/>
        <v>38.133742448538548</v>
      </c>
      <c r="AE143" s="687">
        <f t="shared" si="84"/>
        <v>-20.137672750961851</v>
      </c>
      <c r="AG143" s="686">
        <f t="shared" si="85"/>
        <v>16.087444062178612</v>
      </c>
      <c r="AH143" s="687">
        <f t="shared" si="86"/>
        <v>-80.414632049374902</v>
      </c>
      <c r="AJ143" s="170">
        <f t="shared" si="87"/>
        <v>0</v>
      </c>
      <c r="AK143" s="170">
        <f t="shared" si="65"/>
        <v>0</v>
      </c>
      <c r="AM143" s="170" t="str">
        <f t="shared" si="91"/>
        <v>0.0322838358095709+0.252042507455711i</v>
      </c>
      <c r="AN143" s="170" t="str">
        <f t="shared" si="92"/>
        <v>0.254790324138362i</v>
      </c>
      <c r="AO143" s="170" t="str">
        <f t="shared" si="93"/>
        <v>0.989215380560689-0.126707463946077i</v>
      </c>
      <c r="AP143" s="170" t="str">
        <f t="shared" si="94"/>
        <v>0.161286027365071-0.0420070845759518i</v>
      </c>
      <c r="AQ143" s="170" t="str">
        <f t="shared" si="95"/>
        <v>0.838713972634929+0.0420070845759518i</v>
      </c>
      <c r="AR143" s="170" t="str">
        <f t="shared" si="96"/>
        <v>0.990702026900175-0.049619423535796i</v>
      </c>
    </row>
    <row r="144" spans="7:44">
      <c r="G144" s="688">
        <v>8222.9500000000007</v>
      </c>
      <c r="H144" s="676">
        <f t="shared" si="88"/>
        <v>8.2229500000000009</v>
      </c>
      <c r="I144" s="677">
        <f t="shared" si="66"/>
        <v>101.36945858159226</v>
      </c>
      <c r="J144" s="678">
        <f t="shared" si="67"/>
        <v>1.5609312625626097</v>
      </c>
      <c r="K144" s="678">
        <f t="shared" si="68"/>
        <v>1.0002823835462962</v>
      </c>
      <c r="L144" s="679">
        <f t="shared" si="69"/>
        <v>2.376203324276675E-2</v>
      </c>
      <c r="M144" s="678">
        <f t="shared" si="70"/>
        <v>1.0009739866395162</v>
      </c>
      <c r="N144" s="679">
        <f t="shared" si="71"/>
        <v>-4.4117949960570946E-2</v>
      </c>
      <c r="O144" s="677">
        <f t="shared" si="72"/>
        <v>92999.373418119401</v>
      </c>
      <c r="P144" s="680">
        <f t="shared" si="73"/>
        <v>1.5707855740342782</v>
      </c>
      <c r="Q144" s="689">
        <f t="shared" si="74"/>
        <v>44.031060500250284</v>
      </c>
      <c r="R144" s="690">
        <f t="shared" si="75"/>
        <v>1.5480831335322844</v>
      </c>
      <c r="S144" s="677">
        <f t="shared" si="76"/>
        <v>1.0577814183456982</v>
      </c>
      <c r="T144" s="680">
        <f t="shared" si="77"/>
        <v>0.33205359025487341</v>
      </c>
      <c r="U144" s="681">
        <f t="shared" si="89"/>
        <v>0.98902437417460509</v>
      </c>
      <c r="V144" s="682">
        <f t="shared" si="90"/>
        <v>-0.17948323839213451</v>
      </c>
      <c r="W144" s="683">
        <f t="shared" si="78"/>
        <v>-1.1714294789163653</v>
      </c>
      <c r="X144" s="684">
        <f t="shared" si="79"/>
        <v>-121.21073708180936</v>
      </c>
      <c r="Y144" s="687">
        <f t="shared" si="80"/>
        <v>58.789262918190644</v>
      </c>
      <c r="AA144" s="170">
        <f t="shared" si="81"/>
        <v>8222.9500000000007</v>
      </c>
      <c r="AB144" s="170">
        <f t="shared" si="82"/>
        <v>67616906.702500015</v>
      </c>
      <c r="AD144" s="686">
        <f t="shared" si="83"/>
        <v>38.123113892407353</v>
      </c>
      <c r="AE144" s="687">
        <f t="shared" si="84"/>
        <v>-20.326023342407577</v>
      </c>
      <c r="AG144" s="686">
        <f t="shared" si="85"/>
        <v>15.989239410005949</v>
      </c>
      <c r="AH144" s="687">
        <f t="shared" si="86"/>
        <v>-80.317449609480803</v>
      </c>
      <c r="AJ144" s="170">
        <f t="shared" si="87"/>
        <v>0</v>
      </c>
      <c r="AK144" s="170">
        <f t="shared" si="65"/>
        <v>0</v>
      </c>
      <c r="AM144" s="170" t="str">
        <f t="shared" si="91"/>
        <v>0.033035880379983+0.254912517086716i</v>
      </c>
      <c r="AN144" s="170" t="str">
        <f t="shared" si="92"/>
        <v>0.257757230401626i</v>
      </c>
      <c r="AO144" s="170" t="str">
        <f t="shared" si="93"/>
        <v>0.988963594501394-0.128166648627113i</v>
      </c>
      <c r="AP144" s="170" t="str">
        <f t="shared" si="94"/>
        <v>0.161160686603336-0.0424854195144527i</v>
      </c>
      <c r="AQ144" s="170" t="str">
        <f t="shared" si="95"/>
        <v>0.838839313396664+0.0424854195144527i</v>
      </c>
      <c r="AR144" s="170" t="str">
        <f t="shared" si="96"/>
        <v>0.990497986171435-0.0501666073569142i</v>
      </c>
    </row>
    <row r="145" spans="7:44">
      <c r="G145" s="688">
        <v>8270.2750000000015</v>
      </c>
      <c r="H145" s="676">
        <f t="shared" si="88"/>
        <v>8.2702750000000016</v>
      </c>
      <c r="I145" s="677">
        <f t="shared" si="66"/>
        <v>101.95280690626883</v>
      </c>
      <c r="J145" s="678">
        <f t="shared" si="67"/>
        <v>1.5609877097950011</v>
      </c>
      <c r="K145" s="678">
        <f t="shared" si="68"/>
        <v>1.0002856428008564</v>
      </c>
      <c r="L145" s="679">
        <f t="shared" si="69"/>
        <v>2.3898737383001044E-2</v>
      </c>
      <c r="M145" s="678">
        <f t="shared" si="70"/>
        <v>1.0009852244091417</v>
      </c>
      <c r="N145" s="679">
        <f t="shared" si="71"/>
        <v>-4.4371526891285061E-2</v>
      </c>
      <c r="O145" s="677">
        <f t="shared" si="72"/>
        <v>93534.606557869149</v>
      </c>
      <c r="P145" s="680">
        <f t="shared" si="73"/>
        <v>1.5707856355648073</v>
      </c>
      <c r="Q145" s="689">
        <f t="shared" si="74"/>
        <v>44.284339214378036</v>
      </c>
      <c r="R145" s="690">
        <f t="shared" si="75"/>
        <v>1.5482130609395355</v>
      </c>
      <c r="S145" s="677">
        <f t="shared" si="76"/>
        <v>1.0584300069171622</v>
      </c>
      <c r="T145" s="680">
        <f t="shared" si="77"/>
        <v>0.3338261416760987</v>
      </c>
      <c r="U145" s="681">
        <f t="shared" si="89"/>
        <v>0.98890414145182681</v>
      </c>
      <c r="V145" s="682">
        <f t="shared" si="90"/>
        <v>-0.18050535472352222</v>
      </c>
      <c r="W145" s="683">
        <f t="shared" si="78"/>
        <v>-1.227550612863969</v>
      </c>
      <c r="X145" s="684">
        <f t="shared" si="79"/>
        <v>-121.37334948853788</v>
      </c>
      <c r="Y145" s="687">
        <f t="shared" si="80"/>
        <v>58.626650511462117</v>
      </c>
      <c r="AA145" s="170">
        <f t="shared" si="81"/>
        <v>8270.2750000000015</v>
      </c>
      <c r="AB145" s="170">
        <f t="shared" si="82"/>
        <v>68397448.575625017</v>
      </c>
      <c r="AD145" s="686">
        <f t="shared" si="83"/>
        <v>38.117764126363006</v>
      </c>
      <c r="AE145" s="687">
        <f t="shared" si="84"/>
        <v>-20.420142291282311</v>
      </c>
      <c r="AG145" s="686">
        <f t="shared" si="85"/>
        <v>15.940580005510816</v>
      </c>
      <c r="AH145" s="687">
        <f t="shared" si="86"/>
        <v>-80.268817163280957</v>
      </c>
      <c r="AJ145" s="170">
        <f t="shared" si="87"/>
        <v>0</v>
      </c>
      <c r="AK145" s="170">
        <f t="shared" si="65"/>
        <v>0</v>
      </c>
      <c r="AM145" s="170" t="str">
        <f t="shared" si="91"/>
        <v>0.033415094979527+0.256346682027607i</v>
      </c>
      <c r="AN145" s="170" t="str">
        <f t="shared" si="92"/>
        <v>0.259240683533259i</v>
      </c>
      <c r="AO145" s="170" t="str">
        <f t="shared" si="93"/>
        <v>0.988836622916554-0.128896030222201i</v>
      </c>
      <c r="AP145" s="170" t="str">
        <f t="shared" si="94"/>
        <v>0.161097484170079-0.0427244470046012i</v>
      </c>
      <c r="AQ145" s="170" t="str">
        <f t="shared" si="95"/>
        <v>0.838902515829921+0.0427244470046012i</v>
      </c>
      <c r="AR145" s="170" t="str">
        <f t="shared" si="96"/>
        <v>0.990395154671218-0.0504398121365785i</v>
      </c>
    </row>
    <row r="146" spans="7:44">
      <c r="G146" s="688">
        <v>8317.6</v>
      </c>
      <c r="H146" s="676">
        <f t="shared" si="88"/>
        <v>8.3176000000000005</v>
      </c>
      <c r="I146" s="677">
        <f t="shared" si="66"/>
        <v>102.5361555521003</v>
      </c>
      <c r="J146" s="678">
        <f t="shared" si="67"/>
        <v>1.5610435147484349</v>
      </c>
      <c r="K146" s="678">
        <f t="shared" si="68"/>
        <v>1.0002889207486547</v>
      </c>
      <c r="L146" s="679">
        <f t="shared" si="69"/>
        <v>2.4035440629830825E-2</v>
      </c>
      <c r="M146" s="678">
        <f t="shared" si="70"/>
        <v>1.0009965265419307</v>
      </c>
      <c r="N146" s="679">
        <f t="shared" si="71"/>
        <v>-4.4625098112089839E-2</v>
      </c>
      <c r="O146" s="677">
        <f t="shared" si="72"/>
        <v>94069.839697619216</v>
      </c>
      <c r="P146" s="680">
        <f t="shared" si="73"/>
        <v>1.5707856963951508</v>
      </c>
      <c r="Q146" s="689">
        <f t="shared" si="74"/>
        <v>44.537618667572886</v>
      </c>
      <c r="R146" s="690">
        <f t="shared" si="75"/>
        <v>1.5483415105895189</v>
      </c>
      <c r="S146" s="677">
        <f t="shared" si="76"/>
        <v>1.0590819169314249</v>
      </c>
      <c r="T146" s="680">
        <f t="shared" si="77"/>
        <v>0.33559651649229516</v>
      </c>
      <c r="U146" s="681">
        <f t="shared" si="89"/>
        <v>0.988783260552628</v>
      </c>
      <c r="V146" s="682">
        <f t="shared" si="90"/>
        <v>-0.1815272874461567</v>
      </c>
      <c r="W146" s="683">
        <f t="shared" si="78"/>
        <v>-1.2834160535702746</v>
      </c>
      <c r="X146" s="684">
        <f t="shared" si="79"/>
        <v>-121.53587421827586</v>
      </c>
      <c r="Y146" s="687">
        <f t="shared" si="80"/>
        <v>58.464125781724135</v>
      </c>
      <c r="AA146" s="170">
        <f t="shared" si="81"/>
        <v>8317.6</v>
      </c>
      <c r="AB146" s="170">
        <f t="shared" si="82"/>
        <v>69182469.760000005</v>
      </c>
      <c r="AD146" s="686">
        <f t="shared" si="83"/>
        <v>38.112390816546238</v>
      </c>
      <c r="AE146" s="687">
        <f t="shared" si="84"/>
        <v>-20.514221159012092</v>
      </c>
      <c r="AG146" s="686">
        <f t="shared" si="85"/>
        <v>15.892211482528245</v>
      </c>
      <c r="AH146" s="687">
        <f t="shared" si="86"/>
        <v>-80.22015816124879</v>
      </c>
      <c r="AJ146" s="170">
        <f t="shared" si="87"/>
        <v>0</v>
      </c>
      <c r="AK146" s="170">
        <f t="shared" si="65"/>
        <v>0</v>
      </c>
      <c r="AM146" s="170" t="str">
        <f t="shared" si="91"/>
        <v>0.033796436677507+0.257780282843582i</v>
      </c>
      <c r="AN146" s="170" t="str">
        <f t="shared" si="92"/>
        <v>0.260724136664891i</v>
      </c>
      <c r="AO146" s="170" t="str">
        <f t="shared" si="93"/>
        <v>0.988708932517848-0.129625270256223i</v>
      </c>
      <c r="AP146" s="170" t="str">
        <f t="shared" si="94"/>
        <v>0.161033927220416-0.0429633804739303i</v>
      </c>
      <c r="AQ146" s="170" t="str">
        <f t="shared" si="95"/>
        <v>0.838966072779584+0.0429633804739303i</v>
      </c>
      <c r="AR146" s="170" t="str">
        <f t="shared" si="96"/>
        <v>0.990291783514738-0.0507127571135152i</v>
      </c>
    </row>
    <row r="147" spans="7:44">
      <c r="G147" s="688">
        <v>8366.0499999999993</v>
      </c>
      <c r="H147" s="676">
        <f t="shared" si="88"/>
        <v>8.3660499999999995</v>
      </c>
      <c r="I147" s="677">
        <f t="shared" si="66"/>
        <v>103.13337176691589</v>
      </c>
      <c r="J147" s="678">
        <f t="shared" si="67"/>
        <v>1.5610999923024198</v>
      </c>
      <c r="K147" s="678">
        <f t="shared" si="68"/>
        <v>1.0002922959840281</v>
      </c>
      <c r="L147" s="679">
        <f t="shared" si="69"/>
        <v>2.4175392626807634E-2</v>
      </c>
      <c r="M147" s="678">
        <f t="shared" si="70"/>
        <v>1.00100816402077</v>
      </c>
      <c r="N147" s="679">
        <f t="shared" si="71"/>
        <v>-4.4884691225940278E-2</v>
      </c>
      <c r="O147" s="677">
        <f t="shared" si="72"/>
        <v>94617.796287601421</v>
      </c>
      <c r="P147" s="680">
        <f t="shared" si="73"/>
        <v>1.5707857579585967</v>
      </c>
      <c r="Q147" s="689">
        <f t="shared" si="74"/>
        <v>44.796919779485052</v>
      </c>
      <c r="R147" s="690">
        <f t="shared" si="75"/>
        <v>1.5484715090172159</v>
      </c>
      <c r="S147" s="677">
        <f t="shared" si="76"/>
        <v>1.0597527584300124</v>
      </c>
      <c r="T147" s="680">
        <f t="shared" si="77"/>
        <v>0.33740671407349959</v>
      </c>
      <c r="U147" s="681">
        <f t="shared" si="89"/>
        <v>0.98865883534935839</v>
      </c>
      <c r="V147" s="682">
        <f t="shared" si="90"/>
        <v>-0.18257332212929991</v>
      </c>
      <c r="W147" s="683">
        <f t="shared" si="78"/>
        <v>-1.3403479059226449</v>
      </c>
      <c r="X147" s="684">
        <f t="shared" si="79"/>
        <v>-121.70217029513098</v>
      </c>
      <c r="Y147" s="687">
        <f t="shared" si="80"/>
        <v>58.297829704869017</v>
      </c>
      <c r="AA147" s="170">
        <f t="shared" si="81"/>
        <v>8366.0499999999993</v>
      </c>
      <c r="AB147" s="170">
        <f t="shared" si="82"/>
        <v>69990792.602499992</v>
      </c>
      <c r="AD147" s="686">
        <f t="shared" si="83"/>
        <v>38.106865474129478</v>
      </c>
      <c r="AE147" s="687">
        <f t="shared" si="84"/>
        <v>-20.610493006685143</v>
      </c>
      <c r="AG147" s="686">
        <f t="shared" si="85"/>
        <v>15.842991117183081</v>
      </c>
      <c r="AH147" s="687">
        <f t="shared" si="86"/>
        <v>-80.170315645157046</v>
      </c>
      <c r="AJ147" s="170">
        <f t="shared" si="87"/>
        <v>0</v>
      </c>
      <c r="AK147" s="170">
        <f t="shared" si="65"/>
        <v>0</v>
      </c>
      <c r="AM147" s="170" t="str">
        <f t="shared" si="91"/>
        <v>0.0341890462211411+0.259247375224458i</v>
      </c>
      <c r="AN147" s="170" t="str">
        <f t="shared" si="92"/>
        <v>0.262242854134043i</v>
      </c>
      <c r="AO147" s="170" t="str">
        <f t="shared" si="93"/>
        <v>0.988577462217316-0.130371698149936i</v>
      </c>
      <c r="AP147" s="170" t="str">
        <f t="shared" si="94"/>
        <v>0.160968492296477-0.043207895870743i</v>
      </c>
      <c r="AQ147" s="170" t="str">
        <f t="shared" si="95"/>
        <v>0.839031507703523+0.043207895870743i</v>
      </c>
      <c r="AR147" s="170" t="str">
        <f t="shared" si="96"/>
        <v>0.990185396856235-0.0509919200021419i</v>
      </c>
    </row>
    <row r="148" spans="7:44">
      <c r="G148" s="691">
        <v>8414.5</v>
      </c>
      <c r="H148" s="676">
        <f t="shared" si="88"/>
        <v>8.4145000000000003</v>
      </c>
      <c r="I148" s="677">
        <f t="shared" si="66"/>
        <v>103.73058830690948</v>
      </c>
      <c r="J148" s="678">
        <f t="shared" si="67"/>
        <v>1.5611558195309649</v>
      </c>
      <c r="K148" s="678">
        <f t="shared" si="68"/>
        <v>1.0002956908115554</v>
      </c>
      <c r="L148" s="679">
        <f t="shared" si="69"/>
        <v>2.4315343676580704E-2</v>
      </c>
      <c r="M148" s="678">
        <f t="shared" si="70"/>
        <v>1.0010198689545617</v>
      </c>
      <c r="N148" s="679">
        <f t="shared" si="71"/>
        <v>-4.5144278286434636E-2</v>
      </c>
      <c r="O148" s="677">
        <f t="shared" si="72"/>
        <v>95165.752877584004</v>
      </c>
      <c r="P148" s="680">
        <f t="shared" si="73"/>
        <v>1.5707858188130883</v>
      </c>
      <c r="Q148" s="689">
        <f t="shared" ref="Q148:Q157" si="97">SQRT(1+(G148/Zero2)^2)</f>
        <v>45.056221639733131</v>
      </c>
      <c r="R148" s="690">
        <f t="shared" ref="R148:R157" si="98">ATAN(G148/Zero2)</f>
        <v>1.5486000111460911</v>
      </c>
      <c r="S148" s="677">
        <f t="shared" si="76"/>
        <v>1.0604270681423502</v>
      </c>
      <c r="T148" s="680">
        <f t="shared" si="77"/>
        <v>0.33921461541746523</v>
      </c>
      <c r="U148" s="681">
        <f t="shared" si="89"/>
        <v>0.98853373225984098</v>
      </c>
      <c r="V148" s="682">
        <f t="shared" si="90"/>
        <v>-0.1836191623351851</v>
      </c>
      <c r="W148" s="683">
        <f t="shared" si="78"/>
        <v>-1.3970183536301732</v>
      </c>
      <c r="X148" s="684">
        <f t="shared" si="79"/>
        <v>-121.86837180208067</v>
      </c>
      <c r="Y148" s="687">
        <f t="shared" si="80"/>
        <v>58.131628197919326</v>
      </c>
      <c r="AA148" s="170">
        <f t="shared" si="81"/>
        <v>8414.5</v>
      </c>
      <c r="AB148" s="170">
        <f t="shared" si="82"/>
        <v>70803810.25</v>
      </c>
      <c r="AD148" s="686">
        <f t="shared" si="83"/>
        <v>38.101315639656605</v>
      </c>
      <c r="AE148" s="687">
        <f t="shared" si="84"/>
        <v>-20.706718980642894</v>
      </c>
      <c r="AG148" s="686">
        <f t="shared" si="85"/>
        <v>15.794068836368202</v>
      </c>
      <c r="AH148" s="687">
        <f t="shared" si="86"/>
        <v>-80.120446718327429</v>
      </c>
      <c r="AJ148" s="170">
        <f t="shared" si="87"/>
        <v>0</v>
      </c>
      <c r="AK148" s="170">
        <f t="shared" si="65"/>
        <v>0</v>
      </c>
      <c r="AM148" s="170" t="str">
        <f t="shared" si="91"/>
        <v>0.034583883409969+0.260713869650664i</v>
      </c>
      <c r="AN148" s="170" t="str">
        <f t="shared" si="92"/>
        <v>0.263761571603194i</v>
      </c>
      <c r="AO148" s="170" t="str">
        <f t="shared" si="93"/>
        <v>0.988445238879927-0.131117975980206i</v>
      </c>
      <c r="AP148" s="170" t="str">
        <f t="shared" si="94"/>
        <v>0.160902686098338-0.043452311608444i</v>
      </c>
      <c r="AQ148" s="170" t="str">
        <f t="shared" si="95"/>
        <v>0.839097313901662+0.043452311608444i</v>
      </c>
      <c r="AR148" s="170" t="str">
        <f t="shared" si="96"/>
        <v>0.990078446344866-0.0512708078724979i</v>
      </c>
    </row>
    <row r="149" spans="7:44">
      <c r="G149" s="691">
        <v>8462.9500000000007</v>
      </c>
      <c r="H149" s="676">
        <f t="shared" si="88"/>
        <v>8.4629500000000011</v>
      </c>
      <c r="I149" s="677">
        <f t="shared" si="66"/>
        <v>104.32780516649672</v>
      </c>
      <c r="J149" s="678">
        <f t="shared" si="67"/>
        <v>1.5612110076019399</v>
      </c>
      <c r="K149" s="678">
        <f t="shared" si="68"/>
        <v>1.0002991052310373</v>
      </c>
      <c r="L149" s="679">
        <f t="shared" si="69"/>
        <v>2.4455293773677448E-2</v>
      </c>
      <c r="M149" s="678">
        <f t="shared" si="70"/>
        <v>1.0010316413409397</v>
      </c>
      <c r="N149" s="679">
        <f t="shared" si="71"/>
        <v>-4.5403859258801096E-2</v>
      </c>
      <c r="O149" s="677">
        <f t="shared" si="72"/>
        <v>95713.709467566921</v>
      </c>
      <c r="P149" s="680">
        <f t="shared" si="73"/>
        <v>1.5707858789708014</v>
      </c>
      <c r="Q149" s="689">
        <f t="shared" si="97"/>
        <v>45.315524235470861</v>
      </c>
      <c r="R149" s="690">
        <f t="shared" si="98"/>
        <v>1.5487270426580393</v>
      </c>
      <c r="S149" s="677">
        <f t="shared" si="76"/>
        <v>1.0611048394565086</v>
      </c>
      <c r="T149" s="680">
        <f t="shared" si="77"/>
        <v>0.3410202130948447</v>
      </c>
      <c r="U149" s="681">
        <f t="shared" si="89"/>
        <v>0.98840795203458787</v>
      </c>
      <c r="V149" s="682">
        <f t="shared" si="90"/>
        <v>-0.18466480703661997</v>
      </c>
      <c r="W149" s="683">
        <f t="shared" si="78"/>
        <v>-1.4534306417950553</v>
      </c>
      <c r="X149" s="684">
        <f t="shared" si="79"/>
        <v>-122.03447742202739</v>
      </c>
      <c r="Y149" s="687">
        <f t="shared" si="80"/>
        <v>57.965522577972607</v>
      </c>
      <c r="AA149" s="170">
        <f t="shared" si="81"/>
        <v>8462.9500000000007</v>
      </c>
      <c r="AB149" s="170">
        <f t="shared" si="82"/>
        <v>71621522.702500015</v>
      </c>
      <c r="AD149" s="686">
        <f t="shared" si="83"/>
        <v>38.095741407069468</v>
      </c>
      <c r="AE149" s="687">
        <f t="shared" si="84"/>
        <v>-20.802897184448536</v>
      </c>
      <c r="AG149" s="686">
        <f t="shared" si="85"/>
        <v>15.74544129244156</v>
      </c>
      <c r="AH149" s="687">
        <f t="shared" si="86"/>
        <v>-80.07055207780671</v>
      </c>
      <c r="AJ149" s="170">
        <f t="shared" si="87"/>
        <v>0</v>
      </c>
      <c r="AK149" s="170">
        <f t="shared" si="65"/>
        <v>0</v>
      </c>
      <c r="AM149" s="170" t="str">
        <f t="shared" si="91"/>
        <v>0.034980947333298+0.262179762739729i</v>
      </c>
      <c r="AN149" s="170" t="str">
        <f t="shared" si="92"/>
        <v>0.265280289072346i</v>
      </c>
      <c r="AO149" s="170" t="str">
        <f t="shared" si="93"/>
        <v>0.988312262688422-0.131864102891407i</v>
      </c>
      <c r="AP149" s="170" t="str">
        <f t="shared" si="94"/>
        <v>0.160836508777784-0.0436966271232882i</v>
      </c>
      <c r="AQ149" s="170" t="str">
        <f t="shared" si="95"/>
        <v>0.839163491222216+0.0436966271232882i</v>
      </c>
      <c r="AR149" s="170" t="str">
        <f t="shared" si="96"/>
        <v>0.989970932879881-0.0515494193556269i</v>
      </c>
    </row>
    <row r="150" spans="7:44">
      <c r="G150" s="691">
        <v>8511.4</v>
      </c>
      <c r="H150" s="676">
        <f t="shared" si="88"/>
        <v>8.5114000000000001</v>
      </c>
      <c r="I150" s="677">
        <f t="shared" si="66"/>
        <v>104.92502234022034</v>
      </c>
      <c r="J150" s="678">
        <f t="shared" si="67"/>
        <v>1.5612655674289668</v>
      </c>
      <c r="K150" s="678">
        <f t="shared" si="68"/>
        <v>1.0003025392422733</v>
      </c>
      <c r="L150" s="679">
        <f t="shared" si="69"/>
        <v>2.4595242912625517E-2</v>
      </c>
      <c r="M150" s="678">
        <f t="shared" si="70"/>
        <v>1.001043481177524</v>
      </c>
      <c r="N150" s="679">
        <f t="shared" si="71"/>
        <v>-4.5663434108272734E-2</v>
      </c>
      <c r="O150" s="677">
        <f t="shared" si="72"/>
        <v>96261.666057550188</v>
      </c>
      <c r="P150" s="680">
        <f t="shared" si="73"/>
        <v>1.5707859384436351</v>
      </c>
      <c r="Q150" s="689">
        <f t="shared" si="97"/>
        <v>45.574827554144285</v>
      </c>
      <c r="R150" s="690">
        <f t="shared" si="98"/>
        <v>1.548852628650667</v>
      </c>
      <c r="S150" s="677">
        <f t="shared" si="76"/>
        <v>1.0617860657435407</v>
      </c>
      <c r="T150" s="680">
        <f t="shared" si="77"/>
        <v>0.3428234997552943</v>
      </c>
      <c r="U150" s="681">
        <f t="shared" si="89"/>
        <v>0.98828149542767418</v>
      </c>
      <c r="V150" s="682">
        <f t="shared" si="90"/>
        <v>-0.18571025520805368</v>
      </c>
      <c r="W150" s="683">
        <f t="shared" si="78"/>
        <v>-1.5095879578311846</v>
      </c>
      <c r="X150" s="684">
        <f t="shared" si="79"/>
        <v>-122.20048586138861</v>
      </c>
      <c r="Y150" s="687">
        <f t="shared" si="80"/>
        <v>57.799514138611386</v>
      </c>
      <c r="AA150" s="170">
        <f t="shared" si="81"/>
        <v>8511.4</v>
      </c>
      <c r="AB150" s="170">
        <f t="shared" si="82"/>
        <v>72443929.959999993</v>
      </c>
      <c r="AD150" s="686">
        <f t="shared" si="83"/>
        <v>38.090142870740898</v>
      </c>
      <c r="AE150" s="687">
        <f t="shared" si="84"/>
        <v>-20.899025759653227</v>
      </c>
      <c r="AG150" s="686">
        <f t="shared" si="85"/>
        <v>15.697105194975901</v>
      </c>
      <c r="AH150" s="687">
        <f t="shared" si="86"/>
        <v>-80.02063240598072</v>
      </c>
      <c r="AJ150" s="170">
        <f t="shared" si="87"/>
        <v>0</v>
      </c>
      <c r="AK150" s="170">
        <f t="shared" si="65"/>
        <v>0</v>
      </c>
      <c r="AM150" s="170" t="str">
        <f t="shared" si="91"/>
        <v>0.035380237075299+0.263645051110566i</v>
      </c>
      <c r="AN150" s="170" t="str">
        <f t="shared" si="92"/>
        <v>0.266799006541497i</v>
      </c>
      <c r="AO150" s="170" t="str">
        <f t="shared" si="93"/>
        <v>0.988178533826585-0.132610078028143i</v>
      </c>
      <c r="AP150" s="170" t="str">
        <f t="shared" si="94"/>
        <v>0.16076996048745-0.043940841851761i</v>
      </c>
      <c r="AQ150" s="170" t="str">
        <f t="shared" si="95"/>
        <v>0.83923003951255+0.043940841851761i</v>
      </c>
      <c r="AR150" s="170" t="str">
        <f t="shared" si="96"/>
        <v>0.989862857364609-0.0518277530862146i</v>
      </c>
    </row>
    <row r="151" spans="7:44">
      <c r="G151" s="691">
        <v>8560.9500000000007</v>
      </c>
      <c r="H151" s="676">
        <f t="shared" si="88"/>
        <v>8.5609500000000001</v>
      </c>
      <c r="I151" s="677">
        <f t="shared" si="66"/>
        <v>105.5357989435411</v>
      </c>
      <c r="J151" s="678">
        <f t="shared" si="67"/>
        <v>1.5613207272858673</v>
      </c>
      <c r="K151" s="678">
        <f t="shared" si="68"/>
        <v>1.0003060714824812</v>
      </c>
      <c r="L151" s="679">
        <f t="shared" si="69"/>
        <v>2.4738368434676434E-2</v>
      </c>
      <c r="M151" s="678">
        <f t="shared" si="70"/>
        <v>1.0010556595857698</v>
      </c>
      <c r="N151" s="679">
        <f t="shared" si="71"/>
        <v>-4.5928895928760712E-2</v>
      </c>
      <c r="O151" s="677">
        <f t="shared" si="72"/>
        <v>96822.063354427126</v>
      </c>
      <c r="P151" s="680">
        <f t="shared" si="73"/>
        <v>1.5707859985704675</v>
      </c>
      <c r="Q151" s="689">
        <f t="shared" si="97"/>
        <v>45.840018783224338</v>
      </c>
      <c r="R151" s="690">
        <f t="shared" si="98"/>
        <v>1.5489795963650419</v>
      </c>
      <c r="S151" s="677">
        <f t="shared" si="76"/>
        <v>1.0624863250675591</v>
      </c>
      <c r="T151" s="680">
        <f t="shared" si="77"/>
        <v>0.34466533001525673</v>
      </c>
      <c r="U151" s="681">
        <f t="shared" si="89"/>
        <v>0.98815146897183392</v>
      </c>
      <c r="V151" s="682">
        <f t="shared" si="90"/>
        <v>-0.18677923470422692</v>
      </c>
      <c r="W151" s="683">
        <f t="shared" si="78"/>
        <v>-1.5667598009237884</v>
      </c>
      <c r="X151" s="684">
        <f t="shared" si="79"/>
        <v>-122.37016148700087</v>
      </c>
      <c r="Y151" s="687">
        <f t="shared" si="80"/>
        <v>57.629838512999129</v>
      </c>
      <c r="AA151" s="170">
        <f t="shared" si="81"/>
        <v>8560.9500000000007</v>
      </c>
      <c r="AB151" s="170">
        <f t="shared" si="82"/>
        <v>73289864.902500018</v>
      </c>
      <c r="AD151" s="686">
        <f t="shared" si="83"/>
        <v>38.084392187359363</v>
      </c>
      <c r="AE151" s="687">
        <f t="shared" si="84"/>
        <v>-20.997283591086454</v>
      </c>
      <c r="AG151" s="686">
        <f t="shared" si="85"/>
        <v>15.647969760037547</v>
      </c>
      <c r="AH151" s="687">
        <f t="shared" si="86"/>
        <v>-79.969554172986236</v>
      </c>
      <c r="AJ151" s="170">
        <f t="shared" si="87"/>
        <v>0</v>
      </c>
      <c r="AK151" s="170">
        <f t="shared" ref="AK151:AK214" si="99">IF(AJ151&gt;0,Y151,0)</f>
        <v>0</v>
      </c>
      <c r="AM151" s="170" t="str">
        <f t="shared" si="91"/>
        <v>0.035790893453486+0.265142978132125i</v>
      </c>
      <c r="AN151" s="170" t="str">
        <f t="shared" si="92"/>
        <v>0.268352204696223i</v>
      </c>
      <c r="AO151" s="170" t="str">
        <f t="shared" si="93"/>
        <v>0.988040990504509-0.133372831775322i</v>
      </c>
      <c r="AP151" s="170" t="str">
        <f t="shared" si="94"/>
        <v>0.160701517757752-0.0441904963553542i</v>
      </c>
      <c r="AQ151" s="170" t="str">
        <f t="shared" si="95"/>
        <v>0.839298482242248+0.0441904963553542i</v>
      </c>
      <c r="AR151" s="170" t="str">
        <f t="shared" si="96"/>
        <v>0.989751747731952-0.0521121173530613i</v>
      </c>
    </row>
    <row r="152" spans="7:44">
      <c r="G152" s="691">
        <v>8610.5</v>
      </c>
      <c r="H152" s="676">
        <f t="shared" si="88"/>
        <v>8.6105</v>
      </c>
      <c r="I152" s="677">
        <f t="shared" si="66"/>
        <v>106.14657586427077</v>
      </c>
      <c r="J152" s="678">
        <f t="shared" si="67"/>
        <v>1.5613752523534015</v>
      </c>
      <c r="K152" s="678">
        <f t="shared" si="68"/>
        <v>1.000309624213729</v>
      </c>
      <c r="L152" s="679">
        <f t="shared" si="69"/>
        <v>2.4881492943000977E-2</v>
      </c>
      <c r="M152" s="678">
        <f t="shared" si="70"/>
        <v>1.0010679085366667</v>
      </c>
      <c r="N152" s="679">
        <f t="shared" si="71"/>
        <v>-4.61943512716348E-2</v>
      </c>
      <c r="O152" s="677">
        <f t="shared" si="72"/>
        <v>97382.460651304413</v>
      </c>
      <c r="P152" s="680">
        <f t="shared" si="73"/>
        <v>1.5707860580052877</v>
      </c>
      <c r="Q152" s="689">
        <f t="shared" si="97"/>
        <v>46.105210742781146</v>
      </c>
      <c r="R152" s="690">
        <f t="shared" si="98"/>
        <v>1.5491051034735446</v>
      </c>
      <c r="S152" s="677">
        <f t="shared" si="76"/>
        <v>1.0631901839500477</v>
      </c>
      <c r="T152" s="680">
        <f t="shared" si="77"/>
        <v>0.34650472783146735</v>
      </c>
      <c r="U152" s="681">
        <f t="shared" si="89"/>
        <v>0.98802073667944312</v>
      </c>
      <c r="V152" s="682">
        <f t="shared" si="90"/>
        <v>-0.18784800648078018</v>
      </c>
      <c r="W152" s="683">
        <f t="shared" si="78"/>
        <v>-1.6236715269707958</v>
      </c>
      <c r="X152" s="684">
        <f t="shared" si="79"/>
        <v>-122.53973280548787</v>
      </c>
      <c r="Y152" s="687">
        <f t="shared" si="80"/>
        <v>57.460267194512127</v>
      </c>
      <c r="AA152" s="170">
        <f t="shared" si="81"/>
        <v>8610.5</v>
      </c>
      <c r="AB152" s="170">
        <f t="shared" si="82"/>
        <v>74140710.25</v>
      </c>
      <c r="AD152" s="686">
        <f t="shared" si="83"/>
        <v>38.07861628510399</v>
      </c>
      <c r="AE152" s="687">
        <f t="shared" si="84"/>
        <v>-21.095485700661381</v>
      </c>
      <c r="AG152" s="686">
        <f t="shared" si="85"/>
        <v>15.599132372105398</v>
      </c>
      <c r="AH152" s="687">
        <f t="shared" si="86"/>
        <v>-79.918451157640021</v>
      </c>
      <c r="AJ152" s="170">
        <f t="shared" si="87"/>
        <v>0</v>
      </c>
      <c r="AK152" s="170">
        <f t="shared" si="99"/>
        <v>0</v>
      </c>
      <c r="AM152" s="170" t="str">
        <f t="shared" si="91"/>
        <v>0.036203875912884+0.266640265516392i</v>
      </c>
      <c r="AN152" s="170" t="str">
        <f t="shared" si="92"/>
        <v>0.269905402850948i</v>
      </c>
      <c r="AO152" s="170" t="str">
        <f t="shared" si="93"/>
        <v>0.987902660339263-0.134135424969159i</v>
      </c>
      <c r="AP152" s="170" t="str">
        <f t="shared" si="94"/>
        <v>0.160632687347853-0.044440044252732i</v>
      </c>
      <c r="AQ152" s="170" t="str">
        <f t="shared" si="95"/>
        <v>0.839367312652147+0.044440044252732i</v>
      </c>
      <c r="AR152" s="170" t="str">
        <f t="shared" si="96"/>
        <v>0.989640052161995-0.0523961882353897i</v>
      </c>
    </row>
    <row r="153" spans="7:44">
      <c r="G153" s="691">
        <v>8660.0499999999993</v>
      </c>
      <c r="H153" s="676">
        <f t="shared" si="88"/>
        <v>8.66005</v>
      </c>
      <c r="I153" s="677">
        <f t="shared" si="66"/>
        <v>106.75735309696152</v>
      </c>
      <c r="J153" s="678">
        <f t="shared" si="67"/>
        <v>1.5614291535264602</v>
      </c>
      <c r="K153" s="678">
        <f t="shared" si="68"/>
        <v>1.0003131974357986</v>
      </c>
      <c r="L153" s="679">
        <f t="shared" si="69"/>
        <v>2.5024616431746277E-2</v>
      </c>
      <c r="M153" s="678">
        <f t="shared" si="70"/>
        <v>1.0010802280276254</v>
      </c>
      <c r="N153" s="679">
        <f t="shared" si="71"/>
        <v>-4.6459800099722039E-2</v>
      </c>
      <c r="O153" s="677">
        <f t="shared" si="72"/>
        <v>97942.85794818202</v>
      </c>
      <c r="P153" s="680">
        <f t="shared" si="73"/>
        <v>1.5707861167599746</v>
      </c>
      <c r="Q153" s="689">
        <f t="shared" si="97"/>
        <v>46.370403420281967</v>
      </c>
      <c r="R153" s="690">
        <f t="shared" si="98"/>
        <v>1.5492291750318337</v>
      </c>
      <c r="S153" s="677">
        <f t="shared" si="76"/>
        <v>1.0638976352467633</v>
      </c>
      <c r="T153" s="680">
        <f t="shared" si="77"/>
        <v>0.34834168559734086</v>
      </c>
      <c r="U153" s="681">
        <f t="shared" si="89"/>
        <v>0.98788929936859171</v>
      </c>
      <c r="V153" s="682">
        <f t="shared" si="90"/>
        <v>-0.18891656944610027</v>
      </c>
      <c r="W153" s="683">
        <f t="shared" si="78"/>
        <v>-1.680326366673353</v>
      </c>
      <c r="X153" s="684">
        <f t="shared" si="79"/>
        <v>-122.70919850601356</v>
      </c>
      <c r="Y153" s="687">
        <f t="shared" si="80"/>
        <v>57.290801493986436</v>
      </c>
      <c r="AA153" s="170">
        <f t="shared" si="81"/>
        <v>8660.0499999999993</v>
      </c>
      <c r="AB153" s="170">
        <f t="shared" si="82"/>
        <v>74996466.002499983</v>
      </c>
      <c r="AD153" s="686">
        <f t="shared" si="83"/>
        <v>38.072815266225597</v>
      </c>
      <c r="AE153" s="687">
        <f t="shared" si="84"/>
        <v>-21.193630217649869</v>
      </c>
      <c r="AG153" s="686">
        <f t="shared" si="85"/>
        <v>15.55058968884769</v>
      </c>
      <c r="AH153" s="687">
        <f t="shared" si="86"/>
        <v>-79.867324044923635</v>
      </c>
      <c r="AJ153" s="170">
        <f t="shared" si="87"/>
        <v>0</v>
      </c>
      <c r="AK153" s="170">
        <f t="shared" si="99"/>
        <v>0</v>
      </c>
      <c r="AM153" s="170" t="str">
        <f t="shared" si="91"/>
        <v>0.0366191834572051+0.268136909651279i</v>
      </c>
      <c r="AN153" s="170" t="str">
        <f t="shared" si="92"/>
        <v>0.271458601005674i</v>
      </c>
      <c r="AO153" s="170" t="str">
        <f t="shared" si="93"/>
        <v>0.987763543530803-0.134897856695429i</v>
      </c>
      <c r="AP153" s="170" t="str">
        <f t="shared" si="94"/>
        <v>0.160563469423799-0.0446894849418798i</v>
      </c>
      <c r="AQ153" s="170" t="str">
        <f t="shared" si="95"/>
        <v>0.839436530576201+0.0446894849418798i</v>
      </c>
      <c r="AR153" s="170" t="str">
        <f t="shared" si="96"/>
        <v>0.989527771634139-0.0526799642846869i</v>
      </c>
    </row>
    <row r="154" spans="7:44">
      <c r="G154" s="691">
        <v>8709.6</v>
      </c>
      <c r="H154" s="676">
        <f t="shared" si="88"/>
        <v>8.7096</v>
      </c>
      <c r="I154" s="677">
        <f t="shared" si="66"/>
        <v>107.36813063628948</v>
      </c>
      <c r="J154" s="678">
        <f t="shared" si="67"/>
        <v>1.5614824414520421</v>
      </c>
      <c r="K154" s="678">
        <f t="shared" si="68"/>
        <v>1.0003167911484698</v>
      </c>
      <c r="L154" s="679">
        <f t="shared" si="69"/>
        <v>2.5167738895059719E-2</v>
      </c>
      <c r="M154" s="678">
        <f t="shared" si="70"/>
        <v>1.0010926180560415</v>
      </c>
      <c r="N154" s="679">
        <f t="shared" si="71"/>
        <v>-4.6725242375854945E-2</v>
      </c>
      <c r="O154" s="677">
        <f t="shared" si="72"/>
        <v>98503.255245059991</v>
      </c>
      <c r="P154" s="680">
        <f t="shared" si="73"/>
        <v>1.5707861748461358</v>
      </c>
      <c r="Q154" s="689">
        <f t="shared" si="97"/>
        <v>46.635596803479082</v>
      </c>
      <c r="R154" s="690">
        <f t="shared" si="98"/>
        <v>1.5493518355258307</v>
      </c>
      <c r="S154" s="677">
        <f t="shared" si="76"/>
        <v>1.0646086717960375</v>
      </c>
      <c r="T154" s="680">
        <f t="shared" si="77"/>
        <v>0.35017619579232889</v>
      </c>
      <c r="U154" s="681">
        <f t="shared" si="89"/>
        <v>0.9877571578612051</v>
      </c>
      <c r="V154" s="682">
        <f t="shared" si="90"/>
        <v>-0.18998492251040255</v>
      </c>
      <c r="W154" s="683">
        <f t="shared" si="78"/>
        <v>-1.7367274931946959</v>
      </c>
      <c r="X154" s="684">
        <f t="shared" si="79"/>
        <v>-122.8785573012011</v>
      </c>
      <c r="Y154" s="687">
        <f t="shared" si="80"/>
        <v>57.121442698798901</v>
      </c>
      <c r="AA154" s="170">
        <f t="shared" si="81"/>
        <v>8709.6</v>
      </c>
      <c r="AB154" s="170">
        <f t="shared" si="82"/>
        <v>75857132.160000011</v>
      </c>
      <c r="AD154" s="686">
        <f t="shared" si="83"/>
        <v>38.066989233383296</v>
      </c>
      <c r="AE154" s="687">
        <f t="shared" si="84"/>
        <v>-21.291715308881344</v>
      </c>
      <c r="AG154" s="686">
        <f t="shared" si="85"/>
        <v>15.502338425016404</v>
      </c>
      <c r="AH154" s="687">
        <f t="shared" si="86"/>
        <v>-79.81617350551106</v>
      </c>
      <c r="AJ154" s="170">
        <f t="shared" si="87"/>
        <v>0</v>
      </c>
      <c r="AK154" s="170">
        <f t="shared" si="99"/>
        <v>0</v>
      </c>
      <c r="AM154" s="170" t="str">
        <f t="shared" si="91"/>
        <v>0.037036815084552+0.269632906926243i</v>
      </c>
      <c r="AN154" s="170" t="str">
        <f t="shared" si="92"/>
        <v>0.273011799160399i</v>
      </c>
      <c r="AO154" s="170" t="str">
        <f t="shared" si="93"/>
        <v>0.98762364028021-0.135660126040165i</v>
      </c>
      <c r="AP154" s="170" t="str">
        <f t="shared" si="94"/>
        <v>0.160493864152575-0.0449388178210405i</v>
      </c>
      <c r="AQ154" s="170" t="str">
        <f t="shared" si="95"/>
        <v>0.839506135847425+0.0449388178210405i</v>
      </c>
      <c r="AR154" s="170" t="str">
        <f t="shared" si="96"/>
        <v>0.989414907132174-0.0529634440564892i</v>
      </c>
    </row>
    <row r="155" spans="7:44">
      <c r="G155" s="691">
        <v>8760.3250000000007</v>
      </c>
      <c r="H155" s="676">
        <f t="shared" si="88"/>
        <v>8.7603249999999999</v>
      </c>
      <c r="I155" s="677">
        <f t="shared" si="66"/>
        <v>107.99339211261351</v>
      </c>
      <c r="J155" s="678">
        <f t="shared" si="67"/>
        <v>1.5615363686463679</v>
      </c>
      <c r="K155" s="678">
        <f t="shared" si="68"/>
        <v>1.0003204913053483</v>
      </c>
      <c r="L155" s="679">
        <f t="shared" si="69"/>
        <v>2.5314254213264772E-2</v>
      </c>
      <c r="M155" s="678">
        <f t="shared" si="70"/>
        <v>1.0011053749579975</v>
      </c>
      <c r="N155" s="679">
        <f t="shared" si="71"/>
        <v>-4.6996972370727613E-2</v>
      </c>
      <c r="O155" s="677">
        <f t="shared" si="72"/>
        <v>99076.941478847104</v>
      </c>
      <c r="P155" s="680">
        <f t="shared" si="73"/>
        <v>1.5707862336290692</v>
      </c>
      <c r="Q155" s="689">
        <f t="shared" si="97"/>
        <v>46.907079547462018</v>
      </c>
      <c r="R155" s="690">
        <f t="shared" si="98"/>
        <v>1.5494759680498564</v>
      </c>
      <c r="S155" s="677">
        <f t="shared" si="76"/>
        <v>1.0653402757476558</v>
      </c>
      <c r="T155" s="680">
        <f t="shared" si="77"/>
        <v>0.35205166541853122</v>
      </c>
      <c r="U155" s="681">
        <f t="shared" si="89"/>
        <v>0.98762115424589736</v>
      </c>
      <c r="V155" s="682">
        <f t="shared" si="90"/>
        <v>-0.19107839131837187</v>
      </c>
      <c r="W155" s="683">
        <f t="shared" si="78"/>
        <v>-1.7942065280960908</v>
      </c>
      <c r="X155" s="684">
        <f t="shared" si="79"/>
        <v>-123.05182011474031</v>
      </c>
      <c r="Y155" s="687">
        <f t="shared" si="80"/>
        <v>56.948179885259691</v>
      </c>
      <c r="AA155" s="170">
        <f t="shared" si="81"/>
        <v>8760.3250000000007</v>
      </c>
      <c r="AB155" s="170">
        <f t="shared" si="82"/>
        <v>76743294.105625018</v>
      </c>
      <c r="AD155" s="686">
        <f t="shared" si="83"/>
        <v>38.060999242218955</v>
      </c>
      <c r="AE155" s="687">
        <f t="shared" si="84"/>
        <v>-21.392062901469394</v>
      </c>
      <c r="AG155" s="686">
        <f t="shared" si="85"/>
        <v>15.453241454509199</v>
      </c>
      <c r="AH155" s="687">
        <f t="shared" si="86"/>
        <v>-79.763786430867341</v>
      </c>
      <c r="AJ155" s="170">
        <f t="shared" si="87"/>
        <v>0</v>
      </c>
      <c r="AK155" s="170">
        <f t="shared" si="99"/>
        <v>0</v>
      </c>
      <c r="AM155" s="170" t="str">
        <f t="shared" si="91"/>
        <v>0.037466756538912+0.271163705595491i</v>
      </c>
      <c r="AN155" s="170" t="str">
        <f t="shared" si="92"/>
        <v>0.274601828956534i</v>
      </c>
      <c r="AO155" s="170" t="str">
        <f t="shared" si="93"/>
        <v>0.987479605018992-0.13644030224155i</v>
      </c>
      <c r="AP155" s="170" t="str">
        <f t="shared" si="94"/>
        <v>0.160422207243515-0.0451939509325818i</v>
      </c>
      <c r="AQ155" s="170" t="str">
        <f t="shared" si="95"/>
        <v>0.839577792756485+0.0451939509325818i</v>
      </c>
      <c r="AR155" s="170" t="str">
        <f t="shared" si="96"/>
        <v>0.98929876234815-0.0532533377001721i</v>
      </c>
    </row>
    <row r="156" spans="7:44">
      <c r="G156" s="691">
        <v>8811.0499999999993</v>
      </c>
      <c r="H156" s="676">
        <f t="shared" si="88"/>
        <v>8.8110499999999998</v>
      </c>
      <c r="I156" s="677">
        <f t="shared" si="66"/>
        <v>108.61865389938188</v>
      </c>
      <c r="J156" s="678">
        <f t="shared" si="67"/>
        <v>1.5615896749785427</v>
      </c>
      <c r="K156" s="678">
        <f t="shared" si="68"/>
        <v>1.0003242129356857</v>
      </c>
      <c r="L156" s="679">
        <f t="shared" si="69"/>
        <v>2.5460768444416734E-2</v>
      </c>
      <c r="M156" s="678">
        <f t="shared" si="70"/>
        <v>1.0011182057768742</v>
      </c>
      <c r="N156" s="679">
        <f t="shared" si="71"/>
        <v>-4.7268695420414987E-2</v>
      </c>
      <c r="O156" s="677">
        <f t="shared" si="72"/>
        <v>99650.627712634538</v>
      </c>
      <c r="P156" s="680">
        <f t="shared" si="73"/>
        <v>1.5707862917351787</v>
      </c>
      <c r="Q156" s="689">
        <f t="shared" si="97"/>
        <v>47.178563005912316</v>
      </c>
      <c r="R156" s="690">
        <f t="shared" si="98"/>
        <v>1.5495986719639117</v>
      </c>
      <c r="S156" s="677">
        <f t="shared" si="76"/>
        <v>1.0660756217617853</v>
      </c>
      <c r="T156" s="680">
        <f t="shared" si="77"/>
        <v>0.35392455434288944</v>
      </c>
      <c r="U156" s="681">
        <f t="shared" si="89"/>
        <v>0.98748441439568269</v>
      </c>
      <c r="V156" s="682">
        <f t="shared" si="90"/>
        <v>-0.19217163784700753</v>
      </c>
      <c r="W156" s="683">
        <f t="shared" si="78"/>
        <v>-1.8514262249510356</v>
      </c>
      <c r="X156" s="684">
        <f t="shared" si="79"/>
        <v>-123.22496823540341</v>
      </c>
      <c r="Y156" s="687">
        <f t="shared" si="80"/>
        <v>56.775031764596591</v>
      </c>
      <c r="AA156" s="170">
        <f t="shared" si="81"/>
        <v>8811.0499999999993</v>
      </c>
      <c r="AB156" s="170">
        <f t="shared" si="82"/>
        <v>77634602.102499992</v>
      </c>
      <c r="AD156" s="686">
        <f t="shared" si="83"/>
        <v>38.054983255660744</v>
      </c>
      <c r="AE156" s="687">
        <f t="shared" si="84"/>
        <v>-21.492344445276242</v>
      </c>
      <c r="AG156" s="686">
        <f t="shared" si="85"/>
        <v>15.404443098678271</v>
      </c>
      <c r="AH156" s="687">
        <f t="shared" si="86"/>
        <v>-79.711376183464139</v>
      </c>
      <c r="AJ156" s="170">
        <f t="shared" si="87"/>
        <v>0</v>
      </c>
      <c r="AK156" s="170">
        <f t="shared" si="99"/>
        <v>0</v>
      </c>
      <c r="AM156" s="170" t="str">
        <f t="shared" si="91"/>
        <v>0.0378991314642551+0.272693818710225i</v>
      </c>
      <c r="AN156" s="170" t="str">
        <f t="shared" si="92"/>
        <v>0.276191858752668i</v>
      </c>
      <c r="AO156" s="170" t="str">
        <f t="shared" si="93"/>
        <v>0.987334746005039-0.13722030633131i</v>
      </c>
      <c r="AP156" s="170" t="str">
        <f t="shared" si="94"/>
        <v>0.160350144755957-0.0454489697850375i</v>
      </c>
      <c r="AQ156" s="170" t="str">
        <f t="shared" si="95"/>
        <v>0.839649855244043+0.0454489697850375i</v>
      </c>
      <c r="AR156" s="170" t="str">
        <f t="shared" si="96"/>
        <v>0.98918200766604-0.0535429177978597i</v>
      </c>
    </row>
    <row r="157" spans="7:44">
      <c r="G157" s="691">
        <v>8861.7749999999996</v>
      </c>
      <c r="H157" s="676">
        <f t="shared" si="88"/>
        <v>8.8617749999999997</v>
      </c>
      <c r="I157" s="677">
        <f t="shared" si="66"/>
        <v>109.24391599126413</v>
      </c>
      <c r="J157" s="678">
        <f t="shared" si="67"/>
        <v>1.5616423711088523</v>
      </c>
      <c r="K157" s="678">
        <f t="shared" si="68"/>
        <v>1.0003279560392428</v>
      </c>
      <c r="L157" s="679">
        <f t="shared" si="69"/>
        <v>2.5607281582237507E-2</v>
      </c>
      <c r="M157" s="678">
        <f t="shared" si="70"/>
        <v>1.0011311105098297</v>
      </c>
      <c r="N157" s="679">
        <f t="shared" si="71"/>
        <v>-4.7540411485060427E-2</v>
      </c>
      <c r="O157" s="677">
        <f t="shared" si="72"/>
        <v>100224.31394642232</v>
      </c>
      <c r="P157" s="680">
        <f t="shared" si="73"/>
        <v>1.5707863491760869</v>
      </c>
      <c r="Q157" s="689">
        <f t="shared" si="97"/>
        <v>47.450047166566613</v>
      </c>
      <c r="R157" s="690">
        <f t="shared" si="98"/>
        <v>1.549719971785529</v>
      </c>
      <c r="S157" s="677">
        <f t="shared" si="76"/>
        <v>1.0668147021003129</v>
      </c>
      <c r="T157" s="680">
        <f t="shared" si="77"/>
        <v>0.35579485477647954</v>
      </c>
      <c r="U157" s="681">
        <f t="shared" si="89"/>
        <v>0.98734693920477401</v>
      </c>
      <c r="V157" s="682">
        <f t="shared" si="90"/>
        <v>-0.1932646609331535</v>
      </c>
      <c r="W157" s="683">
        <f t="shared" si="78"/>
        <v>-1.9083898091299782</v>
      </c>
      <c r="X157" s="684">
        <f t="shared" si="79"/>
        <v>-123.39800035505424</v>
      </c>
      <c r="Y157" s="687">
        <f t="shared" si="80"/>
        <v>56.601999644945764</v>
      </c>
      <c r="AA157" s="170">
        <f t="shared" si="81"/>
        <v>8861.7749999999996</v>
      </c>
      <c r="AB157" s="170">
        <f t="shared" si="82"/>
        <v>78531056.15062499</v>
      </c>
      <c r="AD157" s="686">
        <f t="shared" si="83"/>
        <v>38.048941385078635</v>
      </c>
      <c r="AE157" s="687">
        <f t="shared" si="84"/>
        <v>-21.592558089944202</v>
      </c>
      <c r="AG157" s="686">
        <f t="shared" si="85"/>
        <v>15.355940010521937</v>
      </c>
      <c r="AH157" s="687">
        <f t="shared" si="86"/>
        <v>-79.658943438810851</v>
      </c>
      <c r="AJ157" s="170">
        <f t="shared" si="87"/>
        <v>0</v>
      </c>
      <c r="AK157" s="170">
        <f t="shared" si="99"/>
        <v>0</v>
      </c>
      <c r="AM157" s="170" t="str">
        <f t="shared" si="91"/>
        <v>0.0383339387674529+0.274223242402023i</v>
      </c>
      <c r="AN157" s="170" t="str">
        <f t="shared" si="92"/>
        <v>0.277781888548802i</v>
      </c>
      <c r="AO157" s="170" t="str">
        <f t="shared" si="93"/>
        <v>0.987189063457772-0.138000137329753i</v>
      </c>
      <c r="AP157" s="170" t="str">
        <f t="shared" si="94"/>
        <v>0.160277676872091-0.0457038737336705i</v>
      </c>
      <c r="AQ157" s="170" t="str">
        <f t="shared" si="95"/>
        <v>0.839722323127909+0.0457038737336705i</v>
      </c>
      <c r="AR157" s="170" t="str">
        <f t="shared" si="96"/>
        <v>0.989064644155457-0.0538321828131668i</v>
      </c>
    </row>
    <row r="158" spans="7:44">
      <c r="G158" s="688">
        <v>8912.5</v>
      </c>
      <c r="H158" s="676">
        <f t="shared" si="88"/>
        <v>8.9124999999999996</v>
      </c>
      <c r="I158" s="677">
        <f t="shared" si="66"/>
        <v>109.86917838305106</v>
      </c>
      <c r="J158" s="678">
        <f t="shared" si="67"/>
        <v>1.5616944674549258</v>
      </c>
      <c r="K158" s="678">
        <f t="shared" si="68"/>
        <v>1.0003317206157785</v>
      </c>
      <c r="L158" s="679">
        <f t="shared" si="69"/>
        <v>2.5753793620449269E-2</v>
      </c>
      <c r="M158" s="678">
        <f t="shared" si="70"/>
        <v>1.001144089154006</v>
      </c>
      <c r="N158" s="679">
        <f t="shared" si="71"/>
        <v>-4.7812120524813415E-2</v>
      </c>
      <c r="O158" s="677">
        <f t="shared" si="72"/>
        <v>100798.00018021042</v>
      </c>
      <c r="P158" s="680">
        <f t="shared" si="73"/>
        <v>1.5707864059631516</v>
      </c>
      <c r="Q158" s="689">
        <f t="shared" ref="Q158:Q214" si="100">SQRT(1+(G158/Zero2)^2)</f>
        <v>47.721532017440538</v>
      </c>
      <c r="R158" s="690">
        <f t="shared" ref="R158:R214" si="101">ATAN(G158/Zero2)</f>
        <v>1.5498398914744937</v>
      </c>
      <c r="S158" s="677">
        <f t="shared" si="76"/>
        <v>1.0675575090073126</v>
      </c>
      <c r="T158" s="680">
        <f t="shared" si="77"/>
        <v>0.35766255902432842</v>
      </c>
      <c r="U158" s="681">
        <f t="shared" si="89"/>
        <v>0.98720872957153549</v>
      </c>
      <c r="V158" s="682">
        <f t="shared" si="90"/>
        <v>-0.19435745941570334</v>
      </c>
      <c r="W158" s="683">
        <f t="shared" si="78"/>
        <v>-1.9651004483906622</v>
      </c>
      <c r="X158" s="684">
        <f t="shared" si="79"/>
        <v>-123.57091518909566</v>
      </c>
      <c r="Y158" s="687">
        <f t="shared" si="80"/>
        <v>56.429084810904342</v>
      </c>
      <c r="AA158" s="170">
        <f t="shared" si="81"/>
        <v>8912.5</v>
      </c>
      <c r="AB158" s="170">
        <f t="shared" si="82"/>
        <v>79432656.25</v>
      </c>
      <c r="AD158" s="686">
        <f t="shared" si="83"/>
        <v>38.042873742227187</v>
      </c>
      <c r="AE158" s="687">
        <f t="shared" si="84"/>
        <v>-21.692702022439967</v>
      </c>
      <c r="AG158" s="686">
        <f t="shared" si="85"/>
        <v>15.307728900216846</v>
      </c>
      <c r="AH158" s="687">
        <f t="shared" si="86"/>
        <v>-79.606488858396574</v>
      </c>
      <c r="AJ158" s="170">
        <f t="shared" si="87"/>
        <v>0</v>
      </c>
      <c r="AK158" s="170">
        <f t="shared" si="99"/>
        <v>0</v>
      </c>
      <c r="AM158" s="170" t="str">
        <f t="shared" si="91"/>
        <v>0.038771177349228+0.275751972804205i</v>
      </c>
      <c r="AN158" s="170" t="str">
        <f t="shared" si="92"/>
        <v>0.279371918344937i</v>
      </c>
      <c r="AO158" s="170" t="str">
        <f t="shared" si="93"/>
        <v>0.987042557597852-0.13877979425748i</v>
      </c>
      <c r="AP158" s="170" t="str">
        <f t="shared" si="94"/>
        <v>0.160204803775129-0.0459586621340342i</v>
      </c>
      <c r="AQ158" s="170" t="str">
        <f t="shared" si="95"/>
        <v>0.839795196224871+0.0459586621340342i</v>
      </c>
      <c r="AR158" s="170" t="str">
        <f t="shared" si="96"/>
        <v>0.988946672890742-0.0541211312142259i</v>
      </c>
    </row>
    <row r="159" spans="7:44">
      <c r="G159" s="688">
        <v>8964.4</v>
      </c>
      <c r="H159" s="676">
        <f t="shared" si="88"/>
        <v>8.9643999999999995</v>
      </c>
      <c r="I159" s="677">
        <f t="shared" si="66"/>
        <v>110.50892473316925</v>
      </c>
      <c r="J159" s="678">
        <f t="shared" si="67"/>
        <v>1.5617471603999917</v>
      </c>
      <c r="K159" s="678">
        <f t="shared" si="68"/>
        <v>1.0003355946200085</v>
      </c>
      <c r="L159" s="679">
        <f t="shared" si="69"/>
        <v>2.5903698336474414E-2</v>
      </c>
      <c r="M159" s="678">
        <f t="shared" si="70"/>
        <v>1.001157444933241</v>
      </c>
      <c r="N159" s="679">
        <f t="shared" si="71"/>
        <v>-4.8090116153014853E-2</v>
      </c>
      <c r="O159" s="677">
        <f t="shared" si="72"/>
        <v>101384.97535090771</v>
      </c>
      <c r="P159" s="680">
        <f t="shared" si="73"/>
        <v>1.570786463400478</v>
      </c>
      <c r="Q159" s="689">
        <f t="shared" si="100"/>
        <v>47.999306278219812</v>
      </c>
      <c r="R159" s="690">
        <f t="shared" si="101"/>
        <v>1.5499611849620092</v>
      </c>
      <c r="S159" s="677">
        <f t="shared" si="76"/>
        <v>1.0683213713273045</v>
      </c>
      <c r="T159" s="680">
        <f t="shared" si="77"/>
        <v>0.35957083198066542</v>
      </c>
      <c r="U159" s="681">
        <f t="shared" si="89"/>
        <v>0.98706655921664199</v>
      </c>
      <c r="V159" s="682">
        <f t="shared" si="90"/>
        <v>-0.19547533793686406</v>
      </c>
      <c r="W159" s="683">
        <f t="shared" si="78"/>
        <v>-2.0228661830052177</v>
      </c>
      <c r="X159" s="684">
        <f t="shared" si="79"/>
        <v>-123.74771273514898</v>
      </c>
      <c r="Y159" s="687">
        <f t="shared" si="80"/>
        <v>56.25228726485102</v>
      </c>
      <c r="AA159" s="170">
        <f t="shared" si="81"/>
        <v>8964.4</v>
      </c>
      <c r="AB159" s="170">
        <f t="shared" si="82"/>
        <v>80360467.359999999</v>
      </c>
      <c r="AD159" s="686">
        <f t="shared" si="83"/>
        <v>38.036638990043542</v>
      </c>
      <c r="AE159" s="687">
        <f t="shared" si="84"/>
        <v>-21.795091695113353</v>
      </c>
      <c r="AG159" s="686">
        <f t="shared" si="85"/>
        <v>15.258699850564117</v>
      </c>
      <c r="AH159" s="687">
        <f t="shared" si="86"/>
        <v>-79.55279728908846</v>
      </c>
      <c r="AJ159" s="170">
        <f t="shared" si="87"/>
        <v>0</v>
      </c>
      <c r="AK159" s="170">
        <f t="shared" si="99"/>
        <v>0</v>
      </c>
      <c r="AM159" s="170" t="str">
        <f t="shared" si="91"/>
        <v>0.039221059433596+0.277315393305346i</v>
      </c>
      <c r="AN159" s="170" t="str">
        <f t="shared" si="92"/>
        <v>0.28099877978248i</v>
      </c>
      <c r="AO159" s="170" t="str">
        <f t="shared" si="93"/>
        <v>0.986891806149531-0.139577330065123i</v>
      </c>
      <c r="AP159" s="170" t="str">
        <f t="shared" si="94"/>
        <v>0.160129823427734-0.0462192322175577i</v>
      </c>
      <c r="AQ159" s="170" t="str">
        <f t="shared" si="95"/>
        <v>0.839870176572266+0.0462192322175577i</v>
      </c>
      <c r="AR159" s="170" t="str">
        <f t="shared" si="96"/>
        <v>0.988825341016624-0.0544164435574771i</v>
      </c>
    </row>
    <row r="160" spans="7:44">
      <c r="G160" s="688">
        <v>9016.2999999999993</v>
      </c>
      <c r="H160" s="676">
        <f t="shared" si="88"/>
        <v>9.0162999999999993</v>
      </c>
      <c r="I160" s="677">
        <f t="shared" si="66"/>
        <v>111.14867138658846</v>
      </c>
      <c r="J160" s="678">
        <f t="shared" si="67"/>
        <v>1.5617992467678152</v>
      </c>
      <c r="K160" s="678">
        <f t="shared" si="68"/>
        <v>1.000339491103029</v>
      </c>
      <c r="L160" s="679">
        <f t="shared" si="69"/>
        <v>2.6053601888062178E-2</v>
      </c>
      <c r="M160" s="678">
        <f t="shared" si="70"/>
        <v>1.0011708780814268</v>
      </c>
      <c r="N160" s="679">
        <f t="shared" si="71"/>
        <v>-4.8368104342720951E-2</v>
      </c>
      <c r="O160" s="677">
        <f t="shared" si="72"/>
        <v>101971.95052160532</v>
      </c>
      <c r="P160" s="680">
        <f t="shared" si="73"/>
        <v>1.5707865201765578</v>
      </c>
      <c r="Q160" s="689">
        <f t="shared" si="100"/>
        <v>48.277081237043895</v>
      </c>
      <c r="R160" s="690">
        <f t="shared" si="101"/>
        <v>1.550081082662933</v>
      </c>
      <c r="S160" s="677">
        <f t="shared" si="76"/>
        <v>1.0690891183781537</v>
      </c>
      <c r="T160" s="680">
        <f t="shared" si="77"/>
        <v>0.36147637108420017</v>
      </c>
      <c r="U160" s="681">
        <f t="shared" si="89"/>
        <v>0.98692362191588712</v>
      </c>
      <c r="V160" s="682">
        <f t="shared" si="90"/>
        <v>-0.19659297887582142</v>
      </c>
      <c r="W160" s="683">
        <f t="shared" si="78"/>
        <v>-2.080373648660431</v>
      </c>
      <c r="X160" s="684">
        <f t="shared" si="79"/>
        <v>-123.92438485151841</v>
      </c>
      <c r="Y160" s="687">
        <f t="shared" si="80"/>
        <v>56.075615148481589</v>
      </c>
      <c r="AA160" s="170">
        <f t="shared" si="81"/>
        <v>9016.2999999999993</v>
      </c>
      <c r="AB160" s="170">
        <f t="shared" si="82"/>
        <v>81293665.689999983</v>
      </c>
      <c r="AD160" s="686">
        <f t="shared" si="83"/>
        <v>38.030377495639655</v>
      </c>
      <c r="AE160" s="687">
        <f t="shared" si="84"/>
        <v>-21.897404664353445</v>
      </c>
      <c r="AG160" s="686">
        <f t="shared" si="85"/>
        <v>15.209969672215015</v>
      </c>
      <c r="AH160" s="687">
        <f t="shared" si="86"/>
        <v>-79.499084218444878</v>
      </c>
      <c r="AJ160" s="170">
        <f t="shared" si="87"/>
        <v>0</v>
      </c>
      <c r="AK160" s="170">
        <f t="shared" si="99"/>
        <v>0</v>
      </c>
      <c r="AM160" s="170" t="str">
        <f t="shared" si="91"/>
        <v>0.0396734843900201+0.278878079842059i</v>
      </c>
      <c r="AN160" s="170" t="str">
        <f t="shared" si="92"/>
        <v>0.282625641220022i</v>
      </c>
      <c r="AO160" s="170" t="str">
        <f t="shared" si="93"/>
        <v>0.986740193275508-0.140374681570858i</v>
      </c>
      <c r="AP160" s="170" t="str">
        <f t="shared" si="94"/>
        <v>0.16005441926833-0.0464796799736765i</v>
      </c>
      <c r="AQ160" s="170" t="str">
        <f t="shared" si="95"/>
        <v>0.83994558073167+0.0464796799736765i</v>
      </c>
      <c r="AR160" s="170" t="str">
        <f t="shared" si="96"/>
        <v>0.988703375196586-0.0547114212185037i</v>
      </c>
    </row>
    <row r="161" spans="7:44">
      <c r="G161" s="688">
        <v>9068.2000000000007</v>
      </c>
      <c r="H161" s="676">
        <f t="shared" si="88"/>
        <v>9.0682000000000009</v>
      </c>
      <c r="I161" s="677">
        <f t="shared" si="66"/>
        <v>111.78841833810151</v>
      </c>
      <c r="J161" s="678">
        <f t="shared" si="67"/>
        <v>1.5618507369721399</v>
      </c>
      <c r="K161" s="678">
        <f t="shared" si="68"/>
        <v>1.0003434100645778</v>
      </c>
      <c r="L161" s="679">
        <f t="shared" si="69"/>
        <v>2.6203504268489226E-2</v>
      </c>
      <c r="M161" s="678">
        <f t="shared" si="70"/>
        <v>1.001184388595449</v>
      </c>
      <c r="N161" s="679">
        <f t="shared" si="71"/>
        <v>-4.8646085051267586E-2</v>
      </c>
      <c r="O161" s="677">
        <f t="shared" si="72"/>
        <v>102558.92569230327</v>
      </c>
      <c r="P161" s="680">
        <f t="shared" si="73"/>
        <v>1.5707865763027453</v>
      </c>
      <c r="Q161" s="689">
        <f t="shared" si="100"/>
        <v>48.554856881932572</v>
      </c>
      <c r="R161" s="690">
        <f t="shared" si="101"/>
        <v>1.5501996085290968</v>
      </c>
      <c r="S161" s="677">
        <f t="shared" si="76"/>
        <v>1.0698607417966488</v>
      </c>
      <c r="T161" s="680">
        <f t="shared" si="77"/>
        <v>0.36337916839709594</v>
      </c>
      <c r="U161" s="681">
        <f t="shared" si="89"/>
        <v>0.98677991864492853</v>
      </c>
      <c r="V161" s="682">
        <f t="shared" si="90"/>
        <v>-0.19771038099560412</v>
      </c>
      <c r="W161" s="683">
        <f t="shared" si="78"/>
        <v>-2.1376260595702581</v>
      </c>
      <c r="X161" s="684">
        <f t="shared" si="79"/>
        <v>-124.10093023544219</v>
      </c>
      <c r="Y161" s="687">
        <f t="shared" si="80"/>
        <v>55.899069764557808</v>
      </c>
      <c r="AA161" s="170">
        <f t="shared" si="81"/>
        <v>9068.2000000000007</v>
      </c>
      <c r="AB161" s="170">
        <f t="shared" si="82"/>
        <v>82232251.24000001</v>
      </c>
      <c r="AD161" s="686">
        <f t="shared" si="83"/>
        <v>38.024089379869764</v>
      </c>
      <c r="AE161" s="687">
        <f t="shared" si="84"/>
        <v>-21.99963910366737</v>
      </c>
      <c r="AG161" s="686">
        <f t="shared" si="85"/>
        <v>15.161535018895609</v>
      </c>
      <c r="AH161" s="687">
        <f t="shared" si="86"/>
        <v>-79.445350311943372</v>
      </c>
      <c r="AJ161" s="170">
        <f t="shared" si="87"/>
        <v>0</v>
      </c>
      <c r="AK161" s="170">
        <f t="shared" si="99"/>
        <v>0</v>
      </c>
      <c r="AM161" s="170" t="str">
        <f t="shared" si="91"/>
        <v>0.040128451021076+0.28044002827842i</v>
      </c>
      <c r="AN161" s="170" t="str">
        <f t="shared" si="92"/>
        <v>0.284252502657566i</v>
      </c>
      <c r="AO161" s="170" t="str">
        <f t="shared" si="93"/>
        <v>0.986587719216183-0.14117184772659i</v>
      </c>
      <c r="AP161" s="170" t="str">
        <f t="shared" si="94"/>
        <v>0.159978591496487-0.04674000471307i</v>
      </c>
      <c r="AQ161" s="170" t="str">
        <f t="shared" si="95"/>
        <v>0.840021408503513+0.04674000471307i</v>
      </c>
      <c r="AR161" s="170" t="str">
        <f t="shared" si="96"/>
        <v>0.988580776596597-0.0550060625712995i</v>
      </c>
    </row>
    <row r="162" spans="7:44">
      <c r="G162" s="688">
        <v>9120.1</v>
      </c>
      <c r="H162" s="676">
        <f t="shared" si="88"/>
        <v>9.1201000000000008</v>
      </c>
      <c r="I162" s="677">
        <f t="shared" si="66"/>
        <v>112.42816558261964</v>
      </c>
      <c r="J162" s="678">
        <f t="shared" si="67"/>
        <v>1.5619016411896942</v>
      </c>
      <c r="K162" s="678">
        <f t="shared" si="68"/>
        <v>1.0003473515043904</v>
      </c>
      <c r="L162" s="679">
        <f t="shared" si="69"/>
        <v>2.6353405471032529E-2</v>
      </c>
      <c r="M162" s="678">
        <f t="shared" si="70"/>
        <v>1.0011979764721757</v>
      </c>
      <c r="N162" s="679">
        <f t="shared" si="71"/>
        <v>-4.8924058235997506E-2</v>
      </c>
      <c r="O162" s="677">
        <f t="shared" si="72"/>
        <v>103145.90086300153</v>
      </c>
      <c r="P162" s="680">
        <f t="shared" si="73"/>
        <v>1.5707866317901349</v>
      </c>
      <c r="Q162" s="689">
        <f t="shared" si="100"/>
        <v>48.832633201178162</v>
      </c>
      <c r="R162" s="690">
        <f t="shared" si="101"/>
        <v>1.5503167859675038</v>
      </c>
      <c r="S162" s="677">
        <f t="shared" si="76"/>
        <v>1.0706362332015225</v>
      </c>
      <c r="T162" s="680">
        <f t="shared" si="77"/>
        <v>0.36527921608375774</v>
      </c>
      <c r="U162" s="681">
        <f t="shared" si="89"/>
        <v>0.98663545038390443</v>
      </c>
      <c r="V162" s="682">
        <f t="shared" si="90"/>
        <v>-0.19882754306152975</v>
      </c>
      <c r="W162" s="683">
        <f t="shared" si="78"/>
        <v>-2.1946265723886489</v>
      </c>
      <c r="X162" s="684">
        <f t="shared" si="79"/>
        <v>-124.27734760776954</v>
      </c>
      <c r="Y162" s="687">
        <f t="shared" si="80"/>
        <v>55.722652392230458</v>
      </c>
      <c r="AA162" s="170">
        <f t="shared" si="81"/>
        <v>9120.1</v>
      </c>
      <c r="AB162" s="170">
        <f t="shared" si="82"/>
        <v>83176224.010000005</v>
      </c>
      <c r="AD162" s="686">
        <f t="shared" si="83"/>
        <v>38.017774763944885</v>
      </c>
      <c r="AE162" s="687">
        <f t="shared" si="84"/>
        <v>-22.101793223621776</v>
      </c>
      <c r="AG162" s="686">
        <f t="shared" si="85"/>
        <v>15.113392601481163</v>
      </c>
      <c r="AH162" s="687">
        <f t="shared" si="86"/>
        <v>-79.391596221350738</v>
      </c>
      <c r="AJ162" s="170">
        <f t="shared" si="87"/>
        <v>0</v>
      </c>
      <c r="AK162" s="170">
        <f t="shared" si="99"/>
        <v>0</v>
      </c>
      <c r="AM162" s="170" t="str">
        <f t="shared" si="91"/>
        <v>0.040585958122615+0.282001234480453i</v>
      </c>
      <c r="AN162" s="170" t="str">
        <f t="shared" si="92"/>
        <v>0.285879364095109i</v>
      </c>
      <c r="AO162" s="170" t="str">
        <f t="shared" si="93"/>
        <v>0.986434384213315-0.141968827484563i</v>
      </c>
      <c r="AP162" s="170" t="str">
        <f t="shared" si="94"/>
        <v>0.159902340312897-0.0470002057467422i</v>
      </c>
      <c r="AQ162" s="170" t="str">
        <f t="shared" si="95"/>
        <v>0.840097659687103+0.0470002057467422i</v>
      </c>
      <c r="AR162" s="170" t="str">
        <f t="shared" si="96"/>
        <v>0.988457546387709-0.055300365994884i</v>
      </c>
    </row>
    <row r="163" spans="7:44">
      <c r="G163" s="688">
        <v>9173.2000000000007</v>
      </c>
      <c r="H163" s="676">
        <f t="shared" si="88"/>
        <v>9.1732000000000014</v>
      </c>
      <c r="I163" s="677">
        <f t="shared" si="66"/>
        <v>113.08270496900079</v>
      </c>
      <c r="J163" s="678">
        <f t="shared" si="67"/>
        <v>1.5619531262887516</v>
      </c>
      <c r="K163" s="678">
        <f t="shared" si="68"/>
        <v>1.0003514073393476</v>
      </c>
      <c r="L163" s="679">
        <f t="shared" si="69"/>
        <v>2.6506771371272726E-2</v>
      </c>
      <c r="M163" s="678">
        <f t="shared" si="70"/>
        <v>1.0012119585826604</v>
      </c>
      <c r="N163" s="679">
        <f t="shared" si="71"/>
        <v>-4.9208450715135486E-2</v>
      </c>
      <c r="O163" s="677">
        <f t="shared" si="72"/>
        <v>103746.44771394748</v>
      </c>
      <c r="P163" s="680">
        <f t="shared" si="73"/>
        <v>1.5707866879106549</v>
      </c>
      <c r="Q163" s="689">
        <f t="shared" si="100"/>
        <v>49.116832780271963</v>
      </c>
      <c r="R163" s="690">
        <f t="shared" si="101"/>
        <v>1.5504353010128715</v>
      </c>
      <c r="S163" s="677">
        <f t="shared" si="76"/>
        <v>1.0714336494540171</v>
      </c>
      <c r="T163" s="680">
        <f t="shared" si="77"/>
        <v>0.36722034171996426</v>
      </c>
      <c r="U163" s="681">
        <f t="shared" si="89"/>
        <v>0.98648685111716272</v>
      </c>
      <c r="V163" s="682">
        <f t="shared" si="90"/>
        <v>-0.19997028573536432</v>
      </c>
      <c r="W163" s="683">
        <f t="shared" si="78"/>
        <v>-2.252687547527179</v>
      </c>
      <c r="X163" s="684">
        <f t="shared" si="79"/>
        <v>-124.45771019913441</v>
      </c>
      <c r="Y163" s="687">
        <f t="shared" si="80"/>
        <v>55.542289800865589</v>
      </c>
      <c r="AA163" s="170">
        <f t="shared" si="81"/>
        <v>9173.2000000000007</v>
      </c>
      <c r="AB163" s="170">
        <f t="shared" si="82"/>
        <v>84147598.24000001</v>
      </c>
      <c r="AD163" s="686">
        <f t="shared" si="83"/>
        <v>38.011286845792846</v>
      </c>
      <c r="AE163" s="687">
        <f t="shared" si="84"/>
        <v>-22.206224333760954</v>
      </c>
      <c r="AG163" s="686">
        <f t="shared" si="85"/>
        <v>15.064436142224423</v>
      </c>
      <c r="AH163" s="687">
        <f t="shared" si="86"/>
        <v>-79.336579037866358</v>
      </c>
      <c r="AJ163" s="170">
        <f t="shared" si="87"/>
        <v>0</v>
      </c>
      <c r="AK163" s="170">
        <f t="shared" si="99"/>
        <v>0</v>
      </c>
      <c r="AM163" s="170" t="str">
        <f t="shared" si="91"/>
        <v>0.041056671418492+0.283597765451385i</v>
      </c>
      <c r="AN163" s="170" t="str">
        <f t="shared" si="92"/>
        <v>0.287543840826005i</v>
      </c>
      <c r="AO163" s="170" t="str">
        <f t="shared" si="93"/>
        <v>0.986276613113032-0.142784040515532i</v>
      </c>
      <c r="AP163" s="170" t="str">
        <f t="shared" si="94"/>
        <v>0.159823888096918-0.0472662942418975i</v>
      </c>
      <c r="AQ163" s="170" t="str">
        <f t="shared" si="95"/>
        <v>0.840176111903082+0.0472662942418975i</v>
      </c>
      <c r="AR163" s="170" t="str">
        <f t="shared" si="96"/>
        <v>0.988330814468825-0.0556011226970072i</v>
      </c>
    </row>
    <row r="164" spans="7:44">
      <c r="G164" s="688">
        <v>9226.2999999999993</v>
      </c>
      <c r="H164" s="676">
        <f t="shared" si="88"/>
        <v>9.2262999999999984</v>
      </c>
      <c r="I164" s="677">
        <f t="shared" si="66"/>
        <v>113.73724465168193</v>
      </c>
      <c r="J164" s="678">
        <f t="shared" si="67"/>
        <v>1.5620040188108937</v>
      </c>
      <c r="K164" s="678">
        <f t="shared" si="68"/>
        <v>1.0003554867034785</v>
      </c>
      <c r="L164" s="679">
        <f t="shared" si="69"/>
        <v>2.6660136024294144E-2</v>
      </c>
      <c r="M164" s="678">
        <f t="shared" si="70"/>
        <v>1.001226021667984</v>
      </c>
      <c r="N164" s="679">
        <f t="shared" si="71"/>
        <v>-4.949283522819705E-2</v>
      </c>
      <c r="O164" s="677">
        <f t="shared" si="72"/>
        <v>104346.9945648937</v>
      </c>
      <c r="P164" s="680">
        <f t="shared" si="73"/>
        <v>1.5707867433851954</v>
      </c>
      <c r="Q164" s="689">
        <f t="shared" si="100"/>
        <v>49.401033041314058</v>
      </c>
      <c r="R164" s="690">
        <f t="shared" si="101"/>
        <v>1.5505524524443834</v>
      </c>
      <c r="S164" s="677">
        <f t="shared" si="76"/>
        <v>1.0722350968213514</v>
      </c>
      <c r="T164" s="680">
        <f t="shared" si="77"/>
        <v>0.36915857284258885</v>
      </c>
      <c r="U164" s="681">
        <f t="shared" si="89"/>
        <v>0.98633745316611454</v>
      </c>
      <c r="V164" s="682">
        <f t="shared" si="90"/>
        <v>-0.20111277451884699</v>
      </c>
      <c r="W164" s="683">
        <f t="shared" si="78"/>
        <v>-2.3104913475907187</v>
      </c>
      <c r="X164" s="684">
        <f t="shared" si="79"/>
        <v>-124.63793615542997</v>
      </c>
      <c r="Y164" s="687">
        <f t="shared" si="80"/>
        <v>55.362063844570031</v>
      </c>
      <c r="AA164" s="170">
        <f t="shared" si="81"/>
        <v>9226.2999999999993</v>
      </c>
      <c r="AB164" s="170">
        <f t="shared" si="82"/>
        <v>85124611.689999983</v>
      </c>
      <c r="AD164" s="686">
        <f t="shared" si="83"/>
        <v>38.004771445651599</v>
      </c>
      <c r="AE164" s="687">
        <f t="shared" si="84"/>
        <v>-22.310567692794969</v>
      </c>
      <c r="AG164" s="686">
        <f t="shared" si="85"/>
        <v>15.01577880096178</v>
      </c>
      <c r="AH164" s="687">
        <f t="shared" si="86"/>
        <v>-79.281542064109075</v>
      </c>
      <c r="AJ164" s="170">
        <f t="shared" si="87"/>
        <v>0</v>
      </c>
      <c r="AK164" s="170">
        <f t="shared" si="99"/>
        <v>0</v>
      </c>
      <c r="AM164" s="170" t="str">
        <f t="shared" si="91"/>
        <v>0.041530041449743+0.285193510719773i</v>
      </c>
      <c r="AN164" s="170" t="str">
        <f t="shared" si="92"/>
        <v>0.289208317556902i</v>
      </c>
      <c r="AO164" s="170" t="str">
        <f t="shared" si="93"/>
        <v>0.986117941312877-0.143599056211694i</v>
      </c>
      <c r="AP164" s="170" t="str">
        <f t="shared" si="94"/>
        <v>0.15974499309171-0.0475322517866288i</v>
      </c>
      <c r="AQ164" s="170" t="str">
        <f t="shared" si="95"/>
        <v>0.84025500690829+0.0475322517866288i</v>
      </c>
      <c r="AR164" s="170" t="str">
        <f t="shared" si="96"/>
        <v>0.988203423892223-0.05590152224583i</v>
      </c>
    </row>
    <row r="165" spans="7:44">
      <c r="G165" s="688">
        <v>9279.4</v>
      </c>
      <c r="H165" s="676">
        <f t="shared" si="88"/>
        <v>9.279399999999999</v>
      </c>
      <c r="I165" s="677">
        <f t="shared" si="66"/>
        <v>114.39178462557696</v>
      </c>
      <c r="J165" s="678">
        <f t="shared" si="67"/>
        <v>1.5620543289278772</v>
      </c>
      <c r="K165" s="678">
        <f t="shared" si="68"/>
        <v>1.0003595895964952</v>
      </c>
      <c r="L165" s="679">
        <f t="shared" si="69"/>
        <v>2.6813499422897603E-2</v>
      </c>
      <c r="M165" s="678">
        <f t="shared" si="70"/>
        <v>1.0012401657247343</v>
      </c>
      <c r="N165" s="679">
        <f t="shared" si="71"/>
        <v>-4.9777211729519932E-2</v>
      </c>
      <c r="O165" s="677">
        <f t="shared" si="72"/>
        <v>104947.5414158403</v>
      </c>
      <c r="P165" s="680">
        <f t="shared" si="73"/>
        <v>1.570786798224846</v>
      </c>
      <c r="Q165" s="689">
        <f t="shared" si="100"/>
        <v>49.685233972602184</v>
      </c>
      <c r="R165" s="690">
        <f t="shared" si="101"/>
        <v>1.5506682636585243</v>
      </c>
      <c r="S165" s="677">
        <f t="shared" si="76"/>
        <v>1.0730405662710818</v>
      </c>
      <c r="T165" s="680">
        <f t="shared" si="77"/>
        <v>0.37109390139081361</v>
      </c>
      <c r="U165" s="681">
        <f t="shared" si="89"/>
        <v>0.98618725759490833</v>
      </c>
      <c r="V165" s="682">
        <f t="shared" si="90"/>
        <v>-0.20225500809712899</v>
      </c>
      <c r="W165" s="683">
        <f t="shared" si="78"/>
        <v>-2.3680411746705063</v>
      </c>
      <c r="X165" s="684">
        <f t="shared" si="79"/>
        <v>-124.81802418018052</v>
      </c>
      <c r="Y165" s="687">
        <f t="shared" si="80"/>
        <v>55.181975819819485</v>
      </c>
      <c r="AA165" s="170">
        <f t="shared" si="81"/>
        <v>9279.4</v>
      </c>
      <c r="AB165" s="170">
        <f t="shared" si="82"/>
        <v>86107264.359999999</v>
      </c>
      <c r="AD165" s="686">
        <f t="shared" si="83"/>
        <v>37.998228694396126</v>
      </c>
      <c r="AE165" s="687">
        <f t="shared" si="84"/>
        <v>-22.414821498988534</v>
      </c>
      <c r="AG165" s="686">
        <f t="shared" si="85"/>
        <v>14.967417232493652</v>
      </c>
      <c r="AH165" s="687">
        <f t="shared" si="86"/>
        <v>-79.226485956009185</v>
      </c>
      <c r="AJ165" s="170">
        <f t="shared" si="87"/>
        <v>0</v>
      </c>
      <c r="AK165" s="170">
        <f t="shared" si="99"/>
        <v>0</v>
      </c>
      <c r="AM165" s="170" t="str">
        <f t="shared" si="91"/>
        <v>0.042006066904903+0.286788465864629i</v>
      </c>
      <c r="AN165" s="170" t="str">
        <f t="shared" si="92"/>
        <v>0.290872794287798i</v>
      </c>
      <c r="AO165" s="170" t="str">
        <f t="shared" si="93"/>
        <v>0.985958369076182-0.144413873451984i</v>
      </c>
      <c r="AP165" s="170" t="str">
        <f t="shared" si="94"/>
        <v>0.159665655515849-0.0477980776441048i</v>
      </c>
      <c r="AQ165" s="170" t="str">
        <f t="shared" si="95"/>
        <v>0.840334344484151+0.0477980776441048i</v>
      </c>
      <c r="AR165" s="170" t="str">
        <f t="shared" si="96"/>
        <v>0.988075375928426-0.0562015629217755i</v>
      </c>
    </row>
    <row r="166" spans="7:44">
      <c r="G166" s="688">
        <v>9332.5</v>
      </c>
      <c r="H166" s="676">
        <f t="shared" si="88"/>
        <v>9.3324999999999996</v>
      </c>
      <c r="I166" s="677">
        <f t="shared" si="66"/>
        <v>115.04632488571535</v>
      </c>
      <c r="J166" s="678">
        <f t="shared" si="67"/>
        <v>1.5621040665799875</v>
      </c>
      <c r="K166" s="678">
        <f t="shared" si="68"/>
        <v>1.0003637160181085</v>
      </c>
      <c r="L166" s="679">
        <f t="shared" si="69"/>
        <v>2.6966861559884262E-2</v>
      </c>
      <c r="M166" s="678">
        <f t="shared" si="70"/>
        <v>1.0012543907494798</v>
      </c>
      <c r="N166" s="679">
        <f t="shared" si="71"/>
        <v>-5.0061580173449576E-2</v>
      </c>
      <c r="O166" s="677">
        <f t="shared" si="72"/>
        <v>105548.08826678719</v>
      </c>
      <c r="P166" s="680">
        <f t="shared" si="73"/>
        <v>1.5707868524404442</v>
      </c>
      <c r="Q166" s="689">
        <f t="shared" si="100"/>
        <v>49.969435562700276</v>
      </c>
      <c r="R166" s="690">
        <f t="shared" si="101"/>
        <v>1.5507827575196538</v>
      </c>
      <c r="S166" s="677">
        <f t="shared" si="76"/>
        <v>1.0738500487526021</v>
      </c>
      <c r="T166" s="680">
        <f t="shared" si="77"/>
        <v>0.37302631941491671</v>
      </c>
      <c r="U166" s="681">
        <f t="shared" si="89"/>
        <v>0.98603626547253709</v>
      </c>
      <c r="V166" s="682">
        <f t="shared" si="90"/>
        <v>-0.2033969851579161</v>
      </c>
      <c r="W166" s="683">
        <f t="shared" si="78"/>
        <v>-2.4253401733627959</v>
      </c>
      <c r="X166" s="684">
        <f t="shared" si="79"/>
        <v>-124.99797300063446</v>
      </c>
      <c r="Y166" s="687">
        <f t="shared" si="80"/>
        <v>55.00202699936554</v>
      </c>
      <c r="AA166" s="170">
        <f t="shared" si="81"/>
        <v>9332.5</v>
      </c>
      <c r="AB166" s="170">
        <f t="shared" si="82"/>
        <v>87095556.25</v>
      </c>
      <c r="AD166" s="686">
        <f t="shared" si="83"/>
        <v>37.991658723226685</v>
      </c>
      <c r="AE166" s="687">
        <f t="shared" si="84"/>
        <v>-22.518983987445765</v>
      </c>
      <c r="AG166" s="686">
        <f t="shared" si="85"/>
        <v>14.919348148731451</v>
      </c>
      <c r="AH166" s="687">
        <f t="shared" si="86"/>
        <v>-79.171411356088626</v>
      </c>
      <c r="AJ166" s="170">
        <f t="shared" si="87"/>
        <v>0</v>
      </c>
      <c r="AK166" s="170">
        <f t="shared" si="99"/>
        <v>0</v>
      </c>
      <c r="AM166" s="170" t="str">
        <f t="shared" si="91"/>
        <v>0.042484746465153+0.288382626467161i</v>
      </c>
      <c r="AN166" s="170" t="str">
        <f t="shared" si="92"/>
        <v>0.292537271018695i</v>
      </c>
      <c r="AO166" s="170" t="str">
        <f t="shared" si="93"/>
        <v>0.985797896667777-0.145228491115711i</v>
      </c>
      <c r="AP166" s="170" t="str">
        <f t="shared" si="94"/>
        <v>0.159585875589141-0.0480637710778602i</v>
      </c>
      <c r="AQ166" s="170" t="str">
        <f t="shared" si="95"/>
        <v>0.840414124410859+0.0480637710778602i</v>
      </c>
      <c r="AR166" s="170" t="str">
        <f t="shared" si="96"/>
        <v>0.987946671853417-0.0565012430108593i</v>
      </c>
    </row>
    <row r="167" spans="7:44">
      <c r="G167" s="688">
        <v>9386.85</v>
      </c>
      <c r="H167" s="676">
        <f t="shared" si="88"/>
        <v>9.3868500000000008</v>
      </c>
      <c r="I167" s="677">
        <f t="shared" si="66"/>
        <v>115.71627363542839</v>
      </c>
      <c r="J167" s="678">
        <f t="shared" si="67"/>
        <v>1.5621543923818444</v>
      </c>
      <c r="K167" s="678">
        <f t="shared" si="68"/>
        <v>1.0003679639433305</v>
      </c>
      <c r="L167" s="679">
        <f t="shared" si="69"/>
        <v>2.7123832602640029E-2</v>
      </c>
      <c r="M167" s="678">
        <f t="shared" si="70"/>
        <v>1.0012690344841402</v>
      </c>
      <c r="N167" s="679">
        <f t="shared" si="71"/>
        <v>-5.035263439800778E-2</v>
      </c>
      <c r="O167" s="677">
        <f t="shared" si="72"/>
        <v>106162.77228465876</v>
      </c>
      <c r="P167" s="680">
        <f t="shared" si="73"/>
        <v>1.5707869072970964</v>
      </c>
      <c r="Q167" s="689">
        <f t="shared" si="100"/>
        <v>50.26032806797749</v>
      </c>
      <c r="R167" s="690">
        <f t="shared" si="101"/>
        <v>1.5508986057086709</v>
      </c>
      <c r="S167" s="677">
        <f t="shared" si="76"/>
        <v>1.0746827332300231</v>
      </c>
      <c r="T167" s="680">
        <f t="shared" si="77"/>
        <v>0.37500120522132513</v>
      </c>
      <c r="U167" s="681">
        <f t="shared" si="89"/>
        <v>0.98588089514375576</v>
      </c>
      <c r="V167" s="682">
        <f t="shared" si="90"/>
        <v>-0.20456557790450022</v>
      </c>
      <c r="W167" s="683">
        <f t="shared" si="78"/>
        <v>-2.4837314868008047</v>
      </c>
      <c r="X167" s="684">
        <f t="shared" si="79"/>
        <v>-125.18201244214882</v>
      </c>
      <c r="Y167" s="687">
        <f t="shared" si="80"/>
        <v>54.817987557851183</v>
      </c>
      <c r="AA167" s="170">
        <f t="shared" si="81"/>
        <v>9386.85</v>
      </c>
      <c r="AB167" s="170">
        <f t="shared" si="82"/>
        <v>88112952.922499999</v>
      </c>
      <c r="AD167" s="686">
        <f t="shared" si="83"/>
        <v>37.98490604036833</v>
      </c>
      <c r="AE167" s="687">
        <f t="shared" si="84"/>
        <v>-22.625502140054699</v>
      </c>
      <c r="AG167" s="686">
        <f t="shared" si="85"/>
        <v>14.870447015565119</v>
      </c>
      <c r="AH167" s="687">
        <f t="shared" si="86"/>
        <v>-79.115021780143309</v>
      </c>
      <c r="AJ167" s="170">
        <f t="shared" si="87"/>
        <v>0</v>
      </c>
      <c r="AK167" s="170">
        <f t="shared" si="99"/>
        <v>0</v>
      </c>
      <c r="AM167" s="170" t="str">
        <f t="shared" si="91"/>
        <v>0.042977441551324+0.29001348696285i</v>
      </c>
      <c r="AN167" s="170" t="str">
        <f t="shared" si="92"/>
        <v>0.294240930346835i</v>
      </c>
      <c r="AO167" s="170" t="str">
        <f t="shared" si="93"/>
        <v>0.985632714731421-0.14606207742976i</v>
      </c>
      <c r="AP167" s="170" t="str">
        <f t="shared" si="94"/>
        <v>0.159503759741446-0.048335581160475i</v>
      </c>
      <c r="AQ167" s="170" t="str">
        <f t="shared" si="95"/>
        <v>0.840496240258554+0.048335581160475i</v>
      </c>
      <c r="AR167" s="170" t="str">
        <f t="shared" si="96"/>
        <v>0.987814259898139-0.0568076025135975i</v>
      </c>
    </row>
    <row r="168" spans="7:44">
      <c r="G168" s="688">
        <v>9441.2000000000007</v>
      </c>
      <c r="H168" s="676">
        <f t="shared" si="88"/>
        <v>9.4412000000000003</v>
      </c>
      <c r="I168" s="677">
        <f t="shared" si="66"/>
        <v>116.38622267484045</v>
      </c>
      <c r="J168" s="678">
        <f t="shared" si="67"/>
        <v>1.5622041388073011</v>
      </c>
      <c r="K168" s="678">
        <f t="shared" si="68"/>
        <v>1.0003722365173178</v>
      </c>
      <c r="L168" s="679">
        <f t="shared" si="69"/>
        <v>2.7280802308421809E-2</v>
      </c>
      <c r="M168" s="678">
        <f t="shared" si="70"/>
        <v>1.00128376303638</v>
      </c>
      <c r="N168" s="679">
        <f t="shared" si="71"/>
        <v>-5.0643680084598276E-2</v>
      </c>
      <c r="O168" s="677">
        <f t="shared" si="72"/>
        <v>106777.45630253066</v>
      </c>
      <c r="P168" s="680">
        <f t="shared" si="73"/>
        <v>1.5707869615221635</v>
      </c>
      <c r="Q168" s="689">
        <f t="shared" si="100"/>
        <v>50.551221240025555</v>
      </c>
      <c r="R168" s="690">
        <f t="shared" si="101"/>
        <v>1.5510131206199598</v>
      </c>
      <c r="S168" s="677">
        <f t="shared" si="76"/>
        <v>1.0755196026573406</v>
      </c>
      <c r="T168" s="680">
        <f t="shared" si="77"/>
        <v>0.37697302536293498</v>
      </c>
      <c r="U168" s="681">
        <f t="shared" si="89"/>
        <v>0.98572469260157802</v>
      </c>
      <c r="V168" s="682">
        <f t="shared" si="90"/>
        <v>-0.20573389914056936</v>
      </c>
      <c r="W168" s="683">
        <f t="shared" si="78"/>
        <v>-2.5418665110519085</v>
      </c>
      <c r="X168" s="684">
        <f t="shared" si="79"/>
        <v>-125.36590342419258</v>
      </c>
      <c r="Y168" s="687">
        <f t="shared" si="80"/>
        <v>54.634096575807419</v>
      </c>
      <c r="AA168" s="170">
        <f t="shared" si="81"/>
        <v>9441.2000000000007</v>
      </c>
      <c r="AB168" s="170">
        <f t="shared" si="82"/>
        <v>89136257.440000013</v>
      </c>
      <c r="AD168" s="686">
        <f t="shared" si="83"/>
        <v>37.978125120084059</v>
      </c>
      <c r="AE168" s="687">
        <f t="shared" si="84"/>
        <v>-22.731920998008757</v>
      </c>
      <c r="AG168" s="686">
        <f t="shared" si="85"/>
        <v>14.821845506851233</v>
      </c>
      <c r="AH168" s="687">
        <f t="shared" si="86"/>
        <v>-79.058614152195531</v>
      </c>
      <c r="AJ168" s="170">
        <f t="shared" si="87"/>
        <v>0</v>
      </c>
      <c r="AK168" s="170">
        <f t="shared" si="99"/>
        <v>0</v>
      </c>
      <c r="AM168" s="170" t="str">
        <f t="shared" si="91"/>
        <v>0.043472914351835+0.291643505707617i</v>
      </c>
      <c r="AN168" s="170" t="str">
        <f t="shared" si="92"/>
        <v>0.295944589674975i</v>
      </c>
      <c r="AO168" s="170" t="str">
        <f t="shared" si="93"/>
        <v>0.985466590309754-0.14689545228578i</v>
      </c>
      <c r="AP168" s="170" t="str">
        <f t="shared" si="94"/>
        <v>0.159421180941361-0.0486072509512695i</v>
      </c>
      <c r="AQ168" s="170" t="str">
        <f t="shared" si="95"/>
        <v>0.840578819058639+0.0486072509512695i</v>
      </c>
      <c r="AR168" s="170" t="str">
        <f t="shared" si="96"/>
        <v>0.987681163300068-0.0571135806373669i</v>
      </c>
    </row>
    <row r="169" spans="7:44">
      <c r="G169" s="688">
        <v>9495.5499999999993</v>
      </c>
      <c r="H169" s="676">
        <f t="shared" si="88"/>
        <v>9.4955499999999997</v>
      </c>
      <c r="I169" s="677">
        <f t="shared" si="66"/>
        <v>117.05617199897739</v>
      </c>
      <c r="J169" s="678">
        <f t="shared" si="67"/>
        <v>1.5622533158039702</v>
      </c>
      <c r="K169" s="678">
        <f t="shared" si="68"/>
        <v>1.0003765337397543</v>
      </c>
      <c r="L169" s="679">
        <f t="shared" si="69"/>
        <v>2.7437770669511471E-2</v>
      </c>
      <c r="M169" s="678">
        <f t="shared" si="70"/>
        <v>1.0012985764024569</v>
      </c>
      <c r="N169" s="679">
        <f t="shared" si="71"/>
        <v>-5.0934717184291378E-2</v>
      </c>
      <c r="O169" s="677">
        <f t="shared" si="72"/>
        <v>107392.14032040285</v>
      </c>
      <c r="P169" s="680">
        <f t="shared" si="73"/>
        <v>1.5707870151264911</v>
      </c>
      <c r="Q169" s="689">
        <f t="shared" si="100"/>
        <v>50.842115067399689</v>
      </c>
      <c r="R169" s="690">
        <f t="shared" si="101"/>
        <v>1.5511263251355889</v>
      </c>
      <c r="S169" s="677">
        <f t="shared" si="76"/>
        <v>1.0763606472731708</v>
      </c>
      <c r="T169" s="680">
        <f t="shared" si="77"/>
        <v>0.37894177167516196</v>
      </c>
      <c r="U169" s="681">
        <f t="shared" si="89"/>
        <v>0.98556765900785603</v>
      </c>
      <c r="V169" s="682">
        <f t="shared" si="90"/>
        <v>-0.20690194746730439</v>
      </c>
      <c r="W169" s="683">
        <f t="shared" si="78"/>
        <v>-2.5997484393866688</v>
      </c>
      <c r="X169" s="684">
        <f t="shared" si="79"/>
        <v>-125.5496446559936</v>
      </c>
      <c r="Y169" s="687">
        <f t="shared" si="80"/>
        <v>54.450355344006397</v>
      </c>
      <c r="AA169" s="170">
        <f t="shared" si="81"/>
        <v>9495.5499999999993</v>
      </c>
      <c r="AB169" s="170">
        <f t="shared" si="82"/>
        <v>90165469.80249998</v>
      </c>
      <c r="AD169" s="686">
        <f t="shared" si="83"/>
        <v>37.971316104016907</v>
      </c>
      <c r="AE169" s="687">
        <f t="shared" si="84"/>
        <v>-22.838238783087153</v>
      </c>
      <c r="AG169" s="686">
        <f t="shared" si="85"/>
        <v>14.773540274306651</v>
      </c>
      <c r="AH169" s="687">
        <f t="shared" si="86"/>
        <v>-79.002189119986696</v>
      </c>
      <c r="AJ169" s="170">
        <f t="shared" si="87"/>
        <v>0</v>
      </c>
      <c r="AK169" s="170">
        <f t="shared" si="99"/>
        <v>0</v>
      </c>
      <c r="AM169" s="170" t="str">
        <f t="shared" si="91"/>
        <v>0.043971163428599+0.293272677970406i</v>
      </c>
      <c r="AN169" s="170" t="str">
        <f t="shared" si="92"/>
        <v>0.297648249003115i</v>
      </c>
      <c r="AO169" s="170" t="str">
        <f t="shared" si="93"/>
        <v>0.985299523691593-0.147728614483261i</v>
      </c>
      <c r="AP169" s="170" t="str">
        <f t="shared" si="94"/>
        <v>0.159338139428567-0.0488787796617343i</v>
      </c>
      <c r="AQ169" s="170" t="str">
        <f t="shared" si="95"/>
        <v>0.840661860571433+0.0488787796617343i</v>
      </c>
      <c r="AR169" s="170" t="str">
        <f t="shared" si="96"/>
        <v>0.987547383444992-0.0574191755625964i</v>
      </c>
    </row>
    <row r="170" spans="7:44">
      <c r="G170" s="688">
        <v>9549.9</v>
      </c>
      <c r="H170" s="676">
        <f t="shared" si="88"/>
        <v>9.5498999999999992</v>
      </c>
      <c r="I170" s="677">
        <f t="shared" si="66"/>
        <v>117.72612160297838</v>
      </c>
      <c r="J170" s="678">
        <f t="shared" si="67"/>
        <v>1.5623019330930377</v>
      </c>
      <c r="K170" s="678">
        <f t="shared" si="68"/>
        <v>1.0003808556103226</v>
      </c>
      <c r="L170" s="679">
        <f t="shared" si="69"/>
        <v>2.7594737678191296E-2</v>
      </c>
      <c r="M170" s="678">
        <f t="shared" si="70"/>
        <v>1.0013134745786061</v>
      </c>
      <c r="N170" s="679">
        <f t="shared" si="71"/>
        <v>-5.1225745648166086E-2</v>
      </c>
      <c r="O170" s="677">
        <f t="shared" si="72"/>
        <v>108006.82433827536</v>
      </c>
      <c r="P170" s="680">
        <f t="shared" si="73"/>
        <v>1.5707870681206773</v>
      </c>
      <c r="Q170" s="689">
        <f t="shared" si="100"/>
        <v>51.133009538915516</v>
      </c>
      <c r="R170" s="690">
        <f t="shared" si="101"/>
        <v>1.5512382416170607</v>
      </c>
      <c r="S170" s="677">
        <f t="shared" si="76"/>
        <v>1.0772058572979908</v>
      </c>
      <c r="T170" s="680">
        <f t="shared" si="77"/>
        <v>0.38090743611416866</v>
      </c>
      <c r="U170" s="681">
        <f t="shared" si="89"/>
        <v>0.98540979552965813</v>
      </c>
      <c r="V170" s="682">
        <f t="shared" si="90"/>
        <v>-0.20806972148872005</v>
      </c>
      <c r="W170" s="683">
        <f t="shared" si="78"/>
        <v>-2.6573804075562952</v>
      </c>
      <c r="X170" s="684">
        <f t="shared" si="79"/>
        <v>-125.73323487069948</v>
      </c>
      <c r="Y170" s="687">
        <f t="shared" si="80"/>
        <v>54.266765129300524</v>
      </c>
      <c r="AA170" s="170">
        <f t="shared" si="81"/>
        <v>9549.9</v>
      </c>
      <c r="AB170" s="170">
        <f t="shared" si="82"/>
        <v>91200590.00999999</v>
      </c>
      <c r="AD170" s="686">
        <f t="shared" si="83"/>
        <v>37.964479134099733</v>
      </c>
      <c r="AE170" s="687">
        <f t="shared" si="84"/>
        <v>-22.944453753799472</v>
      </c>
      <c r="AG170" s="686">
        <f t="shared" si="85"/>
        <v>14.725528026814299</v>
      </c>
      <c r="AH170" s="687">
        <f t="shared" si="86"/>
        <v>-78.945747318123068</v>
      </c>
      <c r="AJ170" s="170">
        <f t="shared" si="87"/>
        <v>0</v>
      </c>
      <c r="AK170" s="170">
        <f t="shared" si="99"/>
        <v>0</v>
      </c>
      <c r="AM170" s="170" t="str">
        <f t="shared" si="91"/>
        <v>0.04447218733547+0.29490099902262i</v>
      </c>
      <c r="AN170" s="170" t="str">
        <f t="shared" si="92"/>
        <v>0.299351908331255i</v>
      </c>
      <c r="AO170" s="170" t="str">
        <f t="shared" si="93"/>
        <v>0.985131515167394-0.148561562822102i</v>
      </c>
      <c r="AP170" s="170" t="str">
        <f t="shared" si="94"/>
        <v>0.159254635444088-0.04915016650377i</v>
      </c>
      <c r="AQ170" s="170" t="str">
        <f t="shared" si="95"/>
        <v>0.840745364555912+0.04915016650377i</v>
      </c>
      <c r="AR170" s="170" t="str">
        <f t="shared" si="96"/>
        <v>0.987412921724556-0.0577243854759409i</v>
      </c>
    </row>
    <row r="171" spans="7:44">
      <c r="G171" s="688">
        <v>9605.5249999999996</v>
      </c>
      <c r="H171" s="676">
        <f t="shared" si="88"/>
        <v>9.6055250000000001</v>
      </c>
      <c r="I171" s="677">
        <f t="shared" si="66"/>
        <v>118.41178788086555</v>
      </c>
      <c r="J171" s="678">
        <f t="shared" si="67"/>
        <v>1.562351121254878</v>
      </c>
      <c r="K171" s="678">
        <f t="shared" si="68"/>
        <v>1.0003853043898328</v>
      </c>
      <c r="L171" s="679">
        <f t="shared" si="69"/>
        <v>2.7755385577177924E-2</v>
      </c>
      <c r="M171" s="678">
        <f t="shared" si="70"/>
        <v>1.0013288100657938</v>
      </c>
      <c r="N171" s="679">
        <f t="shared" si="71"/>
        <v>-5.1523592373593316E-2</v>
      </c>
      <c r="O171" s="677">
        <f t="shared" si="72"/>
        <v>108635.92826641104</v>
      </c>
      <c r="P171" s="680">
        <f t="shared" si="73"/>
        <v>1.5707871217370859</v>
      </c>
      <c r="Q171" s="689">
        <f t="shared" si="100"/>
        <v>51.430728777348044</v>
      </c>
      <c r="R171" s="690">
        <f t="shared" si="101"/>
        <v>1.5513514726461608</v>
      </c>
      <c r="S171" s="677">
        <f t="shared" si="76"/>
        <v>1.0780751980628256</v>
      </c>
      <c r="T171" s="680">
        <f t="shared" si="77"/>
        <v>0.38291601376056178</v>
      </c>
      <c r="U171" s="681">
        <f t="shared" si="89"/>
        <v>0.98524737063043699</v>
      </c>
      <c r="V171" s="682">
        <f t="shared" si="90"/>
        <v>-0.20926460490587406</v>
      </c>
      <c r="W171" s="683">
        <f t="shared" si="78"/>
        <v>-2.7161087562837434</v>
      </c>
      <c r="X171" s="684">
        <f t="shared" si="79"/>
        <v>-125.92097426939097</v>
      </c>
      <c r="Y171" s="687">
        <f t="shared" si="80"/>
        <v>54.079025730609033</v>
      </c>
      <c r="AA171" s="170">
        <f t="shared" si="81"/>
        <v>9605.5249999999996</v>
      </c>
      <c r="AB171" s="170">
        <f t="shared" si="82"/>
        <v>92266110.52562499</v>
      </c>
      <c r="AD171" s="686">
        <f t="shared" si="83"/>
        <v>37.957452978488305</v>
      </c>
      <c r="AE171" s="687">
        <f t="shared" si="84"/>
        <v>-23.053052187802781</v>
      </c>
      <c r="AG171" s="686">
        <f t="shared" si="85"/>
        <v>14.676689456608493</v>
      </c>
      <c r="AH171" s="687">
        <f t="shared" si="86"/>
        <v>-78.887964729028582</v>
      </c>
      <c r="AJ171" s="170">
        <f t="shared" si="87"/>
        <v>0</v>
      </c>
      <c r="AK171" s="170">
        <f t="shared" si="99"/>
        <v>0</v>
      </c>
      <c r="AM171" s="170" t="str">
        <f t="shared" si="91"/>
        <v>0.044987836511466+0.296566632629076i</v>
      </c>
      <c r="AN171" s="170" t="str">
        <f t="shared" si="92"/>
        <v>0.301095533908583i</v>
      </c>
      <c r="AO171" s="170" t="str">
        <f t="shared" si="93"/>
        <v>0.984958590316115-0.149413828652553i</v>
      </c>
      <c r="AP171" s="170" t="str">
        <f t="shared" si="94"/>
        <v>0.159168693914756-0.049427772104846i</v>
      </c>
      <c r="AQ171" s="170" t="str">
        <f t="shared" si="95"/>
        <v>0.840831306085244+0.049427772104846i</v>
      </c>
      <c r="AR171" s="170" t="str">
        <f t="shared" si="96"/>
        <v>0.987274601069843-0.0580363547758243i</v>
      </c>
    </row>
    <row r="172" spans="7:44">
      <c r="G172" s="688">
        <v>9661.15</v>
      </c>
      <c r="H172" s="676">
        <f t="shared" si="88"/>
        <v>9.6611499999999992</v>
      </c>
      <c r="I172" s="677">
        <f t="shared" si="66"/>
        <v>119.09745444194827</v>
      </c>
      <c r="J172" s="678">
        <f t="shared" si="67"/>
        <v>1.5623997430457408</v>
      </c>
      <c r="K172" s="678">
        <f t="shared" si="68"/>
        <v>1.0003897789868041</v>
      </c>
      <c r="L172" s="679">
        <f t="shared" si="69"/>
        <v>2.7916032043201398E-2</v>
      </c>
      <c r="M172" s="678">
        <f t="shared" si="70"/>
        <v>1.0013442343808101</v>
      </c>
      <c r="N172" s="679">
        <f t="shared" si="71"/>
        <v>-5.1821429949612863E-2</v>
      </c>
      <c r="O172" s="677">
        <f t="shared" si="72"/>
        <v>109265.03219454704</v>
      </c>
      <c r="P172" s="680">
        <f t="shared" si="73"/>
        <v>1.5707871747360913</v>
      </c>
      <c r="Q172" s="689">
        <f t="shared" si="100"/>
        <v>51.72844866759727</v>
      </c>
      <c r="R172" s="690">
        <f t="shared" si="101"/>
        <v>1.5514634002882981</v>
      </c>
      <c r="S172" s="677">
        <f t="shared" si="76"/>
        <v>1.0789488811781089</v>
      </c>
      <c r="T172" s="680">
        <f t="shared" si="77"/>
        <v>0.38492134657899268</v>
      </c>
      <c r="U172" s="681">
        <f t="shared" si="89"/>
        <v>0.98508407894362116</v>
      </c>
      <c r="V172" s="682">
        <f t="shared" si="90"/>
        <v>-0.21045919804722843</v>
      </c>
      <c r="W172" s="683">
        <f t="shared" si="78"/>
        <v>-2.7745817469637517</v>
      </c>
      <c r="X172" s="684">
        <f t="shared" si="79"/>
        <v>-126.10855287196763</v>
      </c>
      <c r="Y172" s="687">
        <f t="shared" si="80"/>
        <v>53.891447128032368</v>
      </c>
      <c r="AA172" s="170">
        <f t="shared" si="81"/>
        <v>9661.15</v>
      </c>
      <c r="AB172" s="170">
        <f t="shared" si="82"/>
        <v>93337819.32249999</v>
      </c>
      <c r="AD172" s="686">
        <f t="shared" si="83"/>
        <v>37.950397843790391</v>
      </c>
      <c r="AE172" s="687">
        <f t="shared" si="84"/>
        <v>-23.161539350055918</v>
      </c>
      <c r="AG172" s="686">
        <f t="shared" si="85"/>
        <v>14.628150981299239</v>
      </c>
      <c r="AH172" s="687">
        <f t="shared" si="86"/>
        <v>-78.830165878725964</v>
      </c>
      <c r="AJ172" s="170">
        <f t="shared" si="87"/>
        <v>0</v>
      </c>
      <c r="AK172" s="170">
        <f t="shared" si="99"/>
        <v>0</v>
      </c>
      <c r="AM172" s="170" t="str">
        <f t="shared" si="91"/>
        <v>0.045506389143503+0.298231364604942i</v>
      </c>
      <c r="AN172" s="170" t="str">
        <f t="shared" si="92"/>
        <v>0.302839159485911i</v>
      </c>
      <c r="AO172" s="170" t="str">
        <f t="shared" si="93"/>
        <v>0.984784679468827-0.150265867930531i</v>
      </c>
      <c r="AP172" s="170" t="str">
        <f t="shared" si="94"/>
        <v>0.159082268476083-0.049705227434157i</v>
      </c>
      <c r="AQ172" s="170" t="str">
        <f t="shared" si="95"/>
        <v>0.840917731523917+0.049705227434157i</v>
      </c>
      <c r="AR172" s="170" t="str">
        <f t="shared" si="96"/>
        <v>0.987135569150925-0.0583479169645708i</v>
      </c>
    </row>
    <row r="173" spans="7:44">
      <c r="G173" s="688">
        <v>9716.7749999999996</v>
      </c>
      <c r="H173" s="676">
        <f t="shared" si="88"/>
        <v>9.7167750000000002</v>
      </c>
      <c r="I173" s="677">
        <f t="shared" si="66"/>
        <v>119.78312128136338</v>
      </c>
      <c r="J173" s="678">
        <f t="shared" si="67"/>
        <v>1.5624478081915176</v>
      </c>
      <c r="K173" s="678">
        <f t="shared" si="68"/>
        <v>1.0003942794008904</v>
      </c>
      <c r="L173" s="679">
        <f t="shared" si="69"/>
        <v>2.8076677067989299E-2</v>
      </c>
      <c r="M173" s="678">
        <f t="shared" si="70"/>
        <v>1.0013597475195504</v>
      </c>
      <c r="N173" s="679">
        <f t="shared" si="71"/>
        <v>-5.2119258323808065E-2</v>
      </c>
      <c r="O173" s="677">
        <f t="shared" si="72"/>
        <v>109894.13612268334</v>
      </c>
      <c r="P173" s="680">
        <f t="shared" si="73"/>
        <v>1.5707872271282965</v>
      </c>
      <c r="Q173" s="689">
        <f t="shared" si="100"/>
        <v>52.026169198473148</v>
      </c>
      <c r="R173" s="690">
        <f t="shared" si="101"/>
        <v>1.5515740469165984</v>
      </c>
      <c r="S173" s="677">
        <f t="shared" si="76"/>
        <v>1.0798268961037119</v>
      </c>
      <c r="T173" s="680">
        <f t="shared" si="77"/>
        <v>0.38692342633688276</v>
      </c>
      <c r="U173" s="681">
        <f t="shared" si="89"/>
        <v>0.98491992173714293</v>
      </c>
      <c r="V173" s="682">
        <f t="shared" si="90"/>
        <v>-0.21165349942555417</v>
      </c>
      <c r="W173" s="683">
        <f t="shared" si="78"/>
        <v>-2.8328025625627506</v>
      </c>
      <c r="X173" s="684">
        <f t="shared" si="79"/>
        <v>-126.29596939497068</v>
      </c>
      <c r="Y173" s="687">
        <f t="shared" si="80"/>
        <v>53.704030605029317</v>
      </c>
      <c r="AA173" s="170">
        <f t="shared" si="81"/>
        <v>9716.7749999999996</v>
      </c>
      <c r="AB173" s="170">
        <f t="shared" si="82"/>
        <v>94415716.40062499</v>
      </c>
      <c r="AD173" s="686">
        <f t="shared" si="83"/>
        <v>37.943313883003412</v>
      </c>
      <c r="AE173" s="687">
        <f t="shared" si="84"/>
        <v>-23.269913487588713</v>
      </c>
      <c r="AG173" s="686">
        <f t="shared" si="85"/>
        <v>14.579909250317559</v>
      </c>
      <c r="AH173" s="687">
        <f t="shared" si="86"/>
        <v>-78.772351407150367</v>
      </c>
      <c r="AJ173" s="170">
        <f t="shared" si="87"/>
        <v>0</v>
      </c>
      <c r="AK173" s="170">
        <f t="shared" si="99"/>
        <v>0</v>
      </c>
      <c r="AM173" s="170" t="str">
        <f t="shared" si="91"/>
        <v>0.046027843655062+0.29989518988905i</v>
      </c>
      <c r="AN173" s="170" t="str">
        <f t="shared" si="92"/>
        <v>0.304582785063239i</v>
      </c>
      <c r="AO173" s="170" t="str">
        <f t="shared" si="93"/>
        <v>0.984609782942211-0.151117679370833i</v>
      </c>
      <c r="AP173" s="170" t="str">
        <f t="shared" si="94"/>
        <v>0.158995359390823-0.049982531648175i</v>
      </c>
      <c r="AQ173" s="170" t="str">
        <f t="shared" si="95"/>
        <v>0.841004640609177+0.049982531648175i</v>
      </c>
      <c r="AR173" s="170" t="str">
        <f t="shared" si="96"/>
        <v>0.986995827478537-0.0586590701186011i</v>
      </c>
    </row>
    <row r="174" spans="7:44">
      <c r="G174" s="688">
        <v>9772.4</v>
      </c>
      <c r="H174" s="676">
        <f t="shared" si="88"/>
        <v>9.7723999999999993</v>
      </c>
      <c r="I174" s="677">
        <f t="shared" si="66"/>
        <v>120.46878839435833</v>
      </c>
      <c r="J174" s="678">
        <f t="shared" si="67"/>
        <v>1.5624953261966843</v>
      </c>
      <c r="K174" s="678">
        <f t="shared" si="68"/>
        <v>1.000398805631743</v>
      </c>
      <c r="L174" s="679">
        <f t="shared" si="69"/>
        <v>2.823732064326966E-2</v>
      </c>
      <c r="M174" s="678">
        <f t="shared" si="70"/>
        <v>1.0013753494778865</v>
      </c>
      <c r="N174" s="679">
        <f t="shared" si="71"/>
        <v>-5.2417077443772012E-2</v>
      </c>
      <c r="O174" s="677">
        <f t="shared" si="72"/>
        <v>110523.24005081994</v>
      </c>
      <c r="P174" s="680">
        <f t="shared" si="73"/>
        <v>1.5707872789240638</v>
      </c>
      <c r="Q174" s="689">
        <f t="shared" si="100"/>
        <v>52.323890359040242</v>
      </c>
      <c r="R174" s="690">
        <f t="shared" si="101"/>
        <v>1.5516834343951043</v>
      </c>
      <c r="S174" s="677">
        <f t="shared" si="76"/>
        <v>1.0807092322815843</v>
      </c>
      <c r="T174" s="680">
        <f t="shared" si="77"/>
        <v>0.38892224493265526</v>
      </c>
      <c r="U174" s="681">
        <f t="shared" si="89"/>
        <v>0.98475490028454959</v>
      </c>
      <c r="V174" s="682">
        <f t="shared" si="90"/>
        <v>-0.21284750755679271</v>
      </c>
      <c r="W174" s="683">
        <f t="shared" si="78"/>
        <v>-2.8907743285276921</v>
      </c>
      <c r="X174" s="684">
        <f t="shared" si="79"/>
        <v>-126.48322257909754</v>
      </c>
      <c r="Y174" s="687">
        <f t="shared" si="80"/>
        <v>53.516777420902457</v>
      </c>
      <c r="AA174" s="170">
        <f t="shared" si="81"/>
        <v>9772.4</v>
      </c>
      <c r="AB174" s="170">
        <f t="shared" si="82"/>
        <v>95499801.75999999</v>
      </c>
      <c r="AD174" s="686">
        <f t="shared" si="83"/>
        <v>37.936201249374115</v>
      </c>
      <c r="AE174" s="687">
        <f t="shared" si="84"/>
        <v>-23.378172884091338</v>
      </c>
      <c r="AG174" s="686">
        <f t="shared" si="85"/>
        <v>14.531960970296154</v>
      </c>
      <c r="AH174" s="687">
        <f t="shared" si="86"/>
        <v>-78.714521941369725</v>
      </c>
      <c r="AJ174" s="170">
        <f t="shared" si="87"/>
        <v>0</v>
      </c>
      <c r="AK174" s="170">
        <f t="shared" si="99"/>
        <v>0</v>
      </c>
      <c r="AM174" s="170" t="str">
        <f t="shared" si="91"/>
        <v>0.0465521984608021+0.30155810342299i</v>
      </c>
      <c r="AN174" s="170" t="str">
        <f t="shared" si="92"/>
        <v>0.306326410640567i</v>
      </c>
      <c r="AO174" s="170" t="str">
        <f t="shared" si="93"/>
        <v>0.984433901054741-0.151969261688718i</v>
      </c>
      <c r="AP174" s="170" t="str">
        <f t="shared" si="94"/>
        <v>0.1589079669232-0.0502596839038317i</v>
      </c>
      <c r="AQ174" s="170" t="str">
        <f t="shared" si="95"/>
        <v>0.8410920330768+0.0502596839038317i</v>
      </c>
      <c r="AR174" s="170" t="str">
        <f t="shared" si="96"/>
        <v>0.986855377569692-0.0589698123212639i</v>
      </c>
    </row>
    <row r="175" spans="7:44">
      <c r="G175" s="688">
        <v>9829.2999999999993</v>
      </c>
      <c r="H175" s="676">
        <f t="shared" si="88"/>
        <v>9.8292999999999999</v>
      </c>
      <c r="I175" s="677">
        <f t="shared" si="66"/>
        <v>121.17017220029409</v>
      </c>
      <c r="J175" s="678">
        <f t="shared" si="67"/>
        <v>1.5625433769657864</v>
      </c>
      <c r="K175" s="678">
        <f t="shared" si="68"/>
        <v>1.0004034623207252</v>
      </c>
      <c r="L175" s="679">
        <f t="shared" si="69"/>
        <v>2.8401644877544738E-2</v>
      </c>
      <c r="M175" s="678">
        <f t="shared" si="70"/>
        <v>1.0013914009465412</v>
      </c>
      <c r="N175" s="679">
        <f t="shared" si="71"/>
        <v>-5.2721713350051436E-2</v>
      </c>
      <c r="O175" s="677">
        <f t="shared" si="72"/>
        <v>111166.76388921976</v>
      </c>
      <c r="P175" s="680">
        <f t="shared" si="73"/>
        <v>1.5707873313005147</v>
      </c>
      <c r="Q175" s="689">
        <f t="shared" si="100"/>
        <v>52.62843633039477</v>
      </c>
      <c r="R175" s="690">
        <f t="shared" si="101"/>
        <v>1.5517940486851569</v>
      </c>
      <c r="S175" s="677">
        <f t="shared" si="76"/>
        <v>1.0816162527295867</v>
      </c>
      <c r="T175" s="680">
        <f t="shared" si="77"/>
        <v>0.39096349669216635</v>
      </c>
      <c r="U175" s="681">
        <f t="shared" si="89"/>
        <v>0.98458520346366463</v>
      </c>
      <c r="V175" s="682">
        <f t="shared" si="90"/>
        <v>-0.2140685790138753</v>
      </c>
      <c r="W175" s="683">
        <f t="shared" si="78"/>
        <v>-2.9498204071541387</v>
      </c>
      <c r="X175" s="684">
        <f t="shared" si="79"/>
        <v>-126.67459757290449</v>
      </c>
      <c r="Y175" s="687">
        <f t="shared" si="80"/>
        <v>53.325402427095511</v>
      </c>
      <c r="AA175" s="170">
        <f t="shared" si="81"/>
        <v>9829.2999999999993</v>
      </c>
      <c r="AB175" s="170">
        <f t="shared" si="82"/>
        <v>96615138.48999998</v>
      </c>
      <c r="AD175" s="686">
        <f t="shared" si="83"/>
        <v>37.928896078398601</v>
      </c>
      <c r="AE175" s="687">
        <f t="shared" si="84"/>
        <v>-23.488793263937104</v>
      </c>
      <c r="AG175" s="686">
        <f t="shared" si="85"/>
        <v>14.483213893642679</v>
      </c>
      <c r="AH175" s="687">
        <f t="shared" si="86"/>
        <v>-78.655352073221579</v>
      </c>
      <c r="AJ175" s="170">
        <f t="shared" si="87"/>
        <v>0</v>
      </c>
      <c r="AK175" s="170">
        <f t="shared" si="99"/>
        <v>0</v>
      </c>
      <c r="AM175" s="170" t="str">
        <f t="shared" si="91"/>
        <v>0.047091571297693+0.303258184569026i</v>
      </c>
      <c r="AN175" s="170" t="str">
        <f t="shared" si="92"/>
        <v>0.308110002467084i</v>
      </c>
      <c r="AO175" s="170" t="str">
        <f t="shared" si="93"/>
        <v>0.984252968552761-0.152840125022309i</v>
      </c>
      <c r="AP175" s="170" t="str">
        <f t="shared" si="94"/>
        <v>0.158818071450384-0.0505430307615043i</v>
      </c>
      <c r="AQ175" s="170" t="str">
        <f t="shared" si="95"/>
        <v>0.841181928549616+0.0505430307615043i</v>
      </c>
      <c r="AR175" s="170" t="str">
        <f t="shared" si="96"/>
        <v>0.986710977174555-0.0592872499746122i</v>
      </c>
    </row>
    <row r="176" spans="7:44">
      <c r="G176" s="688">
        <v>9886.2000000000007</v>
      </c>
      <c r="H176" s="676">
        <f t="shared" si="88"/>
        <v>9.8862000000000005</v>
      </c>
      <c r="I176" s="677">
        <f t="shared" si="66"/>
        <v>121.87155628277664</v>
      </c>
      <c r="J176" s="678">
        <f t="shared" si="67"/>
        <v>1.5625908746601758</v>
      </c>
      <c r="K176" s="678">
        <f t="shared" si="68"/>
        <v>1.0004081460228038</v>
      </c>
      <c r="L176" s="679">
        <f t="shared" si="69"/>
        <v>2.8565967577593384E-2</v>
      </c>
      <c r="M176" s="678">
        <f t="shared" si="70"/>
        <v>1.0014075453443734</v>
      </c>
      <c r="N176" s="679">
        <f t="shared" si="71"/>
        <v>-5.302633946209942E-2</v>
      </c>
      <c r="O176" s="677">
        <f t="shared" si="72"/>
        <v>111810.28772761989</v>
      </c>
      <c r="P176" s="680">
        <f t="shared" si="73"/>
        <v>1.5707873830740609</v>
      </c>
      <c r="Q176" s="689">
        <f t="shared" si="100"/>
        <v>52.932982938275963</v>
      </c>
      <c r="R176" s="690">
        <f t="shared" si="101"/>
        <v>1.5519033901517305</v>
      </c>
      <c r="S176" s="677">
        <f t="shared" si="76"/>
        <v>1.0825277723943298</v>
      </c>
      <c r="T176" s="680">
        <f t="shared" si="77"/>
        <v>0.39300131934487559</v>
      </c>
      <c r="U176" s="681">
        <f t="shared" si="89"/>
        <v>0.98441460503681455</v>
      </c>
      <c r="V176" s="682">
        <f t="shared" si="90"/>
        <v>-0.21528934049543155</v>
      </c>
      <c r="W176" s="683">
        <f t="shared" si="78"/>
        <v>-3.0086123252516046</v>
      </c>
      <c r="X176" s="684">
        <f t="shared" si="79"/>
        <v>-126.86579906383388</v>
      </c>
      <c r="Y176" s="687">
        <f t="shared" si="80"/>
        <v>53.134200936166124</v>
      </c>
      <c r="AA176" s="170">
        <f t="shared" si="81"/>
        <v>9886.2000000000007</v>
      </c>
      <c r="AB176" s="170">
        <f t="shared" si="82"/>
        <v>97736950.440000013</v>
      </c>
      <c r="AD176" s="686">
        <f t="shared" si="83"/>
        <v>37.921561230184743</v>
      </c>
      <c r="AE176" s="687">
        <f t="shared" si="84"/>
        <v>-23.599290063305013</v>
      </c>
      <c r="AG176" s="686">
        <f t="shared" si="85"/>
        <v>14.434767081262109</v>
      </c>
      <c r="AH176" s="687">
        <f t="shared" si="86"/>
        <v>-78.596167803252598</v>
      </c>
      <c r="AJ176" s="170">
        <f t="shared" si="87"/>
        <v>0</v>
      </c>
      <c r="AK176" s="170">
        <f t="shared" si="99"/>
        <v>0</v>
      </c>
      <c r="AM176" s="170" t="str">
        <f t="shared" si="91"/>
        <v>0.047633975525887+0.304957300990439i</v>
      </c>
      <c r="AN176" s="170" t="str">
        <f t="shared" si="92"/>
        <v>0.3098935942936i</v>
      </c>
      <c r="AO176" s="170" t="str">
        <f t="shared" si="93"/>
        <v>0.984071005680471-0.153710745891564i</v>
      </c>
      <c r="AP176" s="170" t="str">
        <f t="shared" si="94"/>
        <v>0.158727670745686-0.0508262168317398i</v>
      </c>
      <c r="AQ176" s="170" t="str">
        <f t="shared" si="95"/>
        <v>0.841272329254314+0.0508262168317398i</v>
      </c>
      <c r="AR176" s="170" t="str">
        <f t="shared" si="96"/>
        <v>0.986565838934426-0.0596042535868433i</v>
      </c>
    </row>
    <row r="177" spans="7:44">
      <c r="G177" s="688">
        <v>9943.1</v>
      </c>
      <c r="H177" s="676">
        <f t="shared" si="88"/>
        <v>9.9431000000000012</v>
      </c>
      <c r="I177" s="677">
        <f t="shared" si="66"/>
        <v>122.57294063705859</v>
      </c>
      <c r="J177" s="678">
        <f t="shared" si="67"/>
        <v>1.5626378287740146</v>
      </c>
      <c r="K177" s="678">
        <f t="shared" si="68"/>
        <v>1.0004128567375998</v>
      </c>
      <c r="L177" s="679">
        <f t="shared" si="69"/>
        <v>2.8730288734563136E-2</v>
      </c>
      <c r="M177" s="678">
        <f t="shared" si="70"/>
        <v>1.0014237826668884</v>
      </c>
      <c r="N177" s="679">
        <f t="shared" si="71"/>
        <v>-5.3330955723854205E-2</v>
      </c>
      <c r="O177" s="677">
        <f t="shared" si="72"/>
        <v>112453.81156602029</v>
      </c>
      <c r="P177" s="680">
        <f t="shared" si="73"/>
        <v>1.5707874342550521</v>
      </c>
      <c r="Q177" s="689">
        <f t="shared" si="100"/>
        <v>53.237530171760007</v>
      </c>
      <c r="R177" s="690">
        <f t="shared" si="101"/>
        <v>1.5520114806358871</v>
      </c>
      <c r="S177" s="677">
        <f t="shared" si="76"/>
        <v>1.0834437799200114</v>
      </c>
      <c r="T177" s="680">
        <f t="shared" si="77"/>
        <v>0.39503570464207244</v>
      </c>
      <c r="U177" s="681">
        <f t="shared" si="89"/>
        <v>0.98424310638518409</v>
      </c>
      <c r="V177" s="682">
        <f t="shared" si="90"/>
        <v>-0.2165097904233648</v>
      </c>
      <c r="W177" s="683">
        <f t="shared" si="78"/>
        <v>-3.0671532497980358</v>
      </c>
      <c r="X177" s="684">
        <f t="shared" si="79"/>
        <v>-127.056825779314</v>
      </c>
      <c r="Y177" s="687">
        <f t="shared" si="80"/>
        <v>52.943174220686004</v>
      </c>
      <c r="AA177" s="170">
        <f t="shared" si="81"/>
        <v>9943.1</v>
      </c>
      <c r="AB177" s="170">
        <f t="shared" si="82"/>
        <v>98865237.610000014</v>
      </c>
      <c r="AD177" s="686">
        <f t="shared" si="83"/>
        <v>37.914196869464007</v>
      </c>
      <c r="AE177" s="687">
        <f t="shared" si="84"/>
        <v>-23.709661558771067</v>
      </c>
      <c r="AG177" s="686">
        <f t="shared" si="85"/>
        <v>14.386617185518462</v>
      </c>
      <c r="AH177" s="687">
        <f t="shared" si="86"/>
        <v>-78.536969763151603</v>
      </c>
      <c r="AJ177" s="170">
        <f t="shared" si="87"/>
        <v>0</v>
      </c>
      <c r="AK177" s="170">
        <f t="shared" si="99"/>
        <v>0</v>
      </c>
      <c r="AM177" s="170" t="str">
        <f t="shared" si="91"/>
        <v>0.048179409419887+0.306655447282004i</v>
      </c>
      <c r="AN177" s="170" t="str">
        <f t="shared" si="92"/>
        <v>0.311677186120116i</v>
      </c>
      <c r="AO177" s="170" t="str">
        <f t="shared" si="93"/>
        <v>0.983888012784559-0.154581122922867i</v>
      </c>
      <c r="AP177" s="170" t="str">
        <f t="shared" si="94"/>
        <v>0.158636765096686-0.0511092412136673i</v>
      </c>
      <c r="AQ177" s="170" t="str">
        <f t="shared" si="95"/>
        <v>0.841363234903314+0.0511092412136673i</v>
      </c>
      <c r="AR177" s="170" t="str">
        <f t="shared" si="96"/>
        <v>0.986419964493176-0.0599208211291195i</v>
      </c>
    </row>
    <row r="178" spans="7:44" s="327" customFormat="1">
      <c r="G178" s="762">
        <v>10000</v>
      </c>
      <c r="H178" s="763">
        <f t="shared" si="88"/>
        <v>10</v>
      </c>
      <c r="I178" s="764">
        <f t="shared" si="66"/>
        <v>123.27432525850067</v>
      </c>
      <c r="J178" s="765">
        <f t="shared" si="67"/>
        <v>1.5626842485854016</v>
      </c>
      <c r="K178" s="765">
        <f t="shared" si="68"/>
        <v>1.0004175944647311</v>
      </c>
      <c r="L178" s="766">
        <f t="shared" si="69"/>
        <v>2.8894608339602043E-2</v>
      </c>
      <c r="M178" s="765">
        <f t="shared" si="70"/>
        <v>1.0014401129095662</v>
      </c>
      <c r="N178" s="766">
        <f t="shared" si="71"/>
        <v>-5.3635562079264967E-2</v>
      </c>
      <c r="O178" s="764">
        <f t="shared" si="72"/>
        <v>113097.33540442098</v>
      </c>
      <c r="P178" s="767">
        <f t="shared" si="73"/>
        <v>1.5707874848536039</v>
      </c>
      <c r="Q178" s="768">
        <f t="shared" si="100"/>
        <v>53.542078020171637</v>
      </c>
      <c r="R178" s="769">
        <f t="shared" si="101"/>
        <v>1.5521183414818793</v>
      </c>
      <c r="S178" s="764">
        <f t="shared" si="76"/>
        <v>1.0843642639333835</v>
      </c>
      <c r="T178" s="767">
        <f t="shared" si="77"/>
        <v>0.39706664447665951</v>
      </c>
      <c r="U178" s="770">
        <f t="shared" si="89"/>
        <v>0.9840707088959727</v>
      </c>
      <c r="V178" s="771">
        <f t="shared" si="90"/>
        <v>-0.2177299272231191</v>
      </c>
      <c r="W178" s="772">
        <f t="shared" si="78"/>
        <v>-3.1254462903777491</v>
      </c>
      <c r="X178" s="773">
        <f t="shared" si="79"/>
        <v>-127.24767647116251</v>
      </c>
      <c r="Y178" s="774">
        <f t="shared" si="80"/>
        <v>52.752323528837493</v>
      </c>
      <c r="AA178" s="327">
        <f t="shared" si="81"/>
        <v>10000</v>
      </c>
      <c r="AB178" s="327">
        <f t="shared" si="82"/>
        <v>100000000</v>
      </c>
      <c r="AD178" s="775">
        <f t="shared" si="83"/>
        <v>37.906803161170352</v>
      </c>
      <c r="AE178" s="774">
        <f t="shared" si="84"/>
        <v>-23.81990606347679</v>
      </c>
      <c r="AG178" s="775">
        <f>20*LOG10((K178*M178/(I178*U178))*Acs*Am)</f>
        <v>14.338760915893188</v>
      </c>
      <c r="AH178" s="774">
        <f t="shared" si="86"/>
        <v>-78.477758572025621</v>
      </c>
      <c r="AJ178" s="327">
        <f t="shared" si="87"/>
        <v>0</v>
      </c>
      <c r="AK178" s="170">
        <f t="shared" si="99"/>
        <v>0</v>
      </c>
      <c r="AM178" s="327" t="str">
        <f t="shared" si="91"/>
        <v>0.048727871244561+0.308352618041579i</v>
      </c>
      <c r="AN178" s="327" t="str">
        <f t="shared" si="92"/>
        <v>0.313460777946633i</v>
      </c>
      <c r="AO178" s="327" t="str">
        <f t="shared" si="93"/>
        <v>0.983703990213654-0.155451254743128i</v>
      </c>
      <c r="AP178" s="327" t="str">
        <f t="shared" si="94"/>
        <v>0.158545354792573-0.0513921030069298i</v>
      </c>
      <c r="AQ178" s="327" t="str">
        <f t="shared" si="95"/>
        <v>0.841454645207427+0.0513921030069298i</v>
      </c>
      <c r="AR178" s="327" t="str">
        <f t="shared" si="96"/>
        <v>0.986273355501382-0.0602369505802925i</v>
      </c>
    </row>
    <row r="179" spans="7:44">
      <c r="G179" s="688">
        <v>10058.25</v>
      </c>
      <c r="H179" s="676">
        <f t="shared" si="88"/>
        <v>10.058249999999999</v>
      </c>
      <c r="I179" s="677">
        <f t="shared" si="66"/>
        <v>123.99235108761059</v>
      </c>
      <c r="J179" s="678">
        <f t="shared" si="67"/>
        <v>1.562731225744014</v>
      </c>
      <c r="K179" s="678">
        <f t="shared" si="68"/>
        <v>1.0004224725792668</v>
      </c>
      <c r="L179" s="679">
        <f t="shared" si="69"/>
        <v>2.906282494760376E-2</v>
      </c>
      <c r="M179" s="678">
        <f t="shared" si="70"/>
        <v>1.0014569268493667</v>
      </c>
      <c r="N179" s="679">
        <f t="shared" si="71"/>
        <v>-5.3947385154546938E-2</v>
      </c>
      <c r="O179" s="677">
        <f t="shared" si="72"/>
        <v>113756.12738310038</v>
      </c>
      <c r="P179" s="680">
        <f t="shared" si="73"/>
        <v>1.5707875360596368</v>
      </c>
      <c r="Q179" s="689">
        <f t="shared" si="100"/>
        <v>53.853852146615822</v>
      </c>
      <c r="R179" s="690">
        <f t="shared" si="101"/>
        <v>1.55222648572288</v>
      </c>
      <c r="S179" s="677">
        <f t="shared" si="76"/>
        <v>1.085311212366505</v>
      </c>
      <c r="T179" s="680">
        <f t="shared" si="77"/>
        <v>0.39914219268607243</v>
      </c>
      <c r="U179" s="681">
        <f t="shared" si="89"/>
        <v>0.98389329150796867</v>
      </c>
      <c r="V179" s="682">
        <f t="shared" si="90"/>
        <v>-0.21897868678663523</v>
      </c>
      <c r="W179" s="683">
        <f t="shared" si="78"/>
        <v>-3.1848687940999252</v>
      </c>
      <c r="X179" s="684">
        <f t="shared" si="79"/>
        <v>-127.44287163928647</v>
      </c>
      <c r="Y179" s="687">
        <f t="shared" si="80"/>
        <v>52.557128360713534</v>
      </c>
      <c r="AA179" s="170">
        <f t="shared" si="81"/>
        <v>10058.25</v>
      </c>
      <c r="AB179" s="170">
        <f t="shared" si="82"/>
        <v>101168393.0625</v>
      </c>
      <c r="AD179" s="686">
        <f t="shared" si="83"/>
        <v>37.899203803094892</v>
      </c>
      <c r="AE179" s="687">
        <f t="shared" si="84"/>
        <v>-23.932632941482478</v>
      </c>
      <c r="AG179" s="686">
        <f t="shared" si="85"/>
        <v>14.290069997982219</v>
      </c>
      <c r="AH179" s="687">
        <f t="shared" si="86"/>
        <v>-78.417129556748208</v>
      </c>
      <c r="AJ179" s="170">
        <f t="shared" si="87"/>
        <v>0</v>
      </c>
      <c r="AK179" s="170">
        <f t="shared" si="99"/>
        <v>0</v>
      </c>
      <c r="AM179" s="170" t="str">
        <f t="shared" si="91"/>
        <v>0.049292480505357+0.310089039432778i</v>
      </c>
      <c r="AN179" s="170" t="str">
        <f t="shared" si="92"/>
        <v>0.315286686978172i</v>
      </c>
      <c r="AO179" s="170" t="str">
        <f t="shared" si="93"/>
        <v>0.983514535310037-0.156341775727339i</v>
      </c>
      <c r="AP179" s="170" t="str">
        <f t="shared" si="94"/>
        <v>0.158451253249107-0.0516815065721297i</v>
      </c>
      <c r="AQ179" s="170" t="str">
        <f t="shared" si="95"/>
        <v>0.841548746750893+0.0516815065721297i</v>
      </c>
      <c r="AR179" s="170" t="str">
        <f t="shared" si="96"/>
        <v>0.986122508920148-0.0605601245589729i</v>
      </c>
    </row>
    <row r="180" spans="7:44">
      <c r="G180" s="688">
        <v>10116.5</v>
      </c>
      <c r="H180" s="676">
        <f t="shared" si="88"/>
        <v>10.1165</v>
      </c>
      <c r="I180" s="677">
        <f t="shared" si="66"/>
        <v>124.71037718720255</v>
      </c>
      <c r="J180" s="678">
        <f t="shared" si="67"/>
        <v>1.5627776619561486</v>
      </c>
      <c r="K180" s="678">
        <f t="shared" si="68"/>
        <v>1.0004273790023075</v>
      </c>
      <c r="L180" s="679">
        <f t="shared" si="69"/>
        <v>2.923103991038687E-2</v>
      </c>
      <c r="M180" s="678">
        <f t="shared" si="70"/>
        <v>1.0014738381611847</v>
      </c>
      <c r="N180" s="679">
        <f t="shared" si="71"/>
        <v>-5.4259197728993423E-2</v>
      </c>
      <c r="O180" s="677">
        <f t="shared" si="72"/>
        <v>114414.91936178008</v>
      </c>
      <c r="P180" s="680">
        <f t="shared" si="73"/>
        <v>1.5707875866759891</v>
      </c>
      <c r="Q180" s="689">
        <f t="shared" si="100"/>
        <v>54.165626895639797</v>
      </c>
      <c r="R180" s="690">
        <f t="shared" si="101"/>
        <v>1.552333385018996</v>
      </c>
      <c r="S180" s="677">
        <f t="shared" si="76"/>
        <v>1.0862628280488902</v>
      </c>
      <c r="T180" s="680">
        <f t="shared" si="77"/>
        <v>0.40121411325869949</v>
      </c>
      <c r="U180" s="681">
        <f t="shared" si="89"/>
        <v>0.98371493508639862</v>
      </c>
      <c r="V180" s="682">
        <f t="shared" si="90"/>
        <v>-0.22022711485914978</v>
      </c>
      <c r="W180" s="683">
        <f t="shared" si="78"/>
        <v>-3.2440379282607652</v>
      </c>
      <c r="X180" s="684">
        <f t="shared" si="79"/>
        <v>-127.63787976105928</v>
      </c>
      <c r="Y180" s="687">
        <f t="shared" si="80"/>
        <v>52.362120238940719</v>
      </c>
      <c r="AA180" s="170">
        <f t="shared" si="81"/>
        <v>10116.5</v>
      </c>
      <c r="AB180" s="170">
        <f t="shared" si="82"/>
        <v>102343572.25</v>
      </c>
      <c r="AD180" s="686">
        <f t="shared" si="83"/>
        <v>37.891574038720215</v>
      </c>
      <c r="AE180" s="687">
        <f t="shared" si="84"/>
        <v>-24.045223267511989</v>
      </c>
      <c r="AG180" s="686">
        <f t="shared" si="85"/>
        <v>14.241680003518439</v>
      </c>
      <c r="AH180" s="687">
        <f t="shared" si="86"/>
        <v>-78.356488033166528</v>
      </c>
      <c r="AJ180" s="170">
        <f t="shared" si="87"/>
        <v>0</v>
      </c>
      <c r="AK180" s="170">
        <f t="shared" si="99"/>
        <v>0</v>
      </c>
      <c r="AM180" s="170" t="str">
        <f t="shared" si="91"/>
        <v>0.049860259370704+0.311824427004837i</v>
      </c>
      <c r="AN180" s="170" t="str">
        <f t="shared" si="92"/>
        <v>0.317112596009711i</v>
      </c>
      <c r="AO180" s="170" t="str">
        <f t="shared" si="93"/>
        <v>0.983324002037711-0.157232036816277i</v>
      </c>
      <c r="AP180" s="170" t="str">
        <f t="shared" si="94"/>
        <v>0.158356623438216-0.0519707378341395i</v>
      </c>
      <c r="AQ180" s="170" t="str">
        <f t="shared" si="95"/>
        <v>0.841643376561784+0.0519707378341395i</v>
      </c>
      <c r="AR180" s="170" t="str">
        <f t="shared" si="96"/>
        <v>0.985970896041271-0.060882835149943i</v>
      </c>
    </row>
    <row r="181" spans="7:44">
      <c r="G181" s="688">
        <v>10174.75</v>
      </c>
      <c r="H181" s="676">
        <f t="shared" si="88"/>
        <v>10.17475</v>
      </c>
      <c r="I181" s="677">
        <f t="shared" si="66"/>
        <v>125.42840355263134</v>
      </c>
      <c r="J181" s="678">
        <f t="shared" si="67"/>
        <v>1.5628235665116963</v>
      </c>
      <c r="K181" s="678">
        <f t="shared" si="68"/>
        <v>1.0004323137334372</v>
      </c>
      <c r="L181" s="679">
        <f t="shared" si="69"/>
        <v>2.9399253218455944E-2</v>
      </c>
      <c r="M181" s="678">
        <f t="shared" si="70"/>
        <v>1.0014908468400872</v>
      </c>
      <c r="N181" s="679">
        <f t="shared" si="71"/>
        <v>-5.4570999742504671E-2</v>
      </c>
      <c r="O181" s="677">
        <f t="shared" si="72"/>
        <v>115073.71134046005</v>
      </c>
      <c r="P181" s="680">
        <f t="shared" si="73"/>
        <v>1.5707876367127886</v>
      </c>
      <c r="Q181" s="689">
        <f t="shared" si="100"/>
        <v>54.47740225655447</v>
      </c>
      <c r="R181" s="690">
        <f t="shared" si="101"/>
        <v>1.5524390607423035</v>
      </c>
      <c r="S181" s="677">
        <f t="shared" si="76"/>
        <v>1.0872190987251602</v>
      </c>
      <c r="T181" s="680">
        <f t="shared" si="77"/>
        <v>0.40328239795458098</v>
      </c>
      <c r="U181" s="681">
        <f t="shared" si="89"/>
        <v>0.98353564113897951</v>
      </c>
      <c r="V181" s="682">
        <f t="shared" si="90"/>
        <v>-0.22147520976293159</v>
      </c>
      <c r="W181" s="683">
        <f t="shared" si="78"/>
        <v>-3.3029568506268303</v>
      </c>
      <c r="X181" s="684">
        <f t="shared" si="79"/>
        <v>-127.83269957366166</v>
      </c>
      <c r="Y181" s="687">
        <f t="shared" si="80"/>
        <v>52.167300426338343</v>
      </c>
      <c r="AA181" s="170">
        <f t="shared" si="81"/>
        <v>10174.75</v>
      </c>
      <c r="AB181" s="170">
        <f t="shared" si="82"/>
        <v>103525537.5625</v>
      </c>
      <c r="AD181" s="686">
        <f t="shared" si="83"/>
        <v>37.883914045550689</v>
      </c>
      <c r="AE181" s="687">
        <f t="shared" si="84"/>
        <v>-24.157675345500916</v>
      </c>
      <c r="AG181" s="686">
        <f t="shared" si="85"/>
        <v>14.193587579825955</v>
      </c>
      <c r="AH181" s="687">
        <f t="shared" si="86"/>
        <v>-78.295834626779623</v>
      </c>
      <c r="AJ181" s="170">
        <f t="shared" si="87"/>
        <v>0</v>
      </c>
      <c r="AK181" s="170">
        <f t="shared" si="99"/>
        <v>0</v>
      </c>
      <c r="AM181" s="170" t="str">
        <f t="shared" si="91"/>
        <v>0.050431205947661+0.313558774972072i</v>
      </c>
      <c r="AN181" s="170" t="str">
        <f t="shared" si="92"/>
        <v>0.31893850504125i</v>
      </c>
      <c r="AO181" s="170" t="str">
        <f t="shared" si="93"/>
        <v>0.98313239077708-0.158122036538481i</v>
      </c>
      <c r="AP181" s="170" t="str">
        <f t="shared" si="94"/>
        <v>0.15826146567539-0.0522597958286787i</v>
      </c>
      <c r="AQ181" s="170" t="str">
        <f t="shared" si="95"/>
        <v>0.84173853432461+0.0522597958286787i</v>
      </c>
      <c r="AR181" s="170" t="str">
        <f t="shared" si="96"/>
        <v>0.985818518657176-0.061205080209963i</v>
      </c>
    </row>
    <row r="182" spans="7:44">
      <c r="G182" s="688">
        <v>10233</v>
      </c>
      <c r="H182" s="676">
        <f t="shared" si="88"/>
        <v>10.233000000000001</v>
      </c>
      <c r="I182" s="677">
        <f t="shared" si="66"/>
        <v>126.14643017935754</v>
      </c>
      <c r="J182" s="678">
        <f t="shared" si="67"/>
        <v>1.5628689484890439</v>
      </c>
      <c r="K182" s="678">
        <f t="shared" si="68"/>
        <v>1.0004372767722369</v>
      </c>
      <c r="L182" s="679">
        <f t="shared" si="69"/>
        <v>2.9567464862316095E-2</v>
      </c>
      <c r="M182" s="678">
        <f t="shared" si="70"/>
        <v>1.0015079528811135</v>
      </c>
      <c r="N182" s="679">
        <f t="shared" si="71"/>
        <v>-5.4882791134993218E-2</v>
      </c>
      <c r="O182" s="677">
        <f t="shared" si="72"/>
        <v>115732.50331914032</v>
      </c>
      <c r="P182" s="680">
        <f t="shared" si="73"/>
        <v>1.5707876861799326</v>
      </c>
      <c r="Q182" s="689">
        <f t="shared" si="100"/>
        <v>54.789178218914024</v>
      </c>
      <c r="R182" s="690">
        <f t="shared" si="101"/>
        <v>1.5525435337785203</v>
      </c>
      <c r="S182" s="677">
        <f t="shared" si="76"/>
        <v>1.0881800121231699</v>
      </c>
      <c r="T182" s="680">
        <f t="shared" si="77"/>
        <v>0.4053470386870785</v>
      </c>
      <c r="U182" s="681">
        <f t="shared" si="89"/>
        <v>0.98335541117990921</v>
      </c>
      <c r="V182" s="682">
        <f t="shared" si="90"/>
        <v>-0.22272296982417478</v>
      </c>
      <c r="W182" s="683">
        <f t="shared" si="78"/>
        <v>-3.3616286615227113</v>
      </c>
      <c r="X182" s="684">
        <f t="shared" si="79"/>
        <v>-128.02732983901953</v>
      </c>
      <c r="Y182" s="687">
        <f t="shared" si="80"/>
        <v>51.972670160980471</v>
      </c>
      <c r="AA182" s="170">
        <f t="shared" si="81"/>
        <v>10233</v>
      </c>
      <c r="AB182" s="170">
        <f t="shared" si="82"/>
        <v>104714289</v>
      </c>
      <c r="AD182" s="686">
        <f t="shared" si="83"/>
        <v>37.876224001240431</v>
      </c>
      <c r="AE182" s="687">
        <f t="shared" si="84"/>
        <v>-24.269987516022596</v>
      </c>
      <c r="AG182" s="686">
        <f t="shared" si="85"/>
        <v>14.145789431441234</v>
      </c>
      <c r="AH182" s="687">
        <f t="shared" si="86"/>
        <v>-78.235169950744023</v>
      </c>
      <c r="AJ182" s="170">
        <f t="shared" si="87"/>
        <v>0</v>
      </c>
      <c r="AK182" s="170">
        <f t="shared" si="99"/>
        <v>0</v>
      </c>
      <c r="AM182" s="170" t="str">
        <f t="shared" si="91"/>
        <v>0.051005318332723+0.315292077552266i</v>
      </c>
      <c r="AN182" s="170" t="str">
        <f t="shared" si="92"/>
        <v>0.320764414072789i</v>
      </c>
      <c r="AO182" s="170" t="str">
        <f t="shared" si="93"/>
        <v>0.982939701910695-0.15901177342306i</v>
      </c>
      <c r="AP182" s="170" t="str">
        <f t="shared" si="94"/>
        <v>0.15816578027788-0.0525486795920443i</v>
      </c>
      <c r="AQ182" s="170" t="str">
        <f t="shared" si="95"/>
        <v>0.84183421972212+0.0525486795920443i</v>
      </c>
      <c r="AR182" s="170" t="str">
        <f t="shared" si="96"/>
        <v>0.985665378567458-0.0615268576043505i</v>
      </c>
    </row>
    <row r="183" spans="7:44">
      <c r="G183" s="688">
        <v>10292.5</v>
      </c>
      <c r="H183" s="676">
        <f t="shared" si="88"/>
        <v>10.2925</v>
      </c>
      <c r="I183" s="677">
        <f t="shared" si="66"/>
        <v>126.87986536795033</v>
      </c>
      <c r="J183" s="678">
        <f t="shared" si="67"/>
        <v>1.5629147740337814</v>
      </c>
      <c r="K183" s="678">
        <f t="shared" si="68"/>
        <v>1.0004423755389558</v>
      </c>
      <c r="L183" s="679">
        <f t="shared" si="69"/>
        <v>2.9739284470071299E-2</v>
      </c>
      <c r="M183" s="678">
        <f t="shared" si="70"/>
        <v>1.0015255265178931</v>
      </c>
      <c r="N183" s="679">
        <f t="shared" si="71"/>
        <v>-5.520126230208279E-2</v>
      </c>
      <c r="O183" s="677">
        <f t="shared" si="72"/>
        <v>116405.43246474535</v>
      </c>
      <c r="P183" s="680">
        <f t="shared" si="73"/>
        <v>1.5707877361305365</v>
      </c>
      <c r="Q183" s="689">
        <f t="shared" si="100"/>
        <v>55.107645262897542</v>
      </c>
      <c r="R183" s="690">
        <f t="shared" si="101"/>
        <v>1.5526490282713377</v>
      </c>
      <c r="S183" s="677">
        <f t="shared" si="76"/>
        <v>1.0891663264373961</v>
      </c>
      <c r="T183" s="680">
        <f t="shared" si="77"/>
        <v>0.40745221466847542</v>
      </c>
      <c r="U183" s="681">
        <f t="shared" si="89"/>
        <v>0.98317034885005705</v>
      </c>
      <c r="V183" s="682">
        <f t="shared" si="90"/>
        <v>-0.22399715841828285</v>
      </c>
      <c r="W183" s="683">
        <f t="shared" si="78"/>
        <v>-3.4213075666192476</v>
      </c>
      <c r="X183" s="684">
        <f t="shared" si="79"/>
        <v>-128.22593976533366</v>
      </c>
      <c r="Y183" s="687">
        <f t="shared" si="80"/>
        <v>51.774060234666337</v>
      </c>
      <c r="AA183" s="170">
        <f t="shared" si="81"/>
        <v>10292.5</v>
      </c>
      <c r="AB183" s="170">
        <f t="shared" si="82"/>
        <v>105935556.25</v>
      </c>
      <c r="AD183" s="686">
        <f t="shared" si="83"/>
        <v>37.868338094012458</v>
      </c>
      <c r="AE183" s="687">
        <f t="shared" si="84"/>
        <v>-24.384563687778343</v>
      </c>
      <c r="AG183" s="686">
        <f t="shared" si="85"/>
        <v>14.097266018971808</v>
      </c>
      <c r="AH183" s="687">
        <f t="shared" si="86"/>
        <v>-78.173192447643331</v>
      </c>
      <c r="AJ183" s="170">
        <f t="shared" si="87"/>
        <v>0</v>
      </c>
      <c r="AK183" s="170">
        <f t="shared" si="99"/>
        <v>0</v>
      </c>
      <c r="AM183" s="170" t="str">
        <f t="shared" si="91"/>
        <v>0.05159501717647+0.317061490180533i</v>
      </c>
      <c r="AN183" s="170" t="str">
        <f t="shared" si="92"/>
        <v>0.322629505701572i</v>
      </c>
      <c r="AO183" s="170" t="str">
        <f t="shared" si="93"/>
        <v>0.982741765949363-0.159920330486433i</v>
      </c>
      <c r="AP183" s="170" t="str">
        <f t="shared" si="94"/>
        <v>0.158067497137255-0.0528435816967555i</v>
      </c>
      <c r="AQ183" s="170" t="str">
        <f t="shared" si="95"/>
        <v>0.841932502862745+0.0528435816967555i</v>
      </c>
      <c r="AR183" s="170" t="str">
        <f t="shared" si="96"/>
        <v>0.985508166656546-0.0618550550554346i</v>
      </c>
    </row>
    <row r="184" spans="7:44">
      <c r="G184" s="688">
        <v>10352</v>
      </c>
      <c r="H184" s="676">
        <f t="shared" si="88"/>
        <v>10.352</v>
      </c>
      <c r="I184" s="677">
        <f t="shared" si="66"/>
        <v>127.61330081992567</v>
      </c>
      <c r="J184" s="678">
        <f t="shared" si="67"/>
        <v>1.5629600728297728</v>
      </c>
      <c r="K184" s="678">
        <f t="shared" si="68"/>
        <v>1.0004475038404106</v>
      </c>
      <c r="L184" s="679">
        <f t="shared" si="69"/>
        <v>2.991110232140165E-2</v>
      </c>
      <c r="M184" s="678">
        <f t="shared" si="70"/>
        <v>1.001543201729711</v>
      </c>
      <c r="N184" s="679">
        <f t="shared" si="71"/>
        <v>-5.5519722260726927E-2</v>
      </c>
      <c r="O184" s="677">
        <f t="shared" si="72"/>
        <v>117078.36161035066</v>
      </c>
      <c r="P184" s="680">
        <f t="shared" si="73"/>
        <v>1.5707877855069399</v>
      </c>
      <c r="Q184" s="689">
        <f t="shared" si="100"/>
        <v>55.426112913131121</v>
      </c>
      <c r="R184" s="690">
        <f t="shared" si="101"/>
        <v>1.5527533104636844</v>
      </c>
      <c r="S184" s="677">
        <f t="shared" si="76"/>
        <v>1.0901574589350751</v>
      </c>
      <c r="T184" s="680">
        <f t="shared" si="77"/>
        <v>0.40955357204584247</v>
      </c>
      <c r="U184" s="681">
        <f t="shared" si="89"/>
        <v>0.98298431311953771</v>
      </c>
      <c r="V184" s="682">
        <f t="shared" si="90"/>
        <v>-0.2252709941270743</v>
      </c>
      <c r="W184" s="683">
        <f t="shared" si="78"/>
        <v>-3.4807350022050905</v>
      </c>
      <c r="X184" s="684">
        <f t="shared" si="79"/>
        <v>-128.42434938767397</v>
      </c>
      <c r="Y184" s="687">
        <f t="shared" si="80"/>
        <v>51.575650612326029</v>
      </c>
      <c r="AA184" s="170">
        <f t="shared" si="81"/>
        <v>10352</v>
      </c>
      <c r="AB184" s="170">
        <f t="shared" si="82"/>
        <v>107163904</v>
      </c>
      <c r="AD184" s="686">
        <f t="shared" si="83"/>
        <v>37.860421207159106</v>
      </c>
      <c r="AE184" s="687">
        <f t="shared" si="84"/>
        <v>-24.498990496440598</v>
      </c>
      <c r="AG184" s="686">
        <f t="shared" si="85"/>
        <v>14.049042873534908</v>
      </c>
      <c r="AH184" s="687">
        <f t="shared" si="86"/>
        <v>-78.111204441341002</v>
      </c>
      <c r="AJ184" s="170">
        <f t="shared" si="87"/>
        <v>0</v>
      </c>
      <c r="AK184" s="170">
        <f t="shared" si="99"/>
        <v>0</v>
      </c>
      <c r="AM184" s="170" t="str">
        <f t="shared" si="91"/>
        <v>0.052188015109332+0.318829799889551i</v>
      </c>
      <c r="AN184" s="170" t="str">
        <f t="shared" si="92"/>
        <v>0.324494597330354i</v>
      </c>
      <c r="AO184" s="170" t="str">
        <f t="shared" si="93"/>
        <v>0.982542706450561-0.160828610210116i</v>
      </c>
      <c r="AP184" s="170" t="str">
        <f t="shared" si="94"/>
        <v>0.157968664148445-0.0531382999815918i</v>
      </c>
      <c r="AQ184" s="170" t="str">
        <f t="shared" si="95"/>
        <v>0.842031335851555+0.0531382999815918i</v>
      </c>
      <c r="AR184" s="170" t="str">
        <f t="shared" si="96"/>
        <v>0.985350162772926-0.0621827600790961i</v>
      </c>
    </row>
    <row r="185" spans="7:44">
      <c r="G185" s="688">
        <v>10411.5</v>
      </c>
      <c r="H185" s="676">
        <f t="shared" si="88"/>
        <v>10.4115</v>
      </c>
      <c r="I185" s="677">
        <f t="shared" si="66"/>
        <v>128.34673653076828</v>
      </c>
      <c r="J185" s="678">
        <f t="shared" si="67"/>
        <v>1.5630048539071262</v>
      </c>
      <c r="K185" s="678">
        <f t="shared" si="68"/>
        <v>1.0004526616761469</v>
      </c>
      <c r="L185" s="679">
        <f t="shared" si="69"/>
        <v>3.0082918406189641E-2</v>
      </c>
      <c r="M185" s="678">
        <f t="shared" si="70"/>
        <v>1.0015609785111896</v>
      </c>
      <c r="N185" s="679">
        <f t="shared" si="71"/>
        <v>-5.5838170946926405E-2</v>
      </c>
      <c r="O185" s="677">
        <f t="shared" si="72"/>
        <v>117751.29075595624</v>
      </c>
      <c r="P185" s="680">
        <f t="shared" si="73"/>
        <v>1.5707878343189876</v>
      </c>
      <c r="Q185" s="689">
        <f t="shared" si="100"/>
        <v>55.744581159224282</v>
      </c>
      <c r="R185" s="690">
        <f t="shared" si="101"/>
        <v>1.5528564011308548</v>
      </c>
      <c r="S185" s="677">
        <f t="shared" si="76"/>
        <v>1.0911533964866376</v>
      </c>
      <c r="T185" s="680">
        <f t="shared" si="77"/>
        <v>0.41165110269229338</v>
      </c>
      <c r="U185" s="681">
        <f t="shared" si="89"/>
        <v>0.98279730562284406</v>
      </c>
      <c r="V185" s="682">
        <f t="shared" si="90"/>
        <v>-0.22654447517948267</v>
      </c>
      <c r="W185" s="683">
        <f t="shared" si="78"/>
        <v>-3.539914095306445</v>
      </c>
      <c r="X185" s="684">
        <f t="shared" si="79"/>
        <v>-128.6225574634569</v>
      </c>
      <c r="Y185" s="687">
        <f t="shared" si="80"/>
        <v>51.3774425365431</v>
      </c>
      <c r="AA185" s="170">
        <f t="shared" si="81"/>
        <v>10411.5</v>
      </c>
      <c r="AB185" s="170">
        <f t="shared" si="82"/>
        <v>108399332.25</v>
      </c>
      <c r="AD185" s="686">
        <f t="shared" si="83"/>
        <v>37.852473530390597</v>
      </c>
      <c r="AE185" s="687">
        <f t="shared" si="84"/>
        <v>-24.613266286600428</v>
      </c>
      <c r="AG185" s="686">
        <f t="shared" si="85"/>
        <v>14.001116659503655</v>
      </c>
      <c r="AH185" s="687">
        <f t="shared" si="86"/>
        <v>-78.049206547611576</v>
      </c>
      <c r="AJ185" s="170">
        <f t="shared" si="87"/>
        <v>0</v>
      </c>
      <c r="AK185" s="170">
        <f t="shared" si="99"/>
        <v>0</v>
      </c>
      <c r="AM185" s="170" t="str">
        <f t="shared" si="91"/>
        <v>0.052784310068525+0.32059700052814i</v>
      </c>
      <c r="AN185" s="170" t="str">
        <f t="shared" si="92"/>
        <v>0.326359688959137i</v>
      </c>
      <c r="AO185" s="170" t="str">
        <f t="shared" si="93"/>
        <v>0.98234252382892-0.161736611028374i</v>
      </c>
      <c r="AP185" s="170" t="str">
        <f t="shared" si="94"/>
        <v>0.157869281655246-0.0534328334213567i</v>
      </c>
      <c r="AQ185" s="170" t="str">
        <f t="shared" si="95"/>
        <v>0.842130718344754+0.0534328334213567i</v>
      </c>
      <c r="AR185" s="170" t="str">
        <f t="shared" si="96"/>
        <v>0.98519136885741-0.0625099704280895i</v>
      </c>
    </row>
    <row r="186" spans="7:44">
      <c r="G186" s="688">
        <v>10471</v>
      </c>
      <c r="H186" s="676">
        <f t="shared" si="88"/>
        <v>10.471</v>
      </c>
      <c r="I186" s="677">
        <f t="shared" si="66"/>
        <v>129.08017249606547</v>
      </c>
      <c r="J186" s="678">
        <f t="shared" si="67"/>
        <v>1.563049126090722</v>
      </c>
      <c r="K186" s="678">
        <f t="shared" si="68"/>
        <v>1.0004578490457081</v>
      </c>
      <c r="L186" s="679">
        <f t="shared" si="69"/>
        <v>3.0254732714318382E-2</v>
      </c>
      <c r="M186" s="678">
        <f t="shared" si="70"/>
        <v>1.0015788568569206</v>
      </c>
      <c r="N186" s="679">
        <f t="shared" si="71"/>
        <v>-5.6156608296695693E-2</v>
      </c>
      <c r="O186" s="677">
        <f t="shared" si="72"/>
        <v>118424.21990156213</v>
      </c>
      <c r="P186" s="680">
        <f t="shared" si="73"/>
        <v>1.5707878825762998</v>
      </c>
      <c r="Q186" s="689">
        <f t="shared" si="100"/>
        <v>56.063049991022616</v>
      </c>
      <c r="R186" s="690">
        <f t="shared" si="101"/>
        <v>1.5529583205761859</v>
      </c>
      <c r="S186" s="677">
        <f t="shared" si="76"/>
        <v>1.0921541259468683</v>
      </c>
      <c r="T186" s="680">
        <f t="shared" si="77"/>
        <v>0.4137447986452028</v>
      </c>
      <c r="U186" s="681">
        <f t="shared" si="89"/>
        <v>0.98260932800137313</v>
      </c>
      <c r="V186" s="682">
        <f t="shared" si="90"/>
        <v>-0.22781759980880545</v>
      </c>
      <c r="W186" s="683">
        <f t="shared" si="78"/>
        <v>-3.5988479159703193</v>
      </c>
      <c r="X186" s="684">
        <f t="shared" si="79"/>
        <v>-128.82056277503062</v>
      </c>
      <c r="Y186" s="687">
        <f t="shared" si="80"/>
        <v>51.179437224969377</v>
      </c>
      <c r="AA186" s="170">
        <f t="shared" si="81"/>
        <v>10471</v>
      </c>
      <c r="AB186" s="170">
        <f t="shared" si="82"/>
        <v>109641841</v>
      </c>
      <c r="AD186" s="686">
        <f t="shared" si="83"/>
        <v>37.844495253505848</v>
      </c>
      <c r="AE186" s="687">
        <f t="shared" si="84"/>
        <v>-24.727389439288693</v>
      </c>
      <c r="AG186" s="686">
        <f t="shared" si="85"/>
        <v>13.953484098056151</v>
      </c>
      <c r="AH186" s="687">
        <f t="shared" si="86"/>
        <v>-77.987199370221617</v>
      </c>
      <c r="AJ186" s="170">
        <f t="shared" si="87"/>
        <v>0</v>
      </c>
      <c r="AK186" s="170">
        <f t="shared" si="99"/>
        <v>0</v>
      </c>
      <c r="AM186" s="170" t="str">
        <f t="shared" si="91"/>
        <v>0.053383899979799+0.322363085948974i</v>
      </c>
      <c r="AN186" s="170" t="str">
        <f t="shared" si="92"/>
        <v>0.328224780587919i</v>
      </c>
      <c r="AO186" s="170" t="str">
        <f t="shared" si="93"/>
        <v>0.982141218501402-0.16264433137613i</v>
      </c>
      <c r="AP186" s="170" t="str">
        <f t="shared" si="94"/>
        <v>0.157769350003367-0.0537271809914957i</v>
      </c>
      <c r="AQ186" s="170" t="str">
        <f t="shared" si="95"/>
        <v>0.842230649996633+0.0537271809914957i</v>
      </c>
      <c r="AR186" s="170" t="str">
        <f t="shared" si="96"/>
        <v>0.985031786858407-0.0628366838646036i</v>
      </c>
    </row>
    <row r="187" spans="7:44">
      <c r="G187" s="688">
        <v>10532</v>
      </c>
      <c r="H187" s="676">
        <f t="shared" si="88"/>
        <v>10.532</v>
      </c>
      <c r="I187" s="677">
        <f t="shared" si="66"/>
        <v>129.83209870332442</v>
      </c>
      <c r="J187" s="678">
        <f t="shared" si="67"/>
        <v>1.5630939951087566</v>
      </c>
      <c r="K187" s="678">
        <f t="shared" si="68"/>
        <v>1.0004631978488463</v>
      </c>
      <c r="L187" s="679">
        <f t="shared" si="69"/>
        <v>3.0430876620594547E-2</v>
      </c>
      <c r="M187" s="678">
        <f t="shared" si="70"/>
        <v>1.0015972913487483</v>
      </c>
      <c r="N187" s="679">
        <f t="shared" si="71"/>
        <v>-5.6483061643121724E-2</v>
      </c>
      <c r="O187" s="677">
        <f t="shared" si="72"/>
        <v>119114.11364747767</v>
      </c>
      <c r="P187" s="680">
        <f t="shared" si="73"/>
        <v>1.5707879314841362</v>
      </c>
      <c r="Q187" s="689">
        <f t="shared" si="100"/>
        <v>56.389548046483924</v>
      </c>
      <c r="R187" s="690">
        <f t="shared" si="101"/>
        <v>1.553061614306978</v>
      </c>
      <c r="S187" s="677">
        <f t="shared" si="76"/>
        <v>1.0931850447419782</v>
      </c>
      <c r="T187" s="680">
        <f t="shared" si="77"/>
        <v>0.41588728776407313</v>
      </c>
      <c r="U187" s="681">
        <f t="shared" si="89"/>
        <v>0.98241560605535416</v>
      </c>
      <c r="V187" s="682">
        <f t="shared" si="90"/>
        <v>-0.22912244815760691</v>
      </c>
      <c r="W187" s="683">
        <f t="shared" si="78"/>
        <v>-3.6590159930757489</v>
      </c>
      <c r="X187" s="684">
        <f t="shared" si="79"/>
        <v>-129.02334807201115</v>
      </c>
      <c r="Y187" s="687">
        <f t="shared" si="80"/>
        <v>50.976651927988854</v>
      </c>
      <c r="AA187" s="170">
        <f t="shared" si="81"/>
        <v>10532</v>
      </c>
      <c r="AB187" s="170">
        <f t="shared" si="82"/>
        <v>110923024</v>
      </c>
      <c r="AD187" s="686">
        <f t="shared" si="83"/>
        <v>37.83628427536987</v>
      </c>
      <c r="AE187" s="687">
        <f t="shared" si="84"/>
        <v>-24.844229530974246</v>
      </c>
      <c r="AG187" s="686">
        <f t="shared" si="85"/>
        <v>13.904952192161616</v>
      </c>
      <c r="AH187" s="687">
        <f t="shared" si="86"/>
        <v>-77.923619968763873</v>
      </c>
      <c r="AJ187" s="170">
        <f t="shared" si="87"/>
        <v>0</v>
      </c>
      <c r="AK187" s="170">
        <f t="shared" si="99"/>
        <v>0</v>
      </c>
      <c r="AM187" s="170" t="str">
        <f t="shared" si="91"/>
        <v>0.054002024017764+0.324172530356157i</v>
      </c>
      <c r="AN187" s="170" t="str">
        <f t="shared" si="92"/>
        <v>0.330136891333394i</v>
      </c>
      <c r="AO187" s="170" t="str">
        <f t="shared" si="93"/>
        <v>0.981933673170704-0.163574642626744i</v>
      </c>
      <c r="AP187" s="170" t="str">
        <f t="shared" si="94"/>
        <v>0.157666329330373-0.0540287550593595i</v>
      </c>
      <c r="AQ187" s="170" t="str">
        <f t="shared" si="95"/>
        <v>0.842333670669627+0.0540287550593595i</v>
      </c>
      <c r="AR187" s="170" t="str">
        <f t="shared" si="96"/>
        <v>0.984867365696049-0.0631711155804177i</v>
      </c>
    </row>
    <row r="188" spans="7:44">
      <c r="G188" s="688">
        <v>10593</v>
      </c>
      <c r="H188" s="676">
        <f t="shared" si="88"/>
        <v>10.593</v>
      </c>
      <c r="I188" s="677">
        <f t="shared" si="66"/>
        <v>130.58402516895489</v>
      </c>
      <c r="J188" s="678">
        <f t="shared" si="67"/>
        <v>1.5631383473990166</v>
      </c>
      <c r="K188" s="678">
        <f t="shared" si="68"/>
        <v>1.0004685776926994</v>
      </c>
      <c r="L188" s="679">
        <f t="shared" si="69"/>
        <v>3.0607018637969996E-2</v>
      </c>
      <c r="M188" s="678">
        <f t="shared" si="70"/>
        <v>1.0016158325786537</v>
      </c>
      <c r="N188" s="679">
        <f t="shared" si="71"/>
        <v>-5.6809502938172246E-2</v>
      </c>
      <c r="O188" s="677">
        <f t="shared" si="72"/>
        <v>119804.00739339351</v>
      </c>
      <c r="P188" s="680">
        <f t="shared" si="73"/>
        <v>1.5707879798286994</v>
      </c>
      <c r="Q188" s="689">
        <f t="shared" si="100"/>
        <v>56.716046696671746</v>
      </c>
      <c r="R188" s="690">
        <f t="shared" si="101"/>
        <v>1.5531637187717671</v>
      </c>
      <c r="S188" s="677">
        <f t="shared" si="76"/>
        <v>1.0942209720714298</v>
      </c>
      <c r="T188" s="680">
        <f t="shared" si="77"/>
        <v>0.41802572998364107</v>
      </c>
      <c r="U188" s="681">
        <f t="shared" si="89"/>
        <v>0.98222086797011421</v>
      </c>
      <c r="V188" s="682">
        <f t="shared" si="90"/>
        <v>-0.23042691813937186</v>
      </c>
      <c r="W188" s="683">
        <f t="shared" si="78"/>
        <v>-3.718932632018241</v>
      </c>
      <c r="X188" s="684">
        <f t="shared" si="79"/>
        <v>-129.22591773896895</v>
      </c>
      <c r="Y188" s="687">
        <f t="shared" si="80"/>
        <v>50.774082261031054</v>
      </c>
      <c r="AA188" s="170">
        <f t="shared" si="81"/>
        <v>10593</v>
      </c>
      <c r="AB188" s="170">
        <f t="shared" si="82"/>
        <v>112211649</v>
      </c>
      <c r="AD188" s="686">
        <f t="shared" si="83"/>
        <v>37.828041539023658</v>
      </c>
      <c r="AE188" s="687">
        <f t="shared" si="84"/>
        <v>-24.960905860058972</v>
      </c>
      <c r="AG188" s="686">
        <f t="shared" si="85"/>
        <v>13.856722129776243</v>
      </c>
      <c r="AH188" s="687">
        <f t="shared" si="86"/>
        <v>-77.860032057552857</v>
      </c>
      <c r="AJ188" s="170">
        <f t="shared" si="87"/>
        <v>0</v>
      </c>
      <c r="AK188" s="170">
        <f t="shared" si="99"/>
        <v>0</v>
      </c>
      <c r="AM188" s="170" t="str">
        <f t="shared" si="91"/>
        <v>0.0546236067817329+0.32598078953463i</v>
      </c>
      <c r="AN188" s="170" t="str">
        <f t="shared" si="92"/>
        <v>0.332049002078868i</v>
      </c>
      <c r="AO188" s="170" t="str">
        <f t="shared" si="93"/>
        <v>0.981724948708635-0.164504655757883i</v>
      </c>
      <c r="AP188" s="170" t="str">
        <f t="shared" si="94"/>
        <v>0.157562732203045-0.054330131589105i</v>
      </c>
      <c r="AQ188" s="170" t="str">
        <f t="shared" si="95"/>
        <v>0.842437267796955+0.054330131589105i</v>
      </c>
      <c r="AR188" s="170" t="str">
        <f t="shared" si="96"/>
        <v>0.984702120385683-0.0635050202806546i</v>
      </c>
    </row>
    <row r="189" spans="7:44">
      <c r="G189" s="688">
        <v>10654</v>
      </c>
      <c r="H189" s="676">
        <f t="shared" si="88"/>
        <v>10.654</v>
      </c>
      <c r="I189" s="677">
        <f t="shared" si="66"/>
        <v>131.33595188851925</v>
      </c>
      <c r="J189" s="678">
        <f t="shared" si="67"/>
        <v>1.5631821918364603</v>
      </c>
      <c r="K189" s="678">
        <f t="shared" si="68"/>
        <v>1.0004739885767662</v>
      </c>
      <c r="L189" s="679">
        <f t="shared" si="69"/>
        <v>3.0783158755545329E-2</v>
      </c>
      <c r="M189" s="678">
        <f t="shared" si="70"/>
        <v>1.0016344805407094</v>
      </c>
      <c r="N189" s="679">
        <f t="shared" si="71"/>
        <v>-5.7135932112944703E-2</v>
      </c>
      <c r="O189" s="677">
        <f t="shared" si="72"/>
        <v>120493.9011393096</v>
      </c>
      <c r="P189" s="680">
        <f t="shared" si="73"/>
        <v>1.570788027619664</v>
      </c>
      <c r="Q189" s="689">
        <f t="shared" si="100"/>
        <v>57.042545931373859</v>
      </c>
      <c r="R189" s="690">
        <f t="shared" si="101"/>
        <v>1.5532646543897122</v>
      </c>
      <c r="S189" s="677">
        <f t="shared" si="76"/>
        <v>1.0952618937236145</v>
      </c>
      <c r="T189" s="680">
        <f t="shared" si="77"/>
        <v>0.42016011725678748</v>
      </c>
      <c r="U189" s="681">
        <f t="shared" si="89"/>
        <v>0.98202511553667204</v>
      </c>
      <c r="V189" s="682">
        <f t="shared" si="90"/>
        <v>-0.23173100786474923</v>
      </c>
      <c r="W189" s="683">
        <f t="shared" si="78"/>
        <v>-3.7786009628968764</v>
      </c>
      <c r="X189" s="684">
        <f t="shared" si="79"/>
        <v>-129.42827054238322</v>
      </c>
      <c r="Y189" s="687">
        <f t="shared" si="80"/>
        <v>50.571729457616783</v>
      </c>
      <c r="AA189" s="170">
        <f t="shared" si="81"/>
        <v>10654</v>
      </c>
      <c r="AB189" s="170">
        <f t="shared" si="82"/>
        <v>113507716</v>
      </c>
      <c r="AD189" s="686">
        <f t="shared" si="83"/>
        <v>37.81976724915971</v>
      </c>
      <c r="AE189" s="687">
        <f t="shared" si="84"/>
        <v>-25.077416796099602</v>
      </c>
      <c r="AG189" s="686">
        <f t="shared" si="85"/>
        <v>13.808790555383686</v>
      </c>
      <c r="AH189" s="687">
        <f t="shared" si="86"/>
        <v>-77.796436250014736</v>
      </c>
      <c r="AJ189" s="170">
        <f t="shared" si="87"/>
        <v>0</v>
      </c>
      <c r="AK189" s="170">
        <f t="shared" si="99"/>
        <v>0</v>
      </c>
      <c r="AM189" s="170" t="str">
        <f t="shared" si="91"/>
        <v>0.055248645999096+0.327787856873097i</v>
      </c>
      <c r="AN189" s="170" t="str">
        <f t="shared" si="92"/>
        <v>0.333961112824343i</v>
      </c>
      <c r="AO189" s="170" t="str">
        <f t="shared" si="93"/>
        <v>0.981515045572108-0.165434369085229i</v>
      </c>
      <c r="AP189" s="170" t="str">
        <f t="shared" si="94"/>
        <v>0.157458559000151-0.0546313094788495i</v>
      </c>
      <c r="AQ189" s="170" t="str">
        <f t="shared" si="95"/>
        <v>0.842541440999849+0.0546313094788495i</v>
      </c>
      <c r="AR189" s="170" t="str">
        <f t="shared" si="96"/>
        <v>0.984536053051318-0.0638383955850323i</v>
      </c>
    </row>
    <row r="190" spans="7:44">
      <c r="G190" s="688">
        <v>10715</v>
      </c>
      <c r="H190" s="676">
        <f t="shared" si="88"/>
        <v>10.715</v>
      </c>
      <c r="I190" s="677">
        <f t="shared" si="66"/>
        <v>132.08787885768078</v>
      </c>
      <c r="J190" s="678">
        <f t="shared" si="67"/>
        <v>1.5632255370939674</v>
      </c>
      <c r="K190" s="678">
        <f t="shared" si="68"/>
        <v>1.0004794305005436</v>
      </c>
      <c r="L190" s="679">
        <f t="shared" si="69"/>
        <v>3.0959296962421834E-2</v>
      </c>
      <c r="M190" s="678">
        <f t="shared" si="70"/>
        <v>1.0016532352289544</v>
      </c>
      <c r="N190" s="679">
        <f t="shared" si="71"/>
        <v>-5.746234909855201E-2</v>
      </c>
      <c r="O190" s="677">
        <f t="shared" si="72"/>
        <v>121183.79488522599</v>
      </c>
      <c r="P190" s="680">
        <f t="shared" si="73"/>
        <v>1.5707880748664853</v>
      </c>
      <c r="Q190" s="689">
        <f t="shared" si="100"/>
        <v>57.369045740610488</v>
      </c>
      <c r="R190" s="690">
        <f t="shared" si="101"/>
        <v>1.5533644411152299</v>
      </c>
      <c r="S190" s="677">
        <f t="shared" si="76"/>
        <v>1.0963077954725131</v>
      </c>
      <c r="T190" s="680">
        <f t="shared" si="77"/>
        <v>0.42229044171466307</v>
      </c>
      <c r="U190" s="681">
        <f t="shared" si="89"/>
        <v>0.9818283505534986</v>
      </c>
      <c r="V190" s="682">
        <f t="shared" si="90"/>
        <v>-0.23303471544926266</v>
      </c>
      <c r="W190" s="683">
        <f t="shared" si="78"/>
        <v>-3.8380240584644021</v>
      </c>
      <c r="X190" s="684">
        <f t="shared" si="79"/>
        <v>-129.63040527426435</v>
      </c>
      <c r="Y190" s="687">
        <f t="shared" si="80"/>
        <v>50.369594725735652</v>
      </c>
      <c r="AA190" s="170">
        <f t="shared" si="81"/>
        <v>10715</v>
      </c>
      <c r="AB190" s="170">
        <f t="shared" si="82"/>
        <v>114811225</v>
      </c>
      <c r="AD190" s="686">
        <f t="shared" si="83"/>
        <v>37.811461610491214</v>
      </c>
      <c r="AE190" s="687">
        <f t="shared" si="84"/>
        <v>-25.193760745482177</v>
      </c>
      <c r="AG190" s="686">
        <f t="shared" si="85"/>
        <v>13.761154170700504</v>
      </c>
      <c r="AH190" s="687">
        <f t="shared" si="86"/>
        <v>-77.732833147718964</v>
      </c>
      <c r="AJ190" s="170">
        <f t="shared" si="87"/>
        <v>0</v>
      </c>
      <c r="AK190" s="170">
        <f t="shared" si="99"/>
        <v>0</v>
      </c>
      <c r="AM190" s="170" t="str">
        <f t="shared" si="91"/>
        <v>0.055877139384605+0.329593725764619i</v>
      </c>
      <c r="AN190" s="170" t="str">
        <f t="shared" si="92"/>
        <v>0.335873223569817i</v>
      </c>
      <c r="AO190" s="170" t="str">
        <f t="shared" si="93"/>
        <v>0.981303964220617-0.166363780925186i</v>
      </c>
      <c r="AP190" s="170" t="str">
        <f t="shared" si="94"/>
        <v>0.157353810102566-0.0549322876274365i</v>
      </c>
      <c r="AQ190" s="170" t="str">
        <f t="shared" si="95"/>
        <v>0.842646189897434+0.0549322876274365i</v>
      </c>
      <c r="AR190" s="170" t="str">
        <f t="shared" si="96"/>
        <v>0.984369165825106-0.0641712391238205i</v>
      </c>
    </row>
    <row r="191" spans="7:44">
      <c r="G191" s="688">
        <v>10777.5</v>
      </c>
      <c r="H191" s="676">
        <f t="shared" si="88"/>
        <v>10.7775</v>
      </c>
      <c r="I191" s="677">
        <f t="shared" si="66"/>
        <v>132.85829608872837</v>
      </c>
      <c r="J191" s="678">
        <f t="shared" si="67"/>
        <v>1.5632694393377995</v>
      </c>
      <c r="K191" s="678">
        <f t="shared" si="68"/>
        <v>1.0004850384355912</v>
      </c>
      <c r="L191" s="679">
        <f t="shared" si="69"/>
        <v>3.1139764443531552E-2</v>
      </c>
      <c r="M191" s="678">
        <f t="shared" si="70"/>
        <v>1.0016725617868671</v>
      </c>
      <c r="N191" s="679">
        <f t="shared" si="71"/>
        <v>-5.7796780016877498E-2</v>
      </c>
      <c r="O191" s="677">
        <f t="shared" si="72"/>
        <v>121890.65323145206</v>
      </c>
      <c r="P191" s="680">
        <f t="shared" si="73"/>
        <v>1.5707881227203961</v>
      </c>
      <c r="Q191" s="689">
        <f t="shared" si="100"/>
        <v>57.703574819382744</v>
      </c>
      <c r="R191" s="690">
        <f t="shared" si="101"/>
        <v>1.5534655103867734</v>
      </c>
      <c r="S191" s="677">
        <f t="shared" si="76"/>
        <v>1.0973845665209552</v>
      </c>
      <c r="T191" s="680">
        <f t="shared" si="77"/>
        <v>0.42446892925694157</v>
      </c>
      <c r="U191" s="681">
        <f t="shared" si="89"/>
        <v>0.98162569877155526</v>
      </c>
      <c r="V191" s="682">
        <f t="shared" si="90"/>
        <v>-0.23437008309983501</v>
      </c>
      <c r="W191" s="683">
        <f t="shared" si="78"/>
        <v>-3.8986571768771725</v>
      </c>
      <c r="X191" s="684">
        <f t="shared" si="79"/>
        <v>-129.83728311443497</v>
      </c>
      <c r="Y191" s="687">
        <f t="shared" si="80"/>
        <v>50.162716885565032</v>
      </c>
      <c r="AA191" s="170">
        <f t="shared" si="81"/>
        <v>10777.5</v>
      </c>
      <c r="AB191" s="170">
        <f t="shared" si="82"/>
        <v>116154506.25</v>
      </c>
      <c r="AD191" s="686">
        <f t="shared" si="83"/>
        <v>37.802919434283858</v>
      </c>
      <c r="AE191" s="687">
        <f t="shared" si="84"/>
        <v>-25.312790786641784</v>
      </c>
      <c r="AG191" s="686">
        <f t="shared" si="85"/>
        <v>13.712649176472381</v>
      </c>
      <c r="AH191" s="687">
        <f t="shared" si="86"/>
        <v>-77.667659085602921</v>
      </c>
      <c r="AJ191" s="170">
        <f t="shared" si="87"/>
        <v>0</v>
      </c>
      <c r="AK191" s="170">
        <f t="shared" si="99"/>
        <v>0</v>
      </c>
      <c r="AM191" s="170" t="str">
        <f t="shared" si="91"/>
        <v>0.056524667742864+0.331442751349743i</v>
      </c>
      <c r="AN191" s="170" t="str">
        <f t="shared" si="92"/>
        <v>0.337832353431984i</v>
      </c>
      <c r="AO191" s="170" t="str">
        <f t="shared" si="93"/>
        <v>0.981086470797335-0.167315732695934i</v>
      </c>
      <c r="AP191" s="170" t="str">
        <f t="shared" si="94"/>
        <v>0.157245888709523-0.0552404585582905i</v>
      </c>
      <c r="AQ191" s="170" t="str">
        <f t="shared" si="95"/>
        <v>0.842754111290477+0.0552404585582905i</v>
      </c>
      <c r="AR191" s="170" t="str">
        <f t="shared" si="96"/>
        <v>0.984197326671075-0.0645117133322589i</v>
      </c>
    </row>
    <row r="192" spans="7:44">
      <c r="G192" s="688">
        <v>10840</v>
      </c>
      <c r="H192" s="676">
        <f t="shared" si="88"/>
        <v>10.84</v>
      </c>
      <c r="I192" s="677">
        <f t="shared" si="66"/>
        <v>133.62871357289524</v>
      </c>
      <c r="J192" s="678">
        <f t="shared" si="67"/>
        <v>1.563312835357336</v>
      </c>
      <c r="K192" s="678">
        <f t="shared" si="68"/>
        <v>1.0004906789545815</v>
      </c>
      <c r="L192" s="679">
        <f t="shared" si="69"/>
        <v>3.1320229895656658E-2</v>
      </c>
      <c r="M192" s="678">
        <f t="shared" si="70"/>
        <v>1.001692000371555</v>
      </c>
      <c r="N192" s="679">
        <f t="shared" si="71"/>
        <v>-5.8131197992838751E-2</v>
      </c>
      <c r="O192" s="677">
        <f t="shared" si="72"/>
        <v>122597.51157767841</v>
      </c>
      <c r="P192" s="680">
        <f t="shared" si="73"/>
        <v>1.5707881700224864</v>
      </c>
      <c r="Q192" s="689">
        <f t="shared" si="100"/>
        <v>58.038104480801842</v>
      </c>
      <c r="R192" s="690">
        <f t="shared" si="101"/>
        <v>1.5535654145396365</v>
      </c>
      <c r="S192" s="677">
        <f t="shared" si="76"/>
        <v>1.0984665353211893</v>
      </c>
      <c r="T192" s="680">
        <f t="shared" si="77"/>
        <v>0.42664313556248357</v>
      </c>
      <c r="U192" s="681">
        <f t="shared" si="89"/>
        <v>0.98142198787630219</v>
      </c>
      <c r="V192" s="682">
        <f t="shared" si="90"/>
        <v>-0.23570504559524258</v>
      </c>
      <c r="W192" s="683">
        <f t="shared" si="78"/>
        <v>-3.9590392028098838</v>
      </c>
      <c r="X192" s="684">
        <f t="shared" si="79"/>
        <v>-130.043929539088</v>
      </c>
      <c r="Y192" s="687">
        <f t="shared" si="80"/>
        <v>49.956070460912002</v>
      </c>
      <c r="AA192" s="170">
        <f t="shared" si="81"/>
        <v>10840</v>
      </c>
      <c r="AB192" s="170">
        <f t="shared" si="82"/>
        <v>117505600</v>
      </c>
      <c r="AD192" s="686">
        <f t="shared" si="83"/>
        <v>37.794344783652299</v>
      </c>
      <c r="AE192" s="687">
        <f t="shared" si="84"/>
        <v>-25.431642255771134</v>
      </c>
      <c r="AG192" s="686">
        <f t="shared" si="85"/>
        <v>13.664447236480054</v>
      </c>
      <c r="AH192" s="687">
        <f t="shared" si="86"/>
        <v>-77.602478607361647</v>
      </c>
      <c r="AJ192" s="170">
        <f t="shared" si="87"/>
        <v>0</v>
      </c>
      <c r="AK192" s="170">
        <f t="shared" si="99"/>
        <v>0</v>
      </c>
      <c r="AM192" s="170" t="str">
        <f t="shared" si="91"/>
        <v>0.057175817337378+0.333290504795079i</v>
      </c>
      <c r="AN192" s="170" t="str">
        <f t="shared" si="92"/>
        <v>0.33979148329415i</v>
      </c>
      <c r="AO192" s="170" t="str">
        <f t="shared" si="93"/>
        <v>0.980867741486495-0.168267364393834i</v>
      </c>
      <c r="AP192" s="170" t="str">
        <f t="shared" si="94"/>
        <v>0.157137363777104-0.0555484174658465i</v>
      </c>
      <c r="AQ192" s="170" t="str">
        <f t="shared" si="95"/>
        <v>0.842862636222896+0.0555484174658465i</v>
      </c>
      <c r="AR192" s="170" t="str">
        <f t="shared" si="96"/>
        <v>0.984024631364469-0.0648516242986645i</v>
      </c>
    </row>
    <row r="193" spans="7:44">
      <c r="G193" s="688">
        <v>10902.5</v>
      </c>
      <c r="H193" s="676">
        <f t="shared" si="88"/>
        <v>10.9025</v>
      </c>
      <c r="I193" s="677">
        <f t="shared" si="66"/>
        <v>134.39913130582858</v>
      </c>
      <c r="J193" s="678">
        <f t="shared" si="67"/>
        <v>1.5633557338579185</v>
      </c>
      <c r="K193" s="678">
        <f t="shared" si="68"/>
        <v>1.0004963520569636</v>
      </c>
      <c r="L193" s="679">
        <f t="shared" si="69"/>
        <v>3.150069330707686E-2</v>
      </c>
      <c r="M193" s="678">
        <f t="shared" si="70"/>
        <v>1.0017115509764958</v>
      </c>
      <c r="N193" s="679">
        <f t="shared" si="71"/>
        <v>-5.8465602952391886E-2</v>
      </c>
      <c r="O193" s="677">
        <f t="shared" si="72"/>
        <v>123304.36992390502</v>
      </c>
      <c r="P193" s="680">
        <f t="shared" si="73"/>
        <v>1.5707882167822456</v>
      </c>
      <c r="Q193" s="689">
        <f t="shared" si="100"/>
        <v>58.372634714850449</v>
      </c>
      <c r="R193" s="690">
        <f t="shared" si="101"/>
        <v>1.5536641736034931</v>
      </c>
      <c r="S193" s="677">
        <f t="shared" si="76"/>
        <v>1.0995536865293392</v>
      </c>
      <c r="T193" s="680">
        <f t="shared" si="77"/>
        <v>0.42881305274429571</v>
      </c>
      <c r="U193" s="681">
        <f t="shared" si="89"/>
        <v>0.98121721982621546</v>
      </c>
      <c r="V193" s="682">
        <f t="shared" si="90"/>
        <v>-0.23703960092462589</v>
      </c>
      <c r="W193" s="683">
        <f t="shared" si="78"/>
        <v>-4.0191732625341645</v>
      </c>
      <c r="X193" s="684">
        <f t="shared" si="79"/>
        <v>-130.25034332925475</v>
      </c>
      <c r="Y193" s="687">
        <f t="shared" si="80"/>
        <v>49.749656670745253</v>
      </c>
      <c r="AA193" s="170">
        <f t="shared" si="81"/>
        <v>10902.5</v>
      </c>
      <c r="AB193" s="170">
        <f t="shared" si="82"/>
        <v>118864506.25</v>
      </c>
      <c r="AD193" s="686">
        <f t="shared" si="83"/>
        <v>37.785737878732398</v>
      </c>
      <c r="AE193" s="687">
        <f t="shared" si="84"/>
        <v>-25.550313553906701</v>
      </c>
      <c r="AG193" s="686">
        <f t="shared" si="85"/>
        <v>13.616544981624539</v>
      </c>
      <c r="AH193" s="687">
        <f t="shared" si="86"/>
        <v>-77.537292323417347</v>
      </c>
      <c r="AJ193" s="170">
        <f t="shared" si="87"/>
        <v>0</v>
      </c>
      <c r="AK193" s="170">
        <f t="shared" si="99"/>
        <v>0</v>
      </c>
      <c r="AM193" s="170" t="str">
        <f t="shared" si="91"/>
        <v>0.057830585668911+0.335136979008604i</v>
      </c>
      <c r="AN193" s="170" t="str">
        <f t="shared" si="92"/>
        <v>0.341750613156316i</v>
      </c>
      <c r="AO193" s="170" t="str">
        <f t="shared" si="93"/>
        <v>0.980647776790712-0.169218674210423i</v>
      </c>
      <c r="AP193" s="170" t="str">
        <f t="shared" si="94"/>
        <v>0.157028235721848-0.0558561631681007i</v>
      </c>
      <c r="AQ193" s="170" t="str">
        <f t="shared" si="95"/>
        <v>0.842971764278152+0.0558561631681007i</v>
      </c>
      <c r="AR193" s="170" t="str">
        <f t="shared" si="96"/>
        <v>0.983851082224823-0.0651909695088306i</v>
      </c>
    </row>
    <row r="194" spans="7:44">
      <c r="G194" s="688">
        <v>10965</v>
      </c>
      <c r="H194" s="676">
        <f t="shared" si="88"/>
        <v>10.965</v>
      </c>
      <c r="I194" s="677">
        <f t="shared" si="66"/>
        <v>135.1695492832747</v>
      </c>
      <c r="J194" s="678">
        <f t="shared" si="67"/>
        <v>1.5633981433464268</v>
      </c>
      <c r="K194" s="678">
        <f t="shared" si="68"/>
        <v>1.0005020577421833</v>
      </c>
      <c r="L194" s="679">
        <f t="shared" si="69"/>
        <v>3.1681154666072638E-2</v>
      </c>
      <c r="M194" s="678">
        <f t="shared" si="70"/>
        <v>1.0017312135951308</v>
      </c>
      <c r="N194" s="679">
        <f t="shared" si="71"/>
        <v>-5.8799994821510417E-2</v>
      </c>
      <c r="O194" s="677">
        <f t="shared" si="72"/>
        <v>124011.22827013192</v>
      </c>
      <c r="P194" s="680">
        <f t="shared" si="73"/>
        <v>1.5707882630089478</v>
      </c>
      <c r="Q194" s="689">
        <f t="shared" si="100"/>
        <v>58.707165511739554</v>
      </c>
      <c r="R194" s="690">
        <f t="shared" si="101"/>
        <v>1.5537618071515678</v>
      </c>
      <c r="S194" s="677">
        <f t="shared" si="76"/>
        <v>1.1006460047888029</v>
      </c>
      <c r="T194" s="680">
        <f t="shared" si="77"/>
        <v>0.43097867310803462</v>
      </c>
      <c r="U194" s="681">
        <f t="shared" si="89"/>
        <v>0.98101139658776659</v>
      </c>
      <c r="V194" s="682">
        <f t="shared" si="90"/>
        <v>-0.23837374708259892</v>
      </c>
      <c r="W194" s="683">
        <f t="shared" si="78"/>
        <v>-4.0790624247630261</v>
      </c>
      <c r="X194" s="684">
        <f t="shared" si="79"/>
        <v>-130.45652329208818</v>
      </c>
      <c r="Y194" s="687">
        <f t="shared" si="80"/>
        <v>49.543476707911822</v>
      </c>
      <c r="AA194" s="170">
        <f t="shared" si="81"/>
        <v>10965</v>
      </c>
      <c r="AB194" s="170">
        <f t="shared" si="82"/>
        <v>120231225</v>
      </c>
      <c r="AD194" s="686">
        <f t="shared" si="83"/>
        <v>37.777098939602297</v>
      </c>
      <c r="AE194" s="687">
        <f t="shared" si="84"/>
        <v>-25.668803119263298</v>
      </c>
      <c r="AG194" s="686">
        <f t="shared" si="85"/>
        <v>13.568939100323094</v>
      </c>
      <c r="AH194" s="687">
        <f t="shared" si="86"/>
        <v>-77.472100832508573</v>
      </c>
      <c r="AJ194" s="170">
        <f t="shared" si="87"/>
        <v>0</v>
      </c>
      <c r="AK194" s="170">
        <f t="shared" si="99"/>
        <v>0</v>
      </c>
      <c r="AM194" s="170" t="str">
        <f t="shared" si="91"/>
        <v>0.05848897022434+0.3369821669032i</v>
      </c>
      <c r="AN194" s="170" t="str">
        <f t="shared" si="92"/>
        <v>0.343709743018483i</v>
      </c>
      <c r="AO194" s="170" t="str">
        <f t="shared" si="93"/>
        <v>0.980426577215412-0.170169660338068i</v>
      </c>
      <c r="AP194" s="170" t="str">
        <f t="shared" si="94"/>
        <v>0.15691850496261-0.0561636944838667i</v>
      </c>
      <c r="AQ194" s="170" t="str">
        <f t="shared" si="95"/>
        <v>0.84308149503739+0.0561636944838667i</v>
      </c>
      <c r="AR194" s="170" t="str">
        <f t="shared" si="96"/>
        <v>0.983676681580371-0.0655297464603153i</v>
      </c>
    </row>
    <row r="195" spans="7:44">
      <c r="G195" s="688">
        <v>11028.75</v>
      </c>
      <c r="H195" s="676">
        <f t="shared" si="88"/>
        <v>11.02875</v>
      </c>
      <c r="I195" s="677">
        <f t="shared" si="66"/>
        <v>135.95537586785602</v>
      </c>
      <c r="J195" s="678">
        <f t="shared" si="67"/>
        <v>1.5634409058657157</v>
      </c>
      <c r="K195" s="678">
        <f t="shared" si="68"/>
        <v>1.0005079111073683</v>
      </c>
      <c r="L195" s="679">
        <f t="shared" si="69"/>
        <v>3.1865223125687618E-2</v>
      </c>
      <c r="M195" s="678">
        <f t="shared" si="70"/>
        <v>1.0017513848558057</v>
      </c>
      <c r="N195" s="679">
        <f t="shared" si="71"/>
        <v>-5.9141060965493375E-2</v>
      </c>
      <c r="O195" s="677">
        <f t="shared" si="72"/>
        <v>124732.22378328361</v>
      </c>
      <c r="P195" s="680">
        <f t="shared" si="73"/>
        <v>1.5707883096204274</v>
      </c>
      <c r="Q195" s="689">
        <f t="shared" si="100"/>
        <v>59.048387494484025</v>
      </c>
      <c r="R195" s="690">
        <f t="shared" si="101"/>
        <v>1.5538602537008006</v>
      </c>
      <c r="S195" s="677">
        <f t="shared" si="76"/>
        <v>1.1017654765714349</v>
      </c>
      <c r="T195" s="680">
        <f t="shared" si="77"/>
        <v>0.43318317151725977</v>
      </c>
      <c r="U195" s="681">
        <f t="shared" si="89"/>
        <v>0.98080037187716695</v>
      </c>
      <c r="V195" s="682">
        <f t="shared" si="90"/>
        <v>-0.23973415256133232</v>
      </c>
      <c r="W195" s="683">
        <f t="shared" si="78"/>
        <v>-4.1399002006994374</v>
      </c>
      <c r="X195" s="684">
        <f t="shared" si="79"/>
        <v>-130.6665847549246</v>
      </c>
      <c r="Y195" s="687">
        <f t="shared" si="80"/>
        <v>49.3334152450754</v>
      </c>
      <c r="AA195" s="170">
        <f t="shared" si="81"/>
        <v>11028.75</v>
      </c>
      <c r="AB195" s="170">
        <f t="shared" si="82"/>
        <v>121633326.5625</v>
      </c>
      <c r="AD195" s="686">
        <f t="shared" si="83"/>
        <v>37.768254448201901</v>
      </c>
      <c r="AE195" s="687">
        <f t="shared" si="84"/>
        <v>-25.789473673055461</v>
      </c>
      <c r="AG195" s="686">
        <f t="shared" si="85"/>
        <v>13.520683049672018</v>
      </c>
      <c r="AH195" s="687">
        <f t="shared" si="86"/>
        <v>-77.405600756658885</v>
      </c>
      <c r="AJ195" s="170">
        <f t="shared" si="87"/>
        <v>0</v>
      </c>
      <c r="AK195" s="170">
        <f t="shared" si="99"/>
        <v>0</v>
      </c>
      <c r="AM195" s="170" t="str">
        <f t="shared" si="91"/>
        <v>0.059164245283987+0.338862926045253i</v>
      </c>
      <c r="AN195" s="170" t="str">
        <f t="shared" si="92"/>
        <v>0.345708055477893i</v>
      </c>
      <c r="AO195" s="170" t="str">
        <f t="shared" si="93"/>
        <v>0.980199682002846-0.171139330850132i</v>
      </c>
      <c r="AP195" s="170" t="str">
        <f t="shared" si="94"/>
        <v>0.156805959119336-0.0564771543408755i</v>
      </c>
      <c r="AQ195" s="170" t="str">
        <f t="shared" si="95"/>
        <v>0.843194040880664+0.0564771543408755i</v>
      </c>
      <c r="AR195" s="170" t="str">
        <f t="shared" si="96"/>
        <v>0.983497918126304-0.065874710947833i</v>
      </c>
    </row>
    <row r="196" spans="7:44">
      <c r="G196" s="688">
        <v>11092.5</v>
      </c>
      <c r="H196" s="676">
        <f t="shared" si="88"/>
        <v>11.092499999999999</v>
      </c>
      <c r="I196" s="677">
        <f t="shared" si="66"/>
        <v>136.74120269819238</v>
      </c>
      <c r="J196" s="678">
        <f t="shared" si="67"/>
        <v>1.563483176888234</v>
      </c>
      <c r="K196" s="678">
        <f t="shared" si="68"/>
        <v>1.0005137983705625</v>
      </c>
      <c r="L196" s="679">
        <f t="shared" si="69"/>
        <v>3.2049289425332979E-2</v>
      </c>
      <c r="M196" s="678">
        <f t="shared" si="70"/>
        <v>1.0017716726416264</v>
      </c>
      <c r="N196" s="679">
        <f t="shared" si="71"/>
        <v>-5.9482113334669254E-2</v>
      </c>
      <c r="O196" s="677">
        <f t="shared" si="72"/>
        <v>125453.21929643556</v>
      </c>
      <c r="P196" s="680">
        <f t="shared" si="73"/>
        <v>1.5707883556961426</v>
      </c>
      <c r="Q196" s="689">
        <f t="shared" si="100"/>
        <v>59.38961004293305</v>
      </c>
      <c r="R196" s="690">
        <f t="shared" si="101"/>
        <v>1.5539575690031822</v>
      </c>
      <c r="S196" s="677">
        <f t="shared" si="76"/>
        <v>1.1028902918436012</v>
      </c>
      <c r="T196" s="680">
        <f t="shared" si="77"/>
        <v>0.43538318395424552</v>
      </c>
      <c r="U196" s="681">
        <f t="shared" si="89"/>
        <v>0.98058825350658463</v>
      </c>
      <c r="V196" s="682">
        <f t="shared" si="90"/>
        <v>-0.24109412814103295</v>
      </c>
      <c r="W196" s="683">
        <f t="shared" si="78"/>
        <v>-4.2004894572737328</v>
      </c>
      <c r="X196" s="684">
        <f t="shared" si="79"/>
        <v>-130.8764005178856</v>
      </c>
      <c r="Y196" s="687">
        <f t="shared" si="80"/>
        <v>49.1235994821144</v>
      </c>
      <c r="AA196" s="170">
        <f t="shared" si="81"/>
        <v>11092.5</v>
      </c>
      <c r="AB196" s="170">
        <f t="shared" si="82"/>
        <v>123043556.25</v>
      </c>
      <c r="AD196" s="686">
        <f t="shared" si="83"/>
        <v>37.7593770906619</v>
      </c>
      <c r="AE196" s="687">
        <f t="shared" si="84"/>
        <v>-25.909951984544225</v>
      </c>
      <c r="AG196" s="686">
        <f t="shared" si="85"/>
        <v>13.472728563606115</v>
      </c>
      <c r="AH196" s="687">
        <f t="shared" si="86"/>
        <v>-77.339096486037633</v>
      </c>
      <c r="AJ196" s="170">
        <f t="shared" si="87"/>
        <v>0</v>
      </c>
      <c r="AK196" s="170">
        <f t="shared" si="99"/>
        <v>0</v>
      </c>
      <c r="AM196" s="170" t="str">
        <f t="shared" si="91"/>
        <v>0.059843277337288+0.340742332022465i</v>
      </c>
      <c r="AN196" s="170" t="str">
        <f t="shared" si="92"/>
        <v>0.347706367937302i</v>
      </c>
      <c r="AO196" s="170" t="str">
        <f t="shared" si="93"/>
        <v>0.979971503092826-0.172108660799905i</v>
      </c>
      <c r="AP196" s="170" t="str">
        <f t="shared" si="94"/>
        <v>0.156692787110452-0.0567903886704108i</v>
      </c>
      <c r="AQ196" s="170" t="str">
        <f t="shared" si="95"/>
        <v>0.843307212889548+0.0567903886704108i</v>
      </c>
      <c r="AR196" s="170" t="str">
        <f t="shared" si="96"/>
        <v>0.983318273686995-0.0662190789973901i</v>
      </c>
    </row>
    <row r="197" spans="7:44">
      <c r="G197" s="688">
        <v>11156.25</v>
      </c>
      <c r="H197" s="676">
        <f t="shared" si="88"/>
        <v>11.15625</v>
      </c>
      <c r="I197" s="677">
        <f t="shared" si="66"/>
        <v>137.52702977007107</v>
      </c>
      <c r="J197" s="678">
        <f t="shared" si="67"/>
        <v>1.5635249648390419</v>
      </c>
      <c r="K197" s="678">
        <f t="shared" si="68"/>
        <v>1.0005197195311675</v>
      </c>
      <c r="L197" s="679">
        <f t="shared" si="69"/>
        <v>3.2233353552574479E-2</v>
      </c>
      <c r="M197" s="678">
        <f t="shared" si="70"/>
        <v>1.0017920769455133</v>
      </c>
      <c r="N197" s="679">
        <f t="shared" si="71"/>
        <v>-5.9823151850537187E-2</v>
      </c>
      <c r="O197" s="677">
        <f t="shared" si="72"/>
        <v>126174.21480958779</v>
      </c>
      <c r="P197" s="680">
        <f t="shared" si="73"/>
        <v>1.5707884012452784</v>
      </c>
      <c r="Q197" s="689">
        <f t="shared" si="100"/>
        <v>59.730833147391593</v>
      </c>
      <c r="R197" s="690">
        <f t="shared" si="101"/>
        <v>1.5540537724442056</v>
      </c>
      <c r="S197" s="677">
        <f t="shared" si="76"/>
        <v>1.1040204342728912</v>
      </c>
      <c r="T197" s="680">
        <f t="shared" si="77"/>
        <v>0.43757870286664291</v>
      </c>
      <c r="U197" s="681">
        <f t="shared" si="89"/>
        <v>0.98037504358828487</v>
      </c>
      <c r="V197" s="682">
        <f t="shared" si="90"/>
        <v>-0.24245367171126828</v>
      </c>
      <c r="W197" s="683">
        <f t="shared" si="78"/>
        <v>-4.2608332743995634</v>
      </c>
      <c r="X197" s="684">
        <f t="shared" si="79"/>
        <v>-131.08596939608893</v>
      </c>
      <c r="Y197" s="687">
        <f t="shared" si="80"/>
        <v>48.914030603911073</v>
      </c>
      <c r="AA197" s="170">
        <f t="shared" si="81"/>
        <v>11156.25</v>
      </c>
      <c r="AB197" s="170">
        <f t="shared" si="82"/>
        <v>124461914.0625</v>
      </c>
      <c r="AD197" s="686">
        <f t="shared" si="83"/>
        <v>37.750467100221734</v>
      </c>
      <c r="AE197" s="687">
        <f t="shared" si="84"/>
        <v>-26.030236510831173</v>
      </c>
      <c r="AG197" s="686">
        <f t="shared" si="85"/>
        <v>13.425072304466221</v>
      </c>
      <c r="AH197" s="687">
        <f t="shared" si="86"/>
        <v>-77.272588620498752</v>
      </c>
      <c r="AJ197" s="170">
        <f t="shared" si="87"/>
        <v>0</v>
      </c>
      <c r="AK197" s="170">
        <f t="shared" si="99"/>
        <v>0</v>
      </c>
      <c r="AM197" s="170" t="str">
        <f t="shared" si="91"/>
        <v>0.060526063672697+0.342620377329898i</v>
      </c>
      <c r="AN197" s="170" t="str">
        <f t="shared" si="92"/>
        <v>0.349704680396712i</v>
      </c>
      <c r="AO197" s="170" t="str">
        <f t="shared" si="93"/>
        <v>0.979742041030799-0.173077648271779i</v>
      </c>
      <c r="AP197" s="170" t="str">
        <f t="shared" si="94"/>
        <v>0.156578989387884-0.0571033962216497i</v>
      </c>
      <c r="AQ197" s="170" t="str">
        <f t="shared" si="95"/>
        <v>0.843421010612116+0.0571033962216497i</v>
      </c>
      <c r="AR197" s="170" t="str">
        <f t="shared" si="96"/>
        <v>0.98313775076069-0.066562847991426i</v>
      </c>
    </row>
    <row r="198" spans="7:44">
      <c r="G198" s="688">
        <v>11220</v>
      </c>
      <c r="H198" s="676">
        <f t="shared" si="88"/>
        <v>11.22</v>
      </c>
      <c r="I198" s="677">
        <f t="shared" si="66"/>
        <v>138.31285707937508</v>
      </c>
      <c r="J198" s="678">
        <f t="shared" si="67"/>
        <v>1.563566277951737</v>
      </c>
      <c r="K198" s="678">
        <f t="shared" si="68"/>
        <v>1.0005256745885813</v>
      </c>
      <c r="L198" s="679">
        <f t="shared" si="69"/>
        <v>3.2417415494978771E-2</v>
      </c>
      <c r="M198" s="678">
        <f t="shared" si="70"/>
        <v>1.0018125977603469</v>
      </c>
      <c r="N198" s="679">
        <f t="shared" si="71"/>
        <v>-6.0164176434615566E-2</v>
      </c>
      <c r="O198" s="677">
        <f t="shared" si="72"/>
        <v>126895.21032274028</v>
      </c>
      <c r="P198" s="680">
        <f t="shared" si="73"/>
        <v>1.5707884462768102</v>
      </c>
      <c r="Q198" s="689">
        <f t="shared" si="100"/>
        <v>60.07205679838485</v>
      </c>
      <c r="R198" s="690">
        <f t="shared" si="101"/>
        <v>1.5541488829689898</v>
      </c>
      <c r="S198" s="677">
        <f t="shared" si="76"/>
        <v>1.1051558875165068</v>
      </c>
      <c r="T198" s="680">
        <f t="shared" si="77"/>
        <v>0.4397697209062027</v>
      </c>
      <c r="U198" s="681">
        <f t="shared" si="89"/>
        <v>0.98016074424298183</v>
      </c>
      <c r="V198" s="682">
        <f t="shared" si="90"/>
        <v>-0.24381278116760963</v>
      </c>
      <c r="W198" s="683">
        <f t="shared" si="78"/>
        <v>-4.3209346752517632</v>
      </c>
      <c r="X198" s="684">
        <f t="shared" si="79"/>
        <v>-131.29529023094105</v>
      </c>
      <c r="Y198" s="687">
        <f t="shared" si="80"/>
        <v>48.704709769058951</v>
      </c>
      <c r="AA198" s="170">
        <f t="shared" si="81"/>
        <v>11220</v>
      </c>
      <c r="AB198" s="170">
        <f t="shared" si="82"/>
        <v>125888400</v>
      </c>
      <c r="AD198" s="686">
        <f t="shared" si="83"/>
        <v>37.741524709976332</v>
      </c>
      <c r="AE198" s="687">
        <f t="shared" si="84"/>
        <v>-26.15032574593149</v>
      </c>
      <c r="AG198" s="686">
        <f t="shared" si="85"/>
        <v>13.377710991370027</v>
      </c>
      <c r="AH198" s="687">
        <f t="shared" si="86"/>
        <v>-77.206077748583198</v>
      </c>
      <c r="AJ198" s="170">
        <f t="shared" si="87"/>
        <v>0</v>
      </c>
      <c r="AK198" s="170">
        <f t="shared" si="99"/>
        <v>0</v>
      </c>
      <c r="AM198" s="170" t="str">
        <f t="shared" si="91"/>
        <v>0.061212601563676+0.344497054468045i</v>
      </c>
      <c r="AN198" s="170" t="str">
        <f t="shared" si="92"/>
        <v>0.351702992856122i</v>
      </c>
      <c r="AO198" s="170" t="str">
        <f t="shared" si="93"/>
        <v>0.979511296365269-0.174046291351059i</v>
      </c>
      <c r="AP198" s="170" t="str">
        <f t="shared" si="94"/>
        <v>0.156464566406054-0.0574161757446742i</v>
      </c>
      <c r="AQ198" s="170" t="str">
        <f t="shared" si="95"/>
        <v>0.843535433593946+0.0574161757446742i</v>
      </c>
      <c r="AR198" s="170" t="str">
        <f t="shared" si="96"/>
        <v>0.982956351854737-0.0669060153252588i</v>
      </c>
    </row>
    <row r="199" spans="7:44">
      <c r="G199" s="688">
        <v>11285.5</v>
      </c>
      <c r="H199" s="676">
        <f t="shared" si="88"/>
        <v>11.285500000000001</v>
      </c>
      <c r="I199" s="677">
        <f t="shared" si="66"/>
        <v>139.1202563618007</v>
      </c>
      <c r="J199" s="678">
        <f t="shared" si="67"/>
        <v>1.5636082390380317</v>
      </c>
      <c r="K199" s="678">
        <f t="shared" si="68"/>
        <v>1.0005318284228548</v>
      </c>
      <c r="L199" s="679">
        <f t="shared" si="69"/>
        <v>3.2606527829463078E-2</v>
      </c>
      <c r="M199" s="678">
        <f t="shared" si="70"/>
        <v>1.0018338032364955</v>
      </c>
      <c r="N199" s="679">
        <f t="shared" si="71"/>
        <v>-6.0514547884693792E-2</v>
      </c>
      <c r="O199" s="677">
        <f t="shared" si="72"/>
        <v>127635.9978695874</v>
      </c>
      <c r="P199" s="680">
        <f t="shared" si="73"/>
        <v>1.5707884920146098</v>
      </c>
      <c r="Q199" s="689">
        <f t="shared" si="100"/>
        <v>60.422647932643578</v>
      </c>
      <c r="R199" s="690">
        <f t="shared" si="101"/>
        <v>1.5542454855005554</v>
      </c>
      <c r="S199" s="677">
        <f t="shared" si="76"/>
        <v>1.1063280243730151</v>
      </c>
      <c r="T199" s="680">
        <f t="shared" si="77"/>
        <v>0.44201618913142715</v>
      </c>
      <c r="U199" s="681">
        <f t="shared" si="89"/>
        <v>0.97993942971224157</v>
      </c>
      <c r="V199" s="682">
        <f t="shared" si="90"/>
        <v>-0.24520874515270616</v>
      </c>
      <c r="W199" s="683">
        <f t="shared" si="78"/>
        <v>-4.3824365479778002</v>
      </c>
      <c r="X199" s="684">
        <f t="shared" si="79"/>
        <v>-131.51009758711427</v>
      </c>
      <c r="Y199" s="687">
        <f t="shared" si="80"/>
        <v>48.489902412885726</v>
      </c>
      <c r="AA199" s="170">
        <f t="shared" si="81"/>
        <v>11285.5</v>
      </c>
      <c r="AB199" s="170">
        <f t="shared" si="82"/>
        <v>127362510.25</v>
      </c>
      <c r="AD199" s="686">
        <f t="shared" si="83"/>
        <v>37.732303341057666</v>
      </c>
      <c r="AE199" s="687">
        <f t="shared" si="84"/>
        <v>-26.273506597421747</v>
      </c>
      <c r="AG199" s="686">
        <f t="shared" si="85"/>
        <v>13.329353376041571</v>
      </c>
      <c r="AH199" s="687">
        <f t="shared" si="86"/>
        <v>-77.137738563686824</v>
      </c>
      <c r="AJ199" s="170">
        <f t="shared" si="87"/>
        <v>0</v>
      </c>
      <c r="AK199" s="170">
        <f t="shared" si="99"/>
        <v>0</v>
      </c>
      <c r="AM199" s="170" t="str">
        <f t="shared" si="91"/>
        <v>0.061921890156059+0.34642381533552i</v>
      </c>
      <c r="AN199" s="170" t="str">
        <f t="shared" si="92"/>
        <v>0.353756160951672i</v>
      </c>
      <c r="AO199" s="170" t="str">
        <f t="shared" si="93"/>
        <v>0.979272882212351-0.17504116391776i</v>
      </c>
      <c r="AP199" s="170" t="str">
        <f t="shared" si="94"/>
        <v>0.156346351640657-0.05773730255592i</v>
      </c>
      <c r="AQ199" s="170" t="str">
        <f t="shared" si="95"/>
        <v>0.843653648359343+0.05773730255592i</v>
      </c>
      <c r="AR199" s="170" t="str">
        <f t="shared" si="96"/>
        <v>0.982769063636509-0.0672579735536337i</v>
      </c>
    </row>
    <row r="200" spans="7:44">
      <c r="G200" s="688">
        <v>11351</v>
      </c>
      <c r="H200" s="676">
        <f t="shared" si="88"/>
        <v>11.351000000000001</v>
      </c>
      <c r="I200" s="677">
        <f t="shared" si="66"/>
        <v>139.92765588635308</v>
      </c>
      <c r="J200" s="678">
        <f t="shared" si="67"/>
        <v>1.5636497158832969</v>
      </c>
      <c r="K200" s="678">
        <f t="shared" si="68"/>
        <v>1.0005380180391825</v>
      </c>
      <c r="L200" s="679">
        <f t="shared" si="69"/>
        <v>3.279563783090382E-2</v>
      </c>
      <c r="M200" s="678">
        <f t="shared" si="70"/>
        <v>1.0018551316927002</v>
      </c>
      <c r="N200" s="679">
        <f t="shared" si="71"/>
        <v>-6.0864904459691088E-2</v>
      </c>
      <c r="O200" s="677">
        <f t="shared" si="72"/>
        <v>128376.78541643481</v>
      </c>
      <c r="P200" s="680">
        <f t="shared" si="73"/>
        <v>1.5707885372245567</v>
      </c>
      <c r="Q200" s="689">
        <f t="shared" si="100"/>
        <v>60.773239624263695</v>
      </c>
      <c r="R200" s="690">
        <f t="shared" si="101"/>
        <v>1.5543409734620126</v>
      </c>
      <c r="S200" s="677">
        <f t="shared" si="76"/>
        <v>1.1075057326115973</v>
      </c>
      <c r="T200" s="680">
        <f t="shared" si="77"/>
        <v>0.44425789091523576</v>
      </c>
      <c r="U200" s="681">
        <f t="shared" si="89"/>
        <v>0.97971696968795841</v>
      </c>
      <c r="V200" s="682">
        <f t="shared" si="90"/>
        <v>-0.24660424637856837</v>
      </c>
      <c r="W200" s="683">
        <f t="shared" si="78"/>
        <v>-4.4436888046619245</v>
      </c>
      <c r="X200" s="684">
        <f t="shared" si="79"/>
        <v>-131.72464069850614</v>
      </c>
      <c r="Y200" s="687">
        <f t="shared" si="80"/>
        <v>48.275359301493864</v>
      </c>
      <c r="AA200" s="170">
        <f t="shared" si="81"/>
        <v>11351</v>
      </c>
      <c r="AB200" s="170">
        <f t="shared" si="82"/>
        <v>128845201</v>
      </c>
      <c r="AD200" s="686">
        <f t="shared" si="83"/>
        <v>37.723048267442174</v>
      </c>
      <c r="AE200" s="687">
        <f t="shared" si="84"/>
        <v>-26.396478181854786</v>
      </c>
      <c r="AG200" s="686">
        <f t="shared" si="85"/>
        <v>13.281300278739597</v>
      </c>
      <c r="AH200" s="687">
        <f t="shared" si="86"/>
        <v>-77.069397429368451</v>
      </c>
      <c r="AJ200" s="170">
        <f t="shared" si="87"/>
        <v>0</v>
      </c>
      <c r="AK200" s="170">
        <f t="shared" si="99"/>
        <v>0</v>
      </c>
      <c r="AM200" s="170" t="str">
        <f t="shared" si="91"/>
        <v>0.062635133214601+0.348349115854182i</v>
      </c>
      <c r="AN200" s="170" t="str">
        <f t="shared" si="92"/>
        <v>0.355809329047223i</v>
      </c>
      <c r="AO200" s="170" t="str">
        <f t="shared" si="93"/>
        <v>0.979033115255809-0.176035668829493i</v>
      </c>
      <c r="AP200" s="170" t="str">
        <f t="shared" si="94"/>
        <v>0.156227477797566-0.058058185975697i</v>
      </c>
      <c r="AQ200" s="170" t="str">
        <f t="shared" si="95"/>
        <v>0.843772522202434+0.058058185975697i</v>
      </c>
      <c r="AR200" s="170" t="str">
        <f t="shared" si="96"/>
        <v>0.982580856081177-0.0676092911032651i</v>
      </c>
    </row>
    <row r="201" spans="7:44">
      <c r="G201" s="688">
        <v>11416.5</v>
      </c>
      <c r="H201" s="676">
        <f t="shared" si="88"/>
        <v>11.416499999999999</v>
      </c>
      <c r="I201" s="677">
        <f t="shared" si="66"/>
        <v>140.73505564886494</v>
      </c>
      <c r="J201" s="678">
        <f t="shared" si="67"/>
        <v>1.5636907168216896</v>
      </c>
      <c r="K201" s="678">
        <f t="shared" si="68"/>
        <v>1.0005442434369003</v>
      </c>
      <c r="L201" s="679">
        <f t="shared" si="69"/>
        <v>3.2984745485818291E-2</v>
      </c>
      <c r="M201" s="678">
        <f t="shared" si="70"/>
        <v>1.0018765831211067</v>
      </c>
      <c r="N201" s="679">
        <f t="shared" si="71"/>
        <v>-6.1215246074547869E-2</v>
      </c>
      <c r="O201" s="677">
        <f t="shared" si="72"/>
        <v>129117.57296328245</v>
      </c>
      <c r="P201" s="680">
        <f t="shared" si="73"/>
        <v>1.5707885819157368</v>
      </c>
      <c r="Q201" s="689">
        <f t="shared" si="100"/>
        <v>61.123831863654537</v>
      </c>
      <c r="R201" s="690">
        <f t="shared" si="101"/>
        <v>1.5544353660303585</v>
      </c>
      <c r="S201" s="677">
        <f t="shared" si="76"/>
        <v>1.1086889944776011</v>
      </c>
      <c r="T201" s="680">
        <f t="shared" si="77"/>
        <v>0.44649481895297261</v>
      </c>
      <c r="U201" s="681">
        <f t="shared" si="89"/>
        <v>0.97949336649782281</v>
      </c>
      <c r="V201" s="682">
        <f t="shared" si="90"/>
        <v>-0.24799928258261175</v>
      </c>
      <c r="W201" s="683">
        <f t="shared" si="78"/>
        <v>-4.5046945457459868</v>
      </c>
      <c r="X201" s="684">
        <f t="shared" si="79"/>
        <v>-131.93891839212469</v>
      </c>
      <c r="Y201" s="687">
        <f t="shared" si="80"/>
        <v>48.061081607875309</v>
      </c>
      <c r="AA201" s="170">
        <f t="shared" si="81"/>
        <v>11416.5</v>
      </c>
      <c r="AB201" s="170">
        <f t="shared" si="82"/>
        <v>130336472.25</v>
      </c>
      <c r="AD201" s="686">
        <f t="shared" si="83"/>
        <v>37.713759741346365</v>
      </c>
      <c r="AE201" s="687">
        <f t="shared" si="84"/>
        <v>-26.519238982464238</v>
      </c>
      <c r="AG201" s="686">
        <f t="shared" si="85"/>
        <v>13.233548319762498</v>
      </c>
      <c r="AH201" s="687">
        <f t="shared" si="86"/>
        <v>-77.001054948675559</v>
      </c>
      <c r="AJ201" s="170">
        <f t="shared" si="87"/>
        <v>0</v>
      </c>
      <c r="AK201" s="170">
        <f t="shared" si="99"/>
        <v>0</v>
      </c>
      <c r="AM201" s="170" t="str">
        <f t="shared" si="91"/>
        <v>0.063352327732627+0.35027294790793i</v>
      </c>
      <c r="AN201" s="170" t="str">
        <f t="shared" si="92"/>
        <v>0.357862497142773i</v>
      </c>
      <c r="AO201" s="170" t="str">
        <f t="shared" si="93"/>
        <v>0.978791996100628-0.17702980401255i</v>
      </c>
      <c r="AP201" s="170" t="str">
        <f t="shared" si="94"/>
        <v>0.156107945377895-0.0583788246513217i</v>
      </c>
      <c r="AQ201" s="170" t="str">
        <f t="shared" si="95"/>
        <v>0.843892054622105+0.0583788246513217i</v>
      </c>
      <c r="AR201" s="170" t="str">
        <f t="shared" si="96"/>
        <v>0.982391731937804-0.0679599651917413i</v>
      </c>
    </row>
    <row r="202" spans="7:44">
      <c r="G202" s="688">
        <v>11482</v>
      </c>
      <c r="H202" s="676">
        <f t="shared" si="88"/>
        <v>11.481999999999999</v>
      </c>
      <c r="I202" s="677">
        <f t="shared" si="66"/>
        <v>141.5424556452642</v>
      </c>
      <c r="J202" s="678">
        <f t="shared" si="67"/>
        <v>1.5637312499972109</v>
      </c>
      <c r="K202" s="678">
        <f t="shared" si="68"/>
        <v>1.0005505046153402</v>
      </c>
      <c r="L202" s="679">
        <f t="shared" si="69"/>
        <v>3.3173850780724788E-2</v>
      </c>
      <c r="M202" s="678">
        <f t="shared" si="70"/>
        <v>1.0018981575138159</v>
      </c>
      <c r="N202" s="679">
        <f t="shared" si="71"/>
        <v>-6.1565572644226498E-2</v>
      </c>
      <c r="O202" s="677">
        <f t="shared" si="72"/>
        <v>129858.36051013037</v>
      </c>
      <c r="P202" s="680">
        <f t="shared" si="73"/>
        <v>1.5707886260970279</v>
      </c>
      <c r="Q202" s="689">
        <f t="shared" si="100"/>
        <v>61.474424641444188</v>
      </c>
      <c r="R202" s="690">
        <f t="shared" si="101"/>
        <v>1.5545286819451976</v>
      </c>
      <c r="S202" s="677">
        <f t="shared" si="76"/>
        <v>1.1098777922085423</v>
      </c>
      <c r="T202" s="680">
        <f t="shared" si="77"/>
        <v>0.44872696616215441</v>
      </c>
      <c r="U202" s="681">
        <f t="shared" si="89"/>
        <v>0.9792686224786622</v>
      </c>
      <c r="V202" s="682">
        <f t="shared" si="90"/>
        <v>-0.24939385150904206</v>
      </c>
      <c r="W202" s="683">
        <f t="shared" si="78"/>
        <v>-4.5654568141029701</v>
      </c>
      <c r="X202" s="684">
        <f t="shared" si="79"/>
        <v>-132.15292952225144</v>
      </c>
      <c r="Y202" s="687">
        <f t="shared" si="80"/>
        <v>47.847070477748559</v>
      </c>
      <c r="AA202" s="170">
        <f t="shared" si="81"/>
        <v>11482</v>
      </c>
      <c r="AB202" s="170">
        <f t="shared" si="82"/>
        <v>131836324</v>
      </c>
      <c r="AD202" s="686">
        <f t="shared" si="83"/>
        <v>37.704438014739416</v>
      </c>
      <c r="AE202" s="687">
        <f t="shared" si="84"/>
        <v>-26.641787520262135</v>
      </c>
      <c r="AG202" s="686">
        <f t="shared" si="85"/>
        <v>13.18609417710903</v>
      </c>
      <c r="AH202" s="687">
        <f t="shared" si="86"/>
        <v>-76.932711713372726</v>
      </c>
      <c r="AJ202" s="170">
        <f t="shared" si="87"/>
        <v>0</v>
      </c>
      <c r="AK202" s="170">
        <f t="shared" si="99"/>
        <v>0</v>
      </c>
      <c r="AM202" s="170" t="str">
        <f t="shared" si="91"/>
        <v>0.064073470686806+0.352195303386856i</v>
      </c>
      <c r="AN202" s="170" t="str">
        <f t="shared" si="92"/>
        <v>0.359915665238324i</v>
      </c>
      <c r="AO202" s="170" t="str">
        <f t="shared" si="93"/>
        <v>0.97854952535518-0.178023567394264i</v>
      </c>
      <c r="AP202" s="170" t="str">
        <f t="shared" si="94"/>
        <v>0.155987754885532-0.0586992172311427i</v>
      </c>
      <c r="AQ202" s="170" t="str">
        <f t="shared" si="95"/>
        <v>0.844012245114468+0.0586992172311427i</v>
      </c>
      <c r="AR202" s="170" t="str">
        <f t="shared" si="96"/>
        <v>0.982201693965236-0.0683099930511582i</v>
      </c>
    </row>
    <row r="203" spans="7:44">
      <c r="G203" s="688">
        <v>11548.75</v>
      </c>
      <c r="H203" s="676">
        <f t="shared" si="88"/>
        <v>11.54875</v>
      </c>
      <c r="I203" s="677">
        <f t="shared" si="66"/>
        <v>142.36526427504643</v>
      </c>
      <c r="J203" s="678">
        <f t="shared" si="67"/>
        <v>1.5637720837081337</v>
      </c>
      <c r="K203" s="678">
        <f t="shared" si="68"/>
        <v>1.0005569220927182</v>
      </c>
      <c r="L203" s="679">
        <f t="shared" si="69"/>
        <v>3.336656251335262E-2</v>
      </c>
      <c r="M203" s="678">
        <f t="shared" si="70"/>
        <v>1.0019202701300176</v>
      </c>
      <c r="N203" s="679">
        <f t="shared" si="71"/>
        <v>-6.1922569268842473E-2</v>
      </c>
      <c r="O203" s="677">
        <f t="shared" si="72"/>
        <v>130613.28522390311</v>
      </c>
      <c r="P203" s="680">
        <f t="shared" si="73"/>
        <v>1.570788670605878</v>
      </c>
      <c r="Q203" s="689">
        <f t="shared" si="100"/>
        <v>61.831708665526975</v>
      </c>
      <c r="R203" s="690">
        <f t="shared" si="101"/>
        <v>1.5546226899883382</v>
      </c>
      <c r="S203" s="677">
        <f t="shared" si="76"/>
        <v>1.1110949538638977</v>
      </c>
      <c r="T203" s="680">
        <f t="shared" si="77"/>
        <v>0.45099678594242704</v>
      </c>
      <c r="U203" s="681">
        <f t="shared" si="89"/>
        <v>0.97903841818632387</v>
      </c>
      <c r="V203" s="682">
        <f t="shared" si="90"/>
        <v>-0.25081455127885061</v>
      </c>
      <c r="W203" s="683">
        <f t="shared" si="78"/>
        <v>-4.6271312729833038</v>
      </c>
      <c r="X203" s="684">
        <f t="shared" si="79"/>
        <v>-132.37074943323393</v>
      </c>
      <c r="Y203" s="687">
        <f t="shared" si="80"/>
        <v>47.629250566766075</v>
      </c>
      <c r="AA203" s="170">
        <f t="shared" si="81"/>
        <v>11548.75</v>
      </c>
      <c r="AB203" s="170">
        <f t="shared" si="82"/>
        <v>133373626.5625</v>
      </c>
      <c r="AD203" s="686">
        <f t="shared" si="83"/>
        <v>37.69490449623131</v>
      </c>
      <c r="AE203" s="687">
        <f t="shared" si="84"/>
        <v>-26.766454900126529</v>
      </c>
      <c r="AG203" s="686">
        <f t="shared" si="85"/>
        <v>13.138037436088894</v>
      </c>
      <c r="AH203" s="687">
        <f t="shared" si="86"/>
        <v>-76.863064042774312</v>
      </c>
      <c r="AJ203" s="170">
        <f t="shared" si="87"/>
        <v>0</v>
      </c>
      <c r="AK203" s="170">
        <f t="shared" si="99"/>
        <v>0</v>
      </c>
      <c r="AM203" s="170" t="str">
        <f t="shared" si="91"/>
        <v>0.064812434946485+0.354152817536834i</v>
      </c>
      <c r="AN203" s="170" t="str">
        <f t="shared" si="92"/>
        <v>0.362008015931118i</v>
      </c>
      <c r="AO203" s="170" t="str">
        <f t="shared" si="93"/>
        <v>0.978301037411893-0.179035911068934i</v>
      </c>
      <c r="AP203" s="170" t="str">
        <f t="shared" si="94"/>
        <v>0.155864594175586-0.0590254695894723i</v>
      </c>
      <c r="AQ203" s="170" t="str">
        <f t="shared" si="95"/>
        <v>0.844135405824414+0.0590254695894723i</v>
      </c>
      <c r="AR203" s="170" t="str">
        <f t="shared" si="96"/>
        <v>0.982007092025436-0.0686660331352697i</v>
      </c>
    </row>
    <row r="204" spans="7:44">
      <c r="G204" s="688">
        <v>11615.5</v>
      </c>
      <c r="H204" s="676">
        <f t="shared" si="88"/>
        <v>11.615500000000001</v>
      </c>
      <c r="I204" s="677">
        <f t="shared" si="66"/>
        <v>143.18807313947923</v>
      </c>
      <c r="J204" s="678">
        <f t="shared" si="67"/>
        <v>1.5638124481294879</v>
      </c>
      <c r="K204" s="678">
        <f t="shared" si="68"/>
        <v>1.0005633767281132</v>
      </c>
      <c r="L204" s="679">
        <f t="shared" si="69"/>
        <v>3.3559271766769989E-2</v>
      </c>
      <c r="M204" s="678">
        <f t="shared" si="70"/>
        <v>1.0019425104318955</v>
      </c>
      <c r="N204" s="679">
        <f t="shared" si="71"/>
        <v>-6.2279550090313496E-2</v>
      </c>
      <c r="O204" s="677">
        <f t="shared" si="72"/>
        <v>131368.20993767612</v>
      </c>
      <c r="P204" s="680">
        <f t="shared" si="73"/>
        <v>1.5707887146031763</v>
      </c>
      <c r="Q204" s="689">
        <f t="shared" si="100"/>
        <v>62.188993229769515</v>
      </c>
      <c r="R204" s="690">
        <f t="shared" si="101"/>
        <v>1.5547156178532773</v>
      </c>
      <c r="S204" s="677">
        <f t="shared" si="76"/>
        <v>1.1123178274261549</v>
      </c>
      <c r="T204" s="680">
        <f t="shared" si="77"/>
        <v>0.45326162652561669</v>
      </c>
      <c r="U204" s="681">
        <f t="shared" si="89"/>
        <v>0.97880703403518921</v>
      </c>
      <c r="V204" s="682">
        <f t="shared" si="90"/>
        <v>-0.25223476105730763</v>
      </c>
      <c r="W204" s="683">
        <f t="shared" si="78"/>
        <v>-4.6885590813786466</v>
      </c>
      <c r="X204" s="684">
        <f t="shared" si="79"/>
        <v>-132.58829019142689</v>
      </c>
      <c r="Y204" s="687">
        <f t="shared" si="80"/>
        <v>47.411709808573107</v>
      </c>
      <c r="AA204" s="170">
        <f t="shared" si="81"/>
        <v>11615.5</v>
      </c>
      <c r="AB204" s="170">
        <f t="shared" si="82"/>
        <v>134919840.25</v>
      </c>
      <c r="AD204" s="686">
        <f t="shared" si="83"/>
        <v>37.685337025404024</v>
      </c>
      <c r="AE204" s="687">
        <f t="shared" si="84"/>
        <v>-26.890898853354791</v>
      </c>
      <c r="AG204" s="686">
        <f t="shared" si="85"/>
        <v>13.090283198331377</v>
      </c>
      <c r="AH204" s="687">
        <f t="shared" si="86"/>
        <v>-76.793416794895492</v>
      </c>
      <c r="AJ204" s="170">
        <f t="shared" si="87"/>
        <v>0</v>
      </c>
      <c r="AK204" s="170">
        <f t="shared" si="99"/>
        <v>0</v>
      </c>
      <c r="AM204" s="170" t="str">
        <f t="shared" si="91"/>
        <v>0.065555493391696+0.356108781230628i</v>
      </c>
      <c r="AN204" s="170" t="str">
        <f t="shared" si="92"/>
        <v>0.364100366623911i</v>
      </c>
      <c r="AO204" s="170" t="str">
        <f t="shared" si="93"/>
        <v>0.978051147085118-0.180047864273122i</v>
      </c>
      <c r="AP204" s="170" t="str">
        <f t="shared" si="94"/>
        <v>0.155740751101384-0.059351463538438i</v>
      </c>
      <c r="AQ204" s="170" t="str">
        <f t="shared" si="95"/>
        <v>0.844259248898616+0.059351463538438i</v>
      </c>
      <c r="AR204" s="170" t="str">
        <f t="shared" si="96"/>
        <v>0.981811546860265-0.0690213963318892i</v>
      </c>
    </row>
    <row r="205" spans="7:44">
      <c r="G205" s="688">
        <v>11682.25</v>
      </c>
      <c r="H205" s="676">
        <f t="shared" si="88"/>
        <v>11.68225</v>
      </c>
      <c r="I205" s="677">
        <f t="shared" ref="I205:I268" si="102">SQRT(1+(G205/pole1)^2)</f>
        <v>144.01088223454053</v>
      </c>
      <c r="J205" s="678">
        <f t="shared" ref="J205:J268" si="103">ATAN(G205/pole1)</f>
        <v>1.5638523513050271</v>
      </c>
      <c r="K205" s="678">
        <f t="shared" ref="K205:K268" si="104">SQRT(1+(G205/Zero1)^2)</f>
        <v>1.0005698685208066</v>
      </c>
      <c r="L205" s="679">
        <f t="shared" ref="L205:L268" si="105">ATAN(G205/Zero1)</f>
        <v>3.3751978526711794E-2</v>
      </c>
      <c r="M205" s="678">
        <f t="shared" ref="M205:M268" si="106">SQRT(1+(G205/z_RHP)^2)</f>
        <v>1.0019648784109469</v>
      </c>
      <c r="N205" s="679">
        <f t="shared" ref="N205:N268" si="107">-ATAN(G205/z_RHP)</f>
        <v>-6.2636515018711036E-2</v>
      </c>
      <c r="O205" s="677">
        <f t="shared" ref="O205:O268" si="108">SQRT(1+(G205/Pole2)^2)</f>
        <v>132123.13465144936</v>
      </c>
      <c r="P205" s="680">
        <f t="shared" ref="P205:P268" si="109">ATAN(G205/Pole2)</f>
        <v>1.5707887580976911</v>
      </c>
      <c r="Q205" s="689">
        <f t="shared" si="100"/>
        <v>62.546278324915114</v>
      </c>
      <c r="R205" s="690">
        <f t="shared" si="101"/>
        <v>1.5548074840494044</v>
      </c>
      <c r="S205" s="677">
        <f t="shared" ref="S205:S268" si="110">SQRT(1+(G205/pole4)^2)</f>
        <v>1.1135463940772208</v>
      </c>
      <c r="T205" s="680">
        <f t="shared" ref="T205:T268" si="111">ATAN(G205/pole4)</f>
        <v>0.45552148111920243</v>
      </c>
      <c r="U205" s="681">
        <f t="shared" si="89"/>
        <v>0.97857447252738128</v>
      </c>
      <c r="V205" s="682">
        <f t="shared" si="90"/>
        <v>-0.25365447847889783</v>
      </c>
      <c r="W205" s="683">
        <f t="shared" ref="W205:W268" si="112">20*LOG10(((K205*Q205*M205*U205)/(I205*O205*S205))*Adc)</f>
        <v>-4.7497432836519007</v>
      </c>
      <c r="X205" s="684">
        <f t="shared" ref="X205:X268" si="113">((L205+R205+N205+V205)-(J205+P205+T205))*radconv</f>
        <v>-132.80555066864395</v>
      </c>
      <c r="Y205" s="687">
        <f t="shared" ref="Y205:Y268" si="114">IF(X205&gt;0,X205,X205+180)</f>
        <v>47.194449331356054</v>
      </c>
      <c r="AA205" s="170">
        <f t="shared" ref="AA205:AA268" si="115">IF(W205&lt;0,G205,1000000000)</f>
        <v>11682.25</v>
      </c>
      <c r="AB205" s="170">
        <f t="shared" ref="AB205:AB268" si="116">G205^2</f>
        <v>136474965.0625</v>
      </c>
      <c r="AD205" s="686">
        <f t="shared" ref="AD205:AD268" si="117">20*LOG10((Q205/(O205*S205))*Aea)</f>
        <v>37.675735868004473</v>
      </c>
      <c r="AE205" s="687">
        <f t="shared" ref="AE205:AE268" si="118">(R205-(P205+T205))*radconv</f>
        <v>-27.01511793075656</v>
      </c>
      <c r="AG205" s="686">
        <f t="shared" ref="AG205:AG268" si="119">20*LOG10((K205*M205/(I205*U205))*Acs*Am)</f>
        <v>13.042828124614271</v>
      </c>
      <c r="AH205" s="687">
        <f t="shared" ref="AH205:AH268" si="120">(L205+N205-(J205+V205))*radconv</f>
        <v>-76.723770561808223</v>
      </c>
      <c r="AJ205" s="170">
        <f t="shared" ref="AJ205:AJ268" si="121">SUM((W206&lt;0)*(W205&gt;0))*G205</f>
        <v>0</v>
      </c>
      <c r="AK205" s="170">
        <f t="shared" si="99"/>
        <v>0</v>
      </c>
      <c r="AM205" s="170" t="str">
        <f t="shared" si="91"/>
        <v>0.066302642769382+0.35806318590517i</v>
      </c>
      <c r="AN205" s="170" t="str">
        <f t="shared" si="92"/>
        <v>0.366192717316705i</v>
      </c>
      <c r="AO205" s="170" t="str">
        <f t="shared" si="93"/>
        <v>0.977799855029602-0.181059424816577i</v>
      </c>
      <c r="AP205" s="170" t="str">
        <f t="shared" si="94"/>
        <v>0.155616226205103-0.0596771976508617i</v>
      </c>
      <c r="AQ205" s="170" t="str">
        <f t="shared" si="95"/>
        <v>0.844383773794897+0.0596771976508617i</v>
      </c>
      <c r="AR205" s="170" t="str">
        <f t="shared" si="96"/>
        <v>0.981615061420344-0.069376079758342i</v>
      </c>
    </row>
    <row r="206" spans="7:44">
      <c r="G206" s="688">
        <v>11749</v>
      </c>
      <c r="H206" s="676">
        <f t="shared" ref="H206:H269" si="122">G206/1000</f>
        <v>11.749000000000001</v>
      </c>
      <c r="I206" s="677">
        <f t="shared" si="102"/>
        <v>144.83369155629975</v>
      </c>
      <c r="J206" s="678">
        <f t="shared" si="103"/>
        <v>1.5638918010957226</v>
      </c>
      <c r="K206" s="678">
        <f t="shared" si="104"/>
        <v>1.0005763974700748</v>
      </c>
      <c r="L206" s="679">
        <f t="shared" si="105"/>
        <v>3.394468277891402E-2</v>
      </c>
      <c r="M206" s="678">
        <f t="shared" si="106"/>
        <v>1.0019873740586214</v>
      </c>
      <c r="N206" s="679">
        <f t="shared" si="107"/>
        <v>-6.2993463964130747E-2</v>
      </c>
      <c r="O206" s="677">
        <f t="shared" si="108"/>
        <v>132878.05936522287</v>
      </c>
      <c r="P206" s="680">
        <f t="shared" si="109"/>
        <v>1.5707888010979925</v>
      </c>
      <c r="Q206" s="689">
        <f t="shared" si="100"/>
        <v>62.903563941917341</v>
      </c>
      <c r="R206" s="690">
        <f t="shared" si="101"/>
        <v>1.5548983066656572</v>
      </c>
      <c r="S206" s="677">
        <f t="shared" si="110"/>
        <v>1.1147806349945428</v>
      </c>
      <c r="T206" s="680">
        <f t="shared" si="111"/>
        <v>0.4577763431642411</v>
      </c>
      <c r="U206" s="681">
        <f t="shared" ref="U206:U269" si="123">IMABS(IMPRODUCT(AO206, AR206))</f>
        <v>0.97834073617460426</v>
      </c>
      <c r="V206" s="682">
        <f t="shared" ref="V206:V269" si="124">IMARGUMENT(IMPRODUCT(AO206, AR206))</f>
        <v>-0.25507370118553252</v>
      </c>
      <c r="W206" s="683">
        <f t="shared" si="112"/>
        <v>-4.8106868676461358</v>
      </c>
      <c r="X206" s="684">
        <f t="shared" si="113"/>
        <v>-133.02252976411458</v>
      </c>
      <c r="Y206" s="687">
        <f t="shared" si="114"/>
        <v>46.97747023588542</v>
      </c>
      <c r="AA206" s="170">
        <f t="shared" si="115"/>
        <v>11749</v>
      </c>
      <c r="AB206" s="170">
        <f t="shared" si="116"/>
        <v>138039001</v>
      </c>
      <c r="AD206" s="686">
        <f t="shared" si="117"/>
        <v>37.666101289425171</v>
      </c>
      <c r="AE206" s="687">
        <f t="shared" si="118"/>
        <v>-27.139110720603369</v>
      </c>
      <c r="AG206" s="686">
        <f t="shared" si="119"/>
        <v>12.995668932467183</v>
      </c>
      <c r="AH206" s="687">
        <f t="shared" si="120"/>
        <v>-76.654125924687648</v>
      </c>
      <c r="AJ206" s="170">
        <f t="shared" si="121"/>
        <v>0</v>
      </c>
      <c r="AK206" s="170">
        <f t="shared" si="99"/>
        <v>0</v>
      </c>
      <c r="AM206" s="170" t="str">
        <f t="shared" ref="AM206:AM269" si="125">IMSUB(1,IMEXP(COMPLEX(0,-2*Pi*G206*Tsw)))</f>
        <v>0.067053879808575+0.36001602300421i</v>
      </c>
      <c r="AN206" s="170" t="str">
        <f t="shared" ref="AN206:AN269" si="126">COMPLEX(0, 2*Pi*G206*Tsw)</f>
        <v>0.368285068009499i</v>
      </c>
      <c r="AO206" s="170" t="str">
        <f t="shared" ref="AO206:AO269" si="127">IMDIV(AM206, AN206)</f>
        <v>0.977547161903736-0.18207059051019i</v>
      </c>
      <c r="AP206" s="170" t="str">
        <f t="shared" ref="AP206:AP269" si="128">IMDIV(IMEXP(COMPLEX(0,-2*Pi*G206*Tsw)),6)</f>
        <v>0.155491020031904-0.0600026705007017i</v>
      </c>
      <c r="AQ206" s="170" t="str">
        <f t="shared" ref="AQ206:AQ269" si="129">IMSUB(1, AP206)</f>
        <v>0.844508979968096+0.0600026705007017i</v>
      </c>
      <c r="AR206" s="170" t="str">
        <f t="shared" ref="AR206:AR269" si="130">IMDIV(0.833, AQ206)</f>
        <v>0.981417638666455-0.0697300805477577i</v>
      </c>
    </row>
    <row r="207" spans="7:44">
      <c r="G207" s="688">
        <v>11817.5</v>
      </c>
      <c r="H207" s="676">
        <f t="shared" si="122"/>
        <v>11.817500000000001</v>
      </c>
      <c r="I207" s="677">
        <f t="shared" si="102"/>
        <v>145.67807288969254</v>
      </c>
      <c r="J207" s="678">
        <f t="shared" si="103"/>
        <v>1.5639318218369558</v>
      </c>
      <c r="K207" s="678">
        <f t="shared" si="104"/>
        <v>1.000583136220093</v>
      </c>
      <c r="L207" s="679">
        <f t="shared" si="105"/>
        <v>3.4142436580343653E-2</v>
      </c>
      <c r="M207" s="678">
        <f t="shared" si="106"/>
        <v>1.002010592203987</v>
      </c>
      <c r="N207" s="679">
        <f t="shared" si="107"/>
        <v>-6.3359754410325916E-2</v>
      </c>
      <c r="O207" s="677">
        <f t="shared" si="108"/>
        <v>133652.77611269106</v>
      </c>
      <c r="P207" s="680">
        <f t="shared" si="109"/>
        <v>1.5707888447206062</v>
      </c>
      <c r="Q207" s="689">
        <f t="shared" si="100"/>
        <v>63.270217130854249</v>
      </c>
      <c r="R207" s="690">
        <f t="shared" si="101"/>
        <v>1.5549904439606286</v>
      </c>
      <c r="S207" s="677">
        <f t="shared" si="110"/>
        <v>1.1160531139057013</v>
      </c>
      <c r="T207" s="680">
        <f t="shared" si="111"/>
        <v>0.46008512420833936</v>
      </c>
      <c r="U207" s="681">
        <f t="shared" si="123"/>
        <v>0.97809965309619173</v>
      </c>
      <c r="V207" s="682">
        <f t="shared" si="124"/>
        <v>-0.25652961517285749</v>
      </c>
      <c r="W207" s="683">
        <f t="shared" si="112"/>
        <v>-4.8729811352564161</v>
      </c>
      <c r="X207" s="684">
        <f t="shared" si="113"/>
        <v>-133.24490378008116</v>
      </c>
      <c r="Y207" s="687">
        <f t="shared" si="114"/>
        <v>46.75509621991884</v>
      </c>
      <c r="AA207" s="170">
        <f t="shared" si="115"/>
        <v>11817.5</v>
      </c>
      <c r="AB207" s="170">
        <f t="shared" si="116"/>
        <v>139653306.25</v>
      </c>
      <c r="AD207" s="686">
        <f t="shared" si="117"/>
        <v>37.656179649851794</v>
      </c>
      <c r="AE207" s="687">
        <f t="shared" si="118"/>
        <v>-27.266117551649181</v>
      </c>
      <c r="AG207" s="686">
        <f t="shared" si="119"/>
        <v>12.947577592088784</v>
      </c>
      <c r="AH207" s="687">
        <f t="shared" si="120"/>
        <v>-76.582657655802208</v>
      </c>
      <c r="AJ207" s="170">
        <f t="shared" si="121"/>
        <v>0</v>
      </c>
      <c r="AK207" s="170">
        <f t="shared" si="99"/>
        <v>0</v>
      </c>
      <c r="AM207" s="170" t="str">
        <f t="shared" si="125"/>
        <v>0.067829058568574+0.362018419353006i</v>
      </c>
      <c r="AN207" s="170" t="str">
        <f t="shared" si="126"/>
        <v>0.370432274338433i</v>
      </c>
      <c r="AO207" s="170" t="str">
        <f t="shared" si="127"/>
        <v>0.977286387908684-0.183107853357843i</v>
      </c>
      <c r="AP207" s="170" t="str">
        <f t="shared" si="128"/>
        <v>0.155361823571904-0.060336403225501i</v>
      </c>
      <c r="AQ207" s="170" t="str">
        <f t="shared" si="129"/>
        <v>0.844638176428096+0.060336403225501i</v>
      </c>
      <c r="AR207" s="170" t="str">
        <f t="shared" si="130"/>
        <v>0.981214068654125-0.0700926495499102i</v>
      </c>
    </row>
    <row r="208" spans="7:44">
      <c r="G208" s="688">
        <v>11886</v>
      </c>
      <c r="H208" s="676">
        <f t="shared" si="122"/>
        <v>11.885999999999999</v>
      </c>
      <c r="I208" s="677">
        <f t="shared" si="102"/>
        <v>146.52245445372279</v>
      </c>
      <c r="J208" s="678">
        <f t="shared" si="103"/>
        <v>1.5639713813141238</v>
      </c>
      <c r="K208" s="678">
        <f t="shared" si="104"/>
        <v>1.0005899140989538</v>
      </c>
      <c r="L208" s="679">
        <f t="shared" si="105"/>
        <v>3.4340187710384398E-2</v>
      </c>
      <c r="M208" s="678">
        <f t="shared" si="106"/>
        <v>1.0020339447815616</v>
      </c>
      <c r="N208" s="679">
        <f t="shared" si="107"/>
        <v>-6.3726027832734872E-2</v>
      </c>
      <c r="O208" s="677">
        <f t="shared" si="108"/>
        <v>134427.49286015949</v>
      </c>
      <c r="P208" s="680">
        <f t="shared" si="109"/>
        <v>1.5707888878404184</v>
      </c>
      <c r="Q208" s="689">
        <f t="shared" si="100"/>
        <v>63.636870850720427</v>
      </c>
      <c r="R208" s="690">
        <f t="shared" si="101"/>
        <v>1.5550815195296817</v>
      </c>
      <c r="S208" s="677">
        <f t="shared" si="110"/>
        <v>1.1173315283356273</v>
      </c>
      <c r="T208" s="680">
        <f t="shared" si="111"/>
        <v>0.46238863424336751</v>
      </c>
      <c r="U208" s="681">
        <f t="shared" si="123"/>
        <v>0.97785733815325748</v>
      </c>
      <c r="V208" s="682">
        <f t="shared" si="124"/>
        <v>-0.25798500315737422</v>
      </c>
      <c r="W208" s="683">
        <f t="shared" si="112"/>
        <v>-4.9350282010257231</v>
      </c>
      <c r="X208" s="684">
        <f t="shared" si="113"/>
        <v>-133.46697920452272</v>
      </c>
      <c r="Y208" s="687">
        <f t="shared" si="114"/>
        <v>46.533020795477285</v>
      </c>
      <c r="AA208" s="170">
        <f t="shared" si="115"/>
        <v>11886</v>
      </c>
      <c r="AB208" s="170">
        <f t="shared" si="116"/>
        <v>141276996</v>
      </c>
      <c r="AD208" s="686">
        <f t="shared" si="117"/>
        <v>37.646223378777506</v>
      </c>
      <c r="AE208" s="687">
        <f t="shared" si="118"/>
        <v>-27.392883179726923</v>
      </c>
      <c r="AG208" s="686">
        <f t="shared" si="119"/>
        <v>12.899791024679265</v>
      </c>
      <c r="AH208" s="687">
        <f t="shared" si="120"/>
        <v>-76.511192273841743</v>
      </c>
      <c r="AJ208" s="170">
        <f t="shared" si="121"/>
        <v>0</v>
      </c>
      <c r="AK208" s="170">
        <f t="shared" si="99"/>
        <v>0</v>
      </c>
      <c r="AM208" s="170" t="str">
        <f t="shared" si="125"/>
        <v>0.068608535096404+0.364019146618326i</v>
      </c>
      <c r="AN208" s="170" t="str">
        <f t="shared" si="126"/>
        <v>0.372579480667368i</v>
      </c>
      <c r="AO208" s="170" t="str">
        <f t="shared" si="127"/>
        <v>0.977024139832637-0.184144695713011i</v>
      </c>
      <c r="AP208" s="170" t="str">
        <f t="shared" si="128"/>
        <v>0.155231910817266-0.060669857769721i</v>
      </c>
      <c r="AQ208" s="170" t="str">
        <f t="shared" si="129"/>
        <v>0.844768089182734+0.060669857769721i</v>
      </c>
      <c r="AR208" s="170" t="str">
        <f t="shared" si="130"/>
        <v>0.981009517886324-0.0704544935859094i</v>
      </c>
    </row>
    <row r="209" spans="7:44">
      <c r="G209" s="688">
        <v>11954.5</v>
      </c>
      <c r="H209" s="676">
        <f t="shared" si="122"/>
        <v>11.954499999999999</v>
      </c>
      <c r="I209" s="677">
        <f t="shared" si="102"/>
        <v>147.366836244426</v>
      </c>
      <c r="J209" s="678">
        <f t="shared" si="103"/>
        <v>1.564010487455948</v>
      </c>
      <c r="K209" s="678">
        <f t="shared" si="104"/>
        <v>1.0005967311058619</v>
      </c>
      <c r="L209" s="679">
        <f t="shared" si="105"/>
        <v>3.4537936153624382E-2</v>
      </c>
      <c r="M209" s="678">
        <f t="shared" si="106"/>
        <v>1.0020574317819464</v>
      </c>
      <c r="N209" s="679">
        <f t="shared" si="107"/>
        <v>-6.4092284134275562E-2</v>
      </c>
      <c r="O209" s="677">
        <f t="shared" si="108"/>
        <v>135202.20960762817</v>
      </c>
      <c r="P209" s="680">
        <f t="shared" si="109"/>
        <v>1.5707889304660725</v>
      </c>
      <c r="Q209" s="689">
        <f t="shared" si="100"/>
        <v>64.003525092391371</v>
      </c>
      <c r="R209" s="690">
        <f t="shared" si="101"/>
        <v>1.5551715516180831</v>
      </c>
      <c r="S209" s="677">
        <f t="shared" si="110"/>
        <v>1.11861585793403</v>
      </c>
      <c r="T209" s="680">
        <f t="shared" si="111"/>
        <v>0.46468686693769817</v>
      </c>
      <c r="U209" s="681">
        <f t="shared" si="123"/>
        <v>0.97761379409130489</v>
      </c>
      <c r="V209" s="682">
        <f t="shared" si="124"/>
        <v>-0.25943986261517582</v>
      </c>
      <c r="W209" s="683">
        <f t="shared" si="112"/>
        <v>-4.9968311168852768</v>
      </c>
      <c r="X209" s="684">
        <f t="shared" si="113"/>
        <v>-133.68875493477591</v>
      </c>
      <c r="Y209" s="687">
        <f t="shared" si="114"/>
        <v>46.311245065224085</v>
      </c>
      <c r="AA209" s="170">
        <f t="shared" si="115"/>
        <v>11954.5</v>
      </c>
      <c r="AB209" s="170">
        <f t="shared" si="116"/>
        <v>142910070.25</v>
      </c>
      <c r="AD209" s="686">
        <f t="shared" si="117"/>
        <v>37.636232761718873</v>
      </c>
      <c r="AE209" s="687">
        <f t="shared" si="118"/>
        <v>-27.519406197179549</v>
      </c>
      <c r="AG209" s="686">
        <f t="shared" si="119"/>
        <v>12.852305860797754</v>
      </c>
      <c r="AH209" s="687">
        <f t="shared" si="120"/>
        <v>-76.439730373018335</v>
      </c>
      <c r="AJ209" s="170">
        <f t="shared" si="121"/>
        <v>0</v>
      </c>
      <c r="AK209" s="170">
        <f t="shared" si="99"/>
        <v>0</v>
      </c>
      <c r="AM209" s="170" t="str">
        <f t="shared" si="125"/>
        <v>0.069392305798294+0.366018195575827i</v>
      </c>
      <c r="AN209" s="170" t="str">
        <f t="shared" si="126"/>
        <v>0.374726686996302i</v>
      </c>
      <c r="AO209" s="170" t="str">
        <f t="shared" si="127"/>
        <v>0.976760418399128-0.185181115213657i</v>
      </c>
      <c r="AP209" s="170" t="str">
        <f t="shared" si="128"/>
        <v>0.155101282366951-0.0610030325959712i</v>
      </c>
      <c r="AQ209" s="170" t="str">
        <f t="shared" si="129"/>
        <v>0.844898717633049+0.0610030325959712i</v>
      </c>
      <c r="AR209" s="170" t="str">
        <f t="shared" si="130"/>
        <v>0.980803989595577-0.0708156096096047i</v>
      </c>
    </row>
    <row r="210" spans="7:44">
      <c r="G210" s="688">
        <v>12023</v>
      </c>
      <c r="H210" s="676">
        <f t="shared" si="122"/>
        <v>12.023</v>
      </c>
      <c r="I210" s="677">
        <f t="shared" si="102"/>
        <v>148.21121825792795</v>
      </c>
      <c r="J210" s="678">
        <f t="shared" si="103"/>
        <v>1.5640491480104701</v>
      </c>
      <c r="K210" s="678">
        <f t="shared" si="104"/>
        <v>1.0006035872400174</v>
      </c>
      <c r="L210" s="679">
        <f t="shared" si="105"/>
        <v>3.4735681894652981E-2</v>
      </c>
      <c r="M210" s="678">
        <f t="shared" si="106"/>
        <v>1.0020810531956894</v>
      </c>
      <c r="N210" s="679">
        <f t="shared" si="107"/>
        <v>-6.4458523217893374E-2</v>
      </c>
      <c r="O210" s="677">
        <f t="shared" si="108"/>
        <v>135976.92635509712</v>
      </c>
      <c r="P210" s="680">
        <f t="shared" si="109"/>
        <v>1.5707889726060147</v>
      </c>
      <c r="Q210" s="689">
        <f t="shared" si="100"/>
        <v>64.370179846950435</v>
      </c>
      <c r="R210" s="690">
        <f t="shared" si="101"/>
        <v>1.5552605580554655</v>
      </c>
      <c r="S210" s="677">
        <f t="shared" si="110"/>
        <v>1.119906082350026</v>
      </c>
      <c r="T210" s="680">
        <f t="shared" si="111"/>
        <v>0.46697981621167423</v>
      </c>
      <c r="U210" s="681">
        <f t="shared" si="123"/>
        <v>0.97736902366615075</v>
      </c>
      <c r="V210" s="682">
        <f t="shared" si="124"/>
        <v>-0.26089419103069755</v>
      </c>
      <c r="W210" s="683">
        <f t="shared" si="112"/>
        <v>-5.0583928777166953</v>
      </c>
      <c r="X210" s="684">
        <f t="shared" si="113"/>
        <v>-133.91022989654422</v>
      </c>
      <c r="Y210" s="687">
        <f t="shared" si="114"/>
        <v>46.089770103455777</v>
      </c>
      <c r="AA210" s="170">
        <f t="shared" si="115"/>
        <v>12023</v>
      </c>
      <c r="AB210" s="170">
        <f t="shared" si="116"/>
        <v>144552529</v>
      </c>
      <c r="AD210" s="686">
        <f t="shared" si="117"/>
        <v>37.626208083708036</v>
      </c>
      <c r="AE210" s="687">
        <f t="shared" si="118"/>
        <v>-27.645685234589589</v>
      </c>
      <c r="AG210" s="686">
        <f t="shared" si="119"/>
        <v>12.805118788404585</v>
      </c>
      <c r="AH210" s="687">
        <f t="shared" si="120"/>
        <v>-76.368272536715509</v>
      </c>
      <c r="AJ210" s="170">
        <f t="shared" si="121"/>
        <v>0</v>
      </c>
      <c r="AK210" s="170">
        <f t="shared" si="99"/>
        <v>0</v>
      </c>
      <c r="AM210" s="170" t="str">
        <f t="shared" si="125"/>
        <v>0.070180367060674+0.368015557008909i</v>
      </c>
      <c r="AN210" s="170" t="str">
        <f t="shared" si="126"/>
        <v>0.376873893325237i</v>
      </c>
      <c r="AO210" s="170" t="str">
        <f t="shared" si="127"/>
        <v>0.976495224335734-0.186217109499037i</v>
      </c>
      <c r="AP210" s="170" t="str">
        <f t="shared" si="128"/>
        <v>0.154969938823221-0.0613359261681515i</v>
      </c>
      <c r="AQ210" s="170" t="str">
        <f t="shared" si="129"/>
        <v>0.845030061176779+0.0613359261681515i</v>
      </c>
      <c r="AR210" s="170" t="str">
        <f t="shared" si="130"/>
        <v>0.980597487025231-0.0711759945925427i</v>
      </c>
    </row>
    <row r="211" spans="7:44">
      <c r="G211" s="688">
        <v>12093</v>
      </c>
      <c r="H211" s="676">
        <f t="shared" si="122"/>
        <v>12.093</v>
      </c>
      <c r="I211" s="677">
        <f t="shared" si="102"/>
        <v>149.07409061474459</v>
      </c>
      <c r="J211" s="678">
        <f t="shared" si="103"/>
        <v>1.5640882026954164</v>
      </c>
      <c r="K211" s="678">
        <f t="shared" si="104"/>
        <v>1.0006106339294909</v>
      </c>
      <c r="L211" s="679">
        <f t="shared" si="105"/>
        <v>3.4937755026736857E-2</v>
      </c>
      <c r="M211" s="678">
        <f t="shared" si="106"/>
        <v>1.0021053307173982</v>
      </c>
      <c r="N211" s="679">
        <f t="shared" si="107"/>
        <v>-6.4832764246886998E-2</v>
      </c>
      <c r="O211" s="677">
        <f t="shared" si="108"/>
        <v>136768.60770287583</v>
      </c>
      <c r="P211" s="680">
        <f t="shared" si="109"/>
        <v>1.5707890151755359</v>
      </c>
      <c r="Q211" s="689">
        <f t="shared" si="100"/>
        <v>64.744864058530922</v>
      </c>
      <c r="R211" s="690">
        <f t="shared" si="101"/>
        <v>1.5553504720842075</v>
      </c>
      <c r="S211" s="677">
        <f t="shared" si="110"/>
        <v>1.1212306285345635</v>
      </c>
      <c r="T211" s="680">
        <f t="shared" si="111"/>
        <v>0.4693175117586641</v>
      </c>
      <c r="U211" s="681">
        <f t="shared" si="123"/>
        <v>0.97711762924393275</v>
      </c>
      <c r="V211" s="682">
        <f t="shared" si="124"/>
        <v>-0.26237981483226402</v>
      </c>
      <c r="W211" s="683">
        <f t="shared" si="112"/>
        <v>-5.1210566305647145</v>
      </c>
      <c r="X211" s="684">
        <f t="shared" si="113"/>
        <v>-134.13624286637165</v>
      </c>
      <c r="Y211" s="687">
        <f t="shared" si="114"/>
        <v>45.863757133628354</v>
      </c>
      <c r="AA211" s="170">
        <f t="shared" si="115"/>
        <v>12093</v>
      </c>
      <c r="AB211" s="170">
        <f t="shared" si="116"/>
        <v>146240649</v>
      </c>
      <c r="AD211" s="686">
        <f t="shared" si="117"/>
        <v>37.615928995373892</v>
      </c>
      <c r="AE211" s="687">
        <f t="shared" si="118"/>
        <v>-27.774476068053776</v>
      </c>
      <c r="AG211" s="686">
        <f t="shared" si="119"/>
        <v>12.75720298882934</v>
      </c>
      <c r="AH211" s="687">
        <f t="shared" si="120"/>
        <v>-76.295254725336349</v>
      </c>
      <c r="AJ211" s="170">
        <f t="shared" si="121"/>
        <v>0</v>
      </c>
      <c r="AK211" s="170">
        <f t="shared" si="99"/>
        <v>0</v>
      </c>
      <c r="AM211" s="170" t="str">
        <f t="shared" si="125"/>
        <v>0.070990113877943+0.370054903342036i</v>
      </c>
      <c r="AN211" s="170" t="str">
        <f t="shared" si="126"/>
        <v>0.379068118770863i</v>
      </c>
      <c r="AO211" s="170" t="str">
        <f t="shared" si="127"/>
        <v>0.976222702510429-0.187275348051242i</v>
      </c>
      <c r="AP211" s="170" t="str">
        <f t="shared" si="128"/>
        <v>0.154834981020343-0.0616758172236727i</v>
      </c>
      <c r="AQ211" s="170" t="str">
        <f t="shared" si="129"/>
        <v>0.845165018979657+0.0616758172236727i</v>
      </c>
      <c r="AR211" s="170" t="str">
        <f t="shared" si="130"/>
        <v>0.980385459372031-0.0715435128561931i</v>
      </c>
    </row>
    <row r="212" spans="7:44">
      <c r="G212" s="688">
        <v>12163</v>
      </c>
      <c r="H212" s="676">
        <f t="shared" si="122"/>
        <v>12.163</v>
      </c>
      <c r="I212" s="677">
        <f t="shared" si="102"/>
        <v>149.93696319632215</v>
      </c>
      <c r="J212" s="678">
        <f t="shared" si="103"/>
        <v>1.5641268078686248</v>
      </c>
      <c r="K212" s="678">
        <f t="shared" si="104"/>
        <v>1.000617721476873</v>
      </c>
      <c r="L212" s="679">
        <f t="shared" si="105"/>
        <v>3.5139825304434387E-2</v>
      </c>
      <c r="M212" s="678">
        <f t="shared" si="106"/>
        <v>1.0021297485835079</v>
      </c>
      <c r="N212" s="679">
        <f t="shared" si="107"/>
        <v>-6.5206987090797378E-2</v>
      </c>
      <c r="O212" s="677">
        <f t="shared" si="108"/>
        <v>137560.2890506548</v>
      </c>
      <c r="P212" s="680">
        <f t="shared" si="109"/>
        <v>1.5707890572550687</v>
      </c>
      <c r="Q212" s="689">
        <f t="shared" si="100"/>
        <v>65.119548787519918</v>
      </c>
      <c r="R212" s="690">
        <f t="shared" si="101"/>
        <v>1.5554393514193454</v>
      </c>
      <c r="S212" s="677">
        <f t="shared" si="110"/>
        <v>1.1225612875640321</v>
      </c>
      <c r="T212" s="680">
        <f t="shared" si="111"/>
        <v>0.47164967792143181</v>
      </c>
      <c r="U212" s="681">
        <f t="shared" si="123"/>
        <v>0.97686496001237955</v>
      </c>
      <c r="V212" s="682">
        <f t="shared" si="124"/>
        <v>-0.26386487879496356</v>
      </c>
      <c r="W212" s="683">
        <f t="shared" si="112"/>
        <v>-5.1834746980912616</v>
      </c>
      <c r="X212" s="684">
        <f t="shared" si="113"/>
        <v>-134.36193957140787</v>
      </c>
      <c r="Y212" s="687">
        <f t="shared" si="114"/>
        <v>45.638060428592127</v>
      </c>
      <c r="AA212" s="170">
        <f t="shared" si="115"/>
        <v>12163</v>
      </c>
      <c r="AB212" s="170">
        <f t="shared" si="116"/>
        <v>147938569</v>
      </c>
      <c r="AD212" s="686">
        <f t="shared" si="117"/>
        <v>37.60561493821519</v>
      </c>
      <c r="AE212" s="687">
        <f t="shared" si="118"/>
        <v>-27.903009346640747</v>
      </c>
      <c r="AG212" s="686">
        <f t="shared" si="119"/>
        <v>12.7095916634721</v>
      </c>
      <c r="AH212" s="687">
        <f t="shared" si="120"/>
        <v>-76.222242356851808</v>
      </c>
      <c r="AJ212" s="170">
        <f t="shared" si="121"/>
        <v>0</v>
      </c>
      <c r="AK212" s="170">
        <f t="shared" si="99"/>
        <v>0</v>
      </c>
      <c r="AM212" s="170" t="str">
        <f t="shared" si="125"/>
        <v>0.071804333527926+0.372092468000176i</v>
      </c>
      <c r="AN212" s="170" t="str">
        <f t="shared" si="126"/>
        <v>0.38126234421649i</v>
      </c>
      <c r="AO212" s="170" t="str">
        <f t="shared" si="127"/>
        <v>0.975948644403479-0.188333137581386i</v>
      </c>
      <c r="AP212" s="170" t="str">
        <f t="shared" si="128"/>
        <v>0.154699277745346-0.0620154113333627i</v>
      </c>
      <c r="AQ212" s="170" t="str">
        <f t="shared" si="129"/>
        <v>0.845300722254654+0.0620154113333627i</v>
      </c>
      <c r="AR212" s="170" t="str">
        <f t="shared" si="130"/>
        <v>0.980172421184995-0.0719102613745233i</v>
      </c>
    </row>
    <row r="213" spans="7:44">
      <c r="G213" s="688">
        <v>12233</v>
      </c>
      <c r="H213" s="676">
        <f t="shared" si="122"/>
        <v>12.233000000000001</v>
      </c>
      <c r="I213" s="677">
        <f t="shared" si="102"/>
        <v>150.79983599880242</v>
      </c>
      <c r="J213" s="678">
        <f t="shared" si="103"/>
        <v>1.5641649712462631</v>
      </c>
      <c r="K213" s="678">
        <f t="shared" si="104"/>
        <v>1.0006248498812955</v>
      </c>
      <c r="L213" s="679">
        <f t="shared" si="105"/>
        <v>3.534189271130439E-2</v>
      </c>
      <c r="M213" s="678">
        <f t="shared" si="106"/>
        <v>1.0021543067837599</v>
      </c>
      <c r="N213" s="679">
        <f t="shared" si="107"/>
        <v>-6.5581191646143233E-2</v>
      </c>
      <c r="O213" s="677">
        <f t="shared" si="108"/>
        <v>138351.970398434</v>
      </c>
      <c r="P213" s="680">
        <f t="shared" si="109"/>
        <v>1.570789098853024</v>
      </c>
      <c r="Q213" s="689">
        <f t="shared" si="100"/>
        <v>65.494234025037358</v>
      </c>
      <c r="R213" s="690">
        <f t="shared" si="101"/>
        <v>1.555527213817564</v>
      </c>
      <c r="S213" s="677">
        <f t="shared" si="110"/>
        <v>1.1238980377261978</v>
      </c>
      <c r="T213" s="680">
        <f t="shared" si="111"/>
        <v>0.47397630901563592</v>
      </c>
      <c r="U213" s="681">
        <f t="shared" si="123"/>
        <v>0.97661101894517244</v>
      </c>
      <c r="V213" s="682">
        <f t="shared" si="124"/>
        <v>-0.26534938026151844</v>
      </c>
      <c r="W213" s="683">
        <f t="shared" si="112"/>
        <v>-5.2456501001322113</v>
      </c>
      <c r="X213" s="684">
        <f t="shared" si="113"/>
        <v>-134.58731895392893</v>
      </c>
      <c r="Y213" s="687">
        <f t="shared" si="114"/>
        <v>45.412681046071071</v>
      </c>
      <c r="AA213" s="170">
        <f t="shared" si="115"/>
        <v>12233</v>
      </c>
      <c r="AB213" s="170">
        <f t="shared" si="116"/>
        <v>149646289</v>
      </c>
      <c r="AD213" s="686">
        <f t="shared" si="117"/>
        <v>37.595266214692714</v>
      </c>
      <c r="AE213" s="687">
        <f t="shared" si="118"/>
        <v>-28.031283727760574</v>
      </c>
      <c r="AG213" s="686">
        <f t="shared" si="119"/>
        <v>12.662281455328531</v>
      </c>
      <c r="AH213" s="687">
        <f t="shared" si="120"/>
        <v>-76.14923602062953</v>
      </c>
      <c r="AJ213" s="170">
        <f t="shared" si="121"/>
        <v>0</v>
      </c>
      <c r="AK213" s="170">
        <f t="shared" si="99"/>
        <v>0</v>
      </c>
      <c r="AM213" s="170" t="str">
        <f t="shared" si="125"/>
        <v>0.07262302209046+0.374128241173221i</v>
      </c>
      <c r="AN213" s="170" t="str">
        <f t="shared" si="126"/>
        <v>0.383456569662116i</v>
      </c>
      <c r="AO213" s="170" t="str">
        <f t="shared" si="127"/>
        <v>0.975673050804385-0.189390475574462i</v>
      </c>
      <c r="AP213" s="170" t="str">
        <f t="shared" si="128"/>
        <v>0.15456282965159-0.0623547068622035i</v>
      </c>
      <c r="AQ213" s="170" t="str">
        <f t="shared" si="129"/>
        <v>0.84543717034841+0.0623547068622035i</v>
      </c>
      <c r="AR213" s="170" t="str">
        <f t="shared" si="130"/>
        <v>0.979958375959506-0.0722762369732741i</v>
      </c>
    </row>
    <row r="214" spans="7:44">
      <c r="G214" s="688">
        <v>12303</v>
      </c>
      <c r="H214" s="676">
        <f t="shared" si="122"/>
        <v>12.303000000000001</v>
      </c>
      <c r="I214" s="677">
        <f t="shared" si="102"/>
        <v>151.66270901841494</v>
      </c>
      <c r="J214" s="678">
        <f t="shared" si="103"/>
        <v>1.5642027003689025</v>
      </c>
      <c r="K214" s="678">
        <f t="shared" si="104"/>
        <v>1.0006320191418852</v>
      </c>
      <c r="L214" s="679">
        <f t="shared" si="105"/>
        <v>3.5543957230907058E-2</v>
      </c>
      <c r="M214" s="678">
        <f t="shared" si="106"/>
        <v>1.0021790053078379</v>
      </c>
      <c r="N214" s="679">
        <f t="shared" si="107"/>
        <v>-6.5955377809473914E-2</v>
      </c>
      <c r="O214" s="677">
        <f t="shared" si="108"/>
        <v>139143.65174621344</v>
      </c>
      <c r="P214" s="680">
        <f t="shared" si="109"/>
        <v>1.5707891399776222</v>
      </c>
      <c r="Q214" s="689">
        <f t="shared" si="100"/>
        <v>65.868919762405156</v>
      </c>
      <c r="R214" s="690">
        <f t="shared" si="101"/>
        <v>1.5556140766315871</v>
      </c>
      <c r="S214" s="677">
        <f t="shared" si="110"/>
        <v>1.1252408573128487</v>
      </c>
      <c r="T214" s="680">
        <f t="shared" si="111"/>
        <v>0.47629739962358303</v>
      </c>
      <c r="U214" s="681">
        <f t="shared" si="123"/>
        <v>0.97635580902687269</v>
      </c>
      <c r="V214" s="682">
        <f t="shared" si="124"/>
        <v>-0.26683331658388171</v>
      </c>
      <c r="W214" s="683">
        <f t="shared" si="112"/>
        <v>-5.3075857999213749</v>
      </c>
      <c r="X214" s="684">
        <f t="shared" si="113"/>
        <v>-134.81237998509269</v>
      </c>
      <c r="Y214" s="687">
        <f t="shared" si="114"/>
        <v>45.18762001490731</v>
      </c>
      <c r="AA214" s="170">
        <f t="shared" si="115"/>
        <v>12303</v>
      </c>
      <c r="AB214" s="170">
        <f t="shared" si="116"/>
        <v>151363809</v>
      </c>
      <c r="AD214" s="686">
        <f t="shared" si="117"/>
        <v>37.584883126645266</v>
      </c>
      <c r="AE214" s="687">
        <f t="shared" si="118"/>
        <v>-28.159297907235441</v>
      </c>
      <c r="AG214" s="686">
        <f t="shared" si="119"/>
        <v>12.615269064476921</v>
      </c>
      <c r="AH214" s="687">
        <f t="shared" si="120"/>
        <v>-76.076236295448979</v>
      </c>
      <c r="AJ214" s="170">
        <f t="shared" si="121"/>
        <v>0</v>
      </c>
      <c r="AK214" s="170">
        <f t="shared" si="99"/>
        <v>0</v>
      </c>
      <c r="AM214" s="170" t="str">
        <f t="shared" si="125"/>
        <v>0.073446175623868+0.376162213059692i</v>
      </c>
      <c r="AN214" s="170" t="str">
        <f t="shared" si="126"/>
        <v>0.385650795107742i</v>
      </c>
      <c r="AO214" s="170" t="str">
        <f t="shared" si="127"/>
        <v>0.975395922507047-0.190447359516914i</v>
      </c>
      <c r="AP214" s="170" t="str">
        <f t="shared" si="128"/>
        <v>0.154425637396022-0.0626937021766153i</v>
      </c>
      <c r="AQ214" s="170" t="str">
        <f t="shared" si="129"/>
        <v>0.845574362603978+0.0626937021766153i</v>
      </c>
      <c r="AR214" s="170" t="str">
        <f t="shared" si="130"/>
        <v>0.979743327202239-0.0726414364976566i</v>
      </c>
    </row>
    <row r="215" spans="7:44">
      <c r="G215" s="688">
        <v>12374.5</v>
      </c>
      <c r="H215" s="676">
        <f t="shared" si="122"/>
        <v>12.374499999999999</v>
      </c>
      <c r="I215" s="677">
        <f t="shared" si="102"/>
        <v>152.54407239449233</v>
      </c>
      <c r="J215" s="678">
        <f t="shared" si="103"/>
        <v>1.5642407973217864</v>
      </c>
      <c r="K215" s="678">
        <f t="shared" si="104"/>
        <v>1.0006393842073558</v>
      </c>
      <c r="L215" s="679">
        <f t="shared" si="105"/>
        <v>3.5750348706674248E-2</v>
      </c>
      <c r="M215" s="678">
        <f t="shared" si="106"/>
        <v>1.0022043779416676</v>
      </c>
      <c r="N215" s="679">
        <f t="shared" si="107"/>
        <v>-6.6337563152793044E-2</v>
      </c>
      <c r="O215" s="677">
        <f t="shared" si="108"/>
        <v>139952.29769430266</v>
      </c>
      <c r="P215" s="680">
        <f t="shared" si="109"/>
        <v>1.570789181503133</v>
      </c>
      <c r="Q215" s="689">
        <f t="shared" ref="Q215:Q278" si="131">SQRT(1+(G215/Zero2)^2)</f>
        <v>66.251634987073373</v>
      </c>
      <c r="R215" s="690">
        <f t="shared" ref="R215:R278" si="132">ATAN(G215/Zero2)</f>
        <v>1.5557017864805966</v>
      </c>
      <c r="S215" s="677">
        <f t="shared" si="110"/>
        <v>1.1266186949459165</v>
      </c>
      <c r="T215" s="680">
        <f t="shared" si="111"/>
        <v>0.47866250268556365</v>
      </c>
      <c r="U215" s="681">
        <f t="shared" si="123"/>
        <v>0.9760938235121529</v>
      </c>
      <c r="V215" s="682">
        <f t="shared" si="124"/>
        <v>-0.26834846535880935</v>
      </c>
      <c r="W215" s="683">
        <f t="shared" si="112"/>
        <v>-5.3706042545070325</v>
      </c>
      <c r="X215" s="684">
        <f t="shared" si="113"/>
        <v>-135.04193405541184</v>
      </c>
      <c r="Y215" s="687">
        <f t="shared" si="114"/>
        <v>44.958065944588157</v>
      </c>
      <c r="AA215" s="170">
        <f t="shared" si="115"/>
        <v>12374.5</v>
      </c>
      <c r="AB215" s="170">
        <f t="shared" si="116"/>
        <v>153128250.25</v>
      </c>
      <c r="AD215" s="686">
        <f t="shared" si="117"/>
        <v>37.574242380027428</v>
      </c>
      <c r="AE215" s="687">
        <f t="shared" si="118"/>
        <v>-28.289785306016043</v>
      </c>
      <c r="AG215" s="686">
        <f t="shared" si="119"/>
        <v>12.567553350843516</v>
      </c>
      <c r="AH215" s="687">
        <f t="shared" si="120"/>
        <v>-76.001679706513585</v>
      </c>
      <c r="AJ215" s="170">
        <f t="shared" si="121"/>
        <v>0</v>
      </c>
      <c r="AK215" s="170">
        <f t="shared" ref="AK215:AK278" si="133">IF(AJ215&gt;0,Y215,0)</f>
        <v>0</v>
      </c>
      <c r="AM215" s="170" t="str">
        <f t="shared" si="125"/>
        <v>0.074291573553665+0.378237900277393i</v>
      </c>
      <c r="AN215" s="170" t="str">
        <f t="shared" si="126"/>
        <v>0.387892039670061i</v>
      </c>
      <c r="AO215" s="170" t="str">
        <f t="shared" si="127"/>
        <v>0.975111272196048-0.19152641961113i</v>
      </c>
      <c r="AP215" s="170" t="str">
        <f t="shared" si="128"/>
        <v>0.154284737741056-0.0630396500462322i</v>
      </c>
      <c r="AQ215" s="170" t="str">
        <f t="shared" si="129"/>
        <v>0.845715262258944+0.0630396500462322i</v>
      </c>
      <c r="AR215" s="170" t="str">
        <f t="shared" si="130"/>
        <v>0.979522637896481-0.07301365726855i</v>
      </c>
    </row>
    <row r="216" spans="7:44">
      <c r="G216" s="688">
        <v>12446</v>
      </c>
      <c r="H216" s="676">
        <f t="shared" si="122"/>
        <v>12.446</v>
      </c>
      <c r="I216" s="677">
        <f t="shared" si="102"/>
        <v>153.42543598942507</v>
      </c>
      <c r="J216" s="678">
        <f t="shared" si="103"/>
        <v>1.5642784565732815</v>
      </c>
      <c r="K216" s="678">
        <f t="shared" si="104"/>
        <v>1.0006467918968753</v>
      </c>
      <c r="L216" s="679">
        <f t="shared" si="105"/>
        <v>3.5956737135441452E-2</v>
      </c>
      <c r="M216" s="678">
        <f t="shared" si="106"/>
        <v>1.0022298969556933</v>
      </c>
      <c r="N216" s="679">
        <f t="shared" si="107"/>
        <v>-6.6719729089344398E-2</v>
      </c>
      <c r="O216" s="677">
        <f t="shared" si="108"/>
        <v>140760.94364239214</v>
      </c>
      <c r="P216" s="680">
        <f t="shared" si="109"/>
        <v>1.570789222551531</v>
      </c>
      <c r="Q216" s="689">
        <f t="shared" si="131"/>
        <v>66.634350715561951</v>
      </c>
      <c r="R216" s="690">
        <f t="shared" si="132"/>
        <v>1.5557884888037161</v>
      </c>
      <c r="S216" s="677">
        <f t="shared" si="110"/>
        <v>1.1280028191439786</v>
      </c>
      <c r="T216" s="680">
        <f t="shared" si="111"/>
        <v>0.48102181468354299</v>
      </c>
      <c r="U216" s="681">
        <f t="shared" si="123"/>
        <v>0.97583052051306884</v>
      </c>
      <c r="V216" s="682">
        <f t="shared" si="124"/>
        <v>-0.26986301895441406</v>
      </c>
      <c r="W216" s="683">
        <f t="shared" si="112"/>
        <v>-5.433378698307088</v>
      </c>
      <c r="X216" s="684">
        <f t="shared" si="113"/>
        <v>-135.27115390479798</v>
      </c>
      <c r="Y216" s="687">
        <f t="shared" si="114"/>
        <v>44.728846095202016</v>
      </c>
      <c r="AA216" s="170">
        <f t="shared" si="115"/>
        <v>12446</v>
      </c>
      <c r="AB216" s="170">
        <f t="shared" si="116"/>
        <v>154902916</v>
      </c>
      <c r="AD216" s="686">
        <f t="shared" si="117"/>
        <v>37.563566414835392</v>
      </c>
      <c r="AE216" s="687">
        <f t="shared" si="118"/>
        <v>-28.419998600914859</v>
      </c>
      <c r="AG216" s="686">
        <f t="shared" si="119"/>
        <v>12.520141571927086</v>
      </c>
      <c r="AH216" s="687">
        <f t="shared" si="120"/>
        <v>-75.927131203053534</v>
      </c>
      <c r="AJ216" s="170">
        <f t="shared" si="121"/>
        <v>0</v>
      </c>
      <c r="AK216" s="170">
        <f t="shared" si="133"/>
        <v>0</v>
      </c>
      <c r="AM216" s="170" t="str">
        <f t="shared" si="125"/>
        <v>0.075141621478966+0.380311687539896i</v>
      </c>
      <c r="AN216" s="170" t="str">
        <f t="shared" si="126"/>
        <v>0.390133284232379i</v>
      </c>
      <c r="AO216" s="170" t="str">
        <f t="shared" si="127"/>
        <v>0.974825022397646-0.192605000690504i</v>
      </c>
      <c r="AP216" s="170" t="str">
        <f t="shared" si="128"/>
        <v>0.154143063086839-0.0633852812566493i</v>
      </c>
      <c r="AQ216" s="170" t="str">
        <f t="shared" si="129"/>
        <v>0.845856936913161+0.0633852812566493i</v>
      </c>
      <c r="AR216" s="170" t="str">
        <f t="shared" si="130"/>
        <v>0.979300909020649-0.0733850617572447i</v>
      </c>
    </row>
    <row r="217" spans="7:44">
      <c r="G217" s="688">
        <v>12517.5</v>
      </c>
      <c r="H217" s="676">
        <f t="shared" si="122"/>
        <v>12.5175</v>
      </c>
      <c r="I217" s="677">
        <f t="shared" si="102"/>
        <v>154.30679979946308</v>
      </c>
      <c r="J217" s="678">
        <f t="shared" si="103"/>
        <v>1.5643156856234193</v>
      </c>
      <c r="K217" s="678">
        <f t="shared" si="104"/>
        <v>1.0006542422094971</v>
      </c>
      <c r="L217" s="679">
        <f t="shared" si="105"/>
        <v>3.6163122499693841E-2</v>
      </c>
      <c r="M217" s="678">
        <f t="shared" si="106"/>
        <v>1.0022555623387339</v>
      </c>
      <c r="N217" s="679">
        <f t="shared" si="107"/>
        <v>-6.7101875508983375E-2</v>
      </c>
      <c r="O217" s="677">
        <f t="shared" si="108"/>
        <v>141569.58959048186</v>
      </c>
      <c r="P217" s="680">
        <f t="shared" si="109"/>
        <v>1.5707892631309919</v>
      </c>
      <c r="Q217" s="689">
        <f t="shared" si="131"/>
        <v>67.017066939239328</v>
      </c>
      <c r="R217" s="690">
        <f t="shared" si="132"/>
        <v>1.5558742008607493</v>
      </c>
      <c r="S217" s="677">
        <f t="shared" si="110"/>
        <v>1.1293932067935972</v>
      </c>
      <c r="T217" s="680">
        <f t="shared" si="111"/>
        <v>0.48337533069200134</v>
      </c>
      <c r="U217" s="681">
        <f t="shared" si="123"/>
        <v>0.97556590324472869</v>
      </c>
      <c r="V217" s="682">
        <f t="shared" si="124"/>
        <v>-0.27137697457873228</v>
      </c>
      <c r="W217" s="683">
        <f t="shared" si="112"/>
        <v>-5.4959121147050025</v>
      </c>
      <c r="X217" s="684">
        <f t="shared" si="113"/>
        <v>-135.50003852703921</v>
      </c>
      <c r="Y217" s="687">
        <f t="shared" si="114"/>
        <v>44.499961472960791</v>
      </c>
      <c r="AA217" s="170">
        <f t="shared" si="115"/>
        <v>12517.5</v>
      </c>
      <c r="AB217" s="170">
        <f t="shared" si="116"/>
        <v>156687806.25</v>
      </c>
      <c r="AD217" s="686">
        <f t="shared" si="117"/>
        <v>37.552855550577313</v>
      </c>
      <c r="AE217" s="687">
        <f t="shared" si="118"/>
        <v>-28.549936521274923</v>
      </c>
      <c r="AG217" s="686">
        <f t="shared" si="119"/>
        <v>12.473030387247469</v>
      </c>
      <c r="AH217" s="687">
        <f t="shared" si="120"/>
        <v>-75.852591369449428</v>
      </c>
      <c r="AJ217" s="170">
        <f t="shared" si="121"/>
        <v>0</v>
      </c>
      <c r="AK217" s="170">
        <f t="shared" si="133"/>
        <v>0</v>
      </c>
      <c r="AM217" s="170" t="str">
        <f t="shared" si="125"/>
        <v>0.075996315129831+0.382383564430206i</v>
      </c>
      <c r="AN217" s="170" t="str">
        <f t="shared" si="126"/>
        <v>0.392374528794698i</v>
      </c>
      <c r="AO217" s="170" t="str">
        <f t="shared" si="127"/>
        <v>0.974537173972066-0.193683100081133i</v>
      </c>
      <c r="AP217" s="170" t="str">
        <f t="shared" si="128"/>
        <v>0.154000614145028-0.063730594071701i</v>
      </c>
      <c r="AQ217" s="170" t="str">
        <f t="shared" si="129"/>
        <v>0.845999385854972+0.063730594071701i</v>
      </c>
      <c r="AR217" s="170" t="str">
        <f t="shared" si="130"/>
        <v>0.97907814434737-0.0737556466649412i</v>
      </c>
    </row>
    <row r="218" spans="7:44">
      <c r="G218" s="688">
        <v>12589</v>
      </c>
      <c r="H218" s="676">
        <f t="shared" si="122"/>
        <v>12.589</v>
      </c>
      <c r="I218" s="677">
        <f t="shared" si="102"/>
        <v>155.18816382094138</v>
      </c>
      <c r="J218" s="678">
        <f t="shared" si="103"/>
        <v>1.5643524918018561</v>
      </c>
      <c r="K218" s="678">
        <f t="shared" si="104"/>
        <v>1.000661735144269</v>
      </c>
      <c r="L218" s="679">
        <f t="shared" si="105"/>
        <v>3.6369504781918117E-2</v>
      </c>
      <c r="M218" s="678">
        <f t="shared" si="106"/>
        <v>1.0022813740795453</v>
      </c>
      <c r="N218" s="679">
        <f t="shared" si="107"/>
        <v>-6.7484002301599399E-2</v>
      </c>
      <c r="O218" s="677">
        <f t="shared" si="108"/>
        <v>142378.23553857181</v>
      </c>
      <c r="P218" s="680">
        <f t="shared" si="109"/>
        <v>1.5707893032495055</v>
      </c>
      <c r="Q218" s="689">
        <f t="shared" si="131"/>
        <v>67.399783649670027</v>
      </c>
      <c r="R218" s="690">
        <f t="shared" si="132"/>
        <v>1.5559589395195321</v>
      </c>
      <c r="S218" s="677">
        <f t="shared" si="110"/>
        <v>1.1307898347906764</v>
      </c>
      <c r="T218" s="680">
        <f t="shared" si="111"/>
        <v>0.48572304606642097</v>
      </c>
      <c r="U218" s="681">
        <f t="shared" si="123"/>
        <v>0.97529997493367182</v>
      </c>
      <c r="V218" s="682">
        <f t="shared" si="124"/>
        <v>-0.27289032944996888</v>
      </c>
      <c r="W218" s="683">
        <f t="shared" si="112"/>
        <v>-5.5582074310368537</v>
      </c>
      <c r="X218" s="684">
        <f t="shared" si="113"/>
        <v>-135.72858694529415</v>
      </c>
      <c r="Y218" s="687">
        <f t="shared" si="114"/>
        <v>44.271413054705846</v>
      </c>
      <c r="AA218" s="170">
        <f t="shared" si="115"/>
        <v>12589</v>
      </c>
      <c r="AB218" s="170">
        <f t="shared" si="116"/>
        <v>158482921</v>
      </c>
      <c r="AD218" s="686">
        <f t="shared" si="117"/>
        <v>37.54211010598911</v>
      </c>
      <c r="AE218" s="687">
        <f t="shared" si="118"/>
        <v>-28.679597834986971</v>
      </c>
      <c r="AG218" s="686">
        <f t="shared" si="119"/>
        <v>12.426216512994209</v>
      </c>
      <c r="AH218" s="687">
        <f t="shared" si="120"/>
        <v>-75.77806077973932</v>
      </c>
      <c r="AJ218" s="170">
        <f t="shared" si="121"/>
        <v>0</v>
      </c>
      <c r="AK218" s="170">
        <f t="shared" si="133"/>
        <v>0</v>
      </c>
      <c r="AM218" s="170" t="str">
        <f t="shared" si="125"/>
        <v>0.076855650212985+0.384453520540922i</v>
      </c>
      <c r="AN218" s="170" t="str">
        <f t="shared" si="126"/>
        <v>0.394615773357016i</v>
      </c>
      <c r="AO218" s="170" t="str">
        <f t="shared" si="127"/>
        <v>0.974247727784312-0.194760715110727i</v>
      </c>
      <c r="AP218" s="170" t="str">
        <f t="shared" si="128"/>
        <v>0.153857391631169-0.0640755867568203i</v>
      </c>
      <c r="AQ218" s="170" t="str">
        <f t="shared" si="129"/>
        <v>0.846142608368831+0.0640755867568203i</v>
      </c>
      <c r="AR218" s="170" t="str">
        <f t="shared" si="130"/>
        <v>0.978854347660999-0.074125408714205i</v>
      </c>
    </row>
    <row r="219" spans="7:44">
      <c r="G219" s="688">
        <v>12662.25</v>
      </c>
      <c r="H219" s="676">
        <f t="shared" si="122"/>
        <v>12.66225</v>
      </c>
      <c r="I219" s="677">
        <f t="shared" si="102"/>
        <v>156.09109990462096</v>
      </c>
      <c r="J219" s="678">
        <f t="shared" si="103"/>
        <v>1.5643897677962724</v>
      </c>
      <c r="K219" s="678">
        <f t="shared" si="104"/>
        <v>1.0006694556712641</v>
      </c>
      <c r="L219" s="679">
        <f t="shared" si="105"/>
        <v>3.658093516433162E-2</v>
      </c>
      <c r="M219" s="678">
        <f t="shared" si="106"/>
        <v>1.0023079693393122</v>
      </c>
      <c r="N219" s="679">
        <f t="shared" si="107"/>
        <v>-6.7875461379324944E-2</v>
      </c>
      <c r="O219" s="677">
        <f t="shared" si="108"/>
        <v>143206.67352035647</v>
      </c>
      <c r="P219" s="680">
        <f t="shared" si="109"/>
        <v>1.5707893438800964</v>
      </c>
      <c r="Q219" s="689">
        <f t="shared" si="131"/>
        <v>67.791868048464764</v>
      </c>
      <c r="R219" s="690">
        <f t="shared" si="132"/>
        <v>1.5560447600092417</v>
      </c>
      <c r="S219" s="677">
        <f t="shared" si="110"/>
        <v>1.132227093167151</v>
      </c>
      <c r="T219" s="680">
        <f t="shared" si="111"/>
        <v>0.48812220311149052</v>
      </c>
      <c r="U219" s="681">
        <f t="shared" si="123"/>
        <v>0.97502618170480437</v>
      </c>
      <c r="V219" s="682">
        <f t="shared" si="124"/>
        <v>-0.2744400985891845</v>
      </c>
      <c r="W219" s="683">
        <f t="shared" si="112"/>
        <v>-5.6217835479692448</v>
      </c>
      <c r="X219" s="684">
        <f t="shared" si="113"/>
        <v>-135.96237956722462</v>
      </c>
      <c r="Y219" s="687">
        <f t="shared" si="114"/>
        <v>44.037620432775384</v>
      </c>
      <c r="AA219" s="170">
        <f t="shared" si="115"/>
        <v>12662.25</v>
      </c>
      <c r="AB219" s="170">
        <f t="shared" si="116"/>
        <v>160332575.0625</v>
      </c>
      <c r="AD219" s="686">
        <f t="shared" si="117"/>
        <v>37.531066133157132</v>
      </c>
      <c r="AE219" s="687">
        <f t="shared" si="118"/>
        <v>-28.812144584315256</v>
      </c>
      <c r="AG219" s="686">
        <f t="shared" si="119"/>
        <v>12.378561784452454</v>
      </c>
      <c r="AH219" s="687">
        <f t="shared" si="120"/>
        <v>-75.701716190345238</v>
      </c>
      <c r="AJ219" s="170">
        <f t="shared" si="121"/>
        <v>0</v>
      </c>
      <c r="AK219" s="170">
        <f t="shared" si="133"/>
        <v>0</v>
      </c>
      <c r="AM219" s="170" t="str">
        <f t="shared" si="125"/>
        <v>0.077740826684721+0.386572137169531i</v>
      </c>
      <c r="AN219" s="170" t="str">
        <f t="shared" si="126"/>
        <v>0.396911873555475i</v>
      </c>
      <c r="AO219" s="170" t="str">
        <f t="shared" si="127"/>
        <v>0.973949541258813-0.195864200252642i</v>
      </c>
      <c r="AP219" s="170" t="str">
        <f t="shared" si="128"/>
        <v>0.153709862219213-0.0644286895282552i</v>
      </c>
      <c r="AQ219" s="170" t="str">
        <f t="shared" si="129"/>
        <v>0.846290137780787+0.0644286895282552i</v>
      </c>
      <c r="AR219" s="170" t="str">
        <f t="shared" si="130"/>
        <v>0.978624007191182-0.0745033641648672i</v>
      </c>
    </row>
    <row r="220" spans="7:44">
      <c r="G220" s="688">
        <v>12735.5</v>
      </c>
      <c r="H220" s="676">
        <f t="shared" si="122"/>
        <v>12.7355</v>
      </c>
      <c r="I220" s="677">
        <f t="shared" si="102"/>
        <v>156.99403620269425</v>
      </c>
      <c r="J220" s="678">
        <f t="shared" si="103"/>
        <v>1.5644266150120516</v>
      </c>
      <c r="K220" s="678">
        <f t="shared" si="104"/>
        <v>1.0006772209303012</v>
      </c>
      <c r="L220" s="679">
        <f t="shared" si="105"/>
        <v>3.6792362274795244E-2</v>
      </c>
      <c r="M220" s="678">
        <f t="shared" si="106"/>
        <v>1.0023347181847981</v>
      </c>
      <c r="N220" s="679">
        <f t="shared" si="107"/>
        <v>-6.8266899623655286E-2</v>
      </c>
      <c r="O220" s="677">
        <f t="shared" si="108"/>
        <v>144035.1115021414</v>
      </c>
      <c r="P220" s="680">
        <f t="shared" si="109"/>
        <v>1.5707893840433025</v>
      </c>
      <c r="Q220" s="689">
        <f t="shared" si="131"/>
        <v>68.183952940814905</v>
      </c>
      <c r="R220" s="690">
        <f t="shared" si="132"/>
        <v>1.5561295934955608</v>
      </c>
      <c r="S220" s="677">
        <f t="shared" si="110"/>
        <v>1.1336708520449215</v>
      </c>
      <c r="T220" s="680">
        <f t="shared" si="111"/>
        <v>0.49051526312580246</v>
      </c>
      <c r="U220" s="681">
        <f t="shared" si="123"/>
        <v>0.97475101936295738</v>
      </c>
      <c r="V220" s="682">
        <f t="shared" si="124"/>
        <v>-0.27598923133005854</v>
      </c>
      <c r="W220" s="683">
        <f t="shared" si="112"/>
        <v>-5.6851158122063339</v>
      </c>
      <c r="X220" s="684">
        <f t="shared" si="113"/>
        <v>-136.19581734303222</v>
      </c>
      <c r="Y220" s="687">
        <f t="shared" si="114"/>
        <v>43.804182656967782</v>
      </c>
      <c r="AA220" s="170">
        <f t="shared" si="115"/>
        <v>12735.5</v>
      </c>
      <c r="AB220" s="170">
        <f t="shared" si="116"/>
        <v>162192960.25</v>
      </c>
      <c r="AD220" s="686">
        <f t="shared" si="117"/>
        <v>37.519986541200446</v>
      </c>
      <c r="AE220" s="687">
        <f t="shared" si="118"/>
        <v>-28.944398523862699</v>
      </c>
      <c r="AG220" s="686">
        <f t="shared" si="119"/>
        <v>12.33121229751732</v>
      </c>
      <c r="AH220" s="687">
        <f t="shared" si="120"/>
        <v>-75.625382490487283</v>
      </c>
      <c r="AJ220" s="170">
        <f t="shared" si="121"/>
        <v>0</v>
      </c>
      <c r="AK220" s="170">
        <f t="shared" si="133"/>
        <v>0</v>
      </c>
      <c r="AM220" s="170" t="str">
        <f t="shared" si="125"/>
        <v>0.0786308653748859+0.388688715761301i</v>
      </c>
      <c r="AN220" s="170" t="str">
        <f t="shared" si="126"/>
        <v>0.399207973753934i</v>
      </c>
      <c r="AO220" s="170" t="str">
        <f t="shared" si="127"/>
        <v>0.973649679655154-0.196967171360542i</v>
      </c>
      <c r="AP220" s="170" t="str">
        <f t="shared" si="128"/>
        <v>0.153561522437519-0.0647814526268835i</v>
      </c>
      <c r="AQ220" s="170" t="str">
        <f t="shared" si="129"/>
        <v>0.846438477562481+0.0647814526268835i</v>
      </c>
      <c r="AR220" s="170" t="str">
        <f t="shared" si="130"/>
        <v>0.978392591649995-0.0748804490894488i</v>
      </c>
    </row>
    <row r="221" spans="7:44">
      <c r="G221" s="688">
        <v>12808.75</v>
      </c>
      <c r="H221" s="676">
        <f t="shared" si="122"/>
        <v>12.80875</v>
      </c>
      <c r="I221" s="677">
        <f t="shared" si="102"/>
        <v>157.89697271148322</v>
      </c>
      <c r="J221" s="678">
        <f t="shared" si="103"/>
        <v>1.5644630408050266</v>
      </c>
      <c r="K221" s="678">
        <f t="shared" si="104"/>
        <v>1.0006850309203386</v>
      </c>
      <c r="L221" s="679">
        <f t="shared" si="105"/>
        <v>3.7003786094483196E-2</v>
      </c>
      <c r="M221" s="678">
        <f t="shared" si="106"/>
        <v>1.0023616206037069</v>
      </c>
      <c r="N221" s="679">
        <f t="shared" si="107"/>
        <v>-6.8658316916307735E-2</v>
      </c>
      <c r="O221" s="677">
        <f t="shared" si="108"/>
        <v>144863.54948392656</v>
      </c>
      <c r="P221" s="680">
        <f t="shared" si="109"/>
        <v>1.5707894237471418</v>
      </c>
      <c r="Q221" s="689">
        <f t="shared" si="131"/>
        <v>68.576038318254689</v>
      </c>
      <c r="R221" s="690">
        <f t="shared" si="132"/>
        <v>1.5562134569069141</v>
      </c>
      <c r="S221" s="677">
        <f t="shared" si="110"/>
        <v>1.1351210866200534</v>
      </c>
      <c r="T221" s="680">
        <f t="shared" si="111"/>
        <v>0.49290222201727829</v>
      </c>
      <c r="U221" s="681">
        <f t="shared" si="123"/>
        <v>0.97447449141406717</v>
      </c>
      <c r="V221" s="682">
        <f t="shared" si="124"/>
        <v>-0.27753772471489802</v>
      </c>
      <c r="W221" s="683">
        <f t="shared" si="112"/>
        <v>-5.7482071967954145</v>
      </c>
      <c r="X221" s="684">
        <f t="shared" si="113"/>
        <v>-136.42889931508654</v>
      </c>
      <c r="Y221" s="687">
        <f t="shared" si="114"/>
        <v>43.571100684913461</v>
      </c>
      <c r="AA221" s="170">
        <f t="shared" si="115"/>
        <v>12808.75</v>
      </c>
      <c r="AB221" s="170">
        <f t="shared" si="116"/>
        <v>164064076.5625</v>
      </c>
      <c r="AD221" s="686">
        <f t="shared" si="117"/>
        <v>37.508871670167224</v>
      </c>
      <c r="AE221" s="687">
        <f t="shared" si="118"/>
        <v>-29.076358449702592</v>
      </c>
      <c r="AG221" s="686">
        <f t="shared" si="119"/>
        <v>12.284164698032683</v>
      </c>
      <c r="AH221" s="687">
        <f t="shared" si="120"/>
        <v>-75.549060265388491</v>
      </c>
      <c r="AJ221" s="170">
        <f t="shared" si="121"/>
        <v>0</v>
      </c>
      <c r="AK221" s="170">
        <f t="shared" si="133"/>
        <v>0</v>
      </c>
      <c r="AM221" s="170" t="str">
        <f t="shared" si="125"/>
        <v>0.079525761591131+0.390803245157474i</v>
      </c>
      <c r="AN221" s="170" t="str">
        <f t="shared" si="126"/>
        <v>0.401504073952393i</v>
      </c>
      <c r="AO221" s="170" t="str">
        <f t="shared" si="127"/>
        <v>0.973348143918988-0.198069625566391i</v>
      </c>
      <c r="AP221" s="170" t="str">
        <f t="shared" si="128"/>
        <v>0.153412373068145-0.0651338741929123i</v>
      </c>
      <c r="AQ221" s="170" t="str">
        <f t="shared" si="129"/>
        <v>0.846587626931855+0.0651338741929123i</v>
      </c>
      <c r="AR221" s="170" t="str">
        <f t="shared" si="130"/>
        <v>0.978160105143878-0.0752566600339596i</v>
      </c>
    </row>
    <row r="222" spans="7:44">
      <c r="G222" s="688">
        <v>12882</v>
      </c>
      <c r="H222" s="676">
        <f t="shared" si="122"/>
        <v>12.882</v>
      </c>
      <c r="I222" s="677">
        <f t="shared" si="102"/>
        <v>158.79990942739349</v>
      </c>
      <c r="J222" s="678">
        <f t="shared" si="103"/>
        <v>1.5644990523637337</v>
      </c>
      <c r="K222" s="678">
        <f t="shared" si="104"/>
        <v>1.000692885640329</v>
      </c>
      <c r="L222" s="679">
        <f t="shared" si="105"/>
        <v>3.7215206604571449E-2</v>
      </c>
      <c r="M222" s="678">
        <f t="shared" si="106"/>
        <v>1.002388676583674</v>
      </c>
      <c r="N222" s="679">
        <f t="shared" si="107"/>
        <v>-6.9049713139037919E-2</v>
      </c>
      <c r="O222" s="677">
        <f t="shared" si="108"/>
        <v>145691.98746571192</v>
      </c>
      <c r="P222" s="680">
        <f t="shared" si="109"/>
        <v>1.5707894629994512</v>
      </c>
      <c r="Q222" s="689">
        <f t="shared" si="131"/>
        <v>68.968124172510926</v>
      </c>
      <c r="R222" s="690">
        <f t="shared" si="132"/>
        <v>1.5562963667868279</v>
      </c>
      <c r="S222" s="677">
        <f t="shared" si="110"/>
        <v>1.1365777721042383</v>
      </c>
      <c r="T222" s="680">
        <f t="shared" si="111"/>
        <v>0.49528307599276844</v>
      </c>
      <c r="U222" s="681">
        <f t="shared" si="123"/>
        <v>0.97419660137619946</v>
      </c>
      <c r="V222" s="682">
        <f t="shared" si="124"/>
        <v>-0.27908557579734306</v>
      </c>
      <c r="W222" s="683">
        <f t="shared" si="112"/>
        <v>-5.811060618636219</v>
      </c>
      <c r="X222" s="684">
        <f t="shared" si="113"/>
        <v>-136.66162455599334</v>
      </c>
      <c r="Y222" s="687">
        <f t="shared" si="114"/>
        <v>43.338375444006658</v>
      </c>
      <c r="AA222" s="170">
        <f t="shared" si="115"/>
        <v>12882</v>
      </c>
      <c r="AB222" s="170">
        <f t="shared" si="116"/>
        <v>165945924</v>
      </c>
      <c r="AD222" s="686">
        <f t="shared" si="117"/>
        <v>37.497721859157245</v>
      </c>
      <c r="AE222" s="687">
        <f t="shared" si="118"/>
        <v>-29.208023197078251</v>
      </c>
      <c r="AG222" s="686">
        <f t="shared" si="119"/>
        <v>12.237415688777729</v>
      </c>
      <c r="AH222" s="687">
        <f t="shared" si="120"/>
        <v>-75.472750090039284</v>
      </c>
      <c r="AJ222" s="170">
        <f t="shared" si="121"/>
        <v>0</v>
      </c>
      <c r="AK222" s="170">
        <f t="shared" si="133"/>
        <v>0</v>
      </c>
      <c r="AM222" s="170" t="str">
        <f t="shared" si="125"/>
        <v>0.080425510615497+0.392915714210096i</v>
      </c>
      <c r="AN222" s="170" t="str">
        <f t="shared" si="126"/>
        <v>0.403800174150852i</v>
      </c>
      <c r="AO222" s="170" t="str">
        <f t="shared" si="127"/>
        <v>0.973044935001217-0.199171560003963i</v>
      </c>
      <c r="AP222" s="170" t="str">
        <f t="shared" si="128"/>
        <v>0.153262414897417-0.0654859523683493i</v>
      </c>
      <c r="AQ222" s="170" t="str">
        <f t="shared" si="129"/>
        <v>0.846737585102583+0.0654859523683493i</v>
      </c>
      <c r="AR222" s="170" t="str">
        <f t="shared" si="130"/>
        <v>0.977926551791552-0.0756319935681219i</v>
      </c>
    </row>
    <row r="223" spans="7:44">
      <c r="G223" s="688">
        <v>12957.25</v>
      </c>
      <c r="H223" s="676">
        <f t="shared" si="122"/>
        <v>12.95725</v>
      </c>
      <c r="I223" s="677">
        <f t="shared" si="102"/>
        <v>159.72749991750317</v>
      </c>
      <c r="J223" s="678">
        <f t="shared" si="103"/>
        <v>1.5645356232010805</v>
      </c>
      <c r="K223" s="678">
        <f t="shared" si="104"/>
        <v>1.0007010014011264</v>
      </c>
      <c r="L223" s="679">
        <f t="shared" si="105"/>
        <v>3.7432396222155363E-2</v>
      </c>
      <c r="M223" s="678">
        <f t="shared" si="106"/>
        <v>1.0024166311878908</v>
      </c>
      <c r="N223" s="679">
        <f t="shared" si="107"/>
        <v>-6.9451773883135212E-2</v>
      </c>
      <c r="O223" s="677">
        <f t="shared" si="108"/>
        <v>146543.04491457698</v>
      </c>
      <c r="P223" s="680">
        <f t="shared" si="109"/>
        <v>1.5707895028613514</v>
      </c>
      <c r="Q223" s="689">
        <f t="shared" si="131"/>
        <v>69.370915930609783</v>
      </c>
      <c r="R223" s="690">
        <f t="shared" si="132"/>
        <v>1.5563805644667668</v>
      </c>
      <c r="S223" s="677">
        <f t="shared" si="110"/>
        <v>1.1380809220558195</v>
      </c>
      <c r="T223" s="680">
        <f t="shared" si="111"/>
        <v>0.49772257532539793</v>
      </c>
      <c r="U223" s="681">
        <f t="shared" si="123"/>
        <v>0.97390970922462428</v>
      </c>
      <c r="V223" s="682">
        <f t="shared" si="124"/>
        <v>-0.28067501709364684</v>
      </c>
      <c r="W223" s="683">
        <f t="shared" si="112"/>
        <v>-5.875385384591687</v>
      </c>
      <c r="X223" s="684">
        <f t="shared" si="113"/>
        <v>-136.90033165236241</v>
      </c>
      <c r="Y223" s="687">
        <f t="shared" si="114"/>
        <v>43.099668347637589</v>
      </c>
      <c r="AA223" s="170">
        <f t="shared" si="115"/>
        <v>12957.25</v>
      </c>
      <c r="AB223" s="170">
        <f t="shared" si="116"/>
        <v>167890327.5625</v>
      </c>
      <c r="AD223" s="686">
        <f t="shared" si="117"/>
        <v>37.48623158775775</v>
      </c>
      <c r="AE223" s="687">
        <f t="shared" si="118"/>
        <v>-29.342974325330442</v>
      </c>
      <c r="AG223" s="686">
        <f t="shared" si="119"/>
        <v>12.189697780664837</v>
      </c>
      <c r="AH223" s="687">
        <f t="shared" si="120"/>
        <v>-75.394369501824002</v>
      </c>
      <c r="AJ223" s="170">
        <f t="shared" si="121"/>
        <v>0</v>
      </c>
      <c r="AK223" s="170">
        <f t="shared" si="133"/>
        <v>0</v>
      </c>
      <c r="AM223" s="170" t="str">
        <f t="shared" si="125"/>
        <v>0.081354874548212+0.395083704401573i</v>
      </c>
      <c r="AN223" s="170" t="str">
        <f t="shared" si="126"/>
        <v>0.406158966504901i</v>
      </c>
      <c r="AO223" s="170" t="str">
        <f t="shared" si="127"/>
        <v>0.97273170601493-0.200303037129257i</v>
      </c>
      <c r="AP223" s="170" t="str">
        <f t="shared" si="128"/>
        <v>0.153107520908631-0.0658472840669288i</v>
      </c>
      <c r="AQ223" s="170" t="str">
        <f t="shared" si="129"/>
        <v>0.846892479091369+0.0658472840669288i</v>
      </c>
      <c r="AR223" s="170" t="str">
        <f t="shared" si="130"/>
        <v>0.977685514959455-0.0760166578651494i</v>
      </c>
    </row>
    <row r="224" spans="7:44">
      <c r="G224" s="688">
        <v>13032.5</v>
      </c>
      <c r="H224" s="676">
        <f t="shared" si="122"/>
        <v>13.032500000000001</v>
      </c>
      <c r="I224" s="677">
        <f t="shared" si="102"/>
        <v>160.65509061876972</v>
      </c>
      <c r="J224" s="678">
        <f t="shared" si="103"/>
        <v>1.5645717717329193</v>
      </c>
      <c r="K224" s="678">
        <f t="shared" si="104"/>
        <v>1.0007091643655543</v>
      </c>
      <c r="L224" s="679">
        <f t="shared" si="105"/>
        <v>3.7649582306674645E-2</v>
      </c>
      <c r="M224" s="678">
        <f t="shared" si="106"/>
        <v>1.0024447478265519</v>
      </c>
      <c r="N224" s="679">
        <f t="shared" si="107"/>
        <v>-6.9853812138165758E-2</v>
      </c>
      <c r="O224" s="677">
        <f t="shared" si="108"/>
        <v>147394.10236344227</v>
      </c>
      <c r="P224" s="680">
        <f t="shared" si="109"/>
        <v>1.5707895422629243</v>
      </c>
      <c r="Q224" s="689">
        <f t="shared" si="131"/>
        <v>69.773708174818367</v>
      </c>
      <c r="R224" s="690">
        <f t="shared" si="132"/>
        <v>1.5564637900283258</v>
      </c>
      <c r="S224" s="677">
        <f t="shared" si="110"/>
        <v>1.1395908270149051</v>
      </c>
      <c r="T224" s="680">
        <f t="shared" si="111"/>
        <v>0.50015562465878827</v>
      </c>
      <c r="U224" s="681">
        <f t="shared" si="123"/>
        <v>0.97362138715414259</v>
      </c>
      <c r="V224" s="682">
        <f t="shared" si="124"/>
        <v>-0.28226377426730992</v>
      </c>
      <c r="W224" s="683">
        <f t="shared" si="112"/>
        <v>-5.9394650802104803</v>
      </c>
      <c r="X224" s="684">
        <f t="shared" si="113"/>
        <v>-137.13866038314012</v>
      </c>
      <c r="Y224" s="687">
        <f t="shared" si="114"/>
        <v>42.86133961685988</v>
      </c>
      <c r="AA224" s="170">
        <f t="shared" si="115"/>
        <v>13032.5</v>
      </c>
      <c r="AB224" s="170">
        <f t="shared" si="116"/>
        <v>169846056.25</v>
      </c>
      <c r="AD224" s="686">
        <f t="shared" si="117"/>
        <v>37.474705164682838</v>
      </c>
      <c r="AE224" s="687">
        <f t="shared" si="118"/>
        <v>-29.47761156775357</v>
      </c>
      <c r="AG224" s="686">
        <f t="shared" si="119"/>
        <v>12.142288115239474</v>
      </c>
      <c r="AH224" s="687">
        <f t="shared" si="120"/>
        <v>-75.316002828526493</v>
      </c>
      <c r="AJ224" s="170">
        <f t="shared" si="121"/>
        <v>0</v>
      </c>
      <c r="AK224" s="170">
        <f t="shared" si="133"/>
        <v>0</v>
      </c>
      <c r="AM224" s="170" t="str">
        <f t="shared" si="125"/>
        <v>0.082289349729429+0.397249496387303i</v>
      </c>
      <c r="AN224" s="170" t="str">
        <f t="shared" si="126"/>
        <v>0.408517758858949i</v>
      </c>
      <c r="AO224" s="170" t="str">
        <f t="shared" si="127"/>
        <v>0.972416713282869-0.201433959589114i</v>
      </c>
      <c r="AP224" s="170" t="str">
        <f t="shared" si="128"/>
        <v>0.152951775045095-0.0662082493978838i</v>
      </c>
      <c r="AQ224" s="170" t="str">
        <f t="shared" si="129"/>
        <v>0.847048224954905+0.0662082493978838i</v>
      </c>
      <c r="AR224" s="170" t="str">
        <f t="shared" si="130"/>
        <v>0.977443361079239-0.076400388922467i</v>
      </c>
    </row>
    <row r="225" spans="7:44">
      <c r="G225" s="688">
        <v>13107.75</v>
      </c>
      <c r="H225" s="676">
        <f t="shared" si="122"/>
        <v>13.107749999999999</v>
      </c>
      <c r="I225" s="677">
        <f t="shared" si="102"/>
        <v>161.58268152755664</v>
      </c>
      <c r="J225" s="678">
        <f t="shared" si="103"/>
        <v>1.5646075052320896</v>
      </c>
      <c r="K225" s="678">
        <f t="shared" si="104"/>
        <v>1.0007173745324571</v>
      </c>
      <c r="L225" s="679">
        <f t="shared" si="105"/>
        <v>3.7866764837726746E-2</v>
      </c>
      <c r="M225" s="678">
        <f t="shared" si="106"/>
        <v>1.0024730264860238</v>
      </c>
      <c r="N225" s="679">
        <f t="shared" si="107"/>
        <v>-7.0255827776060598E-2</v>
      </c>
      <c r="O225" s="677">
        <f t="shared" si="108"/>
        <v>148245.1598123078</v>
      </c>
      <c r="P225" s="680">
        <f t="shared" si="109"/>
        <v>1.570789581212098</v>
      </c>
      <c r="Q225" s="689">
        <f t="shared" si="131"/>
        <v>70.176500896766271</v>
      </c>
      <c r="R225" s="690">
        <f t="shared" si="132"/>
        <v>1.556546060209373</v>
      </c>
      <c r="S225" s="677">
        <f t="shared" si="110"/>
        <v>1.1411074601669675</v>
      </c>
      <c r="T225" s="680">
        <f t="shared" si="111"/>
        <v>0.50258222084796256</v>
      </c>
      <c r="U225" s="681">
        <f t="shared" si="123"/>
        <v>0.97333163901813358</v>
      </c>
      <c r="V225" s="682">
        <f t="shared" si="124"/>
        <v>-0.28385184416157505</v>
      </c>
      <c r="W225" s="683">
        <f t="shared" si="112"/>
        <v>-6.0033026914035084</v>
      </c>
      <c r="X225" s="684">
        <f t="shared" si="113"/>
        <v>-137.37660983924297</v>
      </c>
      <c r="Y225" s="687">
        <f t="shared" si="114"/>
        <v>42.623390160757026</v>
      </c>
      <c r="AA225" s="170">
        <f t="shared" si="115"/>
        <v>13107.75</v>
      </c>
      <c r="AB225" s="170">
        <f t="shared" si="116"/>
        <v>171813110.0625</v>
      </c>
      <c r="AD225" s="686">
        <f t="shared" si="117"/>
        <v>37.463142954293936</v>
      </c>
      <c r="AE225" s="687">
        <f t="shared" si="118"/>
        <v>-29.611933785598755</v>
      </c>
      <c r="AG225" s="686">
        <f t="shared" si="119"/>
        <v>12.095183297016352</v>
      </c>
      <c r="AH225" s="687">
        <f t="shared" si="120"/>
        <v>-75.23765066154985</v>
      </c>
      <c r="AJ225" s="170">
        <f t="shared" si="121"/>
        <v>0</v>
      </c>
      <c r="AK225" s="170">
        <f t="shared" si="133"/>
        <v>0</v>
      </c>
      <c r="AM225" s="170" t="str">
        <f t="shared" si="125"/>
        <v>0.083228930959823+0.399413078117043i</v>
      </c>
      <c r="AN225" s="170" t="str">
        <f t="shared" si="126"/>
        <v>0.410876551212998i</v>
      </c>
      <c r="AO225" s="170" t="str">
        <f t="shared" si="127"/>
        <v>0.972099957853247-0.202564324282106i</v>
      </c>
      <c r="AP225" s="170" t="str">
        <f t="shared" si="128"/>
        <v>0.152795178173363-0.0665688463528405i</v>
      </c>
      <c r="AQ225" s="170" t="str">
        <f t="shared" si="129"/>
        <v>0.847204821826637+0.0665688463528405i</v>
      </c>
      <c r="AR225" s="170" t="str">
        <f t="shared" si="130"/>
        <v>0.977200094655712-0.0767831830995276i</v>
      </c>
    </row>
    <row r="226" spans="7:44">
      <c r="G226" s="688">
        <v>13183</v>
      </c>
      <c r="H226" s="676">
        <f t="shared" si="122"/>
        <v>13.183</v>
      </c>
      <c r="I226" s="677">
        <f t="shared" si="102"/>
        <v>162.5102726403104</v>
      </c>
      <c r="J226" s="678">
        <f t="shared" si="103"/>
        <v>1.5646428308053844</v>
      </c>
      <c r="K226" s="678">
        <f t="shared" si="104"/>
        <v>1.0007256319006732</v>
      </c>
      <c r="L226" s="679">
        <f t="shared" si="105"/>
        <v>3.8083943794911153E-2</v>
      </c>
      <c r="M226" s="678">
        <f t="shared" si="106"/>
        <v>1.0025014671525949</v>
      </c>
      <c r="N226" s="679">
        <f t="shared" si="107"/>
        <v>-7.0657820668794447E-2</v>
      </c>
      <c r="O226" s="677">
        <f t="shared" si="108"/>
        <v>149096.21726117356</v>
      </c>
      <c r="P226" s="680">
        <f t="shared" si="109"/>
        <v>1.5707896197166193</v>
      </c>
      <c r="Q226" s="689">
        <f t="shared" si="131"/>
        <v>70.579294088274182</v>
      </c>
      <c r="R226" s="690">
        <f t="shared" si="132"/>
        <v>1.5566273913657396</v>
      </c>
      <c r="S226" s="677">
        <f t="shared" si="110"/>
        <v>1.1426307947206744</v>
      </c>
      <c r="T226" s="680">
        <f t="shared" si="111"/>
        <v>0.50500236106859009</v>
      </c>
      <c r="U226" s="681">
        <f t="shared" si="123"/>
        <v>0.97304046868293681</v>
      </c>
      <c r="V226" s="682">
        <f t="shared" si="124"/>
        <v>-0.2854392236324666</v>
      </c>
      <c r="W226" s="683">
        <f t="shared" si="112"/>
        <v>-6.0669011472431116</v>
      </c>
      <c r="X226" s="684">
        <f t="shared" si="113"/>
        <v>-137.61417914305875</v>
      </c>
      <c r="Y226" s="687">
        <f t="shared" si="114"/>
        <v>42.385820856941251</v>
      </c>
      <c r="AA226" s="170">
        <f t="shared" si="115"/>
        <v>13183</v>
      </c>
      <c r="AB226" s="170">
        <f t="shared" si="116"/>
        <v>173791489</v>
      </c>
      <c r="AD226" s="686">
        <f t="shared" si="117"/>
        <v>37.451545319794796</v>
      </c>
      <c r="AE226" s="687">
        <f t="shared" si="118"/>
        <v>-29.745939880367533</v>
      </c>
      <c r="AG226" s="686">
        <f t="shared" si="119"/>
        <v>12.048379988332908</v>
      </c>
      <c r="AH226" s="687">
        <f t="shared" si="120"/>
        <v>-75.159313582053414</v>
      </c>
      <c r="AJ226" s="170">
        <f t="shared" si="121"/>
        <v>0</v>
      </c>
      <c r="AK226" s="170">
        <f t="shared" si="133"/>
        <v>0</v>
      </c>
      <c r="AM226" s="170" t="str">
        <f t="shared" si="125"/>
        <v>0.084173613011658+0.40157443755284i</v>
      </c>
      <c r="AN226" s="170" t="str">
        <f t="shared" si="126"/>
        <v>0.413235343567046i</v>
      </c>
      <c r="AO226" s="170" t="str">
        <f t="shared" si="127"/>
        <v>0.971781440780091-0.203694128108868i</v>
      </c>
      <c r="AP226" s="170" t="str">
        <f t="shared" si="128"/>
        <v>0.152637731164724-0.0669290729254733i</v>
      </c>
      <c r="AQ226" s="170" t="str">
        <f t="shared" si="129"/>
        <v>0.847362268835276+0.0669290729254733i</v>
      </c>
      <c r="AR226" s="170" t="str">
        <f t="shared" si="130"/>
        <v>0.976955720206635-0.0771650367823719i</v>
      </c>
    </row>
    <row r="227" spans="7:44">
      <c r="G227" s="688">
        <v>13259.75</v>
      </c>
      <c r="H227" s="676">
        <f t="shared" si="122"/>
        <v>13.25975</v>
      </c>
      <c r="I227" s="677">
        <f t="shared" si="102"/>
        <v>163.45635414786358</v>
      </c>
      <c r="J227" s="678">
        <f t="shared" si="103"/>
        <v>1.5646784475401259</v>
      </c>
      <c r="K227" s="678">
        <f t="shared" si="104"/>
        <v>1.0007341024884053</v>
      </c>
      <c r="L227" s="679">
        <f t="shared" si="105"/>
        <v>3.8305448198154096E-2</v>
      </c>
      <c r="M227" s="678">
        <f t="shared" si="106"/>
        <v>1.0025306416118067</v>
      </c>
      <c r="N227" s="679">
        <f t="shared" si="107"/>
        <v>-7.1067803146414782E-2</v>
      </c>
      <c r="O227" s="677">
        <f t="shared" si="108"/>
        <v>149964.23931034916</v>
      </c>
      <c r="P227" s="680">
        <f t="shared" si="109"/>
        <v>1.5707896585384868</v>
      </c>
      <c r="Q227" s="689">
        <f t="shared" si="131"/>
        <v>70.990116855350323</v>
      </c>
      <c r="R227" s="690">
        <f t="shared" si="132"/>
        <v>1.5567093930260656</v>
      </c>
      <c r="S227" s="677">
        <f t="shared" si="110"/>
        <v>1.1441913700989406</v>
      </c>
      <c r="T227" s="680">
        <f t="shared" si="111"/>
        <v>0.50746409040238816</v>
      </c>
      <c r="U227" s="681">
        <f t="shared" si="123"/>
        <v>0.97274203330449638</v>
      </c>
      <c r="V227" s="682">
        <f t="shared" si="124"/>
        <v>-0.28705753076784946</v>
      </c>
      <c r="W227" s="683">
        <f t="shared" si="112"/>
        <v>-6.1315239721520429</v>
      </c>
      <c r="X227" s="684">
        <f t="shared" si="113"/>
        <v>-137.85609157533145</v>
      </c>
      <c r="Y227" s="687">
        <f t="shared" si="114"/>
        <v>42.143908424668552</v>
      </c>
      <c r="AA227" s="170">
        <f t="shared" si="115"/>
        <v>13259.75</v>
      </c>
      <c r="AB227" s="170">
        <f t="shared" si="116"/>
        <v>175820970.0625</v>
      </c>
      <c r="AD227" s="686">
        <f t="shared" si="117"/>
        <v>37.439680388262019</v>
      </c>
      <c r="AE227" s="687">
        <f t="shared" si="118"/>
        <v>-29.882290456932932</v>
      </c>
      <c r="AG227" s="686">
        <f t="shared" si="119"/>
        <v>12.000950905918735</v>
      </c>
      <c r="AH227" s="687">
        <f t="shared" si="120"/>
        <v>-75.079431099922104</v>
      </c>
      <c r="AJ227" s="170">
        <f t="shared" si="121"/>
        <v>0</v>
      </c>
      <c r="AK227" s="170">
        <f t="shared" si="133"/>
        <v>0</v>
      </c>
      <c r="AM227" s="170" t="str">
        <f t="shared" si="125"/>
        <v>0.085142374835611+0.403776578912861i</v>
      </c>
      <c r="AN227" s="170" t="str">
        <f t="shared" si="126"/>
        <v>0.415641155037786i</v>
      </c>
      <c r="AO227" s="170" t="str">
        <f t="shared" si="127"/>
        <v>0.97145476096118-0.204845871982698i</v>
      </c>
      <c r="AP227" s="170" t="str">
        <f t="shared" si="128"/>
        <v>0.152476270860731-0.0672960964854768i</v>
      </c>
      <c r="AQ227" s="170" t="str">
        <f t="shared" si="129"/>
        <v>0.847523729139269+0.0672960964854768i</v>
      </c>
      <c r="AR227" s="170" t="str">
        <f t="shared" si="130"/>
        <v>0.976705337828032-0.0775535296446605i</v>
      </c>
    </row>
    <row r="228" spans="7:44">
      <c r="G228" s="688">
        <v>13336.5</v>
      </c>
      <c r="H228" s="676">
        <f t="shared" si="122"/>
        <v>13.336499999999999</v>
      </c>
      <c r="I228" s="677">
        <f t="shared" si="102"/>
        <v>164.40243586038309</v>
      </c>
      <c r="J228" s="678">
        <f t="shared" si="103"/>
        <v>1.5647136543498248</v>
      </c>
      <c r="K228" s="678">
        <f t="shared" si="104"/>
        <v>1.000742622175524</v>
      </c>
      <c r="L228" s="679">
        <f t="shared" si="105"/>
        <v>3.8526948840769008E-2</v>
      </c>
      <c r="M228" s="678">
        <f t="shared" si="106"/>
        <v>1.0025599845721911</v>
      </c>
      <c r="N228" s="679">
        <f t="shared" si="107"/>
        <v>-7.1477761694177147E-2</v>
      </c>
      <c r="O228" s="677">
        <f t="shared" si="108"/>
        <v>150832.26135952494</v>
      </c>
      <c r="P228" s="680">
        <f t="shared" si="109"/>
        <v>1.5707896969135238</v>
      </c>
      <c r="Q228" s="689">
        <f t="shared" si="131"/>
        <v>71.400940094290149</v>
      </c>
      <c r="R228" s="690">
        <f t="shared" si="132"/>
        <v>1.556790451052642</v>
      </c>
      <c r="S228" s="677">
        <f t="shared" si="110"/>
        <v>1.1457588604911551</v>
      </c>
      <c r="T228" s="680">
        <f t="shared" si="111"/>
        <v>0.50991909889201703</v>
      </c>
      <c r="U228" s="681">
        <f t="shared" si="123"/>
        <v>0.97244212662765206</v>
      </c>
      <c r="V228" s="682">
        <f t="shared" si="124"/>
        <v>-0.28867511311473948</v>
      </c>
      <c r="W228" s="683">
        <f t="shared" si="112"/>
        <v>-6.1959039921485335</v>
      </c>
      <c r="X228" s="684">
        <f t="shared" si="113"/>
        <v>-138.09760680231943</v>
      </c>
      <c r="Y228" s="687">
        <f t="shared" si="114"/>
        <v>41.902393197680567</v>
      </c>
      <c r="AA228" s="170">
        <f t="shared" si="115"/>
        <v>13336.5</v>
      </c>
      <c r="AB228" s="170">
        <f t="shared" si="116"/>
        <v>177862232.25</v>
      </c>
      <c r="AD228" s="686">
        <f t="shared" si="117"/>
        <v>37.427779365694583</v>
      </c>
      <c r="AE228" s="687">
        <f t="shared" si="118"/>
        <v>-30.018309998122071</v>
      </c>
      <c r="AG228" s="686">
        <f t="shared" si="119"/>
        <v>11.953828637936867</v>
      </c>
      <c r="AH228" s="687">
        <f t="shared" si="120"/>
        <v>-74.999565502525869</v>
      </c>
      <c r="AJ228" s="170">
        <f t="shared" si="121"/>
        <v>0</v>
      </c>
      <c r="AK228" s="170">
        <f t="shared" si="133"/>
        <v>0</v>
      </c>
      <c r="AM228" s="170" t="str">
        <f t="shared" si="125"/>
        <v>0.086116431787837+0.405976383243908i</v>
      </c>
      <c r="AN228" s="170" t="str">
        <f t="shared" si="126"/>
        <v>0.418046966508527i</v>
      </c>
      <c r="AO228" s="170" t="str">
        <f t="shared" si="127"/>
        <v>0.971126250800404-0.205997025901348i</v>
      </c>
      <c r="AP228" s="170" t="str">
        <f t="shared" si="128"/>
        <v>0.152313928035361-0.0676627305406513i</v>
      </c>
      <c r="AQ228" s="170" t="str">
        <f t="shared" si="129"/>
        <v>0.847686071964639+0.0676627305406513i</v>
      </c>
      <c r="AR228" s="170" t="str">
        <f t="shared" si="130"/>
        <v>0.976453812343204-0.0779410366349938i</v>
      </c>
    </row>
    <row r="229" spans="7:44">
      <c r="G229" s="688">
        <v>13413.25</v>
      </c>
      <c r="H229" s="676">
        <f t="shared" si="122"/>
        <v>13.41325</v>
      </c>
      <c r="I229" s="677">
        <f t="shared" si="102"/>
        <v>165.34851777435068</v>
      </c>
      <c r="J229" s="678">
        <f t="shared" si="103"/>
        <v>1.5647484582708517</v>
      </c>
      <c r="K229" s="678">
        <f t="shared" si="104"/>
        <v>1.0007511909607747</v>
      </c>
      <c r="L229" s="679">
        <f t="shared" si="105"/>
        <v>3.8748445701117455E-2</v>
      </c>
      <c r="M229" s="678">
        <f t="shared" si="106"/>
        <v>1.0025894960189536</v>
      </c>
      <c r="N229" s="679">
        <f t="shared" si="107"/>
        <v>-7.1887696176388544E-2</v>
      </c>
      <c r="O229" s="677">
        <f t="shared" si="108"/>
        <v>151700.28340870101</v>
      </c>
      <c r="P229" s="680">
        <f t="shared" si="109"/>
        <v>1.5707897348494002</v>
      </c>
      <c r="Q229" s="689">
        <f t="shared" si="131"/>
        <v>71.811763796995308</v>
      </c>
      <c r="R229" s="690">
        <f t="shared" si="132"/>
        <v>1.5568705816395307</v>
      </c>
      <c r="S229" s="677">
        <f t="shared" si="110"/>
        <v>1.1473332375553744</v>
      </c>
      <c r="T229" s="680">
        <f t="shared" si="111"/>
        <v>0.5123673845512956</v>
      </c>
      <c r="U229" s="681">
        <f t="shared" si="123"/>
        <v>0.97214075279543366</v>
      </c>
      <c r="V229" s="682">
        <f t="shared" si="124"/>
        <v>-0.29029196737867508</v>
      </c>
      <c r="W229" s="683">
        <f t="shared" si="112"/>
        <v>-6.2600441408004217</v>
      </c>
      <c r="X229" s="684">
        <f t="shared" si="113"/>
        <v>-138.33872399067181</v>
      </c>
      <c r="Y229" s="687">
        <f t="shared" si="114"/>
        <v>41.661276009328191</v>
      </c>
      <c r="AA229" s="170">
        <f t="shared" si="115"/>
        <v>13413.25</v>
      </c>
      <c r="AB229" s="170">
        <f t="shared" si="116"/>
        <v>179915275.5625</v>
      </c>
      <c r="AD229" s="686">
        <f t="shared" si="117"/>
        <v>37.415842633576759</v>
      </c>
      <c r="AE229" s="687">
        <f t="shared" si="118"/>
        <v>-30.153997462723158</v>
      </c>
      <c r="AG229" s="686">
        <f t="shared" si="119"/>
        <v>11.90700982062994</v>
      </c>
      <c r="AH229" s="687">
        <f t="shared" si="120"/>
        <v>-74.919717375242953</v>
      </c>
      <c r="AJ229" s="170">
        <f t="shared" si="121"/>
        <v>0</v>
      </c>
      <c r="AK229" s="170">
        <f t="shared" si="133"/>
        <v>0</v>
      </c>
      <c r="AM229" s="170" t="str">
        <f t="shared" si="125"/>
        <v>0.087095778230566+0.408173837813674i</v>
      </c>
      <c r="AN229" s="170" t="str">
        <f t="shared" si="126"/>
        <v>0.420452777979267i</v>
      </c>
      <c r="AO229" s="170" t="str">
        <f t="shared" si="127"/>
        <v>0.970795911434795-0.207147586583102i</v>
      </c>
      <c r="AP229" s="170" t="str">
        <f t="shared" si="128"/>
        <v>0.152150703628239-0.0680289729689457i</v>
      </c>
      <c r="AQ229" s="170" t="str">
        <f t="shared" si="129"/>
        <v>0.847849296371761+0.0680289729689457i</v>
      </c>
      <c r="AR229" s="170" t="str">
        <f t="shared" si="130"/>
        <v>0.976201148585936-0.0783275540047004i</v>
      </c>
    </row>
    <row r="230" spans="7:44">
      <c r="G230" s="688">
        <v>13490</v>
      </c>
      <c r="H230" s="676">
        <f t="shared" si="122"/>
        <v>13.49</v>
      </c>
      <c r="I230" s="677">
        <f t="shared" si="102"/>
        <v>166.29459988632811</v>
      </c>
      <c r="J230" s="678">
        <f t="shared" si="103"/>
        <v>1.5647828661794563</v>
      </c>
      <c r="K230" s="678">
        <f t="shared" si="104"/>
        <v>1.0007598088428966</v>
      </c>
      <c r="L230" s="679">
        <f t="shared" si="105"/>
        <v>3.8969938757563216E-2</v>
      </c>
      <c r="M230" s="678">
        <f t="shared" si="106"/>
        <v>1.0026191759372161</v>
      </c>
      <c r="N230" s="679">
        <f t="shared" si="107"/>
        <v>-7.2297606457404198E-2</v>
      </c>
      <c r="O230" s="677">
        <f t="shared" si="108"/>
        <v>152568.30545787726</v>
      </c>
      <c r="P230" s="680">
        <f t="shared" si="109"/>
        <v>1.5707897723536122</v>
      </c>
      <c r="Q230" s="689">
        <f t="shared" si="131"/>
        <v>72.222587955551703</v>
      </c>
      <c r="R230" s="690">
        <f t="shared" si="132"/>
        <v>1.5569498006123754</v>
      </c>
      <c r="S230" s="677">
        <f t="shared" si="110"/>
        <v>1.1489144729808276</v>
      </c>
      <c r="T230" s="680">
        <f t="shared" si="111"/>
        <v>0.51480894572728186</v>
      </c>
      <c r="U230" s="681">
        <f t="shared" si="123"/>
        <v>0.9718379159643189</v>
      </c>
      <c r="V230" s="682">
        <f t="shared" si="124"/>
        <v>-0.29190809027917436</v>
      </c>
      <c r="W230" s="683">
        <f t="shared" si="112"/>
        <v>-6.3239472957922818</v>
      </c>
      <c r="X230" s="684">
        <f t="shared" si="113"/>
        <v>-138.57944233885897</v>
      </c>
      <c r="Y230" s="687">
        <f t="shared" si="114"/>
        <v>41.420557661141032</v>
      </c>
      <c r="AA230" s="170">
        <f t="shared" si="115"/>
        <v>13490</v>
      </c>
      <c r="AB230" s="170">
        <f t="shared" si="116"/>
        <v>181980100</v>
      </c>
      <c r="AD230" s="686">
        <f t="shared" si="117"/>
        <v>37.403870572038748</v>
      </c>
      <c r="AE230" s="687">
        <f t="shared" si="118"/>
        <v>-30.289351849716518</v>
      </c>
      <c r="AG230" s="686">
        <f t="shared" si="119"/>
        <v>11.860491147295614</v>
      </c>
      <c r="AH230" s="687">
        <f t="shared" si="120"/>
        <v>-74.839887293479023</v>
      </c>
      <c r="AJ230" s="170">
        <f t="shared" si="121"/>
        <v>0</v>
      </c>
      <c r="AK230" s="170">
        <f t="shared" si="133"/>
        <v>0</v>
      </c>
      <c r="AM230" s="170" t="str">
        <f t="shared" si="125"/>
        <v>0.088080408495413+0.410368929903455i</v>
      </c>
      <c r="AN230" s="170" t="str">
        <f t="shared" si="126"/>
        <v>0.422858589450008i</v>
      </c>
      <c r="AO230" s="170" t="str">
        <f t="shared" si="127"/>
        <v>0.970463744007665-0.208297550748526i</v>
      </c>
      <c r="AP230" s="170" t="str">
        <f t="shared" si="128"/>
        <v>0.151986598584098-0.0683948216505758i</v>
      </c>
      <c r="AQ230" s="170" t="str">
        <f t="shared" si="129"/>
        <v>0.848013401415902+0.0683948216505758i</v>
      </c>
      <c r="AR230" s="170" t="str">
        <f t="shared" si="130"/>
        <v>0.975947351403229-0.0787130780340566i</v>
      </c>
    </row>
    <row r="231" spans="7:44">
      <c r="G231" s="688">
        <v>13568.5</v>
      </c>
      <c r="H231" s="676">
        <f t="shared" si="122"/>
        <v>13.5685</v>
      </c>
      <c r="I231" s="677">
        <f t="shared" si="102"/>
        <v>167.26225410447034</v>
      </c>
      <c r="J231" s="678">
        <f t="shared" si="103"/>
        <v>1.5648176559776439</v>
      </c>
      <c r="K231" s="678">
        <f t="shared" si="104"/>
        <v>1.0007686740114798</v>
      </c>
      <c r="L231" s="679">
        <f t="shared" si="105"/>
        <v>3.9196478186744217E-2</v>
      </c>
      <c r="M231" s="678">
        <f t="shared" si="106"/>
        <v>1.0026497068580398</v>
      </c>
      <c r="N231" s="679">
        <f t="shared" si="107"/>
        <v>-7.2716838050362123E-2</v>
      </c>
      <c r="O231" s="677">
        <f t="shared" si="108"/>
        <v>153456.11954074827</v>
      </c>
      <c r="P231" s="680">
        <f t="shared" si="109"/>
        <v>1.5707898102740632</v>
      </c>
      <c r="Q231" s="689">
        <f t="shared" si="131"/>
        <v>72.642779903698269</v>
      </c>
      <c r="R231" s="690">
        <f t="shared" si="132"/>
        <v>1.5570298989712374</v>
      </c>
      <c r="S231" s="677">
        <f t="shared" si="110"/>
        <v>1.1505388278728721</v>
      </c>
      <c r="T231" s="680">
        <f t="shared" si="111"/>
        <v>0.51729922008022966</v>
      </c>
      <c r="U231" s="681">
        <f t="shared" si="123"/>
        <v>0.9715266649885983</v>
      </c>
      <c r="V231" s="682">
        <f t="shared" si="124"/>
        <v>-0.29356030291525592</v>
      </c>
      <c r="W231" s="683">
        <f t="shared" si="112"/>
        <v>-6.3890653073576722</v>
      </c>
      <c r="X231" s="684">
        <f t="shared" si="113"/>
        <v>-138.82523599140808</v>
      </c>
      <c r="Y231" s="687">
        <f t="shared" si="114"/>
        <v>41.174764008591922</v>
      </c>
      <c r="AA231" s="170">
        <f t="shared" si="115"/>
        <v>13568.5</v>
      </c>
      <c r="AB231" s="170">
        <f t="shared" si="116"/>
        <v>184104192.25</v>
      </c>
      <c r="AD231" s="686">
        <f t="shared" si="117"/>
        <v>37.391589379734029</v>
      </c>
      <c r="AE231" s="687">
        <f t="shared" si="118"/>
        <v>-30.427446934900988</v>
      </c>
      <c r="AG231" s="686">
        <f t="shared" si="119"/>
        <v>11.813218886892223</v>
      </c>
      <c r="AH231" s="687">
        <f t="shared" si="120"/>
        <v>-74.758256238816017</v>
      </c>
      <c r="AJ231" s="170">
        <f t="shared" si="121"/>
        <v>0</v>
      </c>
      <c r="AK231" s="170">
        <f t="shared" si="133"/>
        <v>0</v>
      </c>
      <c r="AM231" s="170" t="str">
        <f t="shared" si="125"/>
        <v>0.08909294958554+0.412611615814713i</v>
      </c>
      <c r="AN231" s="170" t="str">
        <f t="shared" si="126"/>
        <v>0.425319256556889i</v>
      </c>
      <c r="AO231" s="170" t="str">
        <f t="shared" si="127"/>
        <v>0.970122112868698-0.209473115106001i</v>
      </c>
      <c r="AP231" s="170" t="str">
        <f t="shared" si="128"/>
        <v>0.151817841735743-0.0687686026357855i</v>
      </c>
      <c r="AQ231" s="170" t="str">
        <f t="shared" si="129"/>
        <v>0.848182158264257+0.0687686026357855i</v>
      </c>
      <c r="AR231" s="170" t="str">
        <f t="shared" si="130"/>
        <v>0.975686599894414-0.0791063610940696i</v>
      </c>
    </row>
    <row r="232" spans="7:44">
      <c r="G232" s="688">
        <v>13647</v>
      </c>
      <c r="H232" s="676">
        <f t="shared" si="122"/>
        <v>13.647</v>
      </c>
      <c r="I232" s="677">
        <f t="shared" si="102"/>
        <v>168.22990852272619</v>
      </c>
      <c r="J232" s="678">
        <f t="shared" si="103"/>
        <v>1.5648520455556953</v>
      </c>
      <c r="K232" s="678">
        <f t="shared" si="104"/>
        <v>1.0007775905387131</v>
      </c>
      <c r="L232" s="679">
        <f t="shared" si="105"/>
        <v>3.9423013590799826E-2</v>
      </c>
      <c r="M232" s="678">
        <f t="shared" si="106"/>
        <v>1.0026804139889418</v>
      </c>
      <c r="N232" s="679">
        <f t="shared" si="107"/>
        <v>-7.3136044039022671E-2</v>
      </c>
      <c r="O232" s="677">
        <f t="shared" si="108"/>
        <v>154343.93362361955</v>
      </c>
      <c r="P232" s="680">
        <f t="shared" si="109"/>
        <v>1.5707898477582638</v>
      </c>
      <c r="Q232" s="689">
        <f t="shared" si="131"/>
        <v>73.062972312541874</v>
      </c>
      <c r="R232" s="690">
        <f t="shared" si="132"/>
        <v>1.5571090760233719</v>
      </c>
      <c r="S232" s="677">
        <f t="shared" si="110"/>
        <v>1.1521702976487393</v>
      </c>
      <c r="T232" s="680">
        <f t="shared" si="111"/>
        <v>0.51978245735421935</v>
      </c>
      <c r="U232" s="681">
        <f t="shared" si="123"/>
        <v>0.97121389237476108</v>
      </c>
      <c r="V232" s="682">
        <f t="shared" si="124"/>
        <v>-0.29521174355869806</v>
      </c>
      <c r="W232" s="683">
        <f t="shared" si="112"/>
        <v>-6.4539413106707038</v>
      </c>
      <c r="X232" s="684">
        <f t="shared" si="113"/>
        <v>-139.07061081178395</v>
      </c>
      <c r="Y232" s="687">
        <f t="shared" si="114"/>
        <v>40.929389188216049</v>
      </c>
      <c r="AA232" s="170">
        <f t="shared" si="115"/>
        <v>13647</v>
      </c>
      <c r="AB232" s="170">
        <f t="shared" si="116"/>
        <v>186240609</v>
      </c>
      <c r="AD232" s="686">
        <f t="shared" si="117"/>
        <v>37.37927202848249</v>
      </c>
      <c r="AE232" s="687">
        <f t="shared" si="118"/>
        <v>-30.565191587152462</v>
      </c>
      <c r="AG232" s="686">
        <f t="shared" si="119"/>
        <v>11.766253793721084</v>
      </c>
      <c r="AH232" s="687">
        <f t="shared" si="120"/>
        <v>-74.676645248752919</v>
      </c>
      <c r="AJ232" s="170">
        <f t="shared" si="121"/>
        <v>0</v>
      </c>
      <c r="AK232" s="170">
        <f t="shared" si="133"/>
        <v>0</v>
      </c>
      <c r="AM232" s="170" t="str">
        <f t="shared" si="125"/>
        <v>0.090111006108144+0.414851803412335i</v>
      </c>
      <c r="AN232" s="170" t="str">
        <f t="shared" si="126"/>
        <v>0.42777992366377i</v>
      </c>
      <c r="AO232" s="170" t="str">
        <f t="shared" si="127"/>
        <v>0.96977857179292-0.210648048502085i</v>
      </c>
      <c r="AP232" s="170" t="str">
        <f t="shared" si="128"/>
        <v>0.151648165648643-0.0691419672353892i</v>
      </c>
      <c r="AQ232" s="170" t="str">
        <f t="shared" si="129"/>
        <v>0.848351834351357+0.0691419672353892i</v>
      </c>
      <c r="AR232" s="170" t="str">
        <f t="shared" si="130"/>
        <v>0.97542467298189-0.0794985972199498i</v>
      </c>
    </row>
    <row r="233" spans="7:44">
      <c r="G233" s="688">
        <v>13725.5</v>
      </c>
      <c r="H233" s="676">
        <f t="shared" si="122"/>
        <v>13.7255</v>
      </c>
      <c r="I233" s="677">
        <f t="shared" si="102"/>
        <v>169.19756313766229</v>
      </c>
      <c r="J233" s="678">
        <f t="shared" si="103"/>
        <v>1.5648860417802029</v>
      </c>
      <c r="K233" s="678">
        <f t="shared" si="104"/>
        <v>1.0007865584232236</v>
      </c>
      <c r="L233" s="679">
        <f t="shared" si="105"/>
        <v>3.964954494658713E-2</v>
      </c>
      <c r="M233" s="678">
        <f t="shared" si="106"/>
        <v>1.0027112973137338</v>
      </c>
      <c r="N233" s="679">
        <f t="shared" si="107"/>
        <v>-7.3555224278407771E-2</v>
      </c>
      <c r="O233" s="677">
        <f t="shared" si="108"/>
        <v>155231.74770649103</v>
      </c>
      <c r="P233" s="680">
        <f t="shared" si="109"/>
        <v>1.570789884813699</v>
      </c>
      <c r="Q233" s="689">
        <f t="shared" si="131"/>
        <v>73.483165174179391</v>
      </c>
      <c r="R233" s="690">
        <f t="shared" si="132"/>
        <v>1.5571873475724791</v>
      </c>
      <c r="S233" s="677">
        <f t="shared" si="110"/>
        <v>1.1538088521273879</v>
      </c>
      <c r="T233" s="680">
        <f t="shared" si="111"/>
        <v>0.52225865683965267</v>
      </c>
      <c r="U233" s="681">
        <f t="shared" si="123"/>
        <v>0.97089960261281216</v>
      </c>
      <c r="V233" s="682">
        <f t="shared" si="124"/>
        <v>-0.29686240874509467</v>
      </c>
      <c r="W233" s="683">
        <f t="shared" si="112"/>
        <v>-6.5185782118529865</v>
      </c>
      <c r="X233" s="684">
        <f t="shared" si="113"/>
        <v>-139.31556604222328</v>
      </c>
      <c r="Y233" s="687">
        <f t="shared" si="114"/>
        <v>40.684433957776719</v>
      </c>
      <c r="AA233" s="170">
        <f t="shared" si="115"/>
        <v>13725.5</v>
      </c>
      <c r="AB233" s="170">
        <f t="shared" si="116"/>
        <v>188389350.25</v>
      </c>
      <c r="AD233" s="686">
        <f t="shared" si="117"/>
        <v>37.366918920464563</v>
      </c>
      <c r="AE233" s="687">
        <f t="shared" si="118"/>
        <v>-30.702584860757497</v>
      </c>
      <c r="AG233" s="686">
        <f t="shared" si="119"/>
        <v>11.719592506589533</v>
      </c>
      <c r="AH233" s="687">
        <f t="shared" si="120"/>
        <v>-74.595054908231717</v>
      </c>
      <c r="AJ233" s="170">
        <f t="shared" si="121"/>
        <v>0</v>
      </c>
      <c r="AK233" s="170">
        <f t="shared" si="133"/>
        <v>0</v>
      </c>
      <c r="AM233" s="170" t="str">
        <f t="shared" si="125"/>
        <v>0.091134571899015+0.417089479132253i</v>
      </c>
      <c r="AN233" s="170" t="str">
        <f t="shared" si="126"/>
        <v>0.430240590770651i</v>
      </c>
      <c r="AO233" s="170" t="str">
        <f t="shared" si="127"/>
        <v>0.969433122024025-0.211822347435359i</v>
      </c>
      <c r="AP233" s="170" t="str">
        <f t="shared" si="128"/>
        <v>0.151477571350164-0.0695149131887088i</v>
      </c>
      <c r="AQ233" s="170" t="str">
        <f t="shared" si="129"/>
        <v>0.848522428649836+0.0695149131887088i</v>
      </c>
      <c r="AR233" s="170" t="str">
        <f t="shared" si="130"/>
        <v>0.975161575893373-0.0798897825259099i</v>
      </c>
    </row>
    <row r="234" spans="7:44">
      <c r="G234" s="688">
        <v>13804</v>
      </c>
      <c r="H234" s="676">
        <f t="shared" si="122"/>
        <v>13.804</v>
      </c>
      <c r="I234" s="677">
        <f t="shared" si="102"/>
        <v>170.16521794592333</v>
      </c>
      <c r="J234" s="678">
        <f t="shared" si="103"/>
        <v>1.5649196513615735</v>
      </c>
      <c r="K234" s="678">
        <f t="shared" si="104"/>
        <v>1.0007955776636306</v>
      </c>
      <c r="L234" s="679">
        <f t="shared" si="105"/>
        <v>3.9876072230965683E-2</v>
      </c>
      <c r="M234" s="678">
        <f t="shared" si="106"/>
        <v>1.0027423568161353</v>
      </c>
      <c r="N234" s="679">
        <f t="shared" si="107"/>
        <v>-7.3974378623593365E-2</v>
      </c>
      <c r="O234" s="677">
        <f t="shared" si="108"/>
        <v>156119.56178936269</v>
      </c>
      <c r="P234" s="680">
        <f t="shared" si="109"/>
        <v>1.5707899214476835</v>
      </c>
      <c r="Q234" s="689">
        <f t="shared" si="131"/>
        <v>73.903358480887476</v>
      </c>
      <c r="R234" s="690">
        <f t="shared" si="132"/>
        <v>1.5572647290628836</v>
      </c>
      <c r="S234" s="677">
        <f t="shared" si="110"/>
        <v>1.1554544611682842</v>
      </c>
      <c r="T234" s="680">
        <f t="shared" si="111"/>
        <v>0.52472781817616632</v>
      </c>
      <c r="U234" s="681">
        <f t="shared" si="123"/>
        <v>0.97058380020683266</v>
      </c>
      <c r="V234" s="682">
        <f t="shared" si="124"/>
        <v>-0.29851229502550769</v>
      </c>
      <c r="W234" s="683">
        <f t="shared" si="112"/>
        <v>-6.5829788614729914</v>
      </c>
      <c r="X234" s="684">
        <f t="shared" si="113"/>
        <v>-139.56010095749411</v>
      </c>
      <c r="Y234" s="687">
        <f t="shared" si="114"/>
        <v>40.439899042505886</v>
      </c>
      <c r="AA234" s="170">
        <f t="shared" si="115"/>
        <v>13804</v>
      </c>
      <c r="AB234" s="170">
        <f t="shared" si="116"/>
        <v>190550416</v>
      </c>
      <c r="AD234" s="686">
        <f t="shared" si="117"/>
        <v>37.354530456277494</v>
      </c>
      <c r="AE234" s="687">
        <f t="shared" si="118"/>
        <v>-30.839625850593297</v>
      </c>
      <c r="AG234" s="686">
        <f t="shared" si="119"/>
        <v>11.673231721247856</v>
      </c>
      <c r="AH234" s="687">
        <f t="shared" si="120"/>
        <v>-74.513485792362289</v>
      </c>
      <c r="AJ234" s="170">
        <f t="shared" si="121"/>
        <v>0</v>
      </c>
      <c r="AK234" s="170">
        <f t="shared" si="133"/>
        <v>0</v>
      </c>
      <c r="AM234" s="170" t="str">
        <f t="shared" si="125"/>
        <v>0.092163640760586+0.419324629425611i</v>
      </c>
      <c r="AN234" s="170" t="str">
        <f t="shared" si="126"/>
        <v>0.432701257877532i</v>
      </c>
      <c r="AO234" s="170" t="str">
        <f t="shared" si="127"/>
        <v>0.969085764812574-0.212996008406962i</v>
      </c>
      <c r="AP234" s="170" t="str">
        <f t="shared" si="128"/>
        <v>0.151306059873236-0.0698874382376018i</v>
      </c>
      <c r="AQ234" s="170" t="str">
        <f t="shared" si="129"/>
        <v>0.848693940126764+0.0698874382376018i</v>
      </c>
      <c r="AR234" s="170" t="str">
        <f t="shared" si="130"/>
        <v>0.974897313870142-0.0802799131580071i</v>
      </c>
    </row>
    <row r="235" spans="7:44">
      <c r="G235" s="688">
        <v>13884.25</v>
      </c>
      <c r="H235" s="676">
        <f t="shared" si="122"/>
        <v>13.88425</v>
      </c>
      <c r="I235" s="677">
        <f t="shared" si="102"/>
        <v>171.15444487308454</v>
      </c>
      <c r="J235" s="678">
        <f t="shared" si="103"/>
        <v>1.564953617361867</v>
      </c>
      <c r="K235" s="678">
        <f t="shared" si="104"/>
        <v>1.0008048510544336</v>
      </c>
      <c r="L235" s="679">
        <f t="shared" si="105"/>
        <v>4.0107645253990652E-2</v>
      </c>
      <c r="M235" s="678">
        <f t="shared" si="106"/>
        <v>1.0027742908234556</v>
      </c>
      <c r="N235" s="679">
        <f t="shared" si="107"/>
        <v>-7.4402850256541017E-2</v>
      </c>
      <c r="O235" s="677">
        <f t="shared" si="108"/>
        <v>157027.16790592918</v>
      </c>
      <c r="P235" s="680">
        <f t="shared" si="109"/>
        <v>1.5707899584701452</v>
      </c>
      <c r="Q235" s="689">
        <f t="shared" si="131"/>
        <v>74.332919606509705</v>
      </c>
      <c r="R235" s="690">
        <f t="shared" si="132"/>
        <v>1.5573429312929774</v>
      </c>
      <c r="S235" s="677">
        <f t="shared" si="110"/>
        <v>1.1571440166338689</v>
      </c>
      <c r="T235" s="680">
        <f t="shared" si="111"/>
        <v>0.5272447492470167</v>
      </c>
      <c r="U235" s="681">
        <f t="shared" si="123"/>
        <v>0.97025939872281863</v>
      </c>
      <c r="V235" s="682">
        <f t="shared" si="124"/>
        <v>-0.30019815348912077</v>
      </c>
      <c r="W235" s="683">
        <f t="shared" si="112"/>
        <v>-6.6485738956722562</v>
      </c>
      <c r="X235" s="684">
        <f t="shared" si="113"/>
        <v>-139.80965209158802</v>
      </c>
      <c r="Y235" s="687">
        <f t="shared" si="114"/>
        <v>40.190347908411979</v>
      </c>
      <c r="AA235" s="170">
        <f t="shared" si="115"/>
        <v>13884.25</v>
      </c>
      <c r="AB235" s="170">
        <f t="shared" si="116"/>
        <v>192772398.0625</v>
      </c>
      <c r="AD235" s="686">
        <f t="shared" si="117"/>
        <v>37.341829684376904</v>
      </c>
      <c r="AE235" s="687">
        <f t="shared" si="118"/>
        <v>-30.979356841935953</v>
      </c>
      <c r="AG235" s="686">
        <f t="shared" si="119"/>
        <v>11.626144657627286</v>
      </c>
      <c r="AH235" s="687">
        <f t="shared" si="120"/>
        <v>-74.430120785249926</v>
      </c>
      <c r="AJ235" s="170">
        <f t="shared" si="121"/>
        <v>0</v>
      </c>
      <c r="AK235" s="170">
        <f t="shared" si="133"/>
        <v>0</v>
      </c>
      <c r="AM235" s="170" t="str">
        <f t="shared" si="125"/>
        <v>0.093221332616916+0.421606983313794i</v>
      </c>
      <c r="AN235" s="170" t="str">
        <f t="shared" si="126"/>
        <v>0.435216780620554i</v>
      </c>
      <c r="AO235" s="170" t="str">
        <f t="shared" si="127"/>
        <v>0.96872869357805-0.214195170700901i</v>
      </c>
      <c r="AP235" s="170" t="str">
        <f t="shared" si="128"/>
        <v>0.151129777897181-0.070267830552299i</v>
      </c>
      <c r="AQ235" s="170" t="str">
        <f t="shared" si="129"/>
        <v>0.848870222102819+0.070267830552299i</v>
      </c>
      <c r="AR235" s="170" t="str">
        <f t="shared" si="130"/>
        <v>0.974625961948357-0.0806776467861107i</v>
      </c>
    </row>
    <row r="236" spans="7:44">
      <c r="G236" s="688">
        <v>13964.5</v>
      </c>
      <c r="H236" s="676">
        <f t="shared" si="122"/>
        <v>13.964499999999999</v>
      </c>
      <c r="I236" s="677">
        <f t="shared" si="102"/>
        <v>172.1436719954354</v>
      </c>
      <c r="J236" s="678">
        <f t="shared" si="103"/>
        <v>1.564987192989572</v>
      </c>
      <c r="K236" s="678">
        <f t="shared" si="104"/>
        <v>1.0008141781134665</v>
      </c>
      <c r="L236" s="679">
        <f t="shared" si="105"/>
        <v>4.0339213973157255E-2</v>
      </c>
      <c r="M236" s="678">
        <f t="shared" si="106"/>
        <v>1.0028064089162976</v>
      </c>
      <c r="N236" s="679">
        <f t="shared" si="107"/>
        <v>-7.4831294521783984E-2</v>
      </c>
      <c r="O236" s="677">
        <f t="shared" si="108"/>
        <v>157934.77402249587</v>
      </c>
      <c r="P236" s="680">
        <f t="shared" si="109"/>
        <v>1.5707899950670918</v>
      </c>
      <c r="Q236" s="689">
        <f t="shared" si="131"/>
        <v>74.762481181497648</v>
      </c>
      <c r="R236" s="690">
        <f t="shared" si="132"/>
        <v>1.5574202348729704</v>
      </c>
      <c r="S236" s="677">
        <f t="shared" si="110"/>
        <v>1.1588408811375326</v>
      </c>
      <c r="T236" s="680">
        <f t="shared" si="111"/>
        <v>0.52975432520665378</v>
      </c>
      <c r="U236" s="681">
        <f t="shared" si="123"/>
        <v>0.9699334259637119</v>
      </c>
      <c r="V236" s="682">
        <f t="shared" si="124"/>
        <v>-0.30188319069175557</v>
      </c>
      <c r="W236" s="683">
        <f t="shared" si="112"/>
        <v>-6.7139278799410747</v>
      </c>
      <c r="X236" s="684">
        <f t="shared" si="113"/>
        <v>-140.05876253037806</v>
      </c>
      <c r="Y236" s="687">
        <f t="shared" si="114"/>
        <v>39.941237469621939</v>
      </c>
      <c r="AA236" s="170">
        <f t="shared" si="115"/>
        <v>13964.5</v>
      </c>
      <c r="AB236" s="170">
        <f t="shared" si="116"/>
        <v>195007260.25</v>
      </c>
      <c r="AD236" s="686">
        <f t="shared" si="117"/>
        <v>37.329092803829994</v>
      </c>
      <c r="AE236" s="687">
        <f t="shared" si="118"/>
        <v>-31.118717880925619</v>
      </c>
      <c r="AG236" s="686">
        <f t="shared" si="119"/>
        <v>11.579364836470759</v>
      </c>
      <c r="AH236" s="687">
        <f t="shared" si="120"/>
        <v>-74.346779144762678</v>
      </c>
      <c r="AJ236" s="170">
        <f t="shared" si="121"/>
        <v>0</v>
      </c>
      <c r="AK236" s="170">
        <f t="shared" si="133"/>
        <v>0</v>
      </c>
      <c r="AM236" s="170" t="str">
        <f t="shared" si="125"/>
        <v>0.094284762433845+0.423886669335664i</v>
      </c>
      <c r="AN236" s="170" t="str">
        <f t="shared" si="126"/>
        <v>0.437732303363575i</v>
      </c>
      <c r="AO236" s="170" t="str">
        <f t="shared" si="127"/>
        <v>0.968369631572722-0.21539365888547i</v>
      </c>
      <c r="AP236" s="170" t="str">
        <f t="shared" si="128"/>
        <v>0.150952539594359-0.0706477782226107i</v>
      </c>
      <c r="AQ236" s="170" t="str">
        <f t="shared" si="129"/>
        <v>0.849047460405641+0.0706477782226107i</v>
      </c>
      <c r="AR236" s="170" t="str">
        <f t="shared" si="130"/>
        <v>0.97435340369276-0.0810742701493329i</v>
      </c>
    </row>
    <row r="237" spans="7:44">
      <c r="G237" s="688">
        <v>14044.75</v>
      </c>
      <c r="H237" s="676">
        <f t="shared" si="122"/>
        <v>14.044750000000001</v>
      </c>
      <c r="I237" s="677">
        <f t="shared" si="102"/>
        <v>173.13289930963015</v>
      </c>
      <c r="J237" s="678">
        <f t="shared" si="103"/>
        <v>1.5650203849360131</v>
      </c>
      <c r="K237" s="678">
        <f t="shared" si="104"/>
        <v>1.0008235588392285</v>
      </c>
      <c r="L237" s="679">
        <f t="shared" si="105"/>
        <v>4.0570778363750851E-2</v>
      </c>
      <c r="M237" s="678">
        <f t="shared" si="106"/>
        <v>1.0028387110769741</v>
      </c>
      <c r="N237" s="679">
        <f t="shared" si="107"/>
        <v>-7.525971126466513E-2</v>
      </c>
      <c r="O237" s="677">
        <f t="shared" si="108"/>
        <v>158842.38013906279</v>
      </c>
      <c r="P237" s="680">
        <f t="shared" si="109"/>
        <v>1.5707900312458176</v>
      </c>
      <c r="Q237" s="689">
        <f t="shared" si="131"/>
        <v>75.192043198149833</v>
      </c>
      <c r="R237" s="690">
        <f t="shared" si="132"/>
        <v>1.5574966552035319</v>
      </c>
      <c r="S237" s="677">
        <f t="shared" si="110"/>
        <v>1.1605450226190441</v>
      </c>
      <c r="T237" s="680">
        <f t="shared" si="111"/>
        <v>0.53225654677630008</v>
      </c>
      <c r="U237" s="681">
        <f t="shared" si="123"/>
        <v>0.96960588678603454</v>
      </c>
      <c r="V237" s="682">
        <f t="shared" si="124"/>
        <v>-0.30356740299900276</v>
      </c>
      <c r="W237" s="683">
        <f t="shared" si="112"/>
        <v>-6.7790436881929219</v>
      </c>
      <c r="X237" s="684">
        <f t="shared" si="113"/>
        <v>-140.30743160091515</v>
      </c>
      <c r="Y237" s="687">
        <f t="shared" si="114"/>
        <v>39.692568399084848</v>
      </c>
      <c r="AA237" s="170">
        <f t="shared" si="115"/>
        <v>14044.75</v>
      </c>
      <c r="AB237" s="170">
        <f t="shared" si="116"/>
        <v>197255002.5625</v>
      </c>
      <c r="AD237" s="686">
        <f t="shared" si="117"/>
        <v>37.316320237343575</v>
      </c>
      <c r="AE237" s="687">
        <f t="shared" si="118"/>
        <v>-31.257708126909908</v>
      </c>
      <c r="AG237" s="686">
        <f t="shared" si="119"/>
        <v>11.53288890382929</v>
      </c>
      <c r="AH237" s="687">
        <f t="shared" si="120"/>
        <v>-74.263461455076438</v>
      </c>
      <c r="AJ237" s="170">
        <f t="shared" si="121"/>
        <v>0</v>
      </c>
      <c r="AK237" s="170">
        <f t="shared" si="133"/>
        <v>0</v>
      </c>
      <c r="AM237" s="170" t="str">
        <f t="shared" si="125"/>
        <v>0.095353923482148+0.426163673065709i</v>
      </c>
      <c r="AN237" s="170" t="str">
        <f t="shared" si="126"/>
        <v>0.440247826106597i</v>
      </c>
      <c r="AO237" s="170" t="str">
        <f t="shared" si="127"/>
        <v>0.968008580154856-0.216591469230924i</v>
      </c>
      <c r="AP237" s="170" t="str">
        <f t="shared" si="128"/>
        <v>0.150774346086309-0.0710272788442848i</v>
      </c>
      <c r="AQ237" s="170" t="str">
        <f t="shared" si="129"/>
        <v>0.849225653913691+0.0710272788442848i</v>
      </c>
      <c r="AR237" s="170" t="str">
        <f t="shared" si="130"/>
        <v>0.974079644745474-0.0814697792336243i</v>
      </c>
    </row>
    <row r="238" spans="7:44">
      <c r="G238" s="688">
        <v>14125</v>
      </c>
      <c r="H238" s="676">
        <f t="shared" si="122"/>
        <v>14.125</v>
      </c>
      <c r="I238" s="677">
        <f t="shared" si="102"/>
        <v>174.12212681239899</v>
      </c>
      <c r="J238" s="678">
        <f t="shared" si="103"/>
        <v>1.5650531997404589</v>
      </c>
      <c r="K238" s="678">
        <f t="shared" si="104"/>
        <v>1.0008329932302107</v>
      </c>
      <c r="L238" s="679">
        <f t="shared" si="105"/>
        <v>4.0802338401059589E-2</v>
      </c>
      <c r="M238" s="678">
        <f t="shared" si="106"/>
        <v>1.0028711972876989</v>
      </c>
      <c r="N238" s="679">
        <f t="shared" si="107"/>
        <v>-7.5688100330587538E-2</v>
      </c>
      <c r="O238" s="677">
        <f t="shared" si="108"/>
        <v>159749.98625562992</v>
      </c>
      <c r="P238" s="680">
        <f t="shared" si="109"/>
        <v>1.5707900670134503</v>
      </c>
      <c r="Q238" s="689">
        <f t="shared" si="131"/>
        <v>75.62160564893972</v>
      </c>
      <c r="R238" s="690">
        <f t="shared" si="132"/>
        <v>1.5575722073354434</v>
      </c>
      <c r="S238" s="677">
        <f t="shared" si="110"/>
        <v>1.1622564090691168</v>
      </c>
      <c r="T238" s="680">
        <f t="shared" si="111"/>
        <v>0.53475141504132828</v>
      </c>
      <c r="U238" s="681">
        <f t="shared" si="123"/>
        <v>0.96927678606092194</v>
      </c>
      <c r="V238" s="682">
        <f t="shared" si="124"/>
        <v>-0.30525078679350781</v>
      </c>
      <c r="W238" s="683">
        <f t="shared" si="112"/>
        <v>-6.843924139245229</v>
      </c>
      <c r="X238" s="684">
        <f t="shared" si="113"/>
        <v>-140.55565866342008</v>
      </c>
      <c r="Y238" s="687">
        <f t="shared" si="114"/>
        <v>39.444341336579924</v>
      </c>
      <c r="AA238" s="170">
        <f t="shared" si="115"/>
        <v>14125</v>
      </c>
      <c r="AB238" s="170">
        <f t="shared" si="116"/>
        <v>199515625</v>
      </c>
      <c r="AD238" s="686">
        <f t="shared" si="117"/>
        <v>37.303512405794727</v>
      </c>
      <c r="AE238" s="687">
        <f t="shared" si="118"/>
        <v>-31.396326780138185</v>
      </c>
      <c r="AG238" s="686">
        <f t="shared" si="119"/>
        <v>11.486713562476016</v>
      </c>
      <c r="AH238" s="687">
        <f t="shared" si="120"/>
        <v>-74.180168290680896</v>
      </c>
      <c r="AJ238" s="170">
        <f t="shared" si="121"/>
        <v>0</v>
      </c>
      <c r="AK238" s="170">
        <f t="shared" si="133"/>
        <v>0</v>
      </c>
      <c r="AM238" s="170" t="str">
        <f t="shared" si="125"/>
        <v>0.096428808996334+0.428437980095388i</v>
      </c>
      <c r="AN238" s="170" t="str">
        <f t="shared" si="126"/>
        <v>0.442763348849619i</v>
      </c>
      <c r="AO238" s="170" t="str">
        <f t="shared" si="127"/>
        <v>0.967645540690188-0.217788598010368i</v>
      </c>
      <c r="AP238" s="170" t="str">
        <f t="shared" si="128"/>
        <v>0.150595198500611-0.071406330015898i</v>
      </c>
      <c r="AQ238" s="170" t="str">
        <f t="shared" si="129"/>
        <v>0.849404801499389+0.071406330015898i</v>
      </c>
      <c r="AR238" s="170" t="str">
        <f t="shared" si="130"/>
        <v>0.973804690762421-0.0818641700598639i</v>
      </c>
    </row>
    <row r="239" spans="7:44">
      <c r="G239" s="688">
        <v>14207.25</v>
      </c>
      <c r="H239" s="676">
        <f t="shared" si="122"/>
        <v>14.20725</v>
      </c>
      <c r="I239" s="677">
        <f t="shared" si="102"/>
        <v>175.13600815243549</v>
      </c>
      <c r="J239" s="678">
        <f t="shared" si="103"/>
        <v>1.5650864476880435</v>
      </c>
      <c r="K239" s="678">
        <f t="shared" si="104"/>
        <v>1.0008427184326767</v>
      </c>
      <c r="L239" s="679">
        <f t="shared" si="105"/>
        <v>4.1039664861800371E-2</v>
      </c>
      <c r="M239" s="678">
        <f t="shared" si="106"/>
        <v>1.0029046840924809</v>
      </c>
      <c r="N239" s="679">
        <f t="shared" si="107"/>
        <v>-7.6127136877623805E-2</v>
      </c>
      <c r="O239" s="677">
        <f t="shared" si="108"/>
        <v>160680.2118392768</v>
      </c>
      <c r="P239" s="680">
        <f t="shared" si="109"/>
        <v>1.5707901032531888</v>
      </c>
      <c r="Q239" s="689">
        <f t="shared" si="131"/>
        <v>76.061874148785748</v>
      </c>
      <c r="R239" s="690">
        <f t="shared" si="132"/>
        <v>1.5576487568521584</v>
      </c>
      <c r="S239" s="677">
        <f t="shared" si="110"/>
        <v>1.1640179315169483</v>
      </c>
      <c r="T239" s="680">
        <f t="shared" si="111"/>
        <v>0.53730083174488907</v>
      </c>
      <c r="U239" s="681">
        <f t="shared" si="123"/>
        <v>0.96893786815250338</v>
      </c>
      <c r="V239" s="682">
        <f t="shared" si="124"/>
        <v>-0.30697526056885072</v>
      </c>
      <c r="W239" s="683">
        <f t="shared" si="112"/>
        <v>-6.9101802126381076</v>
      </c>
      <c r="X239" s="684">
        <f t="shared" si="113"/>
        <v>-140.80961276610913</v>
      </c>
      <c r="Y239" s="687">
        <f t="shared" si="114"/>
        <v>39.190387233890874</v>
      </c>
      <c r="AA239" s="170">
        <f t="shared" si="115"/>
        <v>14207.25</v>
      </c>
      <c r="AB239" s="170">
        <f t="shared" si="116"/>
        <v>201845952.5625</v>
      </c>
      <c r="AD239" s="686">
        <f t="shared" si="117"/>
        <v>37.290349220035971</v>
      </c>
      <c r="AE239" s="687">
        <f t="shared" si="118"/>
        <v>-31.538013709786814</v>
      </c>
      <c r="AG239" s="686">
        <f t="shared" si="119"/>
        <v>11.439695963917833</v>
      </c>
      <c r="AH239" s="687">
        <f t="shared" si="120"/>
        <v>-74.09482532507927</v>
      </c>
      <c r="AJ239" s="170">
        <f t="shared" si="121"/>
        <v>0</v>
      </c>
      <c r="AK239" s="170">
        <f t="shared" si="133"/>
        <v>0</v>
      </c>
      <c r="AM239" s="170" t="str">
        <f t="shared" si="125"/>
        <v>0.097536416059954+0.430766154267124i</v>
      </c>
      <c r="AN239" s="170" t="str">
        <f t="shared" si="126"/>
        <v>0.44534156374823i</v>
      </c>
      <c r="AO239" s="170" t="str">
        <f t="shared" si="127"/>
        <v>0.967271391966131-0.219014850621703i</v>
      </c>
      <c r="AP239" s="170" t="str">
        <f t="shared" si="128"/>
        <v>0.150410597323341-0.0717943590445207i</v>
      </c>
      <c r="AQ239" s="170" t="str">
        <f t="shared" si="129"/>
        <v>0.849589402676659+0.0717943590445207i</v>
      </c>
      <c r="AR239" s="170" t="str">
        <f t="shared" si="130"/>
        <v>0.973521650194662-0.082267225404988i</v>
      </c>
    </row>
    <row r="240" spans="7:44">
      <c r="G240" s="688">
        <v>14289.5</v>
      </c>
      <c r="H240" s="676">
        <f t="shared" si="122"/>
        <v>14.2895</v>
      </c>
      <c r="I240" s="677">
        <f t="shared" si="102"/>
        <v>176.14988968384324</v>
      </c>
      <c r="J240" s="678">
        <f t="shared" si="103"/>
        <v>1.5651193128993472</v>
      </c>
      <c r="K240" s="678">
        <f t="shared" si="104"/>
        <v>1.0008525000053594</v>
      </c>
      <c r="L240" s="679">
        <f t="shared" si="105"/>
        <v>4.127698669701043E-2</v>
      </c>
      <c r="M240" s="678">
        <f t="shared" si="106"/>
        <v>1.0029383641973086</v>
      </c>
      <c r="N240" s="679">
        <f t="shared" si="107"/>
        <v>-7.6566144022324881E-2</v>
      </c>
      <c r="O240" s="677">
        <f t="shared" si="108"/>
        <v>161610.43742292389</v>
      </c>
      <c r="P240" s="680">
        <f t="shared" si="109"/>
        <v>1.5707901390757373</v>
      </c>
      <c r="Q240" s="689">
        <f t="shared" si="131"/>
        <v>76.502143089211202</v>
      </c>
      <c r="R240" s="690">
        <f t="shared" si="132"/>
        <v>1.5577244252861624</v>
      </c>
      <c r="S240" s="677">
        <f t="shared" si="110"/>
        <v>1.1657869966370344</v>
      </c>
      <c r="T240" s="680">
        <f t="shared" si="111"/>
        <v>0.53984252751970629</v>
      </c>
      <c r="U240" s="681">
        <f t="shared" si="123"/>
        <v>0.96859732030030621</v>
      </c>
      <c r="V240" s="682">
        <f t="shared" si="124"/>
        <v>-0.30869885638088979</v>
      </c>
      <c r="W240" s="683">
        <f t="shared" si="112"/>
        <v>-6.9761948755268044</v>
      </c>
      <c r="X240" s="684">
        <f t="shared" si="113"/>
        <v>-141.0631012982125</v>
      </c>
      <c r="Y240" s="687">
        <f t="shared" si="114"/>
        <v>38.936898701787499</v>
      </c>
      <c r="AA240" s="170">
        <f t="shared" si="115"/>
        <v>14289.5</v>
      </c>
      <c r="AB240" s="170">
        <f t="shared" si="116"/>
        <v>204189810.25</v>
      </c>
      <c r="AD240" s="686">
        <f t="shared" si="117"/>
        <v>37.277149878807684</v>
      </c>
      <c r="AE240" s="687">
        <f t="shared" si="118"/>
        <v>-31.679308721221574</v>
      </c>
      <c r="AG240" s="686">
        <f t="shared" si="119"/>
        <v>11.392987289731501</v>
      </c>
      <c r="AH240" s="687">
        <f t="shared" si="120"/>
        <v>-74.009509314289659</v>
      </c>
      <c r="AJ240" s="170">
        <f t="shared" si="121"/>
        <v>0</v>
      </c>
      <c r="AK240" s="170">
        <f t="shared" si="133"/>
        <v>0</v>
      </c>
      <c r="AM240" s="170" t="str">
        <f t="shared" si="125"/>
        <v>0.0986500219690249+0.433091465055085i</v>
      </c>
      <c r="AN240" s="170" t="str">
        <f t="shared" si="126"/>
        <v>0.447919778646841i</v>
      </c>
      <c r="AO240" s="170" t="str">
        <f t="shared" si="127"/>
        <v>0.966895157796889-0.220240379353297i</v>
      </c>
      <c r="AP240" s="170" t="str">
        <f t="shared" si="128"/>
        <v>0.150224996338496-0.0721819108425142i</v>
      </c>
      <c r="AQ240" s="170" t="str">
        <f t="shared" si="129"/>
        <v>0.849775003661504+0.0721819108425142i</v>
      </c>
      <c r="AR240" s="170" t="str">
        <f t="shared" si="130"/>
        <v>0.973237366357377-0.0826690977074146i</v>
      </c>
    </row>
    <row r="241" spans="7:44">
      <c r="G241" s="688">
        <v>14371.75</v>
      </c>
      <c r="H241" s="676">
        <f t="shared" si="122"/>
        <v>14.37175</v>
      </c>
      <c r="I241" s="677">
        <f t="shared" si="102"/>
        <v>177.16377140333674</v>
      </c>
      <c r="J241" s="678">
        <f t="shared" si="103"/>
        <v>1.5651518019453254</v>
      </c>
      <c r="K241" s="678">
        <f t="shared" si="104"/>
        <v>1.0008623379466062</v>
      </c>
      <c r="L241" s="679">
        <f t="shared" si="105"/>
        <v>4.1514303880093049E-2</v>
      </c>
      <c r="M241" s="678">
        <f t="shared" si="106"/>
        <v>1.0029722375827088</v>
      </c>
      <c r="N241" s="679">
        <f t="shared" si="107"/>
        <v>-7.700512159844404E-2</v>
      </c>
      <c r="O241" s="677">
        <f t="shared" si="108"/>
        <v>162540.66300657118</v>
      </c>
      <c r="P241" s="680">
        <f t="shared" si="109"/>
        <v>1.5707901744882584</v>
      </c>
      <c r="Q241" s="689">
        <f t="shared" si="131"/>
        <v>76.94241246265301</v>
      </c>
      <c r="R241" s="690">
        <f t="shared" si="132"/>
        <v>1.5577992277614152</v>
      </c>
      <c r="S241" s="677">
        <f t="shared" si="110"/>
        <v>1.167563570143932</v>
      </c>
      <c r="T241" s="680">
        <f t="shared" si="111"/>
        <v>0.54237650469635401</v>
      </c>
      <c r="U241" s="681">
        <f t="shared" si="123"/>
        <v>0.96825514779535038</v>
      </c>
      <c r="V241" s="682">
        <f t="shared" si="124"/>
        <v>-0.31042157039107099</v>
      </c>
      <c r="W241" s="683">
        <f t="shared" si="112"/>
        <v>-7.0419709911080419</v>
      </c>
      <c r="X241" s="684">
        <f t="shared" si="113"/>
        <v>-141.31612367568721</v>
      </c>
      <c r="Y241" s="687">
        <f t="shared" si="114"/>
        <v>38.683876324312791</v>
      </c>
      <c r="AA241" s="170">
        <f t="shared" si="115"/>
        <v>14371.75</v>
      </c>
      <c r="AB241" s="170">
        <f t="shared" si="116"/>
        <v>206547198.0625</v>
      </c>
      <c r="AD241" s="686">
        <f t="shared" si="117"/>
        <v>37.263914829109744</v>
      </c>
      <c r="AE241" s="687">
        <f t="shared" si="118"/>
        <v>-31.820211081845841</v>
      </c>
      <c r="AG241" s="686">
        <f t="shared" si="119"/>
        <v>11.346584167124941</v>
      </c>
      <c r="AH241" s="687">
        <f t="shared" si="120"/>
        <v>-73.924220846731657</v>
      </c>
      <c r="AJ241" s="170">
        <f t="shared" si="121"/>
        <v>0</v>
      </c>
      <c r="AK241" s="170">
        <f t="shared" si="133"/>
        <v>0</v>
      </c>
      <c r="AM241" s="170" t="str">
        <f t="shared" si="125"/>
        <v>0.099769619321196+0.435413897002492i</v>
      </c>
      <c r="AN241" s="170" t="str">
        <f t="shared" si="126"/>
        <v>0.450497993545452i</v>
      </c>
      <c r="AO241" s="170" t="str">
        <f t="shared" si="127"/>
        <v>0.966516839677249-0.221465180202029i</v>
      </c>
      <c r="AP241" s="170" t="str">
        <f t="shared" si="128"/>
        <v>0.150038396779801-0.0725689828337487i</v>
      </c>
      <c r="AQ241" s="170" t="str">
        <f t="shared" si="129"/>
        <v>0.849961603220199+0.0725689828337487i</v>
      </c>
      <c r="AR241" s="170" t="str">
        <f t="shared" si="130"/>
        <v>0.972951845383448-0.083069782797475i</v>
      </c>
    </row>
    <row r="242" spans="7:44">
      <c r="G242" s="688">
        <v>14454</v>
      </c>
      <c r="H242" s="676">
        <f t="shared" si="122"/>
        <v>14.454000000000001</v>
      </c>
      <c r="I242" s="677">
        <f t="shared" si="102"/>
        <v>178.17765330770507</v>
      </c>
      <c r="J242" s="678">
        <f t="shared" si="103"/>
        <v>1.5651839212473746</v>
      </c>
      <c r="K242" s="678">
        <f t="shared" si="104"/>
        <v>1.0008722322547547</v>
      </c>
      <c r="L242" s="679">
        <f t="shared" si="105"/>
        <v>4.1751616384454675E-2</v>
      </c>
      <c r="M242" s="678">
        <f t="shared" si="106"/>
        <v>1.0030063042290991</v>
      </c>
      <c r="N242" s="679">
        <f t="shared" si="107"/>
        <v>-7.7444069439802532E-2</v>
      </c>
      <c r="O242" s="677">
        <f t="shared" si="108"/>
        <v>163470.88859021867</v>
      </c>
      <c r="P242" s="680">
        <f t="shared" si="109"/>
        <v>1.5707902094977519</v>
      </c>
      <c r="Q242" s="689">
        <f t="shared" si="131"/>
        <v>77.382682261720248</v>
      </c>
      <c r="R242" s="690">
        <f t="shared" si="132"/>
        <v>1.5578731790577238</v>
      </c>
      <c r="S242" s="677">
        <f t="shared" si="110"/>
        <v>1.1693476178154798</v>
      </c>
      <c r="T242" s="680">
        <f t="shared" si="111"/>
        <v>0.54490276598776211</v>
      </c>
      <c r="U242" s="681">
        <f t="shared" si="123"/>
        <v>0.96791135594394084</v>
      </c>
      <c r="V242" s="682">
        <f t="shared" si="124"/>
        <v>-0.31214339877985003</v>
      </c>
      <c r="W242" s="683">
        <f t="shared" si="112"/>
        <v>-7.107511367397481</v>
      </c>
      <c r="X242" s="684">
        <f t="shared" si="113"/>
        <v>-141.56867934863081</v>
      </c>
      <c r="Y242" s="687">
        <f t="shared" si="114"/>
        <v>38.431320651369191</v>
      </c>
      <c r="AA242" s="170">
        <f t="shared" si="115"/>
        <v>14454</v>
      </c>
      <c r="AB242" s="170">
        <f t="shared" si="116"/>
        <v>208918116</v>
      </c>
      <c r="AD242" s="686">
        <f t="shared" si="117"/>
        <v>37.250644515823062</v>
      </c>
      <c r="AE242" s="687">
        <f t="shared" si="118"/>
        <v>-31.960720100679566</v>
      </c>
      <c r="AG242" s="686">
        <f t="shared" si="119"/>
        <v>11.300483280389667</v>
      </c>
      <c r="AH242" s="687">
        <f t="shared" si="120"/>
        <v>-73.838960501170334</v>
      </c>
      <c r="AJ242" s="170">
        <f t="shared" si="121"/>
        <v>0</v>
      </c>
      <c r="AK242" s="170">
        <f t="shared" si="133"/>
        <v>0</v>
      </c>
      <c r="AM242" s="170" t="str">
        <f t="shared" si="125"/>
        <v>0.100895200674295+0.437733434671701i</v>
      </c>
      <c r="AN242" s="170" t="str">
        <f t="shared" si="126"/>
        <v>0.453076208444063i</v>
      </c>
      <c r="AO242" s="170" t="str">
        <f t="shared" si="127"/>
        <v>0.966136439110207-0.222689249168005i</v>
      </c>
      <c r="AP242" s="170" t="str">
        <f t="shared" si="128"/>
        <v>0.149850799887617-0.0729555724452835i</v>
      </c>
      <c r="AQ242" s="170" t="str">
        <f t="shared" si="129"/>
        <v>0.850149200112383+0.0729555724452835i</v>
      </c>
      <c r="AR242" s="170" t="str">
        <f t="shared" si="130"/>
        <v>0.972665093419855-0.0834692765441762i</v>
      </c>
    </row>
    <row r="243" spans="7:44">
      <c r="G243" s="688">
        <v>14622.5</v>
      </c>
      <c r="H243" s="676">
        <f t="shared" si="122"/>
        <v>14.6225</v>
      </c>
      <c r="I243" s="677">
        <f t="shared" si="102"/>
        <v>180.25472500727159</v>
      </c>
      <c r="J243" s="678">
        <f t="shared" si="103"/>
        <v>1.5652485935549749</v>
      </c>
      <c r="K243" s="678">
        <f t="shared" si="104"/>
        <v>1.0008926780666363</v>
      </c>
      <c r="L243" s="679">
        <f t="shared" si="105"/>
        <v>4.2237767704230801E-2</v>
      </c>
      <c r="M243" s="678">
        <f t="shared" si="106"/>
        <v>1.0030766976836645</v>
      </c>
      <c r="N243" s="679">
        <f t="shared" si="107"/>
        <v>-7.8343218575424659E-2</v>
      </c>
      <c r="O243" s="677">
        <f t="shared" si="108"/>
        <v>165376.57869167341</v>
      </c>
      <c r="P243" s="680">
        <f t="shared" si="109"/>
        <v>1.5707902799894304</v>
      </c>
      <c r="Q243" s="689">
        <f t="shared" si="131"/>
        <v>78.284634455937805</v>
      </c>
      <c r="R243" s="690">
        <f t="shared" si="132"/>
        <v>1.5580220805540823</v>
      </c>
      <c r="S243" s="677">
        <f t="shared" si="110"/>
        <v>1.173025671525785</v>
      </c>
      <c r="T243" s="680">
        <f t="shared" si="111"/>
        <v>0.55005406481621966</v>
      </c>
      <c r="U243" s="681">
        <f t="shared" si="123"/>
        <v>0.9672020184875767</v>
      </c>
      <c r="V243" s="682">
        <f t="shared" si="124"/>
        <v>-0.315668010311211</v>
      </c>
      <c r="W243" s="683">
        <f t="shared" si="112"/>
        <v>-7.2410548847286478</v>
      </c>
      <c r="X243" s="684">
        <f t="shared" si="113"/>
        <v>-142.08461348991588</v>
      </c>
      <c r="Y243" s="687">
        <f t="shared" si="114"/>
        <v>37.915386510084119</v>
      </c>
      <c r="AA243" s="170">
        <f t="shared" si="115"/>
        <v>14622.5</v>
      </c>
      <c r="AB243" s="170">
        <f t="shared" si="116"/>
        <v>213817506.25</v>
      </c>
      <c r="AD243" s="686">
        <f t="shared" si="117"/>
        <v>37.22335026808156</v>
      </c>
      <c r="AE243" s="687">
        <f t="shared" si="118"/>
        <v>-32.247340394459542</v>
      </c>
      <c r="AG243" s="686">
        <f t="shared" si="119"/>
        <v>11.206969651449254</v>
      </c>
      <c r="AH243" s="687">
        <f t="shared" si="120"/>
        <v>-73.664383617873668</v>
      </c>
      <c r="AJ243" s="170">
        <f t="shared" si="121"/>
        <v>0</v>
      </c>
      <c r="AK243" s="170">
        <f t="shared" si="133"/>
        <v>0</v>
      </c>
      <c r="AM243" s="170" t="str">
        <f t="shared" si="125"/>
        <v>0.103219757941305+0.442476211172022i</v>
      </c>
      <c r="AN243" s="170" t="str">
        <f t="shared" si="126"/>
        <v>0.458358022552464i</v>
      </c>
      <c r="AO243" s="170" t="str">
        <f t="shared" si="127"/>
        <v>0.965350641640348-0.225194613953747i</v>
      </c>
      <c r="AP243" s="170" t="str">
        <f t="shared" si="128"/>
        <v>0.149463373676449-0.073746035195337i</v>
      </c>
      <c r="AQ243" s="170" t="str">
        <f t="shared" si="129"/>
        <v>0.850536626323551+0.073746035195337i</v>
      </c>
      <c r="AR243" s="170" t="str">
        <f t="shared" si="130"/>
        <v>0.972073825997754-0.0842839548184561i</v>
      </c>
    </row>
    <row r="244" spans="7:44">
      <c r="G244" s="688">
        <v>14706.75</v>
      </c>
      <c r="H244" s="676">
        <f t="shared" si="122"/>
        <v>14.70675</v>
      </c>
      <c r="I244" s="677">
        <f t="shared" si="102"/>
        <v>181.29326113491496</v>
      </c>
      <c r="J244" s="678">
        <f t="shared" si="103"/>
        <v>1.5652803739971273</v>
      </c>
      <c r="K244" s="678">
        <f t="shared" si="104"/>
        <v>1.0009029896776347</v>
      </c>
      <c r="L244" s="679">
        <f t="shared" si="105"/>
        <v>4.2480835887301921E-2</v>
      </c>
      <c r="M244" s="678">
        <f t="shared" si="106"/>
        <v>1.0031121984875879</v>
      </c>
      <c r="N244" s="679">
        <f t="shared" si="107"/>
        <v>-7.8792745638142314E-2</v>
      </c>
      <c r="O244" s="677">
        <f t="shared" si="108"/>
        <v>166329.42374240109</v>
      </c>
      <c r="P244" s="680">
        <f t="shared" si="109"/>
        <v>1.5707903146295352</v>
      </c>
      <c r="Q244" s="689">
        <f t="shared" si="131"/>
        <v>78.735611192749744</v>
      </c>
      <c r="R244" s="690">
        <f t="shared" si="132"/>
        <v>1.558095252000739</v>
      </c>
      <c r="S244" s="677">
        <f t="shared" si="110"/>
        <v>1.1748763162090243</v>
      </c>
      <c r="T244" s="680">
        <f t="shared" si="111"/>
        <v>0.55261758528541893</v>
      </c>
      <c r="U244" s="681">
        <f t="shared" si="123"/>
        <v>0.96684482390418802</v>
      </c>
      <c r="V244" s="682">
        <f t="shared" si="124"/>
        <v>-0.31742890613511388</v>
      </c>
      <c r="W244" s="683">
        <f t="shared" si="112"/>
        <v>-7.3074671634174475</v>
      </c>
      <c r="X244" s="684">
        <f t="shared" si="113"/>
        <v>-142.34184396997279</v>
      </c>
      <c r="Y244" s="687">
        <f t="shared" si="114"/>
        <v>37.658156030027214</v>
      </c>
      <c r="AA244" s="170">
        <f t="shared" si="115"/>
        <v>14706.75</v>
      </c>
      <c r="AB244" s="170">
        <f t="shared" si="116"/>
        <v>216288495.5625</v>
      </c>
      <c r="AD244" s="686">
        <f t="shared" si="117"/>
        <v>37.209649523190613</v>
      </c>
      <c r="AE244" s="687">
        <f t="shared" si="118"/>
        <v>-32.390028867860629</v>
      </c>
      <c r="AG244" s="686">
        <f t="shared" si="119"/>
        <v>11.1606748242128</v>
      </c>
      <c r="AH244" s="687">
        <f t="shared" si="120"/>
        <v>-73.577141826555291</v>
      </c>
      <c r="AJ244" s="170">
        <f t="shared" si="121"/>
        <v>0</v>
      </c>
      <c r="AK244" s="170">
        <f t="shared" si="133"/>
        <v>0</v>
      </c>
      <c r="AM244" s="170" t="str">
        <f t="shared" si="125"/>
        <v>0.104391422376187+0.44484297868647i</v>
      </c>
      <c r="AN244" s="170" t="str">
        <f t="shared" si="126"/>
        <v>0.460998929606664i</v>
      </c>
      <c r="AO244" s="170" t="str">
        <f t="shared" si="127"/>
        <v>0.964954471946434-0.226446127467707i</v>
      </c>
      <c r="AP244" s="170" t="str">
        <f t="shared" si="128"/>
        <v>0.149268096270636-0.074140496447745i</v>
      </c>
      <c r="AQ244" s="170" t="str">
        <f t="shared" si="129"/>
        <v>0.850731903729364+0.074140496447745i</v>
      </c>
      <c r="AR244" s="170" t="str">
        <f t="shared" si="130"/>
        <v>0.97177628121239-0.0846894016897597i</v>
      </c>
    </row>
    <row r="245" spans="7:44">
      <c r="G245" s="688">
        <v>14791</v>
      </c>
      <c r="H245" s="676">
        <f t="shared" si="122"/>
        <v>14.791</v>
      </c>
      <c r="I245" s="677">
        <f t="shared" si="102"/>
        <v>182.33179744357804</v>
      </c>
      <c r="J245" s="678">
        <f t="shared" si="103"/>
        <v>1.5653117924054414</v>
      </c>
      <c r="K245" s="678">
        <f t="shared" si="104"/>
        <v>1.000913360422905</v>
      </c>
      <c r="L245" s="679">
        <f t="shared" si="105"/>
        <v>4.2723899047737657E-2</v>
      </c>
      <c r="M245" s="678">
        <f t="shared" si="106"/>
        <v>1.0031479019806167</v>
      </c>
      <c r="N245" s="679">
        <f t="shared" si="107"/>
        <v>-7.9242240793042026E-2</v>
      </c>
      <c r="O245" s="677">
        <f t="shared" si="108"/>
        <v>167282.26879312898</v>
      </c>
      <c r="P245" s="680">
        <f t="shared" si="109"/>
        <v>1.5707903488750177</v>
      </c>
      <c r="Q245" s="689">
        <f t="shared" si="131"/>
        <v>79.186588346315304</v>
      </c>
      <c r="R245" s="690">
        <f t="shared" si="132"/>
        <v>1.5581675900073839</v>
      </c>
      <c r="S245" s="677">
        <f t="shared" si="110"/>
        <v>1.176734657438502</v>
      </c>
      <c r="T245" s="680">
        <f t="shared" si="111"/>
        <v>0.555173025698527</v>
      </c>
      <c r="U245" s="681">
        <f t="shared" si="123"/>
        <v>0.96648595310170105</v>
      </c>
      <c r="V245" s="682">
        <f t="shared" si="124"/>
        <v>-0.31918885662866092</v>
      </c>
      <c r="W245" s="683">
        <f t="shared" si="112"/>
        <v>-7.3736435288175475</v>
      </c>
      <c r="X245" s="684">
        <f t="shared" si="113"/>
        <v>-142.59858278004378</v>
      </c>
      <c r="Y245" s="687">
        <f t="shared" si="114"/>
        <v>37.401417219956215</v>
      </c>
      <c r="AA245" s="170">
        <f t="shared" si="115"/>
        <v>14791</v>
      </c>
      <c r="AB245" s="170">
        <f t="shared" si="116"/>
        <v>218773681</v>
      </c>
      <c r="AD245" s="686">
        <f t="shared" si="117"/>
        <v>37.195913656609633</v>
      </c>
      <c r="AE245" s="687">
        <f t="shared" si="118"/>
        <v>-32.532302118133913</v>
      </c>
      <c r="AG245" s="686">
        <f t="shared" si="119"/>
        <v>11.114683531618706</v>
      </c>
      <c r="AH245" s="687">
        <f t="shared" si="120"/>
        <v>-73.489931915258083</v>
      </c>
      <c r="AJ245" s="170">
        <f t="shared" si="121"/>
        <v>0</v>
      </c>
      <c r="AK245" s="170">
        <f t="shared" si="133"/>
        <v>0</v>
      </c>
      <c r="AM245" s="170" t="str">
        <f t="shared" si="125"/>
        <v>0.105569333131009+0.447206643694269i</v>
      </c>
      <c r="AN245" s="170" t="str">
        <f t="shared" si="126"/>
        <v>0.463639836660865i</v>
      </c>
      <c r="AO245" s="170" t="str">
        <f t="shared" si="127"/>
        <v>0.964556123811647-0.227696856015047i</v>
      </c>
      <c r="AP245" s="170" t="str">
        <f t="shared" si="128"/>
        <v>0.149071777811498-0.0745344406157115i</v>
      </c>
      <c r="AQ245" s="170" t="str">
        <f t="shared" si="129"/>
        <v>0.850928222188502+0.0745344406157115i</v>
      </c>
      <c r="AR245" s="170" t="str">
        <f t="shared" si="130"/>
        <v>0.971477471259092-0.0850935813420725i</v>
      </c>
    </row>
    <row r="246" spans="7:44">
      <c r="G246" s="688">
        <v>14877.25</v>
      </c>
      <c r="H246" s="676">
        <f t="shared" si="122"/>
        <v>14.87725</v>
      </c>
      <c r="I246" s="677">
        <f t="shared" si="102"/>
        <v>183.39498761746452</v>
      </c>
      <c r="J246" s="678">
        <f t="shared" si="103"/>
        <v>1.5653435880455893</v>
      </c>
      <c r="K246" s="678">
        <f t="shared" si="104"/>
        <v>1.0009240386126599</v>
      </c>
      <c r="L246" s="679">
        <f t="shared" si="105"/>
        <v>4.2972727020803951E-2</v>
      </c>
      <c r="M246" s="678">
        <f t="shared" si="106"/>
        <v>1.0031846629753476</v>
      </c>
      <c r="N246" s="679">
        <f t="shared" si="107"/>
        <v>-7.9702373217000508E-2</v>
      </c>
      <c r="O246" s="677">
        <f t="shared" si="108"/>
        <v>168257.73331093666</v>
      </c>
      <c r="P246" s="680">
        <f t="shared" si="109"/>
        <v>1.5707903835316639</v>
      </c>
      <c r="Q246" s="689">
        <f t="shared" si="131"/>
        <v>79.648271613306022</v>
      </c>
      <c r="R246" s="690">
        <f t="shared" si="132"/>
        <v>1.5582407966649459</v>
      </c>
      <c r="S246" s="677">
        <f t="shared" si="110"/>
        <v>1.1786450483583801</v>
      </c>
      <c r="T246" s="680">
        <f t="shared" si="111"/>
        <v>0.55778076447893499</v>
      </c>
      <c r="U246" s="681">
        <f t="shared" si="123"/>
        <v>0.96611683277023774</v>
      </c>
      <c r="V246" s="682">
        <f t="shared" si="124"/>
        <v>-0.32098960292739287</v>
      </c>
      <c r="W246" s="683">
        <f t="shared" si="112"/>
        <v>-7.4411493241089497</v>
      </c>
      <c r="X246" s="684">
        <f t="shared" si="113"/>
        <v>-142.86090653180949</v>
      </c>
      <c r="Y246" s="687">
        <f t="shared" si="114"/>
        <v>37.139093468190509</v>
      </c>
      <c r="AA246" s="170">
        <f t="shared" si="115"/>
        <v>14877.25</v>
      </c>
      <c r="AB246" s="170">
        <f t="shared" si="116"/>
        <v>221332567.5625</v>
      </c>
      <c r="AD246" s="686">
        <f t="shared" si="117"/>
        <v>37.181815820553545</v>
      </c>
      <c r="AE246" s="687">
        <f t="shared" si="118"/>
        <v>-32.677522097658823</v>
      </c>
      <c r="AG246" s="686">
        <f t="shared" si="119"/>
        <v>11.067911469888418</v>
      </c>
      <c r="AH246" s="687">
        <f t="shared" si="120"/>
        <v>-73.400685361480811</v>
      </c>
      <c r="AJ246" s="170">
        <f t="shared" si="121"/>
        <v>0</v>
      </c>
      <c r="AK246" s="170">
        <f t="shared" si="133"/>
        <v>0</v>
      </c>
      <c r="AM246" s="170" t="str">
        <f t="shared" si="125"/>
        <v>0.106781668082119+0.449623188376487i</v>
      </c>
      <c r="AN246" s="170" t="str">
        <f t="shared" si="126"/>
        <v>0.466343435870654i</v>
      </c>
      <c r="AO246" s="170" t="str">
        <f t="shared" si="127"/>
        <v>0.964146064449367-0.228976457838974i</v>
      </c>
      <c r="AP246" s="170" t="str">
        <f t="shared" si="128"/>
        <v>0.148869721986314-0.0749371980627478i</v>
      </c>
      <c r="AQ246" s="170" t="str">
        <f t="shared" si="129"/>
        <v>0.851130278013686+0.0749371980627478i</v>
      </c>
      <c r="AR246" s="170" t="str">
        <f t="shared" si="130"/>
        <v>0.971170264292769-0.0855060386499235i</v>
      </c>
    </row>
    <row r="247" spans="7:44">
      <c r="G247" s="688">
        <v>14963.5</v>
      </c>
      <c r="H247" s="676">
        <f t="shared" si="122"/>
        <v>14.9635</v>
      </c>
      <c r="I247" s="677">
        <f t="shared" si="102"/>
        <v>184.45817797461925</v>
      </c>
      <c r="J247" s="678">
        <f t="shared" si="103"/>
        <v>1.5653750171547927</v>
      </c>
      <c r="K247" s="678">
        <f t="shared" si="104"/>
        <v>1.0009347787736627</v>
      </c>
      <c r="L247" s="679">
        <f t="shared" si="105"/>
        <v>4.3221549669362563E-2</v>
      </c>
      <c r="M247" s="678">
        <f t="shared" si="106"/>
        <v>1.0032216363505968</v>
      </c>
      <c r="N247" s="679">
        <f t="shared" si="107"/>
        <v>-8.016247182233352E-2</v>
      </c>
      <c r="O247" s="677">
        <f t="shared" si="108"/>
        <v>169233.19782874454</v>
      </c>
      <c r="P247" s="680">
        <f t="shared" si="109"/>
        <v>1.5707904177887866</v>
      </c>
      <c r="Q247" s="689">
        <f t="shared" si="131"/>
        <v>80.109955302228911</v>
      </c>
      <c r="R247" s="690">
        <f t="shared" si="132"/>
        <v>1.5583131595246502</v>
      </c>
      <c r="S247" s="677">
        <f t="shared" si="110"/>
        <v>1.1805634284480202</v>
      </c>
      <c r="T247" s="680">
        <f t="shared" si="111"/>
        <v>0.56038004589320356</v>
      </c>
      <c r="U247" s="681">
        <f t="shared" si="123"/>
        <v>0.96574596797404755</v>
      </c>
      <c r="V247" s="682">
        <f t="shared" si="124"/>
        <v>-0.32278935001918518</v>
      </c>
      <c r="W247" s="683">
        <f t="shared" si="112"/>
        <v>-7.5084136214235127</v>
      </c>
      <c r="X247" s="684">
        <f t="shared" si="113"/>
        <v>-143.12271415174459</v>
      </c>
      <c r="Y247" s="687">
        <f t="shared" si="114"/>
        <v>36.877285848255411</v>
      </c>
      <c r="AA247" s="170">
        <f t="shared" si="115"/>
        <v>14963.5</v>
      </c>
      <c r="AB247" s="170">
        <f t="shared" si="116"/>
        <v>223906332.25</v>
      </c>
      <c r="AD247" s="686">
        <f t="shared" si="117"/>
        <v>37.167682161573211</v>
      </c>
      <c r="AE247" s="687">
        <f t="shared" si="118"/>
        <v>-32.822305828962634</v>
      </c>
      <c r="AG247" s="686">
        <f t="shared" si="119"/>
        <v>11.021450644190324</v>
      </c>
      <c r="AH247" s="687">
        <f t="shared" si="120"/>
        <v>-73.311473424775201</v>
      </c>
      <c r="AJ247" s="170">
        <f t="shared" si="121"/>
        <v>0</v>
      </c>
      <c r="AK247" s="170">
        <f t="shared" si="133"/>
        <v>0</v>
      </c>
      <c r="AM247" s="170" t="str">
        <f t="shared" si="125"/>
        <v>0.108000531962815+0.452036446563083i</v>
      </c>
      <c r="AN247" s="170" t="str">
        <f t="shared" si="126"/>
        <v>0.469047035080444i</v>
      </c>
      <c r="AO247" s="170" t="str">
        <f t="shared" si="127"/>
        <v>0.963733725521911-0.230255227909696i</v>
      </c>
      <c r="AP247" s="170" t="str">
        <f t="shared" si="128"/>
        <v>0.148666578006198-0.0753394077605138i</v>
      </c>
      <c r="AQ247" s="170" t="str">
        <f t="shared" si="129"/>
        <v>0.851333421993802+0.0753394077605138i</v>
      </c>
      <c r="AR247" s="170" t="str">
        <f t="shared" si="130"/>
        <v>0.970861745558336-0.0859171589392107i</v>
      </c>
    </row>
    <row r="248" spans="7:44">
      <c r="G248" s="688">
        <v>15049.75</v>
      </c>
      <c r="H248" s="676">
        <f t="shared" si="122"/>
        <v>15.04975</v>
      </c>
      <c r="I248" s="677">
        <f t="shared" si="102"/>
        <v>185.5213685118913</v>
      </c>
      <c r="J248" s="678">
        <f t="shared" si="103"/>
        <v>1.5654060860345631</v>
      </c>
      <c r="K248" s="678">
        <f t="shared" si="104"/>
        <v>1.0009455809039185</v>
      </c>
      <c r="L248" s="679">
        <f t="shared" si="105"/>
        <v>4.3470366962774822E-2</v>
      </c>
      <c r="M248" s="678">
        <f t="shared" si="106"/>
        <v>1.0032588220828835</v>
      </c>
      <c r="N248" s="679">
        <f t="shared" si="107"/>
        <v>-8.0622536417993648E-2</v>
      </c>
      <c r="O248" s="677">
        <f t="shared" si="108"/>
        <v>170208.66234655259</v>
      </c>
      <c r="P248" s="680">
        <f t="shared" si="109"/>
        <v>1.5707904516532545</v>
      </c>
      <c r="Q248" s="689">
        <f t="shared" si="131"/>
        <v>80.571639405830837</v>
      </c>
      <c r="R248" s="690">
        <f t="shared" si="132"/>
        <v>1.558384693090888</v>
      </c>
      <c r="S248" s="677">
        <f t="shared" si="110"/>
        <v>1.1824897588243863</v>
      </c>
      <c r="T248" s="680">
        <f t="shared" si="111"/>
        <v>0.56297087606569207</v>
      </c>
      <c r="U248" s="681">
        <f t="shared" si="123"/>
        <v>0.96537336495109694</v>
      </c>
      <c r="V248" s="682">
        <f t="shared" si="124"/>
        <v>-0.32458809365821772</v>
      </c>
      <c r="W248" s="683">
        <f t="shared" si="112"/>
        <v>-7.5754392446471304</v>
      </c>
      <c r="X248" s="684">
        <f t="shared" si="113"/>
        <v>-143.38400526869404</v>
      </c>
      <c r="Y248" s="687">
        <f t="shared" si="114"/>
        <v>36.61599473130596</v>
      </c>
      <c r="AA248" s="170">
        <f t="shared" si="115"/>
        <v>15049.75</v>
      </c>
      <c r="AB248" s="170">
        <f t="shared" si="116"/>
        <v>226494975.0625</v>
      </c>
      <c r="AD248" s="686">
        <f t="shared" si="117"/>
        <v>37.153513174416403</v>
      </c>
      <c r="AE248" s="687">
        <f t="shared" si="118"/>
        <v>-32.966652832298458</v>
      </c>
      <c r="AG248" s="686">
        <f t="shared" si="119"/>
        <v>10.975297661742719</v>
      </c>
      <c r="AH248" s="687">
        <f t="shared" si="120"/>
        <v>-73.222296700268103</v>
      </c>
      <c r="AJ248" s="170">
        <f t="shared" si="121"/>
        <v>0</v>
      </c>
      <c r="AK248" s="170">
        <f t="shared" si="133"/>
        <v>0</v>
      </c>
      <c r="AM248" s="170" t="str">
        <f t="shared" si="125"/>
        <v>0.109225915863881+0.454446400614482i</v>
      </c>
      <c r="AN248" s="170" t="str">
        <f t="shared" si="126"/>
        <v>0.471750634290234i</v>
      </c>
      <c r="AO248" s="170" t="str">
        <f t="shared" si="127"/>
        <v>0.963319108830056-0.231533161642094i</v>
      </c>
      <c r="AP248" s="170" t="str">
        <f t="shared" si="128"/>
        <v>0.14846234735602-0.0757410667690803i</v>
      </c>
      <c r="AQ248" s="170" t="str">
        <f t="shared" si="129"/>
        <v>0.85153765264398+0.0757410667690803i</v>
      </c>
      <c r="AR248" s="170" t="str">
        <f t="shared" si="130"/>
        <v>0.970551922250882-0.0863269377670108i</v>
      </c>
    </row>
    <row r="249" spans="7:44">
      <c r="G249" s="688">
        <v>15136</v>
      </c>
      <c r="H249" s="676">
        <f t="shared" si="122"/>
        <v>15.135999999999999</v>
      </c>
      <c r="I249" s="677">
        <f t="shared" si="102"/>
        <v>186.58455922620169</v>
      </c>
      <c r="J249" s="678">
        <f t="shared" si="103"/>
        <v>1.5654368008427868</v>
      </c>
      <c r="K249" s="678">
        <f t="shared" si="104"/>
        <v>1.0009564450014208</v>
      </c>
      <c r="L249" s="679">
        <f t="shared" si="105"/>
        <v>4.3719178870406029E-2</v>
      </c>
      <c r="M249" s="678">
        <f t="shared" si="106"/>
        <v>1.003296220148596</v>
      </c>
      <c r="N249" s="679">
        <f t="shared" si="107"/>
        <v>-8.1082566813019299E-2</v>
      </c>
      <c r="O249" s="677">
        <f t="shared" si="108"/>
        <v>171184.12686436085</v>
      </c>
      <c r="P249" s="680">
        <f t="shared" si="109"/>
        <v>1.5707904851317802</v>
      </c>
      <c r="Q249" s="689">
        <f t="shared" si="131"/>
        <v>81.033323917023964</v>
      </c>
      <c r="R249" s="690">
        <f t="shared" si="132"/>
        <v>1.558455411537532</v>
      </c>
      <c r="S249" s="677">
        <f t="shared" si="110"/>
        <v>1.184424000696779</v>
      </c>
      <c r="T249" s="680">
        <f t="shared" si="111"/>
        <v>0.56555326153482333</v>
      </c>
      <c r="U249" s="681">
        <f t="shared" si="123"/>
        <v>0.96499902995572795</v>
      </c>
      <c r="V249" s="682">
        <f t="shared" si="124"/>
        <v>-0.32638582962203694</v>
      </c>
      <c r="W249" s="683">
        <f t="shared" si="112"/>
        <v>-7.6422289627953788</v>
      </c>
      <c r="X249" s="684">
        <f t="shared" si="113"/>
        <v>-143.64477954726925</v>
      </c>
      <c r="Y249" s="687">
        <f t="shared" si="114"/>
        <v>36.355220452730748</v>
      </c>
      <c r="AA249" s="170">
        <f t="shared" si="115"/>
        <v>15136</v>
      </c>
      <c r="AB249" s="170">
        <f t="shared" si="116"/>
        <v>229098496</v>
      </c>
      <c r="AD249" s="686">
        <f t="shared" si="117"/>
        <v>37.139309351067098</v>
      </c>
      <c r="AE249" s="687">
        <f t="shared" si="118"/>
        <v>-33.110562670571831</v>
      </c>
      <c r="AG249" s="686">
        <f t="shared" si="119"/>
        <v>10.929449187157157</v>
      </c>
      <c r="AH249" s="687">
        <f t="shared" si="120"/>
        <v>-73.133155773523129</v>
      </c>
      <c r="AJ249" s="170">
        <f t="shared" si="121"/>
        <v>0</v>
      </c>
      <c r="AK249" s="170">
        <f t="shared" si="133"/>
        <v>0</v>
      </c>
      <c r="AM249" s="170" t="str">
        <f t="shared" si="125"/>
        <v>0.11045781082844+0.456853032915256i</v>
      </c>
      <c r="AN249" s="170" t="str">
        <f t="shared" si="126"/>
        <v>0.474454233500023i</v>
      </c>
      <c r="AO249" s="170" t="str">
        <f t="shared" si="127"/>
        <v>0.962902216184427-0.2328102544551i</v>
      </c>
      <c r="AP249" s="170" t="str">
        <f t="shared" si="128"/>
        <v>0.148257031528593-0.0761421721525427i</v>
      </c>
      <c r="AQ249" s="170" t="str">
        <f t="shared" si="129"/>
        <v>0.851742968471407+0.0761421721525427i</v>
      </c>
      <c r="AR249" s="170" t="str">
        <f t="shared" si="130"/>
        <v>0.970240801579736-0.0867353707373579i</v>
      </c>
    </row>
    <row r="250" spans="7:44">
      <c r="G250" s="688">
        <v>15224</v>
      </c>
      <c r="H250" s="676">
        <f t="shared" si="122"/>
        <v>15.224</v>
      </c>
      <c r="I250" s="677">
        <f t="shared" si="102"/>
        <v>187.66932210536075</v>
      </c>
      <c r="J250" s="678">
        <f t="shared" si="103"/>
        <v>1.5654677801734669</v>
      </c>
      <c r="K250" s="678">
        <f t="shared" si="104"/>
        <v>1.0009675933937552</v>
      </c>
      <c r="L250" s="679">
        <f t="shared" si="105"/>
        <v>4.3973033552995887E-2</v>
      </c>
      <c r="M250" s="678">
        <f t="shared" si="106"/>
        <v>1.0033345958304583</v>
      </c>
      <c r="N250" s="679">
        <f t="shared" si="107"/>
        <v>-8.1551895711471922E-2</v>
      </c>
      <c r="O250" s="677">
        <f t="shared" si="108"/>
        <v>172179.38341586397</v>
      </c>
      <c r="P250" s="680">
        <f t="shared" si="109"/>
        <v>1.5707905188986191</v>
      </c>
      <c r="Q250" s="689">
        <f t="shared" si="131"/>
        <v>81.504376352931487</v>
      </c>
      <c r="R250" s="690">
        <f t="shared" si="132"/>
        <v>1.5585267391279234</v>
      </c>
      <c r="S250" s="677">
        <f t="shared" si="110"/>
        <v>1.1864056018141844</v>
      </c>
      <c r="T250" s="680">
        <f t="shared" si="111"/>
        <v>0.56817934698631878</v>
      </c>
      <c r="U250" s="681">
        <f t="shared" si="123"/>
        <v>0.96461532122281746</v>
      </c>
      <c r="V250" s="682">
        <f t="shared" si="124"/>
        <v>-0.3282189984801826</v>
      </c>
      <c r="W250" s="683">
        <f t="shared" si="112"/>
        <v>-7.7101335186222997</v>
      </c>
      <c r="X250" s="684">
        <f t="shared" si="113"/>
        <v>-143.91031191215868</v>
      </c>
      <c r="Y250" s="687">
        <f t="shared" si="114"/>
        <v>36.089688087841324</v>
      </c>
      <c r="AA250" s="170">
        <f t="shared" si="115"/>
        <v>15224</v>
      </c>
      <c r="AB250" s="170">
        <f t="shared" si="116"/>
        <v>231770176</v>
      </c>
      <c r="AD250" s="686">
        <f t="shared" si="117"/>
        <v>37.124781938188832</v>
      </c>
      <c r="AE250" s="687">
        <f t="shared" si="118"/>
        <v>-33.256941448555587</v>
      </c>
      <c r="AG250" s="686">
        <f t="shared" si="119"/>
        <v>10.882980889489659</v>
      </c>
      <c r="AH250" s="687">
        <f t="shared" si="120"/>
        <v>-73.04224368277562</v>
      </c>
      <c r="AJ250" s="170">
        <f t="shared" si="121"/>
        <v>0</v>
      </c>
      <c r="AK250" s="170">
        <f t="shared" si="133"/>
        <v>0</v>
      </c>
      <c r="AM250" s="170" t="str">
        <f t="shared" si="125"/>
        <v>0.111721401986436+0.45930505365286i</v>
      </c>
      <c r="AN250" s="170" t="str">
        <f t="shared" si="126"/>
        <v>0.477212688345954i</v>
      </c>
      <c r="AO250" s="170" t="str">
        <f t="shared" si="127"/>
        <v>0.962474521046029-0.234112387861414i</v>
      </c>
      <c r="AP250" s="170" t="str">
        <f t="shared" si="128"/>
        <v>0.148046433002261-0.0765508422754767i</v>
      </c>
      <c r="AQ250" s="170" t="str">
        <f t="shared" si="129"/>
        <v>0.851953566997739+0.0765508422754767i</v>
      </c>
      <c r="AR250" s="170" t="str">
        <f t="shared" si="130"/>
        <v>0.969922038694493-0.0871506991457998i</v>
      </c>
    </row>
    <row r="251" spans="7:44">
      <c r="G251" s="688">
        <v>15312</v>
      </c>
      <c r="H251" s="676">
        <f t="shared" si="122"/>
        <v>15.311999999999999</v>
      </c>
      <c r="I251" s="677">
        <f t="shared" si="102"/>
        <v>188.75408516255936</v>
      </c>
      <c r="J251" s="678">
        <f t="shared" si="103"/>
        <v>1.5654984034299386</v>
      </c>
      <c r="K251" s="678">
        <f t="shared" si="104"/>
        <v>1.0009788062892038</v>
      </c>
      <c r="L251" s="679">
        <f t="shared" si="105"/>
        <v>4.4226882564618791E-2</v>
      </c>
      <c r="M251" s="678">
        <f t="shared" si="106"/>
        <v>1.003373192499512</v>
      </c>
      <c r="N251" s="679">
        <f t="shared" si="107"/>
        <v>-8.2021188606021311E-2</v>
      </c>
      <c r="O251" s="677">
        <f t="shared" si="108"/>
        <v>173174.63996736729</v>
      </c>
      <c r="P251" s="680">
        <f t="shared" si="109"/>
        <v>1.5707905522773333</v>
      </c>
      <c r="Q251" s="689">
        <f t="shared" si="131"/>
        <v>81.975429198737189</v>
      </c>
      <c r="R251" s="690">
        <f t="shared" si="132"/>
        <v>1.5585972469836653</v>
      </c>
      <c r="S251" s="677">
        <f t="shared" si="110"/>
        <v>1.1883953574513435</v>
      </c>
      <c r="T251" s="680">
        <f t="shared" si="111"/>
        <v>0.57079665661587531</v>
      </c>
      <c r="U251" s="681">
        <f t="shared" si="123"/>
        <v>0.96422982272604296</v>
      </c>
      <c r="V251" s="682">
        <f t="shared" si="124"/>
        <v>-0.33005110955137396</v>
      </c>
      <c r="W251" s="683">
        <f t="shared" si="112"/>
        <v>-7.7777981539952332</v>
      </c>
      <c r="X251" s="684">
        <f t="shared" si="113"/>
        <v>-144.17530565835978</v>
      </c>
      <c r="Y251" s="687">
        <f t="shared" si="114"/>
        <v>35.824694341640225</v>
      </c>
      <c r="AA251" s="170">
        <f t="shared" si="115"/>
        <v>15312</v>
      </c>
      <c r="AB251" s="170">
        <f t="shared" si="116"/>
        <v>234457344</v>
      </c>
      <c r="AD251" s="686">
        <f t="shared" si="117"/>
        <v>37.110219286950027</v>
      </c>
      <c r="AE251" s="687">
        <f t="shared" si="118"/>
        <v>-33.402864354077806</v>
      </c>
      <c r="AG251" s="686">
        <f t="shared" si="119"/>
        <v>10.836822744167501</v>
      </c>
      <c r="AH251" s="687">
        <f t="shared" si="120"/>
        <v>-72.951370059257712</v>
      </c>
      <c r="AJ251" s="170">
        <f t="shared" si="121"/>
        <v>0</v>
      </c>
      <c r="AK251" s="170">
        <f t="shared" si="133"/>
        <v>0</v>
      </c>
      <c r="AM251" s="170" t="str">
        <f t="shared" si="125"/>
        <v>0.112991752116964+0.461753579506935i</v>
      </c>
      <c r="AN251" s="170" t="str">
        <f t="shared" si="126"/>
        <v>0.479971143191884i</v>
      </c>
      <c r="AO251" s="170" t="str">
        <f t="shared" si="127"/>
        <v>0.962044460498606-0.235413636256444i</v>
      </c>
      <c r="AP251" s="170" t="str">
        <f t="shared" si="128"/>
        <v>0.147834707980506-0.0769589299178225i</v>
      </c>
      <c r="AQ251" s="170" t="str">
        <f t="shared" si="129"/>
        <v>0.852165292019494+0.0769589299178225i</v>
      </c>
      <c r="AR251" s="170" t="str">
        <f t="shared" si="130"/>
        <v>0.969601940470532-0.0875646174323999i</v>
      </c>
    </row>
    <row r="252" spans="7:44">
      <c r="G252" s="688">
        <v>15400</v>
      </c>
      <c r="H252" s="676">
        <f t="shared" si="122"/>
        <v>15.4</v>
      </c>
      <c r="I252" s="677">
        <f t="shared" si="102"/>
        <v>189.83884839474564</v>
      </c>
      <c r="J252" s="678">
        <f t="shared" si="103"/>
        <v>1.5655286767161039</v>
      </c>
      <c r="K252" s="678">
        <f t="shared" si="104"/>
        <v>1.0009900836855994</v>
      </c>
      <c r="L252" s="679">
        <f t="shared" si="105"/>
        <v>4.4480725872750156E-2</v>
      </c>
      <c r="M252" s="678">
        <f t="shared" si="106"/>
        <v>1.0034120101302559</v>
      </c>
      <c r="N252" s="679">
        <f t="shared" si="107"/>
        <v>-8.2490445294123957E-2</v>
      </c>
      <c r="O252" s="677">
        <f t="shared" si="108"/>
        <v>174169.89651887081</v>
      </c>
      <c r="P252" s="680">
        <f t="shared" si="109"/>
        <v>1.5707905852745765</v>
      </c>
      <c r="Q252" s="689">
        <f t="shared" si="131"/>
        <v>82.446482447415278</v>
      </c>
      <c r="R252" s="690">
        <f t="shared" si="132"/>
        <v>1.5586669491545706</v>
      </c>
      <c r="S252" s="677">
        <f t="shared" si="110"/>
        <v>1.1903932267171433</v>
      </c>
      <c r="T252" s="680">
        <f t="shared" si="111"/>
        <v>0.57340519866129602</v>
      </c>
      <c r="U252" s="681">
        <f t="shared" si="123"/>
        <v>0.96384254115922818</v>
      </c>
      <c r="V252" s="682">
        <f t="shared" si="124"/>
        <v>-0.3318821584264311</v>
      </c>
      <c r="W252" s="683">
        <f t="shared" si="112"/>
        <v>-7.8452256417792601</v>
      </c>
      <c r="X252" s="684">
        <f t="shared" si="113"/>
        <v>-144.43976054060917</v>
      </c>
      <c r="Y252" s="687">
        <f t="shared" si="114"/>
        <v>35.560239459390829</v>
      </c>
      <c r="AA252" s="170">
        <f t="shared" si="115"/>
        <v>15400</v>
      </c>
      <c r="AB252" s="170">
        <f t="shared" si="116"/>
        <v>237160000</v>
      </c>
      <c r="AD252" s="686">
        <f t="shared" si="117"/>
        <v>37.095621910862945</v>
      </c>
      <c r="AE252" s="687">
        <f t="shared" si="118"/>
        <v>-33.548331054516034</v>
      </c>
      <c r="AG252" s="686">
        <f t="shared" si="119"/>
        <v>10.790971385045321</v>
      </c>
      <c r="AH252" s="687">
        <f t="shared" si="120"/>
        <v>-72.860535495583221</v>
      </c>
      <c r="AJ252" s="170">
        <f t="shared" si="121"/>
        <v>0</v>
      </c>
      <c r="AK252" s="170">
        <f t="shared" si="133"/>
        <v>0</v>
      </c>
      <c r="AM252" s="170" t="str">
        <f t="shared" si="125"/>
        <v>0.114268851553845+0.46419859184648i</v>
      </c>
      <c r="AN252" s="170" t="str">
        <f t="shared" si="126"/>
        <v>0.482729598037815i</v>
      </c>
      <c r="AO252" s="170" t="str">
        <f t="shared" si="127"/>
        <v>0.961612036496914-0.23671399478781i</v>
      </c>
      <c r="AP252" s="170" t="str">
        <f t="shared" si="128"/>
        <v>0.147621858074359-0.0773664319744133i</v>
      </c>
      <c r="AQ252" s="170" t="str">
        <f t="shared" si="129"/>
        <v>0.852378141925641+0.0773664319744133i</v>
      </c>
      <c r="AR252" s="170" t="str">
        <f t="shared" si="130"/>
        <v>0.969280514608485-0.0879771210793479i</v>
      </c>
    </row>
    <row r="253" spans="7:44">
      <c r="G253" s="688">
        <v>15488</v>
      </c>
      <c r="H253" s="676">
        <f t="shared" si="122"/>
        <v>15.488</v>
      </c>
      <c r="I253" s="677">
        <f t="shared" si="102"/>
        <v>190.92361179893683</v>
      </c>
      <c r="J253" s="678">
        <f t="shared" si="103"/>
        <v>1.5655586059971449</v>
      </c>
      <c r="K253" s="678">
        <f t="shared" si="104"/>
        <v>1.0010014255807618</v>
      </c>
      <c r="L253" s="679">
        <f t="shared" si="105"/>
        <v>4.4734563444869785E-2</v>
      </c>
      <c r="M253" s="678">
        <f t="shared" si="106"/>
        <v>1.0034510486970469</v>
      </c>
      <c r="N253" s="679">
        <f t="shared" si="107"/>
        <v>-8.2959665573331398E-2</v>
      </c>
      <c r="O253" s="677">
        <f t="shared" si="108"/>
        <v>175165.15307037448</v>
      </c>
      <c r="P253" s="680">
        <f t="shared" si="109"/>
        <v>1.5707906178968511</v>
      </c>
      <c r="Q253" s="689">
        <f t="shared" si="131"/>
        <v>82.917536092099638</v>
      </c>
      <c r="R253" s="690">
        <f t="shared" si="132"/>
        <v>1.5587358593712179</v>
      </c>
      <c r="S253" s="677">
        <f t="shared" si="110"/>
        <v>1.1923991688283389</v>
      </c>
      <c r="T253" s="680">
        <f t="shared" si="111"/>
        <v>0.57600498178255644</v>
      </c>
      <c r="U253" s="681">
        <f t="shared" si="123"/>
        <v>0.9634534832327909</v>
      </c>
      <c r="V253" s="682">
        <f t="shared" si="124"/>
        <v>-0.33371214072168098</v>
      </c>
      <c r="W253" s="683">
        <f t="shared" si="112"/>
        <v>-7.9124187009542837</v>
      </c>
      <c r="X253" s="684">
        <f t="shared" si="113"/>
        <v>-144.70367634963299</v>
      </c>
      <c r="Y253" s="687">
        <f t="shared" si="114"/>
        <v>35.296323650367015</v>
      </c>
      <c r="AA253" s="170">
        <f t="shared" si="115"/>
        <v>15488</v>
      </c>
      <c r="AB253" s="170">
        <f t="shared" si="116"/>
        <v>239878144</v>
      </c>
      <c r="AD253" s="686">
        <f t="shared" si="117"/>
        <v>37.080990320357536</v>
      </c>
      <c r="AE253" s="687">
        <f t="shared" si="118"/>
        <v>-33.693341259718729</v>
      </c>
      <c r="AG253" s="686">
        <f t="shared" si="119"/>
        <v>10.745423502695569</v>
      </c>
      <c r="AH253" s="687">
        <f t="shared" si="120"/>
        <v>-72.769740574961745</v>
      </c>
      <c r="AJ253" s="170">
        <f t="shared" si="121"/>
        <v>0</v>
      </c>
      <c r="AK253" s="170">
        <f t="shared" si="133"/>
        <v>0</v>
      </c>
      <c r="AM253" s="170" t="str">
        <f t="shared" si="125"/>
        <v>0.115552690579539+0.466640072067228i</v>
      </c>
      <c r="AN253" s="170" t="str">
        <f t="shared" si="126"/>
        <v>0.485488052883745i</v>
      </c>
      <c r="AO253" s="170" t="str">
        <f t="shared" si="127"/>
        <v>0.961177251006359-0.238013458607619i</v>
      </c>
      <c r="AP253" s="170" t="str">
        <f t="shared" si="128"/>
        <v>0.14740788490341-0.077773345344538i</v>
      </c>
      <c r="AQ253" s="170" t="str">
        <f t="shared" si="129"/>
        <v>0.85259211509659+0.077773345344538i</v>
      </c>
      <c r="AR253" s="170" t="str">
        <f t="shared" si="130"/>
        <v>0.968957768822856-0.0883882056197477i</v>
      </c>
    </row>
    <row r="254" spans="7:44">
      <c r="G254" s="688">
        <v>15578.25</v>
      </c>
      <c r="H254" s="676">
        <f t="shared" si="122"/>
        <v>15.578250000000001</v>
      </c>
      <c r="I254" s="677">
        <f t="shared" si="102"/>
        <v>192.03611080668071</v>
      </c>
      <c r="J254" s="678">
        <f t="shared" si="103"/>
        <v>1.5655889493111672</v>
      </c>
      <c r="K254" s="678">
        <f t="shared" si="104"/>
        <v>1.0010131244587885</v>
      </c>
      <c r="L254" s="679">
        <f t="shared" si="105"/>
        <v>4.4994885190248676E-2</v>
      </c>
      <c r="M254" s="678">
        <f t="shared" si="106"/>
        <v>1.0034913148636628</v>
      </c>
      <c r="N254" s="679">
        <f t="shared" si="107"/>
        <v>-8.344084493282003E-2</v>
      </c>
      <c r="O254" s="677">
        <f t="shared" si="108"/>
        <v>176185.85652234295</v>
      </c>
      <c r="P254" s="680">
        <f t="shared" si="109"/>
        <v>1.5707906509704024</v>
      </c>
      <c r="Q254" s="689">
        <f t="shared" si="131"/>
        <v>83.400634126311886</v>
      </c>
      <c r="R254" s="690">
        <f t="shared" si="132"/>
        <v>1.5588057229666641</v>
      </c>
      <c r="S254" s="677">
        <f t="shared" si="110"/>
        <v>1.1944647417222087</v>
      </c>
      <c r="T254" s="680">
        <f t="shared" si="111"/>
        <v>0.57866214842918529</v>
      </c>
      <c r="U254" s="681">
        <f t="shared" si="123"/>
        <v>0.96305263978141875</v>
      </c>
      <c r="V254" s="682">
        <f t="shared" si="124"/>
        <v>-0.33558779993771887</v>
      </c>
      <c r="W254" s="683">
        <f t="shared" si="112"/>
        <v>-7.9810890611744902</v>
      </c>
      <c r="X254" s="684">
        <f t="shared" si="113"/>
        <v>-144.97377989994615</v>
      </c>
      <c r="Y254" s="687">
        <f t="shared" si="114"/>
        <v>35.026220100053848</v>
      </c>
      <c r="AA254" s="170">
        <f t="shared" si="115"/>
        <v>15578.25</v>
      </c>
      <c r="AB254" s="170">
        <f t="shared" si="116"/>
        <v>242681873.0625</v>
      </c>
      <c r="AD254" s="686">
        <f t="shared" si="117"/>
        <v>37.065949620304544</v>
      </c>
      <c r="AE254" s="687">
        <f t="shared" si="118"/>
        <v>-33.841584700017108</v>
      </c>
      <c r="AG254" s="686">
        <f t="shared" si="119"/>
        <v>10.699022850501727</v>
      </c>
      <c r="AH254" s="687">
        <f t="shared" si="120"/>
        <v>-72.676665970963327</v>
      </c>
      <c r="AJ254" s="170">
        <f t="shared" si="121"/>
        <v>0</v>
      </c>
      <c r="AK254" s="170">
        <f t="shared" si="133"/>
        <v>0</v>
      </c>
      <c r="AM254" s="170" t="str">
        <f t="shared" si="125"/>
        <v>0.116876345071685+0.469140288299837i</v>
      </c>
      <c r="AN254" s="170" t="str">
        <f t="shared" si="126"/>
        <v>0.488317036404713i</v>
      </c>
      <c r="AO254" s="170" t="str">
        <f t="shared" si="127"/>
        <v>0.960728898082142-0.239345212962873i</v>
      </c>
      <c r="AP254" s="170" t="str">
        <f t="shared" si="128"/>
        <v>0.147187275821386-0.0781900480499728i</v>
      </c>
      <c r="AQ254" s="170" t="str">
        <f t="shared" si="129"/>
        <v>0.852812724178614+0.0781900480499728i</v>
      </c>
      <c r="AR254" s="170" t="str">
        <f t="shared" si="130"/>
        <v>0.9686254081326-0.0888083222225119i</v>
      </c>
    </row>
    <row r="255" spans="7:44">
      <c r="G255" s="688">
        <v>15668.5</v>
      </c>
      <c r="H255" s="676">
        <f t="shared" si="122"/>
        <v>15.6685</v>
      </c>
      <c r="I255" s="677">
        <f t="shared" si="102"/>
        <v>193.1486099891986</v>
      </c>
      <c r="J255" s="678">
        <f t="shared" si="103"/>
        <v>1.5656189430818053</v>
      </c>
      <c r="K255" s="678">
        <f t="shared" si="104"/>
        <v>1.0010248911712951</v>
      </c>
      <c r="L255" s="679">
        <f t="shared" si="105"/>
        <v>4.5255200833278185E-2</v>
      </c>
      <c r="M255" s="678">
        <f t="shared" si="106"/>
        <v>1.0035318133535351</v>
      </c>
      <c r="N255" s="679">
        <f t="shared" si="107"/>
        <v>-8.3921985566791285E-2</v>
      </c>
      <c r="O255" s="677">
        <f t="shared" si="108"/>
        <v>177206.55997431159</v>
      </c>
      <c r="P255" s="680">
        <f t="shared" si="109"/>
        <v>1.5707906836629486</v>
      </c>
      <c r="Q255" s="689">
        <f t="shared" si="131"/>
        <v>83.88373256290734</v>
      </c>
      <c r="R255" s="690">
        <f t="shared" si="132"/>
        <v>1.5588747818535287</v>
      </c>
      <c r="S255" s="677">
        <f t="shared" si="110"/>
        <v>1.1965387190234957</v>
      </c>
      <c r="T255" s="680">
        <f t="shared" si="111"/>
        <v>0.58131012230980583</v>
      </c>
      <c r="U255" s="681">
        <f t="shared" si="123"/>
        <v>0.96264994232120138</v>
      </c>
      <c r="V255" s="682">
        <f t="shared" si="124"/>
        <v>-0.33746232807897636</v>
      </c>
      <c r="W255" s="683">
        <f t="shared" si="112"/>
        <v>-8.0495184761419498</v>
      </c>
      <c r="X255" s="684">
        <f t="shared" si="113"/>
        <v>-145.24331612579803</v>
      </c>
      <c r="Y255" s="687">
        <f t="shared" si="114"/>
        <v>34.756683874201968</v>
      </c>
      <c r="AA255" s="170">
        <f t="shared" si="115"/>
        <v>15668.5</v>
      </c>
      <c r="AB255" s="170">
        <f t="shared" si="116"/>
        <v>245501892.25</v>
      </c>
      <c r="AD255" s="686">
        <f t="shared" si="117"/>
        <v>37.050874011290581</v>
      </c>
      <c r="AE255" s="687">
        <f t="shared" si="118"/>
        <v>-33.989347518196091</v>
      </c>
      <c r="AG255" s="686">
        <f t="shared" si="119"/>
        <v>10.652934519041482</v>
      </c>
      <c r="AH255" s="687">
        <f t="shared" si="120"/>
        <v>-72.583634276245689</v>
      </c>
      <c r="AJ255" s="170">
        <f t="shared" si="121"/>
        <v>0</v>
      </c>
      <c r="AK255" s="170">
        <f t="shared" si="133"/>
        <v>0</v>
      </c>
      <c r="AM255" s="170" t="str">
        <f t="shared" si="125"/>
        <v>0.11820706732822+0.471636749935903i</v>
      </c>
      <c r="AN255" s="170" t="str">
        <f t="shared" si="126"/>
        <v>0.491146019925682i</v>
      </c>
      <c r="AO255" s="170" t="str">
        <f t="shared" si="127"/>
        <v>0.960278065588863-0.240676015955716i</v>
      </c>
      <c r="AP255" s="170" t="str">
        <f t="shared" si="128"/>
        <v>0.14696548877863-0.0786061249893172i</v>
      </c>
      <c r="AQ255" s="170" t="str">
        <f t="shared" si="129"/>
        <v>0.85303451122137+0.0786061249893172i</v>
      </c>
      <c r="AR255" s="170" t="str">
        <f t="shared" si="130"/>
        <v>0.968291675638397-0.0892269368707816i</v>
      </c>
    </row>
    <row r="256" spans="7:44">
      <c r="G256" s="688">
        <v>15758.75</v>
      </c>
      <c r="H256" s="676">
        <f t="shared" si="122"/>
        <v>15.758749999999999</v>
      </c>
      <c r="I256" s="677">
        <f t="shared" si="102"/>
        <v>194.26110934348787</v>
      </c>
      <c r="J256" s="678">
        <f t="shared" si="103"/>
        <v>1.5656485933143258</v>
      </c>
      <c r="K256" s="678">
        <f t="shared" si="104"/>
        <v>1.0010367257158892</v>
      </c>
      <c r="L256" s="679">
        <f t="shared" si="105"/>
        <v>4.5515510338893957E-2</v>
      </c>
      <c r="M256" s="678">
        <f t="shared" si="106"/>
        <v>1.0035725441385375</v>
      </c>
      <c r="N256" s="679">
        <f t="shared" si="107"/>
        <v>-8.4403087257182388E-2</v>
      </c>
      <c r="O256" s="677">
        <f t="shared" si="108"/>
        <v>178227.26342628043</v>
      </c>
      <c r="P256" s="680">
        <f t="shared" si="109"/>
        <v>1.5707907159810359</v>
      </c>
      <c r="Q256" s="689">
        <f t="shared" si="131"/>
        <v>84.366831394973673</v>
      </c>
      <c r="R256" s="690">
        <f t="shared" si="132"/>
        <v>1.5589430498548416</v>
      </c>
      <c r="S256" s="677">
        <f t="shared" si="110"/>
        <v>1.1986210571056928</v>
      </c>
      <c r="T256" s="680">
        <f t="shared" si="111"/>
        <v>0.58394891410564687</v>
      </c>
      <c r="U256" s="681">
        <f t="shared" si="123"/>
        <v>0.96224539814295573</v>
      </c>
      <c r="V256" s="682">
        <f t="shared" si="124"/>
        <v>-0.33933572050081634</v>
      </c>
      <c r="W256" s="683">
        <f t="shared" si="112"/>
        <v>-8.1177097106738891</v>
      </c>
      <c r="X256" s="684">
        <f t="shared" si="113"/>
        <v>-145.51228491502516</v>
      </c>
      <c r="Y256" s="687">
        <f t="shared" si="114"/>
        <v>34.487715084974838</v>
      </c>
      <c r="AA256" s="170">
        <f t="shared" si="115"/>
        <v>15758.75</v>
      </c>
      <c r="AB256" s="170">
        <f t="shared" si="116"/>
        <v>248338201.5625</v>
      </c>
      <c r="AD256" s="686">
        <f t="shared" si="117"/>
        <v>37.035764033680771</v>
      </c>
      <c r="AE256" s="687">
        <f t="shared" si="118"/>
        <v>-34.136629534618805</v>
      </c>
      <c r="AG256" s="686">
        <f t="shared" si="119"/>
        <v>10.607155116020353</v>
      </c>
      <c r="AH256" s="687">
        <f t="shared" si="120"/>
        <v>-72.490646090518325</v>
      </c>
      <c r="AJ256" s="170">
        <f t="shared" si="121"/>
        <v>0</v>
      </c>
      <c r="AK256" s="170">
        <f t="shared" si="133"/>
        <v>0</v>
      </c>
      <c r="AM256" s="170" t="str">
        <f t="shared" si="125"/>
        <v>0.119544846699183+0.474129436995885i</v>
      </c>
      <c r="AN256" s="170" t="str">
        <f t="shared" si="126"/>
        <v>0.49397500344665i</v>
      </c>
      <c r="AO256" s="170" t="str">
        <f t="shared" si="127"/>
        <v>0.95982475568137-0.242005862371726i</v>
      </c>
      <c r="AP256" s="170" t="str">
        <f t="shared" si="128"/>
        <v>0.146742525550136-0.0790215728326475i</v>
      </c>
      <c r="AQ256" s="170" t="str">
        <f t="shared" si="129"/>
        <v>0.853257474449864+0.0790215728326475i</v>
      </c>
      <c r="AR256" s="170" t="str">
        <f t="shared" si="130"/>
        <v>0.967956579704618-0.0896440449130379i</v>
      </c>
    </row>
    <row r="257" spans="7:44">
      <c r="G257" s="688">
        <v>15849</v>
      </c>
      <c r="H257" s="676">
        <f t="shared" si="122"/>
        <v>15.849</v>
      </c>
      <c r="I257" s="677">
        <f t="shared" si="102"/>
        <v>195.37360886661418</v>
      </c>
      <c r="J257" s="678">
        <f t="shared" si="103"/>
        <v>1.5656779058772168</v>
      </c>
      <c r="K257" s="678">
        <f t="shared" si="104"/>
        <v>1.0010486280901651</v>
      </c>
      <c r="L257" s="679">
        <f t="shared" si="105"/>
        <v>4.5775813672036599E-2</v>
      </c>
      <c r="M257" s="678">
        <f t="shared" si="106"/>
        <v>1.0036135071903876</v>
      </c>
      <c r="N257" s="679">
        <f t="shared" si="107"/>
        <v>-8.4884149786037921E-2</v>
      </c>
      <c r="O257" s="677">
        <f t="shared" si="108"/>
        <v>179247.96687824946</v>
      </c>
      <c r="P257" s="680">
        <f t="shared" si="109"/>
        <v>1.5707907479310612</v>
      </c>
      <c r="Q257" s="689">
        <f t="shared" si="131"/>
        <v>84.84993061575598</v>
      </c>
      <c r="R257" s="690">
        <f t="shared" si="132"/>
        <v>1.5590105404788539</v>
      </c>
      <c r="S257" s="677">
        <f t="shared" si="110"/>
        <v>1.2007117124696689</v>
      </c>
      <c r="T257" s="680">
        <f t="shared" si="111"/>
        <v>0.58657853493548384</v>
      </c>
      <c r="U257" s="681">
        <f t="shared" si="123"/>
        <v>0.96183901455454046</v>
      </c>
      <c r="V257" s="682">
        <f t="shared" si="124"/>
        <v>-0.34120797258703311</v>
      </c>
      <c r="W257" s="683">
        <f t="shared" si="112"/>
        <v>-8.1856654755936802</v>
      </c>
      <c r="X257" s="684">
        <f t="shared" si="113"/>
        <v>-145.78068619235839</v>
      </c>
      <c r="Y257" s="687">
        <f t="shared" si="114"/>
        <v>34.219313807641612</v>
      </c>
      <c r="AA257" s="170">
        <f t="shared" si="115"/>
        <v>15849</v>
      </c>
      <c r="AB257" s="170">
        <f t="shared" si="116"/>
        <v>251190801</v>
      </c>
      <c r="AD257" s="686">
        <f t="shared" si="117"/>
        <v>37.020620224349763</v>
      </c>
      <c r="AE257" s="687">
        <f t="shared" si="118"/>
        <v>-34.283430612744901</v>
      </c>
      <c r="AG257" s="686">
        <f t="shared" si="119"/>
        <v>10.561681306365063</v>
      </c>
      <c r="AH257" s="687">
        <f t="shared" si="120"/>
        <v>-72.397702004030734</v>
      </c>
      <c r="AJ257" s="170">
        <f t="shared" si="121"/>
        <v>0</v>
      </c>
      <c r="AK257" s="170">
        <f t="shared" si="133"/>
        <v>0</v>
      </c>
      <c r="AM257" s="170" t="str">
        <f t="shared" si="125"/>
        <v>0.120889672478137+0.476618329530456i</v>
      </c>
      <c r="AN257" s="170" t="str">
        <f t="shared" si="126"/>
        <v>0.496803986967618i</v>
      </c>
      <c r="AO257" s="170" t="str">
        <f t="shared" si="127"/>
        <v>0.959368970526242-0.243334747001571i</v>
      </c>
      <c r="AP257" s="170" t="str">
        <f t="shared" si="128"/>
        <v>0.14651838792031-0.079436388255076i</v>
      </c>
      <c r="AQ257" s="170" t="str">
        <f t="shared" si="129"/>
        <v>0.85348161207969+0.079436388255076i</v>
      </c>
      <c r="AR257" s="170" t="str">
        <f t="shared" si="130"/>
        <v>0.967620128709231-0.0900596417540583i</v>
      </c>
    </row>
    <row r="258" spans="7:44">
      <c r="G258" s="688">
        <v>15941.25</v>
      </c>
      <c r="H258" s="676">
        <f t="shared" si="122"/>
        <v>15.94125</v>
      </c>
      <c r="I258" s="677">
        <f t="shared" si="102"/>
        <v>196.51076229029027</v>
      </c>
      <c r="J258" s="678">
        <f t="shared" si="103"/>
        <v>1.5657075250196548</v>
      </c>
      <c r="K258" s="678">
        <f t="shared" si="104"/>
        <v>1.0010608643275123</v>
      </c>
      <c r="L258" s="679">
        <f t="shared" si="105"/>
        <v>4.6041879084432802E-2</v>
      </c>
      <c r="M258" s="678">
        <f t="shared" si="106"/>
        <v>1.0036556180257525</v>
      </c>
      <c r="N258" s="679">
        <f t="shared" si="107"/>
        <v>-8.5375832280627978E-2</v>
      </c>
      <c r="O258" s="677">
        <f t="shared" si="108"/>
        <v>180291.28979729829</v>
      </c>
      <c r="P258" s="680">
        <f t="shared" si="109"/>
        <v>1.5707907802152414</v>
      </c>
      <c r="Q258" s="689">
        <f t="shared" si="131"/>
        <v>85.343736031304942</v>
      </c>
      <c r="R258" s="690">
        <f t="shared" si="132"/>
        <v>1.5590787370745307</v>
      </c>
      <c r="S258" s="677">
        <f t="shared" si="110"/>
        <v>1.2028572487927369</v>
      </c>
      <c r="T258" s="680">
        <f t="shared" si="111"/>
        <v>0.58925696386747106</v>
      </c>
      <c r="U258" s="681">
        <f t="shared" si="123"/>
        <v>0.96142173185580015</v>
      </c>
      <c r="V258" s="682">
        <f t="shared" si="124"/>
        <v>-0.34312053172644763</v>
      </c>
      <c r="W258" s="683">
        <f t="shared" si="112"/>
        <v>-8.2548865979256654</v>
      </c>
      <c r="X258" s="684">
        <f t="shared" si="113"/>
        <v>-146.0544488640455</v>
      </c>
      <c r="Y258" s="687">
        <f t="shared" si="114"/>
        <v>33.945551135954503</v>
      </c>
      <c r="AA258" s="170">
        <f t="shared" si="115"/>
        <v>15941.25</v>
      </c>
      <c r="AB258" s="170">
        <f t="shared" si="116"/>
        <v>254123451.5625</v>
      </c>
      <c r="AD258" s="686">
        <f t="shared" si="117"/>
        <v>37.005106408786126</v>
      </c>
      <c r="AE258" s="687">
        <f t="shared" si="118"/>
        <v>-34.432987759082224</v>
      </c>
      <c r="AG258" s="686">
        <f t="shared" si="119"/>
        <v>10.51551217981023</v>
      </c>
      <c r="AH258" s="687">
        <f t="shared" si="120"/>
        <v>-72.30274439561488</v>
      </c>
      <c r="AJ258" s="170">
        <f t="shared" si="121"/>
        <v>0</v>
      </c>
      <c r="AK258" s="170">
        <f t="shared" si="133"/>
        <v>0</v>
      </c>
      <c r="AM258" s="170" t="str">
        <f t="shared" si="125"/>
        <v>0.122271571652532+0.479158435249432i</v>
      </c>
      <c r="AN258" s="170" t="str">
        <f t="shared" si="126"/>
        <v>0.499695662644176i</v>
      </c>
      <c r="AO258" s="170" t="str">
        <f t="shared" si="127"/>
        <v>0.958900529001853-0.244692081187023i</v>
      </c>
      <c r="AP258" s="170" t="str">
        <f t="shared" si="128"/>
        <v>0.146288071391245-0.0798597392082387i</v>
      </c>
      <c r="AQ258" s="170" t="str">
        <f t="shared" si="129"/>
        <v>0.853711928608755+0.0798597392082387i</v>
      </c>
      <c r="AR258" s="170" t="str">
        <f t="shared" si="130"/>
        <v>0.967274830034417-0.0904828819659646i</v>
      </c>
    </row>
    <row r="259" spans="7:44">
      <c r="G259" s="688">
        <v>16033.5</v>
      </c>
      <c r="H259" s="676">
        <f t="shared" si="122"/>
        <v>16.0335</v>
      </c>
      <c r="I259" s="677">
        <f t="shared" si="102"/>
        <v>197.64791588438024</v>
      </c>
      <c r="J259" s="678">
        <f t="shared" si="103"/>
        <v>1.5657368033387491</v>
      </c>
      <c r="K259" s="678">
        <f t="shared" si="104"/>
        <v>1.0010731714290275</v>
      </c>
      <c r="L259" s="679">
        <f t="shared" si="105"/>
        <v>4.6307937973695708E-2</v>
      </c>
      <c r="M259" s="678">
        <f t="shared" si="106"/>
        <v>1.0036979714761505</v>
      </c>
      <c r="N259" s="679">
        <f t="shared" si="107"/>
        <v>-8.5867473398613475E-2</v>
      </c>
      <c r="O259" s="677">
        <f t="shared" si="108"/>
        <v>181334.61271634736</v>
      </c>
      <c r="P259" s="680">
        <f t="shared" si="109"/>
        <v>1.5707908121279226</v>
      </c>
      <c r="Q259" s="689">
        <f t="shared" si="131"/>
        <v>85.837541839201762</v>
      </c>
      <c r="R259" s="690">
        <f t="shared" si="132"/>
        <v>1.5591461490284069</v>
      </c>
      <c r="S259" s="677">
        <f t="shared" si="110"/>
        <v>1.2050113836264247</v>
      </c>
      <c r="T259" s="680">
        <f t="shared" si="111"/>
        <v>0.59192583571877577</v>
      </c>
      <c r="U259" s="681">
        <f t="shared" si="123"/>
        <v>0.96100254281134434</v>
      </c>
      <c r="V259" s="682">
        <f t="shared" si="124"/>
        <v>-0.34503188976708027</v>
      </c>
      <c r="W259" s="683">
        <f t="shared" si="112"/>
        <v>-8.323867259092756</v>
      </c>
      <c r="X259" s="684">
        <f t="shared" si="113"/>
        <v>-146.32761854813572</v>
      </c>
      <c r="Y259" s="687">
        <f t="shared" si="114"/>
        <v>33.672381451864283</v>
      </c>
      <c r="AA259" s="170">
        <f t="shared" si="115"/>
        <v>16033.5</v>
      </c>
      <c r="AB259" s="170">
        <f t="shared" si="116"/>
        <v>257073122.25</v>
      </c>
      <c r="AD259" s="686">
        <f t="shared" si="117"/>
        <v>36.989558368485383</v>
      </c>
      <c r="AE259" s="687">
        <f t="shared" si="118"/>
        <v>-34.5820422604097</v>
      </c>
      <c r="AG259" s="686">
        <f t="shared" si="119"/>
        <v>10.469655472093368</v>
      </c>
      <c r="AH259" s="687">
        <f t="shared" si="120"/>
        <v>-72.207834080394079</v>
      </c>
      <c r="AJ259" s="170">
        <f t="shared" si="121"/>
        <v>0</v>
      </c>
      <c r="AK259" s="170">
        <f t="shared" si="133"/>
        <v>0</v>
      </c>
      <c r="AM259" s="170" t="str">
        <f t="shared" si="125"/>
        <v>0.123660810201045+0.481694534349842i</v>
      </c>
      <c r="AN259" s="170" t="str">
        <f t="shared" si="126"/>
        <v>0.502587338320734i</v>
      </c>
      <c r="AO259" s="170" t="str">
        <f t="shared" si="127"/>
        <v>0.958429505922891-0.246048399496545i</v>
      </c>
      <c r="AP259" s="170" t="str">
        <f t="shared" si="128"/>
        <v>0.146056531633159-0.0802824223916403i</v>
      </c>
      <c r="AQ259" s="170" t="str">
        <f t="shared" si="129"/>
        <v>0.853943468366841+0.0802824223916403i</v>
      </c>
      <c r="AR259" s="170" t="str">
        <f t="shared" si="130"/>
        <v>0.966928133316768-0.090904533727225i</v>
      </c>
    </row>
    <row r="260" spans="7:44">
      <c r="G260" s="688">
        <v>16125.75</v>
      </c>
      <c r="H260" s="676">
        <f t="shared" si="122"/>
        <v>16.12575</v>
      </c>
      <c r="I260" s="677">
        <f t="shared" si="102"/>
        <v>198.78506964595951</v>
      </c>
      <c r="J260" s="678">
        <f t="shared" si="103"/>
        <v>1.5657657466835087</v>
      </c>
      <c r="K260" s="678">
        <f t="shared" si="104"/>
        <v>1.0010855493920969</v>
      </c>
      <c r="L260" s="679">
        <f t="shared" si="105"/>
        <v>4.6573990302399407E-2</v>
      </c>
      <c r="M260" s="678">
        <f t="shared" si="106"/>
        <v>1.0037405675108699</v>
      </c>
      <c r="N260" s="679">
        <f t="shared" si="107"/>
        <v>-8.635907290757712E-2</v>
      </c>
      <c r="O260" s="677">
        <f t="shared" si="108"/>
        <v>182377.93563539657</v>
      </c>
      <c r="P260" s="680">
        <f t="shared" si="109"/>
        <v>1.5707908436754803</v>
      </c>
      <c r="Q260" s="689">
        <f t="shared" si="131"/>
        <v>86.331348032713834</v>
      </c>
      <c r="R260" s="690">
        <f t="shared" si="132"/>
        <v>1.5592127898040691</v>
      </c>
      <c r="S260" s="677">
        <f t="shared" si="110"/>
        <v>1.2071740709400445</v>
      </c>
      <c r="T260" s="680">
        <f t="shared" si="111"/>
        <v>0.5945851637332793</v>
      </c>
      <c r="U260" s="681">
        <f t="shared" si="123"/>
        <v>0.96058145527870675</v>
      </c>
      <c r="V260" s="682">
        <f t="shared" si="124"/>
        <v>-0.34694204187136019</v>
      </c>
      <c r="W260" s="683">
        <f t="shared" si="112"/>
        <v>-8.3926101877317105</v>
      </c>
      <c r="X260" s="684">
        <f t="shared" si="113"/>
        <v>-146.6001952791851</v>
      </c>
      <c r="Y260" s="687">
        <f t="shared" si="114"/>
        <v>33.399804720814899</v>
      </c>
      <c r="AA260" s="170">
        <f t="shared" si="115"/>
        <v>16125.75</v>
      </c>
      <c r="AB260" s="170">
        <f t="shared" si="116"/>
        <v>260039813.0625</v>
      </c>
      <c r="AD260" s="686">
        <f t="shared" si="117"/>
        <v>36.973976665393884</v>
      </c>
      <c r="AE260" s="687">
        <f t="shared" si="118"/>
        <v>-34.730594104504377</v>
      </c>
      <c r="AG260" s="686">
        <f t="shared" si="119"/>
        <v>10.424107798487716</v>
      </c>
      <c r="AH260" s="687">
        <f t="shared" si="120"/>
        <v>-72.112971659492104</v>
      </c>
      <c r="AJ260" s="170">
        <f t="shared" si="121"/>
        <v>0</v>
      </c>
      <c r="AK260" s="170">
        <f t="shared" si="133"/>
        <v>0</v>
      </c>
      <c r="AM260" s="170" t="str">
        <f t="shared" si="125"/>
        <v>0.125057376507164+0.484226605625376i</v>
      </c>
      <c r="AN260" s="170" t="str">
        <f t="shared" si="126"/>
        <v>0.505479013997291i</v>
      </c>
      <c r="AO260" s="170" t="str">
        <f t="shared" si="127"/>
        <v>0.957955903641078-0.247403696383396i</v>
      </c>
      <c r="AP260" s="170" t="str">
        <f t="shared" si="128"/>
        <v>0.145823770582139-0.080704434270896i</v>
      </c>
      <c r="AQ260" s="170" t="str">
        <f t="shared" si="129"/>
        <v>0.854176229417861+0.080704434270896i</v>
      </c>
      <c r="AR260" s="170" t="str">
        <f t="shared" si="130"/>
        <v>0.96658004754485-0.0913245923125331i</v>
      </c>
    </row>
    <row r="261" spans="7:44">
      <c r="G261" s="688">
        <v>16218</v>
      </c>
      <c r="H261" s="676">
        <f t="shared" si="122"/>
        <v>16.218</v>
      </c>
      <c r="I261" s="677">
        <f t="shared" si="102"/>
        <v>199.92222357217005</v>
      </c>
      <c r="J261" s="678">
        <f t="shared" si="103"/>
        <v>1.5657943607698679</v>
      </c>
      <c r="K261" s="678">
        <f t="shared" si="104"/>
        <v>1.001097998214092</v>
      </c>
      <c r="L261" s="679">
        <f t="shared" si="105"/>
        <v>4.684003603312354E-2</v>
      </c>
      <c r="M261" s="678">
        <f t="shared" si="106"/>
        <v>1.0037834060990278</v>
      </c>
      <c r="N261" s="679">
        <f t="shared" si="107"/>
        <v>-8.6850630575221424E-2</v>
      </c>
      <c r="O261" s="677">
        <f t="shared" si="108"/>
        <v>183421.25855444599</v>
      </c>
      <c r="P261" s="680">
        <f t="shared" si="109"/>
        <v>1.570790874864145</v>
      </c>
      <c r="Q261" s="689">
        <f t="shared" si="131"/>
        <v>86.825154605261787</v>
      </c>
      <c r="R261" s="690">
        <f t="shared" si="132"/>
        <v>1.5592786725588423</v>
      </c>
      <c r="S261" s="677">
        <f t="shared" si="110"/>
        <v>1.2093452648500758</v>
      </c>
      <c r="T261" s="680">
        <f t="shared" si="111"/>
        <v>0.59723496160026612</v>
      </c>
      <c r="U261" s="681">
        <f t="shared" si="123"/>
        <v>0.96015847713255353</v>
      </c>
      <c r="V261" s="682">
        <f t="shared" si="124"/>
        <v>-0.34885098323294772</v>
      </c>
      <c r="W261" s="683">
        <f t="shared" si="112"/>
        <v>-8.4611180591248836</v>
      </c>
      <c r="X261" s="684">
        <f t="shared" si="113"/>
        <v>-146.87217912897995</v>
      </c>
      <c r="Y261" s="687">
        <f t="shared" si="114"/>
        <v>33.127820871020049</v>
      </c>
      <c r="AA261" s="170">
        <f t="shared" si="115"/>
        <v>16218</v>
      </c>
      <c r="AB261" s="170">
        <f t="shared" si="116"/>
        <v>263023524</v>
      </c>
      <c r="AD261" s="686">
        <f t="shared" si="117"/>
        <v>36.958361857576932</v>
      </c>
      <c r="AE261" s="687">
        <f t="shared" si="118"/>
        <v>-34.878643322202315</v>
      </c>
      <c r="AG261" s="686">
        <f t="shared" si="119"/>
        <v>10.37886583122952</v>
      </c>
      <c r="AH261" s="687">
        <f t="shared" si="120"/>
        <v>-72.018157724625183</v>
      </c>
      <c r="AJ261" s="170">
        <f t="shared" si="121"/>
        <v>0</v>
      </c>
      <c r="AK261" s="170">
        <f t="shared" si="133"/>
        <v>0</v>
      </c>
      <c r="AM261" s="170" t="str">
        <f t="shared" si="125"/>
        <v>0.126461258893106+0.486754627903406i</v>
      </c>
      <c r="AN261" s="170" t="str">
        <f t="shared" si="126"/>
        <v>0.508370689673849i</v>
      </c>
      <c r="AO261" s="170" t="str">
        <f t="shared" si="127"/>
        <v>0.957479724520879-0.248757966306513i</v>
      </c>
      <c r="AP261" s="170" t="str">
        <f t="shared" si="128"/>
        <v>0.145589790184482-0.0811257713172343i</v>
      </c>
      <c r="AQ261" s="170" t="str">
        <f t="shared" si="129"/>
        <v>0.854410209815518+0.0811257713172343i</v>
      </c>
      <c r="AR261" s="170" t="str">
        <f t="shared" si="130"/>
        <v>0.966230581720143-0.0917430530579351i</v>
      </c>
    </row>
    <row r="262" spans="7:44">
      <c r="G262" s="688">
        <v>16312.5</v>
      </c>
      <c r="H262" s="676">
        <f t="shared" si="122"/>
        <v>16.3125</v>
      </c>
      <c r="I262" s="677">
        <f t="shared" si="102"/>
        <v>201.0871131277793</v>
      </c>
      <c r="J262" s="678">
        <f t="shared" si="103"/>
        <v>1.5658233371973616</v>
      </c>
      <c r="K262" s="678">
        <f t="shared" si="104"/>
        <v>1.0011108241355302</v>
      </c>
      <c r="L262" s="679">
        <f t="shared" si="105"/>
        <v>4.7112563803667559E-2</v>
      </c>
      <c r="M262" s="678">
        <f t="shared" si="106"/>
        <v>1.003827540997829</v>
      </c>
      <c r="N262" s="679">
        <f t="shared" si="107"/>
        <v>-8.7354133827030139E-2</v>
      </c>
      <c r="O262" s="677">
        <f t="shared" si="108"/>
        <v>184490.0283739602</v>
      </c>
      <c r="P262" s="680">
        <f t="shared" si="109"/>
        <v>1.5707909064477439</v>
      </c>
      <c r="Q262" s="689">
        <f t="shared" si="131"/>
        <v>87.331005626849574</v>
      </c>
      <c r="R262" s="690">
        <f t="shared" si="132"/>
        <v>1.5593453896718232</v>
      </c>
      <c r="S262" s="677">
        <f t="shared" si="110"/>
        <v>1.2115781872468743</v>
      </c>
      <c r="T262" s="680">
        <f t="shared" si="111"/>
        <v>0.59993952180693633</v>
      </c>
      <c r="U262" s="681">
        <f t="shared" si="123"/>
        <v>0.95972323035070806</v>
      </c>
      <c r="V262" s="682">
        <f t="shared" si="124"/>
        <v>-0.35080522375041284</v>
      </c>
      <c r="W262" s="683">
        <f t="shared" si="112"/>
        <v>-8.5310558691748728</v>
      </c>
      <c r="X262" s="684">
        <f t="shared" si="113"/>
        <v>-147.1501820962431</v>
      </c>
      <c r="Y262" s="687">
        <f t="shared" si="114"/>
        <v>32.8498179037569</v>
      </c>
      <c r="AA262" s="170">
        <f t="shared" si="115"/>
        <v>16312.5</v>
      </c>
      <c r="AB262" s="170">
        <f t="shared" si="116"/>
        <v>266097656.25</v>
      </c>
      <c r="AD262" s="686">
        <f t="shared" si="117"/>
        <v>36.942332454323463</v>
      </c>
      <c r="AE262" s="687">
        <f t="shared" si="118"/>
        <v>-35.029782408268076</v>
      </c>
      <c r="AG262" s="686">
        <f t="shared" si="119"/>
        <v>10.332833962997785</v>
      </c>
      <c r="AH262" s="687">
        <f t="shared" si="120"/>
        <v>-71.921082137958265</v>
      </c>
      <c r="AJ262" s="170">
        <f t="shared" si="121"/>
        <v>0</v>
      </c>
      <c r="AK262" s="170">
        <f t="shared" si="133"/>
        <v>0</v>
      </c>
      <c r="AM262" s="170" t="str">
        <f t="shared" si="125"/>
        <v>0.127906955958968+0.489340088829075i</v>
      </c>
      <c r="AN262" s="170" t="str">
        <f t="shared" si="126"/>
        <v>0.511332894025445i</v>
      </c>
      <c r="AO262" s="170" t="str">
        <f t="shared" si="127"/>
        <v>0.956989261881369-0.25014419657618i</v>
      </c>
      <c r="AP262" s="170" t="str">
        <f t="shared" si="128"/>
        <v>0.145348840673505-0.0815566814715125i</v>
      </c>
      <c r="AQ262" s="170" t="str">
        <f t="shared" si="129"/>
        <v>0.854651159326495+0.0815566814715125i</v>
      </c>
      <c r="AR262" s="170" t="str">
        <f t="shared" si="130"/>
        <v>0.965871170808151-0.0921700585794492i</v>
      </c>
    </row>
    <row r="263" spans="7:44">
      <c r="G263" s="688">
        <v>16407</v>
      </c>
      <c r="H263" s="676">
        <f t="shared" si="122"/>
        <v>16.407</v>
      </c>
      <c r="I263" s="677">
        <f t="shared" si="102"/>
        <v>202.25200285028311</v>
      </c>
      <c r="J263" s="678">
        <f t="shared" si="103"/>
        <v>1.5658519798398769</v>
      </c>
      <c r="K263" s="678">
        <f t="shared" si="104"/>
        <v>1.0011237244089484</v>
      </c>
      <c r="L263" s="679">
        <f t="shared" si="105"/>
        <v>4.7385084570978585E-2</v>
      </c>
      <c r="M263" s="678">
        <f t="shared" si="106"/>
        <v>1.0038719303600812</v>
      </c>
      <c r="N263" s="679">
        <f t="shared" si="107"/>
        <v>-8.7857592678496813E-2</v>
      </c>
      <c r="O263" s="677">
        <f t="shared" si="108"/>
        <v>185558.79819347456</v>
      </c>
      <c r="P263" s="680">
        <f t="shared" si="109"/>
        <v>1.5707909376675162</v>
      </c>
      <c r="Q263" s="689">
        <f t="shared" si="131"/>
        <v>87.836857032685444</v>
      </c>
      <c r="R263" s="690">
        <f t="shared" si="132"/>
        <v>1.5594113383389885</v>
      </c>
      <c r="S263" s="677">
        <f t="shared" si="110"/>
        <v>1.213819939265629</v>
      </c>
      <c r="T263" s="680">
        <f t="shared" si="111"/>
        <v>0.60263411179041693</v>
      </c>
      <c r="U263" s="681">
        <f t="shared" si="123"/>
        <v>0.95928601638761435</v>
      </c>
      <c r="V263" s="682">
        <f t="shared" si="124"/>
        <v>-0.35275818363461536</v>
      </c>
      <c r="W263" s="683">
        <f t="shared" si="112"/>
        <v>-8.6007525331662098</v>
      </c>
      <c r="X263" s="684">
        <f t="shared" si="113"/>
        <v>-147.42756317760416</v>
      </c>
      <c r="Y263" s="687">
        <f t="shared" si="114"/>
        <v>32.572436822395844</v>
      </c>
      <c r="AA263" s="170">
        <f t="shared" si="115"/>
        <v>16407</v>
      </c>
      <c r="AB263" s="170">
        <f t="shared" si="116"/>
        <v>269189649</v>
      </c>
      <c r="AD263" s="686">
        <f t="shared" si="117"/>
        <v>36.92626948476196</v>
      </c>
      <c r="AE263" s="687">
        <f t="shared" si="118"/>
        <v>-35.180394250479942</v>
      </c>
      <c r="AG263" s="686">
        <f t="shared" si="119"/>
        <v>10.287116003843977</v>
      </c>
      <c r="AH263" s="687">
        <f t="shared" si="120"/>
        <v>-71.824058659005431</v>
      </c>
      <c r="AJ263" s="170">
        <f t="shared" si="121"/>
        <v>0</v>
      </c>
      <c r="AK263" s="170">
        <f t="shared" si="133"/>
        <v>0</v>
      </c>
      <c r="AM263" s="170" t="str">
        <f t="shared" si="125"/>
        <v>0.129360305334492+0.491921255967611i</v>
      </c>
      <c r="AN263" s="170" t="str">
        <f t="shared" si="126"/>
        <v>0.51429509837704i</v>
      </c>
      <c r="AO263" s="170" t="str">
        <f t="shared" si="127"/>
        <v>0.956496100234993-0.251529337422647i</v>
      </c>
      <c r="AP263" s="170" t="str">
        <f t="shared" si="128"/>
        <v>0.145106615777585-0.0819868759946018i</v>
      </c>
      <c r="AQ263" s="170" t="str">
        <f t="shared" si="129"/>
        <v>0.854893384222415+0.0819868759946018i</v>
      </c>
      <c r="AR263" s="170" t="str">
        <f t="shared" si="130"/>
        <v>0.965510330864441-0.0925953776564673i</v>
      </c>
    </row>
    <row r="264" spans="7:44">
      <c r="G264" s="688">
        <v>16501.5</v>
      </c>
      <c r="H264" s="676">
        <f t="shared" si="122"/>
        <v>16.5015</v>
      </c>
      <c r="I264" s="677">
        <f t="shared" si="102"/>
        <v>203.41689273681425</v>
      </c>
      <c r="J264" s="678">
        <f t="shared" si="103"/>
        <v>1.5658802944317394</v>
      </c>
      <c r="K264" s="678">
        <f t="shared" si="104"/>
        <v>1.0011366990314721</v>
      </c>
      <c r="L264" s="679">
        <f t="shared" si="105"/>
        <v>4.765759829484921E-2</v>
      </c>
      <c r="M264" s="678">
        <f t="shared" si="106"/>
        <v>1.0039165741520306</v>
      </c>
      <c r="N264" s="679">
        <f t="shared" si="107"/>
        <v>-8.836100688030385E-2</v>
      </c>
      <c r="O264" s="677">
        <f t="shared" si="108"/>
        <v>186627.56801298916</v>
      </c>
      <c r="P264" s="680">
        <f t="shared" si="109"/>
        <v>1.570790968529713</v>
      </c>
      <c r="Q264" s="689">
        <f t="shared" si="131"/>
        <v>88.342708816168795</v>
      </c>
      <c r="R264" s="690">
        <f t="shared" si="132"/>
        <v>1.5594765317601591</v>
      </c>
      <c r="S264" s="677">
        <f t="shared" si="110"/>
        <v>1.216070472075726</v>
      </c>
      <c r="T264" s="680">
        <f t="shared" si="111"/>
        <v>0.60531874766752314</v>
      </c>
      <c r="U264" s="681">
        <f t="shared" si="123"/>
        <v>0.95884684376177876</v>
      </c>
      <c r="V264" s="682">
        <f t="shared" si="124"/>
        <v>-0.35470985782109765</v>
      </c>
      <c r="W264" s="683">
        <f t="shared" si="112"/>
        <v>-8.6702107612716759</v>
      </c>
      <c r="X264" s="684">
        <f t="shared" si="113"/>
        <v>-147.70432256695221</v>
      </c>
      <c r="Y264" s="687">
        <f t="shared" si="114"/>
        <v>32.295677433047786</v>
      </c>
      <c r="AA264" s="170">
        <f t="shared" si="115"/>
        <v>16501.5</v>
      </c>
      <c r="AB264" s="170">
        <f t="shared" si="116"/>
        <v>272299502.25</v>
      </c>
      <c r="AD264" s="686">
        <f t="shared" si="117"/>
        <v>36.910173536033469</v>
      </c>
      <c r="AE264" s="687">
        <f t="shared" si="118"/>
        <v>-35.330479016327544</v>
      </c>
      <c r="AG264" s="686">
        <f t="shared" si="119"/>
        <v>10.241708554095286</v>
      </c>
      <c r="AH264" s="687">
        <f t="shared" si="120"/>
        <v>-71.727087894510234</v>
      </c>
      <c r="AJ264" s="170">
        <f t="shared" si="121"/>
        <v>0</v>
      </c>
      <c r="AK264" s="170">
        <f t="shared" si="133"/>
        <v>0</v>
      </c>
      <c r="AM264" s="170" t="str">
        <f t="shared" si="125"/>
        <v>0.130821294267051+0.494498106670183i</v>
      </c>
      <c r="AN264" s="170" t="str">
        <f t="shared" si="126"/>
        <v>0.517257302728636i</v>
      </c>
      <c r="AO264" s="170" t="str">
        <f t="shared" si="127"/>
        <v>0.956000242164985-0.252913382908163i</v>
      </c>
      <c r="AP264" s="170" t="str">
        <f t="shared" si="128"/>
        <v>0.144863117622158-0.0824163511116972i</v>
      </c>
      <c r="AQ264" s="170" t="str">
        <f t="shared" si="129"/>
        <v>0.855136882377842+0.0824163511116972i</v>
      </c>
      <c r="AR264" s="170" t="str">
        <f t="shared" si="130"/>
        <v>0.96514807160429-0.0930190054753949i</v>
      </c>
    </row>
    <row r="265" spans="7:44">
      <c r="G265" s="688">
        <v>16596</v>
      </c>
      <c r="H265" s="676">
        <f t="shared" si="122"/>
        <v>16.596</v>
      </c>
      <c r="I265" s="677">
        <f t="shared" si="102"/>
        <v>204.58178278457081</v>
      </c>
      <c r="J265" s="678">
        <f t="shared" si="103"/>
        <v>1.5659082865766709</v>
      </c>
      <c r="K265" s="678">
        <f t="shared" si="104"/>
        <v>1.0011497480002107</v>
      </c>
      <c r="L265" s="679">
        <f t="shared" si="105"/>
        <v>4.7930104935078301E-2</v>
      </c>
      <c r="M265" s="678">
        <f t="shared" si="106"/>
        <v>1.0039614723397352</v>
      </c>
      <c r="N265" s="679">
        <f t="shared" si="107"/>
        <v>-8.8864376183268382E-2</v>
      </c>
      <c r="O265" s="677">
        <f t="shared" si="108"/>
        <v>187696.33783250389</v>
      </c>
      <c r="P265" s="680">
        <f t="shared" si="109"/>
        <v>1.5707909990404421</v>
      </c>
      <c r="Q265" s="689">
        <f t="shared" si="131"/>
        <v>88.848560970849306</v>
      </c>
      <c r="R265" s="690">
        <f t="shared" si="132"/>
        <v>1.5595409828345732</v>
      </c>
      <c r="S265" s="677">
        <f t="shared" si="110"/>
        <v>1.2183297370167956</v>
      </c>
      <c r="T265" s="680">
        <f t="shared" si="111"/>
        <v>0.60799344601015182</v>
      </c>
      <c r="U265" s="681">
        <f t="shared" si="123"/>
        <v>0.95840572100893551</v>
      </c>
      <c r="V265" s="682">
        <f t="shared" si="124"/>
        <v>-0.3566602412799601</v>
      </c>
      <c r="W265" s="683">
        <f t="shared" si="112"/>
        <v>-8.7394332105107324</v>
      </c>
      <c r="X265" s="684">
        <f t="shared" si="113"/>
        <v>-147.98046049596897</v>
      </c>
      <c r="Y265" s="687">
        <f t="shared" si="114"/>
        <v>32.01953950403103</v>
      </c>
      <c r="AA265" s="170">
        <f t="shared" si="115"/>
        <v>16596</v>
      </c>
      <c r="AB265" s="170">
        <f t="shared" si="116"/>
        <v>275427216</v>
      </c>
      <c r="AD265" s="686">
        <f t="shared" si="117"/>
        <v>36.894045190946095</v>
      </c>
      <c r="AE265" s="687">
        <f t="shared" si="118"/>
        <v>-35.480036916588702</v>
      </c>
      <c r="AG265" s="686">
        <f t="shared" si="119"/>
        <v>10.196608271281599</v>
      </c>
      <c r="AH265" s="687">
        <f t="shared" si="120"/>
        <v>-71.630170441760541</v>
      </c>
      <c r="AJ265" s="170">
        <f t="shared" si="121"/>
        <v>0</v>
      </c>
      <c r="AK265" s="170">
        <f t="shared" si="133"/>
        <v>0</v>
      </c>
      <c r="AM265" s="170" t="str">
        <f t="shared" si="125"/>
        <v>0.132289909936979+0.497070618325831i</v>
      </c>
      <c r="AN265" s="170" t="str">
        <f t="shared" si="126"/>
        <v>0.520219507080232i</v>
      </c>
      <c r="AO265" s="170" t="str">
        <f t="shared" si="127"/>
        <v>0.955501690268545-0.254296327101352i</v>
      </c>
      <c r="AP265" s="170" t="str">
        <f t="shared" si="128"/>
        <v>0.144618348343837-0.0828451030543052i</v>
      </c>
      <c r="AQ265" s="170" t="str">
        <f t="shared" si="129"/>
        <v>0.855381651656163+0.0828451030543052i</v>
      </c>
      <c r="AR265" s="170" t="str">
        <f t="shared" si="130"/>
        <v>0.964784402755049-0.0934409372900095i</v>
      </c>
    </row>
    <row r="266" spans="7:44">
      <c r="G266" s="688">
        <v>16692.5</v>
      </c>
      <c r="H266" s="676">
        <f t="shared" si="122"/>
        <v>16.692499999999999</v>
      </c>
      <c r="I266" s="677">
        <f t="shared" si="102"/>
        <v>205.77132675348602</v>
      </c>
      <c r="J266" s="678">
        <f t="shared" si="103"/>
        <v>1.5659365440834947</v>
      </c>
      <c r="K266" s="678">
        <f t="shared" si="104"/>
        <v>1.0011631498576414</v>
      </c>
      <c r="L266" s="679">
        <f t="shared" si="105"/>
        <v>4.8208371559730588E-2</v>
      </c>
      <c r="M266" s="678">
        <f t="shared" si="106"/>
        <v>1.0040075832469502</v>
      </c>
      <c r="N266" s="679">
        <f t="shared" si="107"/>
        <v>-8.9378352211734333E-2</v>
      </c>
      <c r="O266" s="677">
        <f t="shared" si="108"/>
        <v>188787.7271190985</v>
      </c>
      <c r="P266" s="680">
        <f t="shared" si="109"/>
        <v>1.5707910298404004</v>
      </c>
      <c r="Q266" s="689">
        <f t="shared" si="131"/>
        <v>89.365119367750765</v>
      </c>
      <c r="R266" s="690">
        <f t="shared" si="132"/>
        <v>1.5596060449737437</v>
      </c>
      <c r="S266" s="677">
        <f t="shared" si="110"/>
        <v>1.2206457779955802</v>
      </c>
      <c r="T266" s="680">
        <f t="shared" si="111"/>
        <v>0.61071451417632638</v>
      </c>
      <c r="U266" s="681">
        <f t="shared" si="123"/>
        <v>0.95795325874058379</v>
      </c>
      <c r="V266" s="682">
        <f t="shared" si="124"/>
        <v>-0.35865056551230062</v>
      </c>
      <c r="W266" s="683">
        <f t="shared" si="112"/>
        <v>-8.8098800755733357</v>
      </c>
      <c r="X266" s="684">
        <f t="shared" si="113"/>
        <v>-148.26180156499308</v>
      </c>
      <c r="Y266" s="687">
        <f t="shared" si="114"/>
        <v>31.738198435006922</v>
      </c>
      <c r="AA266" s="170">
        <f t="shared" si="115"/>
        <v>16692.5</v>
      </c>
      <c r="AB266" s="170">
        <f t="shared" si="116"/>
        <v>278639556.25</v>
      </c>
      <c r="AD266" s="686">
        <f t="shared" si="117"/>
        <v>36.877542674295967</v>
      </c>
      <c r="AE266" s="687">
        <f t="shared" si="118"/>
        <v>-35.632216617178855</v>
      </c>
      <c r="AG266" s="686">
        <f t="shared" si="119"/>
        <v>10.150867056922497</v>
      </c>
      <c r="AH266" s="687">
        <f t="shared" si="120"/>
        <v>-71.531257453182405</v>
      </c>
      <c r="AJ266" s="170">
        <f t="shared" si="121"/>
        <v>0</v>
      </c>
      <c r="AK266" s="170">
        <f t="shared" si="133"/>
        <v>0</v>
      </c>
      <c r="AM266" s="170" t="str">
        <f t="shared" si="125"/>
        <v>0.133797464591356+0.499693073447729i</v>
      </c>
      <c r="AN266" s="170" t="str">
        <f t="shared" si="126"/>
        <v>0.523244403587417i</v>
      </c>
      <c r="AO266" s="170" t="str">
        <f t="shared" si="127"/>
        <v>0.954989809774901-0.255707397296611i</v>
      </c>
      <c r="AP266" s="170" t="str">
        <f t="shared" si="128"/>
        <v>0.144367089234774-0.0832821789079548i</v>
      </c>
      <c r="AQ266" s="170" t="str">
        <f t="shared" si="129"/>
        <v>0.855632910765226+0.0832821789079548i</v>
      </c>
      <c r="AR266" s="170" t="str">
        <f t="shared" si="130"/>
        <v>0.964411592678138-0.0938700437907356i</v>
      </c>
    </row>
    <row r="267" spans="7:44">
      <c r="G267" s="688">
        <v>16789</v>
      </c>
      <c r="H267" s="676">
        <f t="shared" si="122"/>
        <v>16.789000000000001</v>
      </c>
      <c r="I267" s="677">
        <f t="shared" si="102"/>
        <v>206.96087088481815</v>
      </c>
      <c r="J267" s="678">
        <f t="shared" si="103"/>
        <v>1.5659644767603254</v>
      </c>
      <c r="K267" s="678">
        <f t="shared" si="104"/>
        <v>1.001176629235373</v>
      </c>
      <c r="L267" s="679">
        <f t="shared" si="105"/>
        <v>4.8486630713023129E-2</v>
      </c>
      <c r="M267" s="678">
        <f t="shared" si="106"/>
        <v>1.0040539593598095</v>
      </c>
      <c r="N267" s="679">
        <f t="shared" si="107"/>
        <v>-8.9892280896016238E-2</v>
      </c>
      <c r="O267" s="677">
        <f t="shared" si="108"/>
        <v>189879.11640569329</v>
      </c>
      <c r="P267" s="680">
        <f t="shared" si="109"/>
        <v>1.570791060286294</v>
      </c>
      <c r="Q267" s="689">
        <f t="shared" si="131"/>
        <v>89.881678138593955</v>
      </c>
      <c r="R267" s="690">
        <f t="shared" si="132"/>
        <v>1.5596703592762644</v>
      </c>
      <c r="S267" s="677">
        <f t="shared" si="110"/>
        <v>1.2229708226237752</v>
      </c>
      <c r="T267" s="680">
        <f t="shared" si="111"/>
        <v>0.61342525606074572</v>
      </c>
      <c r="U267" s="681">
        <f t="shared" si="123"/>
        <v>0.95749878096989383</v>
      </c>
      <c r="V267" s="682">
        <f t="shared" si="124"/>
        <v>-0.36063953331417375</v>
      </c>
      <c r="W267" s="683">
        <f t="shared" si="112"/>
        <v>-8.880086512260112</v>
      </c>
      <c r="X267" s="684">
        <f t="shared" si="113"/>
        <v>-148.542495195578</v>
      </c>
      <c r="Y267" s="687">
        <f t="shared" si="114"/>
        <v>31.457504804422001</v>
      </c>
      <c r="AA267" s="170">
        <f t="shared" si="115"/>
        <v>16789</v>
      </c>
      <c r="AB267" s="170">
        <f t="shared" si="116"/>
        <v>281870521</v>
      </c>
      <c r="AD267" s="686">
        <f t="shared" si="117"/>
        <v>36.861007589979963</v>
      </c>
      <c r="AE267" s="687">
        <f t="shared" si="118"/>
        <v>-35.78384749300313</v>
      </c>
      <c r="AG267" s="686">
        <f t="shared" si="119"/>
        <v>10.105439281005541</v>
      </c>
      <c r="AH267" s="687">
        <f t="shared" si="120"/>
        <v>-71.432401286413125</v>
      </c>
      <c r="AJ267" s="170">
        <f t="shared" si="121"/>
        <v>0</v>
      </c>
      <c r="AK267" s="170">
        <f t="shared" si="133"/>
        <v>0</v>
      </c>
      <c r="AM267" s="170" t="str">
        <f t="shared" si="125"/>
        <v>0.135312944991919+0.502310956382052i</v>
      </c>
      <c r="AN267" s="170" t="str">
        <f t="shared" si="126"/>
        <v>0.526269300094602i</v>
      </c>
      <c r="AO267" s="170" t="str">
        <f t="shared" si="127"/>
        <v>0.954475125742195-0.257117306610124i</v>
      </c>
      <c r="AP267" s="170" t="str">
        <f t="shared" si="128"/>
        <v>0.144114509168013-0.083718492730342i</v>
      </c>
      <c r="AQ267" s="170" t="str">
        <f t="shared" si="129"/>
        <v>0.855885490831987+0.083718492730342i</v>
      </c>
      <c r="AR267" s="170" t="str">
        <f t="shared" si="130"/>
        <v>0.964037333253344-0.0942973719501825i</v>
      </c>
    </row>
    <row r="268" spans="7:44">
      <c r="G268" s="688">
        <v>16885.5</v>
      </c>
      <c r="H268" s="676">
        <f t="shared" si="122"/>
        <v>16.8855</v>
      </c>
      <c r="I268" s="677">
        <f t="shared" si="102"/>
        <v>208.15041517578263</v>
      </c>
      <c r="J268" s="678">
        <f t="shared" si="103"/>
        <v>1.5659920901761637</v>
      </c>
      <c r="K268" s="678">
        <f t="shared" si="104"/>
        <v>1.0011901861302741</v>
      </c>
      <c r="L268" s="679">
        <f t="shared" si="105"/>
        <v>4.8764882352168387E-2</v>
      </c>
      <c r="M268" s="678">
        <f t="shared" si="106"/>
        <v>1.0041006006415665</v>
      </c>
      <c r="N268" s="679">
        <f t="shared" si="107"/>
        <v>-9.0406161971212526E-2</v>
      </c>
      <c r="O268" s="677">
        <f t="shared" si="108"/>
        <v>190970.50569228825</v>
      </c>
      <c r="P268" s="680">
        <f t="shared" si="109"/>
        <v>1.5707910903841935</v>
      </c>
      <c r="Q268" s="689">
        <f t="shared" si="131"/>
        <v>90.398237276968487</v>
      </c>
      <c r="R268" s="690">
        <f t="shared" si="132"/>
        <v>1.5597339385616005</v>
      </c>
      <c r="S268" s="677">
        <f t="shared" si="110"/>
        <v>1.2253048196474743</v>
      </c>
      <c r="T268" s="680">
        <f t="shared" si="111"/>
        <v>0.61612569072209455</v>
      </c>
      <c r="U268" s="681">
        <f t="shared" si="123"/>
        <v>0.95704229683901709</v>
      </c>
      <c r="V268" s="682">
        <f t="shared" si="124"/>
        <v>-0.36262713944138586</v>
      </c>
      <c r="W268" s="683">
        <f t="shared" si="112"/>
        <v>-8.9500551866962237</v>
      </c>
      <c r="X268" s="684">
        <f t="shared" si="113"/>
        <v>-148.82254175143632</v>
      </c>
      <c r="Y268" s="687">
        <f t="shared" si="114"/>
        <v>31.177458248563681</v>
      </c>
      <c r="AA268" s="170">
        <f t="shared" si="115"/>
        <v>16885.5</v>
      </c>
      <c r="AB268" s="170">
        <f t="shared" si="116"/>
        <v>285120110.25</v>
      </c>
      <c r="AD268" s="686">
        <f t="shared" si="117"/>
        <v>36.844440544538386</v>
      </c>
      <c r="AE268" s="687">
        <f t="shared" si="118"/>
        <v>-35.934929901890293</v>
      </c>
      <c r="AG268" s="686">
        <f t="shared" si="119"/>
        <v>10.06032156067908</v>
      </c>
      <c r="AH268" s="687">
        <f t="shared" si="120"/>
        <v>-71.333602548276886</v>
      </c>
      <c r="AJ268" s="170">
        <f t="shared" si="121"/>
        <v>0</v>
      </c>
      <c r="AK268" s="170">
        <f t="shared" si="133"/>
        <v>0</v>
      </c>
      <c r="AM268" s="170" t="str">
        <f t="shared" si="125"/>
        <v>0.136836337272033+0.504924243175192i</v>
      </c>
      <c r="AN268" s="170" t="str">
        <f t="shared" si="126"/>
        <v>0.529294196601787i</v>
      </c>
      <c r="AO268" s="170" t="str">
        <f t="shared" si="127"/>
        <v>0.953957640981033-0.258526048746726i</v>
      </c>
      <c r="AP268" s="170" t="str">
        <f t="shared" si="128"/>
        <v>0.143860610454661-0.0841540405291987i</v>
      </c>
      <c r="AQ268" s="170" t="str">
        <f t="shared" si="129"/>
        <v>0.856139389545339+0.0841540405291987i</v>
      </c>
      <c r="AR268" s="170" t="str">
        <f t="shared" si="130"/>
        <v>0.963661634874254-0.0947229169314458i</v>
      </c>
    </row>
    <row r="269" spans="7:44">
      <c r="G269" s="688">
        <v>16982</v>
      </c>
      <c r="H269" s="676">
        <f t="shared" si="122"/>
        <v>16.981999999999999</v>
      </c>
      <c r="I269" s="677">
        <f t="shared" ref="I269:I332" si="134">SQRT(1+(G269/pole1)^2)</f>
        <v>209.33995962365819</v>
      </c>
      <c r="J269" s="678">
        <f t="shared" ref="J269:J332" si="135">ATAN(G269/pole1)</f>
        <v>1.5660193897734327</v>
      </c>
      <c r="K269" s="678">
        <f t="shared" ref="K269:K332" si="136">SQRT(1+(G269/Zero1)^2)</f>
        <v>1.0012038205391964</v>
      </c>
      <c r="L269" s="679">
        <f t="shared" ref="L269:L332" si="137">ATAN(G269/Zero1)</f>
        <v>4.9043126434385763E-2</v>
      </c>
      <c r="M269" s="678">
        <f t="shared" ref="M269:M332" si="138">SQRT(1+(G269/z_RHP)^2)</f>
        <v>1.0041475070552706</v>
      </c>
      <c r="N269" s="679">
        <f t="shared" ref="N269:N332" si="139">-ATAN(G269/z_RHP)</f>
        <v>-9.0919995172571363E-2</v>
      </c>
      <c r="O269" s="677">
        <f t="shared" ref="O269:O332" si="140">SQRT(1+(G269/Pole2)^2)</f>
        <v>192061.89497888336</v>
      </c>
      <c r="P269" s="680">
        <f t="shared" ref="P269:P332" si="141">ATAN(G269/Pole2)</f>
        <v>1.5707911201400309</v>
      </c>
      <c r="Q269" s="689">
        <f t="shared" si="131"/>
        <v>90.914796776609649</v>
      </c>
      <c r="R269" s="690">
        <f t="shared" si="132"/>
        <v>1.5597967953578911</v>
      </c>
      <c r="S269" s="677">
        <f t="shared" ref="S269:S332" si="142">SQRT(1+(G269/pole4)^2)</f>
        <v>1.2276477180059444</v>
      </c>
      <c r="T269" s="680">
        <f t="shared" ref="T269:T332" si="143">ATAN(G269/pole4)</f>
        <v>0.61881583767571025</v>
      </c>
      <c r="U269" s="681">
        <f t="shared" si="123"/>
        <v>0.95658381550702376</v>
      </c>
      <c r="V269" s="682">
        <f t="shared" si="124"/>
        <v>-0.3646133786875087</v>
      </c>
      <c r="W269" s="683">
        <f t="shared" ref="W269:W332" si="144">20*LOG10(((K269*Q269*M269*U269)/(I269*O269*S269))*Adc)</f>
        <v>-9.0197887127463918</v>
      </c>
      <c r="X269" s="684">
        <f t="shared" ref="X269:X332" si="145">((L269+R269+N269+V269)-(J269+P269+T269))*radconv</f>
        <v>-149.10194163404853</v>
      </c>
      <c r="Y269" s="687">
        <f t="shared" ref="Y269:Y332" si="146">IF(X269&gt;0,X269,X269+180)</f>
        <v>30.898058365951471</v>
      </c>
      <c r="AA269" s="170">
        <f t="shared" ref="AA269:AA332" si="147">IF(W269&lt;0,G269,1000000000)</f>
        <v>16982</v>
      </c>
      <c r="AB269" s="170">
        <f t="shared" ref="AB269:AB332" si="148">G269^2</f>
        <v>288388324</v>
      </c>
      <c r="AD269" s="686">
        <f t="shared" ref="AD269:AD332" si="149">20*LOG10((Q269/(O269*S269))*Aea)</f>
        <v>36.827842139755738</v>
      </c>
      <c r="AE269" s="687">
        <f t="shared" ref="AE269:AE332" si="150">(R269-(P269+T269))*radconv</f>
        <v>-36.085464244517176</v>
      </c>
      <c r="AG269" s="686">
        <f t="shared" ref="AG269:AG332" si="151">20*LOG10((K269*M269/(I269*U269))*Acs*Am)</f>
        <v>10.015510569817829</v>
      </c>
      <c r="AH269" s="687">
        <f t="shared" ref="AH269:AH332" si="152">(L269+N269-(J269+V269))*radconv</f>
        <v>-71.234861836189907</v>
      </c>
      <c r="AJ269" s="170">
        <f t="shared" ref="AJ269:AJ332" si="153">SUM((W270&lt;0)*(W269&gt;0))*G269</f>
        <v>0</v>
      </c>
      <c r="AK269" s="170">
        <f t="shared" si="133"/>
        <v>0</v>
      </c>
      <c r="AM269" s="170" t="str">
        <f t="shared" si="125"/>
        <v>0.138367627492671+0.507532909915595i</v>
      </c>
      <c r="AN269" s="170" t="str">
        <f t="shared" si="126"/>
        <v>0.532319093108972i</v>
      </c>
      <c r="AO269" s="170" t="str">
        <f t="shared" si="127"/>
        <v>0.953437358317142-0.259933617418351i</v>
      </c>
      <c r="AP269" s="170" t="str">
        <f t="shared" si="128"/>
        <v>0.143605395417888-0.0845888183192658i</v>
      </c>
      <c r="AQ269" s="170" t="str">
        <f t="shared" si="129"/>
        <v>0.856394604582112+0.0845888183192658i</v>
      </c>
      <c r="AR269" s="170" t="str">
        <f t="shared" si="130"/>
        <v>0.963284507945219-0.095146673970584i</v>
      </c>
    </row>
    <row r="270" spans="7:44">
      <c r="G270" s="688">
        <v>17081</v>
      </c>
      <c r="H270" s="676">
        <f t="shared" ref="H270:H333" si="154">G270/1000</f>
        <v>17.081</v>
      </c>
      <c r="I270" s="677">
        <f t="shared" si="134"/>
        <v>210.56032144548317</v>
      </c>
      <c r="J270" s="678">
        <f t="shared" si="135"/>
        <v>1.5660470760700909</v>
      </c>
      <c r="K270" s="678">
        <f t="shared" si="136"/>
        <v>1.001217888720064</v>
      </c>
      <c r="L270" s="679">
        <f t="shared" si="137"/>
        <v>4.9328571014554776E-2</v>
      </c>
      <c r="M270" s="678">
        <f t="shared" si="138"/>
        <v>1.0041959041460704</v>
      </c>
      <c r="N270" s="679">
        <f t="shared" si="139"/>
        <v>-9.1447090087266605E-2</v>
      </c>
      <c r="O270" s="677">
        <f t="shared" si="140"/>
        <v>193181.55859932827</v>
      </c>
      <c r="P270" s="680">
        <f t="shared" si="141"/>
        <v>1.5707911503173526</v>
      </c>
      <c r="Q270" s="689">
        <f t="shared" si="131"/>
        <v>91.444739015717417</v>
      </c>
      <c r="R270" s="690">
        <f t="shared" si="132"/>
        <v>1.5598605425940992</v>
      </c>
      <c r="S270" s="677">
        <f t="shared" si="142"/>
        <v>1.2300605101272091</v>
      </c>
      <c r="T270" s="680">
        <f t="shared" si="143"/>
        <v>0.62156500754123134</v>
      </c>
      <c r="U270" s="681">
        <f t="shared" ref="U270:U333" si="155">IMABS(IMPRODUCT(AO270, AR270))</f>
        <v>0.95611139055517025</v>
      </c>
      <c r="V270" s="682">
        <f t="shared" ref="V270:V333" si="156">IMARGUMENT(IMPRODUCT(AO270, AR270))</f>
        <v>-0.36664964903465191</v>
      </c>
      <c r="W270" s="683">
        <f t="shared" si="144"/>
        <v>-9.0910871276602165</v>
      </c>
      <c r="X270" s="684">
        <f t="shared" si="145"/>
        <v>-149.38790829535111</v>
      </c>
      <c r="Y270" s="687">
        <f t="shared" si="146"/>
        <v>30.61209170464889</v>
      </c>
      <c r="AA270" s="170">
        <f t="shared" si="147"/>
        <v>17081</v>
      </c>
      <c r="AB270" s="170">
        <f t="shared" si="148"/>
        <v>291760561</v>
      </c>
      <c r="AD270" s="686">
        <f t="shared" si="149"/>
        <v>36.810781761741389</v>
      </c>
      <c r="AE270" s="687">
        <f t="shared" si="150"/>
        <v>-36.239329356594745</v>
      </c>
      <c r="AG270" s="686">
        <f t="shared" si="151"/>
        <v>9.9698539965295119</v>
      </c>
      <c r="AH270" s="687">
        <f t="shared" si="152"/>
        <v>-71.133623991470401</v>
      </c>
      <c r="AJ270" s="170">
        <f t="shared" si="153"/>
        <v>0</v>
      </c>
      <c r="AK270" s="170">
        <f t="shared" si="133"/>
        <v>0</v>
      </c>
      <c r="AM270" s="170" t="str">
        <f t="shared" ref="AM270:AM333" si="157">IMSUB(1,IMEXP(COMPLEX(0,-2*Pi*G270*Tsw)))</f>
        <v>0.139946781263409+0.510204332538277i</v>
      </c>
      <c r="AN270" s="170" t="str">
        <f t="shared" ref="AN270:AN333" si="158">COMPLEX(0, 2*Pi*G270*Tsw)</f>
        <v>0.535422354810643i</v>
      </c>
      <c r="AO270" s="170" t="str">
        <f t="shared" ref="AO270:AO333" si="159">IMDIV(AM270, AN270)</f>
        <v>0.952900692237095-0.261376425556423i</v>
      </c>
      <c r="AP270" s="170" t="str">
        <f t="shared" ref="AP270:AP333" si="160">IMDIV(IMEXP(COMPLEX(0,-2*Pi*G270*Tsw)),6)</f>
        <v>0.143342203122765-0.0850340554230462i</v>
      </c>
      <c r="AQ270" s="170" t="str">
        <f t="shared" ref="AQ270:AQ333" si="161">IMSUB(1, AP270)</f>
        <v>0.856657796877235+0.0850340554230462i</v>
      </c>
      <c r="AR270" s="170" t="str">
        <f t="shared" ref="AR270:AR333" si="162">IMDIV(0.833, AQ270)</f>
        <v>0.962896137261815-0.0955795462330825i</v>
      </c>
    </row>
    <row r="271" spans="7:44">
      <c r="G271" s="688">
        <v>17180</v>
      </c>
      <c r="H271" s="676">
        <f t="shared" si="154"/>
        <v>17.18</v>
      </c>
      <c r="I271" s="677">
        <f t="shared" si="134"/>
        <v>211.78068342684907</v>
      </c>
      <c r="J271" s="678">
        <f t="shared" si="135"/>
        <v>1.5660744432885298</v>
      </c>
      <c r="K271" s="678">
        <f t="shared" si="136"/>
        <v>1.0012320384764757</v>
      </c>
      <c r="L271" s="679">
        <f t="shared" si="137"/>
        <v>4.9614007549977739E-2</v>
      </c>
      <c r="M271" s="678">
        <f t="shared" si="138"/>
        <v>1.0042445802047271</v>
      </c>
      <c r="N271" s="679">
        <f t="shared" si="139"/>
        <v>-9.1974134051457171E-2</v>
      </c>
      <c r="O271" s="677">
        <f t="shared" si="140"/>
        <v>194301.22221977336</v>
      </c>
      <c r="P271" s="680">
        <f t="shared" si="141"/>
        <v>1.5707911801468797</v>
      </c>
      <c r="Q271" s="689">
        <f t="shared" si="131"/>
        <v>91.974681622147841</v>
      </c>
      <c r="R271" s="690">
        <f t="shared" si="132"/>
        <v>1.5599235552289097</v>
      </c>
      <c r="S271" s="677">
        <f t="shared" si="142"/>
        <v>1.2324825625251197</v>
      </c>
      <c r="T271" s="680">
        <f t="shared" si="143"/>
        <v>0.62430339279806901</v>
      </c>
      <c r="U271" s="681">
        <f t="shared" si="155"/>
        <v>0.95563688316183704</v>
      </c>
      <c r="V271" s="682">
        <f t="shared" si="156"/>
        <v>-0.36868446978128294</v>
      </c>
      <c r="W271" s="683">
        <f t="shared" si="144"/>
        <v>-9.1621434626566298</v>
      </c>
      <c r="X271" s="684">
        <f t="shared" si="145"/>
        <v>-149.67319531757866</v>
      </c>
      <c r="Y271" s="687">
        <f t="shared" si="146"/>
        <v>30.32680468242134</v>
      </c>
      <c r="AA271" s="170">
        <f t="shared" si="147"/>
        <v>17180</v>
      </c>
      <c r="AB271" s="170">
        <f t="shared" si="148"/>
        <v>295152400</v>
      </c>
      <c r="AD271" s="686">
        <f t="shared" si="149"/>
        <v>36.79368964625192</v>
      </c>
      <c r="AE271" s="687">
        <f t="shared" si="150"/>
        <v>-36.392618625742891</v>
      </c>
      <c r="AG271" s="686">
        <f t="shared" si="151"/>
        <v>9.9245133369174283</v>
      </c>
      <c r="AH271" s="687">
        <f t="shared" si="152"/>
        <v>-71.03244846258815</v>
      </c>
      <c r="AJ271" s="170">
        <f t="shared" si="153"/>
        <v>0</v>
      </c>
      <c r="AK271" s="170">
        <f t="shared" si="133"/>
        <v>0</v>
      </c>
      <c r="AM271" s="170" t="str">
        <f t="shared" si="157"/>
        <v>0.141534217540551+0.512870841778207i</v>
      </c>
      <c r="AN271" s="170" t="str">
        <f t="shared" si="158"/>
        <v>0.538525616512315i</v>
      </c>
      <c r="AO271" s="170" t="str">
        <f t="shared" si="159"/>
        <v>0.952361087481302-0.262817985256073i</v>
      </c>
      <c r="AP271" s="170" t="str">
        <f t="shared" si="160"/>
        <v>0.143077630409908-0.0854784736297012i</v>
      </c>
      <c r="AQ271" s="170" t="str">
        <f t="shared" si="161"/>
        <v>0.856922369590092+0.0854784736297012i</v>
      </c>
      <c r="AR271" s="170" t="str">
        <f t="shared" si="162"/>
        <v>0.962506285268316-0.0960105267914582i</v>
      </c>
    </row>
    <row r="272" spans="7:44">
      <c r="G272" s="688">
        <v>17279</v>
      </c>
      <c r="H272" s="676">
        <f t="shared" si="154"/>
        <v>17.279</v>
      </c>
      <c r="I272" s="677">
        <f t="shared" si="134"/>
        <v>213.00104556501364</v>
      </c>
      <c r="J272" s="678">
        <f t="shared" si="135"/>
        <v>1.5661014969130616</v>
      </c>
      <c r="K272" s="678">
        <f t="shared" si="136"/>
        <v>1.0012462698049727</v>
      </c>
      <c r="L272" s="679">
        <f t="shared" si="137"/>
        <v>4.9899435994485403E-2</v>
      </c>
      <c r="M272" s="678">
        <f t="shared" si="138"/>
        <v>1.0042935351906779</v>
      </c>
      <c r="N272" s="679">
        <f t="shared" si="139"/>
        <v>-9.2501126779773235E-2</v>
      </c>
      <c r="O272" s="677">
        <f t="shared" si="140"/>
        <v>195420.8858402186</v>
      </c>
      <c r="P272" s="680">
        <f t="shared" si="141"/>
        <v>1.5707912096345906</v>
      </c>
      <c r="Q272" s="689">
        <f t="shared" si="131"/>
        <v>92.504624589587948</v>
      </c>
      <c r="R272" s="690">
        <f t="shared" si="132"/>
        <v>1.5599858458870295</v>
      </c>
      <c r="S272" s="677">
        <f t="shared" si="142"/>
        <v>1.2349138207127772</v>
      </c>
      <c r="T272" s="680">
        <f t="shared" si="143"/>
        <v>0.62703101595397615</v>
      </c>
      <c r="U272" s="681">
        <f t="shared" si="155"/>
        <v>0.9551603032690571</v>
      </c>
      <c r="V272" s="682">
        <f t="shared" si="156"/>
        <v>-0.37071783542990477</v>
      </c>
      <c r="W272" s="683">
        <f t="shared" si="144"/>
        <v>-9.232960377030885</v>
      </c>
      <c r="X272" s="684">
        <f t="shared" si="145"/>
        <v>-149.95780325286995</v>
      </c>
      <c r="Y272" s="687">
        <f t="shared" si="146"/>
        <v>30.042196747130049</v>
      </c>
      <c r="AA272" s="170">
        <f t="shared" si="147"/>
        <v>17279</v>
      </c>
      <c r="AB272" s="170">
        <f t="shared" si="148"/>
        <v>298563841</v>
      </c>
      <c r="AD272" s="686">
        <f t="shared" si="149"/>
        <v>36.776566427412924</v>
      </c>
      <c r="AE272" s="687">
        <f t="shared" si="150"/>
        <v>-36.545332618561069</v>
      </c>
      <c r="AG272" s="686">
        <f t="shared" si="151"/>
        <v>9.8794851773535211</v>
      </c>
      <c r="AH272" s="687">
        <f t="shared" si="152"/>
        <v>-70.931335865049206</v>
      </c>
      <c r="AJ272" s="170">
        <f t="shared" si="153"/>
        <v>0</v>
      </c>
      <c r="AK272" s="170">
        <f t="shared" si="133"/>
        <v>0</v>
      </c>
      <c r="AM272" s="170" t="str">
        <f t="shared" si="157"/>
        <v>0.143129921036729+0.515532411956298i</v>
      </c>
      <c r="AN272" s="170" t="str">
        <f t="shared" si="158"/>
        <v>0.541628878213987i</v>
      </c>
      <c r="AO272" s="170" t="str">
        <f t="shared" si="159"/>
        <v>0.951818547150326-0.264258289751274i</v>
      </c>
      <c r="AP272" s="170" t="str">
        <f t="shared" si="160"/>
        <v>0.142811679827212-0.085922068659383i</v>
      </c>
      <c r="AQ272" s="170" t="str">
        <f t="shared" si="161"/>
        <v>0.857188320172788+0.085922068659383i</v>
      </c>
      <c r="AR272" s="170" t="str">
        <f t="shared" si="162"/>
        <v>0.962114963230269-0.0964396107406449i</v>
      </c>
    </row>
    <row r="273" spans="7:44">
      <c r="G273" s="688">
        <v>17378</v>
      </c>
      <c r="H273" s="676">
        <f t="shared" si="154"/>
        <v>17.378</v>
      </c>
      <c r="I273" s="677">
        <f t="shared" si="134"/>
        <v>214.22140785729721</v>
      </c>
      <c r="J273" s="678">
        <f t="shared" si="135"/>
        <v>1.5661282423030289</v>
      </c>
      <c r="K273" s="678">
        <f t="shared" si="136"/>
        <v>1.0012605827020766</v>
      </c>
      <c r="L273" s="679">
        <f t="shared" si="137"/>
        <v>5.0184856301916395E-2</v>
      </c>
      <c r="M273" s="678">
        <f t="shared" si="138"/>
        <v>1.004342769063135</v>
      </c>
      <c r="N273" s="679">
        <f t="shared" si="139"/>
        <v>-9.3028067987014254E-2</v>
      </c>
      <c r="O273" s="677">
        <f t="shared" si="140"/>
        <v>196540.54946066401</v>
      </c>
      <c r="P273" s="680">
        <f t="shared" si="141"/>
        <v>1.5707912387863265</v>
      </c>
      <c r="Q273" s="689">
        <f t="shared" si="131"/>
        <v>93.034567911868592</v>
      </c>
      <c r="R273" s="690">
        <f t="shared" si="132"/>
        <v>1.5600474269055384</v>
      </c>
      <c r="S273" s="677">
        <f t="shared" si="142"/>
        <v>1.2373542304252418</v>
      </c>
      <c r="T273" s="680">
        <f t="shared" si="143"/>
        <v>0.62974789998069514</v>
      </c>
      <c r="U273" s="681">
        <f t="shared" si="155"/>
        <v>0.9546816608355837</v>
      </c>
      <c r="V273" s="682">
        <f t="shared" si="156"/>
        <v>-0.37274974052500504</v>
      </c>
      <c r="W273" s="683">
        <f t="shared" si="144"/>
        <v>-9.3035404777676369</v>
      </c>
      <c r="X273" s="684">
        <f t="shared" si="145"/>
        <v>-150.24173269167494</v>
      </c>
      <c r="Y273" s="687">
        <f t="shared" si="146"/>
        <v>29.75826730832506</v>
      </c>
      <c r="AA273" s="170">
        <f t="shared" si="147"/>
        <v>17378</v>
      </c>
      <c r="AB273" s="170">
        <f t="shared" si="148"/>
        <v>301994884</v>
      </c>
      <c r="AD273" s="686">
        <f t="shared" si="149"/>
        <v>36.759412734054578</v>
      </c>
      <c r="AE273" s="687">
        <f t="shared" si="150"/>
        <v>-36.697471944705185</v>
      </c>
      <c r="AG273" s="686">
        <f t="shared" si="151"/>
        <v>9.8347661615152084</v>
      </c>
      <c r="AH273" s="687">
        <f t="shared" si="152"/>
        <v>-70.830286804803251</v>
      </c>
      <c r="AJ273" s="170">
        <f t="shared" si="153"/>
        <v>0</v>
      </c>
      <c r="AK273" s="170">
        <f t="shared" si="133"/>
        <v>0</v>
      </c>
      <c r="AM273" s="170" t="str">
        <f t="shared" si="157"/>
        <v>0.144733876384957+0.518189017441028i</v>
      </c>
      <c r="AN273" s="170" t="str">
        <f t="shared" si="158"/>
        <v>0.544732139915658i</v>
      </c>
      <c r="AO273" s="170" t="str">
        <f t="shared" si="159"/>
        <v>0.951273074361392-0.265697332284022i</v>
      </c>
      <c r="AP273" s="170" t="str">
        <f t="shared" si="160"/>
        <v>0.142544353935841-0.0863648362401713i</v>
      </c>
      <c r="AQ273" s="170" t="str">
        <f t="shared" si="161"/>
        <v>0.857455646064159+0.0863648362401713i</v>
      </c>
      <c r="AR273" s="170" t="str">
        <f t="shared" si="162"/>
        <v>0.961722182422523-0.0968667932559703i</v>
      </c>
    </row>
    <row r="274" spans="7:44">
      <c r="G274" s="688">
        <v>17479.25</v>
      </c>
      <c r="H274" s="676">
        <f t="shared" si="154"/>
        <v>17.47925</v>
      </c>
      <c r="I274" s="677">
        <f t="shared" si="134"/>
        <v>215.46950581290727</v>
      </c>
      <c r="J274" s="678">
        <f t="shared" si="135"/>
        <v>1.5661552821787743</v>
      </c>
      <c r="K274" s="678">
        <f t="shared" si="136"/>
        <v>1.0012753052590724</v>
      </c>
      <c r="L274" s="679">
        <f t="shared" si="137"/>
        <v>5.0476754969837355E-2</v>
      </c>
      <c r="M274" s="678">
        <f t="shared" si="138"/>
        <v>1.0043934103105234</v>
      </c>
      <c r="N274" s="679">
        <f t="shared" si="139"/>
        <v>-9.3566931542948734E-2</v>
      </c>
      <c r="O274" s="677">
        <f t="shared" si="140"/>
        <v>197685.65998157431</v>
      </c>
      <c r="P274" s="680">
        <f t="shared" si="141"/>
        <v>1.5707912682590368</v>
      </c>
      <c r="Q274" s="689">
        <f t="shared" si="131"/>
        <v>93.576555761310814</v>
      </c>
      <c r="R274" s="690">
        <f t="shared" si="132"/>
        <v>1.5601096860421335</v>
      </c>
      <c r="S274" s="677">
        <f t="shared" si="142"/>
        <v>1.2398595135473873</v>
      </c>
      <c r="T274" s="680">
        <f t="shared" si="143"/>
        <v>0.63251544777847457</v>
      </c>
      <c r="U274" s="681">
        <f t="shared" si="155"/>
        <v>0.95419001717357577</v>
      </c>
      <c r="V274" s="682">
        <f t="shared" si="156"/>
        <v>-0.37482630891742041</v>
      </c>
      <c r="W274" s="683">
        <f t="shared" si="144"/>
        <v>-9.3754823872271018</v>
      </c>
      <c r="X274" s="684">
        <f t="shared" si="145"/>
        <v>-150.53141392460381</v>
      </c>
      <c r="Y274" s="687">
        <f t="shared" si="146"/>
        <v>29.468586075396189</v>
      </c>
      <c r="AA274" s="170">
        <f t="shared" si="147"/>
        <v>17479.25</v>
      </c>
      <c r="AB274" s="170">
        <f t="shared" si="148"/>
        <v>305524180.5625</v>
      </c>
      <c r="AD274" s="686">
        <f t="shared" si="149"/>
        <v>36.741838312538746</v>
      </c>
      <c r="AE274" s="687">
        <f t="shared" si="150"/>
        <v>-36.852475256194666</v>
      </c>
      <c r="AG274" s="686">
        <f t="shared" si="151"/>
        <v>9.7893471277459962</v>
      </c>
      <c r="AH274" s="687">
        <f t="shared" si="152"/>
        <v>-70.727007516459437</v>
      </c>
      <c r="AJ274" s="170">
        <f t="shared" si="153"/>
        <v>0</v>
      </c>
      <c r="AK274" s="170">
        <f t="shared" si="133"/>
        <v>0</v>
      </c>
      <c r="AM274" s="170" t="str">
        <f t="shared" si="157"/>
        <v>0.146382804461644+0.520900838433989i</v>
      </c>
      <c r="AN274" s="170" t="str">
        <f t="shared" si="158"/>
        <v>0.547905930292368i</v>
      </c>
      <c r="AO274" s="170" t="str">
        <f t="shared" si="159"/>
        <v>0.950712174544326-0.267167767984429i</v>
      </c>
      <c r="AP274" s="170" t="str">
        <f t="shared" si="160"/>
        <v>0.142269532589726-0.0868168064056648i</v>
      </c>
      <c r="AQ274" s="170" t="str">
        <f t="shared" si="161"/>
        <v>0.857730467410274+0.0868168064056648i</v>
      </c>
      <c r="AR274" s="170" t="str">
        <f t="shared" si="162"/>
        <v>0.96131897766054-0.0973017127742138i</v>
      </c>
    </row>
    <row r="275" spans="7:44">
      <c r="G275" s="688">
        <v>17580.5</v>
      </c>
      <c r="H275" s="676">
        <f t="shared" si="154"/>
        <v>17.580500000000001</v>
      </c>
      <c r="I275" s="677">
        <f t="shared" si="134"/>
        <v>216.71760392424434</v>
      </c>
      <c r="J275" s="678">
        <f t="shared" si="135"/>
        <v>1.5661820106039024</v>
      </c>
      <c r="K275" s="678">
        <f t="shared" si="136"/>
        <v>1.0012901131270495</v>
      </c>
      <c r="L275" s="679">
        <f t="shared" si="137"/>
        <v>5.0768645028972666E-2</v>
      </c>
      <c r="M275" s="678">
        <f t="shared" si="138"/>
        <v>1.0044443431781176</v>
      </c>
      <c r="N275" s="679">
        <f t="shared" si="139"/>
        <v>-9.4105740606472088E-2</v>
      </c>
      <c r="O275" s="677">
        <f t="shared" si="140"/>
        <v>198830.77050248475</v>
      </c>
      <c r="P275" s="680">
        <f t="shared" si="141"/>
        <v>1.5707912973922671</v>
      </c>
      <c r="Q275" s="689">
        <f t="shared" si="131"/>
        <v>94.118543969296965</v>
      </c>
      <c r="R275" s="690">
        <f t="shared" si="132"/>
        <v>1.5601712281317932</v>
      </c>
      <c r="S275" s="677">
        <f t="shared" si="142"/>
        <v>1.2423742548091266</v>
      </c>
      <c r="T275" s="680">
        <f t="shared" si="143"/>
        <v>0.63527181280050782</v>
      </c>
      <c r="U275" s="681">
        <f t="shared" si="155"/>
        <v>0.95369623727486674</v>
      </c>
      <c r="V275" s="682">
        <f t="shared" si="156"/>
        <v>-0.37690133820536503</v>
      </c>
      <c r="W275" s="683">
        <f t="shared" si="144"/>
        <v>-9.4471819502249978</v>
      </c>
      <c r="X275" s="684">
        <f t="shared" si="145"/>
        <v>-150.82038683805635</v>
      </c>
      <c r="Y275" s="687">
        <f t="shared" si="146"/>
        <v>29.179613161943649</v>
      </c>
      <c r="AA275" s="170">
        <f t="shared" si="147"/>
        <v>17580.5</v>
      </c>
      <c r="AB275" s="170">
        <f t="shared" si="148"/>
        <v>309073980.25</v>
      </c>
      <c r="AD275" s="686">
        <f t="shared" si="149"/>
        <v>36.72423332901468</v>
      </c>
      <c r="AE275" s="687">
        <f t="shared" si="150"/>
        <v>-37.00687890614229</v>
      </c>
      <c r="AG275" s="686">
        <f t="shared" si="151"/>
        <v>9.744244526261296</v>
      </c>
      <c r="AH275" s="687">
        <f t="shared" si="152"/>
        <v>-70.623795938562125</v>
      </c>
      <c r="AJ275" s="170">
        <f t="shared" si="153"/>
        <v>0</v>
      </c>
      <c r="AK275" s="170">
        <f t="shared" si="133"/>
        <v>0</v>
      </c>
      <c r="AM275" s="170" t="str">
        <f t="shared" si="157"/>
        <v>0.148040330970479+0.523607412425672i</v>
      </c>
      <c r="AN275" s="170" t="str">
        <f t="shared" si="158"/>
        <v>0.551079720669078i</v>
      </c>
      <c r="AO275" s="170" t="str">
        <f t="shared" si="159"/>
        <v>0.950148214109474-0.268636869436495i</v>
      </c>
      <c r="AP275" s="170" t="str">
        <f t="shared" si="160"/>
        <v>0.141993278171587-0.0872679020709453i</v>
      </c>
      <c r="AQ275" s="170" t="str">
        <f t="shared" si="161"/>
        <v>0.858006721828413+0.0872679020709453i</v>
      </c>
      <c r="AR275" s="170" t="str">
        <f t="shared" si="162"/>
        <v>0.960914270948959-0.0977346334968662i</v>
      </c>
    </row>
    <row r="276" spans="7:44">
      <c r="G276" s="688">
        <v>17681.75</v>
      </c>
      <c r="H276" s="676">
        <f t="shared" si="154"/>
        <v>17.681750000000001</v>
      </c>
      <c r="I276" s="677">
        <f t="shared" si="134"/>
        <v>217.96570218863326</v>
      </c>
      <c r="J276" s="678">
        <f t="shared" si="135"/>
        <v>1.5662084329285877</v>
      </c>
      <c r="K276" s="678">
        <f t="shared" si="136"/>
        <v>1.0013050063022233</v>
      </c>
      <c r="L276" s="679">
        <f t="shared" si="137"/>
        <v>5.1060526429967411E-2</v>
      </c>
      <c r="M276" s="678">
        <f t="shared" si="138"/>
        <v>1.0044955676215583</v>
      </c>
      <c r="N276" s="679">
        <f t="shared" si="139"/>
        <v>-9.4644494873048421E-2</v>
      </c>
      <c r="O276" s="677">
        <f t="shared" si="140"/>
        <v>199975.88102339534</v>
      </c>
      <c r="P276" s="680">
        <f t="shared" si="141"/>
        <v>1.5707913261918494</v>
      </c>
      <c r="Q276" s="689">
        <f t="shared" si="131"/>
        <v>94.66053252966843</v>
      </c>
      <c r="R276" s="690">
        <f t="shared" si="132"/>
        <v>1.5602320654906241</v>
      </c>
      <c r="S276" s="677">
        <f t="shared" si="142"/>
        <v>1.2448983968930747</v>
      </c>
      <c r="T276" s="680">
        <f t="shared" si="143"/>
        <v>0.63801702105922609</v>
      </c>
      <c r="U276" s="681">
        <f t="shared" si="155"/>
        <v>0.95320033184369346</v>
      </c>
      <c r="V276" s="682">
        <f t="shared" si="156"/>
        <v>-0.37897482268931965</v>
      </c>
      <c r="W276" s="683">
        <f t="shared" si="144"/>
        <v>-9.5186417942070136</v>
      </c>
      <c r="X276" s="684">
        <f t="shared" si="145"/>
        <v>-151.10865218247153</v>
      </c>
      <c r="Y276" s="687">
        <f t="shared" si="146"/>
        <v>28.891347817528469</v>
      </c>
      <c r="AA276" s="170">
        <f t="shared" si="147"/>
        <v>17681.75</v>
      </c>
      <c r="AB276" s="170">
        <f t="shared" si="148"/>
        <v>312644283.0625</v>
      </c>
      <c r="AD276" s="686">
        <f t="shared" si="149"/>
        <v>36.706598438964789</v>
      </c>
      <c r="AE276" s="687">
        <f t="shared" si="150"/>
        <v>-37.160683679623837</v>
      </c>
      <c r="AG276" s="686">
        <f t="shared" si="151"/>
        <v>9.6994549442794913</v>
      </c>
      <c r="AH276" s="687">
        <f t="shared" si="152"/>
        <v>-70.520652689591316</v>
      </c>
      <c r="AJ276" s="170">
        <f t="shared" si="153"/>
        <v>0</v>
      </c>
      <c r="AK276" s="170">
        <f t="shared" si="133"/>
        <v>0</v>
      </c>
      <c r="AM276" s="170" t="str">
        <f t="shared" si="157"/>
        <v>0.1497064392153+0.52630871215293i</v>
      </c>
      <c r="AN276" s="170" t="str">
        <f t="shared" si="158"/>
        <v>0.554253511045787i</v>
      </c>
      <c r="AO276" s="170" t="str">
        <f t="shared" si="159"/>
        <v>0.949581196445414-0.270104629437219i</v>
      </c>
      <c r="AP276" s="170" t="str">
        <f t="shared" si="160"/>
        <v>0.141715593464117-0.087718118692155i</v>
      </c>
      <c r="AQ276" s="170" t="str">
        <f t="shared" si="161"/>
        <v>0.858284406535883+0.087718118692155i</v>
      </c>
      <c r="AR276" s="170" t="str">
        <f t="shared" si="162"/>
        <v>0.960508074374865-0.0981655505228675i</v>
      </c>
    </row>
    <row r="277" spans="7:44">
      <c r="G277" s="688">
        <v>17783</v>
      </c>
      <c r="H277" s="676">
        <f t="shared" si="154"/>
        <v>17.783000000000001</v>
      </c>
      <c r="I277" s="677">
        <f t="shared" si="134"/>
        <v>219.21380060345979</v>
      </c>
      <c r="J277" s="678">
        <f t="shared" si="135"/>
        <v>1.5662345543811609</v>
      </c>
      <c r="K277" s="678">
        <f t="shared" si="136"/>
        <v>1.0013199847807872</v>
      </c>
      <c r="L277" s="679">
        <f t="shared" si="137"/>
        <v>5.1352399123475521E-2</v>
      </c>
      <c r="M277" s="678">
        <f t="shared" si="138"/>
        <v>1.0045470835962405</v>
      </c>
      <c r="N277" s="679">
        <f t="shared" si="139"/>
        <v>-9.5183194038330976E-2</v>
      </c>
      <c r="O277" s="677">
        <f t="shared" si="140"/>
        <v>201120.99154430607</v>
      </c>
      <c r="P277" s="680">
        <f t="shared" si="141"/>
        <v>1.5707913546634829</v>
      </c>
      <c r="Q277" s="689">
        <f t="shared" si="131"/>
        <v>95.202521436406798</v>
      </c>
      <c r="R277" s="690">
        <f t="shared" si="132"/>
        <v>1.5602922101542909</v>
      </c>
      <c r="S277" s="677">
        <f t="shared" si="142"/>
        <v>1.2474318827323636</v>
      </c>
      <c r="T277" s="680">
        <f t="shared" si="143"/>
        <v>0.6407510990295473</v>
      </c>
      <c r="U277" s="681">
        <f t="shared" si="155"/>
        <v>0.95270231160032692</v>
      </c>
      <c r="V277" s="682">
        <f t="shared" si="156"/>
        <v>-0.38104675671584537</v>
      </c>
      <c r="W277" s="683">
        <f t="shared" si="144"/>
        <v>-9.5898644949415903</v>
      </c>
      <c r="X277" s="684">
        <f t="shared" si="145"/>
        <v>-151.39621074651674</v>
      </c>
      <c r="Y277" s="687">
        <f t="shared" si="146"/>
        <v>28.603789253483257</v>
      </c>
      <c r="AA277" s="170">
        <f t="shared" si="147"/>
        <v>17783</v>
      </c>
      <c r="AB277" s="170">
        <f t="shared" si="148"/>
        <v>316235089</v>
      </c>
      <c r="AD277" s="686">
        <f t="shared" si="149"/>
        <v>36.688934292071224</v>
      </c>
      <c r="AE277" s="687">
        <f t="shared" si="150"/>
        <v>-37.313890404274119</v>
      </c>
      <c r="AG277" s="686">
        <f t="shared" si="151"/>
        <v>9.65497502619092</v>
      </c>
      <c r="AH277" s="687">
        <f t="shared" si="152"/>
        <v>-70.417578378416053</v>
      </c>
      <c r="AJ277" s="170">
        <f t="shared" si="153"/>
        <v>0</v>
      </c>
      <c r="AK277" s="170">
        <f t="shared" si="133"/>
        <v>0</v>
      </c>
      <c r="AM277" s="170" t="str">
        <f t="shared" si="157"/>
        <v>0.151381112413506+0.52900471040574i</v>
      </c>
      <c r="AN277" s="170" t="str">
        <f t="shared" si="158"/>
        <v>0.557427301422497i</v>
      </c>
      <c r="AO277" s="170" t="str">
        <f t="shared" si="159"/>
        <v>0.94901112495885-0.271571040792579i</v>
      </c>
      <c r="AP277" s="170" t="str">
        <f t="shared" si="160"/>
        <v>0.141436481264416-0.08816745173429i</v>
      </c>
      <c r="AQ277" s="170" t="str">
        <f t="shared" si="161"/>
        <v>0.858563518735584+0.08816745173429i</v>
      </c>
      <c r="AR277" s="170" t="str">
        <f t="shared" si="162"/>
        <v>0.960100400032625-0.0985944590385268i</v>
      </c>
    </row>
    <row r="278" spans="7:44">
      <c r="G278" s="688">
        <v>17886.5</v>
      </c>
      <c r="H278" s="676">
        <f t="shared" si="154"/>
        <v>17.886500000000002</v>
      </c>
      <c r="I278" s="677">
        <f t="shared" si="134"/>
        <v>220.48963469144516</v>
      </c>
      <c r="J278" s="678">
        <f t="shared" si="135"/>
        <v>1.5662609506549687</v>
      </c>
      <c r="K278" s="678">
        <f t="shared" si="136"/>
        <v>1.0013353842783432</v>
      </c>
      <c r="L278" s="679">
        <f t="shared" si="137"/>
        <v>5.165074882558153E-2</v>
      </c>
      <c r="M278" s="678">
        <f t="shared" si="138"/>
        <v>1.0046000456445929</v>
      </c>
      <c r="N278" s="679">
        <f t="shared" si="139"/>
        <v>-9.5733807027868739E-2</v>
      </c>
      <c r="O278" s="677">
        <f t="shared" si="140"/>
        <v>202291.54896568169</v>
      </c>
      <c r="P278" s="680">
        <f t="shared" si="141"/>
        <v>1.5707913834346567</v>
      </c>
      <c r="Q278" s="689">
        <f t="shared" si="131"/>
        <v>95.756554892946781</v>
      </c>
      <c r="R278" s="690">
        <f t="shared" si="132"/>
        <v>1.5603529876566899</v>
      </c>
      <c r="S278" s="677">
        <f t="shared" si="142"/>
        <v>1.2500312666219564</v>
      </c>
      <c r="T278" s="680">
        <f t="shared" si="143"/>
        <v>0.64353445828105271</v>
      </c>
      <c r="U278" s="681">
        <f t="shared" si="155"/>
        <v>0.9521910495908853</v>
      </c>
      <c r="V278" s="682">
        <f t="shared" si="156"/>
        <v>-0.3831631253602486</v>
      </c>
      <c r="W278" s="683">
        <f t="shared" si="144"/>
        <v>-9.6624274450294418</v>
      </c>
      <c r="X278" s="684">
        <f t="shared" si="145"/>
        <v>-151.68942984691992</v>
      </c>
      <c r="Y278" s="687">
        <f t="shared" si="146"/>
        <v>28.310570153080079</v>
      </c>
      <c r="AA278" s="170">
        <f t="shared" si="147"/>
        <v>17886.5</v>
      </c>
      <c r="AB278" s="170">
        <f t="shared" si="148"/>
        <v>319926882.25</v>
      </c>
      <c r="AD278" s="686">
        <f t="shared" si="149"/>
        <v>36.670848039686</v>
      </c>
      <c r="AE278" s="687">
        <f t="shared" si="150"/>
        <v>-37.469884496522319</v>
      </c>
      <c r="AG278" s="686">
        <f t="shared" si="151"/>
        <v>9.6098232924726261</v>
      </c>
      <c r="AH278" s="687">
        <f t="shared" si="152"/>
        <v>-70.312285403857601</v>
      </c>
      <c r="AJ278" s="170">
        <f t="shared" si="153"/>
        <v>0</v>
      </c>
      <c r="AK278" s="170">
        <f t="shared" si="133"/>
        <v>0</v>
      </c>
      <c r="AM278" s="170" t="str">
        <f t="shared" si="157"/>
        <v>0.153101835573318+0.531755111955416i</v>
      </c>
      <c r="AN278" s="170" t="str">
        <f t="shared" si="158"/>
        <v>0.560671620474245i</v>
      </c>
      <c r="AO278" s="170" t="str">
        <f t="shared" si="159"/>
        <v>0.948425232412566-0.273068637652494i</v>
      </c>
      <c r="AP278" s="170" t="str">
        <f t="shared" si="160"/>
        <v>0.141149694071114-0.0886258519925693i</v>
      </c>
      <c r="AQ278" s="170" t="str">
        <f t="shared" si="161"/>
        <v>0.858850305928886+0.0886258519925693i</v>
      </c>
      <c r="AR278" s="170" t="str">
        <f t="shared" si="162"/>
        <v>0.95968215146856-0.0990308179770335i</v>
      </c>
    </row>
    <row r="279" spans="7:44">
      <c r="G279" s="688">
        <v>17990</v>
      </c>
      <c r="H279" s="676">
        <f t="shared" si="154"/>
        <v>17.989999999999998</v>
      </c>
      <c r="I279" s="677">
        <f t="shared" si="134"/>
        <v>221.76546893129193</v>
      </c>
      <c r="J279" s="678">
        <f t="shared" si="135"/>
        <v>1.5662870432091027</v>
      </c>
      <c r="K279" s="678">
        <f t="shared" si="136"/>
        <v>1.0013508729045639</v>
      </c>
      <c r="L279" s="679">
        <f t="shared" si="137"/>
        <v>5.1949089324656868E-2</v>
      </c>
      <c r="M279" s="678">
        <f t="shared" si="138"/>
        <v>1.0046533122300609</v>
      </c>
      <c r="N279" s="679">
        <f t="shared" si="139"/>
        <v>-9.6284361797450577E-2</v>
      </c>
      <c r="O279" s="677">
        <f t="shared" si="140"/>
        <v>203462.10638705749</v>
      </c>
      <c r="P279" s="680">
        <f t="shared" si="141"/>
        <v>1.5707914118747783</v>
      </c>
      <c r="Q279" s="689">
        <f t="shared" ref="Q279:Q342" si="163">SQRT(1+(G279/Zero2)^2)</f>
        <v>96.310588699132808</v>
      </c>
      <c r="R279" s="690">
        <f t="shared" ref="R279:R342" si="164">ATAN(G279/Zero2)</f>
        <v>1.5604130659051263</v>
      </c>
      <c r="S279" s="677">
        <f t="shared" si="142"/>
        <v>1.2526402943795902</v>
      </c>
      <c r="T279" s="680">
        <f t="shared" si="143"/>
        <v>0.64630624444329043</v>
      </c>
      <c r="U279" s="681">
        <f t="shared" si="155"/>
        <v>0.95167760043511429</v>
      </c>
      <c r="V279" s="682">
        <f t="shared" si="156"/>
        <v>-0.38527786207344705</v>
      </c>
      <c r="W279" s="683">
        <f t="shared" si="144"/>
        <v>-9.734747878248303</v>
      </c>
      <c r="X279" s="684">
        <f t="shared" si="145"/>
        <v>-151.98191219039535</v>
      </c>
      <c r="Y279" s="687">
        <f t="shared" si="146"/>
        <v>28.018087809604651</v>
      </c>
      <c r="AA279" s="170">
        <f t="shared" si="147"/>
        <v>17990</v>
      </c>
      <c r="AB279" s="170">
        <f t="shared" si="148"/>
        <v>323640100</v>
      </c>
      <c r="AD279" s="686">
        <f t="shared" si="149"/>
        <v>36.652732570012596</v>
      </c>
      <c r="AE279" s="687">
        <f t="shared" si="150"/>
        <v>-37.625255544931839</v>
      </c>
      <c r="AG279" s="686">
        <f t="shared" si="151"/>
        <v>9.5649882249225531</v>
      </c>
      <c r="AH279" s="687">
        <f t="shared" si="152"/>
        <v>-70.20706572175132</v>
      </c>
      <c r="AJ279" s="170">
        <f t="shared" si="153"/>
        <v>0</v>
      </c>
      <c r="AK279" s="170">
        <f t="shared" ref="AK279:AK342" si="165">IF(AJ279&gt;0,Y279,0)</f>
        <v>0</v>
      </c>
      <c r="AM279" s="170" t="str">
        <f t="shared" si="157"/>
        <v>0.154831472841805+0.534499916465145i</v>
      </c>
      <c r="AN279" s="170" t="str">
        <f t="shared" si="158"/>
        <v>0.563915939525992i</v>
      </c>
      <c r="AO279" s="170" t="str">
        <f t="shared" si="159"/>
        <v>0.947836156066855-0.274564810088452i</v>
      </c>
      <c r="AP279" s="170" t="str">
        <f t="shared" si="160"/>
        <v>0.140861421193032-0.0890833194108575i</v>
      </c>
      <c r="AQ279" s="170" t="str">
        <f t="shared" si="161"/>
        <v>0.859138578806968+0.0890833194108575i</v>
      </c>
      <c r="AR279" s="170" t="str">
        <f t="shared" si="162"/>
        <v>0.959262384304781-0.0994650682530268i</v>
      </c>
    </row>
    <row r="280" spans="7:44">
      <c r="G280" s="688">
        <v>18093.5</v>
      </c>
      <c r="H280" s="676">
        <f t="shared" si="154"/>
        <v>18.093499999999999</v>
      </c>
      <c r="I280" s="677">
        <f t="shared" si="134"/>
        <v>223.04130332039406</v>
      </c>
      <c r="J280" s="678">
        <f t="shared" si="135"/>
        <v>1.5663128372555124</v>
      </c>
      <c r="K280" s="678">
        <f t="shared" si="136"/>
        <v>1.0013664506553133</v>
      </c>
      <c r="L280" s="679">
        <f t="shared" si="137"/>
        <v>5.2247420568020994E-2</v>
      </c>
      <c r="M280" s="678">
        <f t="shared" si="138"/>
        <v>1.0047068833042081</v>
      </c>
      <c r="N280" s="679">
        <f t="shared" si="139"/>
        <v>-9.6834858022605205E-2</v>
      </c>
      <c r="O280" s="677">
        <f t="shared" si="140"/>
        <v>204632.66380843346</v>
      </c>
      <c r="P280" s="680">
        <f t="shared" si="141"/>
        <v>1.5707914399895284</v>
      </c>
      <c r="Q280" s="689">
        <f t="shared" si="163"/>
        <v>96.864622848965311</v>
      </c>
      <c r="R280" s="690">
        <f t="shared" si="164"/>
        <v>1.5604724568976784</v>
      </c>
      <c r="S280" s="677">
        <f t="shared" si="142"/>
        <v>1.2552589058715702</v>
      </c>
      <c r="T280" s="680">
        <f t="shared" si="143"/>
        <v>0.64906648722197446</v>
      </c>
      <c r="U280" s="681">
        <f t="shared" si="155"/>
        <v>0.95116197563228533</v>
      </c>
      <c r="V280" s="682">
        <f t="shared" si="156"/>
        <v>-0.38739096096608294</v>
      </c>
      <c r="W280" s="683">
        <f t="shared" si="144"/>
        <v>-9.8068283868429091</v>
      </c>
      <c r="X280" s="684">
        <f t="shared" si="145"/>
        <v>-152.2736587374562</v>
      </c>
      <c r="Y280" s="687">
        <f t="shared" si="146"/>
        <v>27.726341262543798</v>
      </c>
      <c r="AA280" s="170">
        <f t="shared" si="147"/>
        <v>18093.5</v>
      </c>
      <c r="AB280" s="170">
        <f t="shared" si="148"/>
        <v>327374742.25</v>
      </c>
      <c r="AD280" s="686">
        <f t="shared" si="149"/>
        <v>36.634588558239642</v>
      </c>
      <c r="AE280" s="687">
        <f t="shared" si="150"/>
        <v>-37.780004564400919</v>
      </c>
      <c r="AG280" s="686">
        <f t="shared" si="151"/>
        <v>9.5204664161239361</v>
      </c>
      <c r="AH280" s="687">
        <f t="shared" si="152"/>
        <v>-70.10191995258279</v>
      </c>
      <c r="AJ280" s="170">
        <f t="shared" si="153"/>
        <v>0</v>
      </c>
      <c r="AK280" s="170">
        <f t="shared" si="165"/>
        <v>0</v>
      </c>
      <c r="AM280" s="170" t="str">
        <f t="shared" si="157"/>
        <v>0.156570006013502+0.537239095044223i</v>
      </c>
      <c r="AN280" s="170" t="str">
        <f t="shared" si="158"/>
        <v>0.56716025857774i</v>
      </c>
      <c r="AO280" s="170" t="str">
        <f t="shared" si="159"/>
        <v>0.947243899619219-0.27605955044546i</v>
      </c>
      <c r="AP280" s="170" t="str">
        <f t="shared" si="160"/>
        <v>0.140571665664416-0.0895398491740372i</v>
      </c>
      <c r="AQ280" s="170" t="str">
        <f t="shared" si="161"/>
        <v>0.859428334335584+0.0895398491740372i</v>
      </c>
      <c r="AR280" s="170" t="str">
        <f t="shared" si="162"/>
        <v>0.958841111478902-0.0998972050066983i</v>
      </c>
    </row>
    <row r="281" spans="7:44">
      <c r="G281" s="688">
        <v>18197</v>
      </c>
      <c r="H281" s="676">
        <f t="shared" si="154"/>
        <v>18.196999999999999</v>
      </c>
      <c r="I281" s="677">
        <f t="shared" si="134"/>
        <v>224.31713785620488</v>
      </c>
      <c r="J281" s="678">
        <f t="shared" si="135"/>
        <v>1.5663383378875746</v>
      </c>
      <c r="K281" s="678">
        <f t="shared" si="136"/>
        <v>1.0013821175264324</v>
      </c>
      <c r="L281" s="679">
        <f t="shared" si="137"/>
        <v>5.2545742503003229E-2</v>
      </c>
      <c r="M281" s="678">
        <f t="shared" si="138"/>
        <v>1.0047607588183307</v>
      </c>
      <c r="N281" s="679">
        <f t="shared" si="139"/>
        <v>-9.7385295379072229E-2</v>
      </c>
      <c r="O281" s="677">
        <f t="shared" si="140"/>
        <v>205803.22122980954</v>
      </c>
      <c r="P281" s="680">
        <f t="shared" si="141"/>
        <v>1.5707914677844592</v>
      </c>
      <c r="Q281" s="689">
        <f t="shared" si="163"/>
        <v>97.418657336581163</v>
      </c>
      <c r="R281" s="690">
        <f t="shared" si="164"/>
        <v>1.560531172359505</v>
      </c>
      <c r="S281" s="677">
        <f t="shared" si="142"/>
        <v>1.2578870412449628</v>
      </c>
      <c r="T281" s="680">
        <f t="shared" si="143"/>
        <v>0.65181521677950127</v>
      </c>
      <c r="U281" s="681">
        <f t="shared" si="155"/>
        <v>0.95064418669672002</v>
      </c>
      <c r="V281" s="682">
        <f t="shared" si="156"/>
        <v>-0.38950241619919501</v>
      </c>
      <c r="W281" s="683">
        <f t="shared" si="144"/>
        <v>-9.8786715121347228</v>
      </c>
      <c r="X281" s="684">
        <f t="shared" si="145"/>
        <v>-152.56467048651672</v>
      </c>
      <c r="Y281" s="687">
        <f t="shared" si="146"/>
        <v>27.435329513483282</v>
      </c>
      <c r="AA281" s="170">
        <f t="shared" si="147"/>
        <v>18197</v>
      </c>
      <c r="AB281" s="170">
        <f t="shared" si="148"/>
        <v>331130809</v>
      </c>
      <c r="AD281" s="686">
        <f t="shared" si="149"/>
        <v>36.616416673239549</v>
      </c>
      <c r="AE281" s="687">
        <f t="shared" si="150"/>
        <v>-37.934132611623589</v>
      </c>
      <c r="AG281" s="686">
        <f t="shared" si="151"/>
        <v>9.4762545155911173</v>
      </c>
      <c r="AH281" s="687">
        <f t="shared" si="152"/>
        <v>-69.996848707167914</v>
      </c>
      <c r="AJ281" s="170">
        <f t="shared" si="153"/>
        <v>0</v>
      </c>
      <c r="AK281" s="170">
        <f t="shared" si="165"/>
        <v>0</v>
      </c>
      <c r="AM281" s="170" t="str">
        <f t="shared" si="157"/>
        <v>0.15831741678931+0.53997261886116i</v>
      </c>
      <c r="AN281" s="170" t="str">
        <f t="shared" si="158"/>
        <v>0.570404577629488i</v>
      </c>
      <c r="AO281" s="170" t="str">
        <f t="shared" si="159"/>
        <v>0.946648466786858-0.277552851078532i</v>
      </c>
      <c r="AP281" s="170" t="str">
        <f t="shared" si="160"/>
        <v>0.140280430535115-0.08999543647686i</v>
      </c>
      <c r="AQ281" s="170" t="str">
        <f t="shared" si="161"/>
        <v>0.859719569464885+0.08999543647686i</v>
      </c>
      <c r="AR281" s="170" t="str">
        <f t="shared" si="162"/>
        <v>0.958418345933328-0.100327223472866i</v>
      </c>
    </row>
    <row r="282" spans="7:44">
      <c r="G282" s="688">
        <v>18303</v>
      </c>
      <c r="H282" s="676">
        <f t="shared" si="154"/>
        <v>18.303000000000001</v>
      </c>
      <c r="I282" s="677">
        <f t="shared" si="134"/>
        <v>225.62378980080129</v>
      </c>
      <c r="J282" s="678">
        <f t="shared" si="135"/>
        <v>1.5663641555468468</v>
      </c>
      <c r="K282" s="678">
        <f t="shared" si="136"/>
        <v>1.0013982551953857</v>
      </c>
      <c r="L282" s="679">
        <f t="shared" si="137"/>
        <v>5.2851260578444512E-2</v>
      </c>
      <c r="M282" s="678">
        <f t="shared" si="138"/>
        <v>1.0048162511814265</v>
      </c>
      <c r="N282" s="679">
        <f t="shared" si="139"/>
        <v>-9.7948966966488554E-2</v>
      </c>
      <c r="O282" s="677">
        <f t="shared" si="140"/>
        <v>207002.05298503547</v>
      </c>
      <c r="P282" s="680">
        <f t="shared" si="141"/>
        <v>1.5707914959249338</v>
      </c>
      <c r="Q282" s="689">
        <f t="shared" si="163"/>
        <v>97.986074643876947</v>
      </c>
      <c r="R282" s="690">
        <f t="shared" si="164"/>
        <v>1.5605906178381768</v>
      </c>
      <c r="S282" s="677">
        <f t="shared" si="142"/>
        <v>1.2605884676353758</v>
      </c>
      <c r="T282" s="680">
        <f t="shared" si="143"/>
        <v>0.65461843902855266</v>
      </c>
      <c r="U282" s="681">
        <f t="shared" si="155"/>
        <v>0.95011165965348665</v>
      </c>
      <c r="V282" s="682">
        <f t="shared" si="156"/>
        <v>-0.39166316302658605</v>
      </c>
      <c r="W282" s="683">
        <f t="shared" si="144"/>
        <v>-9.9520065284020056</v>
      </c>
      <c r="X282" s="684">
        <f t="shared" si="145"/>
        <v>-152.8619509514773</v>
      </c>
      <c r="Y282" s="687">
        <f t="shared" si="146"/>
        <v>27.138049048522703</v>
      </c>
      <c r="AA282" s="170">
        <f t="shared" si="147"/>
        <v>18303</v>
      </c>
      <c r="AB282" s="170">
        <f t="shared" si="148"/>
        <v>334999809</v>
      </c>
      <c r="AD282" s="686">
        <f t="shared" si="149"/>
        <v>36.597777654814301</v>
      </c>
      <c r="AE282" s="687">
        <f t="shared" si="150"/>
        <v>-38.091341053002452</v>
      </c>
      <c r="AG282" s="686">
        <f t="shared" si="151"/>
        <v>9.4312924796500024</v>
      </c>
      <c r="AH282" s="687">
        <f t="shared" si="152"/>
        <v>-69.889317382855097</v>
      </c>
      <c r="AJ282" s="170">
        <f t="shared" si="153"/>
        <v>0</v>
      </c>
      <c r="AK282" s="170">
        <f t="shared" si="165"/>
        <v>0</v>
      </c>
      <c r="AM282" s="170" t="str">
        <f t="shared" si="157"/>
        <v>0.16011621818271+0.542766278466419i</v>
      </c>
      <c r="AN282" s="170" t="str">
        <f t="shared" si="158"/>
        <v>0.573727261875722i</v>
      </c>
      <c r="AO282" s="170" t="str">
        <f t="shared" si="159"/>
        <v>0.946035363025839-0.279080721489915i</v>
      </c>
      <c r="AP282" s="170" t="str">
        <f t="shared" si="160"/>
        <v>0.139980630302882-0.0904610464110698i</v>
      </c>
      <c r="AQ282" s="170" t="str">
        <f t="shared" si="161"/>
        <v>0.860019369697118+0.0904610464110698i</v>
      </c>
      <c r="AR282" s="170" t="str">
        <f t="shared" si="162"/>
        <v>0.957983834947728-0.100765428323761i</v>
      </c>
    </row>
    <row r="283" spans="7:44">
      <c r="G283" s="688">
        <v>18409</v>
      </c>
      <c r="H283" s="676">
        <f t="shared" si="154"/>
        <v>18.408999999999999</v>
      </c>
      <c r="I283" s="677">
        <f t="shared" si="134"/>
        <v>226.93044189405572</v>
      </c>
      <c r="J283" s="678">
        <f t="shared" si="135"/>
        <v>1.5663896758930185</v>
      </c>
      <c r="K283" s="678">
        <f t="shared" si="136"/>
        <v>1.0014144863331313</v>
      </c>
      <c r="L283" s="679">
        <f t="shared" si="137"/>
        <v>5.3156768778598415E-2</v>
      </c>
      <c r="M283" s="678">
        <f t="shared" si="138"/>
        <v>1.0048720627651073</v>
      </c>
      <c r="N283" s="679">
        <f t="shared" si="139"/>
        <v>-9.8512576119211645E-2</v>
      </c>
      <c r="O283" s="677">
        <f t="shared" si="140"/>
        <v>208200.88474026156</v>
      </c>
      <c r="P283" s="680">
        <f t="shared" si="141"/>
        <v>1.5707915237413397</v>
      </c>
      <c r="Q283" s="689">
        <f t="shared" si="163"/>
        <v>98.553492293445331</v>
      </c>
      <c r="R283" s="690">
        <f t="shared" si="164"/>
        <v>1.5606493788072922</v>
      </c>
      <c r="S283" s="677">
        <f t="shared" si="142"/>
        <v>1.2632997573891813</v>
      </c>
      <c r="T283" s="680">
        <f t="shared" si="143"/>
        <v>0.65740965060023071</v>
      </c>
      <c r="U283" s="681">
        <f t="shared" si="155"/>
        <v>0.94957688715937461</v>
      </c>
      <c r="V283" s="682">
        <f t="shared" si="156"/>
        <v>-0.3938221735968862</v>
      </c>
      <c r="W283" s="683">
        <f t="shared" si="144"/>
        <v>-10.025097792440064</v>
      </c>
      <c r="X283" s="684">
        <f t="shared" si="145"/>
        <v>-153.15846292983377</v>
      </c>
      <c r="Y283" s="687">
        <f t="shared" si="146"/>
        <v>26.841537070166225</v>
      </c>
      <c r="AA283" s="170">
        <f t="shared" si="147"/>
        <v>18409</v>
      </c>
      <c r="AB283" s="170">
        <f t="shared" si="148"/>
        <v>338891281</v>
      </c>
      <c r="AD283" s="686">
        <f t="shared" si="149"/>
        <v>36.579110800195252</v>
      </c>
      <c r="AE283" s="687">
        <f t="shared" si="150"/>
        <v>-38.247900534198813</v>
      </c>
      <c r="AG283" s="686">
        <f t="shared" si="151"/>
        <v>9.386648568188555</v>
      </c>
      <c r="AH283" s="687">
        <f t="shared" si="152"/>
        <v>-69.781865492527857</v>
      </c>
      <c r="AJ283" s="170">
        <f t="shared" si="153"/>
        <v>0</v>
      </c>
      <c r="AK283" s="170">
        <f t="shared" si="165"/>
        <v>0</v>
      </c>
      <c r="AM283" s="170" t="str">
        <f t="shared" si="157"/>
        <v>0.161924292078207+0.545553945812315i</v>
      </c>
      <c r="AN283" s="170" t="str">
        <f t="shared" si="158"/>
        <v>0.577049946121956i</v>
      </c>
      <c r="AO283" s="170" t="str">
        <f t="shared" si="159"/>
        <v>0.945418935533555-0.280607065586633i</v>
      </c>
      <c r="AP283" s="170" t="str">
        <f t="shared" si="160"/>
        <v>0.139679284653632-0.0909256576353858i</v>
      </c>
      <c r="AQ283" s="170" t="str">
        <f t="shared" si="161"/>
        <v>0.860320715346368+0.0909256576353858i</v>
      </c>
      <c r="AR283" s="170" t="str">
        <f t="shared" si="162"/>
        <v>0.957547785749755-0.10120140150473i</v>
      </c>
    </row>
    <row r="284" spans="7:44">
      <c r="G284" s="688">
        <v>18515</v>
      </c>
      <c r="H284" s="676">
        <f t="shared" si="154"/>
        <v>18.515000000000001</v>
      </c>
      <c r="I284" s="677">
        <f t="shared" si="134"/>
        <v>228.23709413341496</v>
      </c>
      <c r="J284" s="678">
        <f t="shared" si="135"/>
        <v>1.5664149040323889</v>
      </c>
      <c r="K284" s="678">
        <f t="shared" si="136"/>
        <v>1.0014308109351233</v>
      </c>
      <c r="L284" s="679">
        <f t="shared" si="137"/>
        <v>5.3462267046917131E-2</v>
      </c>
      <c r="M284" s="678">
        <f t="shared" si="138"/>
        <v>1.0049281935161869</v>
      </c>
      <c r="N284" s="679">
        <f t="shared" si="139"/>
        <v>-9.9076122489607052E-2</v>
      </c>
      <c r="O284" s="677">
        <f t="shared" si="140"/>
        <v>209399.71649548778</v>
      </c>
      <c r="P284" s="680">
        <f t="shared" si="141"/>
        <v>1.570791551239243</v>
      </c>
      <c r="Q284" s="689">
        <f t="shared" si="163"/>
        <v>99.120910279408292</v>
      </c>
      <c r="R284" s="690">
        <f t="shared" si="164"/>
        <v>1.5607074670218735</v>
      </c>
      <c r="S284" s="677">
        <f t="shared" si="142"/>
        <v>1.2660208471367229</v>
      </c>
      <c r="T284" s="680">
        <f t="shared" si="143"/>
        <v>0.66018888530779574</v>
      </c>
      <c r="U284" s="681">
        <f t="shared" si="155"/>
        <v>0.94903988162839914</v>
      </c>
      <c r="V284" s="682">
        <f t="shared" si="156"/>
        <v>-0.39597944180220129</v>
      </c>
      <c r="W284" s="683">
        <f t="shared" si="144"/>
        <v>-10.097947876449808</v>
      </c>
      <c r="X284" s="684">
        <f t="shared" si="145"/>
        <v>-153.45420761168387</v>
      </c>
      <c r="Y284" s="687">
        <f t="shared" si="146"/>
        <v>26.54579238831613</v>
      </c>
      <c r="AA284" s="170">
        <f t="shared" si="147"/>
        <v>18515</v>
      </c>
      <c r="AB284" s="170">
        <f t="shared" si="148"/>
        <v>342805225</v>
      </c>
      <c r="AD284" s="686">
        <f t="shared" si="149"/>
        <v>36.5604168073613</v>
      </c>
      <c r="AE284" s="687">
        <f t="shared" si="150"/>
        <v>-38.403812319375568</v>
      </c>
      <c r="AG284" s="686">
        <f t="shared" si="151"/>
        <v>9.3423193593581519</v>
      </c>
      <c r="AH284" s="687">
        <f t="shared" si="152"/>
        <v>-69.674493662034109</v>
      </c>
      <c r="AJ284" s="170">
        <f t="shared" si="153"/>
        <v>0</v>
      </c>
      <c r="AK284" s="170">
        <f t="shared" si="165"/>
        <v>0</v>
      </c>
      <c r="AM284" s="170" t="str">
        <f t="shared" si="157"/>
        <v>0.163741618514269+0.548335590122386i</v>
      </c>
      <c r="AN284" s="170" t="str">
        <f t="shared" si="158"/>
        <v>0.580372630368191i</v>
      </c>
      <c r="AO284" s="170" t="str">
        <f t="shared" si="159"/>
        <v>0.944799188367169-0.282131875189205i</v>
      </c>
      <c r="AP284" s="170" t="str">
        <f t="shared" si="160"/>
        <v>0.139376396914288-0.0913892650203977i</v>
      </c>
      <c r="AQ284" s="170" t="str">
        <f t="shared" si="161"/>
        <v>0.860623603085712+0.0913892650203977i</v>
      </c>
      <c r="AR284" s="170" t="str">
        <f t="shared" si="162"/>
        <v>0.95711021225297-0.101635138204087i</v>
      </c>
    </row>
    <row r="285" spans="7:44">
      <c r="G285" s="688">
        <v>18621</v>
      </c>
      <c r="H285" s="676">
        <f t="shared" si="154"/>
        <v>18.620999999999999</v>
      </c>
      <c r="I285" s="677">
        <f t="shared" si="134"/>
        <v>229.54374651638398</v>
      </c>
      <c r="J285" s="678">
        <f t="shared" si="135"/>
        <v>1.5664398449549903</v>
      </c>
      <c r="K285" s="678">
        <f t="shared" si="136"/>
        <v>1.0014472289967919</v>
      </c>
      <c r="L285" s="679">
        <f t="shared" si="137"/>
        <v>5.3767755326863946E-2</v>
      </c>
      <c r="M285" s="678">
        <f t="shared" si="138"/>
        <v>1.0049846433811864</v>
      </c>
      <c r="N285" s="679">
        <f t="shared" si="139"/>
        <v>-9.9639605730277331E-2</v>
      </c>
      <c r="O285" s="677">
        <f t="shared" si="140"/>
        <v>210598.5482507142</v>
      </c>
      <c r="P285" s="680">
        <f t="shared" si="141"/>
        <v>1.5707915784240825</v>
      </c>
      <c r="Q285" s="689">
        <f t="shared" si="163"/>
        <v>99.688328596021677</v>
      </c>
      <c r="R285" s="690">
        <f t="shared" si="164"/>
        <v>1.5607648939693268</v>
      </c>
      <c r="S285" s="677">
        <f t="shared" si="142"/>
        <v>1.2687516738239082</v>
      </c>
      <c r="T285" s="680">
        <f t="shared" si="143"/>
        <v>0.66295617741504576</v>
      </c>
      <c r="U285" s="681">
        <f t="shared" si="155"/>
        <v>0.94850065548838858</v>
      </c>
      <c r="V285" s="682">
        <f t="shared" si="156"/>
        <v>-0.39813496159012868</v>
      </c>
      <c r="W285" s="683">
        <f t="shared" si="144"/>
        <v>-10.170559302102813</v>
      </c>
      <c r="X285" s="684">
        <f t="shared" si="145"/>
        <v>-153.74918622479589</v>
      </c>
      <c r="Y285" s="687">
        <f t="shared" si="146"/>
        <v>26.250813775204108</v>
      </c>
      <c r="AA285" s="170">
        <f t="shared" si="147"/>
        <v>18621</v>
      </c>
      <c r="AB285" s="170">
        <f t="shared" si="148"/>
        <v>346741641</v>
      </c>
      <c r="AD285" s="686">
        <f t="shared" si="149"/>
        <v>36.541696367386848</v>
      </c>
      <c r="AE285" s="687">
        <f t="shared" si="150"/>
        <v>-38.55907771383545</v>
      </c>
      <c r="AG285" s="686">
        <f t="shared" si="151"/>
        <v>9.2983014884332498</v>
      </c>
      <c r="AH285" s="687">
        <f t="shared" si="152"/>
        <v>-69.56720250739366</v>
      </c>
      <c r="AJ285" s="170">
        <f t="shared" si="153"/>
        <v>0</v>
      </c>
      <c r="AK285" s="170">
        <f t="shared" si="165"/>
        <v>0</v>
      </c>
      <c r="AM285" s="170" t="str">
        <f t="shared" si="157"/>
        <v>0.165568177427208+0.551111180686664i</v>
      </c>
      <c r="AN285" s="170" t="str">
        <f t="shared" si="158"/>
        <v>0.583695314614425i</v>
      </c>
      <c r="AO285" s="170" t="str">
        <f t="shared" si="159"/>
        <v>0.944176125605385-0.28365514212938i</v>
      </c>
      <c r="AP285" s="170" t="str">
        <f t="shared" si="160"/>
        <v>0.139071970428799-0.0918518634477773i</v>
      </c>
      <c r="AQ285" s="170" t="str">
        <f t="shared" si="161"/>
        <v>0.860928029571201+0.0918518634477773i</v>
      </c>
      <c r="AR285" s="170" t="str">
        <f t="shared" si="162"/>
        <v>0.956671128372734-0.102066633713261i</v>
      </c>
    </row>
    <row r="286" spans="7:44">
      <c r="G286" s="688">
        <v>18729.5</v>
      </c>
      <c r="H286" s="676">
        <f t="shared" si="154"/>
        <v>18.729500000000002</v>
      </c>
      <c r="I286" s="677">
        <f t="shared" si="134"/>
        <v>230.88121631872144</v>
      </c>
      <c r="J286" s="678">
        <f t="shared" si="135"/>
        <v>1.5664650817392558</v>
      </c>
      <c r="K286" s="678">
        <f t="shared" si="136"/>
        <v>1.0014641310641239</v>
      </c>
      <c r="L286" s="679">
        <f t="shared" si="137"/>
        <v>5.4080438115560382E-2</v>
      </c>
      <c r="M286" s="678">
        <f t="shared" si="138"/>
        <v>1.0050427550468797</v>
      </c>
      <c r="N286" s="679">
        <f t="shared" si="139"/>
        <v>-0.10021631292701164</v>
      </c>
      <c r="O286" s="677">
        <f t="shared" si="140"/>
        <v>211825.65433979046</v>
      </c>
      <c r="P286" s="680">
        <f t="shared" si="141"/>
        <v>1.5707916059313962</v>
      </c>
      <c r="Q286" s="689">
        <f t="shared" si="163"/>
        <v>100.26912975668294</v>
      </c>
      <c r="R286" s="690">
        <f t="shared" si="164"/>
        <v>1.5608230021985197</v>
      </c>
      <c r="S286" s="677">
        <f t="shared" si="142"/>
        <v>1.2715569254329842</v>
      </c>
      <c r="T286" s="680">
        <f t="shared" si="143"/>
        <v>0.66577640365017399</v>
      </c>
      <c r="U286" s="681">
        <f t="shared" si="155"/>
        <v>0.94794642495072834</v>
      </c>
      <c r="V286" s="682">
        <f t="shared" si="156"/>
        <v>-0.40033950209166008</v>
      </c>
      <c r="W286" s="683">
        <f t="shared" si="144"/>
        <v>-10.244638673964904</v>
      </c>
      <c r="X286" s="684">
        <f t="shared" si="145"/>
        <v>-154.05032981744947</v>
      </c>
      <c r="Y286" s="687">
        <f t="shared" si="146"/>
        <v>25.949670182550534</v>
      </c>
      <c r="AA286" s="170">
        <f t="shared" si="147"/>
        <v>18729.5</v>
      </c>
      <c r="AB286" s="170">
        <f t="shared" si="148"/>
        <v>350794170.25</v>
      </c>
      <c r="AD286" s="686">
        <f t="shared" si="149"/>
        <v>36.522507731583751</v>
      </c>
      <c r="AE286" s="687">
        <f t="shared" si="150"/>
        <v>-38.717336994326459</v>
      </c>
      <c r="AG286" s="686">
        <f t="shared" si="151"/>
        <v>9.2535644455004533</v>
      </c>
      <c r="AH286" s="687">
        <f t="shared" si="152"/>
        <v>-69.457465086260768</v>
      </c>
      <c r="AJ286" s="170">
        <f t="shared" si="153"/>
        <v>0</v>
      </c>
      <c r="AK286" s="170">
        <f t="shared" si="165"/>
        <v>0</v>
      </c>
      <c r="AM286" s="170" t="str">
        <f t="shared" si="157"/>
        <v>0.167447356175647+0.553945931712726i</v>
      </c>
      <c r="AN286" s="170" t="str">
        <f t="shared" si="158"/>
        <v>0.587096364055146i</v>
      </c>
      <c r="AO286" s="170" t="str">
        <f t="shared" si="159"/>
        <v>0.943534938432516-0.285212728995744i</v>
      </c>
      <c r="AP286" s="170" t="str">
        <f t="shared" si="160"/>
        <v>0.138758773970726-0.092324321952121i</v>
      </c>
      <c r="AQ286" s="170" t="str">
        <f t="shared" si="161"/>
        <v>0.861241226029274+0.092324321952121i</v>
      </c>
      <c r="AR286" s="170" t="str">
        <f t="shared" si="162"/>
        <v>0.956220139029485-0.102505980095592i</v>
      </c>
    </row>
    <row r="287" spans="7:44">
      <c r="G287" s="688">
        <v>18838</v>
      </c>
      <c r="H287" s="676">
        <f t="shared" si="154"/>
        <v>18.838000000000001</v>
      </c>
      <c r="I287" s="677">
        <f t="shared" si="134"/>
        <v>232.21868626641222</v>
      </c>
      <c r="J287" s="678">
        <f t="shared" si="135"/>
        <v>1.5664900278196228</v>
      </c>
      <c r="K287" s="678">
        <f t="shared" si="136"/>
        <v>1.0014811310418206</v>
      </c>
      <c r="L287" s="679">
        <f t="shared" si="137"/>
        <v>5.4393110319348126E-2</v>
      </c>
      <c r="M287" s="678">
        <f t="shared" si="138"/>
        <v>1.005101200942222</v>
      </c>
      <c r="N287" s="679">
        <f t="shared" si="139"/>
        <v>-0.10079295324531452</v>
      </c>
      <c r="O287" s="677">
        <f t="shared" si="140"/>
        <v>213052.76042886687</v>
      </c>
      <c r="P287" s="680">
        <f t="shared" si="141"/>
        <v>1.5707916331218459</v>
      </c>
      <c r="Q287" s="689">
        <f t="shared" si="163"/>
        <v>100.84993125200997</v>
      </c>
      <c r="R287" s="690">
        <f t="shared" si="164"/>
        <v>1.5608804411295525</v>
      </c>
      <c r="S287" s="677">
        <f t="shared" si="142"/>
        <v>1.2743722460215365</v>
      </c>
      <c r="T287" s="680">
        <f t="shared" si="143"/>
        <v>0.66858419134784552</v>
      </c>
      <c r="U287" s="681">
        <f t="shared" si="155"/>
        <v>0.94738989421350939</v>
      </c>
      <c r="V287" s="682">
        <f t="shared" si="156"/>
        <v>-0.40254219807682157</v>
      </c>
      <c r="W287" s="683">
        <f t="shared" si="144"/>
        <v>-10.318473186947589</v>
      </c>
      <c r="X287" s="684">
        <f t="shared" si="145"/>
        <v>-154.35067349971641</v>
      </c>
      <c r="Y287" s="687">
        <f t="shared" si="146"/>
        <v>25.649326500283593</v>
      </c>
      <c r="AA287" s="170">
        <f t="shared" si="147"/>
        <v>18838</v>
      </c>
      <c r="AB287" s="170">
        <f t="shared" si="148"/>
        <v>354870244</v>
      </c>
      <c r="AD287" s="686">
        <f t="shared" si="149"/>
        <v>36.503292829519332</v>
      </c>
      <c r="AE287" s="687">
        <f t="shared" si="150"/>
        <v>-38.87492192892195</v>
      </c>
      <c r="AG287" s="686">
        <f t="shared" si="151"/>
        <v>9.2091466434194356</v>
      </c>
      <c r="AH287" s="687">
        <f t="shared" si="152"/>
        <v>-69.347813466643473</v>
      </c>
      <c r="AJ287" s="170">
        <f t="shared" si="153"/>
        <v>0</v>
      </c>
      <c r="AK287" s="170">
        <f t="shared" si="165"/>
        <v>0</v>
      </c>
      <c r="AM287" s="170" t="str">
        <f t="shared" si="157"/>
        <v>0.169336165165542+0.556774275176317i</v>
      </c>
      <c r="AN287" s="170" t="str">
        <f t="shared" si="158"/>
        <v>0.590497413495867i</v>
      </c>
      <c r="AO287" s="170" t="str">
        <f t="shared" si="159"/>
        <v>0.942890286140456-0.286768682292843i</v>
      </c>
      <c r="AP287" s="170" t="str">
        <f t="shared" si="160"/>
        <v>0.13844397247241-0.0927957125293862i</v>
      </c>
      <c r="AQ287" s="170" t="str">
        <f t="shared" si="161"/>
        <v>0.86155602752759+0.0927957125293862i</v>
      </c>
      <c r="AR287" s="170" t="str">
        <f t="shared" si="162"/>
        <v>0.955767596722988-0.102942968671377i</v>
      </c>
    </row>
    <row r="288" spans="7:44">
      <c r="G288" s="688">
        <v>18946.5</v>
      </c>
      <c r="H288" s="676">
        <f t="shared" si="154"/>
        <v>18.9465</v>
      </c>
      <c r="I288" s="677">
        <f t="shared" si="134"/>
        <v>233.55615635695918</v>
      </c>
      <c r="J288" s="678">
        <f t="shared" si="135"/>
        <v>1.5665146881902476</v>
      </c>
      <c r="K288" s="678">
        <f t="shared" si="136"/>
        <v>1.0014982289248962</v>
      </c>
      <c r="L288" s="679">
        <f t="shared" si="137"/>
        <v>5.4705771877631648E-2</v>
      </c>
      <c r="M288" s="678">
        <f t="shared" si="138"/>
        <v>1.0051599810089114</v>
      </c>
      <c r="N288" s="679">
        <f t="shared" si="139"/>
        <v>-0.10136952631340371</v>
      </c>
      <c r="O288" s="677">
        <f t="shared" si="140"/>
        <v>214279.86651794342</v>
      </c>
      <c r="P288" s="680">
        <f t="shared" si="141"/>
        <v>1.5707916600008751</v>
      </c>
      <c r="Q288" s="689">
        <f t="shared" si="163"/>
        <v>101.43073307625373</v>
      </c>
      <c r="R288" s="690">
        <f t="shared" si="164"/>
        <v>1.5609372222594338</v>
      </c>
      <c r="S288" s="677">
        <f t="shared" si="142"/>
        <v>1.2771975690045547</v>
      </c>
      <c r="T288" s="680">
        <f t="shared" si="143"/>
        <v>0.67137957863750164</v>
      </c>
      <c r="U288" s="681">
        <f t="shared" si="155"/>
        <v>0.94683107664525801</v>
      </c>
      <c r="V288" s="682">
        <f t="shared" si="156"/>
        <v>-0.40474304323550003</v>
      </c>
      <c r="W288" s="683">
        <f t="shared" si="144"/>
        <v>-10.392065389204539</v>
      </c>
      <c r="X288" s="684">
        <f t="shared" si="145"/>
        <v>-154.65021870460615</v>
      </c>
      <c r="Y288" s="687">
        <f t="shared" si="146"/>
        <v>25.349781295393853</v>
      </c>
      <c r="AA288" s="170">
        <f t="shared" si="147"/>
        <v>18946.5</v>
      </c>
      <c r="AB288" s="170">
        <f t="shared" si="148"/>
        <v>358969862.25</v>
      </c>
      <c r="AD288" s="686">
        <f t="shared" si="149"/>
        <v>36.484052379955969</v>
      </c>
      <c r="AE288" s="687">
        <f t="shared" si="150"/>
        <v>-39.031834043859789</v>
      </c>
      <c r="AG288" s="686">
        <f t="shared" si="151"/>
        <v>9.1650446513211108</v>
      </c>
      <c r="AH288" s="687">
        <f t="shared" si="152"/>
        <v>-69.238248278399027</v>
      </c>
      <c r="AJ288" s="170">
        <f t="shared" si="153"/>
        <v>0</v>
      </c>
      <c r="AK288" s="170">
        <f t="shared" si="165"/>
        <v>0</v>
      </c>
      <c r="AM288" s="170" t="str">
        <f t="shared" si="157"/>
        <v>0.171234582548802+0.55959617836163i</v>
      </c>
      <c r="AN288" s="170" t="str">
        <f t="shared" si="158"/>
        <v>0.593898462936588i</v>
      </c>
      <c r="AO288" s="170" t="str">
        <f t="shared" si="159"/>
        <v>0.942242173173261-0.288322993297737i</v>
      </c>
      <c r="AP288" s="170" t="str">
        <f t="shared" si="160"/>
        <v>0.1381275695752-0.0932660297269383i</v>
      </c>
      <c r="AQ288" s="170" t="str">
        <f t="shared" si="161"/>
        <v>0.8618724304248+0.0932660297269383i</v>
      </c>
      <c r="AR288" s="170" t="str">
        <f t="shared" si="162"/>
        <v>0.955313516376756-0.103377594724808i</v>
      </c>
    </row>
    <row r="289" spans="7:44">
      <c r="G289" s="688">
        <v>19055</v>
      </c>
      <c r="H289" s="676">
        <f t="shared" si="154"/>
        <v>19.055</v>
      </c>
      <c r="I289" s="677">
        <f t="shared" si="134"/>
        <v>234.89362658792209</v>
      </c>
      <c r="J289" s="678">
        <f t="shared" si="135"/>
        <v>1.5665390677315427</v>
      </c>
      <c r="K289" s="678">
        <f t="shared" si="136"/>
        <v>1.0015154247083358</v>
      </c>
      <c r="L289" s="679">
        <f t="shared" si="137"/>
        <v>5.501842272982789E-2</v>
      </c>
      <c r="M289" s="678">
        <f t="shared" si="138"/>
        <v>1.0052190951883255</v>
      </c>
      <c r="N289" s="679">
        <f t="shared" si="139"/>
        <v>-0.1019460317597624</v>
      </c>
      <c r="O289" s="677">
        <f t="shared" si="140"/>
        <v>215506.97260702014</v>
      </c>
      <c r="P289" s="680">
        <f t="shared" si="141"/>
        <v>1.5707916865738034</v>
      </c>
      <c r="Q289" s="689">
        <f t="shared" si="163"/>
        <v>102.01153522379619</v>
      </c>
      <c r="R289" s="690">
        <f t="shared" si="164"/>
        <v>1.5609933568233563</v>
      </c>
      <c r="S289" s="677">
        <f t="shared" si="142"/>
        <v>1.2800328281493758</v>
      </c>
      <c r="T289" s="680">
        <f t="shared" si="143"/>
        <v>0.67416260408773665</v>
      </c>
      <c r="U289" s="681">
        <f t="shared" si="155"/>
        <v>0.94626998562664077</v>
      </c>
      <c r="V289" s="682">
        <f t="shared" si="156"/>
        <v>-0.40694203131850326</v>
      </c>
      <c r="W289" s="683">
        <f t="shared" si="144"/>
        <v>-10.465417778896651</v>
      </c>
      <c r="X289" s="684">
        <f t="shared" si="145"/>
        <v>-154.94896690227156</v>
      </c>
      <c r="Y289" s="687">
        <f t="shared" si="146"/>
        <v>25.051033097728435</v>
      </c>
      <c r="AA289" s="170">
        <f t="shared" si="147"/>
        <v>19055</v>
      </c>
      <c r="AB289" s="170">
        <f t="shared" si="148"/>
        <v>363093025</v>
      </c>
      <c r="AD289" s="686">
        <f t="shared" si="149"/>
        <v>36.464787094152676</v>
      </c>
      <c r="AE289" s="687">
        <f t="shared" si="150"/>
        <v>-39.188074905533369</v>
      </c>
      <c r="AG289" s="686">
        <f t="shared" si="151"/>
        <v>9.121255095522999</v>
      </c>
      <c r="AH289" s="687">
        <f t="shared" si="152"/>
        <v>-69.128770141391584</v>
      </c>
      <c r="AJ289" s="170">
        <f t="shared" si="153"/>
        <v>0</v>
      </c>
      <c r="AK289" s="170">
        <f t="shared" si="165"/>
        <v>0</v>
      </c>
      <c r="AM289" s="170" t="str">
        <f t="shared" si="157"/>
        <v>0.173142586366193+0.562411608627356i</v>
      </c>
      <c r="AN289" s="170" t="str">
        <f t="shared" si="158"/>
        <v>0.597299512377309i</v>
      </c>
      <c r="AO289" s="170" t="str">
        <f t="shared" si="159"/>
        <v>0.941590603998493-0.289875653300082i</v>
      </c>
      <c r="AP289" s="170" t="str">
        <f t="shared" si="160"/>
        <v>0.137809568938968-0.0937352681045593i</v>
      </c>
      <c r="AQ289" s="170" t="str">
        <f t="shared" si="161"/>
        <v>0.862190431061032+0.0937352681045593i</v>
      </c>
      <c r="AR289" s="170" t="str">
        <f t="shared" si="162"/>
        <v>0.954857912912463-0.103809853652011i</v>
      </c>
    </row>
    <row r="290" spans="7:44">
      <c r="G290" s="688">
        <v>19165.75</v>
      </c>
      <c r="H290" s="676">
        <f t="shared" si="154"/>
        <v>19.165749999999999</v>
      </c>
      <c r="I290" s="677">
        <f t="shared" si="134"/>
        <v>236.25883251900746</v>
      </c>
      <c r="J290" s="678">
        <f t="shared" si="135"/>
        <v>1.5665636681668826</v>
      </c>
      <c r="K290" s="678">
        <f t="shared" si="136"/>
        <v>1.0015330780478289</v>
      </c>
      <c r="L290" s="679">
        <f t="shared" si="137"/>
        <v>5.5337546020729843E-2</v>
      </c>
      <c r="M290" s="678">
        <f t="shared" si="138"/>
        <v>1.0052797797540836</v>
      </c>
      <c r="N290" s="679">
        <f t="shared" si="139"/>
        <v>-0.10253442226295423</v>
      </c>
      <c r="O290" s="677">
        <f t="shared" si="140"/>
        <v>216759.52559656175</v>
      </c>
      <c r="P290" s="680">
        <f t="shared" si="141"/>
        <v>1.5707917133874938</v>
      </c>
      <c r="Q290" s="689">
        <f t="shared" si="163"/>
        <v>102.60438198322771</v>
      </c>
      <c r="R290" s="690">
        <f t="shared" si="164"/>
        <v>1.5610500000527008</v>
      </c>
      <c r="S290" s="677">
        <f t="shared" si="142"/>
        <v>1.2829370619529807</v>
      </c>
      <c r="T290" s="680">
        <f t="shared" si="143"/>
        <v>0.6769906335183612</v>
      </c>
      <c r="U290" s="681">
        <f t="shared" si="155"/>
        <v>0.94569492832989088</v>
      </c>
      <c r="V290" s="682">
        <f t="shared" si="156"/>
        <v>-0.40918469886982783</v>
      </c>
      <c r="W290" s="683">
        <f t="shared" si="144"/>
        <v>-10.540046520733505</v>
      </c>
      <c r="X290" s="684">
        <f t="shared" si="145"/>
        <v>-155.25308993315093</v>
      </c>
      <c r="Y290" s="687">
        <f t="shared" si="146"/>
        <v>24.746910066849068</v>
      </c>
      <c r="AA290" s="170">
        <f t="shared" si="147"/>
        <v>19165.75</v>
      </c>
      <c r="AB290" s="170">
        <f t="shared" si="148"/>
        <v>367325973.0625</v>
      </c>
      <c r="AD290" s="686">
        <f t="shared" si="149"/>
        <v>36.445097414476933</v>
      </c>
      <c r="AE290" s="687">
        <f t="shared" si="150"/>
        <v>-39.346865174760246</v>
      </c>
      <c r="AG290" s="686">
        <f t="shared" si="151"/>
        <v>9.0768762384314456</v>
      </c>
      <c r="AH290" s="687">
        <f t="shared" si="152"/>
        <v>-69.017112131666792</v>
      </c>
      <c r="AJ290" s="170">
        <f t="shared" si="153"/>
        <v>0</v>
      </c>
      <c r="AK290" s="170">
        <f t="shared" si="165"/>
        <v>0</v>
      </c>
      <c r="AM290" s="170" t="str">
        <f t="shared" si="157"/>
        <v>0.175100020854632+0.565278713915509i</v>
      </c>
      <c r="AN290" s="170" t="str">
        <f t="shared" si="158"/>
        <v>0.600771090493068i</v>
      </c>
      <c r="AO290" s="170" t="str">
        <f t="shared" si="159"/>
        <v>0.940921963224912-0.291458799575264i</v>
      </c>
      <c r="AP290" s="170" t="str">
        <f t="shared" si="160"/>
        <v>0.137483329857561-0.0942131189859182i</v>
      </c>
      <c r="AQ290" s="170" t="str">
        <f t="shared" si="161"/>
        <v>0.862516670142439+0.0942131189859182i</v>
      </c>
      <c r="AR290" s="170" t="str">
        <f t="shared" si="162"/>
        <v>0.954391306118906-0.104248630542593i</v>
      </c>
    </row>
    <row r="291" spans="7:44">
      <c r="G291" s="688">
        <v>19276.5</v>
      </c>
      <c r="H291" s="676">
        <f t="shared" si="154"/>
        <v>19.276499999999999</v>
      </c>
      <c r="I291" s="677">
        <f t="shared" si="134"/>
        <v>237.62403859142941</v>
      </c>
      <c r="J291" s="678">
        <f t="shared" si="135"/>
        <v>1.5665879859316463</v>
      </c>
      <c r="K291" s="678">
        <f t="shared" si="136"/>
        <v>1.0015508333795231</v>
      </c>
      <c r="L291" s="679">
        <f t="shared" si="137"/>
        <v>5.5656658029396601E-2</v>
      </c>
      <c r="M291" s="678">
        <f t="shared" si="138"/>
        <v>1.0053408123090175</v>
      </c>
      <c r="N291" s="679">
        <f t="shared" si="139"/>
        <v>-0.10312274152940198</v>
      </c>
      <c r="O291" s="677">
        <f t="shared" si="140"/>
        <v>218012.07858610348</v>
      </c>
      <c r="P291" s="680">
        <f t="shared" si="141"/>
        <v>1.5707917398930769</v>
      </c>
      <c r="Q291" s="689">
        <f t="shared" si="163"/>
        <v>103.19722906807844</v>
      </c>
      <c r="R291" s="690">
        <f t="shared" si="164"/>
        <v>1.5611059924745669</v>
      </c>
      <c r="S291" s="677">
        <f t="shared" si="142"/>
        <v>1.2858515099699364</v>
      </c>
      <c r="T291" s="680">
        <f t="shared" si="143"/>
        <v>0.67980586563383716</v>
      </c>
      <c r="U291" s="681">
        <f t="shared" si="155"/>
        <v>0.9451175305218168</v>
      </c>
      <c r="V291" s="682">
        <f t="shared" si="156"/>
        <v>-0.41142541856208176</v>
      </c>
      <c r="W291" s="683">
        <f t="shared" si="144"/>
        <v>-10.614430506686439</v>
      </c>
      <c r="X291" s="684">
        <f t="shared" si="145"/>
        <v>-155.55638576767564</v>
      </c>
      <c r="Y291" s="687">
        <f t="shared" si="146"/>
        <v>24.443614232324364</v>
      </c>
      <c r="AA291" s="170">
        <f t="shared" si="147"/>
        <v>19276.5</v>
      </c>
      <c r="AB291" s="170">
        <f t="shared" si="148"/>
        <v>371583452.25</v>
      </c>
      <c r="AD291" s="686">
        <f t="shared" si="149"/>
        <v>36.425383331514134</v>
      </c>
      <c r="AE291" s="687">
        <f t="shared" si="150"/>
        <v>-39.50495948270774</v>
      </c>
      <c r="AG291" s="686">
        <f t="shared" si="151"/>
        <v>9.0328159837342508</v>
      </c>
      <c r="AH291" s="687">
        <f t="shared" si="152"/>
        <v>-68.905546095074598</v>
      </c>
      <c r="AJ291" s="170">
        <f t="shared" si="153"/>
        <v>0</v>
      </c>
      <c r="AK291" s="170">
        <f t="shared" si="165"/>
        <v>0</v>
      </c>
      <c r="AM291" s="170" t="str">
        <f t="shared" si="157"/>
        <v>0.177067396907707+0.568139006553628i</v>
      </c>
      <c r="AN291" s="170" t="str">
        <f t="shared" si="158"/>
        <v>0.604242668608827i</v>
      </c>
      <c r="AO291" s="170" t="str">
        <f t="shared" si="159"/>
        <v>0.940249730893182-0.293040207364661i</v>
      </c>
      <c r="AP291" s="170" t="str">
        <f t="shared" si="160"/>
        <v>0.137155433848716-0.0946898344256047i</v>
      </c>
      <c r="AQ291" s="170" t="str">
        <f t="shared" si="161"/>
        <v>0.862844566151284+0.0946898344256047i</v>
      </c>
      <c r="AR291" s="170" t="str">
        <f t="shared" si="162"/>
        <v>0.953923143787928-0.104684931775063i</v>
      </c>
    </row>
    <row r="292" spans="7:44">
      <c r="G292" s="688">
        <v>19387.25</v>
      </c>
      <c r="H292" s="676">
        <f t="shared" si="154"/>
        <v>19.387250000000002</v>
      </c>
      <c r="I292" s="677">
        <f t="shared" si="134"/>
        <v>238.9892448027658</v>
      </c>
      <c r="J292" s="678">
        <f t="shared" si="135"/>
        <v>1.5666120258700009</v>
      </c>
      <c r="K292" s="678">
        <f t="shared" si="136"/>
        <v>1.0015686906979948</v>
      </c>
      <c r="L292" s="679">
        <f t="shared" si="137"/>
        <v>5.5975758691438005E-2</v>
      </c>
      <c r="M292" s="678">
        <f t="shared" si="138"/>
        <v>1.0054021927897532</v>
      </c>
      <c r="N292" s="679">
        <f t="shared" si="139"/>
        <v>-0.10371098916485852</v>
      </c>
      <c r="O292" s="677">
        <f t="shared" si="140"/>
        <v>219264.63157564538</v>
      </c>
      <c r="P292" s="680">
        <f t="shared" si="141"/>
        <v>1.5707917660958326</v>
      </c>
      <c r="Q292" s="689">
        <f t="shared" si="163"/>
        <v>103.79007647277199</v>
      </c>
      <c r="R292" s="690">
        <f t="shared" si="164"/>
        <v>1.5611613452408091</v>
      </c>
      <c r="S292" s="677">
        <f t="shared" si="142"/>
        <v>1.2887761029047471</v>
      </c>
      <c r="T292" s="680">
        <f t="shared" si="143"/>
        <v>0.68260834278069837</v>
      </c>
      <c r="U292" s="681">
        <f t="shared" si="155"/>
        <v>0.94453780646712504</v>
      </c>
      <c r="V292" s="682">
        <f t="shared" si="156"/>
        <v>-0.41366418394551452</v>
      </c>
      <c r="W292" s="683">
        <f t="shared" si="144"/>
        <v>-10.68857224059817</v>
      </c>
      <c r="X292" s="684">
        <f t="shared" si="145"/>
        <v>-155.85885608257908</v>
      </c>
      <c r="Y292" s="687">
        <f t="shared" si="146"/>
        <v>24.141143917420919</v>
      </c>
      <c r="AA292" s="170">
        <f t="shared" si="147"/>
        <v>19387.25</v>
      </c>
      <c r="AB292" s="170">
        <f t="shared" si="148"/>
        <v>375865462.5625</v>
      </c>
      <c r="AD292" s="686">
        <f t="shared" si="149"/>
        <v>36.405645577663563</v>
      </c>
      <c r="AE292" s="687">
        <f t="shared" si="150"/>
        <v>-39.662359617001883</v>
      </c>
      <c r="AG292" s="686">
        <f t="shared" si="151"/>
        <v>8.9890709195483769</v>
      </c>
      <c r="AH292" s="687">
        <f t="shared" si="152"/>
        <v>-68.794072659809402</v>
      </c>
      <c r="AJ292" s="170">
        <f t="shared" si="153"/>
        <v>0</v>
      </c>
      <c r="AK292" s="170">
        <f t="shared" si="165"/>
        <v>0</v>
      </c>
      <c r="AM292" s="170" t="str">
        <f t="shared" si="157"/>
        <v>0.179044690814911+0.570992452069916i</v>
      </c>
      <c r="AN292" s="170" t="str">
        <f t="shared" si="158"/>
        <v>0.607714246724586i</v>
      </c>
      <c r="AO292" s="170" t="str">
        <f t="shared" si="159"/>
        <v>0.939573911830123-0.294619867445782i</v>
      </c>
      <c r="AP292" s="170" t="str">
        <f t="shared" si="160"/>
        <v>0.136825884864181-0.0951654086783193i</v>
      </c>
      <c r="AQ292" s="170" t="str">
        <f t="shared" si="161"/>
        <v>0.863174115135819+0.0951654086783193i</v>
      </c>
      <c r="AR292" s="170" t="str">
        <f t="shared" si="162"/>
        <v>0.953453441776831-0.105118752811726i</v>
      </c>
    </row>
    <row r="293" spans="7:44">
      <c r="G293" s="688">
        <v>19498</v>
      </c>
      <c r="H293" s="676">
        <f t="shared" si="154"/>
        <v>19.498000000000001</v>
      </c>
      <c r="I293" s="677">
        <f t="shared" si="134"/>
        <v>240.35445115064951</v>
      </c>
      <c r="J293" s="678">
        <f t="shared" si="135"/>
        <v>1.5666357927160568</v>
      </c>
      <c r="K293" s="678">
        <f t="shared" si="136"/>
        <v>1.0015866499977883</v>
      </c>
      <c r="L293" s="679">
        <f t="shared" si="137"/>
        <v>5.6294847942477674E-2</v>
      </c>
      <c r="M293" s="678">
        <f t="shared" si="138"/>
        <v>1.0054639211325718</v>
      </c>
      <c r="N293" s="679">
        <f t="shared" si="139"/>
        <v>-0.10429916477537093</v>
      </c>
      <c r="O293" s="677">
        <f t="shared" si="140"/>
        <v>220517.18456518743</v>
      </c>
      <c r="P293" s="680">
        <f t="shared" si="141"/>
        <v>1.5707917920009213</v>
      </c>
      <c r="Q293" s="689">
        <f t="shared" si="163"/>
        <v>104.38292419185869</v>
      </c>
      <c r="R293" s="690">
        <f t="shared" si="164"/>
        <v>1.5612160692499475</v>
      </c>
      <c r="S293" s="677">
        <f t="shared" si="142"/>
        <v>1.2917107718493686</v>
      </c>
      <c r="T293" s="680">
        <f t="shared" si="143"/>
        <v>0.68539810772404741</v>
      </c>
      <c r="U293" s="681">
        <f t="shared" si="155"/>
        <v>0.94395577044041068</v>
      </c>
      <c r="V293" s="682">
        <f t="shared" si="156"/>
        <v>-0.41590098863644626</v>
      </c>
      <c r="W293" s="683">
        <f t="shared" si="144"/>
        <v>-10.762474177422094</v>
      </c>
      <c r="X293" s="684">
        <f t="shared" si="145"/>
        <v>-156.16050259058096</v>
      </c>
      <c r="Y293" s="687">
        <f t="shared" si="146"/>
        <v>23.839497409419039</v>
      </c>
      <c r="AA293" s="170">
        <f t="shared" si="147"/>
        <v>19498</v>
      </c>
      <c r="AB293" s="170">
        <f t="shared" si="148"/>
        <v>380172004</v>
      </c>
      <c r="AD293" s="686">
        <f t="shared" si="149"/>
        <v>36.385884877289065</v>
      </c>
      <c r="AE293" s="687">
        <f t="shared" si="150"/>
        <v>-39.819067403758986</v>
      </c>
      <c r="AG293" s="686">
        <f t="shared" si="151"/>
        <v>8.945637690614161</v>
      </c>
      <c r="AH293" s="687">
        <f t="shared" si="152"/>
        <v>-68.682692443990362</v>
      </c>
      <c r="AJ293" s="170">
        <f t="shared" si="153"/>
        <v>0</v>
      </c>
      <c r="AK293" s="170">
        <f t="shared" si="165"/>
        <v>0</v>
      </c>
      <c r="AM293" s="170" t="str">
        <f t="shared" si="157"/>
        <v>0.181031878746209+0.573839016075097i</v>
      </c>
      <c r="AN293" s="170" t="str">
        <f t="shared" si="158"/>
        <v>0.611185824840345i</v>
      </c>
      <c r="AO293" s="170" t="str">
        <f t="shared" si="159"/>
        <v>0.938894510887906-0.296197770610106i</v>
      </c>
      <c r="AP293" s="170" t="str">
        <f t="shared" si="160"/>
        <v>0.136494686875632-0.0956398360125162i</v>
      </c>
      <c r="AQ293" s="170" t="str">
        <f t="shared" si="161"/>
        <v>0.863505313124368+0.0956398360125162i</v>
      </c>
      <c r="AR293" s="170" t="str">
        <f t="shared" si="162"/>
        <v>0.952982215936814-0.105550089234847i</v>
      </c>
    </row>
    <row r="294" spans="7:44">
      <c r="G294" s="688">
        <v>19611.75</v>
      </c>
      <c r="H294" s="676">
        <f t="shared" si="154"/>
        <v>19.611750000000001</v>
      </c>
      <c r="I294" s="677">
        <f t="shared" si="134"/>
        <v>241.75663839710822</v>
      </c>
      <c r="J294" s="678">
        <f t="shared" si="135"/>
        <v>1.5666599239301231</v>
      </c>
      <c r="K294" s="678">
        <f t="shared" si="136"/>
        <v>1.001605201936429</v>
      </c>
      <c r="L294" s="679">
        <f t="shared" si="137"/>
        <v>5.6622568748227409E-2</v>
      </c>
      <c r="M294" s="678">
        <f t="shared" si="138"/>
        <v>1.0055276836317315</v>
      </c>
      <c r="N294" s="679">
        <f t="shared" si="139"/>
        <v>-0.10490319751667952</v>
      </c>
      <c r="O294" s="677">
        <f t="shared" si="140"/>
        <v>221803.66675534926</v>
      </c>
      <c r="P294" s="680">
        <f t="shared" si="141"/>
        <v>1.5707918183031542</v>
      </c>
      <c r="Q294" s="689">
        <f t="shared" si="163"/>
        <v>104.99183131306086</v>
      </c>
      <c r="R294" s="690">
        <f t="shared" si="164"/>
        <v>1.5612716322770361</v>
      </c>
      <c r="S294" s="677">
        <f t="shared" si="142"/>
        <v>1.2947353523577354</v>
      </c>
      <c r="T294" s="680">
        <f t="shared" si="143"/>
        <v>0.68825025387861027</v>
      </c>
      <c r="U294" s="681">
        <f t="shared" si="155"/>
        <v>0.94335557644395918</v>
      </c>
      <c r="V294" s="682">
        <f t="shared" si="156"/>
        <v>-0.41819633625926617</v>
      </c>
      <c r="W294" s="683">
        <f t="shared" si="144"/>
        <v>-10.83813087238382</v>
      </c>
      <c r="X294" s="684">
        <f t="shared" si="145"/>
        <v>-156.4694643639628</v>
      </c>
      <c r="Y294" s="687">
        <f t="shared" si="146"/>
        <v>23.5305356360372</v>
      </c>
      <c r="AA294" s="170">
        <f t="shared" si="147"/>
        <v>19611.75</v>
      </c>
      <c r="AB294" s="170">
        <f t="shared" si="148"/>
        <v>384620738.0625</v>
      </c>
      <c r="AD294" s="686">
        <f t="shared" si="149"/>
        <v>36.365565763448764</v>
      </c>
      <c r="AE294" s="687">
        <f t="shared" si="150"/>
        <v>-39.979301321210791</v>
      </c>
      <c r="AG294" s="686">
        <f t="shared" si="151"/>
        <v>8.9013490951282197</v>
      </c>
      <c r="AH294" s="687">
        <f t="shared" si="152"/>
        <v>-68.568392837013917</v>
      </c>
      <c r="AJ294" s="170">
        <f t="shared" si="153"/>
        <v>0</v>
      </c>
      <c r="AK294" s="170">
        <f t="shared" si="165"/>
        <v>0</v>
      </c>
      <c r="AM294" s="170" t="str">
        <f t="shared" si="157"/>
        <v>0.183083170207377+0.576755488228392i</v>
      </c>
      <c r="AN294" s="170" t="str">
        <f t="shared" si="158"/>
        <v>0.614751441189488i</v>
      </c>
      <c r="AO294" s="170" t="str">
        <f t="shared" si="159"/>
        <v>0.938192982699516-0.297816577466053i</v>
      </c>
      <c r="AP294" s="170" t="str">
        <f t="shared" si="160"/>
        <v>0.136152804965437-0.096125914704732i</v>
      </c>
      <c r="AQ294" s="170" t="str">
        <f t="shared" si="161"/>
        <v>0.863847195034563+0.096125914704732i</v>
      </c>
      <c r="AR294" s="170" t="str">
        <f t="shared" si="162"/>
        <v>0.952496655852469-0.105990518720563i</v>
      </c>
    </row>
    <row r="295" spans="7:44">
      <c r="G295" s="688">
        <v>19725.5</v>
      </c>
      <c r="H295" s="676">
        <f t="shared" si="154"/>
        <v>19.7255</v>
      </c>
      <c r="I295" s="677">
        <f t="shared" si="134"/>
        <v>243.15882578272189</v>
      </c>
      <c r="J295" s="678">
        <f t="shared" si="135"/>
        <v>1.5666837768365265</v>
      </c>
      <c r="K295" s="678">
        <f t="shared" si="136"/>
        <v>1.0016238614444044</v>
      </c>
      <c r="L295" s="679">
        <f t="shared" si="137"/>
        <v>5.6950277378782277E-2</v>
      </c>
      <c r="M295" s="678">
        <f t="shared" si="138"/>
        <v>1.0055918129566466</v>
      </c>
      <c r="N295" s="679">
        <f t="shared" si="139"/>
        <v>-0.1055071534366999</v>
      </c>
      <c r="O295" s="677">
        <f t="shared" si="140"/>
        <v>223090.14894551129</v>
      </c>
      <c r="P295" s="680">
        <f t="shared" si="141"/>
        <v>1.5707918443020357</v>
      </c>
      <c r="Q295" s="689">
        <f t="shared" si="163"/>
        <v>105.60073875466107</v>
      </c>
      <c r="R295" s="690">
        <f t="shared" si="164"/>
        <v>1.5613265545371717</v>
      </c>
      <c r="S295" s="677">
        <f t="shared" si="142"/>
        <v>1.2977704160554679</v>
      </c>
      <c r="T295" s="680">
        <f t="shared" si="143"/>
        <v>0.69108908254862955</v>
      </c>
      <c r="U295" s="681">
        <f t="shared" si="155"/>
        <v>0.9427529740786641</v>
      </c>
      <c r="V295" s="682">
        <f t="shared" si="156"/>
        <v>-0.42048960209150688</v>
      </c>
      <c r="W295" s="683">
        <f t="shared" si="144"/>
        <v>-10.913539699677663</v>
      </c>
      <c r="X295" s="684">
        <f t="shared" si="145"/>
        <v>-156.77756086993008</v>
      </c>
      <c r="Y295" s="687">
        <f t="shared" si="146"/>
        <v>23.222439130069915</v>
      </c>
      <c r="AA295" s="170">
        <f t="shared" si="147"/>
        <v>19725.5</v>
      </c>
      <c r="AB295" s="170">
        <f t="shared" si="148"/>
        <v>389095350.25</v>
      </c>
      <c r="AD295" s="686">
        <f t="shared" si="149"/>
        <v>36.345223966163765</v>
      </c>
      <c r="AE295" s="687">
        <f t="shared" si="150"/>
        <v>-40.13880889886498</v>
      </c>
      <c r="AG295" s="686">
        <f t="shared" si="151"/>
        <v>8.8573824608356979</v>
      </c>
      <c r="AH295" s="687">
        <f t="shared" si="152"/>
        <v>-68.454192858048827</v>
      </c>
      <c r="AJ295" s="170">
        <f t="shared" si="153"/>
        <v>0</v>
      </c>
      <c r="AK295" s="170">
        <f t="shared" si="165"/>
        <v>0</v>
      </c>
      <c r="AM295" s="170" t="str">
        <f t="shared" si="157"/>
        <v>0.185144847627645+0.579664627739374i</v>
      </c>
      <c r="AN295" s="170" t="str">
        <f t="shared" si="158"/>
        <v>0.618317057538631i</v>
      </c>
      <c r="AO295" s="170" t="str">
        <f t="shared" si="159"/>
        <v>0.937487686409424-0.299433511287334i</v>
      </c>
      <c r="AP295" s="170" t="str">
        <f t="shared" si="160"/>
        <v>0.135809192062059-0.0966107712898957i</v>
      </c>
      <c r="AQ295" s="170" t="str">
        <f t="shared" si="161"/>
        <v>0.864190807937941+0.0966107712898957i</v>
      </c>
      <c r="AR295" s="170" t="str">
        <f t="shared" si="162"/>
        <v>0.9520095221379-0.106428318103185i</v>
      </c>
    </row>
    <row r="296" spans="7:44">
      <c r="G296" s="688">
        <v>19839.25</v>
      </c>
      <c r="H296" s="676">
        <f t="shared" si="154"/>
        <v>19.83925</v>
      </c>
      <c r="I296" s="677">
        <f t="shared" si="134"/>
        <v>244.56101330509708</v>
      </c>
      <c r="J296" s="678">
        <f t="shared" si="135"/>
        <v>1.5667073562222595</v>
      </c>
      <c r="K296" s="678">
        <f t="shared" si="136"/>
        <v>1.0016426285157034</v>
      </c>
      <c r="L296" s="679">
        <f t="shared" si="137"/>
        <v>5.7277973764437481E-2</v>
      </c>
      <c r="M296" s="678">
        <f t="shared" si="138"/>
        <v>1.0056563090371411</v>
      </c>
      <c r="N296" s="679">
        <f t="shared" si="139"/>
        <v>-0.10611103210956954</v>
      </c>
      <c r="O296" s="677">
        <f t="shared" si="140"/>
        <v>224376.63113567344</v>
      </c>
      <c r="P296" s="680">
        <f t="shared" si="141"/>
        <v>1.5707918700027836</v>
      </c>
      <c r="Q296" s="689">
        <f t="shared" si="163"/>
        <v>106.20964651114866</v>
      </c>
      <c r="R296" s="690">
        <f t="shared" si="164"/>
        <v>1.5613808470507131</v>
      </c>
      <c r="S296" s="677">
        <f t="shared" si="142"/>
        <v>1.3008158895644339</v>
      </c>
      <c r="T296" s="680">
        <f t="shared" si="143"/>
        <v>0.69391464135506875</v>
      </c>
      <c r="U296" s="681">
        <f t="shared" si="155"/>
        <v>0.94214797883795121</v>
      </c>
      <c r="V296" s="682">
        <f t="shared" si="156"/>
        <v>-0.42278077943402526</v>
      </c>
      <c r="W296" s="683">
        <f t="shared" si="144"/>
        <v>-10.988703166365386</v>
      </c>
      <c r="X296" s="684">
        <f t="shared" si="145"/>
        <v>-157.08479407587743</v>
      </c>
      <c r="Y296" s="687">
        <f t="shared" si="146"/>
        <v>22.915205924122574</v>
      </c>
      <c r="AA296" s="170">
        <f t="shared" si="147"/>
        <v>19839.25</v>
      </c>
      <c r="AB296" s="170">
        <f t="shared" si="148"/>
        <v>393595840.5625</v>
      </c>
      <c r="AD296" s="686">
        <f t="shared" si="149"/>
        <v>36.324860244015149</v>
      </c>
      <c r="AE296" s="687">
        <f t="shared" si="150"/>
        <v>-40.297592234080717</v>
      </c>
      <c r="AG296" s="686">
        <f t="shared" si="151"/>
        <v>8.8137343305280176</v>
      </c>
      <c r="AH296" s="687">
        <f t="shared" si="152"/>
        <v>-68.340093144795802</v>
      </c>
      <c r="AJ296" s="170">
        <f t="shared" si="153"/>
        <v>0</v>
      </c>
      <c r="AK296" s="170">
        <f t="shared" si="165"/>
        <v>0</v>
      </c>
      <c r="AM296" s="170" t="str">
        <f t="shared" si="157"/>
        <v>0.187216884795659+0.582566397622389i</v>
      </c>
      <c r="AN296" s="170" t="str">
        <f t="shared" si="158"/>
        <v>0.621882673887774i</v>
      </c>
      <c r="AO296" s="170" t="str">
        <f t="shared" si="159"/>
        <v>0.936778627358124-0.301048562143162i</v>
      </c>
      <c r="AP296" s="170" t="str">
        <f t="shared" si="160"/>
        <v>0.135463852534057-0.0970943996037315i</v>
      </c>
      <c r="AQ296" s="170" t="str">
        <f t="shared" si="161"/>
        <v>0.864536147465943+0.0970943996037315i</v>
      </c>
      <c r="AR296" s="170" t="str">
        <f t="shared" si="162"/>
        <v>0.951520831940769-0.106863482988572i</v>
      </c>
    </row>
    <row r="297" spans="7:44">
      <c r="G297" s="688">
        <v>19953</v>
      </c>
      <c r="H297" s="676">
        <f t="shared" si="154"/>
        <v>19.952999999999999</v>
      </c>
      <c r="I297" s="677">
        <f t="shared" si="134"/>
        <v>245.96320096189478</v>
      </c>
      <c r="J297" s="678">
        <f t="shared" si="135"/>
        <v>1.5667306667651584</v>
      </c>
      <c r="K297" s="678">
        <f t="shared" si="136"/>
        <v>1.0016615031442795</v>
      </c>
      <c r="L297" s="679">
        <f t="shared" si="137"/>
        <v>5.7605657835503969E-2</v>
      </c>
      <c r="M297" s="678">
        <f t="shared" si="138"/>
        <v>1.0057211718026557</v>
      </c>
      <c r="N297" s="679">
        <f t="shared" si="139"/>
        <v>-0.10671483310976017</v>
      </c>
      <c r="O297" s="677">
        <f t="shared" si="140"/>
        <v>225663.11332583573</v>
      </c>
      <c r="P297" s="680">
        <f t="shared" si="141"/>
        <v>1.5707918954104969</v>
      </c>
      <c r="Q297" s="689">
        <f t="shared" si="163"/>
        <v>106.81855457713876</v>
      </c>
      <c r="R297" s="690">
        <f t="shared" si="164"/>
        <v>1.5614345205867521</v>
      </c>
      <c r="S297" s="677">
        <f t="shared" si="142"/>
        <v>1.3038716999415594</v>
      </c>
      <c r="T297" s="680">
        <f t="shared" si="143"/>
        <v>0.69672697832229391</v>
      </c>
      <c r="U297" s="681">
        <f t="shared" si="155"/>
        <v>0.94154060622256541</v>
      </c>
      <c r="V297" s="682">
        <f t="shared" si="156"/>
        <v>-0.42506986166104976</v>
      </c>
      <c r="W297" s="683">
        <f t="shared" si="144"/>
        <v>-11.063623730530425</v>
      </c>
      <c r="X297" s="684">
        <f t="shared" si="145"/>
        <v>-157.39116598467035</v>
      </c>
      <c r="Y297" s="687">
        <f t="shared" si="146"/>
        <v>22.608834015329649</v>
      </c>
      <c r="AA297" s="170">
        <f t="shared" si="147"/>
        <v>19953</v>
      </c>
      <c r="AB297" s="170">
        <f t="shared" si="148"/>
        <v>398122209</v>
      </c>
      <c r="AD297" s="686">
        <f t="shared" si="149"/>
        <v>36.304475346793282</v>
      </c>
      <c r="AE297" s="687">
        <f t="shared" si="150"/>
        <v>-40.455653461720111</v>
      </c>
      <c r="AG297" s="686">
        <f t="shared" si="151"/>
        <v>8.7704013044695142</v>
      </c>
      <c r="AH297" s="687">
        <f t="shared" si="152"/>
        <v>-68.226094324515827</v>
      </c>
      <c r="AJ297" s="170">
        <f t="shared" si="153"/>
        <v>0</v>
      </c>
      <c r="AK297" s="170">
        <f t="shared" si="165"/>
        <v>0</v>
      </c>
      <c r="AM297" s="170" t="str">
        <f t="shared" si="157"/>
        <v>0.189299255368353+0.585460760985476i</v>
      </c>
      <c r="AN297" s="170" t="str">
        <f t="shared" si="158"/>
        <v>0.625448290236917i</v>
      </c>
      <c r="AO297" s="170" t="str">
        <f t="shared" si="159"/>
        <v>0.93606581091413-0.302661720118617i</v>
      </c>
      <c r="AP297" s="170" t="str">
        <f t="shared" si="160"/>
        <v>0.135116790771941-0.0975767934975793i</v>
      </c>
      <c r="AQ297" s="170" t="str">
        <f t="shared" si="161"/>
        <v>0.864883209228059+0.0975767934975793i</v>
      </c>
      <c r="AR297" s="170" t="str">
        <f t="shared" si="162"/>
        <v>0.951030602397396-0.10729600911415i</v>
      </c>
    </row>
    <row r="298" spans="7:44">
      <c r="G298" s="688">
        <v>20069</v>
      </c>
      <c r="H298" s="676">
        <f t="shared" si="154"/>
        <v>20.068999999999999</v>
      </c>
      <c r="I298" s="677">
        <f t="shared" si="134"/>
        <v>247.39312433478483</v>
      </c>
      <c r="J298" s="678">
        <f t="shared" si="135"/>
        <v>1.5667541662624604</v>
      </c>
      <c r="K298" s="678">
        <f t="shared" si="136"/>
        <v>1.0016808618804329</v>
      </c>
      <c r="L298" s="679">
        <f t="shared" si="137"/>
        <v>5.7939810814911813E-2</v>
      </c>
      <c r="M298" s="678">
        <f t="shared" si="138"/>
        <v>1.0057876951308031</v>
      </c>
      <c r="N298" s="679">
        <f t="shared" si="139"/>
        <v>-0.10733049699321359</v>
      </c>
      <c r="O298" s="677">
        <f t="shared" si="140"/>
        <v>226975.04241646294</v>
      </c>
      <c r="P298" s="680">
        <f t="shared" si="141"/>
        <v>1.5707919210241592</v>
      </c>
      <c r="Q298" s="689">
        <f t="shared" si="163"/>
        <v>107.43950729179095</v>
      </c>
      <c r="R298" s="690">
        <f t="shared" si="164"/>
        <v>1.5614886292428005</v>
      </c>
      <c r="S298" s="677">
        <f t="shared" si="142"/>
        <v>1.3069985253452754</v>
      </c>
      <c r="T298" s="680">
        <f t="shared" si="143"/>
        <v>0.69958137739984827</v>
      </c>
      <c r="U298" s="681">
        <f t="shared" si="155"/>
        <v>0.94091878734173939</v>
      </c>
      <c r="V298" s="682">
        <f t="shared" si="156"/>
        <v>-0.42740205795723785</v>
      </c>
      <c r="W298" s="683">
        <f t="shared" si="144"/>
        <v>-11.139778581375561</v>
      </c>
      <c r="X298" s="684">
        <f t="shared" si="145"/>
        <v>-157.70271308861675</v>
      </c>
      <c r="Y298" s="687">
        <f t="shared" si="146"/>
        <v>22.297286911383253</v>
      </c>
      <c r="AA298" s="170">
        <f t="shared" si="147"/>
        <v>20069</v>
      </c>
      <c r="AB298" s="170">
        <f t="shared" si="148"/>
        <v>402764761</v>
      </c>
      <c r="AD298" s="686">
        <f t="shared" si="149"/>
        <v>36.283666192498025</v>
      </c>
      <c r="AE298" s="687">
        <f t="shared" si="150"/>
        <v>-40.616099752021398</v>
      </c>
      <c r="AG298" s="686">
        <f t="shared" si="151"/>
        <v>8.7265321909229812</v>
      </c>
      <c r="AH298" s="687">
        <f t="shared" si="152"/>
        <v>-68.109945128320305</v>
      </c>
      <c r="AJ298" s="170">
        <f t="shared" si="153"/>
        <v>0</v>
      </c>
      <c r="AK298" s="170">
        <f t="shared" si="165"/>
        <v>0</v>
      </c>
      <c r="AM298" s="170" t="str">
        <f t="shared" si="157"/>
        <v>0.191433430264784+0.588404709623084i</v>
      </c>
      <c r="AN298" s="170" t="str">
        <f t="shared" si="158"/>
        <v>0.629084435261097i</v>
      </c>
      <c r="AO298" s="170" t="str">
        <f t="shared" si="159"/>
        <v>0.935335030787832-0.304304827038569i</v>
      </c>
      <c r="AP298" s="170" t="str">
        <f t="shared" si="160"/>
        <v>0.134761094955869-0.0980674516038473i</v>
      </c>
      <c r="AQ298" s="170" t="str">
        <f t="shared" si="161"/>
        <v>0.865238905044131+0.0980674516038473i</v>
      </c>
      <c r="AR298" s="170" t="str">
        <f t="shared" si="162"/>
        <v>0.950529108437107-0.107734368850358i</v>
      </c>
    </row>
    <row r="299" spans="7:44">
      <c r="G299" s="688">
        <v>20185</v>
      </c>
      <c r="H299" s="676">
        <f t="shared" si="154"/>
        <v>20.184999999999999</v>
      </c>
      <c r="I299" s="677">
        <f t="shared" si="134"/>
        <v>248.82304784272171</v>
      </c>
      <c r="J299" s="678">
        <f t="shared" si="135"/>
        <v>1.5667773956683675</v>
      </c>
      <c r="K299" s="678">
        <f t="shared" si="136"/>
        <v>1.0017003324581515</v>
      </c>
      <c r="L299" s="679">
        <f t="shared" si="137"/>
        <v>5.82739508414125E-2</v>
      </c>
      <c r="M299" s="678">
        <f t="shared" si="138"/>
        <v>1.0058545996442361</v>
      </c>
      <c r="N299" s="679">
        <f t="shared" si="139"/>
        <v>-0.10794607920809034</v>
      </c>
      <c r="O299" s="677">
        <f t="shared" si="140"/>
        <v>228286.97150709026</v>
      </c>
      <c r="P299" s="680">
        <f t="shared" si="141"/>
        <v>1.5707919463434263</v>
      </c>
      <c r="Q299" s="689">
        <f t="shared" si="163"/>
        <v>108.06046031738371</v>
      </c>
      <c r="R299" s="690">
        <f t="shared" si="164"/>
        <v>1.5615421160446532</v>
      </c>
      <c r="S299" s="677">
        <f t="shared" si="142"/>
        <v>1.3101359487617934</v>
      </c>
      <c r="T299" s="680">
        <f t="shared" si="143"/>
        <v>0.70242212849355434</v>
      </c>
      <c r="U299" s="681">
        <f t="shared" si="155"/>
        <v>0.94029452868437025</v>
      </c>
      <c r="V299" s="682">
        <f t="shared" si="156"/>
        <v>-0.42973206175000289</v>
      </c>
      <c r="W299" s="683">
        <f t="shared" si="144"/>
        <v>-11.215685838347596</v>
      </c>
      <c r="X299" s="684">
        <f t="shared" si="145"/>
        <v>-158.01336880003447</v>
      </c>
      <c r="Y299" s="687">
        <f t="shared" si="146"/>
        <v>21.98663119996553</v>
      </c>
      <c r="AA299" s="170">
        <f t="shared" si="147"/>
        <v>20185</v>
      </c>
      <c r="AB299" s="170">
        <f t="shared" si="148"/>
        <v>407434225</v>
      </c>
      <c r="AD299" s="686">
        <f t="shared" si="149"/>
        <v>36.262836564335331</v>
      </c>
      <c r="AE299" s="687">
        <f t="shared" si="150"/>
        <v>-40.775799683201733</v>
      </c>
      <c r="AG299" s="686">
        <f t="shared" si="151"/>
        <v>8.6829838064717322</v>
      </c>
      <c r="AH299" s="687">
        <f t="shared" si="152"/>
        <v>-67.993902141102737</v>
      </c>
      <c r="AJ299" s="170">
        <f t="shared" si="153"/>
        <v>0</v>
      </c>
      <c r="AK299" s="170">
        <f t="shared" si="165"/>
        <v>0</v>
      </c>
      <c r="AM299" s="170" t="str">
        <f t="shared" si="157"/>
        <v>0.193578295653281+0.5913408786466i</v>
      </c>
      <c r="AN299" s="170" t="str">
        <f t="shared" si="158"/>
        <v>0.632720580285278i</v>
      </c>
      <c r="AO299" s="170" t="str">
        <f t="shared" si="159"/>
        <v>0.934600354519809-0.305945944679089i</v>
      </c>
      <c r="AP299" s="170" t="str">
        <f t="shared" si="160"/>
        <v>0.13440361739112-0.0985568131077667i</v>
      </c>
      <c r="AQ299" s="170" t="str">
        <f t="shared" si="161"/>
        <v>0.86559638260888+0.0985568131077667i</v>
      </c>
      <c r="AR299" s="170" t="str">
        <f t="shared" si="162"/>
        <v>0.950026049584689-0.108169975865918i</v>
      </c>
    </row>
    <row r="300" spans="7:44">
      <c r="G300" s="688">
        <v>20301</v>
      </c>
      <c r="H300" s="676">
        <f t="shared" si="154"/>
        <v>20.300999999999998</v>
      </c>
      <c r="I300" s="677">
        <f t="shared" si="134"/>
        <v>250.25297148339041</v>
      </c>
      <c r="J300" s="678">
        <f t="shared" si="135"/>
        <v>1.5668003596126903</v>
      </c>
      <c r="K300" s="678">
        <f t="shared" si="136"/>
        <v>1.0017199148709139</v>
      </c>
      <c r="L300" s="679">
        <f t="shared" si="137"/>
        <v>5.8608077841150352E-2</v>
      </c>
      <c r="M300" s="678">
        <f t="shared" si="138"/>
        <v>1.0059218852668965</v>
      </c>
      <c r="N300" s="679">
        <f t="shared" si="139"/>
        <v>-0.10856157930419344</v>
      </c>
      <c r="O300" s="677">
        <f t="shared" si="140"/>
        <v>229598.90059771773</v>
      </c>
      <c r="P300" s="680">
        <f t="shared" si="141"/>
        <v>1.5707919713733445</v>
      </c>
      <c r="Q300" s="689">
        <f t="shared" si="163"/>
        <v>108.68141364858737</v>
      </c>
      <c r="R300" s="690">
        <f t="shared" si="164"/>
        <v>1.5615949916509293</v>
      </c>
      <c r="S300" s="677">
        <f t="shared" si="142"/>
        <v>1.3132838942354439</v>
      </c>
      <c r="T300" s="680">
        <f t="shared" si="143"/>
        <v>0.70524928373314755</v>
      </c>
      <c r="U300" s="681">
        <f t="shared" si="155"/>
        <v>0.9396678467069729</v>
      </c>
      <c r="V300" s="682">
        <f t="shared" si="156"/>
        <v>-0.43205986624797704</v>
      </c>
      <c r="W300" s="683">
        <f t="shared" si="144"/>
        <v>-11.29134795901021</v>
      </c>
      <c r="X300" s="684">
        <f t="shared" si="145"/>
        <v>-158.32313534992167</v>
      </c>
      <c r="Y300" s="687">
        <f t="shared" si="146"/>
        <v>21.676864650078329</v>
      </c>
      <c r="AA300" s="170">
        <f t="shared" si="147"/>
        <v>20301</v>
      </c>
      <c r="AB300" s="170">
        <f t="shared" si="148"/>
        <v>412130601</v>
      </c>
      <c r="AD300" s="686">
        <f t="shared" si="149"/>
        <v>36.241987229508482</v>
      </c>
      <c r="AE300" s="687">
        <f t="shared" si="150"/>
        <v>-40.934755631670228</v>
      </c>
      <c r="AG300" s="686">
        <f t="shared" si="151"/>
        <v>8.6397527219864045</v>
      </c>
      <c r="AH300" s="687">
        <f t="shared" si="152"/>
        <v>-67.877965995685685</v>
      </c>
      <c r="AJ300" s="170">
        <f t="shared" si="153"/>
        <v>0</v>
      </c>
      <c r="AK300" s="170">
        <f t="shared" si="165"/>
        <v>0</v>
      </c>
      <c r="AM300" s="170" t="str">
        <f t="shared" si="157"/>
        <v>0.19573382317543+0.59426922923536i</v>
      </c>
      <c r="AN300" s="170" t="str">
        <f t="shared" si="158"/>
        <v>0.636356725309459i</v>
      </c>
      <c r="AO300" s="170" t="str">
        <f t="shared" si="159"/>
        <v>0.933861787893211-0.307585062576725i</v>
      </c>
      <c r="AP300" s="170" t="str">
        <f t="shared" si="160"/>
        <v>0.134044362804095-0.0990448715392267i</v>
      </c>
      <c r="AQ300" s="170" t="str">
        <f t="shared" si="161"/>
        <v>0.865955637195905+0.0990448715392267i</v>
      </c>
      <c r="AR300" s="170" t="str">
        <f t="shared" si="162"/>
        <v>0.949521443969896-0.108602826059626i</v>
      </c>
    </row>
    <row r="301" spans="7:44">
      <c r="G301" s="688">
        <v>20417</v>
      </c>
      <c r="H301" s="676">
        <f t="shared" si="154"/>
        <v>20.417000000000002</v>
      </c>
      <c r="I301" s="677">
        <f t="shared" si="134"/>
        <v>251.68289525452866</v>
      </c>
      <c r="J301" s="678">
        <f t="shared" si="135"/>
        <v>1.5668230626200246</v>
      </c>
      <c r="K301" s="678">
        <f t="shared" si="136"/>
        <v>1.0017396091121613</v>
      </c>
      <c r="L301" s="679">
        <f t="shared" si="137"/>
        <v>5.8942191740287073E-2</v>
      </c>
      <c r="M301" s="678">
        <f t="shared" si="138"/>
        <v>1.0059895519223125</v>
      </c>
      <c r="N301" s="679">
        <f t="shared" si="139"/>
        <v>-0.10917699683169485</v>
      </c>
      <c r="O301" s="677">
        <f t="shared" si="140"/>
        <v>230910.82968834537</v>
      </c>
      <c r="P301" s="680">
        <f t="shared" si="141"/>
        <v>1.5707919961188459</v>
      </c>
      <c r="Q301" s="689">
        <f t="shared" si="163"/>
        <v>109.30236728019329</v>
      </c>
      <c r="R301" s="690">
        <f t="shared" si="164"/>
        <v>1.5616472664780523</v>
      </c>
      <c r="S301" s="677">
        <f t="shared" si="142"/>
        <v>1.3164422862835534</v>
      </c>
      <c r="T301" s="680">
        <f t="shared" si="143"/>
        <v>0.70806289561993796</v>
      </c>
      <c r="U301" s="681">
        <f t="shared" si="155"/>
        <v>0.93903875787001934</v>
      </c>
      <c r="V301" s="682">
        <f t="shared" si="156"/>
        <v>-0.43438546473889761</v>
      </c>
      <c r="W301" s="683">
        <f t="shared" si="144"/>
        <v>-11.366767353269211</v>
      </c>
      <c r="X301" s="684">
        <f t="shared" si="145"/>
        <v>-158.63201500296069</v>
      </c>
      <c r="Y301" s="687">
        <f t="shared" si="146"/>
        <v>21.367984997039315</v>
      </c>
      <c r="AA301" s="170">
        <f t="shared" si="147"/>
        <v>20417</v>
      </c>
      <c r="AB301" s="170">
        <f t="shared" si="148"/>
        <v>416853889</v>
      </c>
      <c r="AD301" s="686">
        <f t="shared" si="149"/>
        <v>36.221118945906461</v>
      </c>
      <c r="AE301" s="687">
        <f t="shared" si="150"/>
        <v>-41.09297000899582</v>
      </c>
      <c r="AG301" s="686">
        <f t="shared" si="151"/>
        <v>8.5968355650318937</v>
      </c>
      <c r="AH301" s="687">
        <f t="shared" si="152"/>
        <v>-67.762137314351122</v>
      </c>
      <c r="AJ301" s="170">
        <f t="shared" si="153"/>
        <v>0</v>
      </c>
      <c r="AK301" s="170">
        <f t="shared" si="165"/>
        <v>0</v>
      </c>
      <c r="AM301" s="170" t="str">
        <f t="shared" si="157"/>
        <v>0.197899984331845+0.597189722672071i</v>
      </c>
      <c r="AN301" s="170" t="str">
        <f t="shared" si="158"/>
        <v>0.63999287033364i</v>
      </c>
      <c r="AO301" s="170" t="str">
        <f t="shared" si="159"/>
        <v>0.933119336721275-0.309222170285547i</v>
      </c>
      <c r="AP301" s="170" t="str">
        <f t="shared" si="160"/>
        <v>0.133683335944693-0.0995316204453452i</v>
      </c>
      <c r="AQ301" s="170" t="str">
        <f t="shared" si="161"/>
        <v>0.866316664055307+0.0995316204453452i</v>
      </c>
      <c r="AR301" s="170" t="str">
        <f t="shared" si="162"/>
        <v>0.949015309705364-0.109032915470256i</v>
      </c>
    </row>
    <row r="302" spans="7:44">
      <c r="G302" s="688">
        <v>20536</v>
      </c>
      <c r="H302" s="676">
        <f t="shared" si="154"/>
        <v>20.536000000000001</v>
      </c>
      <c r="I302" s="677">
        <f t="shared" si="134"/>
        <v>253.1497999461088</v>
      </c>
      <c r="J302" s="678">
        <f t="shared" si="135"/>
        <v>1.5668460862616196</v>
      </c>
      <c r="K302" s="678">
        <f t="shared" si="136"/>
        <v>1.0017599288843784</v>
      </c>
      <c r="L302" s="679">
        <f t="shared" si="137"/>
        <v>5.9284932825559966E-2</v>
      </c>
      <c r="M302" s="678">
        <f t="shared" si="138"/>
        <v>1.0060593644384788</v>
      </c>
      <c r="N302" s="679">
        <f t="shared" si="139"/>
        <v>-0.10980824405936121</v>
      </c>
      <c r="O302" s="677">
        <f t="shared" si="140"/>
        <v>232256.68797959283</v>
      </c>
      <c r="P302" s="680">
        <f t="shared" si="141"/>
        <v>1.5707920212138229</v>
      </c>
      <c r="Q302" s="689">
        <f t="shared" si="163"/>
        <v>109.93938036426562</v>
      </c>
      <c r="R302" s="690">
        <f t="shared" si="164"/>
        <v>1.5617002796232757</v>
      </c>
      <c r="S302" s="677">
        <f t="shared" si="142"/>
        <v>1.3196931375947358</v>
      </c>
      <c r="T302" s="680">
        <f t="shared" si="143"/>
        <v>0.71093525546191694</v>
      </c>
      <c r="U302" s="681">
        <f t="shared" si="155"/>
        <v>0.93839091571527022</v>
      </c>
      <c r="V302" s="682">
        <f t="shared" si="156"/>
        <v>-0.43676890874405033</v>
      </c>
      <c r="W302" s="683">
        <f t="shared" si="144"/>
        <v>-11.443887502247103</v>
      </c>
      <c r="X302" s="684">
        <f t="shared" si="145"/>
        <v>-158.9479637318824</v>
      </c>
      <c r="Y302" s="687">
        <f t="shared" si="146"/>
        <v>21.052036268117604</v>
      </c>
      <c r="AA302" s="170">
        <f t="shared" si="147"/>
        <v>20536</v>
      </c>
      <c r="AB302" s="170">
        <f t="shared" si="148"/>
        <v>421727296</v>
      </c>
      <c r="AD302" s="686">
        <f t="shared" si="149"/>
        <v>36.199692059683485</v>
      </c>
      <c r="AE302" s="687">
        <f t="shared" si="150"/>
        <v>-41.254508113724896</v>
      </c>
      <c r="AG302" s="686">
        <f t="shared" si="151"/>
        <v>8.5531312161874151</v>
      </c>
      <c r="AH302" s="687">
        <f t="shared" si="152"/>
        <v>-67.643425373829629</v>
      </c>
      <c r="AJ302" s="170">
        <f t="shared" si="153"/>
        <v>0</v>
      </c>
      <c r="AK302" s="170">
        <f t="shared" si="165"/>
        <v>0</v>
      </c>
      <c r="AM302" s="170" t="str">
        <f t="shared" si="157"/>
        <v>0.200133186581456+0.600177541059031i</v>
      </c>
      <c r="AN302" s="170" t="str">
        <f t="shared" si="158"/>
        <v>0.643723053591205i</v>
      </c>
      <c r="AO302" s="170" t="str">
        <f t="shared" si="159"/>
        <v>0.932353653812393-0.310899517214666i</v>
      </c>
      <c r="AP302" s="170" t="str">
        <f t="shared" si="160"/>
        <v>0.133311135569757-0.100029590176505i</v>
      </c>
      <c r="AQ302" s="170" t="str">
        <f t="shared" si="161"/>
        <v>0.866688864430243+0.100029590176505i</v>
      </c>
      <c r="AR302" s="170" t="str">
        <f t="shared" si="162"/>
        <v>0.948494516263806-0.109471255072491i</v>
      </c>
    </row>
    <row r="303" spans="7:44">
      <c r="G303" s="688">
        <v>20655</v>
      </c>
      <c r="H303" s="676">
        <f t="shared" si="154"/>
        <v>20.655000000000001</v>
      </c>
      <c r="I303" s="677">
        <f t="shared" si="134"/>
        <v>254.61670477033445</v>
      </c>
      <c r="J303" s="678">
        <f t="shared" si="135"/>
        <v>1.5668688446143408</v>
      </c>
      <c r="K303" s="678">
        <f t="shared" si="136"/>
        <v>1.0017803663300064</v>
      </c>
      <c r="L303" s="679">
        <f t="shared" si="137"/>
        <v>5.962765996648528E-2</v>
      </c>
      <c r="M303" s="678">
        <f t="shared" si="138"/>
        <v>1.0061295777864749</v>
      </c>
      <c r="N303" s="679">
        <f t="shared" si="139"/>
        <v>-0.11043940343457571</v>
      </c>
      <c r="O303" s="677">
        <f t="shared" si="140"/>
        <v>233602.54627084042</v>
      </c>
      <c r="P303" s="680">
        <f t="shared" si="141"/>
        <v>1.5707920460196398</v>
      </c>
      <c r="Q303" s="689">
        <f t="shared" si="163"/>
        <v>110.57639375375095</v>
      </c>
      <c r="R303" s="690">
        <f t="shared" si="164"/>
        <v>1.5617526819676921</v>
      </c>
      <c r="S303" s="677">
        <f t="shared" si="142"/>
        <v>1.3229548234075863</v>
      </c>
      <c r="T303" s="680">
        <f t="shared" si="143"/>
        <v>0.71379347543997951</v>
      </c>
      <c r="U303" s="681">
        <f t="shared" si="155"/>
        <v>0.93774057570068992</v>
      </c>
      <c r="V303" s="682">
        <f t="shared" si="156"/>
        <v>-0.43915001710745638</v>
      </c>
      <c r="W303" s="683">
        <f t="shared" si="144"/>
        <v>-11.520757196991344</v>
      </c>
      <c r="X303" s="684">
        <f t="shared" si="145"/>
        <v>-159.26298402904862</v>
      </c>
      <c r="Y303" s="687">
        <f t="shared" si="146"/>
        <v>20.737015970951376</v>
      </c>
      <c r="AA303" s="170">
        <f t="shared" si="147"/>
        <v>20655</v>
      </c>
      <c r="AB303" s="170">
        <f t="shared" si="148"/>
        <v>426629025</v>
      </c>
      <c r="AD303" s="686">
        <f t="shared" si="149"/>
        <v>36.178246817865791</v>
      </c>
      <c r="AE303" s="687">
        <f t="shared" si="150"/>
        <v>-41.415271043668533</v>
      </c>
      <c r="AG303" s="686">
        <f t="shared" si="151"/>
        <v>8.5097502300348236</v>
      </c>
      <c r="AH303" s="687">
        <f t="shared" si="152"/>
        <v>-67.524827821167534</v>
      </c>
      <c r="AJ303" s="170">
        <f t="shared" si="153"/>
        <v>0</v>
      </c>
      <c r="AK303" s="170">
        <f t="shared" si="165"/>
        <v>0</v>
      </c>
      <c r="AM303" s="170" t="str">
        <f t="shared" si="157"/>
        <v>0.202377518378677+0.603157008425039i</v>
      </c>
      <c r="AN303" s="170" t="str">
        <f t="shared" si="158"/>
        <v>0.64745323684877i</v>
      </c>
      <c r="AO303" s="170" t="str">
        <f t="shared" si="159"/>
        <v>0.931583895326053-0.312574726421435i</v>
      </c>
      <c r="AP303" s="170" t="str">
        <f t="shared" si="160"/>
        <v>0.13293708027022-0.10052616807084i</v>
      </c>
      <c r="AQ303" s="170" t="str">
        <f t="shared" si="161"/>
        <v>0.86706291972978+0.10052616807084i</v>
      </c>
      <c r="AR303" s="170" t="str">
        <f t="shared" si="162"/>
        <v>0.94797215263767-0.10990668125011i</v>
      </c>
    </row>
    <row r="304" spans="7:44">
      <c r="G304" s="688">
        <v>20774</v>
      </c>
      <c r="H304" s="676">
        <f t="shared" si="154"/>
        <v>20.774000000000001</v>
      </c>
      <c r="I304" s="677">
        <f t="shared" si="134"/>
        <v>256.08360972492608</v>
      </c>
      <c r="J304" s="678">
        <f t="shared" si="135"/>
        <v>1.5668913422370689</v>
      </c>
      <c r="K304" s="678">
        <f t="shared" si="136"/>
        <v>1.0018009214418435</v>
      </c>
      <c r="L304" s="679">
        <f t="shared" si="137"/>
        <v>5.9970373083404166E-2</v>
      </c>
      <c r="M304" s="678">
        <f t="shared" si="138"/>
        <v>1.00620019188239</v>
      </c>
      <c r="N304" s="679">
        <f t="shared" si="139"/>
        <v>-0.11107047447292244</v>
      </c>
      <c r="O304" s="677">
        <f t="shared" si="140"/>
        <v>234948.40456208817</v>
      </c>
      <c r="P304" s="680">
        <f t="shared" si="141"/>
        <v>1.5707920705412657</v>
      </c>
      <c r="Q304" s="689">
        <f t="shared" si="163"/>
        <v>111.21340744340125</v>
      </c>
      <c r="R304" s="690">
        <f t="shared" si="164"/>
        <v>1.5618044840067373</v>
      </c>
      <c r="S304" s="677">
        <f t="shared" si="142"/>
        <v>1.3262272637839063</v>
      </c>
      <c r="T304" s="680">
        <f t="shared" si="143"/>
        <v>0.71663761335156284</v>
      </c>
      <c r="U304" s="681">
        <f t="shared" si="155"/>
        <v>0.93708775560364832</v>
      </c>
      <c r="V304" s="682">
        <f t="shared" si="156"/>
        <v>-0.44152878284145641</v>
      </c>
      <c r="W304" s="683">
        <f t="shared" si="144"/>
        <v>-11.59737889097107</v>
      </c>
      <c r="X304" s="684">
        <f t="shared" si="145"/>
        <v>-159.57707844259957</v>
      </c>
      <c r="Y304" s="687">
        <f t="shared" si="146"/>
        <v>20.422921557400429</v>
      </c>
      <c r="AA304" s="170">
        <f t="shared" si="147"/>
        <v>20774</v>
      </c>
      <c r="AB304" s="170">
        <f t="shared" si="148"/>
        <v>431559076</v>
      </c>
      <c r="AD304" s="686">
        <f t="shared" si="149"/>
        <v>36.156784008472883</v>
      </c>
      <c r="AE304" s="687">
        <f t="shared" si="150"/>
        <v>-41.575261509316427</v>
      </c>
      <c r="AG304" s="686">
        <f t="shared" si="151"/>
        <v>8.4666891433122728</v>
      </c>
      <c r="AH304" s="687">
        <f t="shared" si="152"/>
        <v>-67.406345294741982</v>
      </c>
      <c r="AJ304" s="170">
        <f t="shared" si="153"/>
        <v>0</v>
      </c>
      <c r="AK304" s="170">
        <f t="shared" si="165"/>
        <v>0</v>
      </c>
      <c r="AM304" s="170" t="str">
        <f t="shared" si="157"/>
        <v>0.204632948495311+0.606128083313039i</v>
      </c>
      <c r="AN304" s="170" t="str">
        <f t="shared" si="158"/>
        <v>0.651183420106335i</v>
      </c>
      <c r="AO304" s="170" t="str">
        <f t="shared" si="159"/>
        <v>0.930810067636644-0.314247786686423i</v>
      </c>
      <c r="AP304" s="170" t="str">
        <f t="shared" si="160"/>
        <v>0.132561175250782-0.10102134721884i</v>
      </c>
      <c r="AQ304" s="170" t="str">
        <f t="shared" si="161"/>
        <v>0.867438824749218+0.10102134721884i</v>
      </c>
      <c r="AR304" s="170" t="str">
        <f t="shared" si="162"/>
        <v>0.94744823831746-0.110339190181645i</v>
      </c>
    </row>
    <row r="305" spans="7:44">
      <c r="G305" s="688">
        <v>20893</v>
      </c>
      <c r="H305" s="676">
        <f t="shared" si="154"/>
        <v>20.893000000000001</v>
      </c>
      <c r="I305" s="677">
        <f t="shared" si="134"/>
        <v>257.55051480765616</v>
      </c>
      <c r="J305" s="678">
        <f t="shared" si="135"/>
        <v>1.5669135835848236</v>
      </c>
      <c r="K305" s="678">
        <f t="shared" si="136"/>
        <v>1.0018215942126472</v>
      </c>
      <c r="L305" s="679">
        <f t="shared" si="137"/>
        <v>6.0313072096677446E-2</v>
      </c>
      <c r="M305" s="678">
        <f t="shared" si="138"/>
        <v>1.0062712066418575</v>
      </c>
      <c r="N305" s="679">
        <f t="shared" si="139"/>
        <v>-0.11170145669040248</v>
      </c>
      <c r="O305" s="677">
        <f t="shared" si="140"/>
        <v>236294.26285333605</v>
      </c>
      <c r="P305" s="680">
        <f t="shared" si="141"/>
        <v>1.5707920947835565</v>
      </c>
      <c r="Q305" s="689">
        <f t="shared" si="163"/>
        <v>111.850421428088</v>
      </c>
      <c r="R305" s="690">
        <f t="shared" si="164"/>
        <v>1.561855695996764</v>
      </c>
      <c r="S305" s="677">
        <f t="shared" si="142"/>
        <v>1.3295103793102507</v>
      </c>
      <c r="T305" s="680">
        <f t="shared" si="143"/>
        <v>0.71946772733729569</v>
      </c>
      <c r="U305" s="681">
        <f t="shared" si="155"/>
        <v>0.93643247320150835</v>
      </c>
      <c r="V305" s="682">
        <f t="shared" si="156"/>
        <v>-0.4439051990456222</v>
      </c>
      <c r="W305" s="683">
        <f t="shared" si="144"/>
        <v>-11.67375499019029</v>
      </c>
      <c r="X305" s="684">
        <f t="shared" si="145"/>
        <v>-159.89024955310057</v>
      </c>
      <c r="Y305" s="687">
        <f t="shared" si="146"/>
        <v>20.109750446899426</v>
      </c>
      <c r="AA305" s="170">
        <f t="shared" si="147"/>
        <v>20893</v>
      </c>
      <c r="AB305" s="170">
        <f t="shared" si="148"/>
        <v>436517449</v>
      </c>
      <c r="AD305" s="686">
        <f t="shared" si="149"/>
        <v>36.135304409451557</v>
      </c>
      <c r="AE305" s="687">
        <f t="shared" si="150"/>
        <v>-41.734482254513757</v>
      </c>
      <c r="AG305" s="686">
        <f t="shared" si="151"/>
        <v>8.4239445500355696</v>
      </c>
      <c r="AH305" s="687">
        <f t="shared" si="152"/>
        <v>-67.287978422004116</v>
      </c>
      <c r="AJ305" s="170">
        <f t="shared" si="153"/>
        <v>0</v>
      </c>
      <c r="AK305" s="170">
        <f t="shared" si="165"/>
        <v>0</v>
      </c>
      <c r="AM305" s="170" t="str">
        <f t="shared" si="157"/>
        <v>0.206899445548738+0.609090724382748i</v>
      </c>
      <c r="AN305" s="170" t="str">
        <f t="shared" si="158"/>
        <v>0.6549136033639i</v>
      </c>
      <c r="AO305" s="170" t="str">
        <f t="shared" si="159"/>
        <v>0.930032177151632-0.315918686810015i</v>
      </c>
      <c r="AP305" s="170" t="str">
        <f t="shared" si="160"/>
        <v>0.132183425741877-0.101515120730458i</v>
      </c>
      <c r="AQ305" s="170" t="str">
        <f t="shared" si="161"/>
        <v>0.867816574258123+0.101515120730458i</v>
      </c>
      <c r="AR305" s="170" t="str">
        <f t="shared" si="162"/>
        <v>0.946922792769406-0.110768778197842i</v>
      </c>
    </row>
    <row r="306" spans="7:44">
      <c r="G306" s="688">
        <v>21014.75</v>
      </c>
      <c r="H306" s="676">
        <f t="shared" si="154"/>
        <v>21.014749999999999</v>
      </c>
      <c r="I306" s="677">
        <f t="shared" si="134"/>
        <v>259.05131908776843</v>
      </c>
      <c r="J306" s="678">
        <f t="shared" si="135"/>
        <v>1.5669360782267276</v>
      </c>
      <c r="K306" s="678">
        <f t="shared" si="136"/>
        <v>1.0018428664768511</v>
      </c>
      <c r="L306" s="679">
        <f t="shared" si="137"/>
        <v>6.0663675945629797E-2</v>
      </c>
      <c r="M306" s="678">
        <f t="shared" si="138"/>
        <v>1.0063442770693296</v>
      </c>
      <c r="N306" s="679">
        <f t="shared" si="139"/>
        <v>-0.11234692800193269</v>
      </c>
      <c r="O306" s="677">
        <f t="shared" si="140"/>
        <v>237671.22291181877</v>
      </c>
      <c r="P306" s="680">
        <f t="shared" si="141"/>
        <v>1.5707921193019247</v>
      </c>
      <c r="Q306" s="689">
        <f t="shared" si="163"/>
        <v>112.50215662430116</v>
      </c>
      <c r="R306" s="690">
        <f t="shared" si="164"/>
        <v>1.5619074912499289</v>
      </c>
      <c r="S306" s="677">
        <f t="shared" si="142"/>
        <v>1.3328803309256758</v>
      </c>
      <c r="T306" s="680">
        <f t="shared" si="143"/>
        <v>0.72234879030045152</v>
      </c>
      <c r="U306" s="681">
        <f t="shared" si="155"/>
        <v>0.93575951794199252</v>
      </c>
      <c r="V306" s="682">
        <f t="shared" si="156"/>
        <v>-0.44633409372487781</v>
      </c>
      <c r="W306" s="683">
        <f t="shared" si="144"/>
        <v>-11.751644370449569</v>
      </c>
      <c r="X306" s="684">
        <f t="shared" si="145"/>
        <v>-160.20970498032707</v>
      </c>
      <c r="Y306" s="687">
        <f t="shared" si="146"/>
        <v>19.790295019672925</v>
      </c>
      <c r="AA306" s="170">
        <f t="shared" si="147"/>
        <v>21014.75</v>
      </c>
      <c r="AB306" s="170">
        <f t="shared" si="148"/>
        <v>441619717.5625</v>
      </c>
      <c r="AD306" s="686">
        <f t="shared" si="149"/>
        <v>36.113311857862968</v>
      </c>
      <c r="AE306" s="687">
        <f t="shared" si="150"/>
        <v>-41.896588758393136</v>
      </c>
      <c r="AG306" s="686">
        <f t="shared" si="151"/>
        <v>8.3805362169783564</v>
      </c>
      <c r="AH306" s="687">
        <f t="shared" si="152"/>
        <v>-67.166996517026945</v>
      </c>
      <c r="AJ306" s="170">
        <f t="shared" si="153"/>
        <v>0</v>
      </c>
      <c r="AK306" s="170">
        <f t="shared" si="165"/>
        <v>0</v>
      </c>
      <c r="AM306" s="170" t="str">
        <f t="shared" si="157"/>
        <v>0.20922974025904+0.612113058437096i</v>
      </c>
      <c r="AN306" s="170" t="str">
        <f t="shared" si="158"/>
        <v>0.6587299883354i</v>
      </c>
      <c r="AO306" s="170" t="str">
        <f t="shared" si="159"/>
        <v>0.929232112210188-0.317625952915488i</v>
      </c>
      <c r="AP306" s="170" t="str">
        <f t="shared" si="160"/>
        <v>0.13179504329016-0.102018843072849i</v>
      </c>
      <c r="AQ306" s="170" t="str">
        <f t="shared" si="161"/>
        <v>0.86820495670984+0.102018843072849i</v>
      </c>
      <c r="AR306" s="170" t="str">
        <f t="shared" si="162"/>
        <v>0.946383640131709-0.111205267054903i</v>
      </c>
    </row>
    <row r="307" spans="7:44">
      <c r="G307" s="688">
        <v>21136.5</v>
      </c>
      <c r="H307" s="676">
        <f t="shared" si="154"/>
        <v>21.136500000000002</v>
      </c>
      <c r="I307" s="677">
        <f t="shared" si="134"/>
        <v>260.55212349745284</v>
      </c>
      <c r="J307" s="678">
        <f t="shared" si="135"/>
        <v>1.5669583137261933</v>
      </c>
      <c r="K307" s="678">
        <f t="shared" si="136"/>
        <v>1.0018642618854059</v>
      </c>
      <c r="L307" s="679">
        <f t="shared" si="137"/>
        <v>6.1014264862967668E-2</v>
      </c>
      <c r="M307" s="678">
        <f t="shared" si="138"/>
        <v>1.0064177667122678</v>
      </c>
      <c r="N307" s="679">
        <f t="shared" si="139"/>
        <v>-0.11299230531638026</v>
      </c>
      <c r="O307" s="677">
        <f t="shared" si="140"/>
        <v>239048.18297030166</v>
      </c>
      <c r="P307" s="680">
        <f t="shared" si="141"/>
        <v>1.5707921435378327</v>
      </c>
      <c r="Q307" s="689">
        <f t="shared" si="163"/>
        <v>113.15389211885255</v>
      </c>
      <c r="R307" s="690">
        <f t="shared" si="164"/>
        <v>1.561958689850224</v>
      </c>
      <c r="S307" s="677">
        <f t="shared" si="142"/>
        <v>1.3362612902894158</v>
      </c>
      <c r="T307" s="680">
        <f t="shared" si="143"/>
        <v>0.72521529783710614</v>
      </c>
      <c r="U307" s="681">
        <f t="shared" si="155"/>
        <v>0.93508402290078718</v>
      </c>
      <c r="V307" s="682">
        <f t="shared" si="156"/>
        <v>-0.44876051469391998</v>
      </c>
      <c r="W307" s="683">
        <f t="shared" si="144"/>
        <v>-11.829281622143098</v>
      </c>
      <c r="X307" s="684">
        <f t="shared" si="145"/>
        <v>-160.52819950151184</v>
      </c>
      <c r="Y307" s="687">
        <f t="shared" si="146"/>
        <v>19.471800498488165</v>
      </c>
      <c r="AA307" s="170">
        <f t="shared" si="147"/>
        <v>21136.5</v>
      </c>
      <c r="AB307" s="170">
        <f t="shared" si="148"/>
        <v>446751632.25</v>
      </c>
      <c r="AD307" s="686">
        <f t="shared" si="149"/>
        <v>36.091303347139529</v>
      </c>
      <c r="AE307" s="687">
        <f t="shared" si="150"/>
        <v>-42.057895467271557</v>
      </c>
      <c r="AG307" s="686">
        <f t="shared" si="151"/>
        <v>8.3374521394306171</v>
      </c>
      <c r="AH307" s="687">
        <f t="shared" si="152"/>
        <v>-67.046136967319242</v>
      </c>
      <c r="AJ307" s="170">
        <f t="shared" si="153"/>
        <v>0</v>
      </c>
      <c r="AK307" s="170">
        <f t="shared" si="165"/>
        <v>0</v>
      </c>
      <c r="AM307" s="170" t="str">
        <f t="shared" si="157"/>
        <v>0.211571552361496+0.61512647720151i</v>
      </c>
      <c r="AN307" s="170" t="str">
        <f t="shared" si="158"/>
        <v>0.6625463733069i</v>
      </c>
      <c r="AO307" s="170" t="str">
        <f t="shared" si="159"/>
        <v>0.928427808202001-0.319330934234083i</v>
      </c>
      <c r="AP307" s="170" t="str">
        <f t="shared" si="160"/>
        <v>0.131404741273084-0.102521079533585i</v>
      </c>
      <c r="AQ307" s="170" t="str">
        <f t="shared" si="161"/>
        <v>0.868595258726916+0.102521079533585i</v>
      </c>
      <c r="AR307" s="170" t="str">
        <f t="shared" si="162"/>
        <v>0.945842925817539-0.111638691150749i</v>
      </c>
    </row>
    <row r="308" spans="7:44">
      <c r="G308" s="688">
        <v>21258.25</v>
      </c>
      <c r="H308" s="676">
        <f t="shared" si="154"/>
        <v>21.25825</v>
      </c>
      <c r="I308" s="677">
        <f t="shared" si="134"/>
        <v>262.05292803448322</v>
      </c>
      <c r="J308" s="678">
        <f t="shared" si="135"/>
        <v>1.5669802945356059</v>
      </c>
      <c r="K308" s="678">
        <f t="shared" si="136"/>
        <v>1.0018857804304229</v>
      </c>
      <c r="L308" s="679">
        <f t="shared" si="137"/>
        <v>6.1364838763466871E-2</v>
      </c>
      <c r="M308" s="678">
        <f t="shared" si="138"/>
        <v>1.006491675478844</v>
      </c>
      <c r="N308" s="679">
        <f t="shared" si="139"/>
        <v>-0.11363758811677946</v>
      </c>
      <c r="O308" s="677">
        <f t="shared" si="140"/>
        <v>240425.14302878469</v>
      </c>
      <c r="P308" s="680">
        <f t="shared" si="141"/>
        <v>1.5707921674961336</v>
      </c>
      <c r="Q308" s="689">
        <f t="shared" si="163"/>
        <v>113.80562790661665</v>
      </c>
      <c r="R308" s="690">
        <f t="shared" si="164"/>
        <v>1.5620093020480144</v>
      </c>
      <c r="S308" s="677">
        <f t="shared" si="142"/>
        <v>1.3396531740588205</v>
      </c>
      <c r="T308" s="680">
        <f t="shared" si="143"/>
        <v>0.72806731322084051</v>
      </c>
      <c r="U308" s="681">
        <f t="shared" si="155"/>
        <v>0.93440600710933841</v>
      </c>
      <c r="V308" s="682">
        <f t="shared" si="156"/>
        <v>-0.45118445484550129</v>
      </c>
      <c r="W308" s="683">
        <f t="shared" si="144"/>
        <v>-11.906669175705476</v>
      </c>
      <c r="X308" s="684">
        <f t="shared" si="145"/>
        <v>-160.84573597809006</v>
      </c>
      <c r="Y308" s="687">
        <f t="shared" si="146"/>
        <v>19.154264021909938</v>
      </c>
      <c r="AA308" s="170">
        <f t="shared" si="147"/>
        <v>21258.25</v>
      </c>
      <c r="AB308" s="170">
        <f t="shared" si="148"/>
        <v>451913193.0625</v>
      </c>
      <c r="AD308" s="686">
        <f t="shared" si="149"/>
        <v>36.06927967811351</v>
      </c>
      <c r="AE308" s="687">
        <f t="shared" si="150"/>
        <v>-42.218405419433587</v>
      </c>
      <c r="AG308" s="686">
        <f t="shared" si="151"/>
        <v>8.294688847571539</v>
      </c>
      <c r="AH308" s="687">
        <f t="shared" si="152"/>
        <v>-66.925400410462217</v>
      </c>
      <c r="AJ308" s="170">
        <f t="shared" si="153"/>
        <v>0</v>
      </c>
      <c r="AK308" s="170">
        <f t="shared" si="165"/>
        <v>0</v>
      </c>
      <c r="AM308" s="170" t="str">
        <f t="shared" si="157"/>
        <v>0.213924847748136+0.61813093678622i</v>
      </c>
      <c r="AN308" s="170" t="str">
        <f t="shared" si="158"/>
        <v>0.666362758278401i</v>
      </c>
      <c r="AO308" s="170" t="str">
        <f t="shared" si="159"/>
        <v>0.92761927209619-0.321033618836724i</v>
      </c>
      <c r="AP308" s="170" t="str">
        <f t="shared" si="160"/>
        <v>0.131012525375311-0.103021822797703i</v>
      </c>
      <c r="AQ308" s="170" t="str">
        <f t="shared" si="161"/>
        <v>0.868987474624689+0.103021822797703i</v>
      </c>
      <c r="AR308" s="170" t="str">
        <f t="shared" si="162"/>
        <v>0.945300670586702-0.112069047045579i</v>
      </c>
    </row>
    <row r="309" spans="7:44">
      <c r="G309" s="688">
        <v>21380</v>
      </c>
      <c r="H309" s="676">
        <f t="shared" si="154"/>
        <v>21.38</v>
      </c>
      <c r="I309" s="677">
        <f t="shared" si="134"/>
        <v>263.55373269668411</v>
      </c>
      <c r="J309" s="678">
        <f t="shared" si="135"/>
        <v>1.5670020250059356</v>
      </c>
      <c r="K309" s="678">
        <f t="shared" si="136"/>
        <v>1.0019074221039679</v>
      </c>
      <c r="L309" s="679">
        <f t="shared" si="137"/>
        <v>6.1715397561925248E-2</v>
      </c>
      <c r="M309" s="678">
        <f t="shared" si="138"/>
        <v>1.0065660032767336</v>
      </c>
      <c r="N309" s="679">
        <f t="shared" si="139"/>
        <v>-0.11428277588663084</v>
      </c>
      <c r="O309" s="677">
        <f t="shared" si="140"/>
        <v>241802.10308726784</v>
      </c>
      <c r="P309" s="680">
        <f t="shared" si="141"/>
        <v>1.5707921911815697</v>
      </c>
      <c r="Q309" s="689">
        <f t="shared" si="163"/>
        <v>114.45736398258467</v>
      </c>
      <c r="R309" s="690">
        <f t="shared" si="164"/>
        <v>1.5620593378602099</v>
      </c>
      <c r="S309" s="677">
        <f t="shared" si="142"/>
        <v>1.343055899465228</v>
      </c>
      <c r="T309" s="680">
        <f t="shared" si="143"/>
        <v>0.73090490003012265</v>
      </c>
      <c r="U309" s="681">
        <f t="shared" si="155"/>
        <v>0.93372548959432722</v>
      </c>
      <c r="V309" s="682">
        <f t="shared" si="156"/>
        <v>-0.45360590716741134</v>
      </c>
      <c r="W309" s="683">
        <f t="shared" si="144"/>
        <v>-11.983809414833011</v>
      </c>
      <c r="X309" s="684">
        <f t="shared" si="145"/>
        <v>-161.16231730199527</v>
      </c>
      <c r="Y309" s="687">
        <f t="shared" si="146"/>
        <v>18.837682698004727</v>
      </c>
      <c r="AA309" s="170">
        <f t="shared" si="147"/>
        <v>21380</v>
      </c>
      <c r="AB309" s="170">
        <f t="shared" si="148"/>
        <v>457104400</v>
      </c>
      <c r="AD309" s="686">
        <f t="shared" si="149"/>
        <v>36.047241640876855</v>
      </c>
      <c r="AE309" s="687">
        <f t="shared" si="150"/>
        <v>-42.37812168400216</v>
      </c>
      <c r="AG309" s="686">
        <f t="shared" si="151"/>
        <v>8.2522429288256927</v>
      </c>
      <c r="AH309" s="687">
        <f t="shared" si="152"/>
        <v>-66.804787472806609</v>
      </c>
      <c r="AJ309" s="170">
        <f t="shared" si="153"/>
        <v>0</v>
      </c>
      <c r="AK309" s="170">
        <f t="shared" si="165"/>
        <v>0</v>
      </c>
      <c r="AM309" s="170" t="str">
        <f t="shared" si="157"/>
        <v>0.216289592143738+0.621126393431942i</v>
      </c>
      <c r="AN309" s="170" t="str">
        <f t="shared" si="158"/>
        <v>0.670179143249901i</v>
      </c>
      <c r="AO309" s="170" t="str">
        <f t="shared" si="159"/>
        <v>0.926806510897836-0.322733994816497i</v>
      </c>
      <c r="AP309" s="170" t="str">
        <f t="shared" si="160"/>
        <v>0.130618401309377-0.10352106557199i</v>
      </c>
      <c r="AQ309" s="170" t="str">
        <f t="shared" si="161"/>
        <v>0.869381598690623+0.10352106557199i</v>
      </c>
      <c r="AR309" s="170" t="str">
        <f t="shared" si="162"/>
        <v>0.944756895166694-0.112496331463009i</v>
      </c>
    </row>
    <row r="310" spans="7:44">
      <c r="G310" s="688">
        <v>21504.5</v>
      </c>
      <c r="H310" s="676">
        <f t="shared" si="154"/>
        <v>21.5045</v>
      </c>
      <c r="I310" s="677">
        <f t="shared" si="134"/>
        <v>265.08843656472544</v>
      </c>
      <c r="J310" s="678">
        <f t="shared" si="135"/>
        <v>1.5670239918537172</v>
      </c>
      <c r="K310" s="678">
        <f t="shared" si="136"/>
        <v>1.001929679927144</v>
      </c>
      <c r="L310" s="679">
        <f t="shared" si="137"/>
        <v>6.2073858819947786E-2</v>
      </c>
      <c r="M310" s="678">
        <f t="shared" si="138"/>
        <v>1.0066424431752381</v>
      </c>
      <c r="N310" s="679">
        <f t="shared" si="139"/>
        <v>-0.11494243787401996</v>
      </c>
      <c r="O310" s="677">
        <f t="shared" si="140"/>
        <v>243210.16491298587</v>
      </c>
      <c r="P310" s="680">
        <f t="shared" si="141"/>
        <v>1.5707922151246447</v>
      </c>
      <c r="Q310" s="689">
        <f t="shared" si="163"/>
        <v>115.12382128955571</v>
      </c>
      <c r="R310" s="690">
        <f t="shared" si="164"/>
        <v>1.5621099179828415</v>
      </c>
      <c r="S310" s="677">
        <f t="shared" si="142"/>
        <v>1.3465466092351432</v>
      </c>
      <c r="T310" s="680">
        <f t="shared" si="143"/>
        <v>0.73379172561300643</v>
      </c>
      <c r="U310" s="681">
        <f t="shared" si="155"/>
        <v>0.93302703374284357</v>
      </c>
      <c r="V310" s="682">
        <f t="shared" si="156"/>
        <v>-0.45607947352331085</v>
      </c>
      <c r="W310" s="683">
        <f t="shared" si="144"/>
        <v>-12.062438720481817</v>
      </c>
      <c r="X310" s="684">
        <f t="shared" si="145"/>
        <v>-161.48506461952147</v>
      </c>
      <c r="Y310" s="687">
        <f t="shared" si="146"/>
        <v>18.514935380478533</v>
      </c>
      <c r="AA310" s="170">
        <f t="shared" si="147"/>
        <v>21504.5</v>
      </c>
      <c r="AB310" s="170">
        <f t="shared" si="148"/>
        <v>462443520.25</v>
      </c>
      <c r="AD310" s="686">
        <f t="shared" si="149"/>
        <v>36.02469177792392</v>
      </c>
      <c r="AE310" s="687">
        <f t="shared" si="150"/>
        <v>-42.540627950560605</v>
      </c>
      <c r="AG310" s="686">
        <f t="shared" si="151"/>
        <v>8.2091629826357622</v>
      </c>
      <c r="AH310" s="687">
        <f t="shared" si="152"/>
        <v>-66.681578698373286</v>
      </c>
      <c r="AJ310" s="170">
        <f t="shared" si="153"/>
        <v>0</v>
      </c>
      <c r="AK310" s="170">
        <f t="shared" si="165"/>
        <v>0</v>
      </c>
      <c r="AM310" s="170" t="str">
        <f t="shared" si="157"/>
        <v>0.218719553602557+0.62418015354304i</v>
      </c>
      <c r="AN310" s="170" t="str">
        <f t="shared" si="158"/>
        <v>0.674081729935337i</v>
      </c>
      <c r="AO310" s="170" t="str">
        <f t="shared" si="159"/>
        <v>0.925971029659736-0.324470377833172i</v>
      </c>
      <c r="AP310" s="170" t="str">
        <f t="shared" si="160"/>
        <v>0.130213407732907-0.104030025590507i</v>
      </c>
      <c r="AQ310" s="170" t="str">
        <f t="shared" si="161"/>
        <v>0.869786592267093+0.104030025590507i</v>
      </c>
      <c r="AR310" s="170" t="str">
        <f t="shared" si="162"/>
        <v>0.944199286823768-0.11293008749973i</v>
      </c>
    </row>
    <row r="311" spans="7:44">
      <c r="G311" s="688">
        <v>21629</v>
      </c>
      <c r="H311" s="676">
        <f t="shared" si="154"/>
        <v>21.629000000000001</v>
      </c>
      <c r="I311" s="677">
        <f t="shared" si="134"/>
        <v>266.62314055921058</v>
      </c>
      <c r="J311" s="678">
        <f t="shared" si="135"/>
        <v>1.5670457058156644</v>
      </c>
      <c r="K311" s="678">
        <f t="shared" si="136"/>
        <v>1.0019520664870174</v>
      </c>
      <c r="L311" s="679">
        <f t="shared" si="137"/>
        <v>6.2432304105866546E-2</v>
      </c>
      <c r="M311" s="678">
        <f t="shared" si="138"/>
        <v>1.0067193210515331</v>
      </c>
      <c r="N311" s="679">
        <f t="shared" si="139"/>
        <v>-0.11560199939852873</v>
      </c>
      <c r="O311" s="677">
        <f t="shared" si="140"/>
        <v>244618.22673870405</v>
      </c>
      <c r="P311" s="680">
        <f t="shared" si="141"/>
        <v>1.5707922387920796</v>
      </c>
      <c r="Q311" s="689">
        <f t="shared" si="163"/>
        <v>115.79027888766321</v>
      </c>
      <c r="R311" s="690">
        <f t="shared" si="164"/>
        <v>1.5621599158545272</v>
      </c>
      <c r="S311" s="677">
        <f t="shared" si="142"/>
        <v>1.3500484827189865</v>
      </c>
      <c r="T311" s="680">
        <f t="shared" si="143"/>
        <v>0.73666359882630716</v>
      </c>
      <c r="U311" s="681">
        <f t="shared" si="155"/>
        <v>0.93232600209814143</v>
      </c>
      <c r="V311" s="682">
        <f t="shared" si="156"/>
        <v>-0.45855042386648864</v>
      </c>
      <c r="W311" s="683">
        <f t="shared" si="144"/>
        <v>-12.140814310366657</v>
      </c>
      <c r="X311" s="684">
        <f t="shared" si="145"/>
        <v>-161.80681935736047</v>
      </c>
      <c r="Y311" s="687">
        <f t="shared" si="146"/>
        <v>18.193180642639533</v>
      </c>
      <c r="AA311" s="170">
        <f t="shared" si="147"/>
        <v>21629</v>
      </c>
      <c r="AB311" s="170">
        <f t="shared" si="148"/>
        <v>467813641</v>
      </c>
      <c r="AD311" s="686">
        <f t="shared" si="149"/>
        <v>36.002128527352227</v>
      </c>
      <c r="AE311" s="687">
        <f t="shared" si="150"/>
        <v>-42.702310854176048</v>
      </c>
      <c r="AG311" s="686">
        <f t="shared" si="151"/>
        <v>8.1664078687772097</v>
      </c>
      <c r="AH311" s="687">
        <f t="shared" si="152"/>
        <v>-66.558500480172313</v>
      </c>
      <c r="AJ311" s="170">
        <f t="shared" si="153"/>
        <v>0</v>
      </c>
      <c r="AK311" s="170">
        <f t="shared" si="165"/>
        <v>0</v>
      </c>
      <c r="AM311" s="170" t="str">
        <f t="shared" si="157"/>
        <v>0.22116141409032+0.62722440728834i</v>
      </c>
      <c r="AN311" s="170" t="str">
        <f t="shared" si="158"/>
        <v>0.677984316620772i</v>
      </c>
      <c r="AO311" s="170" t="str">
        <f t="shared" si="159"/>
        <v>0.925131145237355-0.326204321646611i</v>
      </c>
      <c r="AP311" s="170" t="str">
        <f t="shared" si="160"/>
        <v>0.129806430984947-0.104537401214723i</v>
      </c>
      <c r="AQ311" s="170" t="str">
        <f t="shared" si="161"/>
        <v>0.870193569015053+0.104537401214723i</v>
      </c>
      <c r="AR311" s="170" t="str">
        <f t="shared" si="162"/>
        <v>0.943640132571256-0.113360625329109i</v>
      </c>
    </row>
    <row r="312" spans="7:44">
      <c r="G312" s="688">
        <v>21753.5</v>
      </c>
      <c r="H312" s="676">
        <f t="shared" si="154"/>
        <v>21.753499999999999</v>
      </c>
      <c r="I312" s="677">
        <f t="shared" si="134"/>
        <v>268.15784467796868</v>
      </c>
      <c r="J312" s="678">
        <f t="shared" si="135"/>
        <v>1.5670671712336579</v>
      </c>
      <c r="K312" s="678">
        <f t="shared" si="136"/>
        <v>1.001974581774959</v>
      </c>
      <c r="L312" s="679">
        <f t="shared" si="137"/>
        <v>6.2790733328646903E-2</v>
      </c>
      <c r="M312" s="678">
        <f t="shared" si="138"/>
        <v>1.0067966368052881</v>
      </c>
      <c r="N312" s="679">
        <f t="shared" si="139"/>
        <v>-0.11626145990939014</v>
      </c>
      <c r="O312" s="677">
        <f t="shared" si="140"/>
        <v>246026.28856442231</v>
      </c>
      <c r="P312" s="680">
        <f t="shared" si="141"/>
        <v>1.5707922621886066</v>
      </c>
      <c r="Q312" s="689">
        <f t="shared" si="163"/>
        <v>116.45673677190882</v>
      </c>
      <c r="R312" s="690">
        <f t="shared" si="164"/>
        <v>1.5622093414713212</v>
      </c>
      <c r="S312" s="677">
        <f t="shared" si="142"/>
        <v>1.3535614332699792</v>
      </c>
      <c r="T312" s="680">
        <f t="shared" si="143"/>
        <v>0.73952058853325064</v>
      </c>
      <c r="U312" s="681">
        <f t="shared" si="155"/>
        <v>0.93162241498235776</v>
      </c>
      <c r="V312" s="682">
        <f t="shared" si="156"/>
        <v>-0.4610187510060631</v>
      </c>
      <c r="W312" s="683">
        <f t="shared" si="144"/>
        <v>-12.218938589655259</v>
      </c>
      <c r="X312" s="684">
        <f t="shared" si="145"/>
        <v>-162.12758469904747</v>
      </c>
      <c r="Y312" s="687">
        <f t="shared" si="146"/>
        <v>17.872415300952525</v>
      </c>
      <c r="AA312" s="170">
        <f t="shared" si="147"/>
        <v>21753.5</v>
      </c>
      <c r="AB312" s="170">
        <f t="shared" si="148"/>
        <v>473214762.25</v>
      </c>
      <c r="AD312" s="686">
        <f t="shared" si="149"/>
        <v>35.979552699683452</v>
      </c>
      <c r="AE312" s="687">
        <f t="shared" si="150"/>
        <v>-42.863173767960163</v>
      </c>
      <c r="AG312" s="686">
        <f t="shared" si="151"/>
        <v>8.1239741155529259</v>
      </c>
      <c r="AH312" s="687">
        <f t="shared" si="152"/>
        <v>-66.435553452641557</v>
      </c>
      <c r="AJ312" s="170">
        <f t="shared" si="153"/>
        <v>0</v>
      </c>
      <c r="AK312" s="170">
        <f t="shared" si="165"/>
        <v>0</v>
      </c>
      <c r="AM312" s="170" t="str">
        <f t="shared" si="157"/>
        <v>0.223615136417092+0.630259108303363i</v>
      </c>
      <c r="AN312" s="170" t="str">
        <f t="shared" si="158"/>
        <v>0.681886903306208i</v>
      </c>
      <c r="AO312" s="170" t="str">
        <f t="shared" si="159"/>
        <v>0.924286865237444-0.32793581359734i</v>
      </c>
      <c r="AP312" s="170" t="str">
        <f t="shared" si="160"/>
        <v>0.129397477263818-0.105043184717227i</v>
      </c>
      <c r="AQ312" s="170" t="str">
        <f t="shared" si="161"/>
        <v>0.870602522736182+0.105043184717227i</v>
      </c>
      <c r="AR312" s="170" t="str">
        <f t="shared" si="162"/>
        <v>0.943079454459201-0.113787941971998i</v>
      </c>
    </row>
    <row r="313" spans="7:44">
      <c r="G313" s="688">
        <v>21878</v>
      </c>
      <c r="H313" s="676">
        <f t="shared" si="154"/>
        <v>21.878</v>
      </c>
      <c r="I313" s="677">
        <f t="shared" si="134"/>
        <v>269.69254891887795</v>
      </c>
      <c r="J313" s="678">
        <f t="shared" si="135"/>
        <v>1.5670883923507477</v>
      </c>
      <c r="K313" s="678">
        <f t="shared" si="136"/>
        <v>1.0019972257822911</v>
      </c>
      <c r="L313" s="679">
        <f t="shared" si="137"/>
        <v>6.3149146397278963E-2</v>
      </c>
      <c r="M313" s="678">
        <f t="shared" si="138"/>
        <v>1.0068743903356319</v>
      </c>
      <c r="N313" s="679">
        <f t="shared" si="139"/>
        <v>-0.11692081885635726</v>
      </c>
      <c r="O313" s="677">
        <f t="shared" si="140"/>
        <v>247434.35039014078</v>
      </c>
      <c r="P313" s="680">
        <f t="shared" si="141"/>
        <v>1.570792285318851</v>
      </c>
      <c r="Q313" s="689">
        <f t="shared" si="163"/>
        <v>117.12319493740797</v>
      </c>
      <c r="R313" s="690">
        <f t="shared" si="164"/>
        <v>1.562258204601769</v>
      </c>
      <c r="S313" s="677">
        <f t="shared" si="142"/>
        <v>1.3570853748658522</v>
      </c>
      <c r="T313" s="680">
        <f t="shared" si="143"/>
        <v>0.74236276385704625</v>
      </c>
      <c r="U313" s="681">
        <f t="shared" si="155"/>
        <v>0.93091629270725129</v>
      </c>
      <c r="V313" s="682">
        <f t="shared" si="156"/>
        <v>-0.4634844478543545</v>
      </c>
      <c r="W313" s="683">
        <f t="shared" si="144"/>
        <v>-12.296813917606022</v>
      </c>
      <c r="X313" s="684">
        <f t="shared" si="145"/>
        <v>-162.44736385632157</v>
      </c>
      <c r="Y313" s="687">
        <f t="shared" si="146"/>
        <v>17.552636143678427</v>
      </c>
      <c r="AA313" s="170">
        <f t="shared" si="147"/>
        <v>21878</v>
      </c>
      <c r="AB313" s="170">
        <f t="shared" si="148"/>
        <v>478646884</v>
      </c>
      <c r="AD313" s="686">
        <f t="shared" si="149"/>
        <v>35.956965094047938</v>
      </c>
      <c r="AE313" s="687">
        <f t="shared" si="150"/>
        <v>-43.023220092949686</v>
      </c>
      <c r="AG313" s="686">
        <f t="shared" si="151"/>
        <v>8.0818583083685205</v>
      </c>
      <c r="AH313" s="687">
        <f t="shared" si="152"/>
        <v>-66.312738238671656</v>
      </c>
      <c r="AJ313" s="170">
        <f t="shared" si="153"/>
        <v>0</v>
      </c>
      <c r="AK313" s="170">
        <f t="shared" si="165"/>
        <v>0</v>
      </c>
      <c r="AM313" s="170" t="str">
        <f t="shared" si="157"/>
        <v>0.226080683212281+0.633284210369113i</v>
      </c>
      <c r="AN313" s="170" t="str">
        <f t="shared" si="158"/>
        <v>0.685789489991643i</v>
      </c>
      <c r="AO313" s="170" t="str">
        <f t="shared" si="159"/>
        <v>0.923438197305751-0.32966484105062i</v>
      </c>
      <c r="AP313" s="170" t="str">
        <f t="shared" si="160"/>
        <v>0.128986552797953-0.105547368394852i</v>
      </c>
      <c r="AQ313" s="170" t="str">
        <f t="shared" si="161"/>
        <v>0.871013447202047+0.105547368394852i</v>
      </c>
      <c r="AR313" s="170" t="str">
        <f t="shared" si="162"/>
        <v>0.942517274496209-0.114212034623946i</v>
      </c>
    </row>
    <row r="314" spans="7:44">
      <c r="G314" s="688">
        <v>22005.25</v>
      </c>
      <c r="H314" s="676">
        <f t="shared" si="154"/>
        <v>22.00525</v>
      </c>
      <c r="I314" s="677">
        <f t="shared" si="134"/>
        <v>271.26115237351604</v>
      </c>
      <c r="J314" s="678">
        <f t="shared" si="135"/>
        <v>1.5671098340690059</v>
      </c>
      <c r="K314" s="678">
        <f t="shared" si="136"/>
        <v>1.002020502964966</v>
      </c>
      <c r="L314" s="679">
        <f t="shared" si="137"/>
        <v>6.3515459432408133E-2</v>
      </c>
      <c r="M314" s="678">
        <f t="shared" si="138"/>
        <v>1.0069543135958925</v>
      </c>
      <c r="N314" s="679">
        <f t="shared" si="139"/>
        <v>-0.11759463643078048</v>
      </c>
      <c r="O314" s="677">
        <f t="shared" si="140"/>
        <v>248873.51398309408</v>
      </c>
      <c r="P314" s="680">
        <f t="shared" si="141"/>
        <v>1.5707923086895386</v>
      </c>
      <c r="Q314" s="689">
        <f t="shared" si="163"/>
        <v>117.80437435207381</v>
      </c>
      <c r="R314" s="690">
        <f t="shared" si="164"/>
        <v>1.562307575715687</v>
      </c>
      <c r="S314" s="677">
        <f t="shared" si="142"/>
        <v>1.3606984235210093</v>
      </c>
      <c r="T314" s="680">
        <f t="shared" si="143"/>
        <v>0.74525248152864143</v>
      </c>
      <c r="U314" s="681">
        <f t="shared" si="155"/>
        <v>0.93019197471179682</v>
      </c>
      <c r="V314" s="682">
        <f t="shared" si="156"/>
        <v>-0.46600188253456304</v>
      </c>
      <c r="W314" s="683">
        <f t="shared" si="144"/>
        <v>-12.376154532039701</v>
      </c>
      <c r="X314" s="684">
        <f t="shared" si="145"/>
        <v>-162.77319068046523</v>
      </c>
      <c r="Y314" s="687">
        <f t="shared" si="146"/>
        <v>17.226809319534766</v>
      </c>
      <c r="AA314" s="170">
        <f t="shared" si="147"/>
        <v>22005.25</v>
      </c>
      <c r="AB314" s="170">
        <f t="shared" si="148"/>
        <v>484231027.5625</v>
      </c>
      <c r="AD314" s="686">
        <f t="shared" si="149"/>
        <v>35.933867214378338</v>
      </c>
      <c r="AE314" s="687">
        <f t="shared" si="150"/>
        <v>-43.185961302286827</v>
      </c>
      <c r="AG314" s="686">
        <f t="shared" si="151"/>
        <v>8.039137294181721</v>
      </c>
      <c r="AH314" s="687">
        <f t="shared" si="152"/>
        <v>-66.187347088396933</v>
      </c>
      <c r="AJ314" s="170">
        <f t="shared" si="153"/>
        <v>0</v>
      </c>
      <c r="AK314" s="170">
        <f t="shared" si="165"/>
        <v>0</v>
      </c>
      <c r="AM314" s="170" t="str">
        <f t="shared" si="157"/>
        <v>0.228612869913237+0.636366164669766i</v>
      </c>
      <c r="AN314" s="170" t="str">
        <f t="shared" si="158"/>
        <v>0.689778278391014i</v>
      </c>
      <c r="AO314" s="170" t="str">
        <f t="shared" si="159"/>
        <v>0.922566257311208-0.331429499993103i</v>
      </c>
      <c r="AP314" s="170" t="str">
        <f t="shared" si="160"/>
        <v>0.128564521681127-0.106061027444961i</v>
      </c>
      <c r="AQ314" s="170" t="str">
        <f t="shared" si="161"/>
        <v>0.871435478318873+0.106061027444961i</v>
      </c>
      <c r="AR314" s="170" t="str">
        <f t="shared" si="162"/>
        <v>0.941941147791754-0.114642160450258i</v>
      </c>
    </row>
    <row r="315" spans="7:44">
      <c r="G315" s="688">
        <v>22132.5</v>
      </c>
      <c r="H315" s="676">
        <f t="shared" si="154"/>
        <v>22.1325</v>
      </c>
      <c r="I315" s="677">
        <f t="shared" si="134"/>
        <v>272.82975595143154</v>
      </c>
      <c r="J315" s="678">
        <f t="shared" si="135"/>
        <v>1.5671310292338445</v>
      </c>
      <c r="K315" s="678">
        <f t="shared" si="136"/>
        <v>1.0020439145977449</v>
      </c>
      <c r="L315" s="679">
        <f t="shared" si="137"/>
        <v>6.3881755399700035E-2</v>
      </c>
      <c r="M315" s="678">
        <f t="shared" si="138"/>
        <v>1.0070346939710544</v>
      </c>
      <c r="N315" s="679">
        <f t="shared" si="139"/>
        <v>-0.11826834674432801</v>
      </c>
      <c r="O315" s="677">
        <f t="shared" si="140"/>
        <v>250312.67757604754</v>
      </c>
      <c r="P315" s="680">
        <f t="shared" si="141"/>
        <v>1.5707923317914885</v>
      </c>
      <c r="Q315" s="689">
        <f t="shared" si="163"/>
        <v>118.48555405058697</v>
      </c>
      <c r="R315" s="690">
        <f t="shared" si="164"/>
        <v>1.562356379155448</v>
      </c>
      <c r="S315" s="677">
        <f t="shared" si="142"/>
        <v>1.3643227744089343</v>
      </c>
      <c r="T315" s="680">
        <f t="shared" si="143"/>
        <v>0.74812686991049659</v>
      </c>
      <c r="U315" s="681">
        <f t="shared" si="155"/>
        <v>0.92946505119313694</v>
      </c>
      <c r="V315" s="682">
        <f t="shared" si="156"/>
        <v>-0.46851655479951332</v>
      </c>
      <c r="W315" s="683">
        <f t="shared" si="144"/>
        <v>-12.455239917978322</v>
      </c>
      <c r="X315" s="684">
        <f t="shared" si="145"/>
        <v>-163.09799414205213</v>
      </c>
      <c r="Y315" s="687">
        <f t="shared" si="146"/>
        <v>16.90200585794787</v>
      </c>
      <c r="AA315" s="170">
        <f t="shared" si="147"/>
        <v>22132.5</v>
      </c>
      <c r="AB315" s="170">
        <f t="shared" si="148"/>
        <v>489847556.25</v>
      </c>
      <c r="AD315" s="686">
        <f t="shared" si="149"/>
        <v>35.910758682761156</v>
      </c>
      <c r="AE315" s="687">
        <f t="shared" si="150"/>
        <v>-43.347856717953761</v>
      </c>
      <c r="AG315" s="686">
        <f t="shared" si="151"/>
        <v>7.9967413909539973</v>
      </c>
      <c r="AH315" s="687">
        <f t="shared" si="152"/>
        <v>-66.062094918707118</v>
      </c>
      <c r="AJ315" s="170">
        <f t="shared" si="153"/>
        <v>0</v>
      </c>
      <c r="AK315" s="170">
        <f t="shared" si="165"/>
        <v>0</v>
      </c>
      <c r="AM315" s="170" t="str">
        <f t="shared" si="157"/>
        <v>0.23115732970109+0.639437994122684i</v>
      </c>
      <c r="AN315" s="170" t="str">
        <f t="shared" si="158"/>
        <v>0.693767066790385i</v>
      </c>
      <c r="AO315" s="170" t="str">
        <f t="shared" si="159"/>
        <v>0.921689749674849-0.333191557752239i</v>
      </c>
      <c r="AP315" s="170" t="str">
        <f t="shared" si="160"/>
        <v>0.128140445049818-0.106572999020447i</v>
      </c>
      <c r="AQ315" s="170" t="str">
        <f t="shared" si="161"/>
        <v>0.871859554950182+0.106572999020447i</v>
      </c>
      <c r="AR315" s="170" t="str">
        <f t="shared" si="162"/>
        <v>0.941363498509002-0.115068912917077i</v>
      </c>
    </row>
    <row r="316" spans="7:44">
      <c r="G316" s="688">
        <v>22259.75</v>
      </c>
      <c r="H316" s="676">
        <f t="shared" si="154"/>
        <v>22.25975</v>
      </c>
      <c r="I316" s="677">
        <f t="shared" si="134"/>
        <v>274.39835965051049</v>
      </c>
      <c r="J316" s="678">
        <f t="shared" si="135"/>
        <v>1.5671519820735269</v>
      </c>
      <c r="K316" s="678">
        <f t="shared" si="136"/>
        <v>1.0020674606712043</v>
      </c>
      <c r="L316" s="679">
        <f t="shared" si="137"/>
        <v>6.4248034202060572E-2</v>
      </c>
      <c r="M316" s="678">
        <f t="shared" si="138"/>
        <v>1.0071155313516666</v>
      </c>
      <c r="N316" s="679">
        <f t="shared" si="139"/>
        <v>-0.11894194921118086</v>
      </c>
      <c r="O316" s="677">
        <f t="shared" si="140"/>
        <v>251751.84116900113</v>
      </c>
      <c r="P316" s="680">
        <f t="shared" si="141"/>
        <v>1.5707923546293094</v>
      </c>
      <c r="Q316" s="689">
        <f t="shared" si="163"/>
        <v>119.16673402807984</v>
      </c>
      <c r="R316" s="690">
        <f t="shared" si="164"/>
        <v>1.5624046246556214</v>
      </c>
      <c r="S316" s="677">
        <f t="shared" si="142"/>
        <v>1.3679583376951898</v>
      </c>
      <c r="T316" s="680">
        <f t="shared" si="143"/>
        <v>0.75098600353685618</v>
      </c>
      <c r="U316" s="681">
        <f t="shared" si="155"/>
        <v>0.92873554379701428</v>
      </c>
      <c r="V316" s="682">
        <f t="shared" si="156"/>
        <v>-0.47102845741433863</v>
      </c>
      <c r="W316" s="683">
        <f t="shared" si="144"/>
        <v>-12.534072453580965</v>
      </c>
      <c r="X316" s="684">
        <f t="shared" si="145"/>
        <v>-163.42177775382669</v>
      </c>
      <c r="Y316" s="687">
        <f t="shared" si="146"/>
        <v>16.578222246173311</v>
      </c>
      <c r="AA316" s="170">
        <f t="shared" si="147"/>
        <v>22259.75</v>
      </c>
      <c r="AB316" s="170">
        <f t="shared" si="148"/>
        <v>495496470.0625</v>
      </c>
      <c r="AD316" s="686">
        <f t="shared" si="149"/>
        <v>35.887640316173147</v>
      </c>
      <c r="AE316" s="687">
        <f t="shared" si="150"/>
        <v>-43.508910052962456</v>
      </c>
      <c r="AG316" s="686">
        <f t="shared" si="151"/>
        <v>7.9546671294401907</v>
      </c>
      <c r="AH316" s="687">
        <f t="shared" si="152"/>
        <v>-65.936982358389315</v>
      </c>
      <c r="AJ316" s="170">
        <f t="shared" si="153"/>
        <v>0</v>
      </c>
      <c r="AK316" s="170">
        <f t="shared" si="165"/>
        <v>0</v>
      </c>
      <c r="AM316" s="170" t="str">
        <f t="shared" si="157"/>
        <v>0.233714022092436+0.642499649853794i</v>
      </c>
      <c r="AN316" s="170" t="str">
        <f t="shared" si="158"/>
        <v>0.697755855189756i</v>
      </c>
      <c r="AO316" s="170" t="str">
        <f t="shared" si="159"/>
        <v>0.920808682686102-0.334951000918333i</v>
      </c>
      <c r="AP316" s="170" t="str">
        <f t="shared" si="160"/>
        <v>0.127714329651261-0.107083274975632i</v>
      </c>
      <c r="AQ316" s="170" t="str">
        <f t="shared" si="161"/>
        <v>0.872285670348739+0.107083274975632i</v>
      </c>
      <c r="AR316" s="170" t="str">
        <f t="shared" si="162"/>
        <v>0.940784350003474-0.115492289588933i</v>
      </c>
    </row>
    <row r="317" spans="7:44">
      <c r="G317" s="688">
        <v>22387</v>
      </c>
      <c r="H317" s="676">
        <f t="shared" si="154"/>
        <v>22.387</v>
      </c>
      <c r="I317" s="677">
        <f t="shared" si="134"/>
        <v>275.96696346868674</v>
      </c>
      <c r="J317" s="678">
        <f t="shared" si="135"/>
        <v>1.5671726967201831</v>
      </c>
      <c r="K317" s="678">
        <f t="shared" si="136"/>
        <v>1.0020911411758675</v>
      </c>
      <c r="L317" s="679">
        <f t="shared" si="137"/>
        <v>6.4614295742423125E-2</v>
      </c>
      <c r="M317" s="678">
        <f t="shared" si="138"/>
        <v>1.0071968256276922</v>
      </c>
      <c r="N317" s="679">
        <f t="shared" si="139"/>
        <v>-0.11961544324609905</v>
      </c>
      <c r="O317" s="677">
        <f t="shared" si="140"/>
        <v>253191.00476195486</v>
      </c>
      <c r="P317" s="680">
        <f t="shared" si="141"/>
        <v>1.5707923772075052</v>
      </c>
      <c r="Q317" s="689">
        <f t="shared" si="163"/>
        <v>119.84791427979553</v>
      </c>
      <c r="R317" s="690">
        <f t="shared" si="164"/>
        <v>1.5624523217294735</v>
      </c>
      <c r="S317" s="677">
        <f t="shared" si="142"/>
        <v>1.3716050242213482</v>
      </c>
      <c r="T317" s="680">
        <f t="shared" si="143"/>
        <v>0.75382995715058077</v>
      </c>
      <c r="U317" s="681">
        <f t="shared" si="155"/>
        <v>0.92800347415227968</v>
      </c>
      <c r="V317" s="682">
        <f t="shared" si="156"/>
        <v>-0.47353758325588452</v>
      </c>
      <c r="W317" s="683">
        <f t="shared" si="144"/>
        <v>-12.612654472013649</v>
      </c>
      <c r="X317" s="684">
        <f t="shared" si="145"/>
        <v>-163.74454505408394</v>
      </c>
      <c r="Y317" s="687">
        <f t="shared" si="146"/>
        <v>16.255454945916057</v>
      </c>
      <c r="AA317" s="170">
        <f t="shared" si="147"/>
        <v>22387</v>
      </c>
      <c r="AB317" s="170">
        <f t="shared" si="148"/>
        <v>501177769</v>
      </c>
      <c r="AD317" s="686">
        <f t="shared" si="149"/>
        <v>35.86451291957173</v>
      </c>
      <c r="AE317" s="687">
        <f t="shared" si="150"/>
        <v>-43.669125044951393</v>
      </c>
      <c r="AG317" s="686">
        <f t="shared" si="151"/>
        <v>7.9129110972535983</v>
      </c>
      <c r="AH317" s="687">
        <f t="shared" si="152"/>
        <v>-65.81201002435354</v>
      </c>
      <c r="AJ317" s="170">
        <f t="shared" si="153"/>
        <v>0</v>
      </c>
      <c r="AK317" s="170">
        <f t="shared" si="165"/>
        <v>0</v>
      </c>
      <c r="AM317" s="170" t="str">
        <f t="shared" si="157"/>
        <v>0.236282906409247+0.645551083150895i</v>
      </c>
      <c r="AN317" s="170" t="str">
        <f t="shared" si="158"/>
        <v>0.701744643589127i</v>
      </c>
      <c r="AO317" s="170" t="str">
        <f t="shared" si="159"/>
        <v>0.919923064676596-0.336707816109233i</v>
      </c>
      <c r="AP317" s="170" t="str">
        <f t="shared" si="160"/>
        <v>0.127286182265126-0.107591847191816i</v>
      </c>
      <c r="AQ317" s="170" t="str">
        <f t="shared" si="161"/>
        <v>0.872713817734874+0.107591847191816i</v>
      </c>
      <c r="AR317" s="170" t="str">
        <f t="shared" si="162"/>
        <v>0.940203725578969-0.115912288216342i</v>
      </c>
    </row>
    <row r="318" spans="7:44">
      <c r="G318" s="688">
        <v>22517.5</v>
      </c>
      <c r="H318" s="676">
        <f t="shared" si="154"/>
        <v>22.517499999999998</v>
      </c>
      <c r="I318" s="677">
        <f t="shared" si="134"/>
        <v>277.57562998140617</v>
      </c>
      <c r="J318" s="678">
        <f t="shared" si="135"/>
        <v>1.5671936972584821</v>
      </c>
      <c r="K318" s="678">
        <f t="shared" si="136"/>
        <v>1.0021155661023138</v>
      </c>
      <c r="L318" s="679">
        <f t="shared" si="137"/>
        <v>6.4989893672678128E-2</v>
      </c>
      <c r="M318" s="678">
        <f t="shared" si="138"/>
        <v>1.0072806706142901</v>
      </c>
      <c r="N318" s="679">
        <f t="shared" si="139"/>
        <v>-0.12030602527012768</v>
      </c>
      <c r="O318" s="677">
        <f t="shared" si="140"/>
        <v>254666.92498891338</v>
      </c>
      <c r="P318" s="680">
        <f t="shared" si="141"/>
        <v>1.570792400097309</v>
      </c>
      <c r="Q318" s="689">
        <f t="shared" si="163"/>
        <v>120.5464923424465</v>
      </c>
      <c r="R318" s="690">
        <f t="shared" si="164"/>
        <v>1.5625006771223604</v>
      </c>
      <c r="S318" s="677">
        <f t="shared" si="142"/>
        <v>1.3753563084473492</v>
      </c>
      <c r="T318" s="680">
        <f t="shared" si="143"/>
        <v>0.75673085809812879</v>
      </c>
      <c r="U318" s="681">
        <f t="shared" si="155"/>
        <v>0.92725006863885562</v>
      </c>
      <c r="V318" s="682">
        <f t="shared" si="156"/>
        <v>-0.47610790145943771</v>
      </c>
      <c r="W318" s="683">
        <f t="shared" si="144"/>
        <v>-12.692985698293162</v>
      </c>
      <c r="X318" s="684">
        <f t="shared" si="145"/>
        <v>-164.0745040735693</v>
      </c>
      <c r="Y318" s="687">
        <f t="shared" si="146"/>
        <v>15.925495926430699</v>
      </c>
      <c r="AA318" s="170">
        <f t="shared" si="147"/>
        <v>22517.5</v>
      </c>
      <c r="AB318" s="170">
        <f t="shared" si="148"/>
        <v>507037806.25</v>
      </c>
      <c r="AD318" s="686">
        <f t="shared" si="149"/>
        <v>35.840786294616358</v>
      </c>
      <c r="AE318" s="687">
        <f t="shared" si="150"/>
        <v>-43.832565177778186</v>
      </c>
      <c r="AG318" s="686">
        <f t="shared" si="151"/>
        <v>7.8704156133112093</v>
      </c>
      <c r="AH318" s="687">
        <f t="shared" si="152"/>
        <v>-65.683992140537029</v>
      </c>
      <c r="AJ318" s="170">
        <f t="shared" si="153"/>
        <v>0</v>
      </c>
      <c r="AK318" s="170">
        <f t="shared" si="165"/>
        <v>0</v>
      </c>
      <c r="AM318" s="170" t="str">
        <f t="shared" si="157"/>
        <v>0.238930020903809+0.648669782646397i</v>
      </c>
      <c r="AN318" s="170" t="str">
        <f t="shared" si="158"/>
        <v>0.70583530674133i</v>
      </c>
      <c r="AO318" s="170" t="str">
        <f t="shared" si="159"/>
        <v>0.919010109654542-0.33850675734385i</v>
      </c>
      <c r="AP318" s="170" t="str">
        <f t="shared" si="160"/>
        <v>0.126844996516032-0.108111630441066i</v>
      </c>
      <c r="AQ318" s="170" t="str">
        <f t="shared" si="161"/>
        <v>0.873155003483968+0.108111630441066i</v>
      </c>
      <c r="AR318" s="170" t="str">
        <f t="shared" si="162"/>
        <v>0.939606763257573-0.116339503002223i</v>
      </c>
    </row>
    <row r="319" spans="7:44">
      <c r="G319" s="688">
        <v>22648</v>
      </c>
      <c r="H319" s="676">
        <f t="shared" si="154"/>
        <v>22.648</v>
      </c>
      <c r="I319" s="677">
        <f t="shared" si="134"/>
        <v>279.18429661513204</v>
      </c>
      <c r="J319" s="678">
        <f t="shared" si="135"/>
        <v>1.5672144557855765</v>
      </c>
      <c r="K319" s="678">
        <f t="shared" si="136"/>
        <v>1.0021401323941133</v>
      </c>
      <c r="L319" s="679">
        <f t="shared" si="137"/>
        <v>6.5365473241228572E-2</v>
      </c>
      <c r="M319" s="678">
        <f t="shared" si="138"/>
        <v>1.0073649958964983</v>
      </c>
      <c r="N319" s="679">
        <f t="shared" si="139"/>
        <v>-0.12099649200785635</v>
      </c>
      <c r="O319" s="677">
        <f t="shared" si="140"/>
        <v>256142.84521587205</v>
      </c>
      <c r="P319" s="680">
        <f t="shared" si="141"/>
        <v>1.5707924227233261</v>
      </c>
      <c r="Q319" s="689">
        <f t="shared" si="163"/>
        <v>121.24507068371649</v>
      </c>
      <c r="R319" s="690">
        <f t="shared" si="164"/>
        <v>1.562548475296331</v>
      </c>
      <c r="S319" s="677">
        <f t="shared" si="142"/>
        <v>1.3791191035877515</v>
      </c>
      <c r="T319" s="680">
        <f t="shared" si="143"/>
        <v>0.75961595355031197</v>
      </c>
      <c r="U319" s="681">
        <f t="shared" si="155"/>
        <v>0.92649401434042977</v>
      </c>
      <c r="V319" s="682">
        <f t="shared" si="156"/>
        <v>-0.47867528442407692</v>
      </c>
      <c r="W319" s="683">
        <f t="shared" si="144"/>
        <v>-12.773058277768444</v>
      </c>
      <c r="X319" s="684">
        <f t="shared" si="145"/>
        <v>-164.4034018196617</v>
      </c>
      <c r="Y319" s="687">
        <f t="shared" si="146"/>
        <v>15.596598180338304</v>
      </c>
      <c r="AA319" s="170">
        <f t="shared" si="147"/>
        <v>22648</v>
      </c>
      <c r="AB319" s="170">
        <f t="shared" si="148"/>
        <v>512931904</v>
      </c>
      <c r="AD319" s="686">
        <f t="shared" si="149"/>
        <v>35.817051848996179</v>
      </c>
      <c r="AE319" s="687">
        <f t="shared" si="150"/>
        <v>-43.995131633604785</v>
      </c>
      <c r="AG319" s="686">
        <f t="shared" si="151"/>
        <v>7.8282477300768569</v>
      </c>
      <c r="AH319" s="687">
        <f t="shared" si="152"/>
        <v>-65.556123013931455</v>
      </c>
      <c r="AJ319" s="170">
        <f t="shared" si="153"/>
        <v>0</v>
      </c>
      <c r="AK319" s="170">
        <f t="shared" si="165"/>
        <v>0</v>
      </c>
      <c r="AM319" s="170" t="str">
        <f t="shared" si="157"/>
        <v>0.241589870764154+0.651777627624995i</v>
      </c>
      <c r="AN319" s="170" t="str">
        <f t="shared" si="158"/>
        <v>0.709925969893534i</v>
      </c>
      <c r="AO319" s="170" t="str">
        <f t="shared" si="159"/>
        <v>0.918092386059269-0.340302906231737i</v>
      </c>
      <c r="AP319" s="170" t="str">
        <f t="shared" si="160"/>
        <v>0.126401688205974-0.108629604604166i</v>
      </c>
      <c r="AQ319" s="170" t="str">
        <f t="shared" si="161"/>
        <v>0.873598311794026+0.108629604604166i</v>
      </c>
      <c r="AR319" s="170" t="str">
        <f t="shared" si="162"/>
        <v>0.93900829813462-0.116763160790591i</v>
      </c>
    </row>
    <row r="320" spans="7:44">
      <c r="G320" s="688">
        <v>22778.5</v>
      </c>
      <c r="H320" s="676">
        <f t="shared" si="154"/>
        <v>22.778500000000001</v>
      </c>
      <c r="I320" s="677">
        <f t="shared" si="134"/>
        <v>280.79296336778447</v>
      </c>
      <c r="J320" s="678">
        <f t="shared" si="135"/>
        <v>1.5672349764609046</v>
      </c>
      <c r="K320" s="678">
        <f t="shared" si="136"/>
        <v>1.00216484004087</v>
      </c>
      <c r="L320" s="679">
        <f t="shared" si="137"/>
        <v>6.5741034343470173E-2</v>
      </c>
      <c r="M320" s="678">
        <f t="shared" si="138"/>
        <v>1.0074498013537128</v>
      </c>
      <c r="N320" s="679">
        <f t="shared" si="139"/>
        <v>-0.12168684282996492</v>
      </c>
      <c r="O320" s="677">
        <f t="shared" si="140"/>
        <v>257618.76544283089</v>
      </c>
      <c r="P320" s="680">
        <f t="shared" si="141"/>
        <v>1.5707924450900903</v>
      </c>
      <c r="Q320" s="689">
        <f t="shared" si="163"/>
        <v>121.94364929881718</v>
      </c>
      <c r="R320" s="690">
        <f t="shared" si="164"/>
        <v>1.5625957258275855</v>
      </c>
      <c r="S320" s="677">
        <f t="shared" si="142"/>
        <v>1.3828933156804013</v>
      </c>
      <c r="T320" s="680">
        <f t="shared" si="143"/>
        <v>0.76248532469109254</v>
      </c>
      <c r="U320" s="681">
        <f t="shared" si="155"/>
        <v>0.92573533452133905</v>
      </c>
      <c r="V320" s="682">
        <f t="shared" si="156"/>
        <v>-0.48123972483120153</v>
      </c>
      <c r="W320" s="683">
        <f t="shared" si="144"/>
        <v>-12.852874587262592</v>
      </c>
      <c r="X320" s="684">
        <f t="shared" si="145"/>
        <v>-164.73124218437283</v>
      </c>
      <c r="Y320" s="687">
        <f t="shared" si="146"/>
        <v>15.268757815627168</v>
      </c>
      <c r="AA320" s="170">
        <f t="shared" si="147"/>
        <v>22778.5</v>
      </c>
      <c r="AB320" s="170">
        <f t="shared" si="148"/>
        <v>518860062.25</v>
      </c>
      <c r="AD320" s="686">
        <f t="shared" si="149"/>
        <v>35.793310412254854</v>
      </c>
      <c r="AE320" s="687">
        <f t="shared" si="150"/>
        <v>-44.156828515513446</v>
      </c>
      <c r="AG320" s="686">
        <f t="shared" si="151"/>
        <v>7.7864039449630109</v>
      </c>
      <c r="AH320" s="687">
        <f t="shared" si="152"/>
        <v>-65.428403272116</v>
      </c>
      <c r="AJ320" s="170">
        <f t="shared" si="153"/>
        <v>0</v>
      </c>
      <c r="AK320" s="170">
        <f t="shared" si="165"/>
        <v>0</v>
      </c>
      <c r="AM320" s="170" t="str">
        <f t="shared" si="157"/>
        <v>0.244262411481677+0.654874566081559i</v>
      </c>
      <c r="AN320" s="170" t="str">
        <f t="shared" si="158"/>
        <v>0.714016633045737i</v>
      </c>
      <c r="AO320" s="170" t="str">
        <f t="shared" si="159"/>
        <v>0.917169903014865-0.342096248430155i</v>
      </c>
      <c r="AP320" s="170" t="str">
        <f t="shared" si="160"/>
        <v>0.125956264753054-0.109145761013593i</v>
      </c>
      <c r="AQ320" s="170" t="str">
        <f t="shared" si="161"/>
        <v>0.874043735246946+0.109145761013593i</v>
      </c>
      <c r="AR320" s="170" t="str">
        <f t="shared" si="162"/>
        <v>0.938408355165521-0.117183259756581i</v>
      </c>
    </row>
    <row r="321" spans="7:44">
      <c r="G321" s="688">
        <v>22909</v>
      </c>
      <c r="H321" s="676">
        <f t="shared" si="154"/>
        <v>22.908999999999999</v>
      </c>
      <c r="I321" s="677">
        <f t="shared" si="134"/>
        <v>282.40163023733118</v>
      </c>
      <c r="J321" s="678">
        <f t="shared" si="135"/>
        <v>1.5672552633491308</v>
      </c>
      <c r="K321" s="678">
        <f t="shared" si="136"/>
        <v>1.0021896890321296</v>
      </c>
      <c r="L321" s="679">
        <f t="shared" si="137"/>
        <v>6.6116576874829761E-2</v>
      </c>
      <c r="M321" s="678">
        <f t="shared" si="138"/>
        <v>1.0075350868646822</v>
      </c>
      <c r="N321" s="679">
        <f t="shared" si="139"/>
        <v>-0.12237707710778646</v>
      </c>
      <c r="O321" s="677">
        <f t="shared" si="140"/>
        <v>259094.68566978982</v>
      </c>
      <c r="P321" s="680">
        <f t="shared" si="141"/>
        <v>1.5707924672020324</v>
      </c>
      <c r="Q321" s="689">
        <f t="shared" si="163"/>
        <v>122.64222818306925</v>
      </c>
      <c r="R321" s="690">
        <f t="shared" si="164"/>
        <v>1.5626424380741473</v>
      </c>
      <c r="S321" s="677">
        <f t="shared" si="142"/>
        <v>1.3866788515025652</v>
      </c>
      <c r="T321" s="680">
        <f t="shared" si="143"/>
        <v>0.7653390528576397</v>
      </c>
      <c r="U321" s="681">
        <f t="shared" si="155"/>
        <v>0.9249740524211606</v>
      </c>
      <c r="V321" s="682">
        <f t="shared" si="156"/>
        <v>-0.48380121548461075</v>
      </c>
      <c r="W321" s="683">
        <f t="shared" si="144"/>
        <v>-12.932436958923271</v>
      </c>
      <c r="X321" s="684">
        <f t="shared" si="145"/>
        <v>-165.0580290826056</v>
      </c>
      <c r="Y321" s="687">
        <f t="shared" si="146"/>
        <v>14.9419709173944</v>
      </c>
      <c r="AA321" s="170">
        <f t="shared" si="147"/>
        <v>22909</v>
      </c>
      <c r="AB321" s="170">
        <f t="shared" si="148"/>
        <v>524822281</v>
      </c>
      <c r="AD321" s="686">
        <f t="shared" si="149"/>
        <v>35.769562801123797</v>
      </c>
      <c r="AE321" s="687">
        <f t="shared" si="150"/>
        <v>-44.317659947859397</v>
      </c>
      <c r="AG321" s="686">
        <f t="shared" si="151"/>
        <v>7.7448808127683213</v>
      </c>
      <c r="AH321" s="687">
        <f t="shared" si="152"/>
        <v>-65.300833530262366</v>
      </c>
      <c r="AJ321" s="170">
        <f t="shared" si="153"/>
        <v>0</v>
      </c>
      <c r="AK321" s="170">
        <f t="shared" si="165"/>
        <v>0</v>
      </c>
      <c r="AM321" s="170" t="str">
        <f t="shared" si="157"/>
        <v>0.246947598335417+0.657960546193465i</v>
      </c>
      <c r="AN321" s="170" t="str">
        <f t="shared" si="158"/>
        <v>0.718107296197941i</v>
      </c>
      <c r="AO321" s="170" t="str">
        <f t="shared" si="159"/>
        <v>0.916242669691665-0.343886769627456i</v>
      </c>
      <c r="AP321" s="170" t="str">
        <f t="shared" si="160"/>
        <v>0.125508733610764-0.109660091032244i</v>
      </c>
      <c r="AQ321" s="170" t="str">
        <f t="shared" si="161"/>
        <v>0.874491266389236+0.109660091032244i</v>
      </c>
      <c r="AR321" s="170" t="str">
        <f t="shared" si="162"/>
        <v>0.937806959241492-0.117599798275538i</v>
      </c>
    </row>
    <row r="322" spans="7:44">
      <c r="G322" s="688">
        <v>23042.25</v>
      </c>
      <c r="H322" s="676">
        <f t="shared" si="154"/>
        <v>23.042249999999999</v>
      </c>
      <c r="I322" s="677">
        <f t="shared" si="134"/>
        <v>284.04419633570728</v>
      </c>
      <c r="J322" s="678">
        <f t="shared" si="135"/>
        <v>1.567275740637327</v>
      </c>
      <c r="K322" s="678">
        <f t="shared" si="136"/>
        <v>1.0022152074938824</v>
      </c>
      <c r="L322" s="679">
        <f t="shared" si="137"/>
        <v>6.6500013867049998E-2</v>
      </c>
      <c r="M322" s="678">
        <f t="shared" si="138"/>
        <v>1.0076226647876976</v>
      </c>
      <c r="N322" s="679">
        <f t="shared" si="139"/>
        <v>-0.12308173564579837</v>
      </c>
      <c r="O322" s="677">
        <f t="shared" si="140"/>
        <v>260601.70766398369</v>
      </c>
      <c r="P322" s="680">
        <f t="shared" si="141"/>
        <v>1.5707924895214997</v>
      </c>
      <c r="Q322" s="689">
        <f t="shared" si="163"/>
        <v>123.35552835125954</v>
      </c>
      <c r="R322" s="690">
        <f t="shared" si="164"/>
        <v>1.5626895887617485</v>
      </c>
      <c r="S322" s="677">
        <f t="shared" si="142"/>
        <v>1.3905557472341554</v>
      </c>
      <c r="T322" s="680">
        <f t="shared" si="143"/>
        <v>0.76823686080546294</v>
      </c>
      <c r="U322" s="681">
        <f t="shared" si="155"/>
        <v>0.92419406698331552</v>
      </c>
      <c r="V322" s="682">
        <f t="shared" si="156"/>
        <v>-0.48641363291250084</v>
      </c>
      <c r="W322" s="683">
        <f t="shared" si="144"/>
        <v>-13.013416289167042</v>
      </c>
      <c r="X322" s="684">
        <f t="shared" si="145"/>
        <v>-165.39061938564257</v>
      </c>
      <c r="Y322" s="687">
        <f t="shared" si="146"/>
        <v>14.609380614357434</v>
      </c>
      <c r="AA322" s="170">
        <f t="shared" si="147"/>
        <v>23042.25</v>
      </c>
      <c r="AB322" s="170">
        <f t="shared" si="148"/>
        <v>530945285.0625</v>
      </c>
      <c r="AD322" s="686">
        <f t="shared" si="149"/>
        <v>35.745309225873235</v>
      </c>
      <c r="AE322" s="687">
        <f t="shared" si="150"/>
        <v>-44.480991856706353</v>
      </c>
      <c r="AG322" s="686">
        <f t="shared" si="151"/>
        <v>7.7028100104819366</v>
      </c>
      <c r="AH322" s="687">
        <f t="shared" si="152"/>
        <v>-65.170730938221212</v>
      </c>
      <c r="AJ322" s="170">
        <f t="shared" si="153"/>
        <v>0</v>
      </c>
      <c r="AK322" s="170">
        <f t="shared" si="165"/>
        <v>0</v>
      </c>
      <c r="AM322" s="170" t="str">
        <f t="shared" si="157"/>
        <v>0.249702371575044+0.661100195719141i</v>
      </c>
      <c r="AN322" s="170" t="str">
        <f t="shared" si="158"/>
        <v>0.72228416106408i</v>
      </c>
      <c r="AO322" s="170" t="str">
        <f t="shared" si="159"/>
        <v>0.915291005059834-0.345712096479007i</v>
      </c>
      <c r="AP322" s="170" t="str">
        <f t="shared" si="160"/>
        <v>0.125049604737493-0.11018336595319i</v>
      </c>
      <c r="AQ322" s="170" t="str">
        <f t="shared" si="161"/>
        <v>0.874950395262507+0.11018336595319i</v>
      </c>
      <c r="AR322" s="170" t="str">
        <f t="shared" si="162"/>
        <v>0.937191416814118-0.118021439165174i</v>
      </c>
    </row>
    <row r="323" spans="7:44">
      <c r="G323" s="688">
        <v>23175.5</v>
      </c>
      <c r="H323" s="676">
        <f t="shared" si="154"/>
        <v>23.1755</v>
      </c>
      <c r="I323" s="677">
        <f t="shared" si="134"/>
        <v>285.68676255181896</v>
      </c>
      <c r="J323" s="678">
        <f t="shared" si="135"/>
        <v>1.5672959824557362</v>
      </c>
      <c r="K323" s="678">
        <f t="shared" si="136"/>
        <v>1.0022408732977348</v>
      </c>
      <c r="L323" s="679">
        <f t="shared" si="137"/>
        <v>6.688343127720936E-2</v>
      </c>
      <c r="M323" s="678">
        <f t="shared" si="138"/>
        <v>1.0077107429522445</v>
      </c>
      <c r="N323" s="679">
        <f t="shared" si="139"/>
        <v>-0.12378627135334212</v>
      </c>
      <c r="O323" s="677">
        <f t="shared" si="140"/>
        <v>262108.72965817765</v>
      </c>
      <c r="P323" s="680">
        <f t="shared" si="141"/>
        <v>1.5707925115843109</v>
      </c>
      <c r="Q323" s="689">
        <f t="shared" si="163"/>
        <v>124.06882879053894</v>
      </c>
      <c r="R323" s="690">
        <f t="shared" si="164"/>
        <v>1.5627361972889999</v>
      </c>
      <c r="S323" s="677">
        <f t="shared" si="142"/>
        <v>1.3944442548805802</v>
      </c>
      <c r="T323" s="680">
        <f t="shared" si="143"/>
        <v>0.77111853134943509</v>
      </c>
      <c r="U323" s="681">
        <f t="shared" si="155"/>
        <v>0.92341141731810306</v>
      </c>
      <c r="V323" s="682">
        <f t="shared" si="156"/>
        <v>-0.48902296018284358</v>
      </c>
      <c r="W323" s="683">
        <f t="shared" si="144"/>
        <v>-13.094135643319477</v>
      </c>
      <c r="X323" s="684">
        <f t="shared" si="145"/>
        <v>-165.72211967223137</v>
      </c>
      <c r="Y323" s="687">
        <f t="shared" si="146"/>
        <v>14.277880327768628</v>
      </c>
      <c r="AA323" s="170">
        <f t="shared" si="147"/>
        <v>23175.5</v>
      </c>
      <c r="AB323" s="170">
        <f t="shared" si="148"/>
        <v>537103800.25</v>
      </c>
      <c r="AD323" s="686">
        <f t="shared" si="149"/>
        <v>35.721050893946874</v>
      </c>
      <c r="AE323" s="687">
        <f t="shared" si="150"/>
        <v>-44.643430209213875</v>
      </c>
      <c r="AG323" s="686">
        <f t="shared" si="151"/>
        <v>7.6610664354201461</v>
      </c>
      <c r="AH323" s="687">
        <f t="shared" si="152"/>
        <v>-65.040785992042771</v>
      </c>
      <c r="AJ323" s="170">
        <f t="shared" si="153"/>
        <v>0</v>
      </c>
      <c r="AK323" s="170">
        <f t="shared" si="165"/>
        <v>0</v>
      </c>
      <c r="AM323" s="170" t="str">
        <f t="shared" si="157"/>
        <v>0.252470234638208+0.664228311575278i</v>
      </c>
      <c r="AN323" s="170" t="str">
        <f t="shared" si="158"/>
        <v>0.726461025930219i</v>
      </c>
      <c r="AO323" s="170" t="str">
        <f t="shared" si="159"/>
        <v>0.914334407306637-0.347534452126905i</v>
      </c>
      <c r="AP323" s="170" t="str">
        <f t="shared" si="160"/>
        <v>0.124588294226965-0.11070471859588i</v>
      </c>
      <c r="AQ323" s="170" t="str">
        <f t="shared" si="161"/>
        <v>0.875411705773035+0.11070471859588i</v>
      </c>
      <c r="AR323" s="170" t="str">
        <f t="shared" si="162"/>
        <v>0.936574411788666-0.11843936517802i</v>
      </c>
    </row>
    <row r="324" spans="7:44">
      <c r="G324" s="688">
        <v>23308.75</v>
      </c>
      <c r="H324" s="676">
        <f t="shared" si="154"/>
        <v>23.30875</v>
      </c>
      <c r="I324" s="677">
        <f t="shared" si="134"/>
        <v>287.32932888364707</v>
      </c>
      <c r="J324" s="678">
        <f t="shared" si="135"/>
        <v>1.567315992842649</v>
      </c>
      <c r="K324" s="678">
        <f t="shared" si="136"/>
        <v>1.0022666864323673</v>
      </c>
      <c r="L324" s="679">
        <f t="shared" si="137"/>
        <v>6.7266828994084982E-2</v>
      </c>
      <c r="M324" s="678">
        <f t="shared" si="138"/>
        <v>1.0077993212271643</v>
      </c>
      <c r="N324" s="679">
        <f t="shared" si="139"/>
        <v>-0.1244906835632931</v>
      </c>
      <c r="O324" s="677">
        <f t="shared" si="140"/>
        <v>263615.75165237172</v>
      </c>
      <c r="P324" s="680">
        <f t="shared" si="141"/>
        <v>1.5707925333948676</v>
      </c>
      <c r="Q324" s="689">
        <f t="shared" si="163"/>
        <v>124.78212949625846</v>
      </c>
      <c r="R324" s="690">
        <f t="shared" si="164"/>
        <v>1.562782272953263</v>
      </c>
      <c r="S324" s="677">
        <f t="shared" si="142"/>
        <v>1.3983442775708073</v>
      </c>
      <c r="T324" s="680">
        <f t="shared" si="143"/>
        <v>0.77398415145402744</v>
      </c>
      <c r="U324" s="681">
        <f t="shared" si="155"/>
        <v>0.92262612807585642</v>
      </c>
      <c r="V324" s="682">
        <f t="shared" si="156"/>
        <v>-0.49162919002773658</v>
      </c>
      <c r="W324" s="683">
        <f t="shared" si="144"/>
        <v>-13.174597367490751</v>
      </c>
      <c r="X324" s="684">
        <f t="shared" si="145"/>
        <v>-166.05253417572789</v>
      </c>
      <c r="Y324" s="687">
        <f t="shared" si="146"/>
        <v>13.947465824272115</v>
      </c>
      <c r="AA324" s="170">
        <f t="shared" si="147"/>
        <v>23308.75</v>
      </c>
      <c r="AB324" s="170">
        <f t="shared" si="148"/>
        <v>543297826.5625</v>
      </c>
      <c r="AD324" s="686">
        <f t="shared" si="149"/>
        <v>35.696788634265737</v>
      </c>
      <c r="AE324" s="687">
        <f t="shared" si="150"/>
        <v>-44.804979455631759</v>
      </c>
      <c r="AG324" s="686">
        <f t="shared" si="151"/>
        <v>7.6196465968819744</v>
      </c>
      <c r="AH324" s="687">
        <f t="shared" si="152"/>
        <v>-64.91099930767335</v>
      </c>
      <c r="AJ324" s="170">
        <f t="shared" si="153"/>
        <v>0</v>
      </c>
      <c r="AK324" s="170">
        <f t="shared" si="165"/>
        <v>0</v>
      </c>
      <c r="AM324" s="170" t="str">
        <f t="shared" si="157"/>
        <v>0.255251139236287+0.66734483918822i</v>
      </c>
      <c r="AN324" s="170" t="str">
        <f t="shared" si="158"/>
        <v>0.730637890796358i</v>
      </c>
      <c r="AO324" s="170" t="str">
        <f t="shared" si="159"/>
        <v>0.913372886342985-0.349353821436877i</v>
      </c>
      <c r="AP324" s="170" t="str">
        <f t="shared" si="160"/>
        <v>0.124124810127286-0.111224139864703i</v>
      </c>
      <c r="AQ324" s="170" t="str">
        <f t="shared" si="161"/>
        <v>0.875875189872714+0.111224139864703i</v>
      </c>
      <c r="AR324" s="170" t="str">
        <f t="shared" si="162"/>
        <v>0.935955970445174-0.11885357522129i</v>
      </c>
    </row>
    <row r="325" spans="7:44">
      <c r="G325" s="688">
        <v>23442</v>
      </c>
      <c r="H325" s="676">
        <f t="shared" si="154"/>
        <v>23.442</v>
      </c>
      <c r="I325" s="677">
        <f t="shared" si="134"/>
        <v>288.97189532921846</v>
      </c>
      <c r="J325" s="678">
        <f t="shared" si="135"/>
        <v>1.5673357757445401</v>
      </c>
      <c r="K325" s="678">
        <f t="shared" si="136"/>
        <v>1.0022926468863969</v>
      </c>
      <c r="L325" s="679">
        <f t="shared" si="137"/>
        <v>6.7650206906488597E-2</v>
      </c>
      <c r="M325" s="678">
        <f t="shared" si="138"/>
        <v>1.0078883994806005</v>
      </c>
      <c r="N325" s="679">
        <f t="shared" si="139"/>
        <v>-0.12519497160925083</v>
      </c>
      <c r="O325" s="677">
        <f t="shared" si="140"/>
        <v>265122.77364656597</v>
      </c>
      <c r="P325" s="680">
        <f t="shared" si="141"/>
        <v>1.5707925549574711</v>
      </c>
      <c r="Q325" s="689">
        <f t="shared" si="163"/>
        <v>125.4954304638749</v>
      </c>
      <c r="R325" s="690">
        <f t="shared" si="164"/>
        <v>1.5628278248405287</v>
      </c>
      <c r="S325" s="677">
        <f t="shared" si="142"/>
        <v>1.4022557192262182</v>
      </c>
      <c r="T325" s="680">
        <f t="shared" si="143"/>
        <v>0.77683380817210612</v>
      </c>
      <c r="U325" s="681">
        <f t="shared" si="155"/>
        <v>0.92183822387351499</v>
      </c>
      <c r="V325" s="682">
        <f t="shared" si="156"/>
        <v>-0.49423231531085599</v>
      </c>
      <c r="W325" s="683">
        <f t="shared" si="144"/>
        <v>-13.254803764211031</v>
      </c>
      <c r="X325" s="684">
        <f t="shared" si="145"/>
        <v>-166.38186714897526</v>
      </c>
      <c r="Y325" s="687">
        <f t="shared" si="146"/>
        <v>13.61813285102474</v>
      </c>
      <c r="AA325" s="170">
        <f t="shared" si="147"/>
        <v>23442</v>
      </c>
      <c r="AB325" s="170">
        <f t="shared" si="148"/>
        <v>549527364</v>
      </c>
      <c r="AD325" s="686">
        <f t="shared" si="149"/>
        <v>35.672523262373069</v>
      </c>
      <c r="AE325" s="687">
        <f t="shared" si="150"/>
        <v>-44.965644063379344</v>
      </c>
      <c r="AG325" s="686">
        <f t="shared" si="151"/>
        <v>7.578547061088158</v>
      </c>
      <c r="AH325" s="687">
        <f t="shared" si="152"/>
        <v>-64.7813714882992</v>
      </c>
      <c r="AJ325" s="170">
        <f t="shared" si="153"/>
        <v>0</v>
      </c>
      <c r="AK325" s="170">
        <f t="shared" si="165"/>
        <v>0</v>
      </c>
      <c r="AM325" s="170" t="str">
        <f t="shared" si="157"/>
        <v>0.258045036853132+0.670449724186481i</v>
      </c>
      <c r="AN325" s="170" t="str">
        <f t="shared" si="158"/>
        <v>0.734814755662497i</v>
      </c>
      <c r="AO325" s="170" t="str">
        <f t="shared" si="159"/>
        <v>0.912406452129577-0.351170189309118i</v>
      </c>
      <c r="AP325" s="170" t="str">
        <f t="shared" si="160"/>
        <v>0.123659160524478-0.111741620697747i</v>
      </c>
      <c r="AQ325" s="170" t="str">
        <f t="shared" si="161"/>
        <v>0.876340839475522+0.111741620697747i</v>
      </c>
      <c r="AR325" s="170" t="str">
        <f t="shared" si="162"/>
        <v>0.935336118986579-0.119264068413441i</v>
      </c>
    </row>
    <row r="326" spans="7:44">
      <c r="G326" s="688">
        <v>23578.5</v>
      </c>
      <c r="H326" s="676">
        <f t="shared" si="154"/>
        <v>23.578499999999998</v>
      </c>
      <c r="I326" s="677">
        <f t="shared" si="134"/>
        <v>290.65452448694583</v>
      </c>
      <c r="J326" s="678">
        <f t="shared" si="135"/>
        <v>1.5673558093124043</v>
      </c>
      <c r="K326" s="678">
        <f t="shared" si="136"/>
        <v>1.0023193932632162</v>
      </c>
      <c r="L326" s="679">
        <f t="shared" si="137"/>
        <v>6.804291484857608E-2</v>
      </c>
      <c r="M326" s="678">
        <f t="shared" si="138"/>
        <v>1.0079801686549277</v>
      </c>
      <c r="N326" s="679">
        <f t="shared" si="139"/>
        <v>-0.12591630797308534</v>
      </c>
      <c r="O326" s="677">
        <f t="shared" si="140"/>
        <v>266666.55227476504</v>
      </c>
      <c r="P326" s="680">
        <f t="shared" si="141"/>
        <v>1.570792576793288</v>
      </c>
      <c r="Q326" s="689">
        <f t="shared" si="163"/>
        <v>126.22612928298265</v>
      </c>
      <c r="R326" s="690">
        <f t="shared" si="164"/>
        <v>1.5628739539357877</v>
      </c>
      <c r="S326" s="677">
        <f t="shared" si="142"/>
        <v>1.4062743024241318</v>
      </c>
      <c r="T326" s="680">
        <f t="shared" si="143"/>
        <v>0.77973650762243729</v>
      </c>
      <c r="U326" s="681">
        <f t="shared" si="155"/>
        <v>0.92102841678395009</v>
      </c>
      <c r="V326" s="682">
        <f t="shared" si="156"/>
        <v>-0.49689570506609321</v>
      </c>
      <c r="W326" s="683">
        <f t="shared" si="144"/>
        <v>-13.336704032123308</v>
      </c>
      <c r="X326" s="684">
        <f t="shared" si="145"/>
        <v>-166.71811567834229</v>
      </c>
      <c r="Y326" s="687">
        <f t="shared" si="146"/>
        <v>13.281884321657714</v>
      </c>
      <c r="AA326" s="170">
        <f t="shared" si="147"/>
        <v>23578.5</v>
      </c>
      <c r="AB326" s="170">
        <f t="shared" si="148"/>
        <v>555945662.25</v>
      </c>
      <c r="AD326" s="686">
        <f t="shared" si="149"/>
        <v>35.647663663719378</v>
      </c>
      <c r="AE326" s="687">
        <f t="shared" si="150"/>
        <v>-45.129314739894355</v>
      </c>
      <c r="AG326" s="686">
        <f t="shared" si="151"/>
        <v>7.5367736831368068</v>
      </c>
      <c r="AH326" s="687">
        <f t="shared" si="152"/>
        <v>-64.64874735645553</v>
      </c>
      <c r="AJ326" s="170">
        <f t="shared" si="153"/>
        <v>0</v>
      </c>
      <c r="AK326" s="170">
        <f t="shared" si="165"/>
        <v>0</v>
      </c>
      <c r="AM326" s="170" t="str">
        <f t="shared" si="157"/>
        <v>0.260920499599133+0.673618209438555i</v>
      </c>
      <c r="AN326" s="170" t="str">
        <f t="shared" si="158"/>
        <v>0.739093495281468i</v>
      </c>
      <c r="AO326" s="170" t="str">
        <f t="shared" si="159"/>
        <v>0.911411362350066-0.353027730950016i</v>
      </c>
      <c r="AP326" s="170" t="str">
        <f t="shared" si="160"/>
        <v>0.123179916733478-0.112269701573093i</v>
      </c>
      <c r="AQ326" s="170" t="str">
        <f t="shared" si="161"/>
        <v>0.876820083266522+0.112269701573093i</v>
      </c>
      <c r="AR326" s="170" t="str">
        <f t="shared" si="162"/>
        <v>0.934699714382919-0.119680718994581i</v>
      </c>
    </row>
    <row r="327" spans="7:44">
      <c r="G327" s="688">
        <v>23715</v>
      </c>
      <c r="H327" s="676">
        <f t="shared" si="154"/>
        <v>23.715</v>
      </c>
      <c r="I327" s="677">
        <f t="shared" si="134"/>
        <v>292.33715375998275</v>
      </c>
      <c r="J327" s="678">
        <f t="shared" si="135"/>
        <v>1.5673756122625304</v>
      </c>
      <c r="K327" s="678">
        <f t="shared" si="136"/>
        <v>1.0023462942089953</v>
      </c>
      <c r="L327" s="679">
        <f t="shared" si="137"/>
        <v>6.8435601772248209E-2</v>
      </c>
      <c r="M327" s="678">
        <f t="shared" si="138"/>
        <v>1.0080724622120449</v>
      </c>
      <c r="N327" s="679">
        <f t="shared" si="139"/>
        <v>-0.12663751262896292</v>
      </c>
      <c r="O327" s="677">
        <f t="shared" si="140"/>
        <v>268210.33090296423</v>
      </c>
      <c r="P327" s="680">
        <f t="shared" si="141"/>
        <v>1.5707925983777375</v>
      </c>
      <c r="Q327" s="689">
        <f t="shared" si="163"/>
        <v>126.95682836759435</v>
      </c>
      <c r="R327" s="690">
        <f t="shared" si="164"/>
        <v>1.5629195520398109</v>
      </c>
      <c r="S327" s="677">
        <f t="shared" si="142"/>
        <v>1.4103046668339652</v>
      </c>
      <c r="T327" s="680">
        <f t="shared" si="143"/>
        <v>0.78262264062340192</v>
      </c>
      <c r="U327" s="681">
        <f t="shared" si="155"/>
        <v>0.92021591780028233</v>
      </c>
      <c r="V327" s="682">
        <f t="shared" si="156"/>
        <v>-0.49955582223221878</v>
      </c>
      <c r="W327" s="683">
        <f t="shared" si="144"/>
        <v>-13.418341121854853</v>
      </c>
      <c r="X327" s="684">
        <f t="shared" si="145"/>
        <v>-167.05323836822149</v>
      </c>
      <c r="Y327" s="687">
        <f t="shared" si="146"/>
        <v>12.946761631778514</v>
      </c>
      <c r="AA327" s="170">
        <f t="shared" si="147"/>
        <v>23715</v>
      </c>
      <c r="AB327" s="170">
        <f t="shared" si="148"/>
        <v>562401225</v>
      </c>
      <c r="AD327" s="686">
        <f t="shared" si="149"/>
        <v>35.622802489255456</v>
      </c>
      <c r="AE327" s="687">
        <f t="shared" si="150"/>
        <v>-45.29206663793255</v>
      </c>
      <c r="AG327" s="686">
        <f t="shared" si="151"/>
        <v>7.4953293060658179</v>
      </c>
      <c r="AH327" s="687">
        <f t="shared" si="152"/>
        <v>-64.516291174689599</v>
      </c>
      <c r="AJ327" s="170">
        <f t="shared" si="153"/>
        <v>0</v>
      </c>
      <c r="AK327" s="170">
        <f t="shared" si="165"/>
        <v>0</v>
      </c>
      <c r="AM327" s="170" t="str">
        <f t="shared" si="157"/>
        <v>0.263809493105759+0.676774362368139i</v>
      </c>
      <c r="AN327" s="170" t="str">
        <f t="shared" si="158"/>
        <v>0.74337223490044i</v>
      </c>
      <c r="AO327" s="170" t="str">
        <f t="shared" si="159"/>
        <v>0.910411138046849-0.354882090990513i</v>
      </c>
      <c r="AP327" s="170" t="str">
        <f t="shared" si="160"/>
        <v>0.122698417815707-0.112795727061357i</v>
      </c>
      <c r="AQ327" s="170" t="str">
        <f t="shared" si="161"/>
        <v>0.877301582184293+0.112795727061357i</v>
      </c>
      <c r="AR327" s="170" t="str">
        <f t="shared" si="162"/>
        <v>0.934061885447617-0.120093468003382i</v>
      </c>
    </row>
    <row r="328" spans="7:44">
      <c r="G328" s="688">
        <v>23851.5</v>
      </c>
      <c r="H328" s="676">
        <f t="shared" si="154"/>
        <v>23.851500000000001</v>
      </c>
      <c r="I328" s="677">
        <f t="shared" si="134"/>
        <v>294.0197831463496</v>
      </c>
      <c r="J328" s="678">
        <f t="shared" si="135"/>
        <v>1.567395188554271</v>
      </c>
      <c r="K328" s="678">
        <f t="shared" si="136"/>
        <v>1.0023733497112903</v>
      </c>
      <c r="L328" s="679">
        <f t="shared" si="137"/>
        <v>6.8828267558095096E-2</v>
      </c>
      <c r="M328" s="678">
        <f t="shared" si="138"/>
        <v>1.0081652800079364</v>
      </c>
      <c r="N328" s="679">
        <f t="shared" si="139"/>
        <v>-0.12735858486290985</v>
      </c>
      <c r="O328" s="677">
        <f t="shared" si="140"/>
        <v>269754.10953116359</v>
      </c>
      <c r="P328" s="680">
        <f t="shared" si="141"/>
        <v>1.5707926197151352</v>
      </c>
      <c r="Q328" s="689">
        <f t="shared" si="163"/>
        <v>127.68752771315192</v>
      </c>
      <c r="R328" s="690">
        <f t="shared" si="164"/>
        <v>1.5629646282682927</v>
      </c>
      <c r="S328" s="677">
        <f t="shared" si="142"/>
        <v>1.4143467117394473</v>
      </c>
      <c r="T328" s="680">
        <f t="shared" si="143"/>
        <v>0.78549230092296651</v>
      </c>
      <c r="U328" s="681">
        <f t="shared" si="155"/>
        <v>0.91940075326557746</v>
      </c>
      <c r="V328" s="682">
        <f t="shared" si="156"/>
        <v>-0.50221265956479877</v>
      </c>
      <c r="W328" s="683">
        <f t="shared" si="144"/>
        <v>-13.499717373789728</v>
      </c>
      <c r="X328" s="684">
        <f t="shared" si="145"/>
        <v>-167.38723984564481</v>
      </c>
      <c r="Y328" s="687">
        <f t="shared" si="146"/>
        <v>12.612760154355186</v>
      </c>
      <c r="AA328" s="170">
        <f t="shared" si="147"/>
        <v>23851.5</v>
      </c>
      <c r="AB328" s="170">
        <f t="shared" si="148"/>
        <v>568894052.25</v>
      </c>
      <c r="AD328" s="686">
        <f t="shared" si="149"/>
        <v>35.597940572921885</v>
      </c>
      <c r="AE328" s="687">
        <f t="shared" si="150"/>
        <v>-45.453904606813239</v>
      </c>
      <c r="AG328" s="686">
        <f t="shared" si="151"/>
        <v>7.4542104161790332</v>
      </c>
      <c r="AH328" s="687">
        <f t="shared" si="152"/>
        <v>-64.384003550865089</v>
      </c>
      <c r="AJ328" s="170">
        <f t="shared" si="153"/>
        <v>0</v>
      </c>
      <c r="AK328" s="170">
        <f t="shared" si="165"/>
        <v>0</v>
      </c>
      <c r="AM328" s="170" t="str">
        <f t="shared" si="157"/>
        <v>0.266711964482516+0.679918125193695i</v>
      </c>
      <c r="AN328" s="170" t="str">
        <f t="shared" si="158"/>
        <v>0.747650974519411i</v>
      </c>
      <c r="AO328" s="170" t="str">
        <f t="shared" si="159"/>
        <v>0.909405790089079-0.356733253312427i</v>
      </c>
      <c r="AP328" s="170" t="str">
        <f t="shared" si="160"/>
        <v>0.122214672586247-0.113319687532282i</v>
      </c>
      <c r="AQ328" s="170" t="str">
        <f t="shared" si="161"/>
        <v>0.877785327413753+0.113319687532282i</v>
      </c>
      <c r="AR328" s="170" t="str">
        <f t="shared" si="162"/>
        <v>0.933422660084766-0.120502315170847i</v>
      </c>
    </row>
    <row r="329" spans="7:44">
      <c r="G329" s="688">
        <v>23988</v>
      </c>
      <c r="H329" s="676">
        <f t="shared" si="154"/>
        <v>23.988</v>
      </c>
      <c r="I329" s="677">
        <f t="shared" si="134"/>
        <v>295.70241264411158</v>
      </c>
      <c r="J329" s="678">
        <f t="shared" si="135"/>
        <v>1.5674145420568597</v>
      </c>
      <c r="K329" s="678">
        <f t="shared" si="136"/>
        <v>1.002400559757586</v>
      </c>
      <c r="L329" s="679">
        <f t="shared" si="137"/>
        <v>6.9220912086745773E-2</v>
      </c>
      <c r="M329" s="678">
        <f t="shared" si="138"/>
        <v>1.008258621897822</v>
      </c>
      <c r="N329" s="679">
        <f t="shared" si="139"/>
        <v>-0.12807952396176545</v>
      </c>
      <c r="O329" s="677">
        <f t="shared" si="140"/>
        <v>271297.88815936306</v>
      </c>
      <c r="P329" s="680">
        <f t="shared" si="141"/>
        <v>1.5707926408096986</v>
      </c>
      <c r="Q329" s="689">
        <f t="shared" si="163"/>
        <v>128.41822731520102</v>
      </c>
      <c r="R329" s="690">
        <f t="shared" si="164"/>
        <v>1.5630091915294622</v>
      </c>
      <c r="S329" s="677">
        <f t="shared" si="142"/>
        <v>1.4184003372821283</v>
      </c>
      <c r="T329" s="680">
        <f t="shared" si="143"/>
        <v>0.78834558228726215</v>
      </c>
      <c r="U329" s="681">
        <f t="shared" si="155"/>
        <v>0.9185829494791623</v>
      </c>
      <c r="V329" s="682">
        <f t="shared" si="156"/>
        <v>-0.50486620996249199</v>
      </c>
      <c r="W329" s="683">
        <f t="shared" si="144"/>
        <v>-13.580835085251479</v>
      </c>
      <c r="X329" s="684">
        <f t="shared" si="145"/>
        <v>-167.72012475364573</v>
      </c>
      <c r="Y329" s="687">
        <f t="shared" si="146"/>
        <v>12.279875246354266</v>
      </c>
      <c r="AA329" s="170">
        <f t="shared" si="147"/>
        <v>23988</v>
      </c>
      <c r="AB329" s="170">
        <f t="shared" si="148"/>
        <v>575424144</v>
      </c>
      <c r="AD329" s="686">
        <f t="shared" si="149"/>
        <v>35.57307873455369</v>
      </c>
      <c r="AE329" s="687">
        <f t="shared" si="150"/>
        <v>-45.614833508777693</v>
      </c>
      <c r="AG329" s="686">
        <f t="shared" si="151"/>
        <v>7.4134135569876296</v>
      </c>
      <c r="AH329" s="687">
        <f t="shared" si="152"/>
        <v>-64.251885079527952</v>
      </c>
      <c r="AJ329" s="170">
        <f t="shared" si="153"/>
        <v>0</v>
      </c>
      <c r="AK329" s="170">
        <f t="shared" si="165"/>
        <v>0</v>
      </c>
      <c r="AM329" s="170" t="str">
        <f t="shared" si="157"/>
        <v>0.269627860592164+0.683049440360521i</v>
      </c>
      <c r="AN329" s="170" t="str">
        <f t="shared" si="158"/>
        <v>0.751929714138383i</v>
      </c>
      <c r="AO329" s="170" t="str">
        <f t="shared" si="159"/>
        <v>0.908395329400182-0.358581201836296i</v>
      </c>
      <c r="AP329" s="170" t="str">
        <f t="shared" si="160"/>
        <v>0.121728689901306-0.11384157339342i</v>
      </c>
      <c r="AQ329" s="170" t="str">
        <f t="shared" si="161"/>
        <v>0.878271310098694+0.11384157339342i</v>
      </c>
      <c r="AR329" s="170" t="str">
        <f t="shared" si="162"/>
        <v>0.932782066105817-0.120907260453172i</v>
      </c>
    </row>
    <row r="330" spans="7:44">
      <c r="G330" s="688">
        <v>24127.75</v>
      </c>
      <c r="H330" s="676">
        <f t="shared" si="154"/>
        <v>24.127749999999999</v>
      </c>
      <c r="I330" s="677">
        <f t="shared" si="134"/>
        <v>297.42510486239416</v>
      </c>
      <c r="J330" s="678">
        <f t="shared" si="135"/>
        <v>1.5674341294964307</v>
      </c>
      <c r="K330" s="678">
        <f t="shared" si="136"/>
        <v>1.0024285777562196</v>
      </c>
      <c r="L330" s="679">
        <f t="shared" si="137"/>
        <v>6.9622883147634554E-2</v>
      </c>
      <c r="M330" s="678">
        <f t="shared" si="138"/>
        <v>1.008354729021862</v>
      </c>
      <c r="N330" s="679">
        <f t="shared" si="139"/>
        <v>-0.12881748960576914</v>
      </c>
      <c r="O330" s="677">
        <f t="shared" si="140"/>
        <v>272878.42342156736</v>
      </c>
      <c r="P330" s="680">
        <f t="shared" si="141"/>
        <v>1.5707926621592414</v>
      </c>
      <c r="Q330" s="689">
        <f t="shared" si="163"/>
        <v>129.1663247880019</v>
      </c>
      <c r="R330" s="690">
        <f t="shared" si="164"/>
        <v>1.5630542934781029</v>
      </c>
      <c r="S330" s="677">
        <f t="shared" si="142"/>
        <v>1.4225623718552169</v>
      </c>
      <c r="T330" s="680">
        <f t="shared" si="143"/>
        <v>0.79124992829416618</v>
      </c>
      <c r="U330" s="681">
        <f t="shared" si="155"/>
        <v>0.91774296732975924</v>
      </c>
      <c r="V330" s="682">
        <f t="shared" si="156"/>
        <v>-0.50757952760891045</v>
      </c>
      <c r="W330" s="683">
        <f t="shared" si="144"/>
        <v>-13.663618678343488</v>
      </c>
      <c r="X330" s="684">
        <f t="shared" si="145"/>
        <v>-168.05978359319766</v>
      </c>
      <c r="Y330" s="687">
        <f t="shared" si="146"/>
        <v>11.940216406802335</v>
      </c>
      <c r="AA330" s="170">
        <f t="shared" si="147"/>
        <v>24127.75</v>
      </c>
      <c r="AB330" s="170">
        <f t="shared" si="148"/>
        <v>582148320.0625</v>
      </c>
      <c r="AD330" s="686">
        <f t="shared" si="149"/>
        <v>35.547625869863644</v>
      </c>
      <c r="AE330" s="687">
        <f t="shared" si="150"/>
        <v>-45.778657349339944</v>
      </c>
      <c r="AG330" s="686">
        <f t="shared" si="151"/>
        <v>7.3719754164748625</v>
      </c>
      <c r="AH330" s="687">
        <f t="shared" si="152"/>
        <v>-64.116796778926087</v>
      </c>
      <c r="AJ330" s="170">
        <f t="shared" si="153"/>
        <v>0</v>
      </c>
      <c r="AK330" s="170">
        <f t="shared" si="165"/>
        <v>0</v>
      </c>
      <c r="AM330" s="170" t="str">
        <f t="shared" si="157"/>
        <v>0.272627035047362+0.686242355043762i</v>
      </c>
      <c r="AN330" s="170" t="str">
        <f t="shared" si="158"/>
        <v>0.756310328510187i</v>
      </c>
      <c r="AO330" s="170" t="str">
        <f t="shared" si="159"/>
        <v>0.907355524808913-0.360469802897436i</v>
      </c>
      <c r="AP330" s="170" t="str">
        <f t="shared" si="160"/>
        <v>0.121228827492106-0.114373725840627i</v>
      </c>
      <c r="AQ330" s="170" t="str">
        <f t="shared" si="161"/>
        <v>0.878771172507894+0.114373725840627i</v>
      </c>
      <c r="AR330" s="170" t="str">
        <f t="shared" si="162"/>
        <v>0.932124830948077-0.121317805134463i</v>
      </c>
    </row>
    <row r="331" spans="7:44">
      <c r="G331" s="688">
        <v>24267.5</v>
      </c>
      <c r="H331" s="676">
        <f t="shared" si="154"/>
        <v>24.267499999999998</v>
      </c>
      <c r="I331" s="677">
        <f t="shared" si="134"/>
        <v>299.14779719347496</v>
      </c>
      <c r="J331" s="678">
        <f t="shared" si="135"/>
        <v>1.5674534913409539</v>
      </c>
      <c r="K331" s="678">
        <f t="shared" si="136"/>
        <v>1.0024567577189289</v>
      </c>
      <c r="L331" s="679">
        <f t="shared" si="137"/>
        <v>7.0024831673930005E-2</v>
      </c>
      <c r="M331" s="678">
        <f t="shared" si="138"/>
        <v>1.00845138518428</v>
      </c>
      <c r="N331" s="679">
        <f t="shared" si="139"/>
        <v>-0.12955531418922123</v>
      </c>
      <c r="O331" s="677">
        <f t="shared" si="140"/>
        <v>274458.95868377184</v>
      </c>
      <c r="P331" s="680">
        <f t="shared" si="141"/>
        <v>1.5707926832628918</v>
      </c>
      <c r="Q331" s="689">
        <f t="shared" si="163"/>
        <v>129.91442252052505</v>
      </c>
      <c r="R331" s="690">
        <f t="shared" si="164"/>
        <v>1.5630988759977378</v>
      </c>
      <c r="S331" s="677">
        <f t="shared" si="142"/>
        <v>1.4267363359941934</v>
      </c>
      <c r="T331" s="680">
        <f t="shared" si="143"/>
        <v>0.79413730501849078</v>
      </c>
      <c r="U331" s="681">
        <f t="shared" si="155"/>
        <v>0.91690027439550126</v>
      </c>
      <c r="V331" s="682">
        <f t="shared" si="156"/>
        <v>-0.5102893853295638</v>
      </c>
      <c r="W331" s="683">
        <f t="shared" si="144"/>
        <v>-13.746136012955832</v>
      </c>
      <c r="X331" s="684">
        <f t="shared" si="145"/>
        <v>-168.39828195565121</v>
      </c>
      <c r="Y331" s="687">
        <f t="shared" si="146"/>
        <v>11.601718044348786</v>
      </c>
      <c r="AA331" s="170">
        <f t="shared" si="147"/>
        <v>24267.5</v>
      </c>
      <c r="AB331" s="170">
        <f t="shared" si="148"/>
        <v>588911556.25</v>
      </c>
      <c r="AD331" s="686">
        <f t="shared" si="149"/>
        <v>35.522174781421569</v>
      </c>
      <c r="AE331" s="687">
        <f t="shared" si="150"/>
        <v>-45.941538668629121</v>
      </c>
      <c r="AG331" s="686">
        <f t="shared" si="151"/>
        <v>7.3308676698624922</v>
      </c>
      <c r="AH331" s="687">
        <f t="shared" si="152"/>
        <v>-63.981887000786877</v>
      </c>
      <c r="AJ331" s="170">
        <f t="shared" si="153"/>
        <v>0</v>
      </c>
      <c r="AK331" s="170">
        <f t="shared" si="165"/>
        <v>0</v>
      </c>
      <c r="AM331" s="170" t="str">
        <f t="shared" si="157"/>
        <v>0.275640167609068+0.689422100906681i</v>
      </c>
      <c r="AN331" s="170" t="str">
        <f t="shared" si="158"/>
        <v>0.760690942881991i</v>
      </c>
      <c r="AO331" s="170" t="str">
        <f t="shared" si="159"/>
        <v>0.906310384470601-0.362355001315993i</v>
      </c>
      <c r="AP331" s="170" t="str">
        <f t="shared" si="160"/>
        <v>0.120726638731822-0.114903683484447i</v>
      </c>
      <c r="AQ331" s="170" t="str">
        <f t="shared" si="161"/>
        <v>0.879273361268178+0.114903683484447i</v>
      </c>
      <c r="AR331" s="170" t="str">
        <f t="shared" si="162"/>
        <v>0.931466219917842-0.121724260536594i</v>
      </c>
    </row>
    <row r="332" spans="7:44">
      <c r="G332" s="688">
        <v>24407.25</v>
      </c>
      <c r="H332" s="676">
        <f t="shared" si="154"/>
        <v>24.407250000000001</v>
      </c>
      <c r="I332" s="677">
        <f t="shared" si="134"/>
        <v>300.87048963541633</v>
      </c>
      <c r="J332" s="678">
        <f t="shared" si="135"/>
        <v>1.567472631465479</v>
      </c>
      <c r="K332" s="678">
        <f t="shared" si="136"/>
        <v>1.0024850996320556</v>
      </c>
      <c r="L332" s="679">
        <f t="shared" si="137"/>
        <v>7.0426757537658272E-2</v>
      </c>
      <c r="M332" s="678">
        <f t="shared" si="138"/>
        <v>1.0085485902272218</v>
      </c>
      <c r="N332" s="679">
        <f t="shared" si="139"/>
        <v>-0.13029299694947272</v>
      </c>
      <c r="O332" s="677">
        <f t="shared" si="140"/>
        <v>276039.49394597643</v>
      </c>
      <c r="P332" s="680">
        <f t="shared" si="141"/>
        <v>1.5707927041248733</v>
      </c>
      <c r="Q332" s="689">
        <f t="shared" si="163"/>
        <v>130.66252050830946</v>
      </c>
      <c r="R332" s="690">
        <f t="shared" si="164"/>
        <v>1.5631429480100374</v>
      </c>
      <c r="S332" s="677">
        <f t="shared" si="142"/>
        <v>1.4309221253043236</v>
      </c>
      <c r="T332" s="680">
        <f t="shared" si="143"/>
        <v>0.79700781302327084</v>
      </c>
      <c r="U332" s="681">
        <f t="shared" si="155"/>
        <v>0.91605489874565371</v>
      </c>
      <c r="V332" s="682">
        <f t="shared" si="156"/>
        <v>-0.5129957759666578</v>
      </c>
      <c r="W332" s="683">
        <f t="shared" si="144"/>
        <v>-13.828389421563871</v>
      </c>
      <c r="X332" s="684">
        <f t="shared" si="145"/>
        <v>-168.73562486746027</v>
      </c>
      <c r="Y332" s="687">
        <f t="shared" si="146"/>
        <v>11.264375132539726</v>
      </c>
      <c r="AA332" s="170">
        <f t="shared" si="147"/>
        <v>24407.25</v>
      </c>
      <c r="AB332" s="170">
        <f t="shared" si="148"/>
        <v>595713852.5625</v>
      </c>
      <c r="AD332" s="686">
        <f t="shared" si="149"/>
        <v>35.496726304120642</v>
      </c>
      <c r="AE332" s="687">
        <f t="shared" si="150"/>
        <v>-46.103482717550669</v>
      </c>
      <c r="AG332" s="686">
        <f t="shared" si="151"/>
        <v>7.2900867858982075</v>
      </c>
      <c r="AH332" s="687">
        <f t="shared" si="152"/>
        <v>-63.847156340881554</v>
      </c>
      <c r="AJ332" s="170">
        <f t="shared" si="153"/>
        <v>0</v>
      </c>
      <c r="AK332" s="170">
        <f t="shared" si="165"/>
        <v>0</v>
      </c>
      <c r="AM332" s="170" t="str">
        <f t="shared" si="157"/>
        <v>0.278667200456018+0.692588616930744i</v>
      </c>
      <c r="AN332" s="170" t="str">
        <f t="shared" si="158"/>
        <v>0.765071557253795i</v>
      </c>
      <c r="AO332" s="170" t="str">
        <f t="shared" si="159"/>
        <v>0.9052599202835-0.364236779963807i</v>
      </c>
      <c r="AP332" s="170" t="str">
        <f t="shared" si="160"/>
        <v>0.12022213325733-0.115431436155124i</v>
      </c>
      <c r="AQ332" s="170" t="str">
        <f t="shared" si="161"/>
        <v>0.87977786674267+0.115431436155124i</v>
      </c>
      <c r="AR332" s="170" t="str">
        <f t="shared" si="162"/>
        <v>0.930806262546765-0.122126627333515i</v>
      </c>
    </row>
    <row r="333" spans="7:44">
      <c r="G333" s="688">
        <v>24547</v>
      </c>
      <c r="H333" s="676">
        <f t="shared" si="154"/>
        <v>24.547000000000001</v>
      </c>
      <c r="I333" s="677">
        <f t="shared" ref="I333:I396" si="166">SQRT(1+(G333/pole1)^2)</f>
        <v>302.59318218632484</v>
      </c>
      <c r="J333" s="678">
        <f t="shared" ref="J333:J396" si="167">ATAN(G333/pole1)</f>
        <v>1.567491553656813</v>
      </c>
      <c r="K333" s="678">
        <f t="shared" ref="K333:K396" si="168">SQRT(1+(G333/Zero1)^2)</f>
        <v>1.002513603481864</v>
      </c>
      <c r="L333" s="679">
        <f t="shared" ref="L333:L396" si="169">ATAN(G333/Zero1)</f>
        <v>7.082866061088923E-2</v>
      </c>
      <c r="M333" s="678">
        <f t="shared" ref="M333:M396" si="170">SQRT(1+(G333/z_RHP)^2)</f>
        <v>1.0086463439919973</v>
      </c>
      <c r="N333" s="679">
        <f t="shared" ref="N333:N396" si="171">-ATAN(G333/z_RHP)</f>
        <v>-0.13103053712478516</v>
      </c>
      <c r="O333" s="677">
        <f t="shared" ref="O333:O396" si="172">SQRT(1+(G333/Pole2)^2)</f>
        <v>277620.02920818108</v>
      </c>
      <c r="P333" s="680">
        <f t="shared" ref="P333:P396" si="173">ATAN(G333/Pole2)</f>
        <v>1.5707927247493134</v>
      </c>
      <c r="Q333" s="689">
        <f t="shared" si="163"/>
        <v>131.41061874699562</v>
      </c>
      <c r="R333" s="690">
        <f t="shared" si="164"/>
        <v>1.5631865182335232</v>
      </c>
      <c r="S333" s="677">
        <f t="shared" ref="S333:S396" si="174">SQRT(1+(G333/pole4)^2)</f>
        <v>1.4351196363147773</v>
      </c>
      <c r="T333" s="680">
        <f t="shared" ref="T333:T396" si="175">ATAN(G333/pole4)</f>
        <v>0.79986155281194871</v>
      </c>
      <c r="U333" s="681">
        <f t="shared" si="155"/>
        <v>0.91520686839396992</v>
      </c>
      <c r="V333" s="682">
        <f t="shared" si="156"/>
        <v>-0.5156986925174103</v>
      </c>
      <c r="W333" s="683">
        <f t="shared" ref="W333:W396" si="176">20*LOG10(((K333*Q333*M333*U333)/(I333*O333*S333))*Adc)</f>
        <v>-13.910381194200472</v>
      </c>
      <c r="X333" s="684">
        <f t="shared" ref="X333:X396" si="177">((L333+R333+N333+V333)-(J333+P333+T333))*radconv</f>
        <v>-169.07181736717342</v>
      </c>
      <c r="Y333" s="687">
        <f t="shared" ref="Y333:Y396" si="178">IF(X333&gt;0,X333,X333+180)</f>
        <v>10.928182632826577</v>
      </c>
      <c r="AA333" s="170">
        <f t="shared" ref="AA333:AA396" si="179">IF(W333&lt;0,G333,1000000000)</f>
        <v>24547</v>
      </c>
      <c r="AB333" s="170">
        <f t="shared" ref="AB333:AB396" si="180">G333^2</f>
        <v>602555209</v>
      </c>
      <c r="AD333" s="686">
        <f t="shared" ref="AD333:AD396" si="181">20*LOG10((Q333/(O333*S333))*Aea)</f>
        <v>35.471281258062895</v>
      </c>
      <c r="AE333" s="687">
        <f t="shared" ref="AE333:AE396" si="182">(R333-(P333+T333))*radconv</f>
        <v>-46.264494755229634</v>
      </c>
      <c r="AG333" s="686">
        <f t="shared" ref="AG333:AG396" si="183">20*LOG10((K333*M333/(I333*U333))*Acs*Am)</f>
        <v>7.2496292906966779</v>
      </c>
      <c r="AH333" s="687">
        <f t="shared" ref="AH333:AH396" si="184">(L333+N333-(J333+V333))*radconv</f>
        <v>-63.712605381093482</v>
      </c>
      <c r="AJ333" s="170">
        <f t="shared" ref="AJ333:AJ396" si="185">SUM((W334&lt;0)*(W333&gt;0))*G333</f>
        <v>0</v>
      </c>
      <c r="AK333" s="170">
        <f t="shared" si="165"/>
        <v>0</v>
      </c>
      <c r="AM333" s="170" t="str">
        <f t="shared" si="157"/>
        <v>0.281708075500203+0.695741842351298i</v>
      </c>
      <c r="AN333" s="170" t="str">
        <f t="shared" si="158"/>
        <v>0.7694521716256i</v>
      </c>
      <c r="AO333" s="170" t="str">
        <f t="shared" si="159"/>
        <v>0.904204144204862-0.366115121756101i</v>
      </c>
      <c r="AP333" s="170" t="str">
        <f t="shared" si="160"/>
        <v>0.119715320749966-0.115956973725216i</v>
      </c>
      <c r="AQ333" s="170" t="str">
        <f t="shared" si="161"/>
        <v>0.880284679250034+0.115956973725216i</v>
      </c>
      <c r="AR333" s="170" t="str">
        <f t="shared" si="162"/>
        <v>0.930144988256597-0.122524906437996i</v>
      </c>
    </row>
    <row r="334" spans="7:44">
      <c r="G334" s="688">
        <v>24690</v>
      </c>
      <c r="H334" s="676">
        <f t="shared" ref="H334:H397" si="186">G334/1000</f>
        <v>24.69</v>
      </c>
      <c r="I334" s="677">
        <f t="shared" si="166"/>
        <v>304.35593746556412</v>
      </c>
      <c r="J334" s="678">
        <f t="shared" si="167"/>
        <v>1.5675106941650232</v>
      </c>
      <c r="K334" s="678">
        <f t="shared" si="168"/>
        <v>1.0025429378269177</v>
      </c>
      <c r="L334" s="679">
        <f t="shared" si="169"/>
        <v>7.1239886542133118E-2</v>
      </c>
      <c r="M334" s="678">
        <f t="shared" si="170"/>
        <v>1.0087469389453996</v>
      </c>
      <c r="N334" s="679">
        <f t="shared" si="171"/>
        <v>-0.13178508100613906</v>
      </c>
      <c r="O334" s="677">
        <f t="shared" si="172"/>
        <v>279237.3211043906</v>
      </c>
      <c r="P334" s="680">
        <f t="shared" si="173"/>
        <v>1.5707927456117079</v>
      </c>
      <c r="Q334" s="689">
        <f t="shared" si="163"/>
        <v>132.17611487441744</v>
      </c>
      <c r="R334" s="690">
        <f t="shared" si="164"/>
        <v>1.5632305911771334</v>
      </c>
      <c r="S334" s="677">
        <f t="shared" si="174"/>
        <v>1.4394267906525526</v>
      </c>
      <c r="T334" s="680">
        <f t="shared" si="175"/>
        <v>0.80276440571478225</v>
      </c>
      <c r="U334" s="681">
        <f t="shared" ref="U334:U397" si="187">IMABS(IMPRODUCT(AO334, AR334))</f>
        <v>0.91433639754376173</v>
      </c>
      <c r="V334" s="682">
        <f t="shared" ref="V334:V397" si="188">IMARGUMENT(IMPRODUCT(AO334, AR334))</f>
        <v>-0.51846086423463122</v>
      </c>
      <c r="W334" s="683">
        <f t="shared" si="176"/>
        <v>-13.994011264265055</v>
      </c>
      <c r="X334" s="684">
        <f t="shared" si="177"/>
        <v>-169.41464271071015</v>
      </c>
      <c r="Y334" s="687">
        <f t="shared" si="178"/>
        <v>10.585357289289846</v>
      </c>
      <c r="AA334" s="170">
        <f t="shared" si="179"/>
        <v>24690</v>
      </c>
      <c r="AB334" s="170">
        <f t="shared" si="180"/>
        <v>609596100</v>
      </c>
      <c r="AD334" s="686">
        <f t="shared" si="181"/>
        <v>35.445248858794976</v>
      </c>
      <c r="AE334" s="687">
        <f t="shared" si="182"/>
        <v>-46.428291976964026</v>
      </c>
      <c r="AG334" s="686">
        <f t="shared" si="183"/>
        <v>7.2085621156786015</v>
      </c>
      <c r="AH334" s="687">
        <f t="shared" si="184"/>
        <v>-63.575111939159775</v>
      </c>
      <c r="AJ334" s="170">
        <f t="shared" si="185"/>
        <v>0</v>
      </c>
      <c r="AK334" s="170">
        <f t="shared" si="165"/>
        <v>0</v>
      </c>
      <c r="AM334" s="170" t="str">
        <f t="shared" ref="AM334:AM397" si="189">IMSUB(1,IMEXP(COMPLEX(0,-2*Pi*G334*Tsw)))</f>
        <v>0.284833936501539+0.698954577651591i</v>
      </c>
      <c r="AN334" s="170" t="str">
        <f t="shared" ref="AN334:AN397" si="190">COMPLEX(0, 2*Pi*G334*Tsw)</f>
        <v>0.773934660750236i</v>
      </c>
      <c r="AO334" s="170" t="str">
        <f t="shared" ref="AO334:AO397" si="191">IMDIV(AM334, AN334)</f>
        <v>0.903118329102923-0.368033570463722i</v>
      </c>
      <c r="AP334" s="170" t="str">
        <f t="shared" ref="AP334:AP397" si="192">IMDIV(IMEXP(COMPLEX(0,-2*Pi*G334*Tsw)),6)</f>
        <v>0.11919434391641-0.116492429608598i</v>
      </c>
      <c r="AQ334" s="170" t="str">
        <f t="shared" ref="AQ334:AQ397" si="193">IMSUB(1, AP334)</f>
        <v>0.88080565608359+0.116492429608598i</v>
      </c>
      <c r="AR334" s="170" t="str">
        <f t="shared" ref="AR334:AR397" si="194">IMDIV(0.833, AQ334)</f>
        <v>0.929467002855069-0.12292821765592i</v>
      </c>
    </row>
    <row r="335" spans="7:44">
      <c r="G335" s="688">
        <v>24833</v>
      </c>
      <c r="H335" s="676">
        <f t="shared" si="186"/>
        <v>24.832999999999998</v>
      </c>
      <c r="I335" s="677">
        <f t="shared" si="166"/>
        <v>306.11869285502269</v>
      </c>
      <c r="J335" s="678">
        <f t="shared" si="167"/>
        <v>1.5675296142356465</v>
      </c>
      <c r="K335" s="678">
        <f t="shared" si="168"/>
        <v>1.0025724416988282</v>
      </c>
      <c r="L335" s="679">
        <f t="shared" si="169"/>
        <v>7.1651088339657665E-2</v>
      </c>
      <c r="M335" s="678">
        <f t="shared" si="170"/>
        <v>1.0088481081004983</v>
      </c>
      <c r="N335" s="679">
        <f t="shared" si="171"/>
        <v>-0.13253947398281143</v>
      </c>
      <c r="O335" s="677">
        <f t="shared" si="172"/>
        <v>280854.61300060031</v>
      </c>
      <c r="P335" s="680">
        <f t="shared" si="173"/>
        <v>1.5707927662338315</v>
      </c>
      <c r="Q335" s="689">
        <f t="shared" si="163"/>
        <v>132.94161125562462</v>
      </c>
      <c r="R335" s="690">
        <f t="shared" si="164"/>
        <v>1.563274156564487</v>
      </c>
      <c r="S335" s="677">
        <f t="shared" si="174"/>
        <v>1.4437460019681125</v>
      </c>
      <c r="T335" s="680">
        <f t="shared" si="175"/>
        <v>0.80564991405683328</v>
      </c>
      <c r="U335" s="681">
        <f t="shared" si="187"/>
        <v>0.91346320624145194</v>
      </c>
      <c r="V335" s="682">
        <f t="shared" si="188"/>
        <v>-0.5212193840606405</v>
      </c>
      <c r="W335" s="683">
        <f t="shared" si="176"/>
        <v>-14.07737210782871</v>
      </c>
      <c r="X335" s="684">
        <f t="shared" si="177"/>
        <v>-169.75627421964182</v>
      </c>
      <c r="Y335" s="687">
        <f t="shared" si="178"/>
        <v>10.243725780358176</v>
      </c>
      <c r="AA335" s="170">
        <f t="shared" si="179"/>
        <v>24833</v>
      </c>
      <c r="AB335" s="170">
        <f t="shared" si="180"/>
        <v>616677889</v>
      </c>
      <c r="AD335" s="686">
        <f t="shared" si="181"/>
        <v>35.419221742909237</v>
      </c>
      <c r="AE335" s="687">
        <f t="shared" si="182"/>
        <v>-46.591124495631846</v>
      </c>
      <c r="AG335" s="686">
        <f t="shared" si="183"/>
        <v>7.1678263648162126</v>
      </c>
      <c r="AH335" s="687">
        <f t="shared" si="184"/>
        <v>-63.437807841595479</v>
      </c>
      <c r="AJ335" s="170">
        <f t="shared" si="185"/>
        <v>0</v>
      </c>
      <c r="AK335" s="170">
        <f t="shared" si="165"/>
        <v>0</v>
      </c>
      <c r="AM335" s="170" t="str">
        <f t="shared" si="189"/>
        <v>0.287974167102238+0.702153269084641i</v>
      </c>
      <c r="AN335" s="170" t="str">
        <f t="shared" si="190"/>
        <v>0.778417149874873i</v>
      </c>
      <c r="AO335" s="170" t="str">
        <f t="shared" si="191"/>
        <v>0.902026977691215-0.369948384550017i</v>
      </c>
      <c r="AP335" s="170" t="str">
        <f t="shared" si="192"/>
        <v>0.118670972149627-0.11702554484744i</v>
      </c>
      <c r="AQ335" s="170" t="str">
        <f t="shared" si="193"/>
        <v>0.881329027850373+0.11702554484744i</v>
      </c>
      <c r="AR335" s="170" t="str">
        <f t="shared" si="194"/>
        <v>0.928787700538006-0.123327251535296i</v>
      </c>
    </row>
    <row r="336" spans="7:44">
      <c r="G336" s="688">
        <v>24976</v>
      </c>
      <c r="H336" s="676">
        <f t="shared" si="186"/>
        <v>24.975999999999999</v>
      </c>
      <c r="I336" s="677">
        <f t="shared" si="166"/>
        <v>307.88144835280747</v>
      </c>
      <c r="J336" s="678">
        <f t="shared" si="167"/>
        <v>1.5675483176549734</v>
      </c>
      <c r="K336" s="678">
        <f t="shared" si="168"/>
        <v>1.0026021150826294</v>
      </c>
      <c r="L336" s="679">
        <f t="shared" si="169"/>
        <v>7.2062265866541922E-2</v>
      </c>
      <c r="M336" s="678">
        <f t="shared" si="170"/>
        <v>1.0089498512845645</v>
      </c>
      <c r="N336" s="679">
        <f t="shared" si="171"/>
        <v>-0.13329371524166322</v>
      </c>
      <c r="O336" s="677">
        <f t="shared" si="172"/>
        <v>282471.90489681013</v>
      </c>
      <c r="P336" s="680">
        <f t="shared" si="173"/>
        <v>1.5707927866198113</v>
      </c>
      <c r="Q336" s="689">
        <f t="shared" si="163"/>
        <v>133.70710788625834</v>
      </c>
      <c r="R336" s="690">
        <f t="shared" si="164"/>
        <v>1.5633172231129628</v>
      </c>
      <c r="S336" s="677">
        <f t="shared" si="174"/>
        <v>1.4480771623736299</v>
      </c>
      <c r="T336" s="680">
        <f t="shared" si="175"/>
        <v>0.80851818520388696</v>
      </c>
      <c r="U336" s="681">
        <f t="shared" si="187"/>
        <v>0.91258732430861178</v>
      </c>
      <c r="V336" s="682">
        <f t="shared" si="188"/>
        <v>-0.52397424499280798</v>
      </c>
      <c r="W336" s="683">
        <f t="shared" si="176"/>
        <v>-14.160466047717556</v>
      </c>
      <c r="X336" s="684">
        <f t="shared" si="177"/>
        <v>-170.09671732331523</v>
      </c>
      <c r="Y336" s="687">
        <f t="shared" si="178"/>
        <v>9.9032826766847677</v>
      </c>
      <c r="AA336" s="170">
        <f t="shared" si="179"/>
        <v>24976</v>
      </c>
      <c r="AB336" s="170">
        <f t="shared" si="180"/>
        <v>623800576</v>
      </c>
      <c r="AD336" s="686">
        <f t="shared" si="181"/>
        <v>35.39320074214038</v>
      </c>
      <c r="AE336" s="687">
        <f t="shared" si="182"/>
        <v>-46.75299796360688</v>
      </c>
      <c r="AG336" s="686">
        <f t="shared" si="183"/>
        <v>7.1274184944022654</v>
      </c>
      <c r="AH336" s="687">
        <f t="shared" si="184"/>
        <v>-63.300693667815779</v>
      </c>
      <c r="AJ336" s="170">
        <f t="shared" si="185"/>
        <v>0</v>
      </c>
      <c r="AK336" s="170">
        <f t="shared" si="165"/>
        <v>0</v>
      </c>
      <c r="AM336" s="170" t="str">
        <f t="shared" si="189"/>
        <v>0.291128704206667+0.705337852380178i</v>
      </c>
      <c r="AN336" s="170" t="str">
        <f t="shared" si="190"/>
        <v>0.78289963899951i</v>
      </c>
      <c r="AO336" s="170" t="str">
        <f t="shared" si="191"/>
        <v>0.900930102971499-0.371859545852785i</v>
      </c>
      <c r="AP336" s="170" t="str">
        <f t="shared" si="192"/>
        <v>0.118145215965555-0.11755630873003i</v>
      </c>
      <c r="AQ336" s="170" t="str">
        <f t="shared" si="193"/>
        <v>0.881854784034445+0.11755630873003i</v>
      </c>
      <c r="AR336" s="170" t="str">
        <f t="shared" si="194"/>
        <v>0.928107112457868-0.123722009816043i</v>
      </c>
    </row>
    <row r="337" spans="7:44">
      <c r="G337" s="688">
        <v>25119</v>
      </c>
      <c r="H337" s="676">
        <f t="shared" si="186"/>
        <v>25.119</v>
      </c>
      <c r="I337" s="677">
        <f t="shared" si="166"/>
        <v>309.6442039570685</v>
      </c>
      <c r="J337" s="678">
        <f t="shared" si="167"/>
        <v>1.5675668081230754</v>
      </c>
      <c r="K337" s="678">
        <f t="shared" si="168"/>
        <v>1.0026319579632708</v>
      </c>
      <c r="L337" s="679">
        <f t="shared" si="169"/>
        <v>7.2473418985913904E-2</v>
      </c>
      <c r="M337" s="678">
        <f t="shared" si="170"/>
        <v>1.0090521683239595</v>
      </c>
      <c r="N337" s="679">
        <f t="shared" si="171"/>
        <v>-0.13404780397057267</v>
      </c>
      <c r="O337" s="677">
        <f t="shared" si="172"/>
        <v>284089.19679302006</v>
      </c>
      <c r="P337" s="680">
        <f t="shared" si="173"/>
        <v>1.5707928067736805</v>
      </c>
      <c r="Q337" s="689">
        <f t="shared" si="163"/>
        <v>134.47260476205886</v>
      </c>
      <c r="R337" s="690">
        <f t="shared" si="164"/>
        <v>1.5633597993414496</v>
      </c>
      <c r="S337" s="677">
        <f t="shared" si="174"/>
        <v>1.452420164971477</v>
      </c>
      <c r="T337" s="680">
        <f t="shared" si="175"/>
        <v>0.81136932637733761</v>
      </c>
      <c r="U337" s="681">
        <f t="shared" si="187"/>
        <v>0.91170878149800583</v>
      </c>
      <c r="V337" s="682">
        <f t="shared" si="188"/>
        <v>-0.52672544019579015</v>
      </c>
      <c r="W337" s="683">
        <f t="shared" si="176"/>
        <v>-14.243295365016611</v>
      </c>
      <c r="X337" s="684">
        <f t="shared" si="177"/>
        <v>-170.4359774588716</v>
      </c>
      <c r="Y337" s="687">
        <f t="shared" si="178"/>
        <v>9.564022541128395</v>
      </c>
      <c r="AA337" s="170">
        <f t="shared" si="179"/>
        <v>25119</v>
      </c>
      <c r="AB337" s="170">
        <f t="shared" si="180"/>
        <v>630964161</v>
      </c>
      <c r="AD337" s="686">
        <f t="shared" si="181"/>
        <v>35.367186672796272</v>
      </c>
      <c r="AE337" s="687">
        <f t="shared" si="182"/>
        <v>-46.913918036357245</v>
      </c>
      <c r="AG337" s="686">
        <f t="shared" si="183"/>
        <v>7.0873350181391279</v>
      </c>
      <c r="AH337" s="687">
        <f t="shared" si="184"/>
        <v>-63.16376998276651</v>
      </c>
      <c r="AJ337" s="170">
        <f t="shared" si="185"/>
        <v>0</v>
      </c>
      <c r="AK337" s="170">
        <f t="shared" si="165"/>
        <v>0</v>
      </c>
      <c r="AM337" s="170" t="str">
        <f t="shared" si="189"/>
        <v>0.294297484431737+0.708508263551404i</v>
      </c>
      <c r="AN337" s="170" t="str">
        <f t="shared" si="190"/>
        <v>0.787382128124147i</v>
      </c>
      <c r="AO337" s="170" t="str">
        <f t="shared" si="191"/>
        <v>0.899827718009486-0.373767036258327i</v>
      </c>
      <c r="AP337" s="170" t="str">
        <f t="shared" si="192"/>
        <v>0.117617085928044-0.118084710591901i</v>
      </c>
      <c r="AQ337" s="170" t="str">
        <f t="shared" si="193"/>
        <v>0.882382914071956+0.118084710591901i</v>
      </c>
      <c r="AR337" s="170" t="str">
        <f t="shared" si="194"/>
        <v>0.927425269638181-0.124112494490016i</v>
      </c>
    </row>
    <row r="338" spans="7:44">
      <c r="G338" s="688">
        <v>25265.25</v>
      </c>
      <c r="H338" s="676">
        <f t="shared" si="186"/>
        <v>25.265250000000002</v>
      </c>
      <c r="I338" s="677">
        <f t="shared" si="166"/>
        <v>311.44702229694838</v>
      </c>
      <c r="J338" s="678">
        <f t="shared" si="167"/>
        <v>1.5675855023315279</v>
      </c>
      <c r="K338" s="678">
        <f t="shared" si="168"/>
        <v>1.0026626543943429</v>
      </c>
      <c r="L338" s="679">
        <f t="shared" si="169"/>
        <v>7.2893891105878114E-2</v>
      </c>
      <c r="M338" s="678">
        <f t="shared" si="170"/>
        <v>1.0091574041354823</v>
      </c>
      <c r="N338" s="679">
        <f t="shared" si="171"/>
        <v>-0.13481887246515528</v>
      </c>
      <c r="O338" s="677">
        <f t="shared" si="172"/>
        <v>285743.24532323488</v>
      </c>
      <c r="P338" s="680">
        <f t="shared" si="173"/>
        <v>1.5707928271496159</v>
      </c>
      <c r="Q338" s="689">
        <f t="shared" si="163"/>
        <v>135.25549954337748</v>
      </c>
      <c r="R338" s="690">
        <f t="shared" si="164"/>
        <v>1.5634028447255515</v>
      </c>
      <c r="S338" s="677">
        <f t="shared" si="174"/>
        <v>1.4568740107600766</v>
      </c>
      <c r="T338" s="680">
        <f t="shared" si="175"/>
        <v>0.8142676594135706</v>
      </c>
      <c r="U338" s="681">
        <f t="shared" si="187"/>
        <v>0.91080755046235495</v>
      </c>
      <c r="V338" s="682">
        <f t="shared" si="188"/>
        <v>-0.52953536396943457</v>
      </c>
      <c r="W338" s="683">
        <f t="shared" si="176"/>
        <v>-14.327735789379945</v>
      </c>
      <c r="X338" s="684">
        <f t="shared" si="177"/>
        <v>-170.78173012329188</v>
      </c>
      <c r="Y338" s="687">
        <f t="shared" si="178"/>
        <v>9.2182698767081206</v>
      </c>
      <c r="AA338" s="170">
        <f t="shared" si="179"/>
        <v>25265.25</v>
      </c>
      <c r="AB338" s="170">
        <f t="shared" si="180"/>
        <v>638332857.5625</v>
      </c>
      <c r="AD338" s="686">
        <f t="shared" si="181"/>
        <v>35.340589378900695</v>
      </c>
      <c r="AE338" s="687">
        <f t="shared" si="182"/>
        <v>-47.077515135762198</v>
      </c>
      <c r="AG338" s="686">
        <f t="shared" si="183"/>
        <v>7.0466725160473</v>
      </c>
      <c r="AH338" s="687">
        <f t="shared" si="184"/>
        <v>-63.023932001447328</v>
      </c>
      <c r="AJ338" s="170">
        <f t="shared" si="185"/>
        <v>0</v>
      </c>
      <c r="AK338" s="170">
        <f t="shared" si="165"/>
        <v>0</v>
      </c>
      <c r="AM338" s="170" t="str">
        <f t="shared" si="189"/>
        <v>0.2975529483924+0.711736004209279i</v>
      </c>
      <c r="AN338" s="170" t="str">
        <f t="shared" si="190"/>
        <v>0.791966492001616i</v>
      </c>
      <c r="AO338" s="170" t="str">
        <f t="shared" si="191"/>
        <v>0.898694593012941-0.375714062902289i</v>
      </c>
      <c r="AP338" s="170" t="str">
        <f t="shared" si="192"/>
        <v>0.117074508601267-0.118622667368213i</v>
      </c>
      <c r="AQ338" s="170" t="str">
        <f t="shared" si="193"/>
        <v>0.882925491398733+0.118622667368213i</v>
      </c>
      <c r="AR338" s="170" t="str">
        <f t="shared" si="194"/>
        <v>0.926726664746941-0.124507435751319i</v>
      </c>
    </row>
    <row r="339" spans="7:44">
      <c r="G339" s="688">
        <v>25411.5</v>
      </c>
      <c r="H339" s="676">
        <f t="shared" si="186"/>
        <v>25.4115</v>
      </c>
      <c r="I339" s="677">
        <f t="shared" si="166"/>
        <v>313.24984074441795</v>
      </c>
      <c r="J339" s="678">
        <f t="shared" si="167"/>
        <v>1.5676039813618163</v>
      </c>
      <c r="K339" s="678">
        <f t="shared" si="168"/>
        <v>1.0026935280820952</v>
      </c>
      <c r="L339" s="679">
        <f t="shared" si="169"/>
        <v>7.3314337406866534E-2</v>
      </c>
      <c r="M339" s="678">
        <f t="shared" si="170"/>
        <v>1.0092632398128021</v>
      </c>
      <c r="N339" s="679">
        <f t="shared" si="171"/>
        <v>-0.13558977970289132</v>
      </c>
      <c r="O339" s="677">
        <f t="shared" si="172"/>
        <v>287397.29385344981</v>
      </c>
      <c r="P339" s="680">
        <f t="shared" si="173"/>
        <v>1.5707928472910133</v>
      </c>
      <c r="Q339" s="689">
        <f t="shared" si="163"/>
        <v>136.03839457242711</v>
      </c>
      <c r="R339" s="690">
        <f t="shared" si="164"/>
        <v>1.563445394661114</v>
      </c>
      <c r="S339" s="677">
        <f t="shared" si="174"/>
        <v>1.4613400201188633</v>
      </c>
      <c r="T339" s="680">
        <f t="shared" si="175"/>
        <v>0.81714830130179861</v>
      </c>
      <c r="U339" s="681">
        <f t="shared" si="187"/>
        <v>0.90990359894527673</v>
      </c>
      <c r="V339" s="682">
        <f t="shared" si="188"/>
        <v>-0.53234143956733959</v>
      </c>
      <c r="W339" s="683">
        <f t="shared" si="176"/>
        <v>-14.411904123406455</v>
      </c>
      <c r="X339" s="684">
        <f t="shared" si="177"/>
        <v>-171.12625696021988</v>
      </c>
      <c r="Y339" s="687">
        <f t="shared" si="178"/>
        <v>8.8737430397801234</v>
      </c>
      <c r="AA339" s="170">
        <f t="shared" si="179"/>
        <v>25411.5</v>
      </c>
      <c r="AB339" s="170">
        <f t="shared" si="180"/>
        <v>645744332.25</v>
      </c>
      <c r="AD339" s="686">
        <f t="shared" si="181"/>
        <v>35.314001013610095</v>
      </c>
      <c r="AE339" s="687">
        <f t="shared" si="182"/>
        <v>-47.240126980722856</v>
      </c>
      <c r="AG339" s="686">
        <f t="shared" si="183"/>
        <v>7.0063421231448375</v>
      </c>
      <c r="AH339" s="687">
        <f t="shared" si="184"/>
        <v>-62.884294415538008</v>
      </c>
      <c r="AJ339" s="170">
        <f t="shared" si="185"/>
        <v>0</v>
      </c>
      <c r="AK339" s="170">
        <f t="shared" si="165"/>
        <v>0</v>
      </c>
      <c r="AM339" s="170" t="str">
        <f t="shared" si="189"/>
        <v>0.300823175229918+0.714948786770372i</v>
      </c>
      <c r="AN339" s="170" t="str">
        <f t="shared" si="190"/>
        <v>0.796550855879086i</v>
      </c>
      <c r="AO339" s="170" t="str">
        <f t="shared" si="191"/>
        <v>0.897555732309575-0.377657211726833i</v>
      </c>
      <c r="AP339" s="170" t="str">
        <f t="shared" si="192"/>
        <v>0.116529470795014-0.119158131128395i</v>
      </c>
      <c r="AQ339" s="170" t="str">
        <f t="shared" si="193"/>
        <v>0.883470529204986+0.119158131128395i</v>
      </c>
      <c r="AR339" s="170" t="str">
        <f t="shared" si="194"/>
        <v>0.926026812649866-0.124897911953484i</v>
      </c>
    </row>
    <row r="340" spans="7:44">
      <c r="G340" s="688">
        <v>25557.75</v>
      </c>
      <c r="H340" s="676">
        <f t="shared" si="186"/>
        <v>25.557749999999999</v>
      </c>
      <c r="I340" s="677">
        <f t="shared" si="166"/>
        <v>315.05265929763016</v>
      </c>
      <c r="J340" s="678">
        <f t="shared" si="167"/>
        <v>1.5676222489078546</v>
      </c>
      <c r="K340" s="678">
        <f t="shared" si="168"/>
        <v>1.0027245790101551</v>
      </c>
      <c r="L340" s="679">
        <f t="shared" si="169"/>
        <v>7.3734757742622087E-2</v>
      </c>
      <c r="M340" s="678">
        <f t="shared" si="170"/>
        <v>1.0093696751672252</v>
      </c>
      <c r="N340" s="679">
        <f t="shared" si="171"/>
        <v>-0.13636052481835328</v>
      </c>
      <c r="O340" s="677">
        <f t="shared" si="172"/>
        <v>289051.34238366486</v>
      </c>
      <c r="P340" s="680">
        <f t="shared" si="173"/>
        <v>1.5707928672018991</v>
      </c>
      <c r="Q340" s="689">
        <f t="shared" si="163"/>
        <v>136.82128984495526</v>
      </c>
      <c r="R340" s="690">
        <f t="shared" si="164"/>
        <v>1.5634874576528937</v>
      </c>
      <c r="S340" s="677">
        <f t="shared" si="174"/>
        <v>1.4658180818690698</v>
      </c>
      <c r="T340" s="680">
        <f t="shared" si="175"/>
        <v>0.82001136615449843</v>
      </c>
      <c r="U340" s="681">
        <f t="shared" si="187"/>
        <v>0.90899695853868767</v>
      </c>
      <c r="V340" s="682">
        <f t="shared" si="188"/>
        <v>-0.53514366021578419</v>
      </c>
      <c r="W340" s="683">
        <f t="shared" si="176"/>
        <v>-14.495802678936908</v>
      </c>
      <c r="X340" s="684">
        <f t="shared" si="177"/>
        <v>-171.46956380309751</v>
      </c>
      <c r="Y340" s="687">
        <f t="shared" si="178"/>
        <v>8.5304361969024853</v>
      </c>
      <c r="AA340" s="170">
        <f t="shared" si="179"/>
        <v>25557.75</v>
      </c>
      <c r="AB340" s="170">
        <f t="shared" si="180"/>
        <v>653198585.0625</v>
      </c>
      <c r="AD340" s="686">
        <f t="shared" si="181"/>
        <v>35.28742240138952</v>
      </c>
      <c r="AE340" s="687">
        <f t="shared" si="182"/>
        <v>-47.401759622346539</v>
      </c>
      <c r="AG340" s="686">
        <f t="shared" si="183"/>
        <v>6.9663402880357461</v>
      </c>
      <c r="AH340" s="687">
        <f t="shared" si="184"/>
        <v>-62.744857783584465</v>
      </c>
      <c r="AJ340" s="170">
        <f t="shared" si="185"/>
        <v>0</v>
      </c>
      <c r="AK340" s="170">
        <f t="shared" si="165"/>
        <v>0</v>
      </c>
      <c r="AM340" s="170" t="str">
        <f t="shared" si="189"/>
        <v>0.304108096216039+0.718146543713701i</v>
      </c>
      <c r="AN340" s="170" t="str">
        <f t="shared" si="190"/>
        <v>0.801135219756555i</v>
      </c>
      <c r="AO340" s="170" t="str">
        <f t="shared" si="191"/>
        <v>0.896411150082664-0.379596463513925i</v>
      </c>
      <c r="AP340" s="170" t="str">
        <f t="shared" si="192"/>
        <v>0.115981983963994-0.11969109061895i</v>
      </c>
      <c r="AQ340" s="170" t="str">
        <f t="shared" si="193"/>
        <v>0.884018016036006+0.11969109061895i</v>
      </c>
      <c r="AR340" s="170" t="str">
        <f t="shared" si="194"/>
        <v>0.925325746102579-0.125283926028381i</v>
      </c>
    </row>
    <row r="341" spans="7:44">
      <c r="G341" s="688">
        <v>25704</v>
      </c>
      <c r="H341" s="676">
        <f t="shared" si="186"/>
        <v>25.704000000000001</v>
      </c>
      <c r="I341" s="677">
        <f t="shared" si="166"/>
        <v>316.8554779547801</v>
      </c>
      <c r="J341" s="678">
        <f t="shared" si="167"/>
        <v>1.5676403085794886</v>
      </c>
      <c r="K341" s="678">
        <f t="shared" si="168"/>
        <v>1.002755807162057</v>
      </c>
      <c r="L341" s="679">
        <f t="shared" si="169"/>
        <v>7.4155151966942487E-2</v>
      </c>
      <c r="M341" s="678">
        <f t="shared" si="170"/>
        <v>1.0094767100090685</v>
      </c>
      <c r="N341" s="679">
        <f t="shared" si="171"/>
        <v>-0.13713110694724806</v>
      </c>
      <c r="O341" s="677">
        <f t="shared" si="172"/>
        <v>290705.39091388002</v>
      </c>
      <c r="P341" s="680">
        <f t="shared" si="173"/>
        <v>1.5707928868862082</v>
      </c>
      <c r="Q341" s="689">
        <f t="shared" si="163"/>
        <v>137.60418535680603</v>
      </c>
      <c r="R341" s="690">
        <f t="shared" si="164"/>
        <v>1.5635290420121029</v>
      </c>
      <c r="S341" s="677">
        <f t="shared" si="174"/>
        <v>1.4703080858881612</v>
      </c>
      <c r="T341" s="680">
        <f t="shared" si="175"/>
        <v>0.82285696784851481</v>
      </c>
      <c r="U341" s="681">
        <f t="shared" si="187"/>
        <v>0.90808766075084546</v>
      </c>
      <c r="V341" s="682">
        <f t="shared" si="188"/>
        <v>-0.53794201932091079</v>
      </c>
      <c r="W341" s="683">
        <f t="shared" si="176"/>
        <v>-14.579433726840499</v>
      </c>
      <c r="X341" s="684">
        <f t="shared" si="177"/>
        <v>-171.81165648850066</v>
      </c>
      <c r="Y341" s="687">
        <f t="shared" si="178"/>
        <v>8.1883435114993404</v>
      </c>
      <c r="AA341" s="170">
        <f t="shared" si="179"/>
        <v>25704</v>
      </c>
      <c r="AB341" s="170">
        <f t="shared" si="180"/>
        <v>660695616</v>
      </c>
      <c r="AD341" s="686">
        <f t="shared" si="181"/>
        <v>35.260854350698686</v>
      </c>
      <c r="AE341" s="687">
        <f t="shared" si="182"/>
        <v>-47.562419109323926</v>
      </c>
      <c r="AG341" s="686">
        <f t="shared" si="183"/>
        <v>6.926663516667972</v>
      </c>
      <c r="AH341" s="687">
        <f t="shared" si="184"/>
        <v>-62.605622649072266</v>
      </c>
      <c r="AJ341" s="170">
        <f t="shared" si="185"/>
        <v>0</v>
      </c>
      <c r="AK341" s="170">
        <f t="shared" si="165"/>
        <v>0</v>
      </c>
      <c r="AM341" s="170" t="str">
        <f t="shared" si="189"/>
        <v>0.307407642313699+0.721329207834073i</v>
      </c>
      <c r="AN341" s="170" t="str">
        <f t="shared" si="190"/>
        <v>0.805719583634025i</v>
      </c>
      <c r="AO341" s="170" t="str">
        <f t="shared" si="191"/>
        <v>0.895260860584613-0.381531799099636i</v>
      </c>
      <c r="AP341" s="170" t="str">
        <f t="shared" si="192"/>
        <v>0.115432059614384-0.120221534639012i</v>
      </c>
      <c r="AQ341" s="170" t="str">
        <f t="shared" si="193"/>
        <v>0.884567940385616+0.120221534639012i</v>
      </c>
      <c r="AR341" s="170" t="str">
        <f t="shared" si="194"/>
        <v>0.924623497710954-0.125665481172247i</v>
      </c>
    </row>
    <row r="342" spans="7:44">
      <c r="G342" s="688">
        <v>25853.75</v>
      </c>
      <c r="H342" s="676">
        <f t="shared" si="186"/>
        <v>25.853750000000002</v>
      </c>
      <c r="I342" s="677">
        <f t="shared" si="166"/>
        <v>318.7014410959062</v>
      </c>
      <c r="J342" s="678">
        <f t="shared" si="167"/>
        <v>1.5676585887367842</v>
      </c>
      <c r="K342" s="678">
        <f t="shared" si="168"/>
        <v>1.0027879662735271</v>
      </c>
      <c r="L342" s="679">
        <f t="shared" si="169"/>
        <v>7.4585579698853197E-2</v>
      </c>
      <c r="M342" s="678">
        <f t="shared" si="170"/>
        <v>1.0095869273484941</v>
      </c>
      <c r="N342" s="679">
        <f t="shared" si="171"/>
        <v>-0.13791996057230677</v>
      </c>
      <c r="O342" s="677">
        <f t="shared" si="172"/>
        <v>292399.02351148502</v>
      </c>
      <c r="P342" s="680">
        <f t="shared" si="173"/>
        <v>1.5707929068108351</v>
      </c>
      <c r="Q342" s="689">
        <f t="shared" si="163"/>
        <v>138.40581707336477</v>
      </c>
      <c r="R342" s="690">
        <f t="shared" si="164"/>
        <v>1.5635711340843099</v>
      </c>
      <c r="S342" s="677">
        <f t="shared" si="174"/>
        <v>1.4749178034652781</v>
      </c>
      <c r="T342" s="680">
        <f t="shared" si="175"/>
        <v>0.82575269304210275</v>
      </c>
      <c r="U342" s="681">
        <f t="shared" si="187"/>
        <v>0.90715388127363183</v>
      </c>
      <c r="V342" s="682">
        <f t="shared" si="188"/>
        <v>-0.54080333973629147</v>
      </c>
      <c r="W342" s="683">
        <f t="shared" si="176"/>
        <v>-14.664791344375443</v>
      </c>
      <c r="X342" s="684">
        <f t="shared" si="177"/>
        <v>-172.16068401507377</v>
      </c>
      <c r="Y342" s="687">
        <f t="shared" si="178"/>
        <v>7.8393159849262304</v>
      </c>
      <c r="AA342" s="170">
        <f t="shared" si="179"/>
        <v>25853.75</v>
      </c>
      <c r="AB342" s="170">
        <f t="shared" si="180"/>
        <v>668416389.0625</v>
      </c>
      <c r="AD342" s="686">
        <f t="shared" si="181"/>
        <v>35.233662254905248</v>
      </c>
      <c r="AE342" s="687">
        <f t="shared" si="182"/>
        <v>-47.725921385241648</v>
      </c>
      <c r="AG342" s="686">
        <f t="shared" si="183"/>
        <v>6.8863704510443133</v>
      </c>
      <c r="AH342" s="687">
        <f t="shared" si="184"/>
        <v>-62.463264732081143</v>
      </c>
      <c r="AJ342" s="170">
        <f t="shared" si="185"/>
        <v>0</v>
      </c>
      <c r="AK342" s="170">
        <f t="shared" si="165"/>
        <v>0</v>
      </c>
      <c r="AM342" s="170" t="str">
        <f t="shared" si="189"/>
        <v>0.310801233782638+0.72457232947751i</v>
      </c>
      <c r="AN342" s="170" t="str">
        <f t="shared" si="190"/>
        <v>0.810413658783776i</v>
      </c>
      <c r="AO342" s="170" t="str">
        <f t="shared" si="191"/>
        <v>0.894077143967327-0.383509372545709i</v>
      </c>
      <c r="AP342" s="170" t="str">
        <f t="shared" si="192"/>
        <v>0.114866461036227-0.120762054912918i</v>
      </c>
      <c r="AQ342" s="170" t="str">
        <f t="shared" si="193"/>
        <v>0.885133538963773+0.120762054912918i</v>
      </c>
      <c r="AR342" s="170" t="str">
        <f t="shared" si="194"/>
        <v>0.923903252662624-0.126051550891276i</v>
      </c>
    </row>
    <row r="343" spans="7:44">
      <c r="G343" s="688">
        <v>26003.5</v>
      </c>
      <c r="H343" s="676">
        <f t="shared" si="186"/>
        <v>26.003499999999999</v>
      </c>
      <c r="I343" s="677">
        <f t="shared" si="166"/>
        <v>320.54740434230428</v>
      </c>
      <c r="J343" s="678">
        <f t="shared" si="167"/>
        <v>1.567676658351133</v>
      </c>
      <c r="K343" s="678">
        <f t="shared" si="168"/>
        <v>1.0028203111576144</v>
      </c>
      <c r="L343" s="679">
        <f t="shared" si="169"/>
        <v>7.5015979744537498E-2</v>
      </c>
      <c r="M343" s="678">
        <f t="shared" si="170"/>
        <v>1.0096977728064236</v>
      </c>
      <c r="N343" s="679">
        <f t="shared" si="171"/>
        <v>-0.13870864148605527</v>
      </c>
      <c r="O343" s="677">
        <f t="shared" si="172"/>
        <v>294092.6561090902</v>
      </c>
      <c r="P343" s="680">
        <f t="shared" si="173"/>
        <v>1.5707929265059768</v>
      </c>
      <c r="Q343" s="689">
        <f t="shared" ref="Q343:Q406" si="195">SQRT(1+(G343/Zero2)^2)</f>
        <v>139.20744903231875</v>
      </c>
      <c r="R343" s="690">
        <f t="shared" ref="R343:R406" si="196">ATAN(G343/Zero2)</f>
        <v>1.5636127413786485</v>
      </c>
      <c r="S343" s="677">
        <f t="shared" si="174"/>
        <v>1.4795398114333382</v>
      </c>
      <c r="T343" s="680">
        <f t="shared" si="175"/>
        <v>0.8286303500403932</v>
      </c>
      <c r="U343" s="681">
        <f t="shared" si="187"/>
        <v>0.90621738228414117</v>
      </c>
      <c r="V343" s="682">
        <f t="shared" si="188"/>
        <v>-0.54366059815303902</v>
      </c>
      <c r="W343" s="683">
        <f t="shared" si="176"/>
        <v>-14.749873189041384</v>
      </c>
      <c r="X343" s="684">
        <f t="shared" si="177"/>
        <v>-172.50845096496326</v>
      </c>
      <c r="Y343" s="687">
        <f t="shared" si="178"/>
        <v>7.4915490350367406</v>
      </c>
      <c r="AA343" s="170">
        <f t="shared" si="179"/>
        <v>26003.5</v>
      </c>
      <c r="AB343" s="170">
        <f t="shared" si="180"/>
        <v>676182012.25</v>
      </c>
      <c r="AD343" s="686">
        <f t="shared" si="181"/>
        <v>35.206482897243433</v>
      </c>
      <c r="AE343" s="687">
        <f t="shared" si="182"/>
        <v>-47.888416192401593</v>
      </c>
      <c r="AG343" s="686">
        <f t="shared" si="183"/>
        <v>6.8464109584076756</v>
      </c>
      <c r="AH343" s="687">
        <f t="shared" si="184"/>
        <v>-62.321119177920821</v>
      </c>
      <c r="AJ343" s="170">
        <f t="shared" si="185"/>
        <v>0</v>
      </c>
      <c r="AK343" s="170">
        <f t="shared" ref="AK343:AK406" si="197">IF(AJ343&gt;0,Y343,0)</f>
        <v>0</v>
      </c>
      <c r="AM343" s="170" t="str">
        <f t="shared" si="189"/>
        <v>0.314210011264677+0.727799485676106i</v>
      </c>
      <c r="AN343" s="170" t="str">
        <f t="shared" si="190"/>
        <v>0.815107733933527i</v>
      </c>
      <c r="AO343" s="170" t="str">
        <f t="shared" si="191"/>
        <v>0.892887474105919-0.385482799615175i</v>
      </c>
      <c r="AP343" s="170" t="str">
        <f t="shared" si="192"/>
        <v>0.114298331455887-0.121299914279351i</v>
      </c>
      <c r="AQ343" s="170" t="str">
        <f t="shared" si="193"/>
        <v>0.885701668544113+0.121299914279351i</v>
      </c>
      <c r="AR343" s="170" t="str">
        <f t="shared" si="194"/>
        <v>0.923181837224656-0.126432953325781i</v>
      </c>
    </row>
    <row r="344" spans="7:44">
      <c r="G344" s="688">
        <v>26153.25</v>
      </c>
      <c r="H344" s="676">
        <f t="shared" si="186"/>
        <v>26.15325</v>
      </c>
      <c r="I344" s="677">
        <f t="shared" si="166"/>
        <v>322.39336769216607</v>
      </c>
      <c r="J344" s="678">
        <f t="shared" si="167"/>
        <v>1.56769452103911</v>
      </c>
      <c r="K344" s="678">
        <f t="shared" si="168"/>
        <v>1.0028528417963445</v>
      </c>
      <c r="L344" s="679">
        <f t="shared" si="169"/>
        <v>7.5446351947223725E-2</v>
      </c>
      <c r="M344" s="678">
        <f t="shared" si="170"/>
        <v>1.0098092461760135</v>
      </c>
      <c r="N344" s="679">
        <f t="shared" si="171"/>
        <v>-0.13949714876438402</v>
      </c>
      <c r="O344" s="677">
        <f t="shared" si="172"/>
        <v>295786.28870669543</v>
      </c>
      <c r="P344" s="680">
        <f t="shared" si="173"/>
        <v>1.5707929459755747</v>
      </c>
      <c r="Q344" s="689">
        <f t="shared" si="195"/>
        <v>140.00908122950443</v>
      </c>
      <c r="R344" s="690">
        <f t="shared" si="196"/>
        <v>1.563653872221866</v>
      </c>
      <c r="S344" s="677">
        <f t="shared" si="174"/>
        <v>1.4841739949683057</v>
      </c>
      <c r="T344" s="680">
        <f t="shared" si="175"/>
        <v>0.83149006020954896</v>
      </c>
      <c r="U344" s="681">
        <f t="shared" si="187"/>
        <v>0.90527819732140091</v>
      </c>
      <c r="V344" s="682">
        <f t="shared" si="188"/>
        <v>-0.546513788073132</v>
      </c>
      <c r="W344" s="683">
        <f t="shared" si="176"/>
        <v>-14.834681572176558</v>
      </c>
      <c r="X344" s="684">
        <f t="shared" si="177"/>
        <v>-172.85496360601644</v>
      </c>
      <c r="Y344" s="687">
        <f t="shared" si="178"/>
        <v>7.1450363939835597</v>
      </c>
      <c r="AA344" s="170">
        <f t="shared" si="179"/>
        <v>26153.25</v>
      </c>
      <c r="AB344" s="170">
        <f t="shared" si="180"/>
        <v>683992485.5625</v>
      </c>
      <c r="AD344" s="686">
        <f t="shared" si="181"/>
        <v>35.17931709488473</v>
      </c>
      <c r="AE344" s="687">
        <f t="shared" si="182"/>
        <v>-48.049910007711013</v>
      </c>
      <c r="AG344" s="686">
        <f t="shared" si="183"/>
        <v>6.80678146639357</v>
      </c>
      <c r="AH344" s="687">
        <f t="shared" si="184"/>
        <v>-62.179186522149784</v>
      </c>
      <c r="AJ344" s="170">
        <f t="shared" si="185"/>
        <v>0</v>
      </c>
      <c r="AK344" s="170">
        <f t="shared" si="197"/>
        <v>0</v>
      </c>
      <c r="AM344" s="170" t="str">
        <f t="shared" si="189"/>
        <v>0.317633899649785+0.731010605321729i</v>
      </c>
      <c r="AN344" s="170" t="str">
        <f t="shared" si="190"/>
        <v>0.819801809083277i</v>
      </c>
      <c r="AO344" s="170" t="str">
        <f t="shared" si="191"/>
        <v>0.891691866524622-0.38745205991308i</v>
      </c>
      <c r="AP344" s="170" t="str">
        <f t="shared" si="192"/>
        <v>0.113727683391703-0.121835100886955i</v>
      </c>
      <c r="AQ344" s="170" t="str">
        <f t="shared" si="193"/>
        <v>0.886272316608297+0.121835100886955i</v>
      </c>
      <c r="AR344" s="170" t="str">
        <f t="shared" si="194"/>
        <v>0.922459285898846-0.126809692749623i</v>
      </c>
    </row>
    <row r="345" spans="7:44">
      <c r="G345" s="688">
        <v>26303</v>
      </c>
      <c r="H345" s="676">
        <f t="shared" si="186"/>
        <v>26.303000000000001</v>
      </c>
      <c r="I345" s="677">
        <f t="shared" si="166"/>
        <v>324.23933114372437</v>
      </c>
      <c r="J345" s="678">
        <f t="shared" si="167"/>
        <v>1.5677121803349316</v>
      </c>
      <c r="K345" s="678">
        <f t="shared" si="168"/>
        <v>1.0028855581716409</v>
      </c>
      <c r="L345" s="679">
        <f t="shared" si="169"/>
        <v>7.5876696150201872E-2</v>
      </c>
      <c r="M345" s="678">
        <f t="shared" si="170"/>
        <v>1.0099213472493409</v>
      </c>
      <c r="N345" s="679">
        <f t="shared" si="171"/>
        <v>-0.14028548148445383</v>
      </c>
      <c r="O345" s="677">
        <f t="shared" si="172"/>
        <v>297479.92130430083</v>
      </c>
      <c r="P345" s="680">
        <f t="shared" si="173"/>
        <v>1.5707929652234816</v>
      </c>
      <c r="Q345" s="689">
        <f t="shared" si="195"/>
        <v>140.81071366085308</v>
      </c>
      <c r="R345" s="690">
        <f t="shared" si="196"/>
        <v>1.5636945347511009</v>
      </c>
      <c r="S345" s="677">
        <f t="shared" si="174"/>
        <v>1.4888202403751731</v>
      </c>
      <c r="T345" s="680">
        <f t="shared" si="175"/>
        <v>0.83433194458082116</v>
      </c>
      <c r="U345" s="681">
        <f t="shared" si="187"/>
        <v>0.90433635982362814</v>
      </c>
      <c r="V345" s="682">
        <f t="shared" si="188"/>
        <v>-0.54936290319248049</v>
      </c>
      <c r="W345" s="683">
        <f t="shared" si="176"/>
        <v>-14.919218764705402</v>
      </c>
      <c r="X345" s="684">
        <f t="shared" si="177"/>
        <v>-173.20022820421224</v>
      </c>
      <c r="Y345" s="687">
        <f t="shared" si="178"/>
        <v>6.7997717957877626</v>
      </c>
      <c r="AA345" s="170">
        <f t="shared" si="179"/>
        <v>26303</v>
      </c>
      <c r="AB345" s="170">
        <f t="shared" si="180"/>
        <v>691847809</v>
      </c>
      <c r="AD345" s="686">
        <f t="shared" si="181"/>
        <v>35.152165648370335</v>
      </c>
      <c r="AE345" s="687">
        <f t="shared" si="182"/>
        <v>-48.210409299746843</v>
      </c>
      <c r="AG345" s="686">
        <f t="shared" si="183"/>
        <v>6.7674784601957505</v>
      </c>
      <c r="AH345" s="687">
        <f t="shared" si="184"/>
        <v>-62.03746728456553</v>
      </c>
      <c r="AJ345" s="170">
        <f t="shared" si="185"/>
        <v>0</v>
      </c>
      <c r="AK345" s="170">
        <f t="shared" si="197"/>
        <v>0</v>
      </c>
      <c r="AM345" s="170" t="str">
        <f t="shared" si="189"/>
        <v>0.321072823494977+0.734205617659601i</v>
      </c>
      <c r="AN345" s="170" t="str">
        <f t="shared" si="190"/>
        <v>0.824495884233028i</v>
      </c>
      <c r="AO345" s="170" t="str">
        <f t="shared" si="191"/>
        <v>0.890490336822703-0.389417133105096i</v>
      </c>
      <c r="AP345" s="170" t="str">
        <f t="shared" si="192"/>
        <v>0.113154529417504-0.122367602943267i</v>
      </c>
      <c r="AQ345" s="170" t="str">
        <f t="shared" si="193"/>
        <v>0.886845470582496+0.122367602943267i</v>
      </c>
      <c r="AR345" s="170" t="str">
        <f t="shared" si="194"/>
        <v>0.921735633013483-0.12718177371439i</v>
      </c>
    </row>
    <row r="346" spans="7:44">
      <c r="G346" s="688">
        <v>26456</v>
      </c>
      <c r="H346" s="676">
        <f t="shared" si="186"/>
        <v>26.456</v>
      </c>
      <c r="I346" s="677">
        <f t="shared" si="166"/>
        <v>326.12535734437762</v>
      </c>
      <c r="J346" s="678">
        <f t="shared" si="167"/>
        <v>1.5677300164190708</v>
      </c>
      <c r="K346" s="678">
        <f t="shared" si="168"/>
        <v>1.0029191763930478</v>
      </c>
      <c r="L346" s="679">
        <f t="shared" si="169"/>
        <v>7.6316350962962215E-2</v>
      </c>
      <c r="M346" s="678">
        <f t="shared" si="170"/>
        <v>1.0100365293026814</v>
      </c>
      <c r="N346" s="679">
        <f t="shared" si="171"/>
        <v>-0.14109074202124575</v>
      </c>
      <c r="O346" s="677">
        <f t="shared" si="172"/>
        <v>299210.31053591112</v>
      </c>
      <c r="P346" s="680">
        <f t="shared" si="173"/>
        <v>1.5707929846640782</v>
      </c>
      <c r="Q346" s="689">
        <f t="shared" si="195"/>
        <v>141.62974402875059</v>
      </c>
      <c r="R346" s="690">
        <f t="shared" si="196"/>
        <v>1.5637356043748083</v>
      </c>
      <c r="S346" s="677">
        <f t="shared" si="174"/>
        <v>1.4935796627711742</v>
      </c>
      <c r="T346" s="680">
        <f t="shared" si="175"/>
        <v>0.83721722114228714</v>
      </c>
      <c r="U346" s="681">
        <f t="shared" si="187"/>
        <v>0.90337137694493552</v>
      </c>
      <c r="V346" s="682">
        <f t="shared" si="188"/>
        <v>-0.55226963742729918</v>
      </c>
      <c r="W346" s="683">
        <f t="shared" si="176"/>
        <v>-15.005312892566597</v>
      </c>
      <c r="X346" s="684">
        <f t="shared" si="177"/>
        <v>-173.5517035731917</v>
      </c>
      <c r="Y346" s="687">
        <f t="shared" si="178"/>
        <v>6.4482964268082981</v>
      </c>
      <c r="AA346" s="170">
        <f t="shared" si="179"/>
        <v>26456</v>
      </c>
      <c r="AB346" s="170">
        <f t="shared" si="180"/>
        <v>699919936</v>
      </c>
      <c r="AD346" s="686">
        <f t="shared" si="181"/>
        <v>35.124440580608578</v>
      </c>
      <c r="AE346" s="687">
        <f t="shared" si="182"/>
        <v>-48.37337146739258</v>
      </c>
      <c r="AG346" s="686">
        <f t="shared" si="183"/>
        <v>6.7276560609588332</v>
      </c>
      <c r="AH346" s="687">
        <f t="shared" si="184"/>
        <v>-61.892893277876084</v>
      </c>
      <c r="AJ346" s="170">
        <f t="shared" si="185"/>
        <v>0</v>
      </c>
      <c r="AK346" s="170">
        <f t="shared" si="197"/>
        <v>0</v>
      </c>
      <c r="AM346" s="170" t="str">
        <f t="shared" si="189"/>
        <v>0.324601831389846+0.737453262138049i</v>
      </c>
      <c r="AN346" s="170" t="str">
        <f t="shared" si="190"/>
        <v>0.829291834135612i</v>
      </c>
      <c r="AO346" s="170" t="str">
        <f t="shared" si="191"/>
        <v>0.889256630516218-0.391420508472973i</v>
      </c>
      <c r="AP346" s="170" t="str">
        <f t="shared" si="192"/>
        <v>0.112566361435026-0.122908877023008i</v>
      </c>
      <c r="AQ346" s="170" t="str">
        <f t="shared" si="193"/>
        <v>0.887433638564974+0.122908877023008i</v>
      </c>
      <c r="AR346" s="170" t="str">
        <f t="shared" si="194"/>
        <v>0.920995172654004-0.127557123705118i</v>
      </c>
    </row>
    <row r="347" spans="7:44">
      <c r="G347" s="688">
        <v>26609</v>
      </c>
      <c r="H347" s="676">
        <f t="shared" si="186"/>
        <v>26.609000000000002</v>
      </c>
      <c r="I347" s="677">
        <f t="shared" si="166"/>
        <v>328.0113836475868</v>
      </c>
      <c r="J347" s="678">
        <f t="shared" si="167"/>
        <v>1.567747647392506</v>
      </c>
      <c r="K347" s="678">
        <f t="shared" si="168"/>
        <v>1.0029529884620576</v>
      </c>
      <c r="L347" s="679">
        <f t="shared" si="169"/>
        <v>7.6755976216955638E-2</v>
      </c>
      <c r="M347" s="678">
        <f t="shared" si="170"/>
        <v>1.0101523661590777</v>
      </c>
      <c r="N347" s="679">
        <f t="shared" si="171"/>
        <v>-0.1418958183972539</v>
      </c>
      <c r="O347" s="677">
        <f t="shared" si="172"/>
        <v>300940.69976752152</v>
      </c>
      <c r="P347" s="680">
        <f t="shared" si="173"/>
        <v>1.5707930038811106</v>
      </c>
      <c r="Q347" s="689">
        <f t="shared" si="195"/>
        <v>142.44877463278993</v>
      </c>
      <c r="R347" s="690">
        <f t="shared" si="196"/>
        <v>1.5637762017266554</v>
      </c>
      <c r="S347" s="677">
        <f t="shared" si="174"/>
        <v>1.4983514398997995</v>
      </c>
      <c r="T347" s="680">
        <f t="shared" si="175"/>
        <v>0.8400841440509027</v>
      </c>
      <c r="U347" s="681">
        <f t="shared" si="187"/>
        <v>0.90240369538411547</v>
      </c>
      <c r="V347" s="682">
        <f t="shared" si="188"/>
        <v>-0.55517210538328365</v>
      </c>
      <c r="W347" s="683">
        <f t="shared" si="176"/>
        <v>-15.091128599008153</v>
      </c>
      <c r="X347" s="684">
        <f t="shared" si="177"/>
        <v>-173.90188935190568</v>
      </c>
      <c r="Y347" s="687">
        <f t="shared" si="178"/>
        <v>6.0981106480943197</v>
      </c>
      <c r="AA347" s="170">
        <f t="shared" si="179"/>
        <v>26609</v>
      </c>
      <c r="AB347" s="170">
        <f t="shared" si="180"/>
        <v>708038881</v>
      </c>
      <c r="AD347" s="686">
        <f t="shared" si="181"/>
        <v>35.096732135984723</v>
      </c>
      <c r="AE347" s="687">
        <f t="shared" si="182"/>
        <v>-48.535309094565278</v>
      </c>
      <c r="AG347" s="686">
        <f t="shared" si="183"/>
        <v>6.6881672332427886</v>
      </c>
      <c r="AH347" s="687">
        <f t="shared" si="184"/>
        <v>-61.748543100937574</v>
      </c>
      <c r="AJ347" s="170">
        <f t="shared" si="185"/>
        <v>0</v>
      </c>
      <c r="AK347" s="170">
        <f t="shared" si="197"/>
        <v>0</v>
      </c>
      <c r="AM347" s="170" t="str">
        <f t="shared" si="189"/>
        <v>0.328146374179709+0.740683944386625i</v>
      </c>
      <c r="AN347" s="170" t="str">
        <f t="shared" si="190"/>
        <v>0.834087784038195i</v>
      </c>
      <c r="AO347" s="170" t="str">
        <f t="shared" si="191"/>
        <v>0.88801677540539-0.393419470299642i</v>
      </c>
      <c r="AP347" s="170" t="str">
        <f t="shared" si="192"/>
        <v>0.111975604303382-0.123447324064437i</v>
      </c>
      <c r="AQ347" s="170" t="str">
        <f t="shared" si="193"/>
        <v>0.888024395696618+0.123447324064437i</v>
      </c>
      <c r="AR347" s="170" t="str">
        <f t="shared" si="194"/>
        <v>0.920253634286013-0.127927621317278i</v>
      </c>
    </row>
    <row r="348" spans="7:44">
      <c r="G348" s="688">
        <v>26762</v>
      </c>
      <c r="H348" s="676">
        <f t="shared" si="186"/>
        <v>26.762</v>
      </c>
      <c r="I348" s="677">
        <f t="shared" si="166"/>
        <v>329.89741005159283</v>
      </c>
      <c r="J348" s="678">
        <f t="shared" si="167"/>
        <v>1.5677650767730853</v>
      </c>
      <c r="K348" s="678">
        <f t="shared" si="168"/>
        <v>1.002986994359065</v>
      </c>
      <c r="L348" s="679">
        <f t="shared" si="169"/>
        <v>7.7195571745247105E-2</v>
      </c>
      <c r="M348" s="678">
        <f t="shared" si="170"/>
        <v>1.0102688575932914</v>
      </c>
      <c r="N348" s="679">
        <f t="shared" si="171"/>
        <v>-0.14270070963238865</v>
      </c>
      <c r="O348" s="677">
        <f t="shared" si="172"/>
        <v>302671.08899913199</v>
      </c>
      <c r="P348" s="680">
        <f t="shared" si="173"/>
        <v>1.5707930228784133</v>
      </c>
      <c r="Q348" s="689">
        <f t="shared" si="195"/>
        <v>143.26780546892118</v>
      </c>
      <c r="R348" s="690">
        <f t="shared" si="196"/>
        <v>1.5638163349061336</v>
      </c>
      <c r="S348" s="677">
        <f t="shared" si="174"/>
        <v>1.5031354540989417</v>
      </c>
      <c r="T348" s="680">
        <f t="shared" si="175"/>
        <v>0.84293284119594103</v>
      </c>
      <c r="U348" s="681">
        <f t="shared" si="187"/>
        <v>0.90143335046423079</v>
      </c>
      <c r="V348" s="682">
        <f t="shared" si="188"/>
        <v>-0.55807030095769938</v>
      </c>
      <c r="W348" s="683">
        <f t="shared" si="176"/>
        <v>-15.176668182194369</v>
      </c>
      <c r="X348" s="684">
        <f t="shared" si="177"/>
        <v>-174.25079220932938</v>
      </c>
      <c r="Y348" s="687">
        <f t="shared" si="178"/>
        <v>5.7492077906706243</v>
      </c>
      <c r="AA348" s="170">
        <f t="shared" si="179"/>
        <v>26762</v>
      </c>
      <c r="AB348" s="170">
        <f t="shared" si="180"/>
        <v>716204644</v>
      </c>
      <c r="AD348" s="686">
        <f t="shared" si="181"/>
        <v>35.069041116073464</v>
      </c>
      <c r="AE348" s="687">
        <f t="shared" si="182"/>
        <v>-48.696229044933524</v>
      </c>
      <c r="AG348" s="686">
        <f t="shared" si="183"/>
        <v>6.649008406310366</v>
      </c>
      <c r="AH348" s="687">
        <f t="shared" si="184"/>
        <v>-61.604417258378454</v>
      </c>
      <c r="AJ348" s="170">
        <f t="shared" si="185"/>
        <v>0</v>
      </c>
      <c r="AK348" s="170">
        <f t="shared" si="197"/>
        <v>0</v>
      </c>
      <c r="AM348" s="170" t="str">
        <f t="shared" si="189"/>
        <v>0.331706370336215+0.743897590096113i</v>
      </c>
      <c r="AN348" s="170" t="str">
        <f t="shared" si="190"/>
        <v>0.838883733940779i</v>
      </c>
      <c r="AO348" s="170" t="str">
        <f t="shared" si="191"/>
        <v>0.886770788368425-0.39541399709585i</v>
      </c>
      <c r="AP348" s="170" t="str">
        <f t="shared" si="192"/>
        <v>0.111382271610631-0.123982931682685i</v>
      </c>
      <c r="AQ348" s="170" t="str">
        <f t="shared" si="193"/>
        <v>0.888617728389369+0.123982931682685i</v>
      </c>
      <c r="AR348" s="170" t="str">
        <f t="shared" si="194"/>
        <v>0.919511053946999-0.128293272282129i</v>
      </c>
    </row>
    <row r="349" spans="7:44">
      <c r="G349" s="688">
        <v>26915</v>
      </c>
      <c r="H349" s="676">
        <f t="shared" si="186"/>
        <v>26.914999999999999</v>
      </c>
      <c r="I349" s="677">
        <f t="shared" si="166"/>
        <v>331.78343655467677</v>
      </c>
      <c r="J349" s="678">
        <f t="shared" si="167"/>
        <v>1.5677823079986679</v>
      </c>
      <c r="K349" s="678">
        <f t="shared" si="168"/>
        <v>1.0030211940643563</v>
      </c>
      <c r="L349" s="679">
        <f t="shared" si="169"/>
        <v>7.7635137380970123E-2</v>
      </c>
      <c r="M349" s="678">
        <f t="shared" si="170"/>
        <v>1.0103860033789165</v>
      </c>
      <c r="N349" s="679">
        <f t="shared" si="171"/>
        <v>-0.14350541474797068</v>
      </c>
      <c r="O349" s="677">
        <f t="shared" si="172"/>
        <v>304401.47823074262</v>
      </c>
      <c r="P349" s="680">
        <f t="shared" si="173"/>
        <v>1.5707930416597329</v>
      </c>
      <c r="Q349" s="689">
        <f t="shared" si="195"/>
        <v>144.0868365331865</v>
      </c>
      <c r="R349" s="690">
        <f t="shared" si="196"/>
        <v>1.5638560118285805</v>
      </c>
      <c r="S349" s="677">
        <f t="shared" si="174"/>
        <v>1.5079315888998222</v>
      </c>
      <c r="T349" s="680">
        <f t="shared" si="175"/>
        <v>0.845763440029075</v>
      </c>
      <c r="U349" s="681">
        <f t="shared" si="187"/>
        <v>0.90046037738930906</v>
      </c>
      <c r="V349" s="682">
        <f t="shared" si="188"/>
        <v>-0.56096421825472575</v>
      </c>
      <c r="W349" s="683">
        <f t="shared" si="176"/>
        <v>-15.261933900757342</v>
      </c>
      <c r="X349" s="684">
        <f t="shared" si="177"/>
        <v>-174.59841880726063</v>
      </c>
      <c r="Y349" s="687">
        <f t="shared" si="178"/>
        <v>5.4015811927393713</v>
      </c>
      <c r="AA349" s="170">
        <f t="shared" si="179"/>
        <v>26915</v>
      </c>
      <c r="AB349" s="170">
        <f t="shared" si="180"/>
        <v>724417225</v>
      </c>
      <c r="AD349" s="686">
        <f t="shared" si="181"/>
        <v>35.041368305374469</v>
      </c>
      <c r="AE349" s="687">
        <f t="shared" si="182"/>
        <v>-48.856138167639564</v>
      </c>
      <c r="AG349" s="686">
        <f t="shared" si="183"/>
        <v>6.6101760667092293</v>
      </c>
      <c r="AH349" s="687">
        <f t="shared" si="184"/>
        <v>-61.46051623846575</v>
      </c>
      <c r="AJ349" s="170">
        <f t="shared" si="185"/>
        <v>0</v>
      </c>
      <c r="AK349" s="170">
        <f t="shared" si="197"/>
        <v>0</v>
      </c>
      <c r="AM349" s="170" t="str">
        <f t="shared" si="189"/>
        <v>0.335281737975565+0.747094125349152i</v>
      </c>
      <c r="AN349" s="170" t="str">
        <f t="shared" si="190"/>
        <v>0.843679683843362i</v>
      </c>
      <c r="AO349" s="170" t="str">
        <f t="shared" si="191"/>
        <v>0.885518686364217-0.397404067439668i</v>
      </c>
      <c r="AP349" s="170" t="str">
        <f t="shared" si="192"/>
        <v>0.110786377004072-0.124515687558192i</v>
      </c>
      <c r="AQ349" s="170" t="str">
        <f t="shared" si="193"/>
        <v>0.889213622995928+0.124515687558192i</v>
      </c>
      <c r="AR349" s="170" t="str">
        <f t="shared" si="194"/>
        <v>0.918767467476438-0.128654082619078i</v>
      </c>
    </row>
    <row r="350" spans="7:44">
      <c r="G350" s="688">
        <v>27071.75</v>
      </c>
      <c r="H350" s="676">
        <f t="shared" si="186"/>
        <v>27.071750000000002</v>
      </c>
      <c r="I350" s="677">
        <f t="shared" si="166"/>
        <v>333.71568929853618</v>
      </c>
      <c r="J350" s="678">
        <f t="shared" si="167"/>
        <v>1.5677997595712436</v>
      </c>
      <c r="K350" s="678">
        <f t="shared" si="168"/>
        <v>1.0030564329687923</v>
      </c>
      <c r="L350" s="679">
        <f t="shared" si="169"/>
        <v>7.8085445509303963E-2</v>
      </c>
      <c r="M350" s="678">
        <f t="shared" si="170"/>
        <v>1.0105066987518261</v>
      </c>
      <c r="N350" s="679">
        <f t="shared" si="171"/>
        <v>-0.14432964898830716</v>
      </c>
      <c r="O350" s="677">
        <f t="shared" si="172"/>
        <v>306174.2789631281</v>
      </c>
      <c r="P350" s="680">
        <f t="shared" si="173"/>
        <v>1.5707930606812199</v>
      </c>
      <c r="Q350" s="689">
        <f t="shared" si="195"/>
        <v>144.92594212078853</v>
      </c>
      <c r="R350" s="690">
        <f t="shared" si="196"/>
        <v>1.5638961961439526</v>
      </c>
      <c r="S350" s="677">
        <f t="shared" si="174"/>
        <v>1.5128577253497244</v>
      </c>
      <c r="T350" s="680">
        <f t="shared" si="175"/>
        <v>0.8486447799351563</v>
      </c>
      <c r="U350" s="681">
        <f t="shared" si="187"/>
        <v>0.89946086804688929</v>
      </c>
      <c r="V350" s="682">
        <f t="shared" si="188"/>
        <v>-0.56392462209736594</v>
      </c>
      <c r="W350" s="683">
        <f t="shared" si="176"/>
        <v>-15.349007770934184</v>
      </c>
      <c r="X350" s="684">
        <f t="shared" si="177"/>
        <v>-174.95324905716419</v>
      </c>
      <c r="Y350" s="687">
        <f t="shared" si="178"/>
        <v>5.0467509428358142</v>
      </c>
      <c r="AA350" s="170">
        <f t="shared" si="179"/>
        <v>27071.75</v>
      </c>
      <c r="AB350" s="170">
        <f t="shared" si="180"/>
        <v>732879648.0625</v>
      </c>
      <c r="AD350" s="686">
        <f t="shared" si="181"/>
        <v>35.013036926185777</v>
      </c>
      <c r="AE350" s="687">
        <f t="shared" si="182"/>
        <v>-49.018925481964139</v>
      </c>
      <c r="AG350" s="686">
        <f t="shared" si="183"/>
        <v>6.5707269281493801</v>
      </c>
      <c r="AH350" s="687">
        <f t="shared" si="184"/>
        <v>-61.313321881981906</v>
      </c>
      <c r="AJ350" s="170">
        <f t="shared" si="185"/>
        <v>0</v>
      </c>
      <c r="AK350" s="170">
        <f t="shared" si="197"/>
        <v>0</v>
      </c>
      <c r="AM350" s="170" t="str">
        <f t="shared" si="189"/>
        <v>0.33896059241813+0.750351185528356i</v>
      </c>
      <c r="AN350" s="170" t="str">
        <f t="shared" si="190"/>
        <v>0.848593181537676i</v>
      </c>
      <c r="AO350" s="170" t="str">
        <f t="shared" si="191"/>
        <v>0.884229571782202-0.399438270060011i</v>
      </c>
      <c r="AP350" s="170" t="str">
        <f t="shared" si="192"/>
        <v>0.110173234596978-0.125058530921393i</v>
      </c>
      <c r="AQ350" s="170" t="str">
        <f t="shared" si="193"/>
        <v>0.889826765403022+0.125058530921393i</v>
      </c>
      <c r="AR350" s="170" t="str">
        <f t="shared" si="194"/>
        <v>0.918004649684412-0.129018722893262i</v>
      </c>
    </row>
    <row r="351" spans="7:44">
      <c r="G351" s="688">
        <v>27228.5</v>
      </c>
      <c r="H351" s="676">
        <f t="shared" si="186"/>
        <v>27.2285</v>
      </c>
      <c r="I351" s="677">
        <f t="shared" si="166"/>
        <v>335.64794214286098</v>
      </c>
      <c r="J351" s="678">
        <f t="shared" si="167"/>
        <v>1.5678170102139424</v>
      </c>
      <c r="K351" s="678">
        <f t="shared" si="168"/>
        <v>1.0030918752560996</v>
      </c>
      <c r="L351" s="679">
        <f t="shared" si="169"/>
        <v>7.8535721907426359E-2</v>
      </c>
      <c r="M351" s="678">
        <f t="shared" si="170"/>
        <v>1.0106280804604275</v>
      </c>
      <c r="N351" s="679">
        <f t="shared" si="171"/>
        <v>-0.14515368579868063</v>
      </c>
      <c r="O351" s="677">
        <f t="shared" si="172"/>
        <v>307947.0796955137</v>
      </c>
      <c r="P351" s="680">
        <f t="shared" si="173"/>
        <v>1.5707930794836995</v>
      </c>
      <c r="Q351" s="689">
        <f t="shared" si="195"/>
        <v>145.76504793971966</v>
      </c>
      <c r="R351" s="690">
        <f t="shared" si="196"/>
        <v>1.5639359178122267</v>
      </c>
      <c r="S351" s="677">
        <f t="shared" si="174"/>
        <v>1.51779634013628</v>
      </c>
      <c r="T351" s="680">
        <f t="shared" si="175"/>
        <v>0.85150739283647181</v>
      </c>
      <c r="U351" s="681">
        <f t="shared" si="187"/>
        <v>0.89845867455429007</v>
      </c>
      <c r="V351" s="682">
        <f t="shared" si="188"/>
        <v>-0.56688052350546581</v>
      </c>
      <c r="W351" s="683">
        <f t="shared" si="176"/>
        <v>-15.435798864028706</v>
      </c>
      <c r="X351" s="684">
        <f t="shared" si="177"/>
        <v>-175.3067538470811</v>
      </c>
      <c r="Y351" s="687">
        <f t="shared" si="178"/>
        <v>4.6932461529189027</v>
      </c>
      <c r="AA351" s="170">
        <f t="shared" si="179"/>
        <v>27228.5</v>
      </c>
      <c r="AB351" s="170">
        <f t="shared" si="180"/>
        <v>741391212.25</v>
      </c>
      <c r="AD351" s="686">
        <f t="shared" si="181"/>
        <v>34.984726272967819</v>
      </c>
      <c r="AE351" s="687">
        <f t="shared" si="182"/>
        <v>-49.180666313129429</v>
      </c>
      <c r="AG351" s="686">
        <f t="shared" si="183"/>
        <v>6.5316131902147578</v>
      </c>
      <c r="AH351" s="687">
        <f t="shared" si="184"/>
        <v>-61.166364489664666</v>
      </c>
      <c r="AJ351" s="170">
        <f t="shared" si="185"/>
        <v>0</v>
      </c>
      <c r="AK351" s="170">
        <f t="shared" si="197"/>
        <v>0</v>
      </c>
      <c r="AM351" s="170" t="str">
        <f t="shared" si="189"/>
        <v>0.342655405945772+0.753590130420829i</v>
      </c>
      <c r="AN351" s="170" t="str">
        <f t="shared" si="190"/>
        <v>0.853506679231989i</v>
      </c>
      <c r="AO351" s="170" t="str">
        <f t="shared" si="191"/>
        <v>0.882934075101711-0.401467749794417i</v>
      </c>
      <c r="AP351" s="170" t="str">
        <f t="shared" si="192"/>
        <v>0.109557432342371-0.125598355070138i</v>
      </c>
      <c r="AQ351" s="170" t="str">
        <f t="shared" si="193"/>
        <v>0.890442567657629+0.125598355070138i</v>
      </c>
      <c r="AR351" s="170" t="str">
        <f t="shared" si="194"/>
        <v>0.917240851347747-0.129378296048292i</v>
      </c>
    </row>
    <row r="352" spans="7:44">
      <c r="G352" s="688">
        <v>27385.25</v>
      </c>
      <c r="H352" s="676">
        <f t="shared" si="186"/>
        <v>27.385249999999999</v>
      </c>
      <c r="I352" s="677">
        <f t="shared" si="166"/>
        <v>337.58019508592599</v>
      </c>
      <c r="J352" s="678">
        <f t="shared" si="167"/>
        <v>1.5678340633770214</v>
      </c>
      <c r="K352" s="678">
        <f t="shared" si="168"/>
        <v>1.0031275209047201</v>
      </c>
      <c r="L352" s="679">
        <f t="shared" si="169"/>
        <v>7.8985966396124249E-2</v>
      </c>
      <c r="M352" s="678">
        <f t="shared" si="170"/>
        <v>1.0107501482574528</v>
      </c>
      <c r="N352" s="679">
        <f t="shared" si="171"/>
        <v>-0.14597752413131967</v>
      </c>
      <c r="O352" s="677">
        <f t="shared" si="172"/>
        <v>309719.88042789936</v>
      </c>
      <c r="P352" s="680">
        <f t="shared" si="173"/>
        <v>1.5707930980709328</v>
      </c>
      <c r="Q352" s="689">
        <f t="shared" si="195"/>
        <v>146.60415398600773</v>
      </c>
      <c r="R352" s="690">
        <f t="shared" si="196"/>
        <v>1.5639751847773204</v>
      </c>
      <c r="S352" s="677">
        <f t="shared" si="174"/>
        <v>1.5227473118492691</v>
      </c>
      <c r="T352" s="680">
        <f t="shared" si="175"/>
        <v>0.85435141425234529</v>
      </c>
      <c r="U352" s="681">
        <f t="shared" si="187"/>
        <v>0.89745383436487103</v>
      </c>
      <c r="V352" s="682">
        <f t="shared" si="188"/>
        <v>-0.56983191680706169</v>
      </c>
      <c r="W352" s="683">
        <f t="shared" si="176"/>
        <v>-15.522309486507728</v>
      </c>
      <c r="X352" s="684">
        <f t="shared" si="177"/>
        <v>-175.65894030970006</v>
      </c>
      <c r="Y352" s="687">
        <f t="shared" si="178"/>
        <v>4.341059690299943</v>
      </c>
      <c r="AA352" s="170">
        <f t="shared" si="179"/>
        <v>27385.25</v>
      </c>
      <c r="AB352" s="170">
        <f t="shared" si="180"/>
        <v>749951917.5625</v>
      </c>
      <c r="AD352" s="686">
        <f t="shared" si="181"/>
        <v>34.956437135272942</v>
      </c>
      <c r="AE352" s="687">
        <f t="shared" si="182"/>
        <v>-49.341367970883283</v>
      </c>
      <c r="AG352" s="686">
        <f t="shared" si="183"/>
        <v>6.4928312535302446</v>
      </c>
      <c r="AH352" s="687">
        <f t="shared" si="184"/>
        <v>-61.01964453441407</v>
      </c>
      <c r="AJ352" s="170">
        <f t="shared" si="185"/>
        <v>0</v>
      </c>
      <c r="AK352" s="170">
        <f t="shared" si="197"/>
        <v>0</v>
      </c>
      <c r="AM352" s="170" t="str">
        <f t="shared" si="189"/>
        <v>0.346366089356788+0.756810881830633i</v>
      </c>
      <c r="AN352" s="170" t="str">
        <f t="shared" si="190"/>
        <v>0.858420176926303i</v>
      </c>
      <c r="AO352" s="170" t="str">
        <f t="shared" si="191"/>
        <v>0.881632214821072-0.403492483828842i</v>
      </c>
      <c r="AP352" s="170" t="str">
        <f t="shared" si="192"/>
        <v>0.108938985107202-0.126135146971772i</v>
      </c>
      <c r="AQ352" s="170" t="str">
        <f t="shared" si="193"/>
        <v>0.891061014892798+0.126135146971772i</v>
      </c>
      <c r="AR352" s="170" t="str">
        <f t="shared" si="194"/>
        <v>0.916476110346057-0.1297328094738i</v>
      </c>
    </row>
    <row r="353" spans="7:44">
      <c r="G353" s="688">
        <v>27542</v>
      </c>
      <c r="H353" s="676">
        <f t="shared" si="186"/>
        <v>27.542000000000002</v>
      </c>
      <c r="I353" s="677">
        <f t="shared" si="166"/>
        <v>339.5124481260454</v>
      </c>
      <c r="J353" s="678">
        <f t="shared" si="167"/>
        <v>1.567850922432193</v>
      </c>
      <c r="K353" s="678">
        <f t="shared" si="168"/>
        <v>1.0031633698929761</v>
      </c>
      <c r="L353" s="679">
        <f t="shared" si="169"/>
        <v>7.9436178796261706E-2</v>
      </c>
      <c r="M353" s="678">
        <f t="shared" si="170"/>
        <v>1.0108729018943567</v>
      </c>
      <c r="N353" s="679">
        <f t="shared" si="171"/>
        <v>-0.14680116294003523</v>
      </c>
      <c r="O353" s="677">
        <f t="shared" si="172"/>
        <v>311492.68116028525</v>
      </c>
      <c r="P353" s="680">
        <f t="shared" si="173"/>
        <v>1.5707931164465947</v>
      </c>
      <c r="Q353" s="689">
        <f t="shared" si="195"/>
        <v>147.44326025577104</v>
      </c>
      <c r="R353" s="690">
        <f t="shared" si="196"/>
        <v>1.5640140048023212</v>
      </c>
      <c r="S353" s="677">
        <f t="shared" si="174"/>
        <v>1.5277105203505041</v>
      </c>
      <c r="T353" s="680">
        <f t="shared" si="175"/>
        <v>0.85717697915060131</v>
      </c>
      <c r="U353" s="681">
        <f t="shared" si="187"/>
        <v>0.89644638479123784</v>
      </c>
      <c r="V353" s="682">
        <f t="shared" si="188"/>
        <v>-0.57277879655294306</v>
      </c>
      <c r="W353" s="683">
        <f t="shared" si="176"/>
        <v>-15.608541905724183</v>
      </c>
      <c r="X353" s="684">
        <f t="shared" si="177"/>
        <v>-176.00981556481585</v>
      </c>
      <c r="Y353" s="687">
        <f t="shared" si="178"/>
        <v>3.9901844351841476</v>
      </c>
      <c r="AA353" s="170">
        <f t="shared" si="179"/>
        <v>27542</v>
      </c>
      <c r="AB353" s="170">
        <f t="shared" si="180"/>
        <v>758561764</v>
      </c>
      <c r="AD353" s="686">
        <f t="shared" si="181"/>
        <v>34.92817028498537</v>
      </c>
      <c r="AE353" s="687">
        <f t="shared" si="182"/>
        <v>-49.501037743730862</v>
      </c>
      <c r="AG353" s="686">
        <f t="shared" si="183"/>
        <v>6.4543775763755153</v>
      </c>
      <c r="AH353" s="687">
        <f t="shared" si="184"/>
        <v>-60.873162471953258</v>
      </c>
      <c r="AJ353" s="170">
        <f t="shared" si="185"/>
        <v>0</v>
      </c>
      <c r="AK353" s="170">
        <f t="shared" si="197"/>
        <v>0</v>
      </c>
      <c r="AM353" s="170" t="str">
        <f t="shared" si="189"/>
        <v>0.35009255306633+0.760013362001063i</v>
      </c>
      <c r="AN353" s="170" t="str">
        <f t="shared" si="190"/>
        <v>0.863333674620616i</v>
      </c>
      <c r="AO353" s="170" t="str">
        <f t="shared" si="191"/>
        <v>0.880324009526263-0.405512449424812i</v>
      </c>
      <c r="AP353" s="170" t="str">
        <f t="shared" si="192"/>
        <v>0.108317907822278-0.126668893666844i</v>
      </c>
      <c r="AQ353" s="170" t="str">
        <f t="shared" si="193"/>
        <v>0.891682092177722+0.126668893666844i</v>
      </c>
      <c r="AR353" s="170" t="str">
        <f t="shared" si="194"/>
        <v>0.915710464331828-0.130082270860438i</v>
      </c>
    </row>
    <row r="354" spans="7:44">
      <c r="G354" s="688">
        <v>27702.5</v>
      </c>
      <c r="H354" s="676">
        <f t="shared" si="186"/>
        <v>27.702500000000001</v>
      </c>
      <c r="I354" s="677">
        <f t="shared" si="166"/>
        <v>341.49092741429422</v>
      </c>
      <c r="J354" s="678">
        <f t="shared" si="167"/>
        <v>1.5678679871263472</v>
      </c>
      <c r="K354" s="678">
        <f t="shared" si="168"/>
        <v>1.0032002871844627</v>
      </c>
      <c r="L354" s="679">
        <f t="shared" si="169"/>
        <v>7.9897128391720806E-2</v>
      </c>
      <c r="M354" s="678">
        <f t="shared" si="170"/>
        <v>1.0109993026078303</v>
      </c>
      <c r="N354" s="679">
        <f t="shared" si="171"/>
        <v>-0.14764429819449584</v>
      </c>
      <c r="O354" s="677">
        <f t="shared" si="172"/>
        <v>313307.89339344593</v>
      </c>
      <c r="P354" s="680">
        <f t="shared" si="173"/>
        <v>1.5707931350463926</v>
      </c>
      <c r="Q354" s="689">
        <f t="shared" si="195"/>
        <v>148.30244106580486</v>
      </c>
      <c r="R354" s="690">
        <f t="shared" si="196"/>
        <v>1.5640532983529807</v>
      </c>
      <c r="S354" s="677">
        <f t="shared" si="174"/>
        <v>1.5328050211549615</v>
      </c>
      <c r="T354" s="680">
        <f t="shared" si="175"/>
        <v>0.86005115754975969</v>
      </c>
      <c r="U354" s="681">
        <f t="shared" si="187"/>
        <v>0.89541216860429595</v>
      </c>
      <c r="V354" s="682">
        <f t="shared" si="188"/>
        <v>-0.5757914935385412</v>
      </c>
      <c r="W354" s="683">
        <f t="shared" si="176"/>
        <v>-15.696551363325286</v>
      </c>
      <c r="X354" s="684">
        <f t="shared" si="177"/>
        <v>-176.36773375057084</v>
      </c>
      <c r="Y354" s="687">
        <f t="shared" si="178"/>
        <v>3.6322662494291649</v>
      </c>
      <c r="AA354" s="170">
        <f t="shared" si="179"/>
        <v>27702.5</v>
      </c>
      <c r="AB354" s="170">
        <f t="shared" si="180"/>
        <v>767428506.25</v>
      </c>
      <c r="AD354" s="686">
        <f t="shared" si="181"/>
        <v>34.899251075750371</v>
      </c>
      <c r="AE354" s="687">
        <f t="shared" si="182"/>
        <v>-49.663465746830944</v>
      </c>
      <c r="AG354" s="686">
        <f t="shared" si="183"/>
        <v>6.4153404480331329</v>
      </c>
      <c r="AH354" s="687">
        <f t="shared" si="184"/>
        <v>-60.723423009760538</v>
      </c>
      <c r="AJ354" s="170">
        <f t="shared" si="185"/>
        <v>0</v>
      </c>
      <c r="AK354" s="170">
        <f t="shared" si="197"/>
        <v>0</v>
      </c>
      <c r="AM354" s="170" t="str">
        <f t="shared" si="189"/>
        <v>0.353924423752593+0.763273443646889i</v>
      </c>
      <c r="AN354" s="170" t="str">
        <f t="shared" si="190"/>
        <v>0.86836472010666i</v>
      </c>
      <c r="AO354" s="170" t="str">
        <f t="shared" si="191"/>
        <v>0.878977952435858-0.407575774968289i</v>
      </c>
      <c r="AP354" s="170" t="str">
        <f t="shared" si="192"/>
        <v>0.107679262707901-0.127212240607815i</v>
      </c>
      <c r="AQ354" s="170" t="str">
        <f t="shared" si="193"/>
        <v>0.892320737292099+0.127212240607815i</v>
      </c>
      <c r="AR354" s="170" t="str">
        <f t="shared" si="194"/>
        <v>0.91492560276395-0.130434866133743i</v>
      </c>
    </row>
    <row r="355" spans="7:44">
      <c r="G355" s="688">
        <v>27863</v>
      </c>
      <c r="H355" s="676">
        <f t="shared" si="186"/>
        <v>27.863</v>
      </c>
      <c r="I355" s="677">
        <f t="shared" si="166"/>
        <v>343.46940680084083</v>
      </c>
      <c r="J355" s="678">
        <f t="shared" si="167"/>
        <v>1.5678848552257301</v>
      </c>
      <c r="K355" s="678">
        <f t="shared" si="168"/>
        <v>1.0032374176147447</v>
      </c>
      <c r="L355" s="679">
        <f t="shared" si="169"/>
        <v>8.0358043965053944E-2</v>
      </c>
      <c r="M355" s="678">
        <f t="shared" si="170"/>
        <v>1.0111264218375271</v>
      </c>
      <c r="N355" s="679">
        <f t="shared" si="171"/>
        <v>-0.14848722204942444</v>
      </c>
      <c r="O355" s="677">
        <f t="shared" si="172"/>
        <v>315123.10562660673</v>
      </c>
      <c r="P355" s="680">
        <f t="shared" si="173"/>
        <v>1.5707931534319088</v>
      </c>
      <c r="Q355" s="689">
        <f t="shared" si="195"/>
        <v>149.16162210217732</v>
      </c>
      <c r="R355" s="690">
        <f t="shared" si="196"/>
        <v>1.5640921392366782</v>
      </c>
      <c r="S355" s="677">
        <f t="shared" si="174"/>
        <v>1.5379121003590608</v>
      </c>
      <c r="T355" s="680">
        <f t="shared" si="175"/>
        <v>0.8629062703333803</v>
      </c>
      <c r="U355" s="681">
        <f t="shared" si="187"/>
        <v>0.89437529540111249</v>
      </c>
      <c r="V355" s="682">
        <f t="shared" si="188"/>
        <v>-0.57879944757261115</v>
      </c>
      <c r="W355" s="683">
        <f t="shared" si="176"/>
        <v>-15.784273837182107</v>
      </c>
      <c r="X355" s="684">
        <f t="shared" si="177"/>
        <v>-176.72429230251669</v>
      </c>
      <c r="Y355" s="687">
        <f t="shared" si="178"/>
        <v>3.2757076974833126</v>
      </c>
      <c r="AA355" s="170">
        <f t="shared" si="179"/>
        <v>27863</v>
      </c>
      <c r="AB355" s="170">
        <f t="shared" si="180"/>
        <v>776346769</v>
      </c>
      <c r="AD355" s="686">
        <f t="shared" si="181"/>
        <v>34.870356815398154</v>
      </c>
      <c r="AE355" s="687">
        <f t="shared" si="182"/>
        <v>-49.82482729425471</v>
      </c>
      <c r="AG355" s="686">
        <f t="shared" si="183"/>
        <v>6.3766401377576969</v>
      </c>
      <c r="AH355" s="687">
        <f t="shared" si="184"/>
        <v>-60.573933871645671</v>
      </c>
      <c r="AJ355" s="170">
        <f t="shared" si="185"/>
        <v>0</v>
      </c>
      <c r="AK355" s="170">
        <f t="shared" si="197"/>
        <v>0</v>
      </c>
      <c r="AM355" s="170" t="str">
        <f t="shared" si="189"/>
        <v>0.357772647493773+0.766514205799764i</v>
      </c>
      <c r="AN355" s="170" t="str">
        <f t="shared" si="190"/>
        <v>0.873395765592703i</v>
      </c>
      <c r="AO355" s="170" t="str">
        <f t="shared" si="191"/>
        <v>0.87762528282879-0.409634053184334i</v>
      </c>
      <c r="AP355" s="170" t="str">
        <f t="shared" si="192"/>
        <v>0.107037892084371-0.127752367633294i</v>
      </c>
      <c r="AQ355" s="170" t="str">
        <f t="shared" si="193"/>
        <v>0.892962107915629+0.127752367633294i</v>
      </c>
      <c r="AR355" s="170" t="str">
        <f t="shared" si="194"/>
        <v>0.914139871520476-0.130782182020393i</v>
      </c>
    </row>
    <row r="356" spans="7:44">
      <c r="G356" s="688">
        <v>28023.5</v>
      </c>
      <c r="H356" s="676">
        <f t="shared" si="186"/>
        <v>28.023499999999999</v>
      </c>
      <c r="I356" s="677">
        <f t="shared" si="166"/>
        <v>345.44788628399635</v>
      </c>
      <c r="J356" s="678">
        <f t="shared" si="167"/>
        <v>1.567901530108196</v>
      </c>
      <c r="K356" s="678">
        <f t="shared" si="168"/>
        <v>1.0032747611601576</v>
      </c>
      <c r="L356" s="679">
        <f t="shared" si="169"/>
        <v>8.0818925324212684E-2</v>
      </c>
      <c r="M356" s="678">
        <f t="shared" si="170"/>
        <v>1.0112542593124847</v>
      </c>
      <c r="N356" s="679">
        <f t="shared" si="171"/>
        <v>-0.14932993338693987</v>
      </c>
      <c r="O356" s="677">
        <f t="shared" si="172"/>
        <v>316938.31785976765</v>
      </c>
      <c r="P356" s="680">
        <f t="shared" si="173"/>
        <v>1.5707931716068249</v>
      </c>
      <c r="Q356" s="689">
        <f t="shared" si="195"/>
        <v>150.02080336099965</v>
      </c>
      <c r="R356" s="690">
        <f t="shared" si="196"/>
        <v>1.5641305352306767</v>
      </c>
      <c r="S356" s="677">
        <f t="shared" si="174"/>
        <v>1.5430316330679923</v>
      </c>
      <c r="T356" s="680">
        <f t="shared" si="175"/>
        <v>0.86574246049199999</v>
      </c>
      <c r="U356" s="681">
        <f t="shared" si="187"/>
        <v>0.89333580476313057</v>
      </c>
      <c r="V356" s="682">
        <f t="shared" si="188"/>
        <v>-0.58180265352251703</v>
      </c>
      <c r="W356" s="683">
        <f t="shared" si="176"/>
        <v>-15.871711640466978</v>
      </c>
      <c r="X356" s="684">
        <f t="shared" si="177"/>
        <v>-177.07949881442642</v>
      </c>
      <c r="Y356" s="687">
        <f t="shared" si="178"/>
        <v>2.9205011855735847</v>
      </c>
      <c r="AA356" s="170">
        <f t="shared" si="179"/>
        <v>28023.5</v>
      </c>
      <c r="AB356" s="170">
        <f t="shared" si="180"/>
        <v>785316552.25</v>
      </c>
      <c r="AD356" s="686">
        <f t="shared" si="181"/>
        <v>34.841488276817408</v>
      </c>
      <c r="AE356" s="687">
        <f t="shared" si="182"/>
        <v>-49.985130133362986</v>
      </c>
      <c r="AG356" s="686">
        <f t="shared" si="183"/>
        <v>6.3382730231169564</v>
      </c>
      <c r="AH356" s="687">
        <f t="shared" si="184"/>
        <v>-60.424695492177541</v>
      </c>
      <c r="AJ356" s="170">
        <f t="shared" si="185"/>
        <v>0</v>
      </c>
      <c r="AK356" s="170">
        <f t="shared" si="197"/>
        <v>0</v>
      </c>
      <c r="AM356" s="170" t="str">
        <f t="shared" si="189"/>
        <v>0.361637126886074+0.769735566431572i</v>
      </c>
      <c r="AN356" s="170" t="str">
        <f t="shared" si="190"/>
        <v>0.878426811078746i</v>
      </c>
      <c r="AO356" s="170" t="str">
        <f t="shared" si="191"/>
        <v>0.876266020940667-0.411687259911805i</v>
      </c>
      <c r="AP356" s="170" t="str">
        <f t="shared" si="192"/>
        <v>0.106393812185654-0.128289261071929i</v>
      </c>
      <c r="AQ356" s="170" t="str">
        <f t="shared" si="193"/>
        <v>0.893606187814346+0.128289261071929i</v>
      </c>
      <c r="AR356" s="170" t="str">
        <f t="shared" si="194"/>
        <v>0.913353310267664-0.131124227729925i</v>
      </c>
    </row>
    <row r="357" spans="7:44">
      <c r="G357" s="688">
        <v>28184</v>
      </c>
      <c r="H357" s="676">
        <f t="shared" si="186"/>
        <v>28.184000000000001</v>
      </c>
      <c r="I357" s="677">
        <f t="shared" si="166"/>
        <v>347.42636586211023</v>
      </c>
      <c r="J357" s="678">
        <f t="shared" si="167"/>
        <v>1.5679180150746572</v>
      </c>
      <c r="K357" s="678">
        <f t="shared" si="168"/>
        <v>1.0033123177969048</v>
      </c>
      <c r="L357" s="679">
        <f t="shared" si="169"/>
        <v>8.1279772277235277E-2</v>
      </c>
      <c r="M357" s="678">
        <f t="shared" si="170"/>
        <v>1.0113828147603474</v>
      </c>
      <c r="N357" s="679">
        <f t="shared" si="171"/>
        <v>-0.15017243109093212</v>
      </c>
      <c r="O357" s="677">
        <f t="shared" si="172"/>
        <v>318753.53009292862</v>
      </c>
      <c r="P357" s="680">
        <f t="shared" si="173"/>
        <v>1.5707931895747387</v>
      </c>
      <c r="Q357" s="689">
        <f t="shared" si="195"/>
        <v>150.87998483847161</v>
      </c>
      <c r="R357" s="690">
        <f t="shared" si="196"/>
        <v>1.5641684939350942</v>
      </c>
      <c r="S357" s="677">
        <f t="shared" si="174"/>
        <v>1.5481634957364274</v>
      </c>
      <c r="T357" s="680">
        <f t="shared" si="175"/>
        <v>0.86855987034482607</v>
      </c>
      <c r="U357" s="681">
        <f t="shared" si="187"/>
        <v>0.89229373610714724</v>
      </c>
      <c r="V357" s="682">
        <f t="shared" si="188"/>
        <v>-0.58480110649441097</v>
      </c>
      <c r="W357" s="683">
        <f t="shared" si="176"/>
        <v>-15.958867047722965</v>
      </c>
      <c r="X357" s="684">
        <f t="shared" si="177"/>
        <v>-177.43336086112319</v>
      </c>
      <c r="Y357" s="687">
        <f t="shared" si="178"/>
        <v>2.5666391388768091</v>
      </c>
      <c r="AA357" s="170">
        <f t="shared" si="179"/>
        <v>28184</v>
      </c>
      <c r="AB357" s="170">
        <f t="shared" si="180"/>
        <v>794337856</v>
      </c>
      <c r="AD357" s="686">
        <f t="shared" si="181"/>
        <v>34.812646214717134</v>
      </c>
      <c r="AE357" s="687">
        <f t="shared" si="182"/>
        <v>-50.144381983197192</v>
      </c>
      <c r="AG357" s="686">
        <f t="shared" si="183"/>
        <v>6.3002355395809753</v>
      </c>
      <c r="AH357" s="687">
        <f t="shared" si="184"/>
        <v>-60.275708287931515</v>
      </c>
      <c r="AJ357" s="170">
        <f t="shared" si="185"/>
        <v>0</v>
      </c>
      <c r="AK357" s="170">
        <f t="shared" si="197"/>
        <v>0</v>
      </c>
      <c r="AM357" s="170" t="str">
        <f t="shared" si="189"/>
        <v>0.365517764114247+0.77293744400528i</v>
      </c>
      <c r="AN357" s="170" t="str">
        <f t="shared" si="190"/>
        <v>0.88345785656479i</v>
      </c>
      <c r="AO357" s="170" t="str">
        <f t="shared" si="191"/>
        <v>0.874900187102015-0.413735371074196i</v>
      </c>
      <c r="AP357" s="170" t="str">
        <f t="shared" si="192"/>
        <v>0.105747039314292-0.128822907334213i</v>
      </c>
      <c r="AQ357" s="170" t="str">
        <f t="shared" si="193"/>
        <v>0.894252960685708+0.128822907334213i</v>
      </c>
      <c r="AR357" s="170" t="str">
        <f t="shared" si="194"/>
        <v>0.912565958413247-0.131461012784216i</v>
      </c>
    </row>
    <row r="358" spans="7:44">
      <c r="G358" s="688">
        <v>28348</v>
      </c>
      <c r="H358" s="676">
        <f t="shared" si="186"/>
        <v>28.347999999999999</v>
      </c>
      <c r="I358" s="677">
        <f t="shared" si="166"/>
        <v>349.44798995110915</v>
      </c>
      <c r="J358" s="678">
        <f t="shared" si="167"/>
        <v>1.5679346667092542</v>
      </c>
      <c r="K358" s="678">
        <f t="shared" si="168"/>
        <v>1.0033509135131111</v>
      </c>
      <c r="L358" s="679">
        <f t="shared" si="169"/>
        <v>8.1750633112898444E-2</v>
      </c>
      <c r="M358" s="678">
        <f t="shared" si="170"/>
        <v>1.0115149149419216</v>
      </c>
      <c r="N358" s="679">
        <f t="shared" si="171"/>
        <v>-0.15103307918726472</v>
      </c>
      <c r="O358" s="677">
        <f t="shared" si="172"/>
        <v>320608.32639347954</v>
      </c>
      <c r="P358" s="680">
        <f t="shared" si="173"/>
        <v>1.5707932077243121</v>
      </c>
      <c r="Q358" s="689">
        <f t="shared" si="195"/>
        <v>151.75790258261344</v>
      </c>
      <c r="R358" s="690">
        <f t="shared" si="196"/>
        <v>1.5642068364295465</v>
      </c>
      <c r="S358" s="677">
        <f t="shared" si="174"/>
        <v>1.5534198772454819</v>
      </c>
      <c r="T358" s="680">
        <f t="shared" si="175"/>
        <v>0.87141946732090558</v>
      </c>
      <c r="U358" s="681">
        <f t="shared" si="187"/>
        <v>0.8912263210906094</v>
      </c>
      <c r="V358" s="682">
        <f t="shared" si="188"/>
        <v>-0.58786003186819247</v>
      </c>
      <c r="W358" s="683">
        <f t="shared" si="176"/>
        <v>-16.047633666973521</v>
      </c>
      <c r="X358" s="684">
        <f t="shared" si="177"/>
        <v>-177.79355862325022</v>
      </c>
      <c r="Y358" s="687">
        <f t="shared" si="178"/>
        <v>2.2064413767497797</v>
      </c>
      <c r="AA358" s="170">
        <f t="shared" si="179"/>
        <v>28348</v>
      </c>
      <c r="AB358" s="170">
        <f t="shared" si="180"/>
        <v>803609104</v>
      </c>
      <c r="AD358" s="686">
        <f t="shared" si="181"/>
        <v>34.783203313365604</v>
      </c>
      <c r="AE358" s="687">
        <f t="shared" si="182"/>
        <v>-50.306028998005445</v>
      </c>
      <c r="AG358" s="686">
        <f t="shared" si="183"/>
        <v>6.261705420500685</v>
      </c>
      <c r="AH358" s="687">
        <f t="shared" si="184"/>
        <v>-60.123732007323426</v>
      </c>
      <c r="AJ358" s="170">
        <f t="shared" si="185"/>
        <v>0</v>
      </c>
      <c r="AK358" s="170">
        <f t="shared" si="197"/>
        <v>0</v>
      </c>
      <c r="AM358" s="170" t="str">
        <f t="shared" si="189"/>
        <v>0.369499613834971+0.776188935147718i</v>
      </c>
      <c r="AN358" s="170" t="str">
        <f t="shared" si="190"/>
        <v>0.888598613323115i</v>
      </c>
      <c r="AO358" s="170" t="str">
        <f t="shared" si="191"/>
        <v>0.87349780149328-0.4158228566812i</v>
      </c>
      <c r="AP358" s="170" t="str">
        <f t="shared" si="192"/>
        <v>0.105083397694172-0.12936482252462i</v>
      </c>
      <c r="AQ358" s="170" t="str">
        <f t="shared" si="193"/>
        <v>0.894916602305828+0.12936482252462i</v>
      </c>
      <c r="AR358" s="170" t="str">
        <f t="shared" si="194"/>
        <v>0.911760660971264-0.131799718306231i</v>
      </c>
    </row>
    <row r="359" spans="7:44">
      <c r="G359" s="688">
        <v>28512</v>
      </c>
      <c r="H359" s="676">
        <f t="shared" si="186"/>
        <v>28.512</v>
      </c>
      <c r="I359" s="677">
        <f t="shared" si="166"/>
        <v>351.46961413588724</v>
      </c>
      <c r="J359" s="678">
        <f t="shared" si="167"/>
        <v>1.5679511267862025</v>
      </c>
      <c r="K359" s="678">
        <f t="shared" si="168"/>
        <v>1.0033897316650326</v>
      </c>
      <c r="L359" s="679">
        <f t="shared" si="169"/>
        <v>8.2221457620542532E-2</v>
      </c>
      <c r="M359" s="678">
        <f t="shared" si="170"/>
        <v>1.0116477641719182</v>
      </c>
      <c r="N359" s="679">
        <f t="shared" si="171"/>
        <v>-0.15189350188077333</v>
      </c>
      <c r="O359" s="677">
        <f t="shared" si="172"/>
        <v>322463.12269403058</v>
      </c>
      <c r="P359" s="680">
        <f t="shared" si="173"/>
        <v>1.5707932256650941</v>
      </c>
      <c r="Q359" s="689">
        <f t="shared" si="195"/>
        <v>152.63582054729522</v>
      </c>
      <c r="R359" s="690">
        <f t="shared" si="196"/>
        <v>1.5642447378537394</v>
      </c>
      <c r="S359" s="677">
        <f t="shared" si="174"/>
        <v>1.5586888757912027</v>
      </c>
      <c r="T359" s="680">
        <f t="shared" si="175"/>
        <v>0.87425975420460145</v>
      </c>
      <c r="U359" s="681">
        <f t="shared" si="187"/>
        <v>0.89015629706404398</v>
      </c>
      <c r="V359" s="682">
        <f t="shared" si="188"/>
        <v>-0.59091398513388593</v>
      </c>
      <c r="W359" s="683">
        <f t="shared" si="176"/>
        <v>-16.136110121961742</v>
      </c>
      <c r="X359" s="684">
        <f t="shared" si="177"/>
        <v>-178.1523685686397</v>
      </c>
      <c r="Y359" s="687">
        <f t="shared" si="178"/>
        <v>1.8476314313602984</v>
      </c>
      <c r="AA359" s="170">
        <f t="shared" si="179"/>
        <v>28512</v>
      </c>
      <c r="AB359" s="170">
        <f t="shared" si="180"/>
        <v>812934144</v>
      </c>
      <c r="AD359" s="686">
        <f t="shared" si="181"/>
        <v>34.753789592228735</v>
      </c>
      <c r="AE359" s="687">
        <f t="shared" si="182"/>
        <v>-50.466594885518369</v>
      </c>
      <c r="AG359" s="686">
        <f t="shared" si="183"/>
        <v>6.2235121206000068</v>
      </c>
      <c r="AH359" s="687">
        <f t="shared" si="184"/>
        <v>-59.972018798891234</v>
      </c>
      <c r="AJ359" s="170">
        <f t="shared" si="185"/>
        <v>0</v>
      </c>
      <c r="AK359" s="170">
        <f t="shared" si="197"/>
        <v>0</v>
      </c>
      <c r="AM359" s="170" t="str">
        <f t="shared" si="189"/>
        <v>0.373498125992325+0.779419913695353i</v>
      </c>
      <c r="AN359" s="170" t="str">
        <f t="shared" si="190"/>
        <v>0.89373937008144i</v>
      </c>
      <c r="AO359" s="170" t="str">
        <f t="shared" si="191"/>
        <v>0.872088597399855-0.417904971511203i</v>
      </c>
      <c r="AP359" s="170" t="str">
        <f t="shared" si="192"/>
        <v>0.104416979001279-0.129903318949225i</v>
      </c>
      <c r="AQ359" s="170" t="str">
        <f t="shared" si="193"/>
        <v>0.895583020998721+0.129903318949225i</v>
      </c>
      <c r="AR359" s="170" t="str">
        <f t="shared" si="194"/>
        <v>0.910954620424023-0.132132952312169i</v>
      </c>
    </row>
    <row r="360" spans="7:44">
      <c r="G360" s="688">
        <v>28676</v>
      </c>
      <c r="H360" s="676">
        <f t="shared" si="186"/>
        <v>28.675999999999998</v>
      </c>
      <c r="I360" s="677">
        <f t="shared" si="166"/>
        <v>353.49123841480122</v>
      </c>
      <c r="J360" s="678">
        <f t="shared" si="167"/>
        <v>1.5679673985920606</v>
      </c>
      <c r="K360" s="678">
        <f t="shared" si="168"/>
        <v>1.0034287722268544</v>
      </c>
      <c r="L360" s="679">
        <f t="shared" si="169"/>
        <v>8.2692245595655078E-2</v>
      </c>
      <c r="M360" s="678">
        <f t="shared" si="170"/>
        <v>1.0117813621552818</v>
      </c>
      <c r="N360" s="679">
        <f t="shared" si="171"/>
        <v>-0.15275369798650901</v>
      </c>
      <c r="O360" s="677">
        <f t="shared" si="172"/>
        <v>324317.91899458173</v>
      </c>
      <c r="P360" s="680">
        <f t="shared" si="173"/>
        <v>1.5707932434006671</v>
      </c>
      <c r="Q360" s="689">
        <f t="shared" si="195"/>
        <v>153.51373872873322</v>
      </c>
      <c r="R360" s="690">
        <f t="shared" si="196"/>
        <v>1.5642822057747741</v>
      </c>
      <c r="S360" s="677">
        <f t="shared" si="174"/>
        <v>1.5639703638536311</v>
      </c>
      <c r="T360" s="680">
        <f t="shared" si="175"/>
        <v>0.87708088056633926</v>
      </c>
      <c r="U360" s="681">
        <f t="shared" si="187"/>
        <v>0.88908370553155147</v>
      </c>
      <c r="V360" s="682">
        <f t="shared" si="188"/>
        <v>-0.59396296183276642</v>
      </c>
      <c r="W360" s="683">
        <f t="shared" si="176"/>
        <v>-16.224298720788042</v>
      </c>
      <c r="X360" s="684">
        <f t="shared" si="177"/>
        <v>-178.50979871035295</v>
      </c>
      <c r="Y360" s="687">
        <f t="shared" si="178"/>
        <v>1.4902012896470467</v>
      </c>
      <c r="AA360" s="170">
        <f t="shared" si="179"/>
        <v>28676</v>
      </c>
      <c r="AB360" s="170">
        <f t="shared" si="180"/>
        <v>822312976</v>
      </c>
      <c r="AD360" s="686">
        <f t="shared" si="181"/>
        <v>34.724405799637012</v>
      </c>
      <c r="AE360" s="687">
        <f t="shared" si="182"/>
        <v>-50.626087782132338</v>
      </c>
      <c r="AG360" s="686">
        <f t="shared" si="183"/>
        <v>6.185652016132317</v>
      </c>
      <c r="AH360" s="687">
        <f t="shared" si="184"/>
        <v>-59.820569050232088</v>
      </c>
      <c r="AJ360" s="170">
        <f t="shared" si="185"/>
        <v>0</v>
      </c>
      <c r="AK360" s="170">
        <f t="shared" si="197"/>
        <v>0</v>
      </c>
      <c r="AM360" s="170" t="str">
        <f t="shared" si="189"/>
        <v>0.377513194916341+0.782630294262073i</v>
      </c>
      <c r="AN360" s="170" t="str">
        <f t="shared" si="190"/>
        <v>0.898880126839764i</v>
      </c>
      <c r="AO360" s="170" t="str">
        <f t="shared" si="191"/>
        <v>0.870672596816223-0.419981690154373i</v>
      </c>
      <c r="AP360" s="170" t="str">
        <f t="shared" si="192"/>
        <v>0.103747800847276-0.130438382377012i</v>
      </c>
      <c r="AQ360" s="170" t="str">
        <f t="shared" si="193"/>
        <v>0.896252199152724+0.130438382377012i</v>
      </c>
      <c r="AR360" s="170" t="str">
        <f t="shared" si="194"/>
        <v>0.910147877964462-0.132460725940517i</v>
      </c>
    </row>
    <row r="361" spans="7:44">
      <c r="G361" s="688">
        <v>28840</v>
      </c>
      <c r="H361" s="676">
        <f t="shared" si="186"/>
        <v>28.84</v>
      </c>
      <c r="I361" s="677">
        <f t="shared" si="166"/>
        <v>355.51286278624525</v>
      </c>
      <c r="J361" s="678">
        <f t="shared" si="167"/>
        <v>1.5679834853386312</v>
      </c>
      <c r="K361" s="678">
        <f t="shared" si="168"/>
        <v>1.0034680351726168</v>
      </c>
      <c r="L361" s="679">
        <f t="shared" si="169"/>
        <v>8.3162996833820141E-2</v>
      </c>
      <c r="M361" s="678">
        <f t="shared" si="170"/>
        <v>1.0119157085954507</v>
      </c>
      <c r="N361" s="679">
        <f t="shared" si="171"/>
        <v>-0.1536136663214881</v>
      </c>
      <c r="O361" s="677">
        <f t="shared" si="172"/>
        <v>326172.71529513301</v>
      </c>
      <c r="P361" s="680">
        <f t="shared" si="173"/>
        <v>1.5707932609345314</v>
      </c>
      <c r="Q361" s="689">
        <f t="shared" si="195"/>
        <v>154.39165712322983</v>
      </c>
      <c r="R361" s="690">
        <f t="shared" si="196"/>
        <v>1.5643192475876402</v>
      </c>
      <c r="S361" s="677">
        <f t="shared" si="174"/>
        <v>1.5692642153292788</v>
      </c>
      <c r="T361" s="680">
        <f t="shared" si="175"/>
        <v>0.87988299518536739</v>
      </c>
      <c r="U361" s="681">
        <f t="shared" si="187"/>
        <v>0.88800858780762304</v>
      </c>
      <c r="V361" s="682">
        <f t="shared" si="188"/>
        <v>-0.59700695775942769</v>
      </c>
      <c r="W361" s="683">
        <f t="shared" si="176"/>
        <v>-16.312201733689726</v>
      </c>
      <c r="X361" s="684">
        <f t="shared" si="177"/>
        <v>-178.86585703631476</v>
      </c>
      <c r="Y361" s="687">
        <f t="shared" si="178"/>
        <v>1.1341429636852354</v>
      </c>
      <c r="AA361" s="170">
        <f t="shared" si="179"/>
        <v>28840</v>
      </c>
      <c r="AB361" s="170">
        <f t="shared" si="180"/>
        <v>831745600</v>
      </c>
      <c r="AD361" s="686">
        <f t="shared" si="181"/>
        <v>34.695052665429301</v>
      </c>
      <c r="AE361" s="687">
        <f t="shared" si="182"/>
        <v>-50.784515788769276</v>
      </c>
      <c r="AG361" s="686">
        <f t="shared" si="183"/>
        <v>6.1481215410388925</v>
      </c>
      <c r="AH361" s="687">
        <f t="shared" si="184"/>
        <v>-59.669383130253003</v>
      </c>
      <c r="AJ361" s="170">
        <f t="shared" si="185"/>
        <v>0</v>
      </c>
      <c r="AK361" s="170">
        <f t="shared" si="197"/>
        <v>0</v>
      </c>
      <c r="AM361" s="170" t="str">
        <f t="shared" si="189"/>
        <v>0.381544714499501+0.785819992006119i</v>
      </c>
      <c r="AN361" s="170" t="str">
        <f t="shared" si="190"/>
        <v>0.904020883598089i</v>
      </c>
      <c r="AO361" s="170" t="str">
        <f t="shared" si="191"/>
        <v>0.869249821838718-0.422052987294847i</v>
      </c>
      <c r="AP361" s="170" t="str">
        <f t="shared" si="192"/>
        <v>0.10307588091675-0.130969998667686i</v>
      </c>
      <c r="AQ361" s="170" t="str">
        <f t="shared" si="193"/>
        <v>0.89692411908325+0.130969998667686i</v>
      </c>
      <c r="AR361" s="170" t="str">
        <f t="shared" si="194"/>
        <v>0.909340474495172-0.13278305064963i</v>
      </c>
    </row>
    <row r="362" spans="7:44">
      <c r="G362" s="688">
        <v>29008</v>
      </c>
      <c r="H362" s="676">
        <f t="shared" si="186"/>
        <v>29.007999999999999</v>
      </c>
      <c r="I362" s="677">
        <f t="shared" si="166"/>
        <v>357.58379516349021</v>
      </c>
      <c r="J362" s="678">
        <f t="shared" si="167"/>
        <v>1.5679997758410327</v>
      </c>
      <c r="K362" s="678">
        <f t="shared" si="168"/>
        <v>1.0035084863100017</v>
      </c>
      <c r="L362" s="679">
        <f t="shared" si="169"/>
        <v>8.3645191504015642E-2</v>
      </c>
      <c r="M362" s="678">
        <f t="shared" si="170"/>
        <v>1.0120541075284746</v>
      </c>
      <c r="N362" s="679">
        <f t="shared" si="171"/>
        <v>-0.15449437208781236</v>
      </c>
      <c r="O362" s="677">
        <f t="shared" si="172"/>
        <v>328072.75052984408</v>
      </c>
      <c r="P362" s="680">
        <f t="shared" si="173"/>
        <v>1.5707932786904795</v>
      </c>
      <c r="Q362" s="689">
        <f t="shared" si="195"/>
        <v>155.29098837863421</v>
      </c>
      <c r="R362" s="690">
        <f t="shared" si="196"/>
        <v>1.5643567585893354</v>
      </c>
      <c r="S362" s="677">
        <f t="shared" si="174"/>
        <v>1.5746998742017242</v>
      </c>
      <c r="T362" s="680">
        <f t="shared" si="175"/>
        <v>0.88273389578921946</v>
      </c>
      <c r="U362" s="681">
        <f t="shared" si="187"/>
        <v>0.8869046713203379</v>
      </c>
      <c r="V362" s="682">
        <f t="shared" si="188"/>
        <v>-0.60012002888065419</v>
      </c>
      <c r="W362" s="683">
        <f t="shared" si="176"/>
        <v>-16.401954937709363</v>
      </c>
      <c r="X362" s="684">
        <f t="shared" si="177"/>
        <v>-179.22918562190185</v>
      </c>
      <c r="Y362" s="687">
        <f t="shared" si="178"/>
        <v>0.77081437809815156</v>
      </c>
      <c r="AA362" s="170">
        <f t="shared" si="179"/>
        <v>29008</v>
      </c>
      <c r="AB362" s="170">
        <f t="shared" si="180"/>
        <v>841464064</v>
      </c>
      <c r="AD362" s="686">
        <f t="shared" si="181"/>
        <v>34.6650161340769</v>
      </c>
      <c r="AE362" s="687">
        <f t="shared" si="182"/>
        <v>-50.945712156623934</v>
      </c>
      <c r="AG362" s="686">
        <f t="shared" si="183"/>
        <v>6.1100138072090973</v>
      </c>
      <c r="AH362" s="687">
        <f t="shared" si="184"/>
        <v>-59.514783674437069</v>
      </c>
      <c r="AJ362" s="170">
        <f t="shared" si="185"/>
        <v>0</v>
      </c>
      <c r="AK362" s="170">
        <f t="shared" si="197"/>
        <v>0</v>
      </c>
      <c r="AM362" s="170" t="str">
        <f t="shared" si="189"/>
        <v>0.385691509861491+0.789065953481549i</v>
      </c>
      <c r="AN362" s="170" t="str">
        <f t="shared" si="190"/>
        <v>0.909287024667592i</v>
      </c>
      <c r="AO362" s="170" t="str">
        <f t="shared" si="191"/>
        <v>0.867785343984214-0.424169156051125i</v>
      </c>
      <c r="AP362" s="170" t="str">
        <f t="shared" si="192"/>
        <v>0.102384748356418-0.131510992246925i</v>
      </c>
      <c r="AQ362" s="170" t="str">
        <f t="shared" si="193"/>
        <v>0.897615251643582+0.131510992246925i</v>
      </c>
      <c r="AR362" s="170" t="str">
        <f t="shared" si="194"/>
        <v>0.908512735317305-0.133107599354817i</v>
      </c>
    </row>
    <row r="363" spans="7:44">
      <c r="G363" s="688">
        <v>29176</v>
      </c>
      <c r="H363" s="676">
        <f t="shared" si="186"/>
        <v>29.175999999999998</v>
      </c>
      <c r="I363" s="677">
        <f t="shared" si="166"/>
        <v>359.65472763453806</v>
      </c>
      <c r="J363" s="678">
        <f t="shared" si="167"/>
        <v>1.5680158787383394</v>
      </c>
      <c r="K363" s="678">
        <f t="shared" si="168"/>
        <v>1.0035491707560089</v>
      </c>
      <c r="L363" s="679">
        <f t="shared" si="169"/>
        <v>8.4127347189425883E-2</v>
      </c>
      <c r="M363" s="678">
        <f t="shared" si="170"/>
        <v>1.0121932912388034</v>
      </c>
      <c r="N363" s="679">
        <f t="shared" si="171"/>
        <v>-0.15537483633040794</v>
      </c>
      <c r="O363" s="677">
        <f t="shared" si="172"/>
        <v>329972.78576455533</v>
      </c>
      <c r="P363" s="680">
        <f t="shared" si="173"/>
        <v>1.5707932962419446</v>
      </c>
      <c r="Q363" s="689">
        <f t="shared" si="195"/>
        <v>156.19031985002837</v>
      </c>
      <c r="R363" s="690">
        <f t="shared" si="196"/>
        <v>1.5643938376203383</v>
      </c>
      <c r="S363" s="677">
        <f t="shared" si="174"/>
        <v>1.5801482435449323</v>
      </c>
      <c r="T363" s="680">
        <f t="shared" si="175"/>
        <v>0.88556515939639247</v>
      </c>
      <c r="U363" s="681">
        <f t="shared" si="187"/>
        <v>0.88579819105599733</v>
      </c>
      <c r="V363" s="682">
        <f t="shared" si="188"/>
        <v>-0.60322786517554305</v>
      </c>
      <c r="W363" s="683">
        <f t="shared" si="176"/>
        <v>-16.491413160087152</v>
      </c>
      <c r="X363" s="684">
        <f t="shared" si="177"/>
        <v>-179.59109154177432</v>
      </c>
      <c r="Y363" s="687">
        <f t="shared" si="178"/>
        <v>0.40890845822568167</v>
      </c>
      <c r="AA363" s="170">
        <f t="shared" si="179"/>
        <v>29176</v>
      </c>
      <c r="AB363" s="170">
        <f t="shared" si="180"/>
        <v>851238976</v>
      </c>
      <c r="AD363" s="686">
        <f t="shared" si="181"/>
        <v>34.635013267227926</v>
      </c>
      <c r="AE363" s="687">
        <f t="shared" si="182"/>
        <v>-51.105808145826849</v>
      </c>
      <c r="AG363" s="686">
        <f t="shared" si="183"/>
        <v>6.0722445828754061</v>
      </c>
      <c r="AH363" s="687">
        <f t="shared" si="184"/>
        <v>-59.360461798470304</v>
      </c>
      <c r="AJ363" s="170">
        <f t="shared" si="185"/>
        <v>0</v>
      </c>
      <c r="AK363" s="170">
        <f t="shared" si="197"/>
        <v>0</v>
      </c>
      <c r="AM363" s="170" t="str">
        <f t="shared" si="189"/>
        <v>0.389855341335677+0.79229003243976i</v>
      </c>
      <c r="AN363" s="170" t="str">
        <f t="shared" si="190"/>
        <v>0.914553165737096i</v>
      </c>
      <c r="AO363" s="170" t="str">
        <f t="shared" si="191"/>
        <v>0.866313804513709-0.426279582140496i</v>
      </c>
      <c r="AP363" s="170" t="str">
        <f t="shared" si="192"/>
        <v>0.101690776444054-0.13204833873996i</v>
      </c>
      <c r="AQ363" s="170" t="str">
        <f t="shared" si="193"/>
        <v>0.898309223555946+0.13204833873996i</v>
      </c>
      <c r="AR363" s="170" t="str">
        <f t="shared" si="194"/>
        <v>0.907684388441065-0.133426455446357i</v>
      </c>
    </row>
    <row r="364" spans="7:44">
      <c r="G364" s="688">
        <v>29344</v>
      </c>
      <c r="H364" s="676">
        <f t="shared" si="186"/>
        <v>29.344000000000001</v>
      </c>
      <c r="I364" s="677">
        <f t="shared" si="166"/>
        <v>361.72566019777776</v>
      </c>
      <c r="J364" s="678">
        <f t="shared" si="167"/>
        <v>1.5680317972527431</v>
      </c>
      <c r="K364" s="678">
        <f t="shared" si="168"/>
        <v>1.0035900884822644</v>
      </c>
      <c r="L364" s="679">
        <f t="shared" si="169"/>
        <v>8.4609463670628368E-2</v>
      </c>
      <c r="M364" s="678">
        <f t="shared" si="170"/>
        <v>1.0123332594027448</v>
      </c>
      <c r="N364" s="679">
        <f t="shared" si="171"/>
        <v>-0.15625505778407536</v>
      </c>
      <c r="O364" s="677">
        <f t="shared" si="172"/>
        <v>331872.82099926664</v>
      </c>
      <c r="P364" s="680">
        <f t="shared" si="173"/>
        <v>1.5707933135924386</v>
      </c>
      <c r="Q364" s="689">
        <f t="shared" si="195"/>
        <v>157.08965153370283</v>
      </c>
      <c r="R364" s="690">
        <f t="shared" si="196"/>
        <v>1.5644304920995882</v>
      </c>
      <c r="S364" s="677">
        <f t="shared" si="174"/>
        <v>1.5856091923341784</v>
      </c>
      <c r="T364" s="680">
        <f t="shared" si="175"/>
        <v>0.88837694327474048</v>
      </c>
      <c r="U364" s="681">
        <f t="shared" si="187"/>
        <v>0.88468919079195474</v>
      </c>
      <c r="V364" s="682">
        <f t="shared" si="188"/>
        <v>-0.60633046293841053</v>
      </c>
      <c r="W364" s="683">
        <f t="shared" si="176"/>
        <v>-16.580578724017169</v>
      </c>
      <c r="X364" s="684">
        <f t="shared" si="177"/>
        <v>-179.95158329422318</v>
      </c>
      <c r="Y364" s="687">
        <f t="shared" si="178"/>
        <v>4.8416705776816116E-2</v>
      </c>
      <c r="AA364" s="170">
        <f t="shared" si="179"/>
        <v>29344</v>
      </c>
      <c r="AB364" s="170">
        <f t="shared" si="180"/>
        <v>861070336</v>
      </c>
      <c r="AD364" s="686">
        <f t="shared" si="181"/>
        <v>34.605044791206382</v>
      </c>
      <c r="AE364" s="687">
        <f t="shared" si="182"/>
        <v>-51.264812342289609</v>
      </c>
      <c r="AG364" s="686">
        <f t="shared" si="183"/>
        <v>6.0348102146804301</v>
      </c>
      <c r="AH364" s="687">
        <f t="shared" si="184"/>
        <v>-59.206417839372115</v>
      </c>
      <c r="AJ364" s="170">
        <f t="shared" si="185"/>
        <v>0</v>
      </c>
      <c r="AK364" s="170">
        <f t="shared" si="197"/>
        <v>0</v>
      </c>
      <c r="AM364" s="170" t="str">
        <f t="shared" si="189"/>
        <v>0.394036093449943+0.795492139470023i</v>
      </c>
      <c r="AN364" s="170" t="str">
        <f t="shared" si="190"/>
        <v>0.919819306806599i</v>
      </c>
      <c r="AO364" s="170" t="str">
        <f t="shared" si="191"/>
        <v>0.864835227509834-0.428384238658727i</v>
      </c>
      <c r="AP364" s="170" t="str">
        <f t="shared" si="192"/>
        <v>0.10099398442501-0.132582023245004i</v>
      </c>
      <c r="AQ364" s="170" t="str">
        <f t="shared" si="193"/>
        <v>0.89900601557499+0.132582023245004i</v>
      </c>
      <c r="AR364" s="170" t="str">
        <f t="shared" si="194"/>
        <v>0.906855476875326-0.133739632251565i</v>
      </c>
    </row>
    <row r="365" spans="7:44">
      <c r="G365" s="688">
        <v>29512</v>
      </c>
      <c r="H365" s="676">
        <f t="shared" si="186"/>
        <v>29.512</v>
      </c>
      <c r="I365" s="677">
        <f t="shared" si="166"/>
        <v>363.79659285163484</v>
      </c>
      <c r="J365" s="678">
        <f t="shared" si="167"/>
        <v>1.568047534533066</v>
      </c>
      <c r="K365" s="678">
        <f t="shared" si="168"/>
        <v>1.003631239460236</v>
      </c>
      <c r="L365" s="679">
        <f t="shared" si="169"/>
        <v>8.5091540728309129E-2</v>
      </c>
      <c r="M365" s="678">
        <f t="shared" si="170"/>
        <v>1.0124740116949609</v>
      </c>
      <c r="N365" s="679">
        <f t="shared" si="171"/>
        <v>-0.15713503518581753</v>
      </c>
      <c r="O365" s="677">
        <f t="shared" si="172"/>
        <v>333772.85623397806</v>
      </c>
      <c r="P365" s="680">
        <f t="shared" si="173"/>
        <v>1.5707933307453936</v>
      </c>
      <c r="Q365" s="689">
        <f t="shared" si="195"/>
        <v>157.98898342603235</v>
      </c>
      <c r="R365" s="690">
        <f t="shared" si="196"/>
        <v>1.564466729277104</v>
      </c>
      <c r="S365" s="677">
        <f t="shared" si="174"/>
        <v>1.5910825910431097</v>
      </c>
      <c r="T365" s="680">
        <f t="shared" si="175"/>
        <v>0.89116940376762732</v>
      </c>
      <c r="U365" s="681">
        <f t="shared" si="187"/>
        <v>0.88357771408647212</v>
      </c>
      <c r="V365" s="682">
        <f t="shared" si="188"/>
        <v>-0.60942781873443341</v>
      </c>
      <c r="W365" s="683">
        <f t="shared" si="176"/>
        <v>-16.669453915174209</v>
      </c>
      <c r="X365" s="684">
        <f t="shared" si="177"/>
        <v>-180.31066934567929</v>
      </c>
      <c r="Y365" s="687">
        <f t="shared" si="178"/>
        <v>-0.31066934567928683</v>
      </c>
      <c r="AA365" s="170">
        <f t="shared" si="179"/>
        <v>29512</v>
      </c>
      <c r="AB365" s="170">
        <f t="shared" si="180"/>
        <v>870958144</v>
      </c>
      <c r="AD365" s="686">
        <f t="shared" si="181"/>
        <v>34.575111413398844</v>
      </c>
      <c r="AE365" s="687">
        <f t="shared" si="182"/>
        <v>-51.422733288628308</v>
      </c>
      <c r="AG365" s="686">
        <f t="shared" si="183"/>
        <v>5.9977071073405677</v>
      </c>
      <c r="AH365" s="687">
        <f t="shared" si="184"/>
        <v>-59.052652114558953</v>
      </c>
      <c r="AJ365" s="170">
        <f t="shared" si="185"/>
        <v>0</v>
      </c>
      <c r="AK365" s="170">
        <f t="shared" si="197"/>
        <v>0</v>
      </c>
      <c r="AM365" s="170" t="str">
        <f t="shared" si="189"/>
        <v>0.398233650262931+0.798672185770935i</v>
      </c>
      <c r="AN365" s="170" t="str">
        <f t="shared" si="190"/>
        <v>0.925085447876103i</v>
      </c>
      <c r="AO365" s="170" t="str">
        <f t="shared" si="191"/>
        <v>0.863349637165519-0.430483098806962i</v>
      </c>
      <c r="AP365" s="170" t="str">
        <f t="shared" si="192"/>
        <v>0.100294391622845-0.133112030961823i</v>
      </c>
      <c r="AQ365" s="170" t="str">
        <f t="shared" si="193"/>
        <v>0.899705608377155+0.133112030961823i</v>
      </c>
      <c r="AR365" s="170" t="str">
        <f t="shared" si="194"/>
        <v>0.906026043301157-0.134047143426903i</v>
      </c>
    </row>
    <row r="366" spans="7:44">
      <c r="G366" s="688">
        <v>29684</v>
      </c>
      <c r="H366" s="676">
        <f t="shared" si="186"/>
        <v>29.684000000000001</v>
      </c>
      <c r="I366" s="677">
        <f t="shared" si="166"/>
        <v>365.91683351809468</v>
      </c>
      <c r="J366" s="678">
        <f t="shared" si="167"/>
        <v>1.5680634619656266</v>
      </c>
      <c r="K366" s="678">
        <f t="shared" si="168"/>
        <v>1.003673611841686</v>
      </c>
      <c r="L366" s="679">
        <f t="shared" si="169"/>
        <v>8.558505473959635E-2</v>
      </c>
      <c r="M366" s="678">
        <f t="shared" si="170"/>
        <v>1.0126189272458974</v>
      </c>
      <c r="N366" s="679">
        <f t="shared" si="171"/>
        <v>-0.1580357102766943</v>
      </c>
      <c r="O366" s="677">
        <f t="shared" si="172"/>
        <v>335718.13040284941</v>
      </c>
      <c r="P366" s="680">
        <f t="shared" si="173"/>
        <v>1.5707933481056051</v>
      </c>
      <c r="Q366" s="689">
        <f t="shared" si="195"/>
        <v>158.90972819493194</v>
      </c>
      <c r="R366" s="690">
        <f t="shared" si="196"/>
        <v>1.5645034043191288</v>
      </c>
      <c r="S366" s="677">
        <f t="shared" si="174"/>
        <v>1.5966990731611004</v>
      </c>
      <c r="T366" s="680">
        <f t="shared" si="175"/>
        <v>0.89400849470520416</v>
      </c>
      <c r="U366" s="681">
        <f t="shared" si="187"/>
        <v>0.88243725331389611</v>
      </c>
      <c r="V366" s="682">
        <f t="shared" si="188"/>
        <v>-0.61259348712688011</v>
      </c>
      <c r="W366" s="683">
        <f t="shared" si="176"/>
        <v>-16.760146705135455</v>
      </c>
      <c r="X366" s="684">
        <f t="shared" si="177"/>
        <v>-180.67685756835195</v>
      </c>
      <c r="Y366" s="687">
        <f t="shared" si="178"/>
        <v>-0.67685756835194866</v>
      </c>
      <c r="AA366" s="170">
        <f t="shared" si="179"/>
        <v>29684</v>
      </c>
      <c r="AB366" s="170">
        <f t="shared" si="180"/>
        <v>881139856</v>
      </c>
      <c r="AD366" s="686">
        <f t="shared" si="181"/>
        <v>34.544502416933113</v>
      </c>
      <c r="AE366" s="687">
        <f t="shared" si="182"/>
        <v>-51.583300886734136</v>
      </c>
      <c r="AG366" s="686">
        <f t="shared" si="183"/>
        <v>5.9600600835599842</v>
      </c>
      <c r="AH366" s="687">
        <f t="shared" si="184"/>
        <v>-58.895513862260898</v>
      </c>
      <c r="AJ366" s="170">
        <f t="shared" si="185"/>
        <v>0</v>
      </c>
      <c r="AK366" s="170">
        <f t="shared" si="197"/>
        <v>0</v>
      </c>
      <c r="AM366" s="170" t="str">
        <f t="shared" si="189"/>
        <v>0.402548436976768+0.801905000508849i</v>
      </c>
      <c r="AN366" s="170" t="str">
        <f t="shared" si="190"/>
        <v>0.930476973256785i</v>
      </c>
      <c r="AO366" s="170" t="str">
        <f t="shared" si="191"/>
        <v>0.861821435195846-0.432625898916981i</v>
      </c>
      <c r="AP366" s="170" t="str">
        <f t="shared" si="192"/>
        <v>0.099575260503872-0.133650833418142i</v>
      </c>
      <c r="AQ366" s="170" t="str">
        <f t="shared" si="193"/>
        <v>0.900424739496128+0.133650833418142i</v>
      </c>
      <c r="AR366" s="170" t="str">
        <f t="shared" si="194"/>
        <v>0.905176364731186-0.134356121317175i</v>
      </c>
    </row>
    <row r="367" spans="7:44">
      <c r="G367" s="688">
        <v>29856</v>
      </c>
      <c r="H367" s="676">
        <f t="shared" si="186"/>
        <v>29.856000000000002</v>
      </c>
      <c r="I367" s="677">
        <f t="shared" si="166"/>
        <v>368.03707427631178</v>
      </c>
      <c r="J367" s="678">
        <f t="shared" si="167"/>
        <v>1.568079205884116</v>
      </c>
      <c r="K367" s="678">
        <f t="shared" si="168"/>
        <v>1.0037162286532721</v>
      </c>
      <c r="L367" s="679">
        <f t="shared" si="169"/>
        <v>8.6078526962816593E-2</v>
      </c>
      <c r="M367" s="678">
        <f t="shared" si="170"/>
        <v>1.0127646640136534</v>
      </c>
      <c r="N367" s="679">
        <f t="shared" si="171"/>
        <v>-0.1589361268836571</v>
      </c>
      <c r="O367" s="677">
        <f t="shared" si="172"/>
        <v>337663.40457172081</v>
      </c>
      <c r="P367" s="680">
        <f t="shared" si="173"/>
        <v>1.5707933652657926</v>
      </c>
      <c r="Q367" s="689">
        <f t="shared" si="195"/>
        <v>159.83047317511179</v>
      </c>
      <c r="R367" s="690">
        <f t="shared" si="196"/>
        <v>1.5645396568089793</v>
      </c>
      <c r="S367" s="677">
        <f t="shared" si="174"/>
        <v>1.6023283350871587</v>
      </c>
      <c r="T367" s="680">
        <f t="shared" si="175"/>
        <v>0.89682765977978163</v>
      </c>
      <c r="U367" s="681">
        <f t="shared" si="187"/>
        <v>0.88129428845760982</v>
      </c>
      <c r="V367" s="682">
        <f t="shared" si="188"/>
        <v>-0.61575365453786801</v>
      </c>
      <c r="W367" s="683">
        <f t="shared" si="176"/>
        <v>-16.850539862761131</v>
      </c>
      <c r="X367" s="684">
        <f t="shared" si="177"/>
        <v>-181.04159020880556</v>
      </c>
      <c r="Y367" s="687">
        <f t="shared" si="178"/>
        <v>-1.0415902088055589</v>
      </c>
      <c r="AA367" s="170">
        <f t="shared" si="179"/>
        <v>29856</v>
      </c>
      <c r="AB367" s="170">
        <f t="shared" si="180"/>
        <v>891380736</v>
      </c>
      <c r="AD367" s="686">
        <f t="shared" si="181"/>
        <v>34.51393165120669</v>
      </c>
      <c r="AE367" s="687">
        <f t="shared" si="182"/>
        <v>-51.742751015981362</v>
      </c>
      <c r="AG367" s="686">
        <f t="shared" si="183"/>
        <v>5.9227528369795959</v>
      </c>
      <c r="AH367" s="687">
        <f t="shared" si="184"/>
        <v>-58.738667862644725</v>
      </c>
      <c r="AJ367" s="170">
        <f t="shared" si="185"/>
        <v>0</v>
      </c>
      <c r="AK367" s="170">
        <f t="shared" si="197"/>
        <v>0</v>
      </c>
      <c r="AM367" s="170" t="str">
        <f t="shared" si="189"/>
        <v>0.406880590696736+0.805114505090889i</v>
      </c>
      <c r="AN367" s="170" t="str">
        <f t="shared" si="190"/>
        <v>0.935868498637467i</v>
      </c>
      <c r="AO367" s="170" t="str">
        <f t="shared" si="191"/>
        <v>0.860285933614666-0.434762566844716i</v>
      </c>
      <c r="AP367" s="170" t="str">
        <f t="shared" si="192"/>
        <v>0.0988532348838773-0.134185750848481i</v>
      </c>
      <c r="AQ367" s="170" t="str">
        <f t="shared" si="193"/>
        <v>0.901146765116123+0.134185750848481i</v>
      </c>
      <c r="AR367" s="170" t="str">
        <f t="shared" si="194"/>
        <v>0.904326228479476-0.134659190575751i</v>
      </c>
    </row>
    <row r="368" spans="7:44">
      <c r="G368" s="688">
        <v>30028</v>
      </c>
      <c r="H368" s="676">
        <f t="shared" si="186"/>
        <v>30.027999999999999</v>
      </c>
      <c r="I368" s="677">
        <f t="shared" si="166"/>
        <v>370.15731512470961</v>
      </c>
      <c r="J368" s="678">
        <f t="shared" si="167"/>
        <v>1.5680947694420015</v>
      </c>
      <c r="K368" s="678">
        <f t="shared" si="168"/>
        <v>1.0037590898638606</v>
      </c>
      <c r="L368" s="679">
        <f t="shared" si="169"/>
        <v>8.6571957162972252E-2</v>
      </c>
      <c r="M368" s="678">
        <f t="shared" si="170"/>
        <v>1.0129112216437617</v>
      </c>
      <c r="N368" s="679">
        <f t="shared" si="171"/>
        <v>-0.15983628365856806</v>
      </c>
      <c r="O368" s="677">
        <f t="shared" si="172"/>
        <v>339608.67874059232</v>
      </c>
      <c r="P368" s="680">
        <f t="shared" si="173"/>
        <v>1.5707933822293934</v>
      </c>
      <c r="Q368" s="689">
        <f t="shared" si="195"/>
        <v>160.75121836294144</v>
      </c>
      <c r="R368" s="690">
        <f t="shared" si="196"/>
        <v>1.5645754940073979</v>
      </c>
      <c r="S368" s="677">
        <f t="shared" si="174"/>
        <v>1.6079702426007341</v>
      </c>
      <c r="T368" s="680">
        <f t="shared" si="175"/>
        <v>0.89962706368609291</v>
      </c>
      <c r="U368" s="681">
        <f t="shared" si="187"/>
        <v>0.88014886553242466</v>
      </c>
      <c r="V368" s="682">
        <f t="shared" si="188"/>
        <v>-0.61890831815002689</v>
      </c>
      <c r="W368" s="683">
        <f t="shared" si="176"/>
        <v>-16.940635724913623</v>
      </c>
      <c r="X368" s="684">
        <f t="shared" si="177"/>
        <v>-181.40487624301903</v>
      </c>
      <c r="Y368" s="687">
        <f t="shared" si="178"/>
        <v>-1.4048762430190322</v>
      </c>
      <c r="AA368" s="170">
        <f t="shared" si="179"/>
        <v>30028</v>
      </c>
      <c r="AB368" s="170">
        <f t="shared" si="180"/>
        <v>901680784</v>
      </c>
      <c r="AD368" s="686">
        <f t="shared" si="181"/>
        <v>34.483399815930817</v>
      </c>
      <c r="AE368" s="687">
        <f t="shared" si="182"/>
        <v>-51.901092696870123</v>
      </c>
      <c r="AG368" s="686">
        <f t="shared" si="183"/>
        <v>5.8857816902577911</v>
      </c>
      <c r="AH368" s="687">
        <f t="shared" si="184"/>
        <v>-58.582114394035983</v>
      </c>
      <c r="AJ368" s="170">
        <f t="shared" si="185"/>
        <v>0</v>
      </c>
      <c r="AK368" s="170">
        <f t="shared" si="197"/>
        <v>0</v>
      </c>
      <c r="AM368" s="170" t="str">
        <f t="shared" si="189"/>
        <v>0.411229985493732+0.808300606221651i</v>
      </c>
      <c r="AN368" s="170" t="str">
        <f t="shared" si="190"/>
        <v>0.941260024018149i</v>
      </c>
      <c r="AO368" s="170" t="str">
        <f t="shared" si="191"/>
        <v>0.858743158740656-0.436893074177559i</v>
      </c>
      <c r="AP368" s="170" t="str">
        <f t="shared" si="192"/>
        <v>0.0981283357510447-0.134716767703608i</v>
      </c>
      <c r="AQ368" s="170" t="str">
        <f t="shared" si="193"/>
        <v>0.901871664248955+0.134716767703608i</v>
      </c>
      <c r="AR368" s="170" t="str">
        <f t="shared" si="194"/>
        <v>0.903475679269532-0.134956366892147i</v>
      </c>
    </row>
    <row r="369" spans="7:44">
      <c r="G369" s="688">
        <v>30200</v>
      </c>
      <c r="H369" s="676">
        <f t="shared" si="186"/>
        <v>30.2</v>
      </c>
      <c r="I369" s="677">
        <f t="shared" si="166"/>
        <v>372.27755606174725</v>
      </c>
      <c r="J369" s="678">
        <f t="shared" si="167"/>
        <v>1.5681101557209118</v>
      </c>
      <c r="K369" s="678">
        <f t="shared" si="168"/>
        <v>1.0038021954421448</v>
      </c>
      <c r="L369" s="679">
        <f t="shared" si="169"/>
        <v>8.7065345105187583E-2</v>
      </c>
      <c r="M369" s="678">
        <f t="shared" si="170"/>
        <v>1.0130585997799633</v>
      </c>
      <c r="N369" s="679">
        <f t="shared" si="171"/>
        <v>-0.16073617925575157</v>
      </c>
      <c r="O369" s="677">
        <f t="shared" si="172"/>
        <v>341553.95290946396</v>
      </c>
      <c r="P369" s="680">
        <f t="shared" si="173"/>
        <v>1.5707933989997664</v>
      </c>
      <c r="Q369" s="689">
        <f t="shared" si="195"/>
        <v>161.67196375487308</v>
      </c>
      <c r="R369" s="690">
        <f t="shared" si="196"/>
        <v>1.5646109230097274</v>
      </c>
      <c r="S369" s="677">
        <f t="shared" si="174"/>
        <v>1.6136246630590243</v>
      </c>
      <c r="T369" s="680">
        <f t="shared" si="175"/>
        <v>0.9024068700570439</v>
      </c>
      <c r="U369" s="681">
        <f t="shared" si="187"/>
        <v>0.87900103030208476</v>
      </c>
      <c r="V369" s="682">
        <f t="shared" si="188"/>
        <v>-0.62205747543425949</v>
      </c>
      <c r="W369" s="683">
        <f t="shared" si="176"/>
        <v>-17.030436591330552</v>
      </c>
      <c r="X369" s="684">
        <f t="shared" si="177"/>
        <v>-181.76672460814018</v>
      </c>
      <c r="Y369" s="687">
        <f t="shared" si="178"/>
        <v>-1.76672460814018</v>
      </c>
      <c r="AA369" s="170">
        <f t="shared" si="179"/>
        <v>30200</v>
      </c>
      <c r="AB369" s="170">
        <f t="shared" si="180"/>
        <v>912040000</v>
      </c>
      <c r="AD369" s="686">
        <f t="shared" si="181"/>
        <v>34.452907591532508</v>
      </c>
      <c r="AE369" s="687">
        <f t="shared" si="182"/>
        <v>-52.058334898534646</v>
      </c>
      <c r="AG369" s="686">
        <f t="shared" si="183"/>
        <v>5.8491430243951026</v>
      </c>
      <c r="AH369" s="687">
        <f t="shared" si="184"/>
        <v>-58.425853714261429</v>
      </c>
      <c r="AJ369" s="170">
        <f t="shared" si="185"/>
        <v>0</v>
      </c>
      <c r="AK369" s="170">
        <f t="shared" si="197"/>
        <v>0</v>
      </c>
      <c r="AM369" s="170" t="str">
        <f t="shared" si="189"/>
        <v>0.415596494937479+0.811463211286032i</v>
      </c>
      <c r="AN369" s="170" t="str">
        <f t="shared" si="190"/>
        <v>0.946651549398831i</v>
      </c>
      <c r="AO369" s="170" t="str">
        <f t="shared" si="191"/>
        <v>0.857193137011554-0.439017392620762i</v>
      </c>
      <c r="AP369" s="170" t="str">
        <f t="shared" si="192"/>
        <v>0.0974005841770868-0.135243868547672i</v>
      </c>
      <c r="AQ369" s="170" t="str">
        <f t="shared" si="193"/>
        <v>0.902599415822913+0.135243868547672i</v>
      </c>
      <c r="AR369" s="170" t="str">
        <f t="shared" si="194"/>
        <v>0.902624761457295-0.135247666291815i</v>
      </c>
    </row>
    <row r="370" spans="7:44">
      <c r="G370" s="688">
        <v>30375.75</v>
      </c>
      <c r="H370" s="676">
        <f t="shared" si="186"/>
        <v>30.37575</v>
      </c>
      <c r="I370" s="677">
        <f t="shared" si="166"/>
        <v>374.44402327199822</v>
      </c>
      <c r="J370" s="678">
        <f t="shared" si="167"/>
        <v>1.5681256974709916</v>
      </c>
      <c r="K370" s="678">
        <f t="shared" si="168"/>
        <v>1.0038464932069779</v>
      </c>
      <c r="L370" s="679">
        <f t="shared" si="169"/>
        <v>8.7569446157743341E-2</v>
      </c>
      <c r="M370" s="678">
        <f t="shared" si="170"/>
        <v>1.0132100382642513</v>
      </c>
      <c r="N370" s="679">
        <f t="shared" si="171"/>
        <v>-0.16165542349099102</v>
      </c>
      <c r="O370" s="677">
        <f t="shared" si="172"/>
        <v>343541.6385791105</v>
      </c>
      <c r="P370" s="680">
        <f t="shared" si="173"/>
        <v>1.5707934159395949</v>
      </c>
      <c r="Q370" s="689">
        <f t="shared" si="195"/>
        <v>162.61278374483524</v>
      </c>
      <c r="R370" s="690">
        <f t="shared" si="196"/>
        <v>1.5646467100183867</v>
      </c>
      <c r="S370" s="677">
        <f t="shared" si="174"/>
        <v>1.6194151517932607</v>
      </c>
      <c r="T370" s="680">
        <f t="shared" si="175"/>
        <v>0.90522720870125029</v>
      </c>
      <c r="U370" s="681">
        <f t="shared" si="187"/>
        <v>0.87782572517466939</v>
      </c>
      <c r="V370" s="682">
        <f t="shared" si="188"/>
        <v>-0.62526960162583667</v>
      </c>
      <c r="W370" s="683">
        <f t="shared" si="176"/>
        <v>-17.12189296715707</v>
      </c>
      <c r="X370" s="684">
        <f t="shared" si="177"/>
        <v>-182.13498633868272</v>
      </c>
      <c r="Y370" s="687">
        <f t="shared" si="178"/>
        <v>-2.1349863386827224</v>
      </c>
      <c r="AA370" s="170">
        <f t="shared" si="179"/>
        <v>30375.75</v>
      </c>
      <c r="AB370" s="170">
        <f t="shared" si="180"/>
        <v>922686188.0625</v>
      </c>
      <c r="AD370" s="686">
        <f t="shared" si="181"/>
        <v>34.421792169601808</v>
      </c>
      <c r="AE370" s="687">
        <f t="shared" si="182"/>
        <v>-52.217878925850698</v>
      </c>
      <c r="AG370" s="686">
        <f t="shared" si="183"/>
        <v>5.8120452778762468</v>
      </c>
      <c r="AH370" s="687">
        <f t="shared" si="184"/>
        <v>-58.266488868985753</v>
      </c>
      <c r="AJ370" s="170">
        <f t="shared" si="185"/>
        <v>0</v>
      </c>
      <c r="AK370" s="170">
        <f t="shared" si="197"/>
        <v>0</v>
      </c>
      <c r="AM370" s="170" t="str">
        <f t="shared" si="189"/>
        <v>0.420075750800273+0.814670402794978i</v>
      </c>
      <c r="AN370" s="170" t="str">
        <f t="shared" si="190"/>
        <v>0.952160622571243i</v>
      </c>
      <c r="AO370" s="170" t="str">
        <f t="shared" si="191"/>
        <v>0.855601863260232-0.441181604072103i</v>
      </c>
      <c r="AP370" s="170" t="str">
        <f t="shared" si="192"/>
        <v>0.0966540415332878-0.13577840046583i</v>
      </c>
      <c r="AQ370" s="170" t="str">
        <f t="shared" si="193"/>
        <v>0.903345958466712+0.13577840046583i</v>
      </c>
      <c r="AR370" s="170" t="str">
        <f t="shared" si="194"/>
        <v>0.901754956677242-0.135539263204975i</v>
      </c>
    </row>
    <row r="371" spans="7:44">
      <c r="G371" s="688">
        <v>30551.5</v>
      </c>
      <c r="H371" s="676">
        <f t="shared" si="186"/>
        <v>30.551500000000001</v>
      </c>
      <c r="I371" s="677">
        <f t="shared" si="166"/>
        <v>376.61049057165411</v>
      </c>
      <c r="J371" s="678">
        <f t="shared" si="167"/>
        <v>1.5681410604119652</v>
      </c>
      <c r="K371" s="678">
        <f t="shared" si="168"/>
        <v>1.0038910460445944</v>
      </c>
      <c r="L371" s="679">
        <f t="shared" si="169"/>
        <v>8.8073502594216299E-2</v>
      </c>
      <c r="M371" s="678">
        <f t="shared" si="170"/>
        <v>1.0133623326647998</v>
      </c>
      <c r="N371" s="679">
        <f t="shared" si="171"/>
        <v>-0.1625743922030804</v>
      </c>
      <c r="O371" s="677">
        <f t="shared" si="172"/>
        <v>345529.3242487571</v>
      </c>
      <c r="P371" s="680">
        <f t="shared" si="173"/>
        <v>1.5707934326845279</v>
      </c>
      <c r="Q371" s="689">
        <f t="shared" si="195"/>
        <v>163.5536039406613</v>
      </c>
      <c r="R371" s="690">
        <f t="shared" si="196"/>
        <v>1.5646820853071448</v>
      </c>
      <c r="S371" s="677">
        <f t="shared" si="174"/>
        <v>1.6252184300084691</v>
      </c>
      <c r="T371" s="680">
        <f t="shared" si="175"/>
        <v>0.90802742793619562</v>
      </c>
      <c r="U371" s="681">
        <f t="shared" si="187"/>
        <v>0.87664799719947073</v>
      </c>
      <c r="V371" s="682">
        <f t="shared" si="188"/>
        <v>-0.62847597434217861</v>
      </c>
      <c r="W371" s="683">
        <f t="shared" si="176"/>
        <v>-17.213046083902036</v>
      </c>
      <c r="X371" s="684">
        <f t="shared" si="177"/>
        <v>-182.50176576577664</v>
      </c>
      <c r="Y371" s="687">
        <f t="shared" si="178"/>
        <v>-2.5017657657766392</v>
      </c>
      <c r="AA371" s="170">
        <f t="shared" si="179"/>
        <v>30551.5</v>
      </c>
      <c r="AB371" s="170">
        <f t="shared" si="180"/>
        <v>933394152.25</v>
      </c>
      <c r="AD371" s="686">
        <f t="shared" si="181"/>
        <v>34.390719480934052</v>
      </c>
      <c r="AE371" s="687">
        <f t="shared" si="182"/>
        <v>-52.376293774574535</v>
      </c>
      <c r="AG371" s="686">
        <f t="shared" si="183"/>
        <v>5.7752872093699805</v>
      </c>
      <c r="AH371" s="687">
        <f t="shared" si="184"/>
        <v>-58.107430198551398</v>
      </c>
      <c r="AJ371" s="170">
        <f t="shared" si="185"/>
        <v>0</v>
      </c>
      <c r="AK371" s="170">
        <f t="shared" si="197"/>
        <v>0</v>
      </c>
      <c r="AM371" s="170" t="str">
        <f t="shared" si="189"/>
        <v>0.42457260725411+0.817852869211613i</v>
      </c>
      <c r="AN371" s="170" t="str">
        <f t="shared" si="190"/>
        <v>0.957669695743655i</v>
      </c>
      <c r="AO371" s="170" t="str">
        <f t="shared" si="191"/>
        <v>0.854003079398403-0.443339294478164i</v>
      </c>
      <c r="AP371" s="170" t="str">
        <f t="shared" si="192"/>
        <v>0.0959045654576483-0.136308811535269i</v>
      </c>
      <c r="AQ371" s="170" t="str">
        <f t="shared" si="193"/>
        <v>0.904095434542352+0.136308811535269i</v>
      </c>
      <c r="AR371" s="170" t="str">
        <f t="shared" si="194"/>
        <v>0.900884859498406-0.135824759020607i</v>
      </c>
    </row>
    <row r="372" spans="7:44">
      <c r="G372" s="688">
        <v>30727.25</v>
      </c>
      <c r="H372" s="676">
        <f t="shared" si="186"/>
        <v>30.727250000000002</v>
      </c>
      <c r="I372" s="677">
        <f t="shared" si="166"/>
        <v>378.77695795918072</v>
      </c>
      <c r="J372" s="678">
        <f t="shared" si="167"/>
        <v>1.5681562476119955</v>
      </c>
      <c r="K372" s="678">
        <f t="shared" si="168"/>
        <v>1.0039358539210352</v>
      </c>
      <c r="L372" s="679">
        <f t="shared" si="169"/>
        <v>8.8577514164429424E-2</v>
      </c>
      <c r="M372" s="678">
        <f t="shared" si="170"/>
        <v>1.0135154825957697</v>
      </c>
      <c r="N372" s="679">
        <f t="shared" si="171"/>
        <v>-0.16349308396442974</v>
      </c>
      <c r="O372" s="677">
        <f t="shared" si="172"/>
        <v>347517.00991840381</v>
      </c>
      <c r="P372" s="680">
        <f t="shared" si="173"/>
        <v>1.5707934492379096</v>
      </c>
      <c r="Q372" s="689">
        <f t="shared" si="195"/>
        <v>164.4944243388189</v>
      </c>
      <c r="R372" s="690">
        <f t="shared" si="196"/>
        <v>1.5647170559403671</v>
      </c>
      <c r="S372" s="677">
        <f t="shared" si="174"/>
        <v>1.6310343611883718</v>
      </c>
      <c r="T372" s="680">
        <f t="shared" si="175"/>
        <v>0.91080769883740098</v>
      </c>
      <c r="U372" s="681">
        <f t="shared" si="187"/>
        <v>0.87546789437146411</v>
      </c>
      <c r="V372" s="682">
        <f t="shared" si="188"/>
        <v>-0.63167659180223568</v>
      </c>
      <c r="W372" s="683">
        <f t="shared" si="176"/>
        <v>-17.30389828098096</v>
      </c>
      <c r="X372" s="684">
        <f t="shared" si="177"/>
        <v>-182.86707229304585</v>
      </c>
      <c r="Y372" s="687">
        <f t="shared" si="178"/>
        <v>-2.867072293045851</v>
      </c>
      <c r="AA372" s="170">
        <f t="shared" si="179"/>
        <v>30727.25</v>
      </c>
      <c r="AB372" s="170">
        <f t="shared" si="180"/>
        <v>944163892.5625</v>
      </c>
      <c r="AD372" s="686">
        <f t="shared" si="181"/>
        <v>34.359690191449559</v>
      </c>
      <c r="AE372" s="687">
        <f t="shared" si="182"/>
        <v>-52.53358884204475</v>
      </c>
      <c r="AG372" s="686">
        <f t="shared" si="183"/>
        <v>5.7388651385008549</v>
      </c>
      <c r="AH372" s="687">
        <f t="shared" si="184"/>
        <v>-57.948677913336979</v>
      </c>
      <c r="AJ372" s="170">
        <f t="shared" si="185"/>
        <v>0</v>
      </c>
      <c r="AK372" s="170">
        <f t="shared" si="197"/>
        <v>0</v>
      </c>
      <c r="AM372" s="170" t="str">
        <f t="shared" si="189"/>
        <v>0.429086927820251+0.821010513948683i</v>
      </c>
      <c r="AN372" s="170" t="str">
        <f t="shared" si="190"/>
        <v>0.963178768916067i</v>
      </c>
      <c r="AO372" s="170" t="str">
        <f t="shared" si="191"/>
        <v>0.852396814012651-0.445490434037632i</v>
      </c>
      <c r="AP372" s="170" t="str">
        <f t="shared" si="192"/>
        <v>0.0951521786966248-0.136835085658114i</v>
      </c>
      <c r="AQ372" s="170" t="str">
        <f t="shared" si="193"/>
        <v>0.904847821303375+0.136835085658114i</v>
      </c>
      <c r="AR372" s="170" t="str">
        <f t="shared" si="194"/>
        <v>0.900014516042349-0.136104171880312i</v>
      </c>
    </row>
    <row r="373" spans="7:44">
      <c r="G373" s="688">
        <v>30903</v>
      </c>
      <c r="H373" s="676">
        <f t="shared" si="186"/>
        <v>30.902999999999999</v>
      </c>
      <c r="I373" s="677">
        <f t="shared" si="166"/>
        <v>380.94342543307897</v>
      </c>
      <c r="J373" s="678">
        <f t="shared" si="167"/>
        <v>1.5681712620694503</v>
      </c>
      <c r="K373" s="678">
        <f t="shared" si="168"/>
        <v>1.003980916802153</v>
      </c>
      <c r="L373" s="679">
        <f t="shared" si="169"/>
        <v>8.9081480618341313E-2</v>
      </c>
      <c r="M373" s="678">
        <f t="shared" si="170"/>
        <v>1.0136694876693886</v>
      </c>
      <c r="N373" s="679">
        <f t="shared" si="171"/>
        <v>-0.16441149735017943</v>
      </c>
      <c r="O373" s="677">
        <f t="shared" si="172"/>
        <v>349504.69558805064</v>
      </c>
      <c r="P373" s="680">
        <f t="shared" si="173"/>
        <v>1.570793465603008</v>
      </c>
      <c r="Q373" s="689">
        <f t="shared" si="195"/>
        <v>165.43524493585613</v>
      </c>
      <c r="R373" s="690">
        <f t="shared" si="196"/>
        <v>1.5647516288217251</v>
      </c>
      <c r="S373" s="677">
        <f t="shared" si="174"/>
        <v>1.6368628104613685</v>
      </c>
      <c r="T373" s="680">
        <f t="shared" si="175"/>
        <v>0.9135681912853002</v>
      </c>
      <c r="U373" s="681">
        <f t="shared" si="187"/>
        <v>0.87428546440177468</v>
      </c>
      <c r="V373" s="682">
        <f t="shared" si="188"/>
        <v>-0.6348714525286393</v>
      </c>
      <c r="W373" s="683">
        <f t="shared" si="176"/>
        <v>-17.394451861323436</v>
      </c>
      <c r="X373" s="684">
        <f t="shared" si="177"/>
        <v>-183.23091527839293</v>
      </c>
      <c r="Y373" s="687">
        <f t="shared" si="178"/>
        <v>-3.2309152783929278</v>
      </c>
      <c r="AA373" s="170">
        <f t="shared" si="179"/>
        <v>30903</v>
      </c>
      <c r="AB373" s="170">
        <f t="shared" si="180"/>
        <v>954995409</v>
      </c>
      <c r="AD373" s="686">
        <f t="shared" si="181"/>
        <v>34.328704947649861</v>
      </c>
      <c r="AE373" s="687">
        <f t="shared" si="182"/>
        <v>-52.689773466329221</v>
      </c>
      <c r="AG373" s="686">
        <f t="shared" si="183"/>
        <v>5.7027754430667841</v>
      </c>
      <c r="AH373" s="687">
        <f t="shared" si="184"/>
        <v>-57.790232202471202</v>
      </c>
      <c r="AJ373" s="170">
        <f t="shared" si="185"/>
        <v>0</v>
      </c>
      <c r="AK373" s="170">
        <f t="shared" si="197"/>
        <v>0</v>
      </c>
      <c r="AM373" s="170" t="str">
        <f t="shared" si="189"/>
        <v>0.433618575489922+0.82414324117227i</v>
      </c>
      <c r="AN373" s="170" t="str">
        <f t="shared" si="190"/>
        <v>0.968687842088479i</v>
      </c>
      <c r="AO373" s="170" t="str">
        <f t="shared" si="191"/>
        <v>0.850783095816943-0.447634993079964i</v>
      </c>
      <c r="AP373" s="170" t="str">
        <f t="shared" si="192"/>
        <v>0.094396904085013-0.137357206862045i</v>
      </c>
      <c r="AQ373" s="170" t="str">
        <f t="shared" si="193"/>
        <v>0.905603095914987+0.137357206862045i</v>
      </c>
      <c r="AR373" s="170" t="str">
        <f t="shared" si="194"/>
        <v>0.899143972023532-0.13637752026368i</v>
      </c>
    </row>
    <row r="374" spans="7:44">
      <c r="G374" s="688">
        <v>31083</v>
      </c>
      <c r="H374" s="676">
        <f t="shared" si="186"/>
        <v>31.082999999999998</v>
      </c>
      <c r="I374" s="677">
        <f t="shared" si="166"/>
        <v>383.16228267784419</v>
      </c>
      <c r="J374" s="678">
        <f t="shared" si="167"/>
        <v>1.5681864636104437</v>
      </c>
      <c r="K374" s="678">
        <f t="shared" si="168"/>
        <v>1.0040273336904955</v>
      </c>
      <c r="L374" s="679">
        <f t="shared" si="169"/>
        <v>8.9597587000621759E-2</v>
      </c>
      <c r="M374" s="678">
        <f t="shared" si="170"/>
        <v>1.0138281029096765</v>
      </c>
      <c r="N374" s="679">
        <f t="shared" si="171"/>
        <v>-0.16535182983844346</v>
      </c>
      <c r="O374" s="677">
        <f t="shared" si="172"/>
        <v>351540.44762524235</v>
      </c>
      <c r="P374" s="680">
        <f t="shared" si="173"/>
        <v>1.5707934821720182</v>
      </c>
      <c r="Q374" s="689">
        <f t="shared" si="195"/>
        <v>166.39881673146556</v>
      </c>
      <c r="R374" s="690">
        <f t="shared" si="196"/>
        <v>1.5647866325009556</v>
      </c>
      <c r="S374" s="677">
        <f t="shared" si="174"/>
        <v>1.6428450403447874</v>
      </c>
      <c r="T374" s="680">
        <f t="shared" si="175"/>
        <v>0.91637511275861538</v>
      </c>
      <c r="U374" s="681">
        <f t="shared" si="187"/>
        <v>0.87307207813841148</v>
      </c>
      <c r="V374" s="682">
        <f t="shared" si="188"/>
        <v>-0.63813760316368362</v>
      </c>
      <c r="W374" s="683">
        <f t="shared" si="176"/>
        <v>-17.486888048494048</v>
      </c>
      <c r="X374" s="684">
        <f t="shared" si="177"/>
        <v>-183.60204941512478</v>
      </c>
      <c r="Y374" s="687">
        <f t="shared" si="178"/>
        <v>-3.6020494151247817</v>
      </c>
      <c r="AA374" s="170">
        <f t="shared" si="179"/>
        <v>31083</v>
      </c>
      <c r="AB374" s="170">
        <f t="shared" si="180"/>
        <v>966152889</v>
      </c>
      <c r="AD374" s="686">
        <f t="shared" si="181"/>
        <v>34.297016728083058</v>
      </c>
      <c r="AE374" s="687">
        <f t="shared" si="182"/>
        <v>-52.848593606603337</v>
      </c>
      <c r="AG374" s="686">
        <f t="shared" si="183"/>
        <v>5.666153827647654</v>
      </c>
      <c r="AH374" s="687">
        <f t="shared" si="184"/>
        <v>-57.628272905217266</v>
      </c>
      <c r="AJ374" s="170">
        <f t="shared" si="185"/>
        <v>0</v>
      </c>
      <c r="AK374" s="170">
        <f t="shared" si="197"/>
        <v>0</v>
      </c>
      <c r="AM374" s="170" t="str">
        <f t="shared" si="189"/>
        <v>0.438277624773261+0.827325796267486i</v>
      </c>
      <c r="AN374" s="170" t="str">
        <f t="shared" si="190"/>
        <v>0.974330136091519i</v>
      </c>
      <c r="AO374" s="170" t="str">
        <f t="shared" si="191"/>
        <v>0.849122659375256-0.449824560011447i</v>
      </c>
      <c r="AP374" s="170" t="str">
        <f t="shared" si="192"/>
        <v>0.0936203958711232-0.137887632711248i</v>
      </c>
      <c r="AQ374" s="170" t="str">
        <f t="shared" si="193"/>
        <v>0.906379604128877+0.137887632711248i</v>
      </c>
      <c r="AR374" s="170" t="str">
        <f t="shared" si="194"/>
        <v>0.89825221588457-0.136651212209256i</v>
      </c>
    </row>
    <row r="375" spans="7:44">
      <c r="G375" s="688">
        <v>31263</v>
      </c>
      <c r="H375" s="676">
        <f t="shared" si="186"/>
        <v>31.263000000000002</v>
      </c>
      <c r="I375" s="677">
        <f t="shared" si="166"/>
        <v>385.38114001013361</v>
      </c>
      <c r="J375" s="678">
        <f t="shared" si="167"/>
        <v>1.5682014901036905</v>
      </c>
      <c r="K375" s="678">
        <f t="shared" si="168"/>
        <v>1.0040740179926115</v>
      </c>
      <c r="L375" s="679">
        <f t="shared" si="169"/>
        <v>9.011364552774212E-2</v>
      </c>
      <c r="M375" s="678">
        <f t="shared" si="170"/>
        <v>1.0139876143213886</v>
      </c>
      <c r="N375" s="679">
        <f t="shared" si="171"/>
        <v>-0.16629186730839551</v>
      </c>
      <c r="O375" s="677">
        <f t="shared" si="172"/>
        <v>353576.19966243423</v>
      </c>
      <c r="P375" s="680">
        <f t="shared" si="173"/>
        <v>1.5707934985502328</v>
      </c>
      <c r="Q375" s="689">
        <f t="shared" si="195"/>
        <v>167.36238872860875</v>
      </c>
      <c r="R375" s="690">
        <f t="shared" si="196"/>
        <v>1.5648212331199545</v>
      </c>
      <c r="S375" s="677">
        <f t="shared" si="174"/>
        <v>1.6488401199069336</v>
      </c>
      <c r="T375" s="680">
        <f t="shared" si="175"/>
        <v>0.91916164447187843</v>
      </c>
      <c r="U375" s="681">
        <f t="shared" si="187"/>
        <v>0.87185635120294736</v>
      </c>
      <c r="V375" s="682">
        <f t="shared" si="188"/>
        <v>-0.64139771310691895</v>
      </c>
      <c r="W375" s="683">
        <f t="shared" si="176"/>
        <v>-17.579015778345831</v>
      </c>
      <c r="X375" s="684">
        <f t="shared" si="177"/>
        <v>-183.97166809032848</v>
      </c>
      <c r="Y375" s="687">
        <f t="shared" si="178"/>
        <v>-3.9716680903284782</v>
      </c>
      <c r="AA375" s="170">
        <f t="shared" si="179"/>
        <v>31263</v>
      </c>
      <c r="AB375" s="170">
        <f t="shared" si="180"/>
        <v>977375169</v>
      </c>
      <c r="AD375" s="686">
        <f t="shared" si="181"/>
        <v>34.265376022132884</v>
      </c>
      <c r="AE375" s="687">
        <f t="shared" si="182"/>
        <v>-53.006268582398228</v>
      </c>
      <c r="AG375" s="686">
        <f t="shared" si="183"/>
        <v>5.6298733477452618</v>
      </c>
      <c r="AH375" s="687">
        <f t="shared" si="184"/>
        <v>-57.466635523207138</v>
      </c>
      <c r="AJ375" s="170">
        <f t="shared" si="185"/>
        <v>0</v>
      </c>
      <c r="AK375" s="170">
        <f t="shared" si="197"/>
        <v>0</v>
      </c>
      <c r="AM375" s="170" t="str">
        <f t="shared" si="189"/>
        <v>0.442954556711508+0.830482013117399i</v>
      </c>
      <c r="AN375" s="170" t="str">
        <f t="shared" si="190"/>
        <v>0.979972430094558i</v>
      </c>
      <c r="AO375" s="170" t="str">
        <f t="shared" si="191"/>
        <v>0.847454466690727-0.452007161741037i</v>
      </c>
      <c r="AP375" s="170" t="str">
        <f t="shared" si="192"/>
        <v>0.0928409072147487-0.1384136688529i</v>
      </c>
      <c r="AQ375" s="170" t="str">
        <f t="shared" si="193"/>
        <v>0.907159092785251+0.1384136688529i</v>
      </c>
      <c r="AR375" s="170" t="str">
        <f t="shared" si="194"/>
        <v>0.897360345114944-0.136918583122075i</v>
      </c>
    </row>
    <row r="376" spans="7:44">
      <c r="G376" s="688">
        <v>31443</v>
      </c>
      <c r="H376" s="676">
        <f t="shared" si="186"/>
        <v>31.443000000000001</v>
      </c>
      <c r="I376" s="677">
        <f t="shared" si="166"/>
        <v>387.59999742844406</v>
      </c>
      <c r="J376" s="678">
        <f t="shared" si="167"/>
        <v>1.5682163445554225</v>
      </c>
      <c r="K376" s="678">
        <f t="shared" si="168"/>
        <v>1.0041209696712028</v>
      </c>
      <c r="L376" s="679">
        <f t="shared" si="169"/>
        <v>9.062965593152672E-2</v>
      </c>
      <c r="M376" s="678">
        <f t="shared" si="170"/>
        <v>1.0141480214816587</v>
      </c>
      <c r="N376" s="679">
        <f t="shared" si="171"/>
        <v>-0.16723160823826941</v>
      </c>
      <c r="O376" s="677">
        <f t="shared" si="172"/>
        <v>355611.95169962605</v>
      </c>
      <c r="P376" s="680">
        <f t="shared" si="173"/>
        <v>1.5707935147409282</v>
      </c>
      <c r="Q376" s="689">
        <f t="shared" si="195"/>
        <v>168.32596092382471</v>
      </c>
      <c r="R376" s="690">
        <f t="shared" si="196"/>
        <v>1.5648554376005226</v>
      </c>
      <c r="S376" s="677">
        <f t="shared" si="174"/>
        <v>1.6548479094947739</v>
      </c>
      <c r="T376" s="680">
        <f t="shared" si="175"/>
        <v>0.92192796498568719</v>
      </c>
      <c r="U376" s="681">
        <f t="shared" si="187"/>
        <v>0.87063833391108669</v>
      </c>
      <c r="V376" s="682">
        <f t="shared" si="188"/>
        <v>-0.6446517817439622</v>
      </c>
      <c r="W376" s="683">
        <f t="shared" si="176"/>
        <v>-17.670837411886819</v>
      </c>
      <c r="X376" s="684">
        <f t="shared" si="177"/>
        <v>-184.33978120358782</v>
      </c>
      <c r="Y376" s="687">
        <f t="shared" si="178"/>
        <v>-4.3397812035878189</v>
      </c>
      <c r="AA376" s="170">
        <f t="shared" si="179"/>
        <v>31443</v>
      </c>
      <c r="AB376" s="170">
        <f t="shared" si="180"/>
        <v>988662249</v>
      </c>
      <c r="AD376" s="686">
        <f t="shared" si="181"/>
        <v>34.233783463546303</v>
      </c>
      <c r="AE376" s="687">
        <f t="shared" si="182"/>
        <v>-53.162808228080323</v>
      </c>
      <c r="AG376" s="686">
        <f t="shared" si="183"/>
        <v>5.5939302934894322</v>
      </c>
      <c r="AH376" s="687">
        <f t="shared" si="184"/>
        <v>-57.305320192061338</v>
      </c>
      <c r="AJ376" s="170">
        <f t="shared" si="185"/>
        <v>0</v>
      </c>
      <c r="AK376" s="170">
        <f t="shared" si="197"/>
        <v>0</v>
      </c>
      <c r="AM376" s="170" t="str">
        <f t="shared" si="189"/>
        <v>0.447649222412678+0.833611791242591i</v>
      </c>
      <c r="AN376" s="170" t="str">
        <f t="shared" si="190"/>
        <v>0.985614724097598i</v>
      </c>
      <c r="AO376" s="170" t="str">
        <f t="shared" si="191"/>
        <v>0.845778549022615-0.454182766823551i</v>
      </c>
      <c r="AP376" s="170" t="str">
        <f t="shared" si="192"/>
        <v>0.0920584629312203-0.138935298540432i</v>
      </c>
      <c r="AQ376" s="170" t="str">
        <f t="shared" si="193"/>
        <v>0.90794153706878+0.138935298540432i</v>
      </c>
      <c r="AR376" s="170" t="str">
        <f t="shared" si="194"/>
        <v>0.896468407490112-0.137179653911207i</v>
      </c>
    </row>
    <row r="377" spans="7:44">
      <c r="G377" s="688">
        <v>31623</v>
      </c>
      <c r="H377" s="676">
        <f t="shared" si="186"/>
        <v>31.623000000000001</v>
      </c>
      <c r="I377" s="677">
        <f t="shared" si="166"/>
        <v>389.81885493130665</v>
      </c>
      <c r="J377" s="678">
        <f t="shared" si="167"/>
        <v>1.5682310299034252</v>
      </c>
      <c r="K377" s="678">
        <f t="shared" si="168"/>
        <v>1.0041681886887643</v>
      </c>
      <c r="L377" s="679">
        <f t="shared" si="169"/>
        <v>9.1145617943952373E-2</v>
      </c>
      <c r="M377" s="678">
        <f t="shared" si="170"/>
        <v>1.0143093239655143</v>
      </c>
      <c r="N377" s="679">
        <f t="shared" si="171"/>
        <v>-0.16817105110935401</v>
      </c>
      <c r="O377" s="677">
        <f t="shared" si="172"/>
        <v>357647.7037368181</v>
      </c>
      <c r="P377" s="680">
        <f t="shared" si="173"/>
        <v>1.5707935307473069</v>
      </c>
      <c r="Q377" s="689">
        <f t="shared" si="195"/>
        <v>169.2895333137312</v>
      </c>
      <c r="R377" s="690">
        <f t="shared" si="196"/>
        <v>1.5648892527068736</v>
      </c>
      <c r="S377" s="677">
        <f t="shared" si="174"/>
        <v>1.660868271181976</v>
      </c>
      <c r="T377" s="680">
        <f t="shared" si="175"/>
        <v>0.92467425151718141</v>
      </c>
      <c r="U377" s="681">
        <f t="shared" si="187"/>
        <v>0.86941807625628986</v>
      </c>
      <c r="V377" s="682">
        <f t="shared" si="188"/>
        <v>-0.64789980878249021</v>
      </c>
      <c r="W377" s="683">
        <f t="shared" si="176"/>
        <v>-17.76235527389078</v>
      </c>
      <c r="X377" s="684">
        <f t="shared" si="177"/>
        <v>-184.70639860123421</v>
      </c>
      <c r="Y377" s="687">
        <f t="shared" si="178"/>
        <v>-4.7063986012342127</v>
      </c>
      <c r="AA377" s="170">
        <f t="shared" si="179"/>
        <v>31623</v>
      </c>
      <c r="AB377" s="170">
        <f t="shared" si="180"/>
        <v>1000014129</v>
      </c>
      <c r="AD377" s="686">
        <f t="shared" si="181"/>
        <v>34.202239666400402</v>
      </c>
      <c r="AE377" s="687">
        <f t="shared" si="182"/>
        <v>-53.318222310066403</v>
      </c>
      <c r="AG377" s="686">
        <f t="shared" si="183"/>
        <v>5.5583210135777019</v>
      </c>
      <c r="AH377" s="687">
        <f t="shared" si="184"/>
        <v>-57.144327025192325</v>
      </c>
      <c r="AJ377" s="170">
        <f t="shared" si="185"/>
        <v>0</v>
      </c>
      <c r="AK377" s="170">
        <f t="shared" si="197"/>
        <v>0</v>
      </c>
      <c r="AM377" s="170" t="str">
        <f t="shared" si="189"/>
        <v>0.452361472420222+0.836715031005332i</v>
      </c>
      <c r="AN377" s="170" t="str">
        <f t="shared" si="190"/>
        <v>0.991257018100637i</v>
      </c>
      <c r="AO377" s="170" t="str">
        <f t="shared" si="191"/>
        <v>0.844094937767578-0.456351343960216i</v>
      </c>
      <c r="AP377" s="170" t="str">
        <f t="shared" si="192"/>
        <v>0.091273087929963-0.139452505167555i</v>
      </c>
      <c r="AQ377" s="170" t="str">
        <f t="shared" si="193"/>
        <v>0.908726912070037+0.139452505167555i</v>
      </c>
      <c r="AR377" s="170" t="str">
        <f t="shared" si="194"/>
        <v>0.89557645033238-0.137434445826439i</v>
      </c>
    </row>
    <row r="378" spans="7:44">
      <c r="G378" s="688">
        <v>31807</v>
      </c>
      <c r="H378" s="676">
        <f t="shared" si="186"/>
        <v>31.806999999999999</v>
      </c>
      <c r="I378" s="677">
        <f t="shared" si="166"/>
        <v>392.0870204645741</v>
      </c>
      <c r="J378" s="678">
        <f t="shared" si="167"/>
        <v>1.5682458697995225</v>
      </c>
      <c r="K378" s="678">
        <f t="shared" si="168"/>
        <v>1.0042167332948384</v>
      </c>
      <c r="L378" s="679">
        <f t="shared" si="169"/>
        <v>9.1672995483608702E-2</v>
      </c>
      <c r="M378" s="678">
        <f t="shared" si="170"/>
        <v>1.0144751358930877</v>
      </c>
      <c r="N378" s="679">
        <f t="shared" si="171"/>
        <v>-0.16913106084288251</v>
      </c>
      <c r="O378" s="677">
        <f t="shared" si="172"/>
        <v>359728.69470817002</v>
      </c>
      <c r="P378" s="680">
        <f t="shared" si="173"/>
        <v>1.570793546922135</v>
      </c>
      <c r="Q378" s="689">
        <f t="shared" si="195"/>
        <v>170.27451862120014</v>
      </c>
      <c r="R378" s="690">
        <f t="shared" si="196"/>
        <v>1.5649234236933687</v>
      </c>
      <c r="S378" s="677">
        <f t="shared" si="174"/>
        <v>1.6670352711302605</v>
      </c>
      <c r="T378" s="680">
        <f t="shared" si="175"/>
        <v>0.92746104302267673</v>
      </c>
      <c r="U378" s="681">
        <f t="shared" si="187"/>
        <v>0.86816843788506159</v>
      </c>
      <c r="V378" s="682">
        <f t="shared" si="188"/>
        <v>-0.65121376975238521</v>
      </c>
      <c r="W378" s="683">
        <f t="shared" si="176"/>
        <v>-17.855595277557143</v>
      </c>
      <c r="X378" s="684">
        <f t="shared" si="177"/>
        <v>-185.07962730600113</v>
      </c>
      <c r="Y378" s="687">
        <f t="shared" si="178"/>
        <v>-5.0796273060011288</v>
      </c>
      <c r="AA378" s="170">
        <f t="shared" si="179"/>
        <v>31807</v>
      </c>
      <c r="AB378" s="170">
        <f t="shared" si="180"/>
        <v>1011685249</v>
      </c>
      <c r="AD378" s="686">
        <f t="shared" si="181"/>
        <v>34.170045914084696</v>
      </c>
      <c r="AE378" s="687">
        <f t="shared" si="182"/>
        <v>-53.475936775335832</v>
      </c>
      <c r="AG378" s="686">
        <f t="shared" si="183"/>
        <v>5.5222616570100982</v>
      </c>
      <c r="AH378" s="687">
        <f t="shared" si="184"/>
        <v>-56.980089310163741</v>
      </c>
      <c r="AJ378" s="170">
        <f t="shared" si="185"/>
        <v>0</v>
      </c>
      <c r="AK378" s="170">
        <f t="shared" si="197"/>
        <v>0</v>
      </c>
      <c r="AM378" s="170" t="str">
        <f t="shared" si="189"/>
        <v>0.457196457680627+0.839859699262645i</v>
      </c>
      <c r="AN378" s="170" t="str">
        <f t="shared" si="190"/>
        <v>0.997024696414855i</v>
      </c>
      <c r="AO378" s="170" t="str">
        <f t="shared" si="191"/>
        <v>0.842365993824074-0.458560815318451i</v>
      </c>
      <c r="AP378" s="170" t="str">
        <f t="shared" si="192"/>
        <v>0.0904672570532288-0.139976616543774i</v>
      </c>
      <c r="AQ378" s="170" t="str">
        <f t="shared" si="193"/>
        <v>0.909532742946771+0.139976616543774i</v>
      </c>
      <c r="AR378" s="170" t="str">
        <f t="shared" si="194"/>
        <v>0.894664700513835-0.137688432538821i</v>
      </c>
    </row>
    <row r="379" spans="7:44">
      <c r="G379" s="688">
        <v>31991</v>
      </c>
      <c r="H379" s="676">
        <f t="shared" si="186"/>
        <v>31.991</v>
      </c>
      <c r="I379" s="677">
        <f t="shared" si="166"/>
        <v>394.35518608319467</v>
      </c>
      <c r="J379" s="678">
        <f t="shared" si="167"/>
        <v>1.5682605389899071</v>
      </c>
      <c r="K379" s="678">
        <f t="shared" si="168"/>
        <v>1.0042655571737225</v>
      </c>
      <c r="L379" s="679">
        <f t="shared" si="169"/>
        <v>9.2200321891414069E-2</v>
      </c>
      <c r="M379" s="678">
        <f t="shared" si="170"/>
        <v>1.0146418824738221</v>
      </c>
      <c r="N379" s="679">
        <f t="shared" si="171"/>
        <v>-0.17009075592401149</v>
      </c>
      <c r="O379" s="677">
        <f t="shared" si="172"/>
        <v>361809.68567952194</v>
      </c>
      <c r="P379" s="680">
        <f t="shared" si="173"/>
        <v>1.5707935629109002</v>
      </c>
      <c r="Q379" s="689">
        <f t="shared" si="195"/>
        <v>171.25950412520422</v>
      </c>
      <c r="R379" s="690">
        <f t="shared" si="196"/>
        <v>1.5649572016164461</v>
      </c>
      <c r="S379" s="677">
        <f t="shared" si="174"/>
        <v>1.6732151221263507</v>
      </c>
      <c r="T379" s="680">
        <f t="shared" si="175"/>
        <v>0.93022727041363185</v>
      </c>
      <c r="U379" s="681">
        <f t="shared" si="187"/>
        <v>0.8669165630740121</v>
      </c>
      <c r="V379" s="682">
        <f t="shared" si="188"/>
        <v>-0.65452141802355135</v>
      </c>
      <c r="W379" s="683">
        <f t="shared" si="176"/>
        <v>-17.948522659214536</v>
      </c>
      <c r="X379" s="684">
        <f t="shared" si="177"/>
        <v>-185.45131371368132</v>
      </c>
      <c r="Y379" s="687">
        <f t="shared" si="178"/>
        <v>-5.4513137136813157</v>
      </c>
      <c r="AA379" s="170">
        <f t="shared" si="179"/>
        <v>31991</v>
      </c>
      <c r="AB379" s="170">
        <f t="shared" si="180"/>
        <v>1023424081</v>
      </c>
      <c r="AD379" s="686">
        <f t="shared" si="181"/>
        <v>34.137904350945966</v>
      </c>
      <c r="AE379" s="687">
        <f t="shared" si="182"/>
        <v>-53.63249551384564</v>
      </c>
      <c r="AG379" s="686">
        <f t="shared" si="183"/>
        <v>5.4865435402588423</v>
      </c>
      <c r="AH379" s="687">
        <f t="shared" si="184"/>
        <v>-56.81618840679792</v>
      </c>
      <c r="AJ379" s="170">
        <f t="shared" si="185"/>
        <v>0</v>
      </c>
      <c r="AK379" s="170">
        <f t="shared" si="197"/>
        <v>0</v>
      </c>
      <c r="AM379" s="170" t="str">
        <f t="shared" si="189"/>
        <v>0.462049499855021+0.842976428729633i</v>
      </c>
      <c r="AN379" s="170" t="str">
        <f t="shared" si="190"/>
        <v>1.00279237472907i</v>
      </c>
      <c r="AO379" s="170" t="str">
        <f t="shared" si="191"/>
        <v>0.840629077337554-0.460762877240521i</v>
      </c>
      <c r="AP379" s="170" t="str">
        <f t="shared" si="192"/>
        <v>0.0896584166908298-0.140496071454939i</v>
      </c>
      <c r="AQ379" s="170" t="str">
        <f t="shared" si="193"/>
        <v>0.91034158330917+0.140496071454939i</v>
      </c>
      <c r="AR379" s="170" t="str">
        <f t="shared" si="194"/>
        <v>0.893753028828286-0.137935904174424i</v>
      </c>
    </row>
    <row r="380" spans="7:44">
      <c r="G380" s="688">
        <v>32175</v>
      </c>
      <c r="H380" s="676">
        <f t="shared" si="186"/>
        <v>32.174999999999997</v>
      </c>
      <c r="I380" s="677">
        <f t="shared" si="166"/>
        <v>396.62335178570407</v>
      </c>
      <c r="J380" s="678">
        <f t="shared" si="167"/>
        <v>1.568275040403212</v>
      </c>
      <c r="K380" s="678">
        <f t="shared" si="168"/>
        <v>1.0043146602846864</v>
      </c>
      <c r="L380" s="679">
        <f t="shared" si="169"/>
        <v>9.2727596881576529E-2</v>
      </c>
      <c r="M380" s="678">
        <f t="shared" si="170"/>
        <v>1.0148095632469902</v>
      </c>
      <c r="N380" s="679">
        <f t="shared" si="171"/>
        <v>-0.17105013474049671</v>
      </c>
      <c r="O380" s="677">
        <f t="shared" si="172"/>
        <v>363890.67665087408</v>
      </c>
      <c r="P380" s="680">
        <f t="shared" si="173"/>
        <v>1.5707935787167946</v>
      </c>
      <c r="Q380" s="689">
        <f t="shared" si="195"/>
        <v>172.24448982237172</v>
      </c>
      <c r="R380" s="690">
        <f t="shared" si="196"/>
        <v>1.5649905932192658</v>
      </c>
      <c r="S380" s="677">
        <f t="shared" si="174"/>
        <v>1.6794076823031616</v>
      </c>
      <c r="T380" s="680">
        <f t="shared" si="175"/>
        <v>0.93297311860222076</v>
      </c>
      <c r="U380" s="681">
        <f t="shared" si="187"/>
        <v>0.86566250416554302</v>
      </c>
      <c r="V380" s="682">
        <f t="shared" si="188"/>
        <v>-0.65782275430716197</v>
      </c>
      <c r="W380" s="683">
        <f t="shared" si="176"/>
        <v>-18.041139790494821</v>
      </c>
      <c r="X380" s="684">
        <f t="shared" si="177"/>
        <v>-185.82146816533577</v>
      </c>
      <c r="Y380" s="687">
        <f t="shared" si="178"/>
        <v>-5.8214681653357729</v>
      </c>
      <c r="AA380" s="170">
        <f t="shared" si="179"/>
        <v>32175</v>
      </c>
      <c r="AB380" s="170">
        <f t="shared" si="180"/>
        <v>1035230625</v>
      </c>
      <c r="AD380" s="686">
        <f t="shared" si="181"/>
        <v>34.105815571849632</v>
      </c>
      <c r="AE380" s="687">
        <f t="shared" si="182"/>
        <v>-53.787908734111326</v>
      </c>
      <c r="AG380" s="686">
        <f t="shared" si="183"/>
        <v>5.451162944703781</v>
      </c>
      <c r="AH380" s="687">
        <f t="shared" si="184"/>
        <v>-56.652624366145815</v>
      </c>
      <c r="AJ380" s="170">
        <f t="shared" si="185"/>
        <v>0</v>
      </c>
      <c r="AK380" s="170">
        <f t="shared" si="197"/>
        <v>0</v>
      </c>
      <c r="AM380" s="170" t="str">
        <f t="shared" si="189"/>
        <v>0.46692043750201+0.846065115725114i</v>
      </c>
      <c r="AN380" s="170" t="str">
        <f t="shared" si="190"/>
        <v>1.00856005304329i</v>
      </c>
      <c r="AO380" s="170" t="str">
        <f t="shared" si="191"/>
        <v>0.838884222285174-0.462957496772846i</v>
      </c>
      <c r="AP380" s="170" t="str">
        <f t="shared" si="192"/>
        <v>0.088846593749665-0.141010852620852i</v>
      </c>
      <c r="AQ380" s="170" t="str">
        <f t="shared" si="193"/>
        <v>0.911153406250335+0.141010852620852i</v>
      </c>
      <c r="AR380" s="170" t="str">
        <f t="shared" si="194"/>
        <v>0.892841484349127-0.138176884484748i</v>
      </c>
    </row>
    <row r="381" spans="7:44">
      <c r="G381" s="688">
        <v>32359</v>
      </c>
      <c r="H381" s="676">
        <f t="shared" si="186"/>
        <v>32.359000000000002</v>
      </c>
      <c r="I381" s="677">
        <f t="shared" si="166"/>
        <v>398.89151757067123</v>
      </c>
      <c r="J381" s="678">
        <f t="shared" si="167"/>
        <v>1.5682893769014588</v>
      </c>
      <c r="K381" s="678">
        <f t="shared" si="168"/>
        <v>1.0043640425867757</v>
      </c>
      <c r="L381" s="679">
        <f t="shared" si="169"/>
        <v>9.3254820168474237E-2</v>
      </c>
      <c r="M381" s="678">
        <f t="shared" si="170"/>
        <v>1.0149781777495885</v>
      </c>
      <c r="N381" s="679">
        <f t="shared" si="171"/>
        <v>-0.17200919568348505</v>
      </c>
      <c r="O381" s="677">
        <f t="shared" si="172"/>
        <v>365971.66762222623</v>
      </c>
      <c r="P381" s="680">
        <f t="shared" si="173"/>
        <v>1.5707935943429381</v>
      </c>
      <c r="Q381" s="689">
        <f t="shared" si="195"/>
        <v>173.22947570940764</v>
      </c>
      <c r="R381" s="690">
        <f t="shared" si="196"/>
        <v>1.565023605091624</v>
      </c>
      <c r="S381" s="677">
        <f t="shared" si="174"/>
        <v>1.6856128115887339</v>
      </c>
      <c r="T381" s="680">
        <f t="shared" si="175"/>
        <v>0.93569877101540189</v>
      </c>
      <c r="U381" s="681">
        <f t="shared" si="187"/>
        <v>0.8644063131407792</v>
      </c>
      <c r="V381" s="682">
        <f t="shared" si="188"/>
        <v>-0.66111777965244511</v>
      </c>
      <c r="W381" s="683">
        <f t="shared" si="176"/>
        <v>-18.133449007277338</v>
      </c>
      <c r="X381" s="684">
        <f t="shared" si="177"/>
        <v>-186.19010094144878</v>
      </c>
      <c r="Y381" s="687">
        <f t="shared" si="178"/>
        <v>-6.190100941448776</v>
      </c>
      <c r="AA381" s="170">
        <f t="shared" si="179"/>
        <v>32359</v>
      </c>
      <c r="AB381" s="170">
        <f t="shared" si="180"/>
        <v>1047104881</v>
      </c>
      <c r="AD381" s="686">
        <f t="shared" si="181"/>
        <v>34.073780151958026</v>
      </c>
      <c r="AE381" s="687">
        <f t="shared" si="182"/>
        <v>-53.942186568334634</v>
      </c>
      <c r="AG381" s="686">
        <f t="shared" si="183"/>
        <v>5.4161162102597977</v>
      </c>
      <c r="AH381" s="687">
        <f t="shared" si="184"/>
        <v>-56.489397216257295</v>
      </c>
      <c r="AJ381" s="170">
        <f t="shared" si="185"/>
        <v>0</v>
      </c>
      <c r="AK381" s="170">
        <f t="shared" si="197"/>
        <v>0</v>
      </c>
      <c r="AM381" s="170" t="str">
        <f t="shared" si="189"/>
        <v>0.471809108584874+0.849125657500758i</v>
      </c>
      <c r="AN381" s="170" t="str">
        <f t="shared" si="190"/>
        <v>1.01432773135751i</v>
      </c>
      <c r="AO381" s="170" t="str">
        <f t="shared" si="191"/>
        <v>0.83713146279097-0.465144641124457i</v>
      </c>
      <c r="AP381" s="170" t="str">
        <f t="shared" si="192"/>
        <v>0.0880318152358543-0.141520942916793i</v>
      </c>
      <c r="AQ381" s="170" t="str">
        <f t="shared" si="193"/>
        <v>0.911968184764146+0.141520942916793i</v>
      </c>
      <c r="AR381" s="170" t="str">
        <f t="shared" si="194"/>
        <v>0.891930115651279-0.138411397559333i</v>
      </c>
    </row>
    <row r="382" spans="7:44">
      <c r="G382" s="688">
        <v>32547.5</v>
      </c>
      <c r="H382" s="676">
        <f t="shared" si="186"/>
        <v>32.547499999999999</v>
      </c>
      <c r="I382" s="677">
        <f t="shared" si="166"/>
        <v>401.21515488551182</v>
      </c>
      <c r="J382" s="678">
        <f t="shared" si="167"/>
        <v>1.5683038959303279</v>
      </c>
      <c r="K382" s="678">
        <f t="shared" si="168"/>
        <v>1.0044149220818437</v>
      </c>
      <c r="L382" s="679">
        <f t="shared" si="169"/>
        <v>9.3794883589279177E-2</v>
      </c>
      <c r="M382" s="678">
        <f t="shared" si="170"/>
        <v>1.0151518837523401</v>
      </c>
      <c r="N382" s="679">
        <f t="shared" si="171"/>
        <v>-0.17299138061322045</v>
      </c>
      <c r="O382" s="677">
        <f t="shared" si="172"/>
        <v>368103.55239450838</v>
      </c>
      <c r="P382" s="680">
        <f t="shared" si="173"/>
        <v>1.5707936101680304</v>
      </c>
      <c r="Q382" s="689">
        <f t="shared" si="195"/>
        <v>174.23855111872675</v>
      </c>
      <c r="R382" s="690">
        <f t="shared" si="196"/>
        <v>1.5650570372776931</v>
      </c>
      <c r="S382" s="677">
        <f t="shared" si="174"/>
        <v>1.6919825861443047</v>
      </c>
      <c r="T382" s="680">
        <f t="shared" si="175"/>
        <v>0.93847033090965604</v>
      </c>
      <c r="U382" s="681">
        <f t="shared" si="187"/>
        <v>0.86311724304353632</v>
      </c>
      <c r="V382" s="682">
        <f t="shared" si="188"/>
        <v>-0.66448684696446381</v>
      </c>
      <c r="W382" s="683">
        <f t="shared" si="176"/>
        <v>-18.227698889412455</v>
      </c>
      <c r="X382" s="684">
        <f t="shared" si="177"/>
        <v>-186.56618192348094</v>
      </c>
      <c r="Y382" s="687">
        <f t="shared" si="178"/>
        <v>-6.56618192348094</v>
      </c>
      <c r="AA382" s="170">
        <f t="shared" si="179"/>
        <v>32547.5</v>
      </c>
      <c r="AB382" s="170">
        <f t="shared" si="180"/>
        <v>1059339756.25</v>
      </c>
      <c r="AD382" s="686">
        <f t="shared" si="181"/>
        <v>34.041017170782425</v>
      </c>
      <c r="AE382" s="687">
        <f t="shared" si="182"/>
        <v>-54.099070636671762</v>
      </c>
      <c r="AG382" s="686">
        <f t="shared" si="183"/>
        <v>5.3805547970042058</v>
      </c>
      <c r="AH382" s="687">
        <f t="shared" si="184"/>
        <v>-56.322527453762966</v>
      </c>
      <c r="AJ382" s="170">
        <f t="shared" si="185"/>
        <v>0</v>
      </c>
      <c r="AK382" s="170">
        <f t="shared" si="197"/>
        <v>0</v>
      </c>
      <c r="AM382" s="170" t="str">
        <f t="shared" si="189"/>
        <v>0.476835558825111+0.8522317569125i</v>
      </c>
      <c r="AN382" s="170" t="str">
        <f t="shared" si="190"/>
        <v>1.0202364670218i</v>
      </c>
      <c r="AO382" s="170" t="str">
        <f t="shared" si="191"/>
        <v>0.835327675945825-0.467377489668699i</v>
      </c>
      <c r="AP382" s="170" t="str">
        <f t="shared" si="192"/>
        <v>0.0871940735291482-0.142038626152083i</v>
      </c>
      <c r="AQ382" s="170" t="str">
        <f t="shared" si="193"/>
        <v>0.912805926470852+0.142038626152083i</v>
      </c>
      <c r="AR382" s="170" t="str">
        <f t="shared" si="194"/>
        <v>0.890996690584539-0.138644965119781i</v>
      </c>
    </row>
    <row r="383" spans="7:44">
      <c r="G383" s="688">
        <v>32736</v>
      </c>
      <c r="H383" s="676">
        <f t="shared" si="186"/>
        <v>32.735999999999997</v>
      </c>
      <c r="I383" s="677">
        <f t="shared" si="166"/>
        <v>403.53879228395539</v>
      </c>
      <c r="J383" s="678">
        <f t="shared" si="167"/>
        <v>1.5683182477536719</v>
      </c>
      <c r="K383" s="678">
        <f t="shared" si="168"/>
        <v>1.0044660945033757</v>
      </c>
      <c r="L383" s="679">
        <f t="shared" si="169"/>
        <v>9.4334892140623766E-2</v>
      </c>
      <c r="M383" s="678">
        <f t="shared" si="170"/>
        <v>1.0153265687235193</v>
      </c>
      <c r="N383" s="679">
        <f t="shared" si="171"/>
        <v>-0.17397322852382846</v>
      </c>
      <c r="O383" s="677">
        <f t="shared" si="172"/>
        <v>370235.43716679054</v>
      </c>
      <c r="P383" s="680">
        <f t="shared" si="173"/>
        <v>1.570793625810875</v>
      </c>
      <c r="Q383" s="689">
        <f t="shared" si="195"/>
        <v>175.24762672055147</v>
      </c>
      <c r="R383" s="690">
        <f t="shared" si="196"/>
        <v>1.5650900844588327</v>
      </c>
      <c r="S383" s="677">
        <f t="shared" si="174"/>
        <v>1.6983652601893495</v>
      </c>
      <c r="T383" s="680">
        <f t="shared" si="175"/>
        <v>0.94122108004817562</v>
      </c>
      <c r="U383" s="681">
        <f t="shared" si="187"/>
        <v>0.86182604453878309</v>
      </c>
      <c r="V383" s="682">
        <f t="shared" si="188"/>
        <v>-0.66784929417825079</v>
      </c>
      <c r="W383" s="683">
        <f t="shared" si="176"/>
        <v>-18.321630463625489</v>
      </c>
      <c r="X383" s="684">
        <f t="shared" si="177"/>
        <v>-186.94068753591017</v>
      </c>
      <c r="Y383" s="687">
        <f t="shared" si="178"/>
        <v>-6.9406875359101718</v>
      </c>
      <c r="AA383" s="170">
        <f t="shared" si="179"/>
        <v>32736</v>
      </c>
      <c r="AB383" s="170">
        <f t="shared" si="180"/>
        <v>1071645696</v>
      </c>
      <c r="AD383" s="686">
        <f t="shared" si="181"/>
        <v>34.008311351185775</v>
      </c>
      <c r="AE383" s="687">
        <f t="shared" si="182"/>
        <v>-54.254784385250964</v>
      </c>
      <c r="AG383" s="686">
        <f t="shared" si="183"/>
        <v>5.3453361810307234</v>
      </c>
      <c r="AH383" s="687">
        <f t="shared" si="184"/>
        <v>-56.156011248801661</v>
      </c>
      <c r="AJ383" s="170">
        <f t="shared" si="185"/>
        <v>0</v>
      </c>
      <c r="AK383" s="170">
        <f t="shared" si="197"/>
        <v>0</v>
      </c>
      <c r="AM383" s="170" t="str">
        <f t="shared" si="189"/>
        <v>0.481880274334564+0.855308102309556i</v>
      </c>
      <c r="AN383" s="170" t="str">
        <f t="shared" si="190"/>
        <v>1.0261452026861i</v>
      </c>
      <c r="AO383" s="170" t="str">
        <f t="shared" si="191"/>
        <v>0.833515666272814-0.469602423782877i</v>
      </c>
      <c r="AP383" s="170" t="str">
        <f t="shared" si="192"/>
        <v>0.086353287610906-0.142551350384926i</v>
      </c>
      <c r="AQ383" s="170" t="str">
        <f t="shared" si="193"/>
        <v>0.913646712389094+0.142551350384926i</v>
      </c>
      <c r="AR383" s="170" t="str">
        <f t="shared" si="194"/>
        <v>0.890063551602654-0.138871797478025i</v>
      </c>
    </row>
    <row r="384" spans="7:44">
      <c r="G384" s="688">
        <v>32924.5</v>
      </c>
      <c r="H384" s="676">
        <f t="shared" si="186"/>
        <v>32.924500000000002</v>
      </c>
      <c r="I384" s="677">
        <f t="shared" si="166"/>
        <v>405.86242976456606</v>
      </c>
      <c r="J384" s="678">
        <f t="shared" si="167"/>
        <v>1.5683324352433323</v>
      </c>
      <c r="K384" s="678">
        <f t="shared" si="168"/>
        <v>1.0045175598066045</v>
      </c>
      <c r="L384" s="679">
        <f t="shared" si="169"/>
        <v>9.4874845515974748E-2</v>
      </c>
      <c r="M384" s="678">
        <f t="shared" si="170"/>
        <v>1.0155022321579252</v>
      </c>
      <c r="N384" s="679">
        <f t="shared" si="171"/>
        <v>-0.1749547376966675</v>
      </c>
      <c r="O384" s="677">
        <f t="shared" si="172"/>
        <v>372367.32193907286</v>
      </c>
      <c r="P384" s="680">
        <f t="shared" si="173"/>
        <v>1.5707936412746024</v>
      </c>
      <c r="Q384" s="689">
        <f t="shared" si="195"/>
        <v>176.25670251157555</v>
      </c>
      <c r="R384" s="690">
        <f t="shared" si="196"/>
        <v>1.5651227532474703</v>
      </c>
      <c r="S384" s="677">
        <f t="shared" si="174"/>
        <v>1.7047606888356726</v>
      </c>
      <c r="T384" s="680">
        <f t="shared" si="175"/>
        <v>0.94395121078385402</v>
      </c>
      <c r="U384" s="681">
        <f t="shared" si="187"/>
        <v>0.86053277232241854</v>
      </c>
      <c r="V384" s="682">
        <f t="shared" si="188"/>
        <v>-0.67120512350286088</v>
      </c>
      <c r="W384" s="683">
        <f t="shared" si="176"/>
        <v>-18.415246130375415</v>
      </c>
      <c r="X384" s="684">
        <f t="shared" si="177"/>
        <v>-187.31362863126668</v>
      </c>
      <c r="Y384" s="687">
        <f t="shared" si="178"/>
        <v>-7.3136286312666812</v>
      </c>
      <c r="AA384" s="170">
        <f t="shared" si="179"/>
        <v>32924.5</v>
      </c>
      <c r="AB384" s="170">
        <f t="shared" si="180"/>
        <v>1084022700.25</v>
      </c>
      <c r="AD384" s="686">
        <f t="shared" si="181"/>
        <v>33.975663250038821</v>
      </c>
      <c r="AE384" s="687">
        <f t="shared" si="182"/>
        <v>-54.409338456396469</v>
      </c>
      <c r="AG384" s="686">
        <f t="shared" si="183"/>
        <v>5.3104566099721717</v>
      </c>
      <c r="AH384" s="687">
        <f t="shared" si="184"/>
        <v>-55.989848558440428</v>
      </c>
      <c r="AJ384" s="170">
        <f t="shared" si="185"/>
        <v>0</v>
      </c>
      <c r="AK384" s="170">
        <f t="shared" si="197"/>
        <v>0</v>
      </c>
      <c r="AM384" s="170" t="str">
        <f t="shared" si="189"/>
        <v>0.486943078986785+0.858354586287299i</v>
      </c>
      <c r="AN384" s="170" t="str">
        <f t="shared" si="190"/>
        <v>1.03205393835039i</v>
      </c>
      <c r="AO384" s="170" t="str">
        <f t="shared" si="191"/>
        <v>0.83169547093563-0.471819408746313i</v>
      </c>
      <c r="AP384" s="170" t="str">
        <f t="shared" si="192"/>
        <v>0.0855094868355358-0.14305909771455i</v>
      </c>
      <c r="AQ384" s="170" t="str">
        <f t="shared" si="193"/>
        <v>0.914490513164464+0.14305909771455i</v>
      </c>
      <c r="AR384" s="170" t="str">
        <f t="shared" si="194"/>
        <v>0.889130749301437-0.139091921582843i</v>
      </c>
    </row>
    <row r="385" spans="7:44">
      <c r="G385" s="688">
        <v>33113</v>
      </c>
      <c r="H385" s="676">
        <f t="shared" si="186"/>
        <v>33.113</v>
      </c>
      <c r="I385" s="677">
        <f t="shared" si="166"/>
        <v>408.1860673259406</v>
      </c>
      <c r="J385" s="678">
        <f t="shared" si="167"/>
        <v>1.568346461205758</v>
      </c>
      <c r="K385" s="678">
        <f t="shared" si="168"/>
        <v>1.0045693179465163</v>
      </c>
      <c r="L385" s="679">
        <f t="shared" si="169"/>
        <v>9.5414743408990227E-2</v>
      </c>
      <c r="M385" s="678">
        <f t="shared" si="170"/>
        <v>1.0156788735478763</v>
      </c>
      <c r="N385" s="679">
        <f t="shared" si="171"/>
        <v>-0.1759359064168923</v>
      </c>
      <c r="O385" s="677">
        <f t="shared" si="172"/>
        <v>374499.20671135519</v>
      </c>
      <c r="P385" s="680">
        <f t="shared" si="173"/>
        <v>1.5707936565622711</v>
      </c>
      <c r="Q385" s="689">
        <f t="shared" si="195"/>
        <v>177.26577848856795</v>
      </c>
      <c r="R385" s="690">
        <f t="shared" si="196"/>
        <v>1.5651550501054727</v>
      </c>
      <c r="S385" s="677">
        <f t="shared" si="174"/>
        <v>1.7111687290737554</v>
      </c>
      <c r="T385" s="680">
        <f t="shared" si="175"/>
        <v>0.94666091382633899</v>
      </c>
      <c r="U385" s="681">
        <f t="shared" si="187"/>
        <v>0.85923748068361994</v>
      </c>
      <c r="V385" s="682">
        <f t="shared" si="188"/>
        <v>-0.67455433750430505</v>
      </c>
      <c r="W385" s="683">
        <f t="shared" si="176"/>
        <v>-18.508548254490048</v>
      </c>
      <c r="X385" s="684">
        <f t="shared" si="177"/>
        <v>-187.68501599346382</v>
      </c>
      <c r="Y385" s="687">
        <f t="shared" si="178"/>
        <v>-7.6850159934638214</v>
      </c>
      <c r="AA385" s="170">
        <f t="shared" si="179"/>
        <v>33113</v>
      </c>
      <c r="AB385" s="170">
        <f t="shared" si="180"/>
        <v>1096470769</v>
      </c>
      <c r="AD385" s="686">
        <f t="shared" si="181"/>
        <v>33.943073404373798</v>
      </c>
      <c r="AE385" s="687">
        <f t="shared" si="182"/>
        <v>-54.562743406903721</v>
      </c>
      <c r="AG385" s="686">
        <f t="shared" si="183"/>
        <v>5.275912390497826</v>
      </c>
      <c r="AH385" s="687">
        <f t="shared" si="184"/>
        <v>-55.824039315754035</v>
      </c>
      <c r="AJ385" s="170">
        <f t="shared" si="185"/>
        <v>0</v>
      </c>
      <c r="AK385" s="170">
        <f t="shared" si="197"/>
        <v>0</v>
      </c>
      <c r="AM385" s="170" t="str">
        <f t="shared" si="189"/>
        <v>0.49202379602381+0.861371102483674i</v>
      </c>
      <c r="AN385" s="170" t="str">
        <f t="shared" si="190"/>
        <v>1.03796267401469i</v>
      </c>
      <c r="AO385" s="170" t="str">
        <f t="shared" si="191"/>
        <v>0.829867127256142-0.4740284100205i</v>
      </c>
      <c r="AP385" s="170" t="str">
        <f t="shared" si="192"/>
        <v>0.0846627006626983-0.143561850413946i</v>
      </c>
      <c r="AQ385" s="170" t="str">
        <f t="shared" si="193"/>
        <v>0.915337299337302+0.143561850413946i</v>
      </c>
      <c r="AR385" s="170" t="str">
        <f t="shared" si="194"/>
        <v>0.888198333725816-0.139305364718098i</v>
      </c>
    </row>
    <row r="386" spans="7:44">
      <c r="G386" s="688">
        <v>33305.75</v>
      </c>
      <c r="H386" s="676">
        <f t="shared" si="186"/>
        <v>33.305750000000003</v>
      </c>
      <c r="I386" s="677">
        <f t="shared" si="166"/>
        <v>410.56209467569323</v>
      </c>
      <c r="J386" s="678">
        <f t="shared" si="167"/>
        <v>1.5683606392296505</v>
      </c>
      <c r="K386" s="678">
        <f t="shared" si="168"/>
        <v>1.0046225458147271</v>
      </c>
      <c r="L386" s="679">
        <f t="shared" si="169"/>
        <v>9.5966756374382955E-2</v>
      </c>
      <c r="M386" s="678">
        <f t="shared" si="170"/>
        <v>1.0158605083153269</v>
      </c>
      <c r="N386" s="679">
        <f t="shared" si="171"/>
        <v>-0.17693884314255084</v>
      </c>
      <c r="O386" s="677">
        <f t="shared" si="172"/>
        <v>376679.15785118245</v>
      </c>
      <c r="P386" s="680">
        <f t="shared" si="173"/>
        <v>1.570793672015679</v>
      </c>
      <c r="Q386" s="689">
        <f t="shared" si="195"/>
        <v>178.29760570445484</v>
      </c>
      <c r="R386" s="690">
        <f t="shared" si="196"/>
        <v>1.5651876971172516</v>
      </c>
      <c r="S386" s="677">
        <f t="shared" si="174"/>
        <v>1.7177341419380729</v>
      </c>
      <c r="T386" s="680">
        <f t="shared" si="175"/>
        <v>0.94941078419527081</v>
      </c>
      <c r="U386" s="681">
        <f t="shared" si="187"/>
        <v>0.85791095275764317</v>
      </c>
      <c r="V386" s="682">
        <f t="shared" si="188"/>
        <v>-0.67797222659914103</v>
      </c>
      <c r="W386" s="683">
        <f t="shared" si="176"/>
        <v>-18.603632208543452</v>
      </c>
      <c r="X386" s="684">
        <f t="shared" si="177"/>
        <v>-188.06318129892441</v>
      </c>
      <c r="Y386" s="687">
        <f t="shared" si="178"/>
        <v>-8.0631812989244054</v>
      </c>
      <c r="AA386" s="170">
        <f t="shared" si="179"/>
        <v>33305.75</v>
      </c>
      <c r="AB386" s="170">
        <f t="shared" si="180"/>
        <v>1109272983.0625</v>
      </c>
      <c r="AD386" s="686">
        <f t="shared" si="181"/>
        <v>33.909809554050923</v>
      </c>
      <c r="AE386" s="687">
        <f t="shared" si="182"/>
        <v>-54.718429722855895</v>
      </c>
      <c r="AG386" s="686">
        <f t="shared" si="183"/>
        <v>5.2409323134872139</v>
      </c>
      <c r="AH386" s="687">
        <f t="shared" si="184"/>
        <v>-55.654857064859094</v>
      </c>
      <c r="AJ386" s="170">
        <f t="shared" si="185"/>
        <v>0</v>
      </c>
      <c r="AK386" s="170">
        <f t="shared" si="197"/>
        <v>0</v>
      </c>
      <c r="AM386" s="170" t="str">
        <f t="shared" si="189"/>
        <v>0.497237402954593+0.864424531704277i</v>
      </c>
      <c r="AN386" s="170" t="str">
        <f t="shared" si="190"/>
        <v>1.04400463050961i</v>
      </c>
      <c r="AO386" s="170" t="str">
        <f t="shared" si="191"/>
        <v>0.827989174034913-0.476278924847179i</v>
      </c>
      <c r="AP386" s="170" t="str">
        <f t="shared" si="192"/>
        <v>0.0837937661742345-0.144070755284046i</v>
      </c>
      <c r="AQ386" s="170" t="str">
        <f t="shared" si="193"/>
        <v>0.916206233825765+0.144070755284046i</v>
      </c>
      <c r="AR386" s="170" t="str">
        <f t="shared" si="194"/>
        <v>0.88724534698247-0.13951674038307i</v>
      </c>
    </row>
    <row r="387" spans="7:44">
      <c r="G387" s="688">
        <v>33498.5</v>
      </c>
      <c r="H387" s="676">
        <f t="shared" si="186"/>
        <v>33.4985</v>
      </c>
      <c r="I387" s="677">
        <f t="shared" si="166"/>
        <v>412.93812210702572</v>
      </c>
      <c r="J387" s="678">
        <f t="shared" si="167"/>
        <v>1.5683746540941186</v>
      </c>
      <c r="K387" s="678">
        <f t="shared" si="168"/>
        <v>1.0046760797773346</v>
      </c>
      <c r="L387" s="679">
        <f t="shared" si="169"/>
        <v>9.651871068015197E-2</v>
      </c>
      <c r="M387" s="678">
        <f t="shared" si="170"/>
        <v>1.0160431645527142</v>
      </c>
      <c r="N387" s="679">
        <f t="shared" si="171"/>
        <v>-0.17794142027625232</v>
      </c>
      <c r="O387" s="677">
        <f t="shared" si="172"/>
        <v>378859.10899100982</v>
      </c>
      <c r="P387" s="680">
        <f t="shared" si="173"/>
        <v>1.5707936872912494</v>
      </c>
      <c r="Q387" s="689">
        <f t="shared" si="195"/>
        <v>179.32943310818936</v>
      </c>
      <c r="R387" s="690">
        <f t="shared" si="196"/>
        <v>1.5652199684396888</v>
      </c>
      <c r="S387" s="677">
        <f t="shared" si="174"/>
        <v>1.7243124449714262</v>
      </c>
      <c r="T387" s="680">
        <f t="shared" si="175"/>
        <v>0.9521396933949815</v>
      </c>
      <c r="U387" s="681">
        <f t="shared" si="187"/>
        <v>0.85658242682106089</v>
      </c>
      <c r="V387" s="682">
        <f t="shared" si="188"/>
        <v>-0.68138320525619167</v>
      </c>
      <c r="W387" s="683">
        <f t="shared" si="176"/>
        <v>-18.698393212822733</v>
      </c>
      <c r="X387" s="684">
        <f t="shared" si="177"/>
        <v>-188.43974460365871</v>
      </c>
      <c r="Y387" s="687">
        <f t="shared" si="178"/>
        <v>-8.4397446036587098</v>
      </c>
      <c r="AA387" s="170">
        <f t="shared" si="179"/>
        <v>33498.5</v>
      </c>
      <c r="AB387" s="170">
        <f t="shared" si="180"/>
        <v>1122149502.25</v>
      </c>
      <c r="AD387" s="686">
        <f t="shared" si="181"/>
        <v>33.876607689875371</v>
      </c>
      <c r="AE387" s="687">
        <f t="shared" si="182"/>
        <v>-54.872936567501071</v>
      </c>
      <c r="AG387" s="686">
        <f t="shared" si="183"/>
        <v>5.2062952533716169</v>
      </c>
      <c r="AH387" s="687">
        <f t="shared" si="184"/>
        <v>-55.486044162385241</v>
      </c>
      <c r="AJ387" s="170">
        <f t="shared" si="185"/>
        <v>0</v>
      </c>
      <c r="AK387" s="170">
        <f t="shared" si="197"/>
        <v>0</v>
      </c>
      <c r="AM387" s="170" t="str">
        <f t="shared" si="189"/>
        <v>0.50246936329795+0.867446404997365i</v>
      </c>
      <c r="AN387" s="170" t="str">
        <f t="shared" si="190"/>
        <v>1.05004658700453i</v>
      </c>
      <c r="AO387" s="170" t="str">
        <f t="shared" si="191"/>
        <v>0.826102780327044-0.478521019463856i</v>
      </c>
      <c r="AP387" s="170" t="str">
        <f t="shared" si="192"/>
        <v>0.082921772783675-0.144574400832894i</v>
      </c>
      <c r="AQ387" s="170" t="str">
        <f t="shared" si="193"/>
        <v>0.917078227216325+0.144574400832894i</v>
      </c>
      <c r="AR387" s="170" t="str">
        <f t="shared" si="194"/>
        <v>0.886292868670632-0.13972118915031i</v>
      </c>
    </row>
    <row r="388" spans="7:44">
      <c r="G388" s="688">
        <v>33691.25</v>
      </c>
      <c r="H388" s="676">
        <f t="shared" si="186"/>
        <v>33.691249999999997</v>
      </c>
      <c r="I388" s="677">
        <f t="shared" si="166"/>
        <v>415.31414961853812</v>
      </c>
      <c r="J388" s="678">
        <f t="shared" si="167"/>
        <v>1.5683885085994802</v>
      </c>
      <c r="K388" s="678">
        <f t="shared" si="168"/>
        <v>1.0047299197854107</v>
      </c>
      <c r="L388" s="679">
        <f t="shared" si="169"/>
        <v>9.707060599939106E-2</v>
      </c>
      <c r="M388" s="678">
        <f t="shared" si="170"/>
        <v>1.0162268417092419</v>
      </c>
      <c r="N388" s="679">
        <f t="shared" si="171"/>
        <v>-0.17894363599693849</v>
      </c>
      <c r="O388" s="677">
        <f t="shared" si="172"/>
        <v>381039.06013083732</v>
      </c>
      <c r="P388" s="680">
        <f t="shared" si="173"/>
        <v>1.5707937023920344</v>
      </c>
      <c r="Q388" s="689">
        <f t="shared" si="195"/>
        <v>180.36126069654753</v>
      </c>
      <c r="R388" s="690">
        <f t="shared" si="196"/>
        <v>1.5652518705205525</v>
      </c>
      <c r="S388" s="677">
        <f t="shared" si="174"/>
        <v>1.7309034912064627</v>
      </c>
      <c r="T388" s="680">
        <f t="shared" si="175"/>
        <v>0.95484784000061951</v>
      </c>
      <c r="U388" s="681">
        <f t="shared" si="187"/>
        <v>0.85525195958715616</v>
      </c>
      <c r="V388" s="682">
        <f t="shared" si="188"/>
        <v>-0.6847872773511704</v>
      </c>
      <c r="W388" s="683">
        <f t="shared" si="176"/>
        <v>-18.792833685744398</v>
      </c>
      <c r="X388" s="684">
        <f t="shared" si="177"/>
        <v>-188.81471721282958</v>
      </c>
      <c r="Y388" s="687">
        <f t="shared" si="178"/>
        <v>-8.8147172128295779</v>
      </c>
      <c r="AA388" s="170">
        <f t="shared" si="179"/>
        <v>33691.25</v>
      </c>
      <c r="AB388" s="170">
        <f t="shared" si="180"/>
        <v>1135100326.5625</v>
      </c>
      <c r="AD388" s="686">
        <f t="shared" si="181"/>
        <v>33.84346832459098</v>
      </c>
      <c r="AE388" s="687">
        <f t="shared" si="182"/>
        <v>-55.026274949102074</v>
      </c>
      <c r="AG388" s="686">
        <f t="shared" si="183"/>
        <v>5.1719974446035373</v>
      </c>
      <c r="AH388" s="687">
        <f t="shared" si="184"/>
        <v>-55.317600461108249</v>
      </c>
      <c r="AJ388" s="170">
        <f t="shared" si="185"/>
        <v>0</v>
      </c>
      <c r="AK388" s="170">
        <f t="shared" si="197"/>
        <v>0</v>
      </c>
      <c r="AM388" s="170" t="str">
        <f t="shared" si="189"/>
        <v>0.507719486060502+0.870436612049071i</v>
      </c>
      <c r="AN388" s="170" t="str">
        <f t="shared" si="190"/>
        <v>1.05608854349945i</v>
      </c>
      <c r="AO388" s="170" t="str">
        <f t="shared" si="191"/>
        <v>0.824207986543246-0.480754657538586i</v>
      </c>
      <c r="AP388" s="170" t="str">
        <f t="shared" si="192"/>
        <v>0.0820467523232497-0.145072768674845i</v>
      </c>
      <c r="AQ388" s="170" t="str">
        <f t="shared" si="193"/>
        <v>0.91795324767675+0.145072768674845i</v>
      </c>
      <c r="AR388" s="170" t="str">
        <f t="shared" si="194"/>
        <v>0.885340950510172-0.139918741217808i</v>
      </c>
    </row>
    <row r="389" spans="7:44">
      <c r="G389" s="688">
        <v>33884</v>
      </c>
      <c r="H389" s="676">
        <f t="shared" si="186"/>
        <v>33.884</v>
      </c>
      <c r="I389" s="677">
        <f t="shared" si="166"/>
        <v>417.690177208862</v>
      </c>
      <c r="J389" s="678">
        <f t="shared" si="167"/>
        <v>1.5684022054823348</v>
      </c>
      <c r="K389" s="678">
        <f t="shared" si="168"/>
        <v>1.0047840657897587</v>
      </c>
      <c r="L389" s="679">
        <f t="shared" si="169"/>
        <v>9.7622442005407664E-2</v>
      </c>
      <c r="M389" s="678">
        <f t="shared" si="170"/>
        <v>1.0164115392314355</v>
      </c>
      <c r="N389" s="679">
        <f t="shared" si="171"/>
        <v>-0.17994548848776812</v>
      </c>
      <c r="O389" s="677">
        <f t="shared" si="172"/>
        <v>383219.01127066481</v>
      </c>
      <c r="P389" s="680">
        <f t="shared" si="173"/>
        <v>1.5707937173210171</v>
      </c>
      <c r="Q389" s="689">
        <f t="shared" si="195"/>
        <v>181.39308846637874</v>
      </c>
      <c r="R389" s="690">
        <f t="shared" si="196"/>
        <v>1.5652834096609056</v>
      </c>
      <c r="S389" s="677">
        <f t="shared" si="174"/>
        <v>1.7375071356232983</v>
      </c>
      <c r="T389" s="680">
        <f t="shared" si="175"/>
        <v>0.95753542079542853</v>
      </c>
      <c r="U389" s="681">
        <f t="shared" si="187"/>
        <v>0.85391960731675665</v>
      </c>
      <c r="V389" s="682">
        <f t="shared" si="188"/>
        <v>-0.68818444713274174</v>
      </c>
      <c r="W389" s="683">
        <f t="shared" si="176"/>
        <v>-18.886956010432776</v>
      </c>
      <c r="X389" s="684">
        <f t="shared" si="177"/>
        <v>-189.18811035527975</v>
      </c>
      <c r="Y389" s="687">
        <f t="shared" si="178"/>
        <v>-9.188110355279747</v>
      </c>
      <c r="AA389" s="170">
        <f t="shared" si="179"/>
        <v>33884</v>
      </c>
      <c r="AB389" s="170">
        <f t="shared" si="180"/>
        <v>1148125456</v>
      </c>
      <c r="AD389" s="686">
        <f t="shared" si="181"/>
        <v>33.810391951188052</v>
      </c>
      <c r="AE389" s="687">
        <f t="shared" si="182"/>
        <v>-55.178455781654947</v>
      </c>
      <c r="AG389" s="686">
        <f t="shared" si="183"/>
        <v>5.1380351807557254</v>
      </c>
      <c r="AH389" s="687">
        <f t="shared" si="184"/>
        <v>-55.149525789013929</v>
      </c>
      <c r="AJ389" s="170">
        <f t="shared" si="185"/>
        <v>0</v>
      </c>
      <c r="AK389" s="170">
        <f t="shared" si="197"/>
        <v>0</v>
      </c>
      <c r="AM389" s="170" t="str">
        <f t="shared" si="189"/>
        <v>0.512987579585851+0.873395043701504i</v>
      </c>
      <c r="AN389" s="170" t="str">
        <f t="shared" si="190"/>
        <v>1.06213049999437i</v>
      </c>
      <c r="AO389" s="170" t="str">
        <f t="shared" si="191"/>
        <v>0.822304833263082-0.482979802941889i</v>
      </c>
      <c r="AP389" s="170" t="str">
        <f t="shared" si="192"/>
        <v>0.0811687367356915-0.145565840616917i</v>
      </c>
      <c r="AQ389" s="170" t="str">
        <f t="shared" si="193"/>
        <v>0.918831263264309+0.145565840616917i</v>
      </c>
      <c r="AR389" s="170" t="str">
        <f t="shared" si="194"/>
        <v>0.884389643619135-0.140109427109559i</v>
      </c>
    </row>
    <row r="390" spans="7:44">
      <c r="G390" s="688">
        <v>34081.5</v>
      </c>
      <c r="H390" s="676">
        <f t="shared" si="186"/>
        <v>34.081499999999998</v>
      </c>
      <c r="I390" s="677">
        <f t="shared" si="166"/>
        <v>420.1247580886361</v>
      </c>
      <c r="J390" s="678">
        <f t="shared" si="167"/>
        <v>1.5684160792017454</v>
      </c>
      <c r="K390" s="678">
        <f t="shared" si="168"/>
        <v>1.0048398634800375</v>
      </c>
      <c r="L390" s="679">
        <f t="shared" si="169"/>
        <v>9.818781521773795E-2</v>
      </c>
      <c r="M390" s="678">
        <f t="shared" si="170"/>
        <v>1.0166018461255024</v>
      </c>
      <c r="N390" s="679">
        <f t="shared" si="171"/>
        <v>-0.18097165128797255</v>
      </c>
      <c r="O390" s="677">
        <f t="shared" si="172"/>
        <v>385452.6836448072</v>
      </c>
      <c r="P390" s="680">
        <f t="shared" si="173"/>
        <v>1.5707937324427428</v>
      </c>
      <c r="Q390" s="689">
        <f t="shared" si="195"/>
        <v>182.45034408351793</v>
      </c>
      <c r="R390" s="690">
        <f t="shared" si="196"/>
        <v>1.5653153560031949</v>
      </c>
      <c r="S390" s="677">
        <f t="shared" si="174"/>
        <v>1.7442864338249922</v>
      </c>
      <c r="T390" s="680">
        <f t="shared" si="175"/>
        <v>0.96026810414582164</v>
      </c>
      <c r="U390" s="681">
        <f t="shared" si="187"/>
        <v>0.85255252453243235</v>
      </c>
      <c r="V390" s="682">
        <f t="shared" si="188"/>
        <v>-0.69165817973545496</v>
      </c>
      <c r="W390" s="683">
        <f t="shared" si="176"/>
        <v>-18.983070272550041</v>
      </c>
      <c r="X390" s="684">
        <f t="shared" si="177"/>
        <v>-189.56907847575485</v>
      </c>
      <c r="Y390" s="687">
        <f t="shared" si="178"/>
        <v>-9.5690784757548499</v>
      </c>
      <c r="AA390" s="170">
        <f t="shared" si="179"/>
        <v>34081.5</v>
      </c>
      <c r="AB390" s="170">
        <f t="shared" si="180"/>
        <v>1161548642.25</v>
      </c>
      <c r="AD390" s="686">
        <f t="shared" si="181"/>
        <v>33.776566300892675</v>
      </c>
      <c r="AE390" s="687">
        <f t="shared" si="182"/>
        <v>-55.333197480381962</v>
      </c>
      <c r="AG390" s="686">
        <f t="shared" si="183"/>
        <v>5.10358020889639</v>
      </c>
      <c r="AH390" s="687">
        <f t="shared" si="184"/>
        <v>-54.977691775722256</v>
      </c>
      <c r="AJ390" s="170">
        <f t="shared" si="185"/>
        <v>0</v>
      </c>
      <c r="AK390" s="170">
        <f t="shared" si="197"/>
        <v>0</v>
      </c>
      <c r="AM390" s="170" t="str">
        <f t="shared" si="189"/>
        <v>0.518403935813659+0.876393308372574i</v>
      </c>
      <c r="AN390" s="170" t="str">
        <f t="shared" si="190"/>
        <v>1.06832135035882i</v>
      </c>
      <c r="AO390" s="170" t="str">
        <f t="shared" si="191"/>
        <v>0.820346151537847-0.485250936564678i</v>
      </c>
      <c r="AP390" s="170" t="str">
        <f t="shared" si="192"/>
        <v>0.0802660106977235-0.146065551395429i</v>
      </c>
      <c r="AQ390" s="170" t="str">
        <f t="shared" si="193"/>
        <v>0.919733989302276+0.146065551395429i</v>
      </c>
      <c r="AR390" s="170" t="str">
        <f t="shared" si="194"/>
        <v>0.883415580244177-0.140297722320307i</v>
      </c>
    </row>
    <row r="391" spans="7:44">
      <c r="G391" s="688">
        <v>34279</v>
      </c>
      <c r="H391" s="676">
        <f t="shared" si="186"/>
        <v>34.279000000000003</v>
      </c>
      <c r="I391" s="677">
        <f t="shared" si="166"/>
        <v>422.55933904834416</v>
      </c>
      <c r="J391" s="678">
        <f t="shared" si="167"/>
        <v>1.5684297930539399</v>
      </c>
      <c r="K391" s="678">
        <f t="shared" si="168"/>
        <v>1.0048959823285042</v>
      </c>
      <c r="L391" s="679">
        <f t="shared" si="169"/>
        <v>9.8753125463730551E-2</v>
      </c>
      <c r="M391" s="678">
        <f t="shared" si="170"/>
        <v>1.0167932231102015</v>
      </c>
      <c r="N391" s="679">
        <f t="shared" si="171"/>
        <v>-0.18199742888701087</v>
      </c>
      <c r="O391" s="677">
        <f t="shared" si="172"/>
        <v>387686.35601894977</v>
      </c>
      <c r="P391" s="680">
        <f t="shared" si="173"/>
        <v>1.5707937473902194</v>
      </c>
      <c r="Q391" s="689">
        <f t="shared" si="195"/>
        <v>183.50759988471469</v>
      </c>
      <c r="R391" s="690">
        <f t="shared" si="196"/>
        <v>1.5653469342359041</v>
      </c>
      <c r="S391" s="677">
        <f t="shared" si="174"/>
        <v>1.7510786566739514</v>
      </c>
      <c r="T391" s="680">
        <f t="shared" si="175"/>
        <v>0.96297960811588312</v>
      </c>
      <c r="U391" s="681">
        <f t="shared" si="187"/>
        <v>0.85118358078763778</v>
      </c>
      <c r="V391" s="682">
        <f t="shared" si="188"/>
        <v>-0.69512467585409765</v>
      </c>
      <c r="W391" s="683">
        <f t="shared" si="176"/>
        <v>-19.078855468521976</v>
      </c>
      <c r="X391" s="684">
        <f t="shared" si="177"/>
        <v>-189.94841194585581</v>
      </c>
      <c r="Y391" s="687">
        <f t="shared" si="178"/>
        <v>-9.9484119458558098</v>
      </c>
      <c r="AA391" s="170">
        <f t="shared" si="179"/>
        <v>34279</v>
      </c>
      <c r="AB391" s="170">
        <f t="shared" si="180"/>
        <v>1175049841</v>
      </c>
      <c r="AD391" s="686">
        <f t="shared" si="181"/>
        <v>33.742807771739763</v>
      </c>
      <c r="AE391" s="687">
        <f t="shared" si="182"/>
        <v>-55.486746771143508</v>
      </c>
      <c r="AG391" s="686">
        <f t="shared" si="183"/>
        <v>5.0694698298398464</v>
      </c>
      <c r="AH391" s="687">
        <f t="shared" si="184"/>
        <v>-54.806244760014337</v>
      </c>
      <c r="AJ391" s="170">
        <f t="shared" si="185"/>
        <v>0</v>
      </c>
      <c r="AK391" s="170">
        <f t="shared" si="197"/>
        <v>0</v>
      </c>
      <c r="AM391" s="170" t="str">
        <f t="shared" si="189"/>
        <v>0.523838749935817+0.879357983950401i</v>
      </c>
      <c r="AN391" s="170" t="str">
        <f t="shared" si="190"/>
        <v>1.07451220072326i</v>
      </c>
      <c r="AO391" s="170" t="str">
        <f t="shared" si="191"/>
        <v>0.818378780025485-0.487513077639526i</v>
      </c>
      <c r="AP391" s="170" t="str">
        <f t="shared" si="192"/>
        <v>0.0793602083440305-0.146559663991734i</v>
      </c>
      <c r="AQ391" s="170" t="str">
        <f t="shared" si="193"/>
        <v>0.92063979165597+0.146559663991734i</v>
      </c>
      <c r="AR391" s="170" t="str">
        <f t="shared" si="194"/>
        <v>0.882442265361874-0.140478874664881i</v>
      </c>
    </row>
    <row r="392" spans="7:44">
      <c r="G392" s="688">
        <v>34476.5</v>
      </c>
      <c r="H392" s="676">
        <f t="shared" si="186"/>
        <v>34.476500000000001</v>
      </c>
      <c r="I392" s="677">
        <f t="shared" si="166"/>
        <v>424.99392008661226</v>
      </c>
      <c r="J392" s="678">
        <f t="shared" si="167"/>
        <v>1.5684433497863151</v>
      </c>
      <c r="K392" s="678">
        <f t="shared" si="168"/>
        <v>1.0049524222813555</v>
      </c>
      <c r="L392" s="679">
        <f t="shared" si="169"/>
        <v>9.9318372392645626E-2</v>
      </c>
      <c r="M392" s="678">
        <f t="shared" si="170"/>
        <v>1.0169856695814214</v>
      </c>
      <c r="N392" s="679">
        <f t="shared" si="171"/>
        <v>-0.18302281934427048</v>
      </c>
      <c r="O392" s="677">
        <f t="shared" si="172"/>
        <v>389920.02839309239</v>
      </c>
      <c r="P392" s="680">
        <f t="shared" si="173"/>
        <v>1.5707937621664416</v>
      </c>
      <c r="Q392" s="689">
        <f t="shared" si="195"/>
        <v>184.56485586680594</v>
      </c>
      <c r="R392" s="690">
        <f t="shared" si="196"/>
        <v>1.5653781506849742</v>
      </c>
      <c r="S392" s="677">
        <f t="shared" si="174"/>
        <v>1.7578836543529557</v>
      </c>
      <c r="T392" s="680">
        <f t="shared" si="175"/>
        <v>0.96567013856664319</v>
      </c>
      <c r="U392" s="681">
        <f t="shared" si="187"/>
        <v>0.84981283511728101</v>
      </c>
      <c r="V392" s="682">
        <f t="shared" si="188"/>
        <v>-0.69858394124893552</v>
      </c>
      <c r="W392" s="683">
        <f t="shared" si="176"/>
        <v>-19.174314052223021</v>
      </c>
      <c r="X392" s="684">
        <f t="shared" si="177"/>
        <v>-190.32612259463284</v>
      </c>
      <c r="Y392" s="687">
        <f t="shared" si="178"/>
        <v>-10.326122594632835</v>
      </c>
      <c r="AA392" s="170">
        <f t="shared" si="179"/>
        <v>34476.5</v>
      </c>
      <c r="AB392" s="170">
        <f t="shared" si="180"/>
        <v>1188629052.25</v>
      </c>
      <c r="AD392" s="686">
        <f t="shared" si="181"/>
        <v>33.709116832570999</v>
      </c>
      <c r="AE392" s="687">
        <f t="shared" si="182"/>
        <v>-55.63911508662968</v>
      </c>
      <c r="AG392" s="686">
        <f t="shared" si="183"/>
        <v>5.0357002412246636</v>
      </c>
      <c r="AH392" s="687">
        <f t="shared" si="184"/>
        <v>-54.635184478172484</v>
      </c>
      <c r="AJ392" s="170">
        <f t="shared" si="185"/>
        <v>0</v>
      </c>
      <c r="AK392" s="170">
        <f t="shared" si="197"/>
        <v>0</v>
      </c>
      <c r="AM392" s="170" t="str">
        <f t="shared" si="189"/>
        <v>0.529291813654907+0.88228895680934i</v>
      </c>
      <c r="AN392" s="170" t="str">
        <f t="shared" si="190"/>
        <v>1.08070305108771i</v>
      </c>
      <c r="AO392" s="170" t="str">
        <f t="shared" si="191"/>
        <v>0.816402762924867-0.48976618796642i</v>
      </c>
      <c r="AP392" s="170" t="str">
        <f t="shared" si="192"/>
        <v>0.0784513643908488-0.147048159468223i</v>
      </c>
      <c r="AQ392" s="170" t="str">
        <f t="shared" si="193"/>
        <v>0.921548635609151+0.147048159468223i</v>
      </c>
      <c r="AR392" s="170" t="str">
        <f t="shared" si="194"/>
        <v>0.881469752000988-0.140652917979719i</v>
      </c>
    </row>
    <row r="393" spans="7:44">
      <c r="G393" s="688">
        <v>34674</v>
      </c>
      <c r="H393" s="676">
        <f t="shared" si="186"/>
        <v>34.673999999999999</v>
      </c>
      <c r="I393" s="677">
        <f t="shared" si="166"/>
        <v>427.42850120209818</v>
      </c>
      <c r="J393" s="678">
        <f t="shared" si="167"/>
        <v>1.5684567520836725</v>
      </c>
      <c r="K393" s="678">
        <f t="shared" si="168"/>
        <v>1.0050091832844932</v>
      </c>
      <c r="L393" s="679">
        <f t="shared" si="169"/>
        <v>9.9883555653983713E-2</v>
      </c>
      <c r="M393" s="678">
        <f t="shared" si="170"/>
        <v>1.0171791849321339</v>
      </c>
      <c r="N393" s="679">
        <f t="shared" si="171"/>
        <v>-0.18404782072385961</v>
      </c>
      <c r="O393" s="677">
        <f t="shared" si="172"/>
        <v>392153.70076723502</v>
      </c>
      <c r="P393" s="680">
        <f t="shared" si="173"/>
        <v>1.5707937767743356</v>
      </c>
      <c r="Q393" s="689">
        <f t="shared" si="195"/>
        <v>185.62211202670071</v>
      </c>
      <c r="R393" s="690">
        <f t="shared" si="196"/>
        <v>1.5654090115322257</v>
      </c>
      <c r="S393" s="677">
        <f t="shared" si="174"/>
        <v>1.764701279076055</v>
      </c>
      <c r="T393" s="680">
        <f t="shared" si="175"/>
        <v>0.96833989940146503</v>
      </c>
      <c r="U393" s="681">
        <f t="shared" si="187"/>
        <v>0.84844034605092455</v>
      </c>
      <c r="V393" s="682">
        <f t="shared" si="188"/>
        <v>-0.70203598207187479</v>
      </c>
      <c r="W393" s="683">
        <f t="shared" si="176"/>
        <v>-19.269448442236847</v>
      </c>
      <c r="X393" s="684">
        <f t="shared" si="177"/>
        <v>-190.70222216633326</v>
      </c>
      <c r="Y393" s="687">
        <f t="shared" si="178"/>
        <v>-10.702222166333257</v>
      </c>
      <c r="AA393" s="170">
        <f t="shared" si="179"/>
        <v>34674</v>
      </c>
      <c r="AB393" s="170">
        <f t="shared" si="180"/>
        <v>1202286276</v>
      </c>
      <c r="AD393" s="686">
        <f t="shared" si="181"/>
        <v>33.675493932472378</v>
      </c>
      <c r="AE393" s="687">
        <f t="shared" si="182"/>
        <v>-55.79031375561803</v>
      </c>
      <c r="AG393" s="686">
        <f t="shared" si="183"/>
        <v>5.0022677004025233</v>
      </c>
      <c r="AH393" s="687">
        <f t="shared" si="184"/>
        <v>-54.464510640709968</v>
      </c>
      <c r="AJ393" s="170">
        <f t="shared" si="185"/>
        <v>0</v>
      </c>
      <c r="AK393" s="170">
        <f t="shared" si="197"/>
        <v>0</v>
      </c>
      <c r="AM393" s="170" t="str">
        <f t="shared" si="189"/>
        <v>0.534762917974034+0.885186114615432i</v>
      </c>
      <c r="AN393" s="170" t="str">
        <f t="shared" si="190"/>
        <v>1.08689390145215i</v>
      </c>
      <c r="AO393" s="170" t="str">
        <f t="shared" si="191"/>
        <v>0.8144181446163-0.492010229572143i</v>
      </c>
      <c r="AP393" s="170" t="str">
        <f t="shared" si="192"/>
        <v>0.0775395136709943-0.147531019102572i</v>
      </c>
      <c r="AQ393" s="170" t="str">
        <f t="shared" si="193"/>
        <v>0.922460486329006+0.147531019102572i</v>
      </c>
      <c r="AR393" s="170" t="str">
        <f t="shared" si="194"/>
        <v>0.88049809253004-0.14081988641679i</v>
      </c>
    </row>
    <row r="394" spans="7:44">
      <c r="G394" s="688">
        <v>34875.75</v>
      </c>
      <c r="H394" s="676">
        <f t="shared" si="186"/>
        <v>34.875749999999996</v>
      </c>
      <c r="I394" s="677">
        <f t="shared" si="166"/>
        <v>429.91547211615455</v>
      </c>
      <c r="J394" s="678">
        <f t="shared" si="167"/>
        <v>1.5684702860575801</v>
      </c>
      <c r="K394" s="678">
        <f t="shared" si="168"/>
        <v>1.005067497158008</v>
      </c>
      <c r="L394" s="679">
        <f t="shared" si="169"/>
        <v>0.10046083498512012</v>
      </c>
      <c r="M394" s="678">
        <f t="shared" si="170"/>
        <v>1.0173779675317094</v>
      </c>
      <c r="N394" s="679">
        <f t="shared" si="171"/>
        <v>-0.18509447536035997</v>
      </c>
      <c r="O394" s="677">
        <f t="shared" si="172"/>
        <v>394435.43950892269</v>
      </c>
      <c r="P394" s="680">
        <f t="shared" si="173"/>
        <v>1.5707937915257504</v>
      </c>
      <c r="Q394" s="689">
        <f t="shared" si="195"/>
        <v>186.70211944895999</v>
      </c>
      <c r="R394" s="690">
        <f t="shared" si="196"/>
        <v>1.5654401755933995</v>
      </c>
      <c r="S394" s="677">
        <f t="shared" si="174"/>
        <v>1.7716784981376246</v>
      </c>
      <c r="T394" s="680">
        <f t="shared" si="175"/>
        <v>0.97104587595153113</v>
      </c>
      <c r="U394" s="681">
        <f t="shared" si="187"/>
        <v>0.84703658267199466</v>
      </c>
      <c r="V394" s="682">
        <f t="shared" si="188"/>
        <v>-0.70555485467656331</v>
      </c>
      <c r="W394" s="683">
        <f t="shared" si="176"/>
        <v>-19.366297773865565</v>
      </c>
      <c r="X394" s="684">
        <f t="shared" si="177"/>
        <v>-191.0847636910494</v>
      </c>
      <c r="Y394" s="687">
        <f t="shared" si="178"/>
        <v>-11.084763691049403</v>
      </c>
      <c r="AA394" s="170">
        <f t="shared" si="179"/>
        <v>34875.75</v>
      </c>
      <c r="AB394" s="170">
        <f t="shared" si="180"/>
        <v>1216317938.0625</v>
      </c>
      <c r="AD394" s="686">
        <f t="shared" si="181"/>
        <v>33.641218199499711</v>
      </c>
      <c r="AE394" s="687">
        <f t="shared" si="182"/>
        <v>-55.943570067589356</v>
      </c>
      <c r="AG394" s="686">
        <f t="shared" si="183"/>
        <v>4.9684598994210845</v>
      </c>
      <c r="AH394" s="687">
        <f t="shared" si="184"/>
        <v>-54.290562755208313</v>
      </c>
      <c r="AJ394" s="170">
        <f t="shared" si="185"/>
        <v>0</v>
      </c>
      <c r="AK394" s="170">
        <f t="shared" si="197"/>
        <v>0</v>
      </c>
      <c r="AM394" s="170" t="str">
        <f t="shared" si="189"/>
        <v>0.54037016395587+0.888110586480111i</v>
      </c>
      <c r="AN394" s="170" t="str">
        <f t="shared" si="190"/>
        <v>1.09321797264723i</v>
      </c>
      <c r="AO394" s="170" t="str">
        <f t="shared" si="191"/>
        <v>0.812381984838348-0.494293157884481i</v>
      </c>
      <c r="AP394" s="170" t="str">
        <f t="shared" si="192"/>
        <v>0.0766049726740217-0.148018431080018i</v>
      </c>
      <c r="AQ394" s="170" t="str">
        <f t="shared" si="193"/>
        <v>0.923395027325978+0.148018431080018i</v>
      </c>
      <c r="AR394" s="170" t="str">
        <f t="shared" si="194"/>
        <v>0.879506459350984-0.140983178797125i</v>
      </c>
    </row>
    <row r="395" spans="7:44">
      <c r="G395" s="688">
        <v>35077.5</v>
      </c>
      <c r="H395" s="676">
        <f t="shared" si="186"/>
        <v>35.077500000000001</v>
      </c>
      <c r="I395" s="677">
        <f t="shared" si="166"/>
        <v>432.40244310805213</v>
      </c>
      <c r="J395" s="678">
        <f t="shared" si="167"/>
        <v>1.5684836643496662</v>
      </c>
      <c r="K395" s="678">
        <f t="shared" si="168"/>
        <v>1.0051261459327705</v>
      </c>
      <c r="L395" s="679">
        <f t="shared" si="169"/>
        <v>0.10103804714048248</v>
      </c>
      <c r="M395" s="678">
        <f t="shared" si="170"/>
        <v>1.0175778642183784</v>
      </c>
      <c r="N395" s="679">
        <f t="shared" si="171"/>
        <v>-0.18614071992536566</v>
      </c>
      <c r="O395" s="677">
        <f t="shared" si="172"/>
        <v>396717.17825061042</v>
      </c>
      <c r="P395" s="680">
        <f t="shared" si="173"/>
        <v>1.570793806107478</v>
      </c>
      <c r="Q395" s="689">
        <f t="shared" si="195"/>
        <v>187.78212705045843</v>
      </c>
      <c r="R395" s="690">
        <f t="shared" si="196"/>
        <v>1.5654709811814778</v>
      </c>
      <c r="S395" s="677">
        <f t="shared" si="174"/>
        <v>1.7786685881444539</v>
      </c>
      <c r="T395" s="680">
        <f t="shared" si="175"/>
        <v>0.97373060329180927</v>
      </c>
      <c r="U395" s="681">
        <f t="shared" si="187"/>
        <v>0.84563112190517997</v>
      </c>
      <c r="V395" s="682">
        <f t="shared" si="188"/>
        <v>-0.70906620263879538</v>
      </c>
      <c r="W395" s="683">
        <f t="shared" si="176"/>
        <v>-19.462813801908418</v>
      </c>
      <c r="X395" s="684">
        <f t="shared" si="177"/>
        <v>-191.46564855835388</v>
      </c>
      <c r="Y395" s="687">
        <f t="shared" si="178"/>
        <v>-11.465648558353877</v>
      </c>
      <c r="AA395" s="170">
        <f t="shared" si="179"/>
        <v>35077.5</v>
      </c>
      <c r="AB395" s="170">
        <f t="shared" si="180"/>
        <v>1230431006.25</v>
      </c>
      <c r="AD395" s="686">
        <f t="shared" si="181"/>
        <v>33.607014351728296</v>
      </c>
      <c r="AE395" s="687">
        <f t="shared" si="182"/>
        <v>-56.095629418793585</v>
      </c>
      <c r="AG395" s="686">
        <f t="shared" si="183"/>
        <v>4.9349960982701262</v>
      </c>
      <c r="AH395" s="687">
        <f t="shared" si="184"/>
        <v>-54.117017433573288</v>
      </c>
      <c r="AJ395" s="170">
        <f t="shared" si="185"/>
        <v>0</v>
      </c>
      <c r="AK395" s="170">
        <f t="shared" si="197"/>
        <v>0</v>
      </c>
      <c r="AM395" s="170" t="str">
        <f t="shared" si="189"/>
        <v>0.545995792255321+0.890999539478066i</v>
      </c>
      <c r="AN395" s="170" t="str">
        <f t="shared" si="190"/>
        <v>1.0995420438423i</v>
      </c>
      <c r="AO395" s="170" t="str">
        <f t="shared" si="191"/>
        <v>0.810336943883026-0.496566543601519i</v>
      </c>
      <c r="AP395" s="170" t="str">
        <f t="shared" si="192"/>
        <v>0.0756673679574465-0.148499923246344i</v>
      </c>
      <c r="AQ395" s="170" t="str">
        <f t="shared" si="193"/>
        <v>0.924332632042554+0.148499923246344i</v>
      </c>
      <c r="AR395" s="170" t="str">
        <f t="shared" si="194"/>
        <v>0.878515825574784-0.141139161537843i</v>
      </c>
    </row>
    <row r="396" spans="7:44">
      <c r="G396" s="688">
        <v>35279.25</v>
      </c>
      <c r="H396" s="676">
        <f t="shared" si="186"/>
        <v>35.279249999999998</v>
      </c>
      <c r="I396" s="677">
        <f t="shared" si="166"/>
        <v>434.88941417645532</v>
      </c>
      <c r="J396" s="678">
        <f t="shared" si="167"/>
        <v>1.5684968896307858</v>
      </c>
      <c r="K396" s="678">
        <f t="shared" si="168"/>
        <v>1.0051851295501602</v>
      </c>
      <c r="L396" s="679">
        <f t="shared" si="169"/>
        <v>0.10161519174723894</v>
      </c>
      <c r="M396" s="678">
        <f t="shared" si="170"/>
        <v>1.0177788743357046</v>
      </c>
      <c r="N396" s="679">
        <f t="shared" si="171"/>
        <v>-0.18718655237067783</v>
      </c>
      <c r="O396" s="677">
        <f t="shared" si="172"/>
        <v>398998.91699229821</v>
      </c>
      <c r="P396" s="680">
        <f t="shared" si="173"/>
        <v>1.5707938205224297</v>
      </c>
      <c r="Q396" s="689">
        <f t="shared" si="195"/>
        <v>188.86213482812104</v>
      </c>
      <c r="R396" s="690">
        <f t="shared" si="196"/>
        <v>1.5655014344461848</v>
      </c>
      <c r="S396" s="677">
        <f t="shared" si="174"/>
        <v>1.7856713979448888</v>
      </c>
      <c r="T396" s="680">
        <f t="shared" si="175"/>
        <v>0.97639429248927689</v>
      </c>
      <c r="U396" s="681">
        <f t="shared" si="187"/>
        <v>0.84422402449889111</v>
      </c>
      <c r="V396" s="682">
        <f t="shared" si="188"/>
        <v>-0.71257003375024519</v>
      </c>
      <c r="W396" s="683">
        <f t="shared" si="176"/>
        <v>-19.558998995756877</v>
      </c>
      <c r="X396" s="684">
        <f t="shared" si="177"/>
        <v>-191.84488901277459</v>
      </c>
      <c r="Y396" s="687">
        <f t="shared" si="178"/>
        <v>-11.844889012774587</v>
      </c>
      <c r="AA396" s="170">
        <f t="shared" si="179"/>
        <v>35279.25</v>
      </c>
      <c r="AB396" s="170">
        <f t="shared" si="180"/>
        <v>1244625480.5625</v>
      </c>
      <c r="AD396" s="686">
        <f t="shared" si="181"/>
        <v>33.572882807128074</v>
      </c>
      <c r="AE396" s="687">
        <f t="shared" si="182"/>
        <v>-56.246503550291244</v>
      </c>
      <c r="AG396" s="686">
        <f t="shared" si="183"/>
        <v>4.9018724922429406</v>
      </c>
      <c r="AH396" s="687">
        <f t="shared" si="184"/>
        <v>-53.943874286412111</v>
      </c>
      <c r="AJ396" s="170">
        <f t="shared" si="185"/>
        <v>0</v>
      </c>
      <c r="AK396" s="170">
        <f t="shared" si="197"/>
        <v>0</v>
      </c>
      <c r="AM396" s="170" t="str">
        <f t="shared" si="189"/>
        <v>0.551639577882462+0.893852858069259i</v>
      </c>
      <c r="AN396" s="170" t="str">
        <f t="shared" si="190"/>
        <v>1.10586611503737i</v>
      </c>
      <c r="AO396" s="170" t="str">
        <f t="shared" si="191"/>
        <v>0.808283069636376-0.498830346984473i</v>
      </c>
      <c r="AP396" s="170" t="str">
        <f t="shared" si="192"/>
        <v>0.0747267370195897-0.148975476344876i</v>
      </c>
      <c r="AQ396" s="170" t="str">
        <f t="shared" si="193"/>
        <v>0.92527326298041+0.148975476344876i</v>
      </c>
      <c r="AR396" s="170" t="str">
        <f t="shared" si="194"/>
        <v>0.877526244898341-0.141287871993366i</v>
      </c>
    </row>
    <row r="397" spans="7:44">
      <c r="G397" s="688">
        <v>35481</v>
      </c>
      <c r="H397" s="676">
        <f t="shared" si="186"/>
        <v>35.481000000000002</v>
      </c>
      <c r="I397" s="677">
        <f t="shared" ref="I397:I460" si="198">SQRT(1+(G397/pole1)^2)</f>
        <v>437.37638532005917</v>
      </c>
      <c r="J397" s="678">
        <f t="shared" ref="J397:J460" si="199">ATAN(G397/pole1)</f>
        <v>1.5685099645110463</v>
      </c>
      <c r="K397" s="678">
        <f t="shared" ref="K397:K460" si="200">SQRT(1+(G397/Zero1)^2)</f>
        <v>1.0052444479512348</v>
      </c>
      <c r="L397" s="679">
        <f t="shared" ref="L397:L460" si="201">ATAN(G397/Zero1)</f>
        <v>0.10219226843282496</v>
      </c>
      <c r="M397" s="678">
        <f t="shared" ref="M397:M460" si="202">SQRT(1+(G397/z_RHP)^2)</f>
        <v>1.0179809972241154</v>
      </c>
      <c r="N397" s="679">
        <f t="shared" ref="N397:N460" si="203">-ATAN(G397/z_RHP)</f>
        <v>-0.18823197065331712</v>
      </c>
      <c r="O397" s="677">
        <f t="shared" ref="O397:O460" si="204">SQRT(1+(G397/Pole2)^2)</f>
        <v>401280.65573398606</v>
      </c>
      <c r="P397" s="680">
        <f t="shared" ref="P397:P460" si="205">ATAN(G397/Pole2)</f>
        <v>1.5707938347734505</v>
      </c>
      <c r="Q397" s="689">
        <f t="shared" si="195"/>
        <v>189.94214277894284</v>
      </c>
      <c r="R397" s="690">
        <f t="shared" si="196"/>
        <v>1.5655315413973787</v>
      </c>
      <c r="S397" s="677">
        <f t="shared" ref="S397:S460" si="206">SQRT(1+(G397/pole4)^2)</f>
        <v>1.7926867784761491</v>
      </c>
      <c r="T397" s="680">
        <f t="shared" ref="T397:T460" si="207">ATAN(G397/pole4)</f>
        <v>0.97903715251017986</v>
      </c>
      <c r="U397" s="681">
        <f t="shared" si="187"/>
        <v>0.84281535064625024</v>
      </c>
      <c r="V397" s="682">
        <f t="shared" si="188"/>
        <v>-0.7160663562075501</v>
      </c>
      <c r="W397" s="683">
        <f t="shared" ref="W397:W460" si="208">20*LOG10(((K397*Q397*M397*U397)/(I397*O397*S397))*Adc)</f>
        <v>-19.654855789892448</v>
      </c>
      <c r="X397" s="684">
        <f t="shared" ref="X397:X460" si="209">((L397+R397+N397+V397)-(J397+P397+T397))*radconv</f>
        <v>-192.22249720649214</v>
      </c>
      <c r="Y397" s="687">
        <f t="shared" ref="Y397:Y460" si="210">IF(X397&gt;0,X397,X397+180)</f>
        <v>-12.222497206492136</v>
      </c>
      <c r="AA397" s="170">
        <f t="shared" ref="AA397:AA460" si="211">IF(W397&lt;0,G397,1000000000)</f>
        <v>35481</v>
      </c>
      <c r="AB397" s="170">
        <f t="shared" ref="AB397:AB460" si="212">G397^2</f>
        <v>1258901361</v>
      </c>
      <c r="AD397" s="686">
        <f t="shared" ref="AD397:AD460" si="213">20*LOG10((Q397/(O397*S397))*Aea)</f>
        <v>33.538823964226232</v>
      </c>
      <c r="AE397" s="687">
        <f t="shared" ref="AE397:AE460" si="214">(R397-(P397+T397))*radconv</f>
        <v>-56.396204090789837</v>
      </c>
      <c r="AG397" s="686">
        <f t="shared" ref="AG397:AG460" si="215">20*LOG10((K397*M397/(I397*U397))*Acs*Am)</f>
        <v>4.8690853362377498</v>
      </c>
      <c r="AH397" s="687">
        <f t="shared" ref="AH397:AH460" si="216">(L397+N397-(J397+V397))*radconv</f>
        <v>-53.771132897932482</v>
      </c>
      <c r="AJ397" s="170">
        <f t="shared" ref="AJ397:AJ460" si="217">SUM((W398&lt;0)*(W397&gt;0))*G397</f>
        <v>0</v>
      </c>
      <c r="AK397" s="170">
        <f t="shared" si="197"/>
        <v>0</v>
      </c>
      <c r="AM397" s="170" t="str">
        <f t="shared" si="189"/>
        <v>0.557301295121191+0.896670428138803i</v>
      </c>
      <c r="AN397" s="170" t="str">
        <f t="shared" si="190"/>
        <v>1.11219018623245i</v>
      </c>
      <c r="AO397" s="170" t="str">
        <f t="shared" si="191"/>
        <v>0.806220410176679-0.501084528545475i</v>
      </c>
      <c r="AP397" s="170" t="str">
        <f t="shared" si="192"/>
        <v>0.0737831174798015-0.149445071356467i</v>
      </c>
      <c r="AQ397" s="170" t="str">
        <f t="shared" si="193"/>
        <v>0.926216882520199+0.149445071356467i</v>
      </c>
      <c r="AR397" s="170" t="str">
        <f t="shared" si="194"/>
        <v>0.876537770305861-0.141429347814918i</v>
      </c>
    </row>
    <row r="398" spans="7:44">
      <c r="G398" s="688">
        <v>35687.75</v>
      </c>
      <c r="H398" s="676">
        <f t="shared" ref="H398:H461" si="218">G398/1000</f>
        <v>35.687750000000001</v>
      </c>
      <c r="I398" s="677">
        <f t="shared" si="198"/>
        <v>439.92499151292822</v>
      </c>
      <c r="J398" s="678">
        <f t="shared" si="199"/>
        <v>1.5685232100580226</v>
      </c>
      <c r="K398" s="678">
        <f t="shared" si="200"/>
        <v>1.0053055837189855</v>
      </c>
      <c r="L398" s="679">
        <f t="shared" si="201"/>
        <v>0.10278357603858629</v>
      </c>
      <c r="M398" s="678">
        <f t="shared" si="202"/>
        <v>1.0181892831404102</v>
      </c>
      <c r="N398" s="679">
        <f t="shared" si="203"/>
        <v>-0.18930286587361747</v>
      </c>
      <c r="O398" s="677">
        <f t="shared" si="204"/>
        <v>403618.94314337382</v>
      </c>
      <c r="P398" s="680">
        <f t="shared" si="205"/>
        <v>1.5707938492104894</v>
      </c>
      <c r="Q398" s="689">
        <f t="shared" si="195"/>
        <v>191.04891690264515</v>
      </c>
      <c r="R398" s="690">
        <f t="shared" si="196"/>
        <v>1.5655620413432032</v>
      </c>
      <c r="S398" s="677">
        <f t="shared" si="206"/>
        <v>1.799888910361549</v>
      </c>
      <c r="T398" s="680">
        <f t="shared" si="207"/>
        <v>0.98172411741711296</v>
      </c>
      <c r="U398" s="681">
        <f t="shared" ref="U398:U461" si="219">IMABS(IMPRODUCT(AO398, AR398))</f>
        <v>0.84137019226712639</v>
      </c>
      <c r="V398" s="682">
        <f t="shared" ref="V398:V461" si="220">IMARGUMENT(IMPRODUCT(AO398, AR398))</f>
        <v>-0.71964154744228637</v>
      </c>
      <c r="W398" s="683">
        <f t="shared" si="208"/>
        <v>-19.752750019075108</v>
      </c>
      <c r="X398" s="684">
        <f t="shared" si="209"/>
        <v>-192.60778289367116</v>
      </c>
      <c r="Y398" s="687">
        <f t="shared" si="210"/>
        <v>-12.607782893671157</v>
      </c>
      <c r="AA398" s="170">
        <f t="shared" si="211"/>
        <v>35687.75</v>
      </c>
      <c r="AB398" s="170">
        <f t="shared" si="212"/>
        <v>1273615500.0625</v>
      </c>
      <c r="AD398" s="686">
        <f t="shared" si="213"/>
        <v>33.503996859629204</v>
      </c>
      <c r="AE398" s="687">
        <f t="shared" si="214"/>
        <v>-56.54840914884106</v>
      </c>
      <c r="AG398" s="686">
        <f t="shared" si="215"/>
        <v>4.8358308159086629</v>
      </c>
      <c r="AH398" s="687">
        <f t="shared" si="216"/>
        <v>-53.59452678918705</v>
      </c>
      <c r="AJ398" s="170">
        <f t="shared" si="217"/>
        <v>0</v>
      </c>
      <c r="AK398" s="170">
        <f t="shared" si="197"/>
        <v>0</v>
      </c>
      <c r="AM398" s="170" t="str">
        <f t="shared" ref="AM398:AM461" si="221">IMSUB(1,IMEXP(COMPLEX(0,-2*Pi*G398*Tsw)))</f>
        <v>0.563121694388499+0.899520620156105i</v>
      </c>
      <c r="AN398" s="170" t="str">
        <f t="shared" ref="AN398:AN461" si="222">COMPLEX(0, 2*Pi*G398*Tsw)</f>
        <v>1.11867098781649i</v>
      </c>
      <c r="AO398" s="170" t="str">
        <f t="shared" ref="AO398:AO461" si="223">IMDIV(AM398, AN398)</f>
        <v>0.804097567517917-0.503384552313853i</v>
      </c>
      <c r="AP398" s="170" t="str">
        <f t="shared" ref="AP398:AP461" si="224">IMDIV(IMEXP(COMPLEX(0,-2*Pi*G398*Tsw)),6)</f>
        <v>0.0728130509352502-0.149920103359351i</v>
      </c>
      <c r="AQ398" s="170" t="str">
        <f t="shared" ref="AQ398:AQ461" si="225">IMSUB(1, AP398)</f>
        <v>0.92718694906475+0.149920103359351i</v>
      </c>
      <c r="AR398" s="170" t="str">
        <f t="shared" ref="AR398:AR461" si="226">IMDIV(0.833, AQ398)</f>
        <v>0.875526000420043-0.141566863736782i</v>
      </c>
    </row>
    <row r="399" spans="7:44">
      <c r="G399" s="688">
        <v>35894.5</v>
      </c>
      <c r="H399" s="676">
        <f t="shared" si="218"/>
        <v>35.894500000000001</v>
      </c>
      <c r="I399" s="677">
        <f t="shared" si="198"/>
        <v>442.47359778209062</v>
      </c>
      <c r="J399" s="678">
        <f t="shared" si="199"/>
        <v>1.5685363030187942</v>
      </c>
      <c r="K399" s="678">
        <f t="shared" si="200"/>
        <v>1.0053670709436693</v>
      </c>
      <c r="L399" s="679">
        <f t="shared" si="201"/>
        <v>0.10337481152350876</v>
      </c>
      <c r="M399" s="678">
        <f t="shared" si="202"/>
        <v>1.0183987362546352</v>
      </c>
      <c r="N399" s="679">
        <f t="shared" si="203"/>
        <v>-0.19037332182108085</v>
      </c>
      <c r="O399" s="677">
        <f t="shared" si="204"/>
        <v>405957.23055276176</v>
      </c>
      <c r="P399" s="680">
        <f t="shared" si="205"/>
        <v>1.5707938634812155</v>
      </c>
      <c r="Q399" s="689">
        <f t="shared" si="195"/>
        <v>192.15569120202284</v>
      </c>
      <c r="R399" s="690">
        <f t="shared" si="196"/>
        <v>1.5655921899431655</v>
      </c>
      <c r="S399" s="677">
        <f t="shared" si="206"/>
        <v>1.8071039334147614</v>
      </c>
      <c r="T399" s="680">
        <f t="shared" si="207"/>
        <v>0.98438964554845354</v>
      </c>
      <c r="U399" s="681">
        <f t="shared" si="219"/>
        <v>0.83992350453674813</v>
      </c>
      <c r="V399" s="682">
        <f t="shared" si="220"/>
        <v>-0.72320887194479277</v>
      </c>
      <c r="W399" s="683">
        <f t="shared" si="208"/>
        <v>-19.850304437021681</v>
      </c>
      <c r="X399" s="684">
        <f t="shared" si="209"/>
        <v>-192.99137995582566</v>
      </c>
      <c r="Y399" s="687">
        <f t="shared" si="210"/>
        <v>-12.991379955825664</v>
      </c>
      <c r="AA399" s="170">
        <f t="shared" si="211"/>
        <v>35894.5</v>
      </c>
      <c r="AB399" s="170">
        <f t="shared" si="212"/>
        <v>1288415130.25</v>
      </c>
      <c r="AD399" s="686">
        <f t="shared" si="213"/>
        <v>33.469246891881362</v>
      </c>
      <c r="AE399" s="687">
        <f t="shared" si="214"/>
        <v>-56.699406091229115</v>
      </c>
      <c r="AG399" s="686">
        <f t="shared" si="215"/>
        <v>4.8029218517678434</v>
      </c>
      <c r="AH399" s="687">
        <f t="shared" si="216"/>
        <v>-53.418341632191947</v>
      </c>
      <c r="AJ399" s="170">
        <f t="shared" si="217"/>
        <v>0</v>
      </c>
      <c r="AK399" s="170">
        <f t="shared" si="197"/>
        <v>0</v>
      </c>
      <c r="AM399" s="170" t="str">
        <f t="shared" si="221"/>
        <v>0.568960442825201+0.902333031729723i</v>
      </c>
      <c r="AN399" s="170" t="str">
        <f t="shared" si="222"/>
        <v>1.12515178940054i</v>
      </c>
      <c r="AO399" s="170" t="str">
        <f t="shared" si="223"/>
        <v>0.80196560164604-0.505674388278165i</v>
      </c>
      <c r="AP399" s="170" t="str">
        <f t="shared" si="224"/>
        <v>0.0718399261957998-0.150388838621621i</v>
      </c>
      <c r="AQ399" s="170" t="str">
        <f t="shared" si="225"/>
        <v>0.9281600738042+0.150388838621621i</v>
      </c>
      <c r="AR399" s="170" t="str">
        <f t="shared" si="226"/>
        <v>0.874515502500676-0.141696862954508i</v>
      </c>
    </row>
    <row r="400" spans="7:44">
      <c r="G400" s="688">
        <v>36101.25</v>
      </c>
      <c r="H400" s="676">
        <f t="shared" si="218"/>
        <v>36.10125</v>
      </c>
      <c r="I400" s="677">
        <f t="shared" si="198"/>
        <v>445.02220412623541</v>
      </c>
      <c r="J400" s="678">
        <f t="shared" si="199"/>
        <v>1.5685492460149029</v>
      </c>
      <c r="K400" s="678">
        <f t="shared" si="200"/>
        <v>1.0054289095608058</v>
      </c>
      <c r="L400" s="679">
        <f t="shared" si="201"/>
        <v>0.10396597448751831</v>
      </c>
      <c r="M400" s="678">
        <f t="shared" si="202"/>
        <v>1.0186093558467693</v>
      </c>
      <c r="N400" s="679">
        <f t="shared" si="203"/>
        <v>-0.19144333631422616</v>
      </c>
      <c r="O400" s="677">
        <f t="shared" si="204"/>
        <v>408295.51796214964</v>
      </c>
      <c r="P400" s="680">
        <f t="shared" si="205"/>
        <v>1.570793877588486</v>
      </c>
      <c r="Q400" s="689">
        <f t="shared" si="195"/>
        <v>193.26246567405764</v>
      </c>
      <c r="R400" s="690">
        <f t="shared" si="196"/>
        <v>1.565621993233467</v>
      </c>
      <c r="S400" s="677">
        <f t="shared" si="206"/>
        <v>1.8143316938435059</v>
      </c>
      <c r="T400" s="680">
        <f t="shared" si="207"/>
        <v>0.98703395499310809</v>
      </c>
      <c r="U400" s="681">
        <f t="shared" si="219"/>
        <v>0.8384753504149961</v>
      </c>
      <c r="V400" s="682">
        <f t="shared" si="220"/>
        <v>-0.72676833982436939</v>
      </c>
      <c r="W400" s="683">
        <f t="shared" si="208"/>
        <v>-19.947521554912417</v>
      </c>
      <c r="X400" s="684">
        <f t="shared" si="209"/>
        <v>-193.37330117020079</v>
      </c>
      <c r="Y400" s="687">
        <f t="shared" si="210"/>
        <v>-13.37330117020079</v>
      </c>
      <c r="AA400" s="170">
        <f t="shared" si="211"/>
        <v>36101.25</v>
      </c>
      <c r="AB400" s="170">
        <f t="shared" si="212"/>
        <v>1303300251.5625</v>
      </c>
      <c r="AD400" s="686">
        <f t="shared" si="213"/>
        <v>33.434574429553223</v>
      </c>
      <c r="AE400" s="687">
        <f t="shared" si="214"/>
        <v>-56.849207067842748</v>
      </c>
      <c r="AG400" s="686">
        <f t="shared" si="215"/>
        <v>4.7703545998830883</v>
      </c>
      <c r="AH400" s="687">
        <f t="shared" si="216"/>
        <v>-53.242576895863131</v>
      </c>
      <c r="AJ400" s="170">
        <f t="shared" si="217"/>
        <v>0</v>
      </c>
      <c r="AK400" s="170">
        <f t="shared" si="197"/>
        <v>0</v>
      </c>
      <c r="AM400" s="170" t="str">
        <f t="shared" si="221"/>
        <v>0.574817295200103+0.90510754473656i</v>
      </c>
      <c r="AN400" s="170" t="str">
        <f t="shared" si="222"/>
        <v>1.13163259098459i</v>
      </c>
      <c r="AO400" s="170" t="str">
        <f t="shared" si="223"/>
        <v>0.799824564922667-0.50795399476784i</v>
      </c>
      <c r="AP400" s="170" t="str">
        <f t="shared" si="224"/>
        <v>0.0708637841333162-0.150851257456093i</v>
      </c>
      <c r="AQ400" s="170" t="str">
        <f t="shared" si="225"/>
        <v>0.929136215866684+0.150851257456093i</v>
      </c>
      <c r="AR400" s="170" t="str">
        <f t="shared" si="226"/>
        <v>0.873506331254032-0.141819386883566i</v>
      </c>
    </row>
    <row r="401" spans="7:44">
      <c r="G401" s="688">
        <v>36308</v>
      </c>
      <c r="H401" s="676">
        <f t="shared" si="218"/>
        <v>36.308</v>
      </c>
      <c r="I401" s="677">
        <f t="shared" si="198"/>
        <v>447.57081054408189</v>
      </c>
      <c r="J401" s="678">
        <f t="shared" si="199"/>
        <v>1.5685620416081796</v>
      </c>
      <c r="K401" s="678">
        <f t="shared" si="200"/>
        <v>1.0054910995055626</v>
      </c>
      <c r="L401" s="679">
        <f t="shared" si="201"/>
        <v>0.10455706453084181</v>
      </c>
      <c r="M401" s="678">
        <f t="shared" si="202"/>
        <v>1.0188211411933796</v>
      </c>
      <c r="N401" s="679">
        <f t="shared" si="203"/>
        <v>-0.19251290717741473</v>
      </c>
      <c r="O401" s="677">
        <f t="shared" si="204"/>
        <v>410633.80537153769</v>
      </c>
      <c r="P401" s="680">
        <f t="shared" si="205"/>
        <v>1.5707938915350936</v>
      </c>
      <c r="Q401" s="689">
        <f t="shared" si="195"/>
        <v>194.36924031580023</v>
      </c>
      <c r="R401" s="690">
        <f t="shared" si="196"/>
        <v>1.5656514571128273</v>
      </c>
      <c r="S401" s="677">
        <f t="shared" si="206"/>
        <v>1.8215720400270516</v>
      </c>
      <c r="T401" s="680">
        <f t="shared" si="207"/>
        <v>0.98965726156868417</v>
      </c>
      <c r="U401" s="681">
        <f t="shared" si="219"/>
        <v>0.83702579224621099</v>
      </c>
      <c r="V401" s="682">
        <f t="shared" si="220"/>
        <v>-0.7303199616129159</v>
      </c>
      <c r="W401" s="683">
        <f t="shared" si="208"/>
        <v>-20.044403848901545</v>
      </c>
      <c r="X401" s="684">
        <f t="shared" si="209"/>
        <v>-193.75355921288883</v>
      </c>
      <c r="Y401" s="687">
        <f t="shared" si="210"/>
        <v>-13.753559212888831</v>
      </c>
      <c r="AA401" s="170">
        <f t="shared" si="211"/>
        <v>36308</v>
      </c>
      <c r="AB401" s="170">
        <f t="shared" si="212"/>
        <v>1318270864</v>
      </c>
      <c r="AD401" s="686">
        <f t="shared" si="213"/>
        <v>33.399979821912488</v>
      </c>
      <c r="AE401" s="687">
        <f t="shared" si="214"/>
        <v>-56.997824106308322</v>
      </c>
      <c r="AG401" s="686">
        <f t="shared" si="215"/>
        <v>4.738125276608887</v>
      </c>
      <c r="AH401" s="687">
        <f t="shared" si="216"/>
        <v>-53.067232021799697</v>
      </c>
      <c r="AJ401" s="170">
        <f t="shared" si="217"/>
        <v>0</v>
      </c>
      <c r="AK401" s="170">
        <f t="shared" si="197"/>
        <v>0</v>
      </c>
      <c r="AM401" s="170" t="str">
        <f t="shared" si="221"/>
        <v>0.580692005521636+0.907844042645284i</v>
      </c>
      <c r="AN401" s="170" t="str">
        <f t="shared" si="222"/>
        <v>1.13811339256863i</v>
      </c>
      <c r="AO401" s="170" t="str">
        <f t="shared" si="223"/>
        <v>0.797674509915355-0.510223330393346i</v>
      </c>
      <c r="AP401" s="170" t="str">
        <f t="shared" si="224"/>
        <v>0.069884665746394-0.151307340440881i</v>
      </c>
      <c r="AQ401" s="170" t="str">
        <f t="shared" si="225"/>
        <v>0.930115334253606+0.151307340440881i</v>
      </c>
      <c r="AR401" s="170" t="str">
        <f t="shared" si="226"/>
        <v>0.872498540610278-0.141934477216452i</v>
      </c>
    </row>
    <row r="402" spans="7:44">
      <c r="G402" s="688">
        <v>36519.5</v>
      </c>
      <c r="H402" s="676">
        <f t="shared" si="218"/>
        <v>36.519500000000001</v>
      </c>
      <c r="I402" s="677">
        <f t="shared" si="198"/>
        <v>450.17797026776577</v>
      </c>
      <c r="J402" s="678">
        <f t="shared" si="199"/>
        <v>1.5685749812639243</v>
      </c>
      <c r="K402" s="678">
        <f t="shared" si="200"/>
        <v>1.0055550816996546</v>
      </c>
      <c r="L402" s="679">
        <f t="shared" si="201"/>
        <v>0.10516165876619664</v>
      </c>
      <c r="M402" s="678">
        <f t="shared" si="202"/>
        <v>1.019038997703509</v>
      </c>
      <c r="N402" s="679">
        <f t="shared" si="203"/>
        <v>-0.19360658971320349</v>
      </c>
      <c r="O402" s="677">
        <f t="shared" si="204"/>
        <v>413025.81401524058</v>
      </c>
      <c r="P402" s="680">
        <f t="shared" si="205"/>
        <v>1.5707939056387217</v>
      </c>
      <c r="Q402" s="689">
        <f t="shared" si="195"/>
        <v>195.50144284258494</v>
      </c>
      <c r="R402" s="690">
        <f t="shared" si="196"/>
        <v>1.565681252726199</v>
      </c>
      <c r="S402" s="677">
        <f t="shared" si="206"/>
        <v>1.8289915972800215</v>
      </c>
      <c r="T402" s="680">
        <f t="shared" si="207"/>
        <v>0.99231932802492961</v>
      </c>
      <c r="U402" s="681">
        <f t="shared" si="219"/>
        <v>0.83554154260182623</v>
      </c>
      <c r="V402" s="682">
        <f t="shared" si="220"/>
        <v>-0.73394507338119153</v>
      </c>
      <c r="W402" s="683">
        <f t="shared" si="208"/>
        <v>-20.143168070468633</v>
      </c>
      <c r="X402" s="684">
        <f t="shared" si="209"/>
        <v>-194.14084571891371</v>
      </c>
      <c r="Y402" s="687">
        <f t="shared" si="210"/>
        <v>-14.14084571891371</v>
      </c>
      <c r="AA402" s="170">
        <f t="shared" si="211"/>
        <v>36519.5</v>
      </c>
      <c r="AB402" s="170">
        <f t="shared" si="212"/>
        <v>1333673880.25</v>
      </c>
      <c r="AD402" s="686">
        <f t="shared" si="213"/>
        <v>33.364671319473707</v>
      </c>
      <c r="AE402" s="687">
        <f t="shared" si="214"/>
        <v>-57.148642924391055</v>
      </c>
      <c r="AG402" s="686">
        <f t="shared" si="215"/>
        <v>4.7055012776080458</v>
      </c>
      <c r="AH402" s="687">
        <f t="shared" si="216"/>
        <v>-52.888292500096441</v>
      </c>
      <c r="AJ402" s="170">
        <f t="shared" si="217"/>
        <v>0</v>
      </c>
      <c r="AK402" s="170">
        <f t="shared" si="197"/>
        <v>0</v>
      </c>
      <c r="AM402" s="170" t="str">
        <f t="shared" si="221"/>
        <v>0.58671990581317+0.910603955487195i</v>
      </c>
      <c r="AN402" s="170" t="str">
        <f t="shared" si="222"/>
        <v>1.14474308802221i</v>
      </c>
      <c r="AO402" s="170" t="str">
        <f t="shared" si="223"/>
        <v>0.795465781811759-0.512534132725671i</v>
      </c>
      <c r="AP402" s="170" t="str">
        <f t="shared" si="224"/>
        <v>0.068880015697805-0.151767325914532i</v>
      </c>
      <c r="AQ402" s="170" t="str">
        <f t="shared" si="225"/>
        <v>0.931119984302195+0.151767325914532i</v>
      </c>
      <c r="AR402" s="170" t="str">
        <f t="shared" si="226"/>
        <v>0.871469080337507-0.142044563718756i</v>
      </c>
    </row>
    <row r="403" spans="7:44">
      <c r="G403" s="688">
        <v>36731</v>
      </c>
      <c r="H403" s="676">
        <f t="shared" si="218"/>
        <v>36.731000000000002</v>
      </c>
      <c r="I403" s="677">
        <f t="shared" si="198"/>
        <v>452.78513006595705</v>
      </c>
      <c r="J403" s="678">
        <f t="shared" si="199"/>
        <v>1.5685877719052799</v>
      </c>
      <c r="K403" s="678">
        <f t="shared" si="200"/>
        <v>1.0056194314116578</v>
      </c>
      <c r="L403" s="679">
        <f t="shared" si="201"/>
        <v>0.10576617584637958</v>
      </c>
      <c r="M403" s="678">
        <f t="shared" si="202"/>
        <v>1.0192580726065501</v>
      </c>
      <c r="N403" s="679">
        <f t="shared" si="203"/>
        <v>-0.19469980341341547</v>
      </c>
      <c r="O403" s="677">
        <f t="shared" si="204"/>
        <v>415417.82265894365</v>
      </c>
      <c r="P403" s="680">
        <f t="shared" si="205"/>
        <v>1.5707939195799303</v>
      </c>
      <c r="Q403" s="689">
        <f t="shared" si="195"/>
        <v>196.63364554093292</v>
      </c>
      <c r="R403" s="690">
        <f t="shared" si="196"/>
        <v>1.565710705217505</v>
      </c>
      <c r="S403" s="677">
        <f t="shared" si="206"/>
        <v>1.8364240110742882</v>
      </c>
      <c r="T403" s="680">
        <f t="shared" si="207"/>
        <v>0.99495986512523105</v>
      </c>
      <c r="U403" s="681">
        <f t="shared" si="219"/>
        <v>0.83405595366346974</v>
      </c>
      <c r="V403" s="682">
        <f t="shared" si="220"/>
        <v>-0.7375619980193423</v>
      </c>
      <c r="W403" s="683">
        <f t="shared" si="208"/>
        <v>-20.241587039754421</v>
      </c>
      <c r="X403" s="684">
        <f t="shared" si="209"/>
        <v>-194.52641826631361</v>
      </c>
      <c r="Y403" s="687">
        <f t="shared" si="210"/>
        <v>-14.526418266313613</v>
      </c>
      <c r="AA403" s="170">
        <f t="shared" si="211"/>
        <v>36731</v>
      </c>
      <c r="AB403" s="170">
        <f t="shared" si="212"/>
        <v>1349166361</v>
      </c>
      <c r="AD403" s="686">
        <f t="shared" si="213"/>
        <v>33.329444969923038</v>
      </c>
      <c r="AE403" s="687">
        <f t="shared" si="214"/>
        <v>-57.298247851381404</v>
      </c>
      <c r="AG403" s="686">
        <f t="shared" si="215"/>
        <v>4.673223090843357</v>
      </c>
      <c r="AH403" s="687">
        <f t="shared" si="216"/>
        <v>-52.709791086866467</v>
      </c>
      <c r="AJ403" s="170">
        <f t="shared" si="217"/>
        <v>0</v>
      </c>
      <c r="AK403" s="170">
        <f t="shared" si="197"/>
        <v>0</v>
      </c>
      <c r="AM403" s="170" t="str">
        <f t="shared" si="221"/>
        <v>0.592765970881029+0.913323844825881i</v>
      </c>
      <c r="AN403" s="170" t="str">
        <f t="shared" si="222"/>
        <v>1.15137278347578i</v>
      </c>
      <c r="AO403" s="170" t="str">
        <f t="shared" si="223"/>
        <v>0.793247728219462-0.51483410011793i</v>
      </c>
      <c r="AP403" s="170" t="str">
        <f t="shared" si="224"/>
        <v>0.0678723381864952-0.152220640804313i</v>
      </c>
      <c r="AQ403" s="170" t="str">
        <f t="shared" si="225"/>
        <v>0.932127661813505+0.152220640804313i</v>
      </c>
      <c r="AR403" s="170" t="str">
        <f t="shared" si="226"/>
        <v>0.870441176530181-0.142146960230855i</v>
      </c>
    </row>
    <row r="404" spans="7:44">
      <c r="G404" s="688">
        <v>36942.5</v>
      </c>
      <c r="H404" s="676">
        <f t="shared" si="218"/>
        <v>36.942500000000003</v>
      </c>
      <c r="I404" s="677">
        <f t="shared" si="198"/>
        <v>455.39228993737601</v>
      </c>
      <c r="J404" s="678">
        <f t="shared" si="199"/>
        <v>1.5686004160916025</v>
      </c>
      <c r="K404" s="678">
        <f t="shared" si="200"/>
        <v>1.005684148571024</v>
      </c>
      <c r="L404" s="679">
        <f t="shared" si="201"/>
        <v>0.10637061534441324</v>
      </c>
      <c r="M404" s="678">
        <f t="shared" si="202"/>
        <v>1.0194783651170438</v>
      </c>
      <c r="N404" s="679">
        <f t="shared" si="203"/>
        <v>-0.19579254596810486</v>
      </c>
      <c r="O404" s="677">
        <f t="shared" si="204"/>
        <v>417809.83130264678</v>
      </c>
      <c r="P404" s="680">
        <f t="shared" si="205"/>
        <v>1.5707939333615089</v>
      </c>
      <c r="Q404" s="689">
        <f t="shared" si="195"/>
        <v>197.76584840789758</v>
      </c>
      <c r="R404" s="690">
        <f t="shared" si="196"/>
        <v>1.565739820479781</v>
      </c>
      <c r="S404" s="677">
        <f t="shared" si="206"/>
        <v>1.8438691259403615</v>
      </c>
      <c r="T404" s="680">
        <f t="shared" si="207"/>
        <v>0.99757909661547739</v>
      </c>
      <c r="U404" s="681">
        <f t="shared" si="219"/>
        <v>0.83256909017036906</v>
      </c>
      <c r="V404" s="682">
        <f t="shared" si="220"/>
        <v>-0.74117074813534556</v>
      </c>
      <c r="W404" s="683">
        <f t="shared" si="208"/>
        <v>-20.33966329894551</v>
      </c>
      <c r="X404" s="684">
        <f t="shared" si="209"/>
        <v>-194.91029009843524</v>
      </c>
      <c r="Y404" s="687">
        <f t="shared" si="210"/>
        <v>-14.91029009843524</v>
      </c>
      <c r="AA404" s="170">
        <f t="shared" si="211"/>
        <v>36942.5</v>
      </c>
      <c r="AB404" s="170">
        <f t="shared" si="212"/>
        <v>1364748306.25</v>
      </c>
      <c r="AD404" s="686">
        <f t="shared" si="213"/>
        <v>33.29430108776026</v>
      </c>
      <c r="AE404" s="687">
        <f t="shared" si="214"/>
        <v>-57.446651369488329</v>
      </c>
      <c r="AG404" s="686">
        <f t="shared" si="215"/>
        <v>4.6412868534256049</v>
      </c>
      <c r="AH404" s="687">
        <f t="shared" si="216"/>
        <v>-52.53172709848004</v>
      </c>
      <c r="AJ404" s="170">
        <f t="shared" si="217"/>
        <v>0</v>
      </c>
      <c r="AK404" s="170">
        <f t="shared" si="197"/>
        <v>0</v>
      </c>
      <c r="AM404" s="170" t="str">
        <f t="shared" si="221"/>
        <v>0.598829934984334+0.916003591114864i</v>
      </c>
      <c r="AN404" s="170" t="str">
        <f t="shared" si="222"/>
        <v>1.15800247892935i</v>
      </c>
      <c r="AO404" s="170" t="str">
        <f t="shared" si="223"/>
        <v>0.791020406071816-0.517123189181764i</v>
      </c>
      <c r="AP404" s="170" t="str">
        <f t="shared" si="224"/>
        <v>0.066861677502611-0.152667265185811i</v>
      </c>
      <c r="AQ404" s="170" t="str">
        <f t="shared" si="225"/>
        <v>0.933138322497389+0.152667265185811i</v>
      </c>
      <c r="AR404" s="170" t="str">
        <f t="shared" si="226"/>
        <v>0.869414884420373-0.142241712205178i</v>
      </c>
    </row>
    <row r="405" spans="7:44">
      <c r="G405" s="688">
        <v>37154</v>
      </c>
      <c r="H405" s="676">
        <f t="shared" si="218"/>
        <v>37.154000000000003</v>
      </c>
      <c r="I405" s="677">
        <f t="shared" si="198"/>
        <v>457.99944988077215</v>
      </c>
      <c r="J405" s="678">
        <f t="shared" si="199"/>
        <v>1.5686129163239722</v>
      </c>
      <c r="K405" s="678">
        <f t="shared" si="200"/>
        <v>1.0057492331068203</v>
      </c>
      <c r="L405" s="679">
        <f t="shared" si="201"/>
        <v>0.1069749768336566</v>
      </c>
      <c r="M405" s="678">
        <f t="shared" si="202"/>
        <v>1.0196998744458474</v>
      </c>
      <c r="N405" s="679">
        <f t="shared" si="203"/>
        <v>-0.19688481507381708</v>
      </c>
      <c r="O405" s="677">
        <f t="shared" si="204"/>
        <v>420201.83994635002</v>
      </c>
      <c r="P405" s="680">
        <f t="shared" si="205"/>
        <v>1.5707939469861834</v>
      </c>
      <c r="Q405" s="689">
        <f t="shared" si="195"/>
        <v>198.89805144059946</v>
      </c>
      <c r="R405" s="690">
        <f t="shared" si="196"/>
        <v>1.5657686042718832</v>
      </c>
      <c r="S405" s="677">
        <f t="shared" si="206"/>
        <v>1.8513267886460807</v>
      </c>
      <c r="T405" s="680">
        <f t="shared" si="207"/>
        <v>1.00017724381486</v>
      </c>
      <c r="U405" s="681">
        <f t="shared" si="219"/>
        <v>0.83108101618683505</v>
      </c>
      <c r="V405" s="682">
        <f t="shared" si="220"/>
        <v>-0.74477133677342544</v>
      </c>
      <c r="W405" s="683">
        <f t="shared" si="208"/>
        <v>-20.437399355287237</v>
      </c>
      <c r="X405" s="684">
        <f t="shared" si="209"/>
        <v>-195.29247434927927</v>
      </c>
      <c r="Y405" s="687">
        <f t="shared" si="210"/>
        <v>-15.292474349279274</v>
      </c>
      <c r="AA405" s="170">
        <f t="shared" si="211"/>
        <v>37154</v>
      </c>
      <c r="AB405" s="170">
        <f t="shared" si="212"/>
        <v>1380419716</v>
      </c>
      <c r="AD405" s="686">
        <f t="shared" si="213"/>
        <v>33.259239968537166</v>
      </c>
      <c r="AE405" s="687">
        <f t="shared" si="214"/>
        <v>-57.593865829565402</v>
      </c>
      <c r="AG405" s="686">
        <f t="shared" si="215"/>
        <v>4.6096887630354377</v>
      </c>
      <c r="AH405" s="687">
        <f t="shared" si="216"/>
        <v>-52.35409982332601</v>
      </c>
      <c r="AJ405" s="170">
        <f t="shared" si="217"/>
        <v>0</v>
      </c>
      <c r="AK405" s="170">
        <f t="shared" si="197"/>
        <v>0</v>
      </c>
      <c r="AM405" s="170" t="str">
        <f t="shared" si="221"/>
        <v>0.604911531595484+0.918643076572057i</v>
      </c>
      <c r="AN405" s="170" t="str">
        <f t="shared" si="222"/>
        <v>1.16463217438292i</v>
      </c>
      <c r="AO405" s="170" t="str">
        <f t="shared" si="223"/>
        <v>0.788783872520781-0.519401356841267i</v>
      </c>
      <c r="AP405" s="170" t="str">
        <f t="shared" si="224"/>
        <v>0.0658480780674193-0.153107179428676i</v>
      </c>
      <c r="AQ405" s="170" t="str">
        <f t="shared" si="225"/>
        <v>0.934151921932581+0.153107179428676i</v>
      </c>
      <c r="AR405" s="170" t="str">
        <f t="shared" si="226"/>
        <v>0.868390258404281-0.14232886534404i</v>
      </c>
    </row>
    <row r="406" spans="7:44">
      <c r="G406" s="688">
        <v>37370.25</v>
      </c>
      <c r="H406" s="676">
        <f t="shared" si="218"/>
        <v>37.370249999999999</v>
      </c>
      <c r="I406" s="677">
        <f t="shared" si="198"/>
        <v>460.66516313481475</v>
      </c>
      <c r="J406" s="678">
        <f t="shared" si="199"/>
        <v>1.5686255510006659</v>
      </c>
      <c r="K406" s="678">
        <f t="shared" si="200"/>
        <v>1.0058161591229953</v>
      </c>
      <c r="L406" s="679">
        <f t="shared" si="201"/>
        <v>0.10759283035278414</v>
      </c>
      <c r="M406" s="678">
        <f t="shared" si="202"/>
        <v>1.0199276158618618</v>
      </c>
      <c r="N406" s="679">
        <f t="shared" si="203"/>
        <v>-0.19800112313542928</v>
      </c>
      <c r="O406" s="677">
        <f t="shared" si="204"/>
        <v>422647.56982436805</v>
      </c>
      <c r="P406" s="680">
        <f t="shared" si="205"/>
        <v>1.5707939607573953</v>
      </c>
      <c r="Q406" s="689">
        <f t="shared" si="195"/>
        <v>200.05568236941724</v>
      </c>
      <c r="R406" s="690">
        <f t="shared" si="196"/>
        <v>1.5657976976504977</v>
      </c>
      <c r="S406" s="677">
        <f t="shared" si="206"/>
        <v>1.8589647566341234</v>
      </c>
      <c r="T406" s="680">
        <f t="shared" si="207"/>
        <v>1.0028121699625414</v>
      </c>
      <c r="U406" s="681">
        <f t="shared" si="219"/>
        <v>0.82955833655511557</v>
      </c>
      <c r="V406" s="682">
        <f t="shared" si="220"/>
        <v>-0.74844436525364877</v>
      </c>
      <c r="W406" s="683">
        <f t="shared" si="208"/>
        <v>-20.53698125604539</v>
      </c>
      <c r="X406" s="684">
        <f t="shared" si="209"/>
        <v>-195.68151064370221</v>
      </c>
      <c r="Y406" s="687">
        <f t="shared" si="210"/>
        <v>-15.681510643702211</v>
      </c>
      <c r="AA406" s="170">
        <f t="shared" si="211"/>
        <v>37370.25</v>
      </c>
      <c r="AB406" s="170">
        <f t="shared" si="212"/>
        <v>1396535585.0625</v>
      </c>
      <c r="AD406" s="686">
        <f t="shared" si="213"/>
        <v>33.223477285147396</v>
      </c>
      <c r="AE406" s="687">
        <f t="shared" si="214"/>
        <v>-57.74316983855276</v>
      </c>
      <c r="AG406" s="686">
        <f t="shared" si="215"/>
        <v>4.57772674794266</v>
      </c>
      <c r="AH406" s="687">
        <f t="shared" si="216"/>
        <v>-52.172934048384406</v>
      </c>
      <c r="AJ406" s="170">
        <f t="shared" si="217"/>
        <v>0</v>
      </c>
      <c r="AK406" s="170">
        <f t="shared" si="197"/>
        <v>0</v>
      </c>
      <c r="AM406" s="170" t="str">
        <f t="shared" si="221"/>
        <v>0.611147665036931+0.921300093125888i</v>
      </c>
      <c r="AN406" s="170" t="str">
        <f t="shared" si="222"/>
        <v>1.17141076370602i</v>
      </c>
      <c r="AO406" s="170" t="str">
        <f t="shared" si="223"/>
        <v>0.786487645214347-0.521719352401568i</v>
      </c>
      <c r="AP406" s="170" t="str">
        <f t="shared" si="224"/>
        <v>0.0648087224938448-0.153550015520981i</v>
      </c>
      <c r="AQ406" s="170" t="str">
        <f t="shared" si="225"/>
        <v>0.935191277506155+0.153550015520981i</v>
      </c>
      <c r="AR406" s="170" t="str">
        <f t="shared" si="226"/>
        <v>0.867344399126-0.142410166937166i</v>
      </c>
    </row>
    <row r="407" spans="7:44">
      <c r="G407" s="688">
        <v>37586.5</v>
      </c>
      <c r="H407" s="676">
        <f t="shared" si="218"/>
        <v>37.586500000000001</v>
      </c>
      <c r="I407" s="677">
        <f t="shared" si="198"/>
        <v>463.33087646154951</v>
      </c>
      <c r="J407" s="678">
        <f t="shared" si="199"/>
        <v>1.568638040293457</v>
      </c>
      <c r="K407" s="678">
        <f t="shared" si="200"/>
        <v>1.0058834690512397</v>
      </c>
      <c r="L407" s="679">
        <f t="shared" si="201"/>
        <v>0.10821060141886045</v>
      </c>
      <c r="M407" s="678">
        <f t="shared" si="202"/>
        <v>1.0201566276858436</v>
      </c>
      <c r="N407" s="679">
        <f t="shared" si="203"/>
        <v>-0.19911693139385264</v>
      </c>
      <c r="O407" s="677">
        <f t="shared" si="204"/>
        <v>425093.29970238626</v>
      </c>
      <c r="P407" s="680">
        <f t="shared" si="205"/>
        <v>1.5707939743701449</v>
      </c>
      <c r="Q407" s="689">
        <f t="shared" ref="Q407:Q470" si="227">SQRT(1+(G407/Zero2)^2)</f>
        <v>201.21331346561871</v>
      </c>
      <c r="R407" s="690">
        <f t="shared" ref="R407:R470" si="228">ATAN(G407/Zero2)</f>
        <v>1.5658264562660018</v>
      </c>
      <c r="S407" s="677">
        <f t="shared" si="206"/>
        <v>1.8666155254336034</v>
      </c>
      <c r="T407" s="680">
        <f t="shared" si="207"/>
        <v>1.0054255143844386</v>
      </c>
      <c r="U407" s="681">
        <f t="shared" si="219"/>
        <v>0.82803452474489747</v>
      </c>
      <c r="V407" s="682">
        <f t="shared" si="220"/>
        <v>-0.75210889049503771</v>
      </c>
      <c r="W407" s="683">
        <f t="shared" si="208"/>
        <v>-20.636212694111752</v>
      </c>
      <c r="X407" s="684">
        <f t="shared" si="209"/>
        <v>-196.06881012577244</v>
      </c>
      <c r="Y407" s="687">
        <f t="shared" si="210"/>
        <v>-16.068810125772444</v>
      </c>
      <c r="AA407" s="170">
        <f t="shared" si="211"/>
        <v>37586.5</v>
      </c>
      <c r="AB407" s="170">
        <f t="shared" si="212"/>
        <v>1412744982.25</v>
      </c>
      <c r="AD407" s="686">
        <f t="shared" si="213"/>
        <v>33.187801690429993</v>
      </c>
      <c r="AE407" s="687">
        <f t="shared" si="214"/>
        <v>-57.891256477170799</v>
      </c>
      <c r="AG407" s="686">
        <f t="shared" si="215"/>
        <v>4.5461103880464355</v>
      </c>
      <c r="AH407" s="687">
        <f t="shared" si="216"/>
        <v>-51.992223230855231</v>
      </c>
      <c r="AJ407" s="170">
        <f t="shared" si="217"/>
        <v>0</v>
      </c>
      <c r="AK407" s="170">
        <f t="shared" ref="AK407:AK470" si="229">IF(AJ407&gt;0,Y407,0)</f>
        <v>0</v>
      </c>
      <c r="AM407" s="170" t="str">
        <f t="shared" si="221"/>
        <v>0.617401665892131+0.923914776772124i</v>
      </c>
      <c r="AN407" s="170" t="str">
        <f t="shared" si="222"/>
        <v>1.17818935302911i</v>
      </c>
      <c r="AO407" s="170" t="str">
        <f t="shared" si="223"/>
        <v>0.784181909636809-0.524025840417586i</v>
      </c>
      <c r="AP407" s="170" t="str">
        <f t="shared" si="224"/>
        <v>0.0637663890179782-0.153985796128687i</v>
      </c>
      <c r="AQ407" s="170" t="str">
        <f t="shared" si="225"/>
        <v>0.936233610982022+0.153985796128687i</v>
      </c>
      <c r="AR407" s="170" t="str">
        <f t="shared" si="226"/>
        <v>0.866300393972401-0.142483621916237i</v>
      </c>
    </row>
    <row r="408" spans="7:44">
      <c r="G408" s="688">
        <v>37802.75</v>
      </c>
      <c r="H408" s="676">
        <f t="shared" si="218"/>
        <v>37.802750000000003</v>
      </c>
      <c r="I408" s="677">
        <f t="shared" si="198"/>
        <v>465.99658985972883</v>
      </c>
      <c r="J408" s="678">
        <f t="shared" si="199"/>
        <v>1.568650386697328</v>
      </c>
      <c r="K408" s="678">
        <f t="shared" si="200"/>
        <v>1.0059511628144895</v>
      </c>
      <c r="L408" s="679">
        <f t="shared" si="201"/>
        <v>0.10882828957695065</v>
      </c>
      <c r="M408" s="678">
        <f t="shared" si="202"/>
        <v>1.0203869090624167</v>
      </c>
      <c r="N408" s="679">
        <f t="shared" si="203"/>
        <v>-0.20023223740812313</v>
      </c>
      <c r="O408" s="677">
        <f t="shared" si="204"/>
        <v>427539.02958040457</v>
      </c>
      <c r="P408" s="680">
        <f t="shared" si="205"/>
        <v>1.5707939878271515</v>
      </c>
      <c r="Q408" s="689">
        <f t="shared" si="227"/>
        <v>202.37094472633129</v>
      </c>
      <c r="R408" s="690">
        <f t="shared" si="228"/>
        <v>1.5658548858632271</v>
      </c>
      <c r="S408" s="677">
        <f t="shared" si="206"/>
        <v>1.8742789382865652</v>
      </c>
      <c r="T408" s="680">
        <f t="shared" si="207"/>
        <v>1.0080175058900886</v>
      </c>
      <c r="U408" s="681">
        <f t="shared" si="219"/>
        <v>0.82650964704793972</v>
      </c>
      <c r="V408" s="682">
        <f t="shared" si="220"/>
        <v>-0.75576492781192328</v>
      </c>
      <c r="W408" s="683">
        <f t="shared" si="208"/>
        <v>-20.735096241275475</v>
      </c>
      <c r="X408" s="684">
        <f t="shared" si="209"/>
        <v>-196.45438648291926</v>
      </c>
      <c r="Y408" s="687">
        <f t="shared" si="210"/>
        <v>-16.454386482919261</v>
      </c>
      <c r="AA408" s="170">
        <f t="shared" si="211"/>
        <v>37802.75</v>
      </c>
      <c r="AB408" s="170">
        <f t="shared" si="212"/>
        <v>1429047907.5625</v>
      </c>
      <c r="AD408" s="686">
        <f t="shared" si="213"/>
        <v>33.152213442221608</v>
      </c>
      <c r="AE408" s="687">
        <f t="shared" si="214"/>
        <v>-58.038138526241575</v>
      </c>
      <c r="AG408" s="686">
        <f t="shared" si="215"/>
        <v>4.5148358072156638</v>
      </c>
      <c r="AH408" s="687">
        <f t="shared" si="216"/>
        <v>-51.811966522452835</v>
      </c>
      <c r="AJ408" s="170">
        <f t="shared" si="217"/>
        <v>0</v>
      </c>
      <c r="AK408" s="170">
        <f t="shared" si="229"/>
        <v>0</v>
      </c>
      <c r="AM408" s="170" t="str">
        <f t="shared" si="221"/>
        <v>0.623673246795408+0.92648700736842i</v>
      </c>
      <c r="AN408" s="170" t="str">
        <f t="shared" si="222"/>
        <v>1.18496794235221i</v>
      </c>
      <c r="AO408" s="170" t="str">
        <f t="shared" si="223"/>
        <v>0.781866727575183-0.526320775866216i</v>
      </c>
      <c r="AP408" s="170" t="str">
        <f t="shared" si="224"/>
        <v>0.0627211255340987-0.15441450122807i</v>
      </c>
      <c r="AQ408" s="170" t="str">
        <f t="shared" si="225"/>
        <v>0.937278874465901+0.15441450122807i</v>
      </c>
      <c r="AR408" s="170" t="str">
        <f t="shared" si="226"/>
        <v>0.865258298403875-0.142549279858269i</v>
      </c>
    </row>
    <row r="409" spans="7:44">
      <c r="G409" s="688">
        <v>38019</v>
      </c>
      <c r="H409" s="676">
        <f t="shared" si="218"/>
        <v>38.018999999999998</v>
      </c>
      <c r="I409" s="677">
        <f t="shared" si="198"/>
        <v>468.6623033281337</v>
      </c>
      <c r="J409" s="678">
        <f t="shared" si="199"/>
        <v>1.5686625926504976</v>
      </c>
      <c r="K409" s="678">
        <f t="shared" si="200"/>
        <v>1.006019240335261</v>
      </c>
      <c r="L409" s="679">
        <f t="shared" si="201"/>
        <v>0.10944589437249505</v>
      </c>
      <c r="M409" s="678">
        <f t="shared" si="202"/>
        <v>1.0206184591322363</v>
      </c>
      <c r="N409" s="679">
        <f t="shared" si="203"/>
        <v>-0.20134703874447155</v>
      </c>
      <c r="O409" s="677">
        <f t="shared" si="204"/>
        <v>429984.75945842295</v>
      </c>
      <c r="P409" s="680">
        <f t="shared" si="205"/>
        <v>1.5707940011310726</v>
      </c>
      <c r="Q409" s="689">
        <f t="shared" si="227"/>
        <v>203.52857614874799</v>
      </c>
      <c r="R409" s="690">
        <f t="shared" si="228"/>
        <v>1.5658829920563051</v>
      </c>
      <c r="S409" s="677">
        <f t="shared" si="206"/>
        <v>1.881954840731388</v>
      </c>
      <c r="T409" s="680">
        <f t="shared" si="207"/>
        <v>1.0105883707129677</v>
      </c>
      <c r="U409" s="681">
        <f t="shared" si="219"/>
        <v>0.82498376902028336</v>
      </c>
      <c r="V409" s="682">
        <f t="shared" si="220"/>
        <v>-0.75941249296628066</v>
      </c>
      <c r="W409" s="683">
        <f t="shared" si="208"/>
        <v>-20.833634434490321</v>
      </c>
      <c r="X409" s="684">
        <f t="shared" si="209"/>
        <v>-196.83825328524631</v>
      </c>
      <c r="Y409" s="687">
        <f t="shared" si="210"/>
        <v>-16.83825328524631</v>
      </c>
      <c r="AA409" s="170">
        <f t="shared" si="211"/>
        <v>38019</v>
      </c>
      <c r="AB409" s="170">
        <f t="shared" si="212"/>
        <v>1445444361</v>
      </c>
      <c r="AD409" s="686">
        <f t="shared" si="213"/>
        <v>33.116712779877297</v>
      </c>
      <c r="AE409" s="687">
        <f t="shared" si="214"/>
        <v>-58.18382862647465</v>
      </c>
      <c r="AG409" s="686">
        <f t="shared" si="215"/>
        <v>4.48389919008003</v>
      </c>
      <c r="AH409" s="687">
        <f t="shared" si="216"/>
        <v>-51.632163046381841</v>
      </c>
      <c r="AJ409" s="170">
        <f t="shared" si="217"/>
        <v>0</v>
      </c>
      <c r="AK409" s="170">
        <f t="shared" si="229"/>
        <v>0</v>
      </c>
      <c r="AM409" s="170" t="str">
        <f t="shared" si="221"/>
        <v>0.629962119573264+0.929016666723094i</v>
      </c>
      <c r="AN409" s="170" t="str">
        <f t="shared" si="222"/>
        <v>1.1917465316753i</v>
      </c>
      <c r="AO409" s="170" t="str">
        <f t="shared" si="223"/>
        <v>0.779542161047557-0.528604114070878i</v>
      </c>
      <c r="AP409" s="170" t="str">
        <f t="shared" si="224"/>
        <v>0.0616729800711227-0.154836111120516i</v>
      </c>
      <c r="AQ409" s="170" t="str">
        <f t="shared" si="225"/>
        <v>0.938327019928877+0.154836111120516i</v>
      </c>
      <c r="AR409" s="170" t="str">
        <f t="shared" si="226"/>
        <v>0.864218166985955-0.142607190557028i</v>
      </c>
    </row>
    <row r="410" spans="7:44">
      <c r="G410" s="688">
        <v>38240.5</v>
      </c>
      <c r="H410" s="676">
        <f t="shared" si="218"/>
        <v>38.240499999999997</v>
      </c>
      <c r="I410" s="677">
        <f t="shared" si="198"/>
        <v>471.39273361126061</v>
      </c>
      <c r="J410" s="678">
        <f t="shared" si="199"/>
        <v>1.5686749518165888</v>
      </c>
      <c r="K410" s="678">
        <f t="shared" si="200"/>
        <v>1.0060893683692733</v>
      </c>
      <c r="L410" s="679">
        <f t="shared" si="201"/>
        <v>0.11007840614416597</v>
      </c>
      <c r="M410" s="678">
        <f t="shared" si="202"/>
        <v>1.0208569450146752</v>
      </c>
      <c r="N410" s="679">
        <f t="shared" si="203"/>
        <v>-0.20248837888089768</v>
      </c>
      <c r="O410" s="677">
        <f t="shared" si="204"/>
        <v>432489.8654375262</v>
      </c>
      <c r="P410" s="680">
        <f t="shared" si="205"/>
        <v>1.5707940146019879</v>
      </c>
      <c r="Q410" s="689">
        <f t="shared" si="227"/>
        <v>204.71431208260941</v>
      </c>
      <c r="R410" s="690">
        <f t="shared" si="228"/>
        <v>1.5659114510534811</v>
      </c>
      <c r="S410" s="677">
        <f t="shared" si="206"/>
        <v>1.8898298836090621</v>
      </c>
      <c r="T410" s="680">
        <f t="shared" si="207"/>
        <v>1.0131999810827574</v>
      </c>
      <c r="U410" s="681">
        <f t="shared" si="219"/>
        <v>0.82341987724125609</v>
      </c>
      <c r="V410" s="682">
        <f t="shared" si="220"/>
        <v>-0.76313984547834901</v>
      </c>
      <c r="W410" s="683">
        <f t="shared" si="208"/>
        <v>-20.934209467791739</v>
      </c>
      <c r="X410" s="684">
        <f t="shared" si="209"/>
        <v>-197.22968114256574</v>
      </c>
      <c r="Y410" s="687">
        <f t="shared" si="210"/>
        <v>-17.229681142565738</v>
      </c>
      <c r="AA410" s="170">
        <f t="shared" si="211"/>
        <v>38240.5</v>
      </c>
      <c r="AB410" s="170">
        <f t="shared" si="212"/>
        <v>1462335840.25</v>
      </c>
      <c r="AD410" s="686">
        <f t="shared" si="213"/>
        <v>33.080441284237281</v>
      </c>
      <c r="AE410" s="687">
        <f t="shared" si="214"/>
        <v>-58.331833069964539</v>
      </c>
      <c r="AG410" s="686">
        <f t="shared" si="215"/>
        <v>4.4525579562933331</v>
      </c>
      <c r="AH410" s="687">
        <f t="shared" si="216"/>
        <v>-51.448463324325274</v>
      </c>
      <c r="AJ410" s="170">
        <f t="shared" si="217"/>
        <v>0</v>
      </c>
      <c r="AK410" s="170">
        <f t="shared" si="229"/>
        <v>0</v>
      </c>
      <c r="AM410" s="170" t="str">
        <f t="shared" si="221"/>
        <v>0.636421294856326+0.931563484238219i</v>
      </c>
      <c r="AN410" s="170" t="str">
        <f t="shared" si="222"/>
        <v>1.19868968790682i</v>
      </c>
      <c r="AO410" s="170" t="str">
        <f t="shared" si="223"/>
        <v>0.777151496034755-0.530930816604971i</v>
      </c>
      <c r="AP410" s="170" t="str">
        <f t="shared" si="224"/>
        <v>0.060596450857279-0.15526058070637i</v>
      </c>
      <c r="AQ410" s="170" t="str">
        <f t="shared" si="225"/>
        <v>0.939403549142721+0.15526058070637i</v>
      </c>
      <c r="AR410" s="170" t="str">
        <f t="shared" si="226"/>
        <v>0.863154876169937-0.14265852778178i</v>
      </c>
    </row>
    <row r="411" spans="7:44">
      <c r="G411" s="688">
        <v>38462</v>
      </c>
      <c r="H411" s="676">
        <f t="shared" si="218"/>
        <v>38.462000000000003</v>
      </c>
      <c r="I411" s="677">
        <f t="shared" si="198"/>
        <v>474.12316396556298</v>
      </c>
      <c r="J411" s="678">
        <f t="shared" si="199"/>
        <v>1.5686871686321504</v>
      </c>
      <c r="K411" s="678">
        <f t="shared" si="200"/>
        <v>1.0061598988544049</v>
      </c>
      <c r="L411" s="679">
        <f t="shared" si="201"/>
        <v>0.11071082949233572</v>
      </c>
      <c r="M411" s="678">
        <f t="shared" si="202"/>
        <v>1.021096760101678</v>
      </c>
      <c r="N411" s="679">
        <f t="shared" si="203"/>
        <v>-0.2036291843918584</v>
      </c>
      <c r="O411" s="677">
        <f t="shared" si="204"/>
        <v>434994.9714166295</v>
      </c>
      <c r="P411" s="680">
        <f t="shared" si="205"/>
        <v>1.570794027917747</v>
      </c>
      <c r="Q411" s="689">
        <f t="shared" si="227"/>
        <v>205.90004818036226</v>
      </c>
      <c r="R411" s="690">
        <f t="shared" si="228"/>
        <v>1.5659395822716378</v>
      </c>
      <c r="S411" s="677">
        <f t="shared" si="206"/>
        <v>1.8977177090598136</v>
      </c>
      <c r="T411" s="680">
        <f t="shared" si="207"/>
        <v>1.0157898987831806</v>
      </c>
      <c r="U411" s="681">
        <f t="shared" si="219"/>
        <v>0.82185507283439008</v>
      </c>
      <c r="V411" s="682">
        <f t="shared" si="220"/>
        <v>-0.76685834435224121</v>
      </c>
      <c r="W411" s="683">
        <f t="shared" si="208"/>
        <v>-21.034427454171016</v>
      </c>
      <c r="X411" s="684">
        <f t="shared" si="209"/>
        <v>-197.61934387527182</v>
      </c>
      <c r="Y411" s="687">
        <f t="shared" si="210"/>
        <v>-17.619343875271824</v>
      </c>
      <c r="AA411" s="170">
        <f t="shared" si="211"/>
        <v>38462</v>
      </c>
      <c r="AB411" s="170">
        <f t="shared" si="212"/>
        <v>1479325444</v>
      </c>
      <c r="AD411" s="686">
        <f t="shared" si="213"/>
        <v>33.044262129981639</v>
      </c>
      <c r="AE411" s="687">
        <f t="shared" si="214"/>
        <v>-58.478613386516599</v>
      </c>
      <c r="AG411" s="686">
        <f t="shared" si="215"/>
        <v>4.4215633821663323</v>
      </c>
      <c r="AH411" s="687">
        <f t="shared" si="216"/>
        <v>-51.265237156796161</v>
      </c>
      <c r="AJ411" s="170">
        <f t="shared" si="217"/>
        <v>0</v>
      </c>
      <c r="AK411" s="170">
        <f t="shared" si="229"/>
        <v>0</v>
      </c>
      <c r="AM411" s="170" t="str">
        <f t="shared" si="221"/>
        <v>0.642897997259758+0.93406539366305i</v>
      </c>
      <c r="AN411" s="170" t="str">
        <f t="shared" si="222"/>
        <v>1.20563284413834i</v>
      </c>
      <c r="AO411" s="170" t="str">
        <f t="shared" si="223"/>
        <v>0.774751117808691-0.533245258194035i</v>
      </c>
      <c r="AP411" s="170" t="str">
        <f t="shared" si="224"/>
        <v>0.059517000456707-0.155677565610508i</v>
      </c>
      <c r="AQ411" s="170" t="str">
        <f t="shared" si="225"/>
        <v>0.940482999543293+0.155677565610508i</v>
      </c>
      <c r="AR411" s="170" t="str">
        <f t="shared" si="226"/>
        <v>0.8620937590602-0.14270184341841i</v>
      </c>
    </row>
    <row r="412" spans="7:44">
      <c r="G412" s="688">
        <v>38683.5</v>
      </c>
      <c r="H412" s="676">
        <f t="shared" si="218"/>
        <v>38.683500000000002</v>
      </c>
      <c r="I412" s="677">
        <f t="shared" si="198"/>
        <v>476.85359438981806</v>
      </c>
      <c r="J412" s="678">
        <f t="shared" si="199"/>
        <v>1.5686992455424458</v>
      </c>
      <c r="K412" s="678">
        <f t="shared" si="200"/>
        <v>1.0062308317060282</v>
      </c>
      <c r="L412" s="679">
        <f t="shared" si="201"/>
        <v>0.11134316392976433</v>
      </c>
      <c r="M412" s="678">
        <f t="shared" si="202"/>
        <v>1.0213379034569334</v>
      </c>
      <c r="N412" s="679">
        <f t="shared" si="203"/>
        <v>-0.20476945268562835</v>
      </c>
      <c r="O412" s="677">
        <f t="shared" si="204"/>
        <v>437500.07739573292</v>
      </c>
      <c r="P412" s="680">
        <f t="shared" si="205"/>
        <v>1.5707940410810153</v>
      </c>
      <c r="Q412" s="689">
        <f t="shared" si="227"/>
        <v>207.08578443919143</v>
      </c>
      <c r="R412" s="690">
        <f t="shared" si="228"/>
        <v>1.5659673913411427</v>
      </c>
      <c r="S412" s="677">
        <f t="shared" si="206"/>
        <v>1.9056181583529435</v>
      </c>
      <c r="T412" s="680">
        <f t="shared" si="207"/>
        <v>1.0183583586577889</v>
      </c>
      <c r="U412" s="681">
        <f t="shared" si="219"/>
        <v>0.82028942385317782</v>
      </c>
      <c r="V412" s="682">
        <f t="shared" si="220"/>
        <v>-0.77056800793908076</v>
      </c>
      <c r="W412" s="683">
        <f t="shared" si="208"/>
        <v>-21.134291011251975</v>
      </c>
      <c r="X412" s="684">
        <f t="shared" si="209"/>
        <v>-198.00725568743269</v>
      </c>
      <c r="Y412" s="687">
        <f t="shared" si="210"/>
        <v>-18.007255687432689</v>
      </c>
      <c r="AA412" s="170">
        <f t="shared" si="211"/>
        <v>38683.5</v>
      </c>
      <c r="AB412" s="170">
        <f t="shared" si="212"/>
        <v>1496413172.25</v>
      </c>
      <c r="AD412" s="686">
        <f t="shared" si="213"/>
        <v>33.008175517451313</v>
      </c>
      <c r="AE412" s="687">
        <f t="shared" si="214"/>
        <v>-58.62418270923159</v>
      </c>
      <c r="AG412" s="686">
        <f t="shared" si="215"/>
        <v>4.3909115576297495</v>
      </c>
      <c r="AH412" s="687">
        <f t="shared" si="216"/>
        <v>-51.082483511877712</v>
      </c>
      <c r="AJ412" s="170">
        <f t="shared" si="217"/>
        <v>0</v>
      </c>
      <c r="AK412" s="170">
        <f t="shared" si="229"/>
        <v>0</v>
      </c>
      <c r="AM412" s="170" t="str">
        <f t="shared" si="221"/>
        <v>0.649391914559709+0.936522274387477i</v>
      </c>
      <c r="AN412" s="170" t="str">
        <f t="shared" si="222"/>
        <v>1.21257600036986i</v>
      </c>
      <c r="AO412" s="170" t="str">
        <f t="shared" si="223"/>
        <v>0.772341093755624-0.53554739196688i</v>
      </c>
      <c r="AP412" s="170" t="str">
        <f t="shared" si="224"/>
        <v>0.0584346809067152-0.156087045731246i</v>
      </c>
      <c r="AQ412" s="170" t="str">
        <f t="shared" si="225"/>
        <v>0.941565319093285+0.156087045731246i</v>
      </c>
      <c r="AR412" s="170" t="str">
        <f t="shared" si="226"/>
        <v>0.861034871408416-0.142737191594041i</v>
      </c>
    </row>
    <row r="413" spans="7:44">
      <c r="G413" s="688">
        <v>38905</v>
      </c>
      <c r="H413" s="676">
        <f t="shared" si="218"/>
        <v>38.905000000000001</v>
      </c>
      <c r="I413" s="677">
        <f t="shared" si="198"/>
        <v>479.58402488283116</v>
      </c>
      <c r="J413" s="678">
        <f t="shared" si="199"/>
        <v>1.5687111849370527</v>
      </c>
      <c r="K413" s="678">
        <f t="shared" si="200"/>
        <v>1.0063021668390564</v>
      </c>
      <c r="L413" s="679">
        <f t="shared" si="201"/>
        <v>0.11197540896963326</v>
      </c>
      <c r="M413" s="678">
        <f t="shared" si="202"/>
        <v>1.0215803741398313</v>
      </c>
      <c r="N413" s="679">
        <f t="shared" si="203"/>
        <v>-0.20590918117851048</v>
      </c>
      <c r="O413" s="677">
        <f t="shared" si="204"/>
        <v>440005.1833748364</v>
      </c>
      <c r="P413" s="680">
        <f t="shared" si="205"/>
        <v>1.5707940540943972</v>
      </c>
      <c r="Q413" s="689">
        <f t="shared" si="227"/>
        <v>208.27152085634563</v>
      </c>
      <c r="R413" s="690">
        <f t="shared" si="228"/>
        <v>1.565994883764146</v>
      </c>
      <c r="S413" s="677">
        <f t="shared" si="206"/>
        <v>1.9135310751272239</v>
      </c>
      <c r="T413" s="680">
        <f t="shared" si="207"/>
        <v>1.0209055928073669</v>
      </c>
      <c r="U413" s="681">
        <f t="shared" si="219"/>
        <v>0.81872299754640332</v>
      </c>
      <c r="V413" s="682">
        <f t="shared" si="220"/>
        <v>-0.77426885505067611</v>
      </c>
      <c r="W413" s="683">
        <f t="shared" si="208"/>
        <v>-21.233802721635161</v>
      </c>
      <c r="X413" s="684">
        <f t="shared" si="209"/>
        <v>-198.3934306569505</v>
      </c>
      <c r="Y413" s="687">
        <f t="shared" si="210"/>
        <v>-18.3934306569505</v>
      </c>
      <c r="AA413" s="170">
        <f t="shared" si="211"/>
        <v>38905</v>
      </c>
      <c r="AB413" s="170">
        <f t="shared" si="212"/>
        <v>1513599025</v>
      </c>
      <c r="AD413" s="686">
        <f t="shared" si="213"/>
        <v>32.972181628916388</v>
      </c>
      <c r="AE413" s="687">
        <f t="shared" si="214"/>
        <v>-58.768554021404171</v>
      </c>
      <c r="AG413" s="686">
        <f t="shared" si="215"/>
        <v>4.3605986340278333</v>
      </c>
      <c r="AH413" s="687">
        <f t="shared" si="216"/>
        <v>-50.90020132850313</v>
      </c>
      <c r="AJ413" s="170">
        <f t="shared" si="217"/>
        <v>0</v>
      </c>
      <c r="AK413" s="170">
        <f t="shared" si="229"/>
        <v>0</v>
      </c>
      <c r="AM413" s="170" t="str">
        <f t="shared" si="221"/>
        <v>0.65590273370244+0.938934007972097i</v>
      </c>
      <c r="AN413" s="170" t="str">
        <f t="shared" si="222"/>
        <v>1.21951915660137i</v>
      </c>
      <c r="AO413" s="170" t="str">
        <f t="shared" si="223"/>
        <v>0.769921491507173-0.537837171439233i</v>
      </c>
      <c r="AP413" s="170" t="str">
        <f t="shared" si="224"/>
        <v>0.0573495443829267-0.156489001328683i</v>
      </c>
      <c r="AQ413" s="170" t="str">
        <f t="shared" si="225"/>
        <v>0.942650455617073+0.156489001328683i</v>
      </c>
      <c r="AR413" s="170" t="str">
        <f t="shared" si="226"/>
        <v>0.859978268005297-0.142764626614882i</v>
      </c>
    </row>
    <row r="414" spans="7:44">
      <c r="G414" s="688">
        <v>39131.5</v>
      </c>
      <c r="H414" s="676">
        <f t="shared" si="218"/>
        <v>39.131500000000003</v>
      </c>
      <c r="I414" s="677">
        <f t="shared" si="198"/>
        <v>482.37609044557371</v>
      </c>
      <c r="J414" s="678">
        <f t="shared" si="199"/>
        <v>1.5687232540699438</v>
      </c>
      <c r="K414" s="678">
        <f t="shared" si="200"/>
        <v>1.0063755281619997</v>
      </c>
      <c r="L414" s="679">
        <f t="shared" si="201"/>
        <v>0.11262183295245248</v>
      </c>
      <c r="M414" s="678">
        <f t="shared" si="202"/>
        <v>1.0218296898262611</v>
      </c>
      <c r="N414" s="679">
        <f t="shared" si="203"/>
        <v>-0.20707407627727195</v>
      </c>
      <c r="O414" s="677">
        <f t="shared" si="204"/>
        <v>442566.83802163985</v>
      </c>
      <c r="P414" s="680">
        <f t="shared" si="205"/>
        <v>1.5707940672491871</v>
      </c>
      <c r="Q414" s="689">
        <f t="shared" si="227"/>
        <v>209.48402349350303</v>
      </c>
      <c r="R414" s="690">
        <f t="shared" si="228"/>
        <v>1.5660226749369075</v>
      </c>
      <c r="S414" s="677">
        <f t="shared" si="206"/>
        <v>1.921635345384741</v>
      </c>
      <c r="T414" s="680">
        <f t="shared" si="207"/>
        <v>1.023488615738906</v>
      </c>
      <c r="U414" s="681">
        <f t="shared" si="219"/>
        <v>0.81712047711031743</v>
      </c>
      <c r="V414" s="682">
        <f t="shared" si="220"/>
        <v>-0.77804414555564172</v>
      </c>
      <c r="W414" s="683">
        <f t="shared" si="208"/>
        <v>-21.33519955105762</v>
      </c>
      <c r="X414" s="684">
        <f t="shared" si="209"/>
        <v>-198.78654133605966</v>
      </c>
      <c r="Y414" s="687">
        <f t="shared" si="210"/>
        <v>-18.786541336059656</v>
      </c>
      <c r="AA414" s="170">
        <f t="shared" si="211"/>
        <v>39131.5</v>
      </c>
      <c r="AB414" s="170">
        <f t="shared" si="212"/>
        <v>1531274292.25</v>
      </c>
      <c r="AD414" s="686">
        <f t="shared" si="213"/>
        <v>32.935471296052214</v>
      </c>
      <c r="AE414" s="687">
        <f t="shared" si="214"/>
        <v>-58.914958770741151</v>
      </c>
      <c r="AG414" s="686">
        <f t="shared" si="215"/>
        <v>4.329947961358334</v>
      </c>
      <c r="AH414" s="687">
        <f t="shared" si="216"/>
        <v>-50.71429083304033</v>
      </c>
      <c r="AJ414" s="170">
        <f t="shared" si="217"/>
        <v>0</v>
      </c>
      <c r="AK414" s="170">
        <f t="shared" si="229"/>
        <v>0</v>
      </c>
      <c r="AM414" s="170" t="str">
        <f t="shared" si="221"/>
        <v>0.662577675355035+0.941353374047806i</v>
      </c>
      <c r="AN414" s="170" t="str">
        <f t="shared" si="222"/>
        <v>1.22661904322187i</v>
      </c>
      <c r="AO414" s="170" t="str">
        <f t="shared" si="223"/>
        <v>0.767437436463747-0.540165815145582i</v>
      </c>
      <c r="AP414" s="170" t="str">
        <f t="shared" si="224"/>
        <v>0.0562370541074942-0.156892229007968i</v>
      </c>
      <c r="AQ414" s="170" t="str">
        <f t="shared" si="225"/>
        <v>0.943762945892506+0.156892229007968i</v>
      </c>
      <c r="AR414" s="170" t="str">
        <f t="shared" si="226"/>
        <v>0.858900231771142-0.142784554579645i</v>
      </c>
    </row>
    <row r="415" spans="7:44">
      <c r="G415" s="688">
        <v>39358</v>
      </c>
      <c r="H415" s="676">
        <f t="shared" si="218"/>
        <v>39.357999999999997</v>
      </c>
      <c r="I415" s="677">
        <f t="shared" si="198"/>
        <v>485.16815607777238</v>
      </c>
      <c r="J415" s="678">
        <f t="shared" si="199"/>
        <v>1.5687351842909532</v>
      </c>
      <c r="K415" s="678">
        <f t="shared" si="200"/>
        <v>1.0064493099516039</v>
      </c>
      <c r="L415" s="679">
        <f t="shared" si="201"/>
        <v>0.11326816242792875</v>
      </c>
      <c r="M415" s="678">
        <f t="shared" si="202"/>
        <v>1.0220803914381833</v>
      </c>
      <c r="N415" s="679">
        <f t="shared" si="203"/>
        <v>-0.20823840149134698</v>
      </c>
      <c r="O415" s="677">
        <f t="shared" si="204"/>
        <v>445128.49266844336</v>
      </c>
      <c r="P415" s="680">
        <f t="shared" si="205"/>
        <v>1.5707940802525691</v>
      </c>
      <c r="Q415" s="689">
        <f t="shared" si="227"/>
        <v>210.69652629059308</v>
      </c>
      <c r="R415" s="690">
        <f t="shared" si="228"/>
        <v>1.5660501462479886</v>
      </c>
      <c r="S415" s="677">
        <f t="shared" si="206"/>
        <v>1.9297523290693432</v>
      </c>
      <c r="T415" s="680">
        <f t="shared" si="207"/>
        <v>1.0260499260587832</v>
      </c>
      <c r="U415" s="681">
        <f t="shared" si="219"/>
        <v>0.81551728351678143</v>
      </c>
      <c r="V415" s="682">
        <f t="shared" si="220"/>
        <v>-0.78181025828333495</v>
      </c>
      <c r="W415" s="683">
        <f t="shared" si="208"/>
        <v>-21.436233822978661</v>
      </c>
      <c r="X415" s="684">
        <f t="shared" si="209"/>
        <v>-199.17786524812266</v>
      </c>
      <c r="Y415" s="687">
        <f t="shared" si="210"/>
        <v>-19.177865248122657</v>
      </c>
      <c r="AA415" s="170">
        <f t="shared" si="211"/>
        <v>39358</v>
      </c>
      <c r="AB415" s="170">
        <f t="shared" si="212"/>
        <v>1549052164</v>
      </c>
      <c r="AD415" s="686">
        <f t="shared" si="213"/>
        <v>32.898858250574136</v>
      </c>
      <c r="AE415" s="687">
        <f t="shared" si="214"/>
        <v>-59.060137797115566</v>
      </c>
      <c r="AG415" s="686">
        <f t="shared" si="215"/>
        <v>4.2996437140359989</v>
      </c>
      <c r="AH415" s="687">
        <f t="shared" si="216"/>
        <v>-50.528870989301097</v>
      </c>
      <c r="AJ415" s="170">
        <f t="shared" si="217"/>
        <v>0</v>
      </c>
      <c r="AK415" s="170">
        <f t="shared" si="229"/>
        <v>0</v>
      </c>
      <c r="AM415" s="170" t="str">
        <f t="shared" si="221"/>
        <v>0.669269625852314+0.943725288214813i</v>
      </c>
      <c r="AN415" s="170" t="str">
        <f t="shared" si="222"/>
        <v>1.23371892984236i</v>
      </c>
      <c r="AO415" s="170" t="str">
        <f t="shared" si="223"/>
        <v>0.764943509730696-0.54248144343366i</v>
      </c>
      <c r="AP415" s="170" t="str">
        <f t="shared" si="224"/>
        <v>0.0551217290246143-0.157287548035802i</v>
      </c>
      <c r="AQ415" s="170" t="str">
        <f t="shared" si="225"/>
        <v>0.944878270975386+0.157287548035802i</v>
      </c>
      <c r="AR415" s="170" t="str">
        <f t="shared" si="226"/>
        <v>0.857824696906546-0.142796323468952i</v>
      </c>
    </row>
    <row r="416" spans="7:44">
      <c r="G416" s="688">
        <v>39584.5</v>
      </c>
      <c r="H416" s="676">
        <f t="shared" si="218"/>
        <v>39.584499999999998</v>
      </c>
      <c r="I416" s="677">
        <f t="shared" si="198"/>
        <v>487.96022177823482</v>
      </c>
      <c r="J416" s="678">
        <f t="shared" si="199"/>
        <v>1.5687469779846024</v>
      </c>
      <c r="K416" s="678">
        <f t="shared" si="200"/>
        <v>1.0065235121154041</v>
      </c>
      <c r="L416" s="679">
        <f t="shared" si="201"/>
        <v>0.11391439687690724</v>
      </c>
      <c r="M416" s="678">
        <f t="shared" si="202"/>
        <v>1.0223324779560061</v>
      </c>
      <c r="N416" s="679">
        <f t="shared" si="203"/>
        <v>-0.20940215408430923</v>
      </c>
      <c r="O416" s="677">
        <f t="shared" si="204"/>
        <v>447690.14731524687</v>
      </c>
      <c r="P416" s="680">
        <f t="shared" si="205"/>
        <v>1.5707940931071418</v>
      </c>
      <c r="Q416" s="689">
        <f t="shared" si="227"/>
        <v>211.90902924487048</v>
      </c>
      <c r="R416" s="690">
        <f t="shared" si="228"/>
        <v>1.5660773031879094</v>
      </c>
      <c r="S416" s="677">
        <f t="shared" si="206"/>
        <v>1.9378818664272122</v>
      </c>
      <c r="T416" s="680">
        <f t="shared" si="207"/>
        <v>1.0285897632060252</v>
      </c>
      <c r="U416" s="681">
        <f t="shared" si="219"/>
        <v>0.81391348607383429</v>
      </c>
      <c r="V416" s="682">
        <f t="shared" si="220"/>
        <v>-0.7855672147909174</v>
      </c>
      <c r="W416" s="683">
        <f t="shared" si="208"/>
        <v>-21.536908190228537</v>
      </c>
      <c r="X416" s="684">
        <f t="shared" si="209"/>
        <v>-199.56741704226749</v>
      </c>
      <c r="Y416" s="687">
        <f t="shared" si="210"/>
        <v>-19.567417042267493</v>
      </c>
      <c r="AA416" s="170">
        <f t="shared" si="211"/>
        <v>39584.5</v>
      </c>
      <c r="AB416" s="170">
        <f t="shared" si="212"/>
        <v>1566932640.25</v>
      </c>
      <c r="AD416" s="686">
        <f t="shared" si="213"/>
        <v>32.862342632225484</v>
      </c>
      <c r="AE416" s="687">
        <f t="shared" si="214"/>
        <v>-59.2041045049384</v>
      </c>
      <c r="AG416" s="686">
        <f t="shared" si="215"/>
        <v>4.2696819677930042</v>
      </c>
      <c r="AH416" s="687">
        <f t="shared" si="216"/>
        <v>-50.343940571733782</v>
      </c>
      <c r="AJ416" s="170">
        <f t="shared" si="217"/>
        <v>0</v>
      </c>
      <c r="AK416" s="170">
        <f t="shared" si="229"/>
        <v>0</v>
      </c>
      <c r="AM416" s="170" t="str">
        <f t="shared" si="221"/>
        <v>0.675978247865254+0.94604963090925i</v>
      </c>
      <c r="AN416" s="170" t="str">
        <f t="shared" si="222"/>
        <v>1.24081881646285i</v>
      </c>
      <c r="AO416" s="170" t="str">
        <f t="shared" si="223"/>
        <v>0.762439784404716-0.544784007863643i</v>
      </c>
      <c r="AP416" s="170" t="str">
        <f t="shared" si="224"/>
        <v>0.054003625355791-0.157674938484875i</v>
      </c>
      <c r="AQ416" s="170" t="str">
        <f t="shared" si="225"/>
        <v>0.945996374644209+0.157674938484875i</v>
      </c>
      <c r="AR416" s="170" t="str">
        <f t="shared" si="226"/>
        <v>0.856751718922945-0.142799991838016i</v>
      </c>
    </row>
    <row r="417" spans="7:44">
      <c r="G417" s="688">
        <v>39811</v>
      </c>
      <c r="H417" s="676">
        <f t="shared" si="218"/>
        <v>39.811</v>
      </c>
      <c r="I417" s="677">
        <f t="shared" si="198"/>
        <v>490.75228754579598</v>
      </c>
      <c r="J417" s="678">
        <f t="shared" si="199"/>
        <v>1.5687586374811475</v>
      </c>
      <c r="K417" s="678">
        <f t="shared" si="200"/>
        <v>1.0065981345604353</v>
      </c>
      <c r="L417" s="679">
        <f t="shared" si="201"/>
        <v>0.11456053578070324</v>
      </c>
      <c r="M417" s="678">
        <f t="shared" si="202"/>
        <v>1.0225859483555142</v>
      </c>
      <c r="N417" s="679">
        <f t="shared" si="203"/>
        <v>-0.2105653313286274</v>
      </c>
      <c r="O417" s="677">
        <f t="shared" si="204"/>
        <v>450251.80196205055</v>
      </c>
      <c r="P417" s="680">
        <f t="shared" si="205"/>
        <v>1.5707941058154455</v>
      </c>
      <c r="Q417" s="689">
        <f t="shared" si="227"/>
        <v>213.12153235365241</v>
      </c>
      <c r="R417" s="690">
        <f t="shared" si="228"/>
        <v>1.5661041511222444</v>
      </c>
      <c r="S417" s="677">
        <f t="shared" si="206"/>
        <v>1.946023800129</v>
      </c>
      <c r="T417" s="680">
        <f t="shared" si="207"/>
        <v>1.0311083637299603</v>
      </c>
      <c r="U417" s="681">
        <f t="shared" si="219"/>
        <v>0.81230915321841757</v>
      </c>
      <c r="V417" s="682">
        <f t="shared" si="220"/>
        <v>-0.7893150371043266</v>
      </c>
      <c r="W417" s="683">
        <f t="shared" si="208"/>
        <v>-21.637225270615534</v>
      </c>
      <c r="X417" s="684">
        <f t="shared" si="209"/>
        <v>-199.95521123344261</v>
      </c>
      <c r="Y417" s="687">
        <f t="shared" si="210"/>
        <v>-19.955211233442611</v>
      </c>
      <c r="AA417" s="170">
        <f t="shared" si="211"/>
        <v>39811</v>
      </c>
      <c r="AB417" s="170">
        <f t="shared" si="212"/>
        <v>1584915721</v>
      </c>
      <c r="AD417" s="686">
        <f t="shared" si="213"/>
        <v>32.825924563284758</v>
      </c>
      <c r="AE417" s="687">
        <f t="shared" si="214"/>
        <v>-59.346872140208589</v>
      </c>
      <c r="AG417" s="686">
        <f t="shared" si="215"/>
        <v>4.2400588600489471</v>
      </c>
      <c r="AH417" s="687">
        <f t="shared" si="216"/>
        <v>-50.159498325301371</v>
      </c>
      <c r="AJ417" s="170">
        <f t="shared" si="217"/>
        <v>0</v>
      </c>
      <c r="AK417" s="170">
        <f t="shared" si="229"/>
        <v>0</v>
      </c>
      <c r="AM417" s="170" t="str">
        <f t="shared" si="221"/>
        <v>0.68270320322444+0.948326284965238i</v>
      </c>
      <c r="AN417" s="170" t="str">
        <f t="shared" si="222"/>
        <v>1.24791870308334i</v>
      </c>
      <c r="AO417" s="170" t="str">
        <f t="shared" si="223"/>
        <v>0.759926333840599-0.547073460424647i</v>
      </c>
      <c r="AP417" s="170" t="str">
        <f t="shared" si="224"/>
        <v>0.0528827994625933-0.15805438082754i</v>
      </c>
      <c r="AQ417" s="170" t="str">
        <f t="shared" si="225"/>
        <v>0.947117200537407+0.15805438082754i</v>
      </c>
      <c r="AR417" s="170" t="str">
        <f t="shared" si="226"/>
        <v>0.855681352310851-0.142795618375872i</v>
      </c>
    </row>
    <row r="418" spans="7:44">
      <c r="G418" s="688">
        <v>40042.75</v>
      </c>
      <c r="H418" s="676">
        <f t="shared" si="218"/>
        <v>40.042749999999998</v>
      </c>
      <c r="I418" s="677">
        <f t="shared" si="198"/>
        <v>493.60907013782094</v>
      </c>
      <c r="J418" s="678">
        <f t="shared" si="199"/>
        <v>1.5687704307072019</v>
      </c>
      <c r="K418" s="678">
        <f t="shared" si="200"/>
        <v>1.0066749215738573</v>
      </c>
      <c r="L418" s="679">
        <f t="shared" si="201"/>
        <v>0.11522155198076359</v>
      </c>
      <c r="M418" s="678">
        <f t="shared" si="202"/>
        <v>1.0228467251921385</v>
      </c>
      <c r="N418" s="679">
        <f t="shared" si="203"/>
        <v>-0.21175487129231166</v>
      </c>
      <c r="O418" s="677">
        <f t="shared" si="204"/>
        <v>452872.83270993916</v>
      </c>
      <c r="P418" s="680">
        <f t="shared" si="205"/>
        <v>1.5707941186695074</v>
      </c>
      <c r="Q418" s="689">
        <f t="shared" si="227"/>
        <v>214.36213999631121</v>
      </c>
      <c r="R418" s="690">
        <f t="shared" si="228"/>
        <v>1.5661313069966492</v>
      </c>
      <c r="S418" s="677">
        <f t="shared" si="206"/>
        <v>1.9543671232220905</v>
      </c>
      <c r="T418" s="680">
        <f t="shared" si="207"/>
        <v>1.0336636054514257</v>
      </c>
      <c r="U418" s="681">
        <f t="shared" si="219"/>
        <v>0.8106671501392344</v>
      </c>
      <c r="V418" s="682">
        <f t="shared" si="220"/>
        <v>-0.79314029870032499</v>
      </c>
      <c r="W418" s="683">
        <f t="shared" si="208"/>
        <v>-21.739500470804405</v>
      </c>
      <c r="X418" s="684">
        <f t="shared" si="209"/>
        <v>-200.35018984775272</v>
      </c>
      <c r="Y418" s="687">
        <f t="shared" si="210"/>
        <v>-20.350189847752716</v>
      </c>
      <c r="AA418" s="170">
        <f t="shared" si="211"/>
        <v>40042.75</v>
      </c>
      <c r="AB418" s="170">
        <f t="shared" si="212"/>
        <v>1603421827.5625</v>
      </c>
      <c r="AD418" s="686">
        <f t="shared" si="213"/>
        <v>32.788763443939757</v>
      </c>
      <c r="AE418" s="687">
        <f t="shared" si="214"/>
        <v>-59.491721526140914</v>
      </c>
      <c r="AG418" s="686">
        <f t="shared" si="215"/>
        <v>4.2100956618590049</v>
      </c>
      <c r="AH418" s="687">
        <f t="shared" si="216"/>
        <v>-49.971284863209902</v>
      </c>
      <c r="AJ418" s="170">
        <f t="shared" si="217"/>
        <v>0</v>
      </c>
      <c r="AK418" s="170">
        <f t="shared" si="229"/>
        <v>0</v>
      </c>
      <c r="AM418" s="170" t="str">
        <f t="shared" si="221"/>
        <v>0.689600587061647+0.950606229964608i</v>
      </c>
      <c r="AN418" s="170" t="str">
        <f t="shared" si="222"/>
        <v>1.25518315661225i</v>
      </c>
      <c r="AO418" s="170" t="str">
        <f t="shared" si="223"/>
        <v>0.757344635288369-0.549402358873971i</v>
      </c>
      <c r="AP418" s="170" t="str">
        <f t="shared" si="224"/>
        <v>0.0517332354897255-0.158434371660768i</v>
      </c>
      <c r="AQ418" s="170" t="str">
        <f t="shared" si="225"/>
        <v>0.948266764510274+0.158434371660768i</v>
      </c>
      <c r="AR418" s="170" t="str">
        <f t="shared" si="226"/>
        <v>0.854588934515119-0.142782881289816i</v>
      </c>
    </row>
    <row r="419" spans="7:44">
      <c r="G419" s="688">
        <v>40274.5</v>
      </c>
      <c r="H419" s="676">
        <f t="shared" si="218"/>
        <v>40.274500000000003</v>
      </c>
      <c r="I419" s="677">
        <f t="shared" si="198"/>
        <v>496.46585279770699</v>
      </c>
      <c r="J419" s="678">
        <f t="shared" si="199"/>
        <v>1.5687820882111996</v>
      </c>
      <c r="K419" s="678">
        <f t="shared" si="200"/>
        <v>1.0067521483790427</v>
      </c>
      <c r="L419" s="679">
        <f t="shared" si="201"/>
        <v>0.11588246705797646</v>
      </c>
      <c r="M419" s="678">
        <f t="shared" si="202"/>
        <v>1.0231089486233191</v>
      </c>
      <c r="N419" s="679">
        <f t="shared" si="203"/>
        <v>-0.21294380317802569</v>
      </c>
      <c r="O419" s="677">
        <f t="shared" si="204"/>
        <v>455493.86345782783</v>
      </c>
      <c r="P419" s="680">
        <f t="shared" si="205"/>
        <v>1.5707941313756379</v>
      </c>
      <c r="Q419" s="689">
        <f t="shared" si="227"/>
        <v>215.60274779523033</v>
      </c>
      <c r="R419" s="690">
        <f t="shared" si="228"/>
        <v>1.5661581503538173</v>
      </c>
      <c r="S419" s="677">
        <f t="shared" si="206"/>
        <v>1.9627230983507877</v>
      </c>
      <c r="T419" s="680">
        <f t="shared" si="207"/>
        <v>1.0361971065436302</v>
      </c>
      <c r="U419" s="681">
        <f t="shared" si="219"/>
        <v>0.80902472871188658</v>
      </c>
      <c r="V419" s="682">
        <f t="shared" si="220"/>
        <v>-0.79695604587297408</v>
      </c>
      <c r="W419" s="683">
        <f t="shared" si="208"/>
        <v>-21.841407064867219</v>
      </c>
      <c r="X419" s="684">
        <f t="shared" si="209"/>
        <v>-200.74335875421059</v>
      </c>
      <c r="Y419" s="687">
        <f t="shared" si="210"/>
        <v>-20.74335875421059</v>
      </c>
      <c r="AA419" s="170">
        <f t="shared" si="211"/>
        <v>40274.5</v>
      </c>
      <c r="AB419" s="170">
        <f t="shared" si="212"/>
        <v>1622035350.25</v>
      </c>
      <c r="AD419" s="686">
        <f t="shared" si="213"/>
        <v>32.751704653895807</v>
      </c>
      <c r="AE419" s="687">
        <f t="shared" si="214"/>
        <v>-59.635343163214081</v>
      </c>
      <c r="AG419" s="686">
        <f t="shared" si="215"/>
        <v>4.1804789936706381</v>
      </c>
      <c r="AH419" s="687">
        <f t="shared" si="216"/>
        <v>-49.783579714731452</v>
      </c>
      <c r="AJ419" s="170">
        <f t="shared" si="217"/>
        <v>0</v>
      </c>
      <c r="AK419" s="170">
        <f t="shared" si="229"/>
        <v>0</v>
      </c>
      <c r="AM419" s="170" t="str">
        <f t="shared" si="221"/>
        <v>0.696514351313134+0.952836009521634i</v>
      </c>
      <c r="AN419" s="170" t="str">
        <f t="shared" si="222"/>
        <v>1.26244761014117i</v>
      </c>
      <c r="AO419" s="170" t="str">
        <f t="shared" si="223"/>
        <v>0.754752911619901-0.551717430266471i</v>
      </c>
      <c r="AP419" s="170" t="str">
        <f t="shared" si="224"/>
        <v>0.050580941447811-0.158806001586939i</v>
      </c>
      <c r="AQ419" s="170" t="str">
        <f t="shared" si="225"/>
        <v>0.949419058552189+0.158806001586939i</v>
      </c>
      <c r="AR419" s="170" t="str">
        <f t="shared" si="226"/>
        <v>0.853499362726293-0.142761849923526i</v>
      </c>
    </row>
    <row r="420" spans="7:44">
      <c r="G420" s="688">
        <v>40506.25</v>
      </c>
      <c r="H420" s="676">
        <f t="shared" si="218"/>
        <v>40.506250000000001</v>
      </c>
      <c r="I420" s="677">
        <f t="shared" si="198"/>
        <v>499.32263552428947</v>
      </c>
      <c r="J420" s="678">
        <f t="shared" si="199"/>
        <v>1.568793612322664</v>
      </c>
      <c r="K420" s="678">
        <f t="shared" si="200"/>
        <v>1.006829814874791</v>
      </c>
      <c r="L420" s="679">
        <f t="shared" si="201"/>
        <v>0.11654328045829086</v>
      </c>
      <c r="M420" s="678">
        <f t="shared" si="202"/>
        <v>1.0233726175370541</v>
      </c>
      <c r="N420" s="679">
        <f t="shared" si="203"/>
        <v>-0.21413212409324767</v>
      </c>
      <c r="O420" s="677">
        <f t="shared" si="204"/>
        <v>458114.8942057165</v>
      </c>
      <c r="P420" s="680">
        <f t="shared" si="205"/>
        <v>1.5707941439363766</v>
      </c>
      <c r="Q420" s="689">
        <f t="shared" si="227"/>
        <v>216.84335574772774</v>
      </c>
      <c r="R420" s="690">
        <f t="shared" si="228"/>
        <v>1.5661846865576472</v>
      </c>
      <c r="S420" s="677">
        <f t="shared" si="206"/>
        <v>1.9710915646091871</v>
      </c>
      <c r="T420" s="680">
        <f t="shared" si="207"/>
        <v>1.0387091111813895</v>
      </c>
      <c r="U420" s="681">
        <f t="shared" si="219"/>
        <v>0.80738195942990576</v>
      </c>
      <c r="V420" s="682">
        <f t="shared" si="220"/>
        <v>-0.80076230368286905</v>
      </c>
      <c r="W420" s="683">
        <f t="shared" si="208"/>
        <v>-21.9429477479658</v>
      </c>
      <c r="X420" s="684">
        <f t="shared" si="209"/>
        <v>-201.13473307117314</v>
      </c>
      <c r="Y420" s="687">
        <f t="shared" si="210"/>
        <v>-21.134733071173144</v>
      </c>
      <c r="AA420" s="170">
        <f t="shared" si="211"/>
        <v>40506.25</v>
      </c>
      <c r="AB420" s="170">
        <f t="shared" si="212"/>
        <v>1640756289.0625</v>
      </c>
      <c r="AD420" s="686">
        <f t="shared" si="213"/>
        <v>32.714748270857939</v>
      </c>
      <c r="AE420" s="687">
        <f t="shared" si="214"/>
        <v>-59.777750734431272</v>
      </c>
      <c r="AG420" s="686">
        <f t="shared" si="215"/>
        <v>4.1512049102812218</v>
      </c>
      <c r="AH420" s="687">
        <f t="shared" si="216"/>
        <v>-49.596381443487047</v>
      </c>
      <c r="AJ420" s="170">
        <f t="shared" si="217"/>
        <v>0</v>
      </c>
      <c r="AK420" s="170">
        <f t="shared" si="229"/>
        <v>0</v>
      </c>
      <c r="AM420" s="170" t="str">
        <f t="shared" si="221"/>
        <v>0.703444131125349+0.955015505966265i</v>
      </c>
      <c r="AN420" s="170" t="str">
        <f t="shared" si="222"/>
        <v>1.26971206367008i</v>
      </c>
      <c r="AO420" s="170" t="str">
        <f t="shared" si="223"/>
        <v>0.752151242231888-0.554018624578596i</v>
      </c>
      <c r="AP420" s="170" t="str">
        <f t="shared" si="224"/>
        <v>0.0494259781457752-0.159169250994378i</v>
      </c>
      <c r="AQ420" s="170" t="str">
        <f t="shared" si="225"/>
        <v>0.950574021854225+0.159169250994378i</v>
      </c>
      <c r="AR420" s="170" t="str">
        <f t="shared" si="226"/>
        <v>0.852412692046486-0.142732587480649i</v>
      </c>
    </row>
    <row r="421" spans="7:44">
      <c r="G421" s="688">
        <v>40738</v>
      </c>
      <c r="H421" s="676">
        <f t="shared" si="218"/>
        <v>40.738</v>
      </c>
      <c r="I421" s="677">
        <f t="shared" si="198"/>
        <v>502.17941831643009</v>
      </c>
      <c r="J421" s="678">
        <f t="shared" si="199"/>
        <v>1.5688050053181097</v>
      </c>
      <c r="K421" s="678">
        <f t="shared" si="200"/>
        <v>1.0069079209593579</v>
      </c>
      <c r="L421" s="679">
        <f t="shared" si="201"/>
        <v>0.11720399162818151</v>
      </c>
      <c r="M421" s="678">
        <f t="shared" si="202"/>
        <v>1.0236377308163593</v>
      </c>
      <c r="N421" s="679">
        <f t="shared" si="203"/>
        <v>-0.21531983115532979</v>
      </c>
      <c r="O421" s="677">
        <f t="shared" si="204"/>
        <v>460735.92495360528</v>
      </c>
      <c r="P421" s="680">
        <f t="shared" si="205"/>
        <v>1.5707941563542041</v>
      </c>
      <c r="Q421" s="689">
        <f t="shared" si="227"/>
        <v>218.08396385118255</v>
      </c>
      <c r="R421" s="690">
        <f t="shared" si="228"/>
        <v>1.5662109208499846</v>
      </c>
      <c r="S421" s="677">
        <f t="shared" si="206"/>
        <v>1.9794723635738694</v>
      </c>
      <c r="T421" s="680">
        <f t="shared" si="207"/>
        <v>1.0411998604987551</v>
      </c>
      <c r="U421" s="681">
        <f t="shared" si="219"/>
        <v>0.80573891184506985</v>
      </c>
      <c r="V421" s="682">
        <f t="shared" si="220"/>
        <v>-0.80455909766643385</v>
      </c>
      <c r="W421" s="683">
        <f t="shared" si="208"/>
        <v>-22.044125180115273</v>
      </c>
      <c r="X421" s="684">
        <f t="shared" si="209"/>
        <v>-201.5243277745254</v>
      </c>
      <c r="Y421" s="687">
        <f t="shared" si="210"/>
        <v>-21.524327774525403</v>
      </c>
      <c r="AA421" s="170">
        <f t="shared" si="211"/>
        <v>40738</v>
      </c>
      <c r="AB421" s="170">
        <f t="shared" si="212"/>
        <v>1659584644</v>
      </c>
      <c r="AD421" s="686">
        <f t="shared" si="213"/>
        <v>32.677894355700985</v>
      </c>
      <c r="AE421" s="687">
        <f t="shared" si="214"/>
        <v>-59.918957755562424</v>
      </c>
      <c r="AG421" s="686">
        <f t="shared" si="215"/>
        <v>4.1222695286265152</v>
      </c>
      <c r="AH421" s="687">
        <f t="shared" si="216"/>
        <v>-49.40968858333315</v>
      </c>
      <c r="AJ421" s="170">
        <f t="shared" si="217"/>
        <v>0</v>
      </c>
      <c r="AK421" s="170">
        <f t="shared" si="229"/>
        <v>0</v>
      </c>
      <c r="AM421" s="170" t="str">
        <f t="shared" si="221"/>
        <v>0.710389560799592+0.957144604282i</v>
      </c>
      <c r="AN421" s="170" t="str">
        <f t="shared" si="222"/>
        <v>1.27697651719899i</v>
      </c>
      <c r="AO421" s="170" t="str">
        <f t="shared" si="223"/>
        <v>0.749539706792313-0.556305892263243i</v>
      </c>
      <c r="AP421" s="170" t="str">
        <f t="shared" si="224"/>
        <v>0.0482684065334013-0.159524100713667i</v>
      </c>
      <c r="AQ421" s="170" t="str">
        <f t="shared" si="225"/>
        <v>0.951731593466599+0.159524100713667i</v>
      </c>
      <c r="AR421" s="170" t="str">
        <f t="shared" si="226"/>
        <v>0.85132897649507-0.142695157247219i</v>
      </c>
    </row>
    <row r="422" spans="7:44">
      <c r="G422" s="688">
        <v>40975.25</v>
      </c>
      <c r="H422" s="676">
        <f t="shared" si="218"/>
        <v>40.975250000000003</v>
      </c>
      <c r="I422" s="677">
        <f t="shared" si="198"/>
        <v>505.10399968818609</v>
      </c>
      <c r="J422" s="678">
        <f t="shared" si="199"/>
        <v>1.5688165351997398</v>
      </c>
      <c r="K422" s="678">
        <f t="shared" si="200"/>
        <v>1.0069883359488647</v>
      </c>
      <c r="L422" s="679">
        <f t="shared" si="201"/>
        <v>0.11788027663045997</v>
      </c>
      <c r="M422" s="678">
        <f t="shared" si="202"/>
        <v>1.0239106309071491</v>
      </c>
      <c r="N422" s="679">
        <f t="shared" si="203"/>
        <v>-0.21653508656234391</v>
      </c>
      <c r="O422" s="677">
        <f t="shared" si="204"/>
        <v>463419.15923596401</v>
      </c>
      <c r="P422" s="680">
        <f t="shared" si="205"/>
        <v>1.5707941689212306</v>
      </c>
      <c r="Q422" s="689">
        <f t="shared" si="227"/>
        <v>219.35401480334872</v>
      </c>
      <c r="R422" s="690">
        <f t="shared" si="228"/>
        <v>1.5662374703510475</v>
      </c>
      <c r="S422" s="677">
        <f t="shared" si="206"/>
        <v>1.9880646719657491</v>
      </c>
      <c r="T422" s="680">
        <f t="shared" si="207"/>
        <v>1.0437279520848033</v>
      </c>
      <c r="U422" s="681">
        <f t="shared" si="219"/>
        <v>0.80405665402584681</v>
      </c>
      <c r="V422" s="682">
        <f t="shared" si="220"/>
        <v>-0.8084362227108689</v>
      </c>
      <c r="W422" s="683">
        <f t="shared" si="208"/>
        <v>-22.147330259302919</v>
      </c>
      <c r="X422" s="684">
        <f t="shared" si="209"/>
        <v>-201.92134054348077</v>
      </c>
      <c r="Y422" s="687">
        <f t="shared" si="210"/>
        <v>-21.921340543480767</v>
      </c>
      <c r="AA422" s="170">
        <f t="shared" si="211"/>
        <v>40975.25</v>
      </c>
      <c r="AB422" s="170">
        <f t="shared" si="212"/>
        <v>1678971112.5625</v>
      </c>
      <c r="AD422" s="686">
        <f t="shared" si="213"/>
        <v>32.640271997014473</v>
      </c>
      <c r="AE422" s="687">
        <f t="shared" si="214"/>
        <v>-60.062286279507774</v>
      </c>
      <c r="AG422" s="686">
        <f t="shared" si="215"/>
        <v>4.0929943030379654</v>
      </c>
      <c r="AH422" s="687">
        <f t="shared" si="216"/>
        <v>-49.219087024454254</v>
      </c>
      <c r="AJ422" s="170">
        <f t="shared" si="217"/>
        <v>0</v>
      </c>
      <c r="AK422" s="170">
        <f t="shared" si="229"/>
        <v>0</v>
      </c>
      <c r="AM422" s="170" t="str">
        <f t="shared" si="221"/>
        <v>0.717515651377475+0.959271907637927i</v>
      </c>
      <c r="AN422" s="170" t="str">
        <f t="shared" si="222"/>
        <v>1.28441337415578i</v>
      </c>
      <c r="AO422" s="170" t="str">
        <f t="shared" si="223"/>
        <v>0.746856056577921-0.55863296491216i</v>
      </c>
      <c r="AP422" s="170" t="str">
        <f t="shared" si="224"/>
        <v>0.0470807247704208-0.159878651272988i</v>
      </c>
      <c r="AQ422" s="170" t="str">
        <f t="shared" si="225"/>
        <v>0.952919275229579+0.159878651272988i</v>
      </c>
      <c r="AR422" s="170" t="str">
        <f t="shared" si="226"/>
        <v>0.850222658128994-0.142648443994009i</v>
      </c>
    </row>
    <row r="423" spans="7:44">
      <c r="G423" s="688">
        <v>41212.5</v>
      </c>
      <c r="H423" s="676">
        <f t="shared" si="218"/>
        <v>41.212499999999999</v>
      </c>
      <c r="I423" s="677">
        <f t="shared" si="198"/>
        <v>508.02858112631651</v>
      </c>
      <c r="J423" s="678">
        <f t="shared" si="199"/>
        <v>1.5688279323326282</v>
      </c>
      <c r="K423" s="678">
        <f t="shared" si="200"/>
        <v>1.007069211422297</v>
      </c>
      <c r="L423" s="679">
        <f t="shared" si="201"/>
        <v>0.11855645332008574</v>
      </c>
      <c r="M423" s="678">
        <f t="shared" si="202"/>
        <v>1.0241850423488066</v>
      </c>
      <c r="N423" s="679">
        <f t="shared" si="203"/>
        <v>-0.21774969255191998</v>
      </c>
      <c r="O423" s="677">
        <f t="shared" si="204"/>
        <v>466102.39351832285</v>
      </c>
      <c r="P423" s="680">
        <f t="shared" si="205"/>
        <v>1.5707941813435669</v>
      </c>
      <c r="Q423" s="689">
        <f t="shared" si="227"/>
        <v>220.62406590835218</v>
      </c>
      <c r="R423" s="690">
        <f t="shared" si="228"/>
        <v>1.5662637141808231</v>
      </c>
      <c r="S423" s="677">
        <f t="shared" si="206"/>
        <v>1.9966695771651979</v>
      </c>
      <c r="T423" s="680">
        <f t="shared" si="207"/>
        <v>1.0462342693007152</v>
      </c>
      <c r="U423" s="681">
        <f t="shared" si="219"/>
        <v>0.80237424904435772</v>
      </c>
      <c r="V423" s="682">
        <f t="shared" si="220"/>
        <v>-0.81230348504686622</v>
      </c>
      <c r="W423" s="683">
        <f t="shared" si="208"/>
        <v>-22.250160173358744</v>
      </c>
      <c r="X423" s="684">
        <f t="shared" si="209"/>
        <v>-202.31651953777703</v>
      </c>
      <c r="Y423" s="687">
        <f t="shared" si="210"/>
        <v>-22.316519537777026</v>
      </c>
      <c r="AA423" s="170">
        <f t="shared" si="211"/>
        <v>41212.5</v>
      </c>
      <c r="AB423" s="170">
        <f t="shared" si="212"/>
        <v>1698470156.25</v>
      </c>
      <c r="AD423" s="686">
        <f t="shared" si="213"/>
        <v>32.602757104963914</v>
      </c>
      <c r="AE423" s="687">
        <f t="shared" si="214"/>
        <v>-60.204384729325945</v>
      </c>
      <c r="AG423" s="686">
        <f t="shared" si="215"/>
        <v>4.0640660046957375</v>
      </c>
      <c r="AH423" s="687">
        <f t="shared" si="216"/>
        <v>-49.029011948180901</v>
      </c>
      <c r="AJ423" s="170">
        <f t="shared" si="217"/>
        <v>0</v>
      </c>
      <c r="AK423" s="170">
        <f t="shared" si="229"/>
        <v>0</v>
      </c>
      <c r="AM423" s="170" t="str">
        <f t="shared" si="221"/>
        <v>0.724657365200409+0.961346156939122i</v>
      </c>
      <c r="AN423" s="170" t="str">
        <f t="shared" si="222"/>
        <v>1.29185023111256i</v>
      </c>
      <c r="AO423" s="170" t="str">
        <f t="shared" si="223"/>
        <v>0.744162236292048-0.560945338513679i</v>
      </c>
      <c r="AP423" s="170" t="str">
        <f t="shared" si="224"/>
        <v>0.0458904391332652-0.160224359489854i</v>
      </c>
      <c r="AQ423" s="170" t="str">
        <f t="shared" si="225"/>
        <v>0.954109560866735+0.160224359489854i</v>
      </c>
      <c r="AR423" s="170" t="str">
        <f t="shared" si="226"/>
        <v>0.849119547956835-0.14259330508973i</v>
      </c>
    </row>
    <row r="424" spans="7:44">
      <c r="G424" s="688">
        <v>41449.75</v>
      </c>
      <c r="H424" s="676">
        <f t="shared" si="218"/>
        <v>41.449750000000002</v>
      </c>
      <c r="I424" s="677">
        <f t="shared" si="198"/>
        <v>510.95316262968174</v>
      </c>
      <c r="J424" s="678">
        <f t="shared" si="199"/>
        <v>1.5688391989962445</v>
      </c>
      <c r="K424" s="678">
        <f t="shared" si="200"/>
        <v>1.0071505472687217</v>
      </c>
      <c r="L424" s="679">
        <f t="shared" si="201"/>
        <v>0.11923252110491045</v>
      </c>
      <c r="M424" s="678">
        <f t="shared" si="202"/>
        <v>1.0244609639268434</v>
      </c>
      <c r="N424" s="679">
        <f t="shared" si="203"/>
        <v>-0.21896364606362331</v>
      </c>
      <c r="O424" s="677">
        <f t="shared" si="204"/>
        <v>468785.62780068169</v>
      </c>
      <c r="P424" s="680">
        <f t="shared" si="205"/>
        <v>1.5707941936236971</v>
      </c>
      <c r="Q424" s="689">
        <f t="shared" si="227"/>
        <v>221.89411716356844</v>
      </c>
      <c r="R424" s="690">
        <f t="shared" si="228"/>
        <v>1.5662896575879699</v>
      </c>
      <c r="S424" s="677">
        <f t="shared" si="206"/>
        <v>2.0052869170093905</v>
      </c>
      <c r="T424" s="680">
        <f t="shared" si="207"/>
        <v>1.048719061168756</v>
      </c>
      <c r="U424" s="681">
        <f t="shared" si="219"/>
        <v>0.80069176848093504</v>
      </c>
      <c r="V424" s="682">
        <f t="shared" si="220"/>
        <v>-0.8161609135606489</v>
      </c>
      <c r="W424" s="683">
        <f t="shared" si="208"/>
        <v>-22.352617666625815</v>
      </c>
      <c r="X424" s="684">
        <f t="shared" si="209"/>
        <v>-202.70988036899564</v>
      </c>
      <c r="Y424" s="687">
        <f t="shared" si="210"/>
        <v>-22.709880368995641</v>
      </c>
      <c r="AA424" s="170">
        <f t="shared" si="211"/>
        <v>41449.75</v>
      </c>
      <c r="AB424" s="170">
        <f t="shared" si="212"/>
        <v>1718081775.0625</v>
      </c>
      <c r="AD424" s="686">
        <f t="shared" si="213"/>
        <v>32.565349693570049</v>
      </c>
      <c r="AE424" s="687">
        <f t="shared" si="214"/>
        <v>-60.345267072358027</v>
      </c>
      <c r="AG424" s="686">
        <f t="shared" si="215"/>
        <v>4.0354806615124952</v>
      </c>
      <c r="AH424" s="687">
        <f t="shared" si="216"/>
        <v>-48.839461688636014</v>
      </c>
      <c r="AJ424" s="170">
        <f t="shared" si="217"/>
        <v>0</v>
      </c>
      <c r="AK424" s="170">
        <f t="shared" si="229"/>
        <v>0</v>
      </c>
      <c r="AM424" s="170" t="str">
        <f t="shared" si="221"/>
        <v>0.731814307284589+0.963367237465939i</v>
      </c>
      <c r="AN424" s="170" t="str">
        <f t="shared" si="222"/>
        <v>1.29928708806934i</v>
      </c>
      <c r="AO424" s="170" t="str">
        <f t="shared" si="223"/>
        <v>0.741458332274696-0.563242961470524i</v>
      </c>
      <c r="AP424" s="170" t="str">
        <f t="shared" si="224"/>
        <v>0.0446976154525685-0.160561206244323i</v>
      </c>
      <c r="AQ424" s="170" t="str">
        <f t="shared" si="225"/>
        <v>0.955302384547432+0.160561206244323i</v>
      </c>
      <c r="AR424" s="170" t="str">
        <f t="shared" si="226"/>
        <v>0.848019700472981-0.142529808602326i</v>
      </c>
    </row>
    <row r="425" spans="7:44">
      <c r="G425" s="688">
        <v>41687</v>
      </c>
      <c r="H425" s="676">
        <f t="shared" si="218"/>
        <v>41.686999999999998</v>
      </c>
      <c r="I425" s="677">
        <f t="shared" si="198"/>
        <v>513.877744197168</v>
      </c>
      <c r="J425" s="678">
        <f t="shared" si="199"/>
        <v>1.5688503374181659</v>
      </c>
      <c r="K425" s="678">
        <f t="shared" si="200"/>
        <v>1.0072323433766113</v>
      </c>
      <c r="L425" s="679">
        <f t="shared" si="201"/>
        <v>0.11990847939337465</v>
      </c>
      <c r="M425" s="678">
        <f t="shared" si="202"/>
        <v>1.0247383944213997</v>
      </c>
      <c r="N425" s="679">
        <f t="shared" si="203"/>
        <v>-0.22017694404799878</v>
      </c>
      <c r="O425" s="677">
        <f t="shared" si="204"/>
        <v>471468.86208304053</v>
      </c>
      <c r="P425" s="680">
        <f t="shared" si="205"/>
        <v>1.5707942057640494</v>
      </c>
      <c r="Q425" s="689">
        <f t="shared" si="227"/>
        <v>223.16416856643295</v>
      </c>
      <c r="R425" s="690">
        <f t="shared" si="228"/>
        <v>1.5663153057016657</v>
      </c>
      <c r="S425" s="677">
        <f t="shared" si="206"/>
        <v>2.01391653187867</v>
      </c>
      <c r="T425" s="680">
        <f t="shared" si="207"/>
        <v>1.0511825735154212</v>
      </c>
      <c r="U425" s="681">
        <f t="shared" si="219"/>
        <v>0.79900928289930062</v>
      </c>
      <c r="V425" s="682">
        <f t="shared" si="220"/>
        <v>-0.82000853761984926</v>
      </c>
      <c r="W425" s="683">
        <f t="shared" si="208"/>
        <v>-22.454705448059688</v>
      </c>
      <c r="X425" s="684">
        <f t="shared" si="209"/>
        <v>-203.10143849766138</v>
      </c>
      <c r="Y425" s="687">
        <f t="shared" si="210"/>
        <v>-23.101438497661377</v>
      </c>
      <c r="AA425" s="170">
        <f t="shared" si="211"/>
        <v>41687</v>
      </c>
      <c r="AB425" s="170">
        <f t="shared" si="212"/>
        <v>1737805969</v>
      </c>
      <c r="AD425" s="686">
        <f t="shared" si="213"/>
        <v>32.528049760693648</v>
      </c>
      <c r="AE425" s="687">
        <f t="shared" si="214"/>
        <v>-60.484947099683602</v>
      </c>
      <c r="AG425" s="686">
        <f t="shared" si="215"/>
        <v>4.0072343641545407</v>
      </c>
      <c r="AH425" s="687">
        <f t="shared" si="216"/>
        <v>-48.650434549981938</v>
      </c>
      <c r="AJ425" s="170">
        <f t="shared" si="217"/>
        <v>0</v>
      </c>
      <c r="AK425" s="170">
        <f t="shared" si="229"/>
        <v>0</v>
      </c>
      <c r="AM425" s="170" t="str">
        <f t="shared" si="221"/>
        <v>0.738986081803989+0.965335037439316i</v>
      </c>
      <c r="AN425" s="170" t="str">
        <f t="shared" si="222"/>
        <v>1.30672394502613i</v>
      </c>
      <c r="AO425" s="170" t="str">
        <f t="shared" si="223"/>
        <v>0.738744431150692-0.565525782715501i</v>
      </c>
      <c r="AP425" s="170" t="str">
        <f t="shared" si="224"/>
        <v>0.0435023196993352-0.160889172906553i</v>
      </c>
      <c r="AQ425" s="170" t="str">
        <f t="shared" si="225"/>
        <v>0.956497680300665+0.160889172906553i</v>
      </c>
      <c r="AR425" s="170" t="str">
        <f t="shared" si="226"/>
        <v>0.846923169025877-0.14245802262389i</v>
      </c>
    </row>
    <row r="426" spans="7:44">
      <c r="G426" s="688">
        <v>41929.75</v>
      </c>
      <c r="H426" s="676">
        <f t="shared" si="218"/>
        <v>41.929749999999999</v>
      </c>
      <c r="I426" s="677">
        <f t="shared" si="198"/>
        <v>516.87012434883786</v>
      </c>
      <c r="J426" s="678">
        <f t="shared" si="199"/>
        <v>1.5688616035892962</v>
      </c>
      <c r="K426" s="678">
        <f t="shared" si="200"/>
        <v>1.0073165119792467</v>
      </c>
      <c r="L426" s="679">
        <f t="shared" si="201"/>
        <v>0.12059999399799791</v>
      </c>
      <c r="M426" s="678">
        <f t="shared" si="202"/>
        <v>1.0250238169063539</v>
      </c>
      <c r="N426" s="679">
        <f t="shared" si="203"/>
        <v>-0.22141768739921561</v>
      </c>
      <c r="O426" s="677">
        <f t="shared" si="204"/>
        <v>474214.29989986942</v>
      </c>
      <c r="P426" s="680">
        <f t="shared" si="205"/>
        <v>1.5707942180436418</v>
      </c>
      <c r="Q426" s="689">
        <f t="shared" si="227"/>
        <v>224.46366282852867</v>
      </c>
      <c r="R426" s="690">
        <f t="shared" si="228"/>
        <v>1.5663412479845409</v>
      </c>
      <c r="S426" s="677">
        <f t="shared" si="206"/>
        <v>2.022758742344037</v>
      </c>
      <c r="T426" s="680">
        <f t="shared" si="207"/>
        <v>1.0536814236285243</v>
      </c>
      <c r="U426" s="681">
        <f t="shared" si="219"/>
        <v>0.79728786078241931</v>
      </c>
      <c r="V426" s="682">
        <f t="shared" si="220"/>
        <v>-0.8239352415454122</v>
      </c>
      <c r="W426" s="683">
        <f t="shared" si="208"/>
        <v>-22.55877998066574</v>
      </c>
      <c r="X426" s="684">
        <f t="shared" si="209"/>
        <v>-203.50022393903907</v>
      </c>
      <c r="Y426" s="687">
        <f t="shared" si="210"/>
        <v>-23.500223939039074</v>
      </c>
      <c r="AA426" s="170">
        <f t="shared" si="211"/>
        <v>41929.75</v>
      </c>
      <c r="AB426" s="170">
        <f t="shared" si="212"/>
        <v>1758103935.0625</v>
      </c>
      <c r="AD426" s="686">
        <f t="shared" si="213"/>
        <v>32.48999635587856</v>
      </c>
      <c r="AE426" s="687">
        <f t="shared" si="214"/>
        <v>-60.626634985211268</v>
      </c>
      <c r="AG426" s="686">
        <f t="shared" si="215"/>
        <v>3.9786801663344407</v>
      </c>
      <c r="AH426" s="687">
        <f t="shared" si="216"/>
        <v>-48.457564980653451</v>
      </c>
      <c r="AJ426" s="170">
        <f t="shared" si="217"/>
        <v>0</v>
      </c>
      <c r="AK426" s="170">
        <f t="shared" si="229"/>
        <v>0</v>
      </c>
      <c r="AM426" s="170" t="str">
        <f t="shared" si="221"/>
        <v>0.746339053004093+0.96729319441891i</v>
      </c>
      <c r="AN426" s="170" t="str">
        <f t="shared" si="222"/>
        <v>1.31433320541078i</v>
      </c>
      <c r="AO426" s="170" t="str">
        <f t="shared" si="223"/>
        <v>0.735957358786042-0.567846151897862i</v>
      </c>
      <c r="AP426" s="170" t="str">
        <f t="shared" si="224"/>
        <v>0.0422768244993178-0.161215532403152i</v>
      </c>
      <c r="AQ426" s="170" t="str">
        <f t="shared" si="225"/>
        <v>0.957723175500682+0.161215532403152i</v>
      </c>
      <c r="AR426" s="170" t="str">
        <f t="shared" si="226"/>
        <v>0.845804704153058-0.142376063540324i</v>
      </c>
    </row>
    <row r="427" spans="7:44">
      <c r="G427" s="688">
        <v>42172.5</v>
      </c>
      <c r="H427" s="676">
        <f t="shared" si="218"/>
        <v>42.172499999999999</v>
      </c>
      <c r="I427" s="677">
        <f t="shared" si="198"/>
        <v>519.86250456535731</v>
      </c>
      <c r="J427" s="678">
        <f t="shared" si="199"/>
        <v>1.5688727400620277</v>
      </c>
      <c r="K427" s="678">
        <f t="shared" si="200"/>
        <v>1.0074011621924059</v>
      </c>
      <c r="L427" s="679">
        <f t="shared" si="201"/>
        <v>0.12129139271959498</v>
      </c>
      <c r="M427" s="678">
        <f t="shared" si="202"/>
        <v>1.0253108164781837</v>
      </c>
      <c r="N427" s="679">
        <f t="shared" si="203"/>
        <v>-0.2226577380539215</v>
      </c>
      <c r="O427" s="677">
        <f t="shared" si="204"/>
        <v>476959.73771669838</v>
      </c>
      <c r="P427" s="680">
        <f t="shared" si="205"/>
        <v>1.5707942301818685</v>
      </c>
      <c r="Q427" s="689">
        <f t="shared" si="227"/>
        <v>225.76315723994986</v>
      </c>
      <c r="R427" s="690">
        <f t="shared" si="228"/>
        <v>1.5663668916194871</v>
      </c>
      <c r="S427" s="677">
        <f t="shared" si="206"/>
        <v>2.0316134734340343</v>
      </c>
      <c r="T427" s="680">
        <f t="shared" si="207"/>
        <v>1.0561585067589654</v>
      </c>
      <c r="U427" s="681">
        <f t="shared" si="219"/>
        <v>0.7955665796336473</v>
      </c>
      <c r="V427" s="682">
        <f t="shared" si="220"/>
        <v>-0.82785174487000257</v>
      </c>
      <c r="W427" s="683">
        <f t="shared" si="208"/>
        <v>-22.662473088753515</v>
      </c>
      <c r="X427" s="684">
        <f t="shared" si="209"/>
        <v>-203.89715439580829</v>
      </c>
      <c r="Y427" s="687">
        <f t="shared" si="210"/>
        <v>-23.897154395808286</v>
      </c>
      <c r="AA427" s="170">
        <f t="shared" si="211"/>
        <v>42172.5</v>
      </c>
      <c r="AB427" s="170">
        <f t="shared" si="212"/>
        <v>1778519756.25</v>
      </c>
      <c r="AD427" s="686">
        <f t="shared" si="213"/>
        <v>32.452055416545278</v>
      </c>
      <c r="AE427" s="687">
        <f t="shared" si="214"/>
        <v>-60.767092817664441</v>
      </c>
      <c r="AG427" s="686">
        <f t="shared" si="215"/>
        <v>3.9504728316454072</v>
      </c>
      <c r="AH427" s="687">
        <f t="shared" si="216"/>
        <v>-48.265239382560715</v>
      </c>
      <c r="AJ427" s="170">
        <f t="shared" si="217"/>
        <v>0</v>
      </c>
      <c r="AK427" s="170">
        <f t="shared" si="229"/>
        <v>0</v>
      </c>
      <c r="AM427" s="170" t="str">
        <f t="shared" si="221"/>
        <v>0.753706711316161+0.969195344576778i</v>
      </c>
      <c r="AN427" s="170" t="str">
        <f t="shared" si="222"/>
        <v>1.32194246579544i</v>
      </c>
      <c r="AO427" s="170" t="str">
        <f t="shared" si="223"/>
        <v>0.733160004806709-0.570150918680595i</v>
      </c>
      <c r="AP427" s="170" t="str">
        <f t="shared" si="224"/>
        <v>0.0410488814473065-0.161532557429463i</v>
      </c>
      <c r="AQ427" s="170" t="str">
        <f t="shared" si="225"/>
        <v>0.958951118552694+0.161532557429463i</v>
      </c>
      <c r="AR427" s="170" t="str">
        <f t="shared" si="226"/>
        <v>0.844689820216919-0.14228557040551i</v>
      </c>
    </row>
    <row r="428" spans="7:44">
      <c r="G428" s="688">
        <v>42415.25</v>
      </c>
      <c r="H428" s="676">
        <f t="shared" si="218"/>
        <v>42.41525</v>
      </c>
      <c r="I428" s="677">
        <f t="shared" si="198"/>
        <v>522.85488484561256</v>
      </c>
      <c r="J428" s="678">
        <f t="shared" si="199"/>
        <v>1.5688837490632102</v>
      </c>
      <c r="K428" s="678">
        <f t="shared" si="200"/>
        <v>1.0074862938946929</v>
      </c>
      <c r="L428" s="679">
        <f t="shared" si="201"/>
        <v>0.12198267492643776</v>
      </c>
      <c r="M428" s="678">
        <f t="shared" si="202"/>
        <v>1.0255993918129123</v>
      </c>
      <c r="N428" s="679">
        <f t="shared" si="203"/>
        <v>-0.22389709278153253</v>
      </c>
      <c r="O428" s="677">
        <f t="shared" si="204"/>
        <v>479705.17553352739</v>
      </c>
      <c r="P428" s="680">
        <f t="shared" si="205"/>
        <v>1.5707942421811567</v>
      </c>
      <c r="Q428" s="689">
        <f t="shared" si="227"/>
        <v>227.06265179813266</v>
      </c>
      <c r="R428" s="690">
        <f t="shared" si="228"/>
        <v>1.5663922417340157</v>
      </c>
      <c r="S428" s="677">
        <f t="shared" si="206"/>
        <v>2.0404805621477076</v>
      </c>
      <c r="T428" s="680">
        <f t="shared" si="207"/>
        <v>1.0586140760802034</v>
      </c>
      <c r="U428" s="681">
        <f t="shared" si="219"/>
        <v>0.79384551176737639</v>
      </c>
      <c r="V428" s="682">
        <f t="shared" si="220"/>
        <v>-0.83175808054988443</v>
      </c>
      <c r="W428" s="683">
        <f t="shared" si="208"/>
        <v>-22.765787563891312</v>
      </c>
      <c r="X428" s="684">
        <f t="shared" si="209"/>
        <v>-204.29224594703456</v>
      </c>
      <c r="Y428" s="687">
        <f t="shared" si="210"/>
        <v>-24.292245947034559</v>
      </c>
      <c r="AA428" s="170">
        <f t="shared" si="211"/>
        <v>42415.25</v>
      </c>
      <c r="AB428" s="170">
        <f t="shared" si="212"/>
        <v>1799053432.5625</v>
      </c>
      <c r="AD428" s="686">
        <f t="shared" si="213"/>
        <v>32.414226891396943</v>
      </c>
      <c r="AE428" s="687">
        <f t="shared" si="214"/>
        <v>-60.9063348091682</v>
      </c>
      <c r="AG428" s="686">
        <f t="shared" si="215"/>
        <v>3.9226083681656743</v>
      </c>
      <c r="AH428" s="687">
        <f t="shared" si="216"/>
        <v>-48.0734558461345</v>
      </c>
      <c r="AJ428" s="170">
        <f t="shared" si="217"/>
        <v>0</v>
      </c>
      <c r="AK428" s="170">
        <f t="shared" si="229"/>
        <v>0</v>
      </c>
      <c r="AM428" s="170" t="str">
        <f t="shared" si="221"/>
        <v>0.761088630148599+0.971041377777346i</v>
      </c>
      <c r="AN428" s="170" t="str">
        <f t="shared" si="222"/>
        <v>1.32955172618009i</v>
      </c>
      <c r="AO428" s="170" t="str">
        <f t="shared" si="223"/>
        <v>0.730352462906597-0.572440030095909i</v>
      </c>
      <c r="AP428" s="170" t="str">
        <f t="shared" si="224"/>
        <v>0.0398185616419002-0.161840229629558i</v>
      </c>
      <c r="AQ428" s="170" t="str">
        <f t="shared" si="225"/>
        <v>0.9601814383581+0.161840229629558i</v>
      </c>
      <c r="AR428" s="170" t="str">
        <f t="shared" si="226"/>
        <v>0.843578570712345-0.142186616133839i</v>
      </c>
    </row>
    <row r="429" spans="7:44">
      <c r="G429" s="688">
        <v>42658</v>
      </c>
      <c r="H429" s="676">
        <f t="shared" si="218"/>
        <v>42.658000000000001</v>
      </c>
      <c r="I429" s="677">
        <f t="shared" si="198"/>
        <v>525.84726518851562</v>
      </c>
      <c r="J429" s="678">
        <f t="shared" si="199"/>
        <v>1.5688946327690052</v>
      </c>
      <c r="K429" s="678">
        <f t="shared" si="200"/>
        <v>1.0075719069640614</v>
      </c>
      <c r="L429" s="679">
        <f t="shared" si="201"/>
        <v>0.12267383998745647</v>
      </c>
      <c r="M429" s="678">
        <f t="shared" si="202"/>
        <v>1.0258895415807872</v>
      </c>
      <c r="N429" s="679">
        <f t="shared" si="203"/>
        <v>-0.22513574836364128</v>
      </c>
      <c r="O429" s="677">
        <f t="shared" si="204"/>
        <v>482450.61335035646</v>
      </c>
      <c r="P429" s="680">
        <f t="shared" si="205"/>
        <v>1.5707942540438786</v>
      </c>
      <c r="Q429" s="689">
        <f t="shared" si="227"/>
        <v>228.3621465005717</v>
      </c>
      <c r="R429" s="690">
        <f t="shared" si="228"/>
        <v>1.566417303338927</v>
      </c>
      <c r="S429" s="677">
        <f t="shared" si="206"/>
        <v>2.0493598480796389</v>
      </c>
      <c r="T429" s="680">
        <f t="shared" si="207"/>
        <v>1.0610483814249674</v>
      </c>
      <c r="U429" s="681">
        <f t="shared" si="219"/>
        <v>0.79212472840689163</v>
      </c>
      <c r="V429" s="682">
        <f t="shared" si="220"/>
        <v>-0.83565428202448944</v>
      </c>
      <c r="W429" s="683">
        <f t="shared" si="208"/>
        <v>-22.868726162057953</v>
      </c>
      <c r="X429" s="684">
        <f t="shared" si="209"/>
        <v>-204.68551451249661</v>
      </c>
      <c r="Y429" s="687">
        <f t="shared" si="210"/>
        <v>-24.68551451249661</v>
      </c>
      <c r="AA429" s="170">
        <f t="shared" si="211"/>
        <v>42658</v>
      </c>
      <c r="AB429" s="170">
        <f t="shared" si="212"/>
        <v>1819704964</v>
      </c>
      <c r="AD429" s="686">
        <f t="shared" si="213"/>
        <v>32.376510713751358</v>
      </c>
      <c r="AE429" s="687">
        <f t="shared" si="214"/>
        <v>-61.044374987121714</v>
      </c>
      <c r="AG429" s="686">
        <f t="shared" si="215"/>
        <v>3.895082847237715</v>
      </c>
      <c r="AH429" s="687">
        <f t="shared" si="216"/>
        <v>-47.882212431877853</v>
      </c>
      <c r="AJ429" s="170">
        <f t="shared" si="217"/>
        <v>0</v>
      </c>
      <c r="AK429" s="170">
        <f t="shared" si="229"/>
        <v>0</v>
      </c>
      <c r="AM429" s="170" t="str">
        <f t="shared" si="221"/>
        <v>0.768484382084161+0.972831187134257i</v>
      </c>
      <c r="AN429" s="170" t="str">
        <f t="shared" si="222"/>
        <v>1.33716098656475i</v>
      </c>
      <c r="AO429" s="170" t="str">
        <f t="shared" si="223"/>
        <v>0.727534827076821-0.574713433764206i</v>
      </c>
      <c r="AP429" s="170" t="str">
        <f t="shared" si="224"/>
        <v>0.0385859363193065-0.162138531189043i</v>
      </c>
      <c r="AQ429" s="170" t="str">
        <f t="shared" si="225"/>
        <v>0.961414063680693+0.162138531189043i</v>
      </c>
      <c r="AR429" s="170" t="str">
        <f t="shared" si="226"/>
        <v>0.842471007929175-0.142079273598348i</v>
      </c>
    </row>
    <row r="430" spans="7:44">
      <c r="G430" s="688">
        <v>42906.5</v>
      </c>
      <c r="H430" s="676">
        <f t="shared" si="218"/>
        <v>42.906500000000001</v>
      </c>
      <c r="I430" s="677">
        <f t="shared" si="198"/>
        <v>528.91052587108732</v>
      </c>
      <c r="J430" s="678">
        <f t="shared" si="199"/>
        <v>1.5689056467141176</v>
      </c>
      <c r="K430" s="678">
        <f t="shared" si="200"/>
        <v>1.0076600464205971</v>
      </c>
      <c r="L430" s="679">
        <f t="shared" si="201"/>
        <v>0.12338125462140766</v>
      </c>
      <c r="M430" s="678">
        <f t="shared" si="202"/>
        <v>1.0261881935239625</v>
      </c>
      <c r="N430" s="679">
        <f t="shared" si="203"/>
        <v>-0.22640301635259663</v>
      </c>
      <c r="O430" s="677">
        <f t="shared" si="204"/>
        <v>485261.08213504049</v>
      </c>
      <c r="P430" s="680">
        <f t="shared" si="205"/>
        <v>1.5707942660485545</v>
      </c>
      <c r="Q430" s="689">
        <f t="shared" si="227"/>
        <v>229.69242237784391</v>
      </c>
      <c r="R430" s="690">
        <f t="shared" si="228"/>
        <v>1.5664426648468153</v>
      </c>
      <c r="S430" s="677">
        <f t="shared" si="206"/>
        <v>2.0584619261804584</v>
      </c>
      <c r="T430" s="680">
        <f t="shared" si="207"/>
        <v>1.0635185798657825</v>
      </c>
      <c r="U430" s="681">
        <f t="shared" si="219"/>
        <v>0.79036355289876814</v>
      </c>
      <c r="V430" s="682">
        <f t="shared" si="220"/>
        <v>-0.83963231080023493</v>
      </c>
      <c r="W430" s="683">
        <f t="shared" si="208"/>
        <v>-22.973716561794205</v>
      </c>
      <c r="X430" s="684">
        <f t="shared" si="209"/>
        <v>-205.08622658521662</v>
      </c>
      <c r="Y430" s="687">
        <f t="shared" si="210"/>
        <v>-25.086226585216622</v>
      </c>
      <c r="AA430" s="170">
        <f t="shared" si="211"/>
        <v>42906.5</v>
      </c>
      <c r="AB430" s="170">
        <f t="shared" si="212"/>
        <v>1840967742.25</v>
      </c>
      <c r="AD430" s="686">
        <f t="shared" si="213"/>
        <v>32.338017441570258</v>
      </c>
      <c r="AE430" s="687">
        <f t="shared" si="214"/>
        <v>-61.184454512953465</v>
      </c>
      <c r="AG430" s="686">
        <f t="shared" si="215"/>
        <v>3.8672523754631283</v>
      </c>
      <c r="AH430" s="687">
        <f t="shared" si="216"/>
        <v>-47.686996458981682</v>
      </c>
      <c r="AJ430" s="170">
        <f t="shared" si="217"/>
        <v>0</v>
      </c>
      <c r="AK430" s="170">
        <f t="shared" si="229"/>
        <v>0</v>
      </c>
      <c r="AM430" s="170" t="str">
        <f t="shared" si="221"/>
        <v>0.77606919802848+0.974605046122988i</v>
      </c>
      <c r="AN430" s="170" t="str">
        <f t="shared" si="222"/>
        <v>1.34495048689672i</v>
      </c>
      <c r="AO430" s="170" t="str">
        <f t="shared" si="223"/>
        <v>0.724640093161905-0.577024363044879i</v>
      </c>
      <c r="AP430" s="170" t="str">
        <f t="shared" si="224"/>
        <v>0.0373218003285867-0.162434174353831i</v>
      </c>
      <c r="AQ430" s="170" t="str">
        <f t="shared" si="225"/>
        <v>0.962678199671413+0.162434174353831i</v>
      </c>
      <c r="AR430" s="170" t="str">
        <f t="shared" si="226"/>
        <v>0.841341082478903-0.141960775811757i</v>
      </c>
    </row>
    <row r="431" spans="7:44">
      <c r="G431" s="688">
        <v>43155</v>
      </c>
      <c r="H431" s="676">
        <f t="shared" si="218"/>
        <v>43.155000000000001</v>
      </c>
      <c r="I431" s="677">
        <f t="shared" si="198"/>
        <v>531.97378661708069</v>
      </c>
      <c r="J431" s="678">
        <f t="shared" si="199"/>
        <v>1.568916533816193</v>
      </c>
      <c r="K431" s="678">
        <f t="shared" si="200"/>
        <v>1.0077486900576007</v>
      </c>
      <c r="L431" s="679">
        <f t="shared" si="201"/>
        <v>0.12408854515798269</v>
      </c>
      <c r="M431" s="678">
        <f t="shared" si="202"/>
        <v>1.0264884925321849</v>
      </c>
      <c r="N431" s="679">
        <f t="shared" si="203"/>
        <v>-0.22766954489656147</v>
      </c>
      <c r="O431" s="677">
        <f t="shared" si="204"/>
        <v>488071.55091972451</v>
      </c>
      <c r="P431" s="680">
        <f t="shared" si="205"/>
        <v>1.5707942779149771</v>
      </c>
      <c r="Q431" s="689">
        <f t="shared" si="227"/>
        <v>231.02269840115426</v>
      </c>
      <c r="R431" s="690">
        <f t="shared" si="228"/>
        <v>1.5664677342812039</v>
      </c>
      <c r="S431" s="677">
        <f t="shared" si="206"/>
        <v>2.0675764541352413</v>
      </c>
      <c r="T431" s="680">
        <f t="shared" si="207"/>
        <v>1.0659670143122821</v>
      </c>
      <c r="U431" s="681">
        <f t="shared" si="219"/>
        <v>0.78860282310142482</v>
      </c>
      <c r="V431" s="682">
        <f t="shared" si="220"/>
        <v>-0.84359979200718171</v>
      </c>
      <c r="W431" s="683">
        <f t="shared" si="208"/>
        <v>-23.078318800465176</v>
      </c>
      <c r="X431" s="684">
        <f t="shared" si="209"/>
        <v>-205.48506154400428</v>
      </c>
      <c r="Y431" s="687">
        <f t="shared" si="210"/>
        <v>-25.485061544004282</v>
      </c>
      <c r="AA431" s="170">
        <f t="shared" si="211"/>
        <v>43155</v>
      </c>
      <c r="AB431" s="170">
        <f t="shared" si="212"/>
        <v>1862354025</v>
      </c>
      <c r="AD431" s="686">
        <f t="shared" si="213"/>
        <v>32.299641713793598</v>
      </c>
      <c r="AE431" s="687">
        <f t="shared" si="214"/>
        <v>-61.323303780421668</v>
      </c>
      <c r="AG431" s="686">
        <f t="shared" si="215"/>
        <v>3.8397689594787678</v>
      </c>
      <c r="AH431" s="687">
        <f t="shared" si="216"/>
        <v>-47.492342292870532</v>
      </c>
      <c r="AJ431" s="170">
        <f t="shared" si="217"/>
        <v>0</v>
      </c>
      <c r="AK431" s="170">
        <f t="shared" si="229"/>
        <v>0</v>
      </c>
      <c r="AM431" s="170" t="str">
        <f t="shared" si="221"/>
        <v>0.783667601200071+0.976319769967539i</v>
      </c>
      <c r="AN431" s="170" t="str">
        <f t="shared" si="222"/>
        <v>1.35273998722869i</v>
      </c>
      <c r="AO431" s="170" t="str">
        <f t="shared" si="223"/>
        <v>0.721734981729704-0.579318722443877i</v>
      </c>
      <c r="AP431" s="170" t="str">
        <f t="shared" si="224"/>
        <v>0.0360553997999882-0.162719961661256i</v>
      </c>
      <c r="AQ431" s="170" t="str">
        <f t="shared" si="225"/>
        <v>0.963944600200012+0.162719961661256i</v>
      </c>
      <c r="AR431" s="170" t="str">
        <f t="shared" si="226"/>
        <v>0.840215127551701-0.141833642010186i</v>
      </c>
    </row>
    <row r="432" spans="7:44">
      <c r="G432" s="688">
        <v>43403.5</v>
      </c>
      <c r="H432" s="676">
        <f t="shared" si="218"/>
        <v>43.403500000000001</v>
      </c>
      <c r="I432" s="677">
        <f t="shared" si="198"/>
        <v>535.0370474254064</v>
      </c>
      <c r="J432" s="678">
        <f t="shared" si="199"/>
        <v>1.5689272962538812</v>
      </c>
      <c r="K432" s="678">
        <f t="shared" si="200"/>
        <v>1.0078378377420372</v>
      </c>
      <c r="L432" s="679">
        <f t="shared" si="201"/>
        <v>0.12479571092236184</v>
      </c>
      <c r="M432" s="678">
        <f t="shared" si="202"/>
        <v>1.0267904371603336</v>
      </c>
      <c r="N432" s="679">
        <f t="shared" si="203"/>
        <v>-0.22893533058284493</v>
      </c>
      <c r="O432" s="677">
        <f t="shared" si="204"/>
        <v>490882.01970440865</v>
      </c>
      <c r="P432" s="680">
        <f t="shared" si="205"/>
        <v>1.5707942896455209</v>
      </c>
      <c r="Q432" s="689">
        <f t="shared" si="227"/>
        <v>232.35297456799444</v>
      </c>
      <c r="R432" s="690">
        <f t="shared" si="228"/>
        <v>1.5664925166586321</v>
      </c>
      <c r="S432" s="677">
        <f t="shared" si="206"/>
        <v>2.0767032680189725</v>
      </c>
      <c r="T432" s="680">
        <f t="shared" si="207"/>
        <v>1.0683939421629804</v>
      </c>
      <c r="U432" s="681">
        <f t="shared" si="219"/>
        <v>0.78684261190929805</v>
      </c>
      <c r="V432" s="682">
        <f t="shared" si="220"/>
        <v>-0.84755676301957872</v>
      </c>
      <c r="W432" s="683">
        <f t="shared" si="208"/>
        <v>-23.182535723505111</v>
      </c>
      <c r="X432" s="684">
        <f t="shared" si="209"/>
        <v>-205.8820359587632</v>
      </c>
      <c r="Y432" s="687">
        <f t="shared" si="210"/>
        <v>-25.882035958763197</v>
      </c>
      <c r="AA432" s="170">
        <f t="shared" si="211"/>
        <v>43403.5</v>
      </c>
      <c r="AB432" s="170">
        <f t="shared" si="212"/>
        <v>1883863812.25</v>
      </c>
      <c r="AD432" s="686">
        <f t="shared" si="213"/>
        <v>32.261383412309257</v>
      </c>
      <c r="AE432" s="687">
        <f t="shared" si="214"/>
        <v>-61.460937250084413</v>
      </c>
      <c r="AG432" s="686">
        <f t="shared" si="215"/>
        <v>3.8126285824057864</v>
      </c>
      <c r="AH432" s="687">
        <f t="shared" si="216"/>
        <v>-47.298247760116638</v>
      </c>
      <c r="AJ432" s="170">
        <f t="shared" si="217"/>
        <v>0</v>
      </c>
      <c r="AK432" s="170">
        <f t="shared" si="229"/>
        <v>0</v>
      </c>
      <c r="AM432" s="170" t="str">
        <f t="shared" si="221"/>
        <v>0.791279130558166+0.977975254625313i</v>
      </c>
      <c r="AN432" s="170" t="str">
        <f t="shared" si="222"/>
        <v>1.36052948756067i</v>
      </c>
      <c r="AO432" s="170" t="str">
        <f t="shared" si="223"/>
        <v>0.71881959455267-0.581596457697416i</v>
      </c>
      <c r="AP432" s="170" t="str">
        <f t="shared" si="224"/>
        <v>0.034786811573639-0.162995875770886i</v>
      </c>
      <c r="AQ432" s="170" t="str">
        <f t="shared" si="225"/>
        <v>0.965213188426361+0.162995875770886i</v>
      </c>
      <c r="AR432" s="170" t="str">
        <f t="shared" si="226"/>
        <v>0.839093195404902-0.141697950129955i</v>
      </c>
    </row>
    <row r="433" spans="7:44">
      <c r="G433" s="688">
        <v>43652</v>
      </c>
      <c r="H433" s="676">
        <f t="shared" si="218"/>
        <v>43.652000000000001</v>
      </c>
      <c r="I433" s="677">
        <f t="shared" si="198"/>
        <v>538.10030829499988</v>
      </c>
      <c r="J433" s="678">
        <f t="shared" si="199"/>
        <v>1.568937936156223</v>
      </c>
      <c r="K433" s="678">
        <f t="shared" si="200"/>
        <v>1.0079274893401631</v>
      </c>
      <c r="L433" s="679">
        <f t="shared" si="201"/>
        <v>0.12550275124046265</v>
      </c>
      <c r="M433" s="678">
        <f t="shared" si="202"/>
        <v>1.0270940259570729</v>
      </c>
      <c r="N433" s="679">
        <f t="shared" si="203"/>
        <v>-0.23020037001228005</v>
      </c>
      <c r="O433" s="677">
        <f t="shared" si="204"/>
        <v>493692.48848909285</v>
      </c>
      <c r="P433" s="680">
        <f t="shared" si="205"/>
        <v>1.5707943012425065</v>
      </c>
      <c r="Q433" s="689">
        <f t="shared" si="227"/>
        <v>233.68325087591325</v>
      </c>
      <c r="R433" s="690">
        <f t="shared" si="228"/>
        <v>1.5665170168814113</v>
      </c>
      <c r="S433" s="677">
        <f t="shared" si="206"/>
        <v>2.0858422065566784</v>
      </c>
      <c r="T433" s="680">
        <f t="shared" si="207"/>
        <v>1.0707996173278236</v>
      </c>
      <c r="U433" s="681">
        <f t="shared" si="219"/>
        <v>0.78508299104773149</v>
      </c>
      <c r="V433" s="682">
        <f t="shared" si="220"/>
        <v>-0.85150326169440294</v>
      </c>
      <c r="W433" s="683">
        <f t="shared" si="208"/>
        <v>-23.286370140450963</v>
      </c>
      <c r="X433" s="684">
        <f t="shared" si="209"/>
        <v>-206.27716623160711</v>
      </c>
      <c r="Y433" s="687">
        <f t="shared" si="210"/>
        <v>-26.277166231607112</v>
      </c>
      <c r="AA433" s="170">
        <f t="shared" si="211"/>
        <v>43652</v>
      </c>
      <c r="AB433" s="170">
        <f t="shared" si="212"/>
        <v>1905497104</v>
      </c>
      <c r="AD433" s="686">
        <f t="shared" si="213"/>
        <v>32.22324240443119</v>
      </c>
      <c r="AE433" s="687">
        <f t="shared" si="214"/>
        <v>-61.597369189161235</v>
      </c>
      <c r="AG433" s="686">
        <f t="shared" si="215"/>
        <v>3.7858272912946345</v>
      </c>
      <c r="AH433" s="687">
        <f t="shared" si="216"/>
        <v>-47.104710657524208</v>
      </c>
      <c r="AJ433" s="170">
        <f t="shared" si="217"/>
        <v>0</v>
      </c>
      <c r="AK433" s="170">
        <f t="shared" si="229"/>
        <v>0</v>
      </c>
      <c r="AM433" s="170" t="str">
        <f t="shared" si="221"/>
        <v>0.798903324265525+0.979571399648103i</v>
      </c>
      <c r="AN433" s="170" t="str">
        <f t="shared" si="222"/>
        <v>1.36831898789264i</v>
      </c>
      <c r="AO433" s="170" t="str">
        <f t="shared" si="223"/>
        <v>0.715894033712672-0.583857515195286i</v>
      </c>
      <c r="AP433" s="170" t="str">
        <f t="shared" si="224"/>
        <v>0.0335161126224125-0.163261899941351i</v>
      </c>
      <c r="AQ433" s="170" t="str">
        <f t="shared" si="225"/>
        <v>0.966483887377588+0.163261899941351i</v>
      </c>
      <c r="AR433" s="170" t="str">
        <f t="shared" si="226"/>
        <v>0.837975337031723-0.141553777993139i</v>
      </c>
    </row>
    <row r="434" spans="7:44">
      <c r="G434" s="688">
        <v>43906</v>
      </c>
      <c r="H434" s="676">
        <f t="shared" si="218"/>
        <v>43.905999999999999</v>
      </c>
      <c r="I434" s="677">
        <f t="shared" si="198"/>
        <v>541.23136775714011</v>
      </c>
      <c r="J434" s="678">
        <f t="shared" si="199"/>
        <v>1.5689486870819467</v>
      </c>
      <c r="K434" s="678">
        <f t="shared" si="200"/>
        <v>1.0080196458055557</v>
      </c>
      <c r="L434" s="679">
        <f t="shared" si="201"/>
        <v>0.12622530999552978</v>
      </c>
      <c r="M434" s="678">
        <f t="shared" si="202"/>
        <v>1.0274060316619145</v>
      </c>
      <c r="N434" s="679">
        <f t="shared" si="203"/>
        <v>-0.23149263356300082</v>
      </c>
      <c r="O434" s="677">
        <f t="shared" si="204"/>
        <v>496565.16080824699</v>
      </c>
      <c r="P434" s="680">
        <f t="shared" si="205"/>
        <v>1.570794312960502</v>
      </c>
      <c r="Q434" s="689">
        <f t="shared" si="227"/>
        <v>235.04297006232051</v>
      </c>
      <c r="R434" s="690">
        <f t="shared" si="228"/>
        <v>1.5665417727590414</v>
      </c>
      <c r="S434" s="677">
        <f t="shared" si="206"/>
        <v>2.0951957803412933</v>
      </c>
      <c r="T434" s="680">
        <f t="shared" si="207"/>
        <v>1.0732368340819516</v>
      </c>
      <c r="U434" s="681">
        <f t="shared" si="219"/>
        <v>0.78328510838421328</v>
      </c>
      <c r="V434" s="682">
        <f t="shared" si="220"/>
        <v>-0.85552632475136992</v>
      </c>
      <c r="W434" s="683">
        <f t="shared" si="208"/>
        <v>-23.39211029289892</v>
      </c>
      <c r="X434" s="684">
        <f t="shared" si="209"/>
        <v>-206.67915292683026</v>
      </c>
      <c r="Y434" s="687">
        <f t="shared" si="210"/>
        <v>-26.679152926830255</v>
      </c>
      <c r="AA434" s="170">
        <f t="shared" si="211"/>
        <v>43906</v>
      </c>
      <c r="AB434" s="170">
        <f t="shared" si="212"/>
        <v>1927736836</v>
      </c>
      <c r="AD434" s="686">
        <f t="shared" si="213"/>
        <v>32.18437829294546</v>
      </c>
      <c r="AE434" s="687">
        <f t="shared" si="214"/>
        <v>-61.735593687174628</v>
      </c>
      <c r="AG434" s="686">
        <f t="shared" si="215"/>
        <v>3.7587791893055695</v>
      </c>
      <c r="AH434" s="687">
        <f t="shared" si="216"/>
        <v>-46.907463786448758</v>
      </c>
      <c r="AJ434" s="170">
        <f t="shared" si="217"/>
        <v>0</v>
      </c>
      <c r="AK434" s="170">
        <f t="shared" si="229"/>
        <v>0</v>
      </c>
      <c r="AM434" s="170" t="str">
        <f t="shared" si="221"/>
        <v>0.806708868991753+0.981141446822808i</v>
      </c>
      <c r="AN434" s="170" t="str">
        <f t="shared" si="222"/>
        <v>1.37628089165249i</v>
      </c>
      <c r="AO434" s="170" t="str">
        <f t="shared" si="223"/>
        <v>0.712893314710458-0.586151325564902i</v>
      </c>
      <c r="AP434" s="170" t="str">
        <f t="shared" si="224"/>
        <v>0.0322151885013745-0.163523574470468i</v>
      </c>
      <c r="AQ434" s="170" t="str">
        <f t="shared" si="225"/>
        <v>0.967784811498625+0.163523574470468i</v>
      </c>
      <c r="AR434" s="170" t="str">
        <f t="shared" si="226"/>
        <v>0.83683699912387-0.141397731933789i</v>
      </c>
    </row>
    <row r="435" spans="7:44">
      <c r="G435" s="688">
        <v>44160</v>
      </c>
      <c r="H435" s="676">
        <f t="shared" si="218"/>
        <v>44.16</v>
      </c>
      <c r="I435" s="677">
        <f t="shared" si="198"/>
        <v>544.36242728111756</v>
      </c>
      <c r="J435" s="678">
        <f t="shared" si="199"/>
        <v>1.5689593143334917</v>
      </c>
      <c r="K435" s="678">
        <f t="shared" si="200"/>
        <v>1.0081123284527091</v>
      </c>
      <c r="L435" s="679">
        <f t="shared" si="201"/>
        <v>0.12694773626819542</v>
      </c>
      <c r="M435" s="678">
        <f t="shared" si="202"/>
        <v>1.027719752034991</v>
      </c>
      <c r="N435" s="679">
        <f t="shared" si="203"/>
        <v>-0.2327841103199956</v>
      </c>
      <c r="O435" s="677">
        <f t="shared" si="204"/>
        <v>499437.83312740119</v>
      </c>
      <c r="P435" s="680">
        <f t="shared" si="205"/>
        <v>1.5707943245436979</v>
      </c>
      <c r="Q435" s="689">
        <f t="shared" si="227"/>
        <v>236.4026893911176</v>
      </c>
      <c r="R435" s="690">
        <f t="shared" si="228"/>
        <v>1.5665662438595087</v>
      </c>
      <c r="S435" s="677">
        <f t="shared" si="206"/>
        <v>2.1045616889729692</v>
      </c>
      <c r="T435" s="680">
        <f t="shared" si="207"/>
        <v>1.0756523724383658</v>
      </c>
      <c r="U435" s="681">
        <f t="shared" si="219"/>
        <v>0.78148799029812566</v>
      </c>
      <c r="V435" s="682">
        <f t="shared" si="220"/>
        <v>-0.8595385282471979</v>
      </c>
      <c r="W435" s="683">
        <f t="shared" si="208"/>
        <v>-23.497456643995047</v>
      </c>
      <c r="X435" s="684">
        <f t="shared" si="209"/>
        <v>-207.07924706785522</v>
      </c>
      <c r="Y435" s="687">
        <f t="shared" si="210"/>
        <v>-27.079247067855221</v>
      </c>
      <c r="AA435" s="170">
        <f t="shared" si="211"/>
        <v>44160</v>
      </c>
      <c r="AB435" s="170">
        <f t="shared" si="212"/>
        <v>1950105600</v>
      </c>
      <c r="AD435" s="686">
        <f t="shared" si="213"/>
        <v>32.145636400012791</v>
      </c>
      <c r="AE435" s="687">
        <f t="shared" si="214"/>
        <v>-61.872592413297085</v>
      </c>
      <c r="AG435" s="686">
        <f t="shared" si="215"/>
        <v>3.7320771968442044</v>
      </c>
      <c r="AH435" s="687">
        <f t="shared" si="216"/>
        <v>-46.71079454710874</v>
      </c>
      <c r="AJ435" s="170">
        <f t="shared" si="217"/>
        <v>0</v>
      </c>
      <c r="AK435" s="170">
        <f t="shared" si="229"/>
        <v>0</v>
      </c>
      <c r="AM435" s="170" t="str">
        <f t="shared" si="221"/>
        <v>0.81452666674751+0.982649297894326i</v>
      </c>
      <c r="AN435" s="170" t="str">
        <f t="shared" si="222"/>
        <v>1.38424279541233i</v>
      </c>
      <c r="AO435" s="170" t="str">
        <f t="shared" si="223"/>
        <v>0.709882183350371-0.588427600596529i</v>
      </c>
      <c r="AP435" s="170" t="str">
        <f t="shared" si="224"/>
        <v>0.0309122222087483-0.163774882982388i</v>
      </c>
      <c r="AQ435" s="170" t="str">
        <f t="shared" si="225"/>
        <v>0.969087777791252+0.163774882982388i</v>
      </c>
      <c r="AR435" s="170" t="str">
        <f t="shared" si="226"/>
        <v>0.835703021068228-0.141232990055272i</v>
      </c>
    </row>
    <row r="436" spans="7:44">
      <c r="G436" s="688">
        <v>44414</v>
      </c>
      <c r="H436" s="676">
        <f t="shared" si="218"/>
        <v>44.414000000000001</v>
      </c>
      <c r="I436" s="677">
        <f t="shared" si="198"/>
        <v>547.4934868658712</v>
      </c>
      <c r="J436" s="678">
        <f t="shared" si="199"/>
        <v>1.5689698200326958</v>
      </c>
      <c r="K436" s="678">
        <f t="shared" si="200"/>
        <v>1.0082055371365108</v>
      </c>
      <c r="L436" s="679">
        <f t="shared" si="201"/>
        <v>0.12767002934103247</v>
      </c>
      <c r="M436" s="678">
        <f t="shared" si="202"/>
        <v>1.0280351855065322</v>
      </c>
      <c r="N436" s="679">
        <f t="shared" si="203"/>
        <v>-0.23407479669741033</v>
      </c>
      <c r="O436" s="677">
        <f t="shared" si="204"/>
        <v>502310.5054465555</v>
      </c>
      <c r="P436" s="680">
        <f t="shared" si="205"/>
        <v>1.5707943359944074</v>
      </c>
      <c r="Q436" s="689">
        <f t="shared" si="227"/>
        <v>237.76240885986169</v>
      </c>
      <c r="R436" s="690">
        <f t="shared" si="228"/>
        <v>1.5665904350685484</v>
      </c>
      <c r="S436" s="677">
        <f t="shared" si="206"/>
        <v>2.1139397685013694</v>
      </c>
      <c r="T436" s="680">
        <f t="shared" si="207"/>
        <v>1.0780464925358866</v>
      </c>
      <c r="U436" s="681">
        <f t="shared" si="219"/>
        <v>0.77969170964833112</v>
      </c>
      <c r="V436" s="682">
        <f t="shared" si="220"/>
        <v>-0.86353991409603503</v>
      </c>
      <c r="W436" s="683">
        <f t="shared" si="208"/>
        <v>-23.602412082507701</v>
      </c>
      <c r="X436" s="684">
        <f t="shared" si="209"/>
        <v>-207.47746563846644</v>
      </c>
      <c r="Y436" s="687">
        <f t="shared" si="210"/>
        <v>-27.477465638466441</v>
      </c>
      <c r="AA436" s="170">
        <f t="shared" si="211"/>
        <v>44414</v>
      </c>
      <c r="AB436" s="170">
        <f t="shared" si="212"/>
        <v>1972603396</v>
      </c>
      <c r="AD436" s="686">
        <f t="shared" si="213"/>
        <v>32.107016540218595</v>
      </c>
      <c r="AE436" s="687">
        <f t="shared" si="214"/>
        <v>-62.008379992585667</v>
      </c>
      <c r="AG436" s="686">
        <f t="shared" si="215"/>
        <v>3.7057172913137606</v>
      </c>
      <c r="AH436" s="687">
        <f t="shared" si="216"/>
        <v>-46.514700495223956</v>
      </c>
      <c r="AJ436" s="170">
        <f t="shared" si="217"/>
        <v>0</v>
      </c>
      <c r="AK436" s="170">
        <f t="shared" si="229"/>
        <v>0</v>
      </c>
      <c r="AM436" s="170" t="str">
        <f t="shared" si="221"/>
        <v>0.822356221950289+0.984094857277603i</v>
      </c>
      <c r="AN436" s="170" t="str">
        <f t="shared" si="222"/>
        <v>1.39220469917218i</v>
      </c>
      <c r="AO436" s="170" t="str">
        <f t="shared" si="223"/>
        <v>0.70686074961732-0.590686285170041i</v>
      </c>
      <c r="AP436" s="170" t="str">
        <f t="shared" si="224"/>
        <v>0.0296072963416185-0.164015809546267i</v>
      </c>
      <c r="AQ436" s="170" t="str">
        <f t="shared" si="225"/>
        <v>0.970392703658381+0.164015809546267i</v>
      </c>
      <c r="AR436" s="170" t="str">
        <f t="shared" si="226"/>
        <v>0.834573453324608-0.141059634987783i</v>
      </c>
    </row>
    <row r="437" spans="7:44">
      <c r="G437" s="688">
        <v>44668</v>
      </c>
      <c r="H437" s="676">
        <f t="shared" si="218"/>
        <v>44.667999999999999</v>
      </c>
      <c r="I437" s="677">
        <f t="shared" si="198"/>
        <v>550.62454651036444</v>
      </c>
      <c r="J437" s="678">
        <f t="shared" si="199"/>
        <v>1.5689802062531346</v>
      </c>
      <c r="K437" s="678">
        <f t="shared" si="200"/>
        <v>1.0082992717110777</v>
      </c>
      <c r="L437" s="679">
        <f t="shared" si="201"/>
        <v>0.12839218849743442</v>
      </c>
      <c r="M437" s="678">
        <f t="shared" si="202"/>
        <v>1.0283523305001272</v>
      </c>
      <c r="N437" s="679">
        <f t="shared" si="203"/>
        <v>-0.23536468912431185</v>
      </c>
      <c r="O437" s="677">
        <f t="shared" si="204"/>
        <v>505183.17776570976</v>
      </c>
      <c r="P437" s="680">
        <f t="shared" si="205"/>
        <v>1.5707943473148902</v>
      </c>
      <c r="Q437" s="689">
        <f t="shared" si="227"/>
        <v>239.12212846616541</v>
      </c>
      <c r="R437" s="690">
        <f t="shared" si="228"/>
        <v>1.56661435116077</v>
      </c>
      <c r="S437" s="677">
        <f t="shared" si="206"/>
        <v>2.1233298576614423</v>
      </c>
      <c r="T437" s="680">
        <f t="shared" si="207"/>
        <v>1.0804194509027403</v>
      </c>
      <c r="U437" s="681">
        <f t="shared" si="219"/>
        <v>0.77789633805310565</v>
      </c>
      <c r="V437" s="682">
        <f t="shared" si="220"/>
        <v>-0.86753052468802661</v>
      </c>
      <c r="W437" s="683">
        <f t="shared" si="208"/>
        <v>-23.706979461184989</v>
      </c>
      <c r="X437" s="684">
        <f t="shared" si="209"/>
        <v>-207.8738254472558</v>
      </c>
      <c r="Y437" s="687">
        <f t="shared" si="210"/>
        <v>-27.873825447255797</v>
      </c>
      <c r="AA437" s="170">
        <f t="shared" si="211"/>
        <v>44668</v>
      </c>
      <c r="AB437" s="170">
        <f t="shared" si="212"/>
        <v>1995230224</v>
      </c>
      <c r="AD437" s="686">
        <f t="shared" si="213"/>
        <v>32.068518514533501</v>
      </c>
      <c r="AE437" s="687">
        <f t="shared" si="214"/>
        <v>-62.142970849589574</v>
      </c>
      <c r="AG437" s="686">
        <f t="shared" si="215"/>
        <v>3.6796955143538823</v>
      </c>
      <c r="AH437" s="687">
        <f t="shared" si="216"/>
        <v>-46.319179157284239</v>
      </c>
      <c r="AJ437" s="170">
        <f t="shared" si="217"/>
        <v>0</v>
      </c>
      <c r="AK437" s="170">
        <f t="shared" si="229"/>
        <v>0</v>
      </c>
      <c r="AM437" s="170" t="str">
        <f t="shared" si="221"/>
        <v>0.830197038272224+0.985478033336348i</v>
      </c>
      <c r="AN437" s="170" t="str">
        <f t="shared" si="222"/>
        <v>1.40016660293202i</v>
      </c>
      <c r="AO437" s="170" t="str">
        <f t="shared" si="223"/>
        <v>0.703829123814771-0.592927324886731i</v>
      </c>
      <c r="AP437" s="170" t="str">
        <f t="shared" si="224"/>
        <v>0.028300493621296-0.164246338889391i</v>
      </c>
      <c r="AQ437" s="170" t="str">
        <f t="shared" si="225"/>
        <v>0.971699506378704+0.164246338889391i</v>
      </c>
      <c r="AR437" s="170" t="str">
        <f t="shared" si="226"/>
        <v>0.83344834504067-0.140877749168065i</v>
      </c>
    </row>
    <row r="438" spans="7:44">
      <c r="G438" s="688">
        <v>44928.25</v>
      </c>
      <c r="H438" s="676">
        <f t="shared" si="218"/>
        <v>44.928249999999998</v>
      </c>
      <c r="I438" s="677">
        <f t="shared" si="198"/>
        <v>553.83265000622544</v>
      </c>
      <c r="J438" s="678">
        <f t="shared" si="199"/>
        <v>1.5689907262342317</v>
      </c>
      <c r="K438" s="678">
        <f t="shared" si="200"/>
        <v>1.0083958580535808</v>
      </c>
      <c r="L438" s="679">
        <f t="shared" si="201"/>
        <v>0.12913197766985771</v>
      </c>
      <c r="M438" s="678">
        <f t="shared" si="202"/>
        <v>1.0286790528144234</v>
      </c>
      <c r="N438" s="679">
        <f t="shared" si="203"/>
        <v>-0.23668549381662191</v>
      </c>
      <c r="O438" s="677">
        <f t="shared" si="204"/>
        <v>508126.53591948905</v>
      </c>
      <c r="P438" s="680">
        <f t="shared" si="205"/>
        <v>1.5707943587811652</v>
      </c>
      <c r="Q438" s="689">
        <f t="shared" si="227"/>
        <v>240.51530588018588</v>
      </c>
      <c r="R438" s="690">
        <f t="shared" si="228"/>
        <v>1.5666385752642993</v>
      </c>
      <c r="S438" s="677">
        <f t="shared" si="206"/>
        <v>2.1329632928358819</v>
      </c>
      <c r="T438" s="680">
        <f t="shared" si="207"/>
        <v>1.0828291142978428</v>
      </c>
      <c r="U438" s="681">
        <f t="shared" si="219"/>
        <v>0.77605780548693426</v>
      </c>
      <c r="V438" s="682">
        <f t="shared" si="220"/>
        <v>-0.87160819802648881</v>
      </c>
      <c r="W438" s="683">
        <f t="shared" si="208"/>
        <v>-23.81372030174175</v>
      </c>
      <c r="X438" s="684">
        <f t="shared" si="209"/>
        <v>-208.2780276685441</v>
      </c>
      <c r="Y438" s="687">
        <f t="shared" si="210"/>
        <v>-28.278027668544098</v>
      </c>
      <c r="AA438" s="170">
        <f t="shared" si="211"/>
        <v>44928.25</v>
      </c>
      <c r="AB438" s="170">
        <f t="shared" si="212"/>
        <v>2018547648.0625</v>
      </c>
      <c r="AD438" s="686">
        <f t="shared" si="213"/>
        <v>32.029199340844052</v>
      </c>
      <c r="AE438" s="687">
        <f t="shared" si="214"/>
        <v>-62.279647110406742</v>
      </c>
      <c r="AG438" s="686">
        <f t="shared" si="215"/>
        <v>3.6533800757068073</v>
      </c>
      <c r="AH438" s="687">
        <f t="shared" si="216"/>
        <v>-46.119438172167634</v>
      </c>
      <c r="AJ438" s="170">
        <f t="shared" si="217"/>
        <v>0</v>
      </c>
      <c r="AK438" s="170">
        <f t="shared" si="229"/>
        <v>0</v>
      </c>
      <c r="AM438" s="170" t="str">
        <f t="shared" si="221"/>
        <v>0.838241948466013+0.986830447829782i</v>
      </c>
      <c r="AN438" s="170" t="str">
        <f t="shared" si="222"/>
        <v>1.40832441967808i</v>
      </c>
      <c r="AO438" s="170" t="str">
        <f t="shared" si="223"/>
        <v>0.700712445258427-0.595205150712093i</v>
      </c>
      <c r="AP438" s="170" t="str">
        <f t="shared" si="224"/>
        <v>0.0269596752556645-0.164471741304964i</v>
      </c>
      <c r="AQ438" s="170" t="str">
        <f t="shared" si="225"/>
        <v>0.973040324744336+0.164471741304964i</v>
      </c>
      <c r="AR438" s="170" t="str">
        <f t="shared" si="226"/>
        <v>0.832300227443907-0.14068262559641i</v>
      </c>
    </row>
    <row r="439" spans="7:44">
      <c r="G439" s="688">
        <v>45188.5</v>
      </c>
      <c r="H439" s="676">
        <f t="shared" si="218"/>
        <v>45.188499999999998</v>
      </c>
      <c r="I439" s="677">
        <f t="shared" si="198"/>
        <v>557.04075356267322</v>
      </c>
      <c r="J439" s="678">
        <f t="shared" si="199"/>
        <v>1.5690011250421894</v>
      </c>
      <c r="K439" s="678">
        <f t="shared" si="200"/>
        <v>1.008492996173169</v>
      </c>
      <c r="L439" s="679">
        <f t="shared" si="201"/>
        <v>0.12987162473392116</v>
      </c>
      <c r="M439" s="678">
        <f t="shared" si="202"/>
        <v>1.0290075685436686</v>
      </c>
      <c r="N439" s="679">
        <f t="shared" si="203"/>
        <v>-0.23800545746362606</v>
      </c>
      <c r="O439" s="677">
        <f t="shared" si="204"/>
        <v>511069.8940732684</v>
      </c>
      <c r="P439" s="680">
        <f t="shared" si="205"/>
        <v>1.5707943701153668</v>
      </c>
      <c r="Q439" s="689">
        <f t="shared" si="227"/>
        <v>241.90848343371684</v>
      </c>
      <c r="R439" s="690">
        <f t="shared" si="228"/>
        <v>1.566662520349291</v>
      </c>
      <c r="S439" s="677">
        <f t="shared" si="206"/>
        <v>2.1426090016033195</v>
      </c>
      <c r="T439" s="680">
        <f t="shared" si="207"/>
        <v>1.0852170955586327</v>
      </c>
      <c r="U439" s="681">
        <f t="shared" si="219"/>
        <v>0.77422037553268275</v>
      </c>
      <c r="V439" s="682">
        <f t="shared" si="220"/>
        <v>-0.87567465088301166</v>
      </c>
      <c r="W439" s="683">
        <f t="shared" si="208"/>
        <v>-23.920059700748912</v>
      </c>
      <c r="X439" s="684">
        <f t="shared" si="209"/>
        <v>-208.68031369895471</v>
      </c>
      <c r="Y439" s="687">
        <f t="shared" si="210"/>
        <v>-28.680313698954706</v>
      </c>
      <c r="AA439" s="170">
        <f t="shared" si="211"/>
        <v>45188.5</v>
      </c>
      <c r="AB439" s="170">
        <f t="shared" si="212"/>
        <v>2042000532.25</v>
      </c>
      <c r="AD439" s="686">
        <f t="shared" si="213"/>
        <v>31.990007606248476</v>
      </c>
      <c r="AE439" s="687">
        <f t="shared" si="214"/>
        <v>-62.415097055452897</v>
      </c>
      <c r="AG439" s="686">
        <f t="shared" si="215"/>
        <v>3.6274113983154881</v>
      </c>
      <c r="AH439" s="687">
        <f t="shared" si="216"/>
        <v>-45.920293084464291</v>
      </c>
      <c r="AJ439" s="170">
        <f t="shared" si="217"/>
        <v>0</v>
      </c>
      <c r="AK439" s="170">
        <f t="shared" si="229"/>
        <v>0</v>
      </c>
      <c r="AM439" s="170" t="str">
        <f t="shared" si="221"/>
        <v>0.846297623594237+0.988117189146723i</v>
      </c>
      <c r="AN439" s="170" t="str">
        <f t="shared" si="222"/>
        <v>1.41648223642414i</v>
      </c>
      <c r="AO439" s="170" t="str">
        <f t="shared" si="223"/>
        <v>0.697585302334034-0.597464339355703i</v>
      </c>
      <c r="AP439" s="170" t="str">
        <f t="shared" si="224"/>
        <v>0.0256170627342938-0.16468619819112i</v>
      </c>
      <c r="AQ439" s="170" t="str">
        <f t="shared" si="225"/>
        <v>0.974382937265706+0.16468619819112i</v>
      </c>
      <c r="AR439" s="170" t="str">
        <f t="shared" si="226"/>
        <v>0.831156891781575-0.140478720811723i</v>
      </c>
    </row>
    <row r="440" spans="7:44">
      <c r="G440" s="688">
        <v>45448.75</v>
      </c>
      <c r="H440" s="676">
        <f t="shared" si="218"/>
        <v>45.448749999999997</v>
      </c>
      <c r="I440" s="677">
        <f t="shared" si="198"/>
        <v>560.24885717866675</v>
      </c>
      <c r="J440" s="678">
        <f t="shared" si="199"/>
        <v>1.5690114047585944</v>
      </c>
      <c r="K440" s="678">
        <f t="shared" si="200"/>
        <v>1.0085906859104159</v>
      </c>
      <c r="L440" s="679">
        <f t="shared" si="201"/>
        <v>0.13061112892151291</v>
      </c>
      <c r="M440" s="678">
        <f t="shared" si="202"/>
        <v>1.0293378759707439</v>
      </c>
      <c r="N440" s="679">
        <f t="shared" si="203"/>
        <v>-0.23932457627324391</v>
      </c>
      <c r="O440" s="677">
        <f t="shared" si="204"/>
        <v>514013.25222704787</v>
      </c>
      <c r="P440" s="680">
        <f t="shared" si="205"/>
        <v>1.570794381319764</v>
      </c>
      <c r="Q440" s="689">
        <f t="shared" si="227"/>
        <v>243.30166112436171</v>
      </c>
      <c r="R440" s="690">
        <f t="shared" si="228"/>
        <v>1.5666861912088097</v>
      </c>
      <c r="S440" s="677">
        <f t="shared" si="206"/>
        <v>2.1522668189458805</v>
      </c>
      <c r="T440" s="680">
        <f t="shared" si="207"/>
        <v>1.0875836591472929</v>
      </c>
      <c r="U440" s="681">
        <f t="shared" si="219"/>
        <v>0.7723841212365693</v>
      </c>
      <c r="V440" s="682">
        <f t="shared" si="220"/>
        <v>-0.87972993032805813</v>
      </c>
      <c r="W440" s="683">
        <f t="shared" si="208"/>
        <v>-24.026000613910309</v>
      </c>
      <c r="X440" s="684">
        <f t="shared" si="209"/>
        <v>-209.08070105950671</v>
      </c>
      <c r="Y440" s="687">
        <f t="shared" si="210"/>
        <v>-29.080701059506708</v>
      </c>
      <c r="AA440" s="170">
        <f t="shared" si="211"/>
        <v>45448.75</v>
      </c>
      <c r="AB440" s="170">
        <f t="shared" si="212"/>
        <v>2065588876.5625</v>
      </c>
      <c r="AD440" s="686">
        <f t="shared" si="213"/>
        <v>31.950943055645652</v>
      </c>
      <c r="AE440" s="687">
        <f t="shared" si="214"/>
        <v>-62.549335562802682</v>
      </c>
      <c r="AG440" s="686">
        <f t="shared" si="215"/>
        <v>3.6017854257334574</v>
      </c>
      <c r="AH440" s="687">
        <f t="shared" si="216"/>
        <v>-45.721741143240862</v>
      </c>
      <c r="AJ440" s="170">
        <f t="shared" si="217"/>
        <v>0</v>
      </c>
      <c r="AK440" s="170">
        <f t="shared" si="229"/>
        <v>0</v>
      </c>
      <c r="AM440" s="170" t="str">
        <f t="shared" si="221"/>
        <v>0.854363527554895+0.989338171655044i</v>
      </c>
      <c r="AN440" s="170" t="str">
        <f t="shared" si="222"/>
        <v>1.4246400531702i</v>
      </c>
      <c r="AO440" s="170" t="str">
        <f t="shared" si="223"/>
        <v>0.694447814697829-0.599704834672948i</v>
      </c>
      <c r="AP440" s="170" t="str">
        <f t="shared" si="224"/>
        <v>0.0242727454075175-0.164889695275841i</v>
      </c>
      <c r="AQ440" s="170" t="str">
        <f t="shared" si="225"/>
        <v>0.975727254592483+0.164889695275841i</v>
      </c>
      <c r="AR440" s="170" t="str">
        <f t="shared" si="226"/>
        <v>0.830018386747149-0.140266122750915i</v>
      </c>
    </row>
    <row r="441" spans="7:44">
      <c r="G441" s="688">
        <v>45709</v>
      </c>
      <c r="H441" s="676">
        <f t="shared" si="218"/>
        <v>45.709000000000003</v>
      </c>
      <c r="I441" s="677">
        <f t="shared" si="198"/>
        <v>563.45696085318912</v>
      </c>
      <c r="J441" s="678">
        <f t="shared" si="199"/>
        <v>1.5690215674176271</v>
      </c>
      <c r="K441" s="678">
        <f t="shared" si="200"/>
        <v>1.0086889271050523</v>
      </c>
      <c r="L441" s="679">
        <f t="shared" si="201"/>
        <v>0.131350489465443</v>
      </c>
      <c r="M441" s="678">
        <f t="shared" si="202"/>
        <v>1.0296699733713752</v>
      </c>
      <c r="N441" s="679">
        <f t="shared" si="203"/>
        <v>-0.24064284647000841</v>
      </c>
      <c r="O441" s="677">
        <f t="shared" si="204"/>
        <v>516956.61038082727</v>
      </c>
      <c r="P441" s="680">
        <f t="shared" si="205"/>
        <v>1.5707943923965739</v>
      </c>
      <c r="Q441" s="689">
        <f t="shared" si="227"/>
        <v>244.6948389497785</v>
      </c>
      <c r="R441" s="690">
        <f t="shared" si="228"/>
        <v>1.5667095925267627</v>
      </c>
      <c r="S441" s="677">
        <f t="shared" si="206"/>
        <v>2.1619365825890502</v>
      </c>
      <c r="T441" s="680">
        <f t="shared" si="207"/>
        <v>1.0899290657630636</v>
      </c>
      <c r="U441" s="681">
        <f t="shared" si="219"/>
        <v>0.77054911432040152</v>
      </c>
      <c r="V441" s="682">
        <f t="shared" si="220"/>
        <v>-0.88377408390224765</v>
      </c>
      <c r="W441" s="683">
        <f t="shared" si="208"/>
        <v>-24.131545960407131</v>
      </c>
      <c r="X441" s="684">
        <f t="shared" si="209"/>
        <v>-209.47920708699027</v>
      </c>
      <c r="Y441" s="687">
        <f t="shared" si="210"/>
        <v>-29.479207086990272</v>
      </c>
      <c r="AA441" s="170">
        <f t="shared" si="211"/>
        <v>45709</v>
      </c>
      <c r="AB441" s="170">
        <f t="shared" si="212"/>
        <v>2089312681</v>
      </c>
      <c r="AD441" s="686">
        <f t="shared" si="213"/>
        <v>31.912005421207262</v>
      </c>
      <c r="AE441" s="687">
        <f t="shared" si="214"/>
        <v>-62.682377301181106</v>
      </c>
      <c r="AG441" s="686">
        <f t="shared" si="215"/>
        <v>3.5764981667090856</v>
      </c>
      <c r="AH441" s="687">
        <f t="shared" si="216"/>
        <v>-45.523779568808848</v>
      </c>
      <c r="AJ441" s="170">
        <f t="shared" si="217"/>
        <v>0</v>
      </c>
      <c r="AK441" s="170">
        <f t="shared" si="229"/>
        <v>0</v>
      </c>
      <c r="AM441" s="170" t="str">
        <f t="shared" si="221"/>
        <v>0.862439123565267+0.990493314098842i</v>
      </c>
      <c r="AN441" s="170" t="str">
        <f t="shared" si="222"/>
        <v>1.43279786991626i</v>
      </c>
      <c r="AO441" s="170" t="str">
        <f t="shared" si="223"/>
        <v>0.691300102335252-0.601926581322788i</v>
      </c>
      <c r="AP441" s="170" t="str">
        <f t="shared" si="224"/>
        <v>0.0229268127391222-0.165082219016474i</v>
      </c>
      <c r="AQ441" s="170" t="str">
        <f t="shared" si="225"/>
        <v>0.977073187260878+0.165082219016474i</v>
      </c>
      <c r="AR441" s="170" t="str">
        <f t="shared" si="226"/>
        <v>0.828884759665258-0.140044919069039i</v>
      </c>
    </row>
    <row r="442" spans="7:44">
      <c r="G442" s="688">
        <v>45975.25</v>
      </c>
      <c r="H442" s="676">
        <f t="shared" si="218"/>
        <v>45.975250000000003</v>
      </c>
      <c r="I442" s="677">
        <f t="shared" si="198"/>
        <v>566.73902663161277</v>
      </c>
      <c r="J442" s="678">
        <f t="shared" si="199"/>
        <v>1.569031845310636</v>
      </c>
      <c r="K442" s="678">
        <f t="shared" si="200"/>
        <v>1.0087900037328712</v>
      </c>
      <c r="L442" s="679">
        <f t="shared" si="201"/>
        <v>0.13210674633720648</v>
      </c>
      <c r="M442" s="678">
        <f t="shared" si="202"/>
        <v>1.0300115777410572</v>
      </c>
      <c r="N442" s="679">
        <f t="shared" si="203"/>
        <v>-0.2419906269584241</v>
      </c>
      <c r="O442" s="677">
        <f t="shared" si="204"/>
        <v>519967.82693584665</v>
      </c>
      <c r="P442" s="680">
        <f t="shared" si="205"/>
        <v>1.5707944035989829</v>
      </c>
      <c r="Q442" s="689">
        <f t="shared" si="227"/>
        <v>246.12013628577375</v>
      </c>
      <c r="R442" s="690">
        <f t="shared" si="228"/>
        <v>1.5667332591949994</v>
      </c>
      <c r="S442" s="677">
        <f t="shared" si="206"/>
        <v>2.1718414764708642</v>
      </c>
      <c r="T442" s="680">
        <f t="shared" si="207"/>
        <v>1.0923069188722174</v>
      </c>
      <c r="U442" s="681">
        <f t="shared" si="219"/>
        <v>0.76867316603208957</v>
      </c>
      <c r="V442" s="682">
        <f t="shared" si="220"/>
        <v>-0.88790001091688675</v>
      </c>
      <c r="W442" s="683">
        <f t="shared" si="208"/>
        <v>-24.239118284290541</v>
      </c>
      <c r="X442" s="684">
        <f t="shared" si="209"/>
        <v>-209.88497156768221</v>
      </c>
      <c r="Y442" s="687">
        <f t="shared" si="210"/>
        <v>-29.884971567682214</v>
      </c>
      <c r="AA442" s="170">
        <f t="shared" si="211"/>
        <v>45975.25</v>
      </c>
      <c r="AB442" s="170">
        <f t="shared" si="212"/>
        <v>2113723612.5625</v>
      </c>
      <c r="AD442" s="686">
        <f t="shared" si="213"/>
        <v>31.872301135990003</v>
      </c>
      <c r="AE442" s="687">
        <f t="shared" si="214"/>
        <v>-62.817262890437469</v>
      </c>
      <c r="AG442" s="686">
        <f t="shared" si="215"/>
        <v>3.5509743380371681</v>
      </c>
      <c r="AH442" s="687">
        <f t="shared" si="216"/>
        <v>-45.321862050668479</v>
      </c>
      <c r="AJ442" s="170">
        <f t="shared" si="217"/>
        <v>0</v>
      </c>
      <c r="AK442" s="170">
        <f t="shared" si="229"/>
        <v>0</v>
      </c>
      <c r="AM442" s="170" t="str">
        <f t="shared" si="221"/>
        <v>0.870710369827051+0.991606873478468i</v>
      </c>
      <c r="AN442" s="170" t="str">
        <f t="shared" si="222"/>
        <v>1.44114376312909i</v>
      </c>
      <c r="AO442" s="170" t="str">
        <f t="shared" si="223"/>
        <v>0.688069364658969-0.604180090913704i</v>
      </c>
      <c r="AP442" s="170" t="str">
        <f t="shared" si="224"/>
        <v>0.0215482716954915-0.165267812246411i</v>
      </c>
      <c r="AQ442" s="170" t="str">
        <f t="shared" si="225"/>
        <v>0.978451728304509+0.165267812246411i</v>
      </c>
      <c r="AR442" s="170" t="str">
        <f t="shared" si="226"/>
        <v>0.827730092962748-0.139809801175903i</v>
      </c>
    </row>
    <row r="443" spans="7:44">
      <c r="G443" s="688">
        <v>46241.5</v>
      </c>
      <c r="H443" s="676">
        <f t="shared" si="218"/>
        <v>46.241500000000002</v>
      </c>
      <c r="I443" s="677">
        <f t="shared" si="198"/>
        <v>570.02109246921452</v>
      </c>
      <c r="J443" s="678">
        <f t="shared" si="199"/>
        <v>1.5690420048475993</v>
      </c>
      <c r="K443" s="678">
        <f t="shared" si="200"/>
        <v>1.0088916571965674</v>
      </c>
      <c r="L443" s="679">
        <f t="shared" si="201"/>
        <v>0.13286285124413513</v>
      </c>
      <c r="M443" s="678">
        <f t="shared" si="202"/>
        <v>1.0303550518967572</v>
      </c>
      <c r="N443" s="679">
        <f t="shared" si="203"/>
        <v>-0.24333751131300094</v>
      </c>
      <c r="O443" s="677">
        <f t="shared" si="204"/>
        <v>522979.04349086614</v>
      </c>
      <c r="P443" s="680">
        <f t="shared" si="205"/>
        <v>1.5707944146723891</v>
      </c>
      <c r="Q443" s="689">
        <f t="shared" si="227"/>
        <v>247.54543375803618</v>
      </c>
      <c r="R443" s="690">
        <f t="shared" si="228"/>
        <v>1.566756653331117</v>
      </c>
      <c r="S443" s="677">
        <f t="shared" si="206"/>
        <v>2.1817585388076894</v>
      </c>
      <c r="T443" s="680">
        <f t="shared" si="207"/>
        <v>1.0946631684047092</v>
      </c>
      <c r="U443" s="681">
        <f t="shared" si="219"/>
        <v>0.76679867097166998</v>
      </c>
      <c r="V443" s="682">
        <f t="shared" si="220"/>
        <v>-0.89201439525121884</v>
      </c>
      <c r="W443" s="683">
        <f t="shared" si="208"/>
        <v>-24.346282659137721</v>
      </c>
      <c r="X443" s="684">
        <f t="shared" si="209"/>
        <v>-210.28880309624475</v>
      </c>
      <c r="Y443" s="687">
        <f t="shared" si="210"/>
        <v>-30.288803096244749</v>
      </c>
      <c r="AA443" s="170">
        <f t="shared" si="211"/>
        <v>46241.5</v>
      </c>
      <c r="AB443" s="170">
        <f t="shared" si="212"/>
        <v>2138276322.25</v>
      </c>
      <c r="AD443" s="686">
        <f t="shared" si="213"/>
        <v>31.832729080816978</v>
      </c>
      <c r="AE443" s="687">
        <f t="shared" si="214"/>
        <v>-62.950926293476229</v>
      </c>
      <c r="AG443" s="686">
        <f t="shared" si="215"/>
        <v>3.5257967730147821</v>
      </c>
      <c r="AH443" s="687">
        <f t="shared" si="216"/>
        <v>-45.120556460349597</v>
      </c>
      <c r="AJ443" s="170">
        <f t="shared" si="217"/>
        <v>0</v>
      </c>
      <c r="AK443" s="170">
        <f t="shared" si="229"/>
        <v>0</v>
      </c>
      <c r="AM443" s="170" t="str">
        <f t="shared" si="221"/>
        <v>0.878990621567867+0.992651363939761i</v>
      </c>
      <c r="AN443" s="170" t="str">
        <f t="shared" si="222"/>
        <v>1.44948965634192i</v>
      </c>
      <c r="AO443" s="170" t="str">
        <f t="shared" si="223"/>
        <v>0.684828180454159-0.606413862784076i</v>
      </c>
      <c r="AP443" s="170" t="str">
        <f t="shared" si="224"/>
        <v>0.0201682297386888-0.16544189398996i</v>
      </c>
      <c r="AQ443" s="170" t="str">
        <f t="shared" si="225"/>
        <v>0.979831770261311+0.16544189398996i</v>
      </c>
      <c r="AR443" s="170" t="str">
        <f t="shared" si="226"/>
        <v>0.826580627629122-0.139565860917024i</v>
      </c>
    </row>
    <row r="444" spans="7:44">
      <c r="G444" s="688">
        <v>46507.75</v>
      </c>
      <c r="H444" s="676">
        <f t="shared" si="218"/>
        <v>46.507750000000001</v>
      </c>
      <c r="I444" s="677">
        <f t="shared" si="198"/>
        <v>573.30315836497812</v>
      </c>
      <c r="J444" s="678">
        <f t="shared" si="199"/>
        <v>1.5690520480612213</v>
      </c>
      <c r="K444" s="678">
        <f t="shared" si="200"/>
        <v>1.0089938873217961</v>
      </c>
      <c r="L444" s="679">
        <f t="shared" si="201"/>
        <v>0.13361880336776813</v>
      </c>
      <c r="M444" s="678">
        <f t="shared" si="202"/>
        <v>1.0307003939691939</v>
      </c>
      <c r="N444" s="679">
        <f t="shared" si="203"/>
        <v>-0.24468349554532429</v>
      </c>
      <c r="O444" s="677">
        <f t="shared" si="204"/>
        <v>525990.26004588557</v>
      </c>
      <c r="P444" s="680">
        <f t="shared" si="205"/>
        <v>1.5707944256190081</v>
      </c>
      <c r="Q444" s="689">
        <f t="shared" si="227"/>
        <v>248.97073136422551</v>
      </c>
      <c r="R444" s="690">
        <f t="shared" si="228"/>
        <v>1.5667797796156326</v>
      </c>
      <c r="S444" s="677">
        <f t="shared" si="206"/>
        <v>2.1916876044181528</v>
      </c>
      <c r="T444" s="680">
        <f t="shared" si="207"/>
        <v>1.0969980816322586</v>
      </c>
      <c r="U444" s="681">
        <f t="shared" si="219"/>
        <v>0.76492570170753726</v>
      </c>
      <c r="V444" s="682">
        <f t="shared" si="220"/>
        <v>-0.89611728925157663</v>
      </c>
      <c r="W444" s="683">
        <f t="shared" si="208"/>
        <v>-24.453042096863882</v>
      </c>
      <c r="X444" s="684">
        <f t="shared" si="209"/>
        <v>-210.69071965223685</v>
      </c>
      <c r="Y444" s="687">
        <f t="shared" si="210"/>
        <v>-30.690719652236851</v>
      </c>
      <c r="AA444" s="170">
        <f t="shared" si="211"/>
        <v>46507.75</v>
      </c>
      <c r="AB444" s="170">
        <f t="shared" si="212"/>
        <v>2162970810.0625</v>
      </c>
      <c r="AD444" s="686">
        <f t="shared" si="213"/>
        <v>31.793288930959541</v>
      </c>
      <c r="AE444" s="687">
        <f t="shared" si="214"/>
        <v>-63.083382555791921</v>
      </c>
      <c r="AG444" s="686">
        <f t="shared" si="215"/>
        <v>3.5009614012398673</v>
      </c>
      <c r="AH444" s="687">
        <f t="shared" si="216"/>
        <v>-44.91985973346867</v>
      </c>
      <c r="AJ444" s="170">
        <f t="shared" si="217"/>
        <v>0</v>
      </c>
      <c r="AK444" s="170">
        <f t="shared" si="229"/>
        <v>0</v>
      </c>
      <c r="AM444" s="170" t="str">
        <f t="shared" si="221"/>
        <v>0.88727930203896+0.993626712730277i</v>
      </c>
      <c r="AN444" s="170" t="str">
        <f t="shared" si="222"/>
        <v>1.45783554955475i</v>
      </c>
      <c r="AO444" s="170" t="str">
        <f t="shared" si="223"/>
        <v>0.681576679230898-0.60862784030061i</v>
      </c>
      <c r="AP444" s="170" t="str">
        <f t="shared" si="224"/>
        <v>0.0187867829935067-0.165604452121713i</v>
      </c>
      <c r="AQ444" s="170" t="str">
        <f t="shared" si="225"/>
        <v>0.981213217006493+0.165604452121713i</v>
      </c>
      <c r="AR444" s="170" t="str">
        <f t="shared" si="226"/>
        <v>0.825436410019148-0.139313191132473i</v>
      </c>
    </row>
    <row r="445" spans="7:44">
      <c r="G445" s="688">
        <v>46774</v>
      </c>
      <c r="H445" s="676">
        <f t="shared" si="218"/>
        <v>46.774000000000001</v>
      </c>
      <c r="I445" s="677">
        <f t="shared" si="198"/>
        <v>576.58522431791016</v>
      </c>
      <c r="J445" s="678">
        <f t="shared" si="199"/>
        <v>1.5690619769379237</v>
      </c>
      <c r="K445" s="678">
        <f t="shared" si="200"/>
        <v>1.0090966939332957</v>
      </c>
      <c r="L445" s="679">
        <f t="shared" si="201"/>
        <v>0.13437460189067385</v>
      </c>
      <c r="M445" s="678">
        <f t="shared" si="202"/>
        <v>1.0310476020814305</v>
      </c>
      <c r="N445" s="679">
        <f t="shared" si="203"/>
        <v>-0.24602857568535436</v>
      </c>
      <c r="O445" s="677">
        <f t="shared" si="204"/>
        <v>529001.4766009053</v>
      </c>
      <c r="P445" s="680">
        <f t="shared" si="205"/>
        <v>1.5707944364410049</v>
      </c>
      <c r="Q445" s="689">
        <f t="shared" si="227"/>
        <v>250.39602910205477</v>
      </c>
      <c r="R445" s="690">
        <f t="shared" si="228"/>
        <v>1.5668026426224948</v>
      </c>
      <c r="S445" s="677">
        <f t="shared" si="206"/>
        <v>2.2016285109025304</v>
      </c>
      <c r="T445" s="680">
        <f t="shared" si="207"/>
        <v>1.0993119219387317</v>
      </c>
      <c r="U445" s="681">
        <f t="shared" si="219"/>
        <v>0.76305432940787599</v>
      </c>
      <c r="V445" s="682">
        <f t="shared" si="220"/>
        <v>-0.90020874572163079</v>
      </c>
      <c r="W445" s="683">
        <f t="shared" si="208"/>
        <v>-24.559399572552589</v>
      </c>
      <c r="X445" s="684">
        <f t="shared" si="209"/>
        <v>-211.09073902310845</v>
      </c>
      <c r="Y445" s="687">
        <f t="shared" si="210"/>
        <v>-31.090739023108455</v>
      </c>
      <c r="AA445" s="170">
        <f t="shared" si="211"/>
        <v>46774</v>
      </c>
      <c r="AB445" s="170">
        <f t="shared" si="212"/>
        <v>2187807076</v>
      </c>
      <c r="AD445" s="686">
        <f t="shared" si="213"/>
        <v>31.753980349987671</v>
      </c>
      <c r="AE445" s="687">
        <f t="shared" si="214"/>
        <v>-63.214646506224639</v>
      </c>
      <c r="AG445" s="686">
        <f t="shared" si="215"/>
        <v>3.4764642180971252</v>
      </c>
      <c r="AH445" s="687">
        <f t="shared" si="216"/>
        <v>-44.719768777780658</v>
      </c>
      <c r="AJ445" s="170">
        <f t="shared" si="217"/>
        <v>0</v>
      </c>
      <c r="AK445" s="170">
        <f t="shared" si="229"/>
        <v>0</v>
      </c>
      <c r="AM445" s="170" t="str">
        <f t="shared" si="221"/>
        <v>0.895575833904481+0.994532851913528i</v>
      </c>
      <c r="AN445" s="170" t="str">
        <f t="shared" si="222"/>
        <v>1.46618144276758i</v>
      </c>
      <c r="AO445" s="170" t="str">
        <f t="shared" si="223"/>
        <v>0.67831499083513-0.610821967719072i</v>
      </c>
      <c r="AP445" s="170" t="str">
        <f t="shared" si="224"/>
        <v>0.0174040276825865-0.165755475318921i</v>
      </c>
      <c r="AQ445" s="170" t="str">
        <f t="shared" si="225"/>
        <v>0.982595972317413+0.165755475318921i</v>
      </c>
      <c r="AR445" s="170" t="str">
        <f t="shared" si="226"/>
        <v>0.824297485075075-0.139051884286244i</v>
      </c>
    </row>
    <row r="446" spans="7:44">
      <c r="G446" s="688">
        <v>47046.25</v>
      </c>
      <c r="H446" s="676">
        <f t="shared" si="218"/>
        <v>47.046250000000001</v>
      </c>
      <c r="I446" s="677">
        <f t="shared" si="198"/>
        <v>579.94125237859021</v>
      </c>
      <c r="J446" s="678">
        <f t="shared" si="199"/>
        <v>1.5690720133554896</v>
      </c>
      <c r="K446" s="678">
        <f t="shared" si="200"/>
        <v>1.009202413249463</v>
      </c>
      <c r="L446" s="679">
        <f t="shared" si="201"/>
        <v>0.13514727281056582</v>
      </c>
      <c r="M446" s="678">
        <f t="shared" si="202"/>
        <v>1.0314045622294445</v>
      </c>
      <c r="N446" s="679">
        <f t="shared" si="203"/>
        <v>-0.24740302849099907</v>
      </c>
      <c r="O446" s="677">
        <f t="shared" si="204"/>
        <v>532080.55155716476</v>
      </c>
      <c r="P446" s="680">
        <f t="shared" si="205"/>
        <v>1.5707944473802158</v>
      </c>
      <c r="Q446" s="689">
        <f t="shared" si="227"/>
        <v>251.85344635931989</v>
      </c>
      <c r="R446" s="690">
        <f t="shared" si="228"/>
        <v>1.5668257532647896</v>
      </c>
      <c r="S446" s="677">
        <f t="shared" si="206"/>
        <v>2.2118055156159855</v>
      </c>
      <c r="T446" s="680">
        <f t="shared" si="207"/>
        <v>1.1016563849166241</v>
      </c>
      <c r="U446" s="681">
        <f t="shared" si="219"/>
        <v>0.76114250938152483</v>
      </c>
      <c r="V446" s="682">
        <f t="shared" si="220"/>
        <v>-0.90438063244891032</v>
      </c>
      <c r="W446" s="683">
        <f t="shared" si="208"/>
        <v>-24.667741246587475</v>
      </c>
      <c r="X446" s="684">
        <f t="shared" si="209"/>
        <v>-211.4978294506256</v>
      </c>
      <c r="Y446" s="687">
        <f t="shared" si="210"/>
        <v>-31.497829450625602</v>
      </c>
      <c r="AA446" s="170">
        <f t="shared" si="211"/>
        <v>47046.25</v>
      </c>
      <c r="AB446" s="170">
        <f t="shared" si="212"/>
        <v>2213349639.0625</v>
      </c>
      <c r="AD446" s="686">
        <f t="shared" si="213"/>
        <v>31.713921629318659</v>
      </c>
      <c r="AE446" s="687">
        <f t="shared" si="214"/>
        <v>-63.347650824739816</v>
      </c>
      <c r="AG446" s="686">
        <f t="shared" si="215"/>
        <v>3.4517605874087547</v>
      </c>
      <c r="AH446" s="687">
        <f t="shared" si="216"/>
        <v>-44.515791882076833</v>
      </c>
      <c r="AJ446" s="170">
        <f t="shared" si="217"/>
        <v>0</v>
      </c>
      <c r="AK446" s="170">
        <f t="shared" si="229"/>
        <v>0</v>
      </c>
      <c r="AM446" s="170" t="str">
        <f t="shared" si="221"/>
        <v>0.904066846600385+0.995387778746959i</v>
      </c>
      <c r="AN446" s="170" t="str">
        <f t="shared" si="222"/>
        <v>1.47471541244718i</v>
      </c>
      <c r="AO446" s="170" t="str">
        <f t="shared" si="223"/>
        <v>0.674969401109864-0.613044956992857i</v>
      </c>
      <c r="AP446" s="170" t="str">
        <f t="shared" si="224"/>
        <v>0.0159888588999358-0.165897963124493i</v>
      </c>
      <c r="AQ446" s="170" t="str">
        <f t="shared" si="225"/>
        <v>0.984011141100064+0.165897963124493i</v>
      </c>
      <c r="AR446" s="170" t="str">
        <f t="shared" si="226"/>
        <v>0.82313841249873-0.138775853544103i</v>
      </c>
    </row>
    <row r="447" spans="7:44">
      <c r="G447" s="688">
        <v>47318.5</v>
      </c>
      <c r="H447" s="676">
        <f t="shared" si="218"/>
        <v>47.3185</v>
      </c>
      <c r="I447" s="677">
        <f t="shared" si="198"/>
        <v>583.29728049701521</v>
      </c>
      <c r="J447" s="678">
        <f t="shared" si="199"/>
        <v>1.5690819342830629</v>
      </c>
      <c r="K447" s="678">
        <f t="shared" si="200"/>
        <v>1.0093087349535792</v>
      </c>
      <c r="L447" s="679">
        <f t="shared" si="201"/>
        <v>0.13591978140355318</v>
      </c>
      <c r="M447" s="678">
        <f t="shared" si="202"/>
        <v>1.0317634694746178</v>
      </c>
      <c r="N447" s="679">
        <f t="shared" si="203"/>
        <v>-0.248776527660859</v>
      </c>
      <c r="O447" s="677">
        <f t="shared" si="204"/>
        <v>535159.62651342445</v>
      </c>
      <c r="P447" s="680">
        <f t="shared" si="205"/>
        <v>1.5707944581935476</v>
      </c>
      <c r="Q447" s="689">
        <f t="shared" si="227"/>
        <v>253.31086374955257</v>
      </c>
      <c r="R447" s="690">
        <f t="shared" si="228"/>
        <v>1.5668485979741518</v>
      </c>
      <c r="S447" s="677">
        <f t="shared" si="206"/>
        <v>2.2219945661314666</v>
      </c>
      <c r="T447" s="680">
        <f t="shared" si="207"/>
        <v>1.1039793592961642</v>
      </c>
      <c r="U447" s="681">
        <f t="shared" si="219"/>
        <v>0.75923250518328267</v>
      </c>
      <c r="V447" s="682">
        <f t="shared" si="220"/>
        <v>-0.90854067341141298</v>
      </c>
      <c r="W447" s="683">
        <f t="shared" si="208"/>
        <v>-24.775668814656964</v>
      </c>
      <c r="X447" s="684">
        <f t="shared" si="209"/>
        <v>-211.90297323369452</v>
      </c>
      <c r="Y447" s="687">
        <f t="shared" si="210"/>
        <v>-31.902973233694524</v>
      </c>
      <c r="AA447" s="170">
        <f t="shared" si="211"/>
        <v>47318.5</v>
      </c>
      <c r="AB447" s="170">
        <f t="shared" si="212"/>
        <v>2239040442.25</v>
      </c>
      <c r="AD447" s="686">
        <f t="shared" si="213"/>
        <v>31.673999727536284</v>
      </c>
      <c r="AE447" s="687">
        <f t="shared" si="214"/>
        <v>-63.479439166882678</v>
      </c>
      <c r="AG447" s="686">
        <f t="shared" si="215"/>
        <v>3.4274022955992405</v>
      </c>
      <c r="AH447" s="687">
        <f t="shared" si="216"/>
        <v>-44.312441742952259</v>
      </c>
      <c r="AJ447" s="170">
        <f t="shared" si="217"/>
        <v>0</v>
      </c>
      <c r="AK447" s="170">
        <f t="shared" si="229"/>
        <v>0</v>
      </c>
      <c r="AM447" s="170" t="str">
        <f t="shared" si="221"/>
        <v>0.912564845934825+0.996170213283653i</v>
      </c>
      <c r="AN447" s="170" t="str">
        <f t="shared" si="222"/>
        <v>1.48324938212677i</v>
      </c>
      <c r="AO447" s="170" t="str">
        <f t="shared" si="223"/>
        <v>0.671613435533872-0.615247076406218i</v>
      </c>
      <c r="AP447" s="170" t="str">
        <f t="shared" si="224"/>
        <v>0.0145725256775292-0.166028368880609i</v>
      </c>
      <c r="AQ447" s="170" t="str">
        <f t="shared" si="225"/>
        <v>0.985427474322471+0.166028368880609i</v>
      </c>
      <c r="AR447" s="170" t="str">
        <f t="shared" si="226"/>
        <v>0.82198496443341-0.138490986343867i</v>
      </c>
    </row>
    <row r="448" spans="7:44">
      <c r="G448" s="688">
        <v>47590.75</v>
      </c>
      <c r="H448" s="676">
        <f t="shared" si="218"/>
        <v>47.59075</v>
      </c>
      <c r="I448" s="677">
        <f t="shared" si="198"/>
        <v>586.65330867219438</v>
      </c>
      <c r="J448" s="678">
        <f t="shared" si="199"/>
        <v>1.5690917417026691</v>
      </c>
      <c r="K448" s="678">
        <f t="shared" si="200"/>
        <v>1.0094156588552956</v>
      </c>
      <c r="L448" s="679">
        <f t="shared" si="201"/>
        <v>0.13669212679905662</v>
      </c>
      <c r="M448" s="678">
        <f t="shared" si="202"/>
        <v>1.0321243217857201</v>
      </c>
      <c r="N448" s="679">
        <f t="shared" si="203"/>
        <v>-0.25014906901027695</v>
      </c>
      <c r="O448" s="677">
        <f t="shared" si="204"/>
        <v>538238.70146968402</v>
      </c>
      <c r="P448" s="680">
        <f t="shared" si="205"/>
        <v>1.570794468883161</v>
      </c>
      <c r="Q448" s="689">
        <f t="shared" si="227"/>
        <v>254.76828127047079</v>
      </c>
      <c r="R448" s="690">
        <f t="shared" si="228"/>
        <v>1.5668711813144141</v>
      </c>
      <c r="S448" s="677">
        <f t="shared" si="206"/>
        <v>2.2321954974966474</v>
      </c>
      <c r="T448" s="680">
        <f t="shared" si="207"/>
        <v>1.1062811144368001</v>
      </c>
      <c r="U448" s="681">
        <f t="shared" si="219"/>
        <v>0.75732438844678573</v>
      </c>
      <c r="V448" s="682">
        <f t="shared" si="220"/>
        <v>-0.91268892645612676</v>
      </c>
      <c r="W448" s="683">
        <f t="shared" si="208"/>
        <v>-24.883185342887558</v>
      </c>
      <c r="X448" s="684">
        <f t="shared" si="209"/>
        <v>-212.30618878217754</v>
      </c>
      <c r="Y448" s="687">
        <f t="shared" si="210"/>
        <v>-32.306188782177543</v>
      </c>
      <c r="AA448" s="170">
        <f t="shared" si="211"/>
        <v>47590.75</v>
      </c>
      <c r="AB448" s="170">
        <f t="shared" si="212"/>
        <v>2264879485.5625</v>
      </c>
      <c r="AD448" s="686">
        <f t="shared" si="213"/>
        <v>31.634214250328128</v>
      </c>
      <c r="AE448" s="687">
        <f t="shared" si="214"/>
        <v>-63.610026704448281</v>
      </c>
      <c r="AG448" s="686">
        <f t="shared" si="215"/>
        <v>3.4033852660025641</v>
      </c>
      <c r="AH448" s="687">
        <f t="shared" si="216"/>
        <v>-44.109714969697691</v>
      </c>
      <c r="AJ448" s="170">
        <f t="shared" si="217"/>
        <v>0</v>
      </c>
      <c r="AK448" s="170">
        <f t="shared" si="229"/>
        <v>0</v>
      </c>
      <c r="AM448" s="170" t="str">
        <f t="shared" si="221"/>
        <v>0.921069213013855+0.996880098540315i</v>
      </c>
      <c r="AN448" s="170" t="str">
        <f t="shared" si="222"/>
        <v>1.49178335180637i</v>
      </c>
      <c r="AO448" s="170" t="str">
        <f t="shared" si="223"/>
        <v>0.668247233978857-0.6174282692581i</v>
      </c>
      <c r="AP448" s="170" t="str">
        <f t="shared" si="224"/>
        <v>0.0131551311643575-0.166146683090053i</v>
      </c>
      <c r="AQ448" s="170" t="str">
        <f t="shared" si="225"/>
        <v>0.986844868835642+0.166146683090053i</v>
      </c>
      <c r="AR448" s="170" t="str">
        <f t="shared" si="226"/>
        <v>0.820837184490685-0.138197380223516i</v>
      </c>
    </row>
    <row r="449" spans="7:44">
      <c r="G449" s="688">
        <v>47863</v>
      </c>
      <c r="H449" s="676">
        <f t="shared" si="218"/>
        <v>47.863</v>
      </c>
      <c r="I449" s="677">
        <f t="shared" si="198"/>
        <v>590.00933690315901</v>
      </c>
      <c r="J449" s="678">
        <f t="shared" si="199"/>
        <v>1.5691014375512384</v>
      </c>
      <c r="K449" s="678">
        <f t="shared" si="200"/>
        <v>1.0095231847632664</v>
      </c>
      <c r="L449" s="679">
        <f t="shared" si="201"/>
        <v>0.13746430812764365</v>
      </c>
      <c r="M449" s="678">
        <f t="shared" si="202"/>
        <v>1.0324871171233609</v>
      </c>
      <c r="N449" s="679">
        <f t="shared" si="203"/>
        <v>-0.25152064837486532</v>
      </c>
      <c r="O449" s="677">
        <f t="shared" si="204"/>
        <v>541317.77642594371</v>
      </c>
      <c r="P449" s="680">
        <f t="shared" si="205"/>
        <v>1.570794479451167</v>
      </c>
      <c r="Q449" s="689">
        <f t="shared" si="227"/>
        <v>256.22569891984455</v>
      </c>
      <c r="R449" s="690">
        <f t="shared" si="228"/>
        <v>1.566893507745573</v>
      </c>
      <c r="S449" s="677">
        <f t="shared" si="206"/>
        <v>2.2424081475701327</v>
      </c>
      <c r="T449" s="680">
        <f t="shared" si="207"/>
        <v>1.1085619156989384</v>
      </c>
      <c r="U449" s="681">
        <f t="shared" si="219"/>
        <v>0.75541822933374192</v>
      </c>
      <c r="V449" s="682">
        <f t="shared" si="220"/>
        <v>-0.91682544986938874</v>
      </c>
      <c r="W449" s="683">
        <f t="shared" si="208"/>
        <v>-24.990293860314061</v>
      </c>
      <c r="X449" s="684">
        <f t="shared" si="209"/>
        <v>-212.70749430643997</v>
      </c>
      <c r="Y449" s="687">
        <f t="shared" si="210"/>
        <v>-32.707494306439969</v>
      </c>
      <c r="AA449" s="170">
        <f t="shared" si="211"/>
        <v>47863</v>
      </c>
      <c r="AB449" s="170">
        <f t="shared" si="212"/>
        <v>2290866769</v>
      </c>
      <c r="AD449" s="686">
        <f t="shared" si="213"/>
        <v>31.594564792777277</v>
      </c>
      <c r="AE449" s="687">
        <f t="shared" si="214"/>
        <v>-63.739428386049923</v>
      </c>
      <c r="AG449" s="686">
        <f t="shared" si="215"/>
        <v>3.379705488224598</v>
      </c>
      <c r="AH449" s="687">
        <f t="shared" si="216"/>
        <v>-43.907608144942927</v>
      </c>
      <c r="AJ449" s="170">
        <f t="shared" si="217"/>
        <v>0</v>
      </c>
      <c r="AK449" s="170">
        <f t="shared" si="229"/>
        <v>0</v>
      </c>
      <c r="AM449" s="170" t="str">
        <f t="shared" si="221"/>
        <v>0.92957932847975+0.997517382817281i</v>
      </c>
      <c r="AN449" s="170" t="str">
        <f t="shared" si="222"/>
        <v>1.50031732148597i</v>
      </c>
      <c r="AO449" s="170" t="str">
        <f t="shared" si="223"/>
        <v>0.664870936655789-0.619588479828427i</v>
      </c>
      <c r="AP449" s="170" t="str">
        <f t="shared" si="224"/>
        <v>0.0117367785867084-0.166252897136213i</v>
      </c>
      <c r="AQ449" s="170" t="str">
        <f t="shared" si="225"/>
        <v>0.988263221413292+0.166252897136213i</v>
      </c>
      <c r="AR449" s="170" t="str">
        <f t="shared" si="226"/>
        <v>0.819695114834706-0.137895132245015i</v>
      </c>
    </row>
    <row r="450" spans="7:44">
      <c r="G450" s="688">
        <v>48141.75</v>
      </c>
      <c r="H450" s="676">
        <f t="shared" si="218"/>
        <v>48.141750000000002</v>
      </c>
      <c r="I450" s="677">
        <f t="shared" si="198"/>
        <v>593.44549075016801</v>
      </c>
      <c r="J450" s="678">
        <f t="shared" si="199"/>
        <v>1.5691112512676015</v>
      </c>
      <c r="K450" s="678">
        <f t="shared" si="200"/>
        <v>1.0096339014010411</v>
      </c>
      <c r="L450" s="679">
        <f t="shared" si="201"/>
        <v>0.1382547544779571</v>
      </c>
      <c r="M450" s="678">
        <f t="shared" si="202"/>
        <v>1.0328605852682831</v>
      </c>
      <c r="N450" s="679">
        <f t="shared" si="203"/>
        <v>-0.25292397331625643</v>
      </c>
      <c r="O450" s="677">
        <f t="shared" si="204"/>
        <v>544470.36465021339</v>
      </c>
      <c r="P450" s="680">
        <f t="shared" si="205"/>
        <v>1.5707944901476429</v>
      </c>
      <c r="Q450" s="689">
        <f t="shared" si="227"/>
        <v>257.71791271370222</v>
      </c>
      <c r="R450" s="690">
        <f t="shared" si="228"/>
        <v>1.5669161055916927</v>
      </c>
      <c r="S450" s="677">
        <f t="shared" si="206"/>
        <v>2.2528766011264967</v>
      </c>
      <c r="T450" s="680">
        <f t="shared" si="207"/>
        <v>1.1108757340792761</v>
      </c>
      <c r="U450" s="681">
        <f t="shared" si="219"/>
        <v>0.75346866048471062</v>
      </c>
      <c r="V450" s="682">
        <f t="shared" si="220"/>
        <v>-0.9210486415269955</v>
      </c>
      <c r="W450" s="683">
        <f t="shared" si="208"/>
        <v>-25.09953999201435</v>
      </c>
      <c r="X450" s="684">
        <f t="shared" si="209"/>
        <v>-213.11642088552185</v>
      </c>
      <c r="Y450" s="687">
        <f t="shared" si="210"/>
        <v>-33.116420885521848</v>
      </c>
      <c r="AA450" s="170">
        <f t="shared" si="211"/>
        <v>48141.75</v>
      </c>
      <c r="AB450" s="170">
        <f t="shared" si="212"/>
        <v>2317628093.0625</v>
      </c>
      <c r="AD450" s="686">
        <f t="shared" si="213"/>
        <v>31.554109196049822</v>
      </c>
      <c r="AE450" s="687">
        <f t="shared" si="214"/>
        <v>-63.870706265607275</v>
      </c>
      <c r="AG450" s="686">
        <f t="shared" si="215"/>
        <v>3.355805658849127</v>
      </c>
      <c r="AH450" s="687">
        <f t="shared" si="216"/>
        <v>-43.701314727803087</v>
      </c>
      <c r="AJ450" s="170">
        <f t="shared" si="217"/>
        <v>0</v>
      </c>
      <c r="AK450" s="170">
        <f t="shared" si="229"/>
        <v>0</v>
      </c>
      <c r="AM450" s="170" t="str">
        <f t="shared" si="221"/>
        <v>0.938297932557829+0.998094612185319i</v>
      </c>
      <c r="AN450" s="170" t="str">
        <f t="shared" si="222"/>
        <v>1.50905504067123i</v>
      </c>
      <c r="AO450" s="170" t="str">
        <f t="shared" si="223"/>
        <v>0.66140371642201-0.621778468822763i</v>
      </c>
      <c r="AP450" s="170" t="str">
        <f t="shared" si="224"/>
        <v>0.0102836779070285-0.166349102030887i</v>
      </c>
      <c r="AQ450" s="170" t="str">
        <f t="shared" si="225"/>
        <v>0.989716322092971+0.166349102030887i</v>
      </c>
      <c r="AR450" s="170" t="str">
        <f t="shared" si="226"/>
        <v>0.818531737088341-0.137576815102416i</v>
      </c>
    </row>
    <row r="451" spans="7:44">
      <c r="G451" s="688">
        <v>48420.5</v>
      </c>
      <c r="H451" s="676">
        <f t="shared" si="218"/>
        <v>48.420499999999997</v>
      </c>
      <c r="I451" s="677">
        <f t="shared" si="198"/>
        <v>596.88164465367299</v>
      </c>
      <c r="J451" s="678">
        <f t="shared" si="199"/>
        <v>1.5691209519919174</v>
      </c>
      <c r="K451" s="678">
        <f t="shared" si="200"/>
        <v>1.0097452487249952</v>
      </c>
      <c r="L451" s="679">
        <f t="shared" si="201"/>
        <v>0.13904502699265719</v>
      </c>
      <c r="M451" s="678">
        <f t="shared" si="202"/>
        <v>1.033236085974375</v>
      </c>
      <c r="N451" s="679">
        <f t="shared" si="203"/>
        <v>-0.25432628101931021</v>
      </c>
      <c r="O451" s="677">
        <f t="shared" si="204"/>
        <v>547622.95287448307</v>
      </c>
      <c r="P451" s="680">
        <f t="shared" si="205"/>
        <v>1.5707945007209625</v>
      </c>
      <c r="Q451" s="689">
        <f t="shared" si="227"/>
        <v>259.21012663765151</v>
      </c>
      <c r="R451" s="690">
        <f t="shared" si="228"/>
        <v>1.5669384432564712</v>
      </c>
      <c r="S451" s="677">
        <f t="shared" si="206"/>
        <v>2.2633570044238351</v>
      </c>
      <c r="T451" s="680">
        <f t="shared" si="207"/>
        <v>1.1131681365118666</v>
      </c>
      <c r="U451" s="681">
        <f t="shared" si="219"/>
        <v>0.75152128804941376</v>
      </c>
      <c r="V451" s="682">
        <f t="shared" si="220"/>
        <v>-0.92525966178681751</v>
      </c>
      <c r="W451" s="683">
        <f t="shared" si="208"/>
        <v>-25.208364708402513</v>
      </c>
      <c r="X451" s="684">
        <f t="shared" si="209"/>
        <v>-213.52338315431001</v>
      </c>
      <c r="Y451" s="687">
        <f t="shared" si="210"/>
        <v>-33.523383154310011</v>
      </c>
      <c r="AA451" s="170">
        <f t="shared" si="211"/>
        <v>48420.5</v>
      </c>
      <c r="AB451" s="170">
        <f t="shared" si="212"/>
        <v>2344544820.25</v>
      </c>
      <c r="AD451" s="686">
        <f t="shared" si="213"/>
        <v>31.513795300489381</v>
      </c>
      <c r="AE451" s="687">
        <f t="shared" si="214"/>
        <v>-64.000772001979456</v>
      </c>
      <c r="AG451" s="686">
        <f t="shared" si="215"/>
        <v>3.3322510758054564</v>
      </c>
      <c r="AH451" s="687">
        <f t="shared" si="216"/>
        <v>-43.495663883003893</v>
      </c>
      <c r="AJ451" s="170">
        <f t="shared" si="217"/>
        <v>0</v>
      </c>
      <c r="AK451" s="170">
        <f t="shared" si="229"/>
        <v>0</v>
      </c>
      <c r="AM451" s="170" t="str">
        <f t="shared" si="221"/>
        <v>0.947021247419127+0.998595639773665i</v>
      </c>
      <c r="AN451" s="170" t="str">
        <f t="shared" si="222"/>
        <v>1.51779275985649i</v>
      </c>
      <c r="AO451" s="170" t="str">
        <f t="shared" si="223"/>
        <v>0.657926211130487-0.623946346607075i</v>
      </c>
      <c r="AP451" s="170" t="str">
        <f t="shared" si="224"/>
        <v>0.00882979209681222-0.166432606628944i</v>
      </c>
      <c r="AQ451" s="170" t="str">
        <f t="shared" si="225"/>
        <v>0.991170207903188+0.166432606628944i</v>
      </c>
      <c r="AR451" s="170" t="str">
        <f t="shared" si="226"/>
        <v>0.817374430465172-0.137249642866036i</v>
      </c>
    </row>
    <row r="452" spans="7:44">
      <c r="G452" s="688">
        <v>48699.25</v>
      </c>
      <c r="H452" s="676">
        <f t="shared" si="218"/>
        <v>48.699249999999999</v>
      </c>
      <c r="I452" s="677">
        <f t="shared" si="198"/>
        <v>600.31779861270411</v>
      </c>
      <c r="J452" s="678">
        <f t="shared" si="199"/>
        <v>1.5691305416644465</v>
      </c>
      <c r="K452" s="678">
        <f t="shared" si="200"/>
        <v>1.0098572265265093</v>
      </c>
      <c r="L452" s="679">
        <f t="shared" si="201"/>
        <v>0.13983512474231069</v>
      </c>
      <c r="M452" s="678">
        <f t="shared" si="202"/>
        <v>1.0336136170264141</v>
      </c>
      <c r="N452" s="679">
        <f t="shared" si="203"/>
        <v>-0.25572756708051542</v>
      </c>
      <c r="O452" s="677">
        <f t="shared" si="204"/>
        <v>550775.54109875287</v>
      </c>
      <c r="P452" s="680">
        <f t="shared" si="205"/>
        <v>1.5707945111732406</v>
      </c>
      <c r="Q452" s="689">
        <f t="shared" si="227"/>
        <v>260.70234068945865</v>
      </c>
      <c r="R452" s="690">
        <f t="shared" si="228"/>
        <v>1.5669605252075822</v>
      </c>
      <c r="S452" s="677">
        <f t="shared" si="206"/>
        <v>2.2738491922294224</v>
      </c>
      <c r="T452" s="680">
        <f t="shared" si="207"/>
        <v>1.1154393951931112</v>
      </c>
      <c r="U452" s="681">
        <f t="shared" si="219"/>
        <v>0.74957618263959713</v>
      </c>
      <c r="V452" s="682">
        <f t="shared" si="220"/>
        <v>-0.92945857454643055</v>
      </c>
      <c r="W452" s="683">
        <f t="shared" si="208"/>
        <v>-25.316771144662098</v>
      </c>
      <c r="X452" s="684">
        <f t="shared" si="209"/>
        <v>-213.92840002583185</v>
      </c>
      <c r="Y452" s="687">
        <f t="shared" si="210"/>
        <v>-33.928400025831849</v>
      </c>
      <c r="AA452" s="170">
        <f t="shared" si="211"/>
        <v>48699.25</v>
      </c>
      <c r="AB452" s="170">
        <f t="shared" si="212"/>
        <v>2371616950.5625</v>
      </c>
      <c r="AD452" s="686">
        <f t="shared" si="213"/>
        <v>31.47362264018243</v>
      </c>
      <c r="AE452" s="687">
        <f t="shared" si="214"/>
        <v>-64.129640935013811</v>
      </c>
      <c r="AG452" s="686">
        <f t="shared" si="215"/>
        <v>3.3090376418623628</v>
      </c>
      <c r="AH452" s="687">
        <f t="shared" si="216"/>
        <v>-43.290651861602655</v>
      </c>
      <c r="AJ452" s="170">
        <f t="shared" si="217"/>
        <v>0</v>
      </c>
      <c r="AK452" s="170">
        <f t="shared" si="229"/>
        <v>0</v>
      </c>
      <c r="AM452" s="170" t="str">
        <f t="shared" si="221"/>
        <v>0.955748607062546+0.99902042733024i</v>
      </c>
      <c r="AN452" s="170" t="str">
        <f t="shared" si="222"/>
        <v>1.52653047904176i</v>
      </c>
      <c r="AO452" s="170" t="str">
        <f t="shared" si="223"/>
        <v>0.654438572335188-0.626092056584741i</v>
      </c>
      <c r="AP452" s="170" t="str">
        <f t="shared" si="224"/>
        <v>0.00737523215624238-0.16650340455504i</v>
      </c>
      <c r="AQ452" s="170" t="str">
        <f t="shared" si="225"/>
        <v>0.992624767843758+0.16650340455504i</v>
      </c>
      <c r="AR452" s="170" t="str">
        <f t="shared" si="226"/>
        <v>0.816223235665184-0.136913718071334i</v>
      </c>
    </row>
    <row r="453" spans="7:44">
      <c r="G453" s="688">
        <v>48978</v>
      </c>
      <c r="H453" s="676">
        <f t="shared" si="218"/>
        <v>48.978000000000002</v>
      </c>
      <c r="I453" s="677">
        <f t="shared" si="198"/>
        <v>603.75395262631309</v>
      </c>
      <c r="J453" s="678">
        <f t="shared" si="199"/>
        <v>1.5691400221812799</v>
      </c>
      <c r="K453" s="678">
        <f t="shared" si="200"/>
        <v>1.0099698345958756</v>
      </c>
      <c r="L453" s="679">
        <f t="shared" si="201"/>
        <v>0.14062504679876822</v>
      </c>
      <c r="M453" s="678">
        <f t="shared" si="202"/>
        <v>1.0339931762004435</v>
      </c>
      <c r="N453" s="679">
        <f t="shared" si="203"/>
        <v>-0.25712782711882315</v>
      </c>
      <c r="O453" s="677">
        <f t="shared" si="204"/>
        <v>553928.12932302279</v>
      </c>
      <c r="P453" s="680">
        <f t="shared" si="205"/>
        <v>1.5707945215065442</v>
      </c>
      <c r="Q453" s="689">
        <f t="shared" si="227"/>
        <v>262.19455486694051</v>
      </c>
      <c r="R453" s="690">
        <f t="shared" si="228"/>
        <v>1.5669823558109937</v>
      </c>
      <c r="S453" s="677">
        <f t="shared" si="206"/>
        <v>2.2843530021621343</v>
      </c>
      <c r="T453" s="680">
        <f t="shared" si="207"/>
        <v>1.1176897781940374</v>
      </c>
      <c r="U453" s="681">
        <f t="shared" si="219"/>
        <v>0.74763341331729083</v>
      </c>
      <c r="V453" s="682">
        <f t="shared" si="220"/>
        <v>-0.93364544412251038</v>
      </c>
      <c r="W453" s="683">
        <f t="shared" si="208"/>
        <v>-25.42476239840768</v>
      </c>
      <c r="X453" s="684">
        <f t="shared" si="209"/>
        <v>-214.3314902052683</v>
      </c>
      <c r="Y453" s="687">
        <f t="shared" si="210"/>
        <v>-34.331490205268295</v>
      </c>
      <c r="AA453" s="170">
        <f t="shared" si="211"/>
        <v>48978</v>
      </c>
      <c r="AB453" s="170">
        <f t="shared" si="212"/>
        <v>2398844484</v>
      </c>
      <c r="AD453" s="686">
        <f t="shared" si="213"/>
        <v>31.433590739699895</v>
      </c>
      <c r="AE453" s="687">
        <f t="shared" si="214"/>
        <v>-64.257328174015754</v>
      </c>
      <c r="AG453" s="686">
        <f t="shared" si="215"/>
        <v>3.2861613269187502</v>
      </c>
      <c r="AH453" s="687">
        <f t="shared" si="216"/>
        <v>-43.086274889326717</v>
      </c>
      <c r="AJ453" s="170">
        <f t="shared" si="217"/>
        <v>0</v>
      </c>
      <c r="AK453" s="170">
        <f t="shared" si="229"/>
        <v>0</v>
      </c>
      <c r="AM453" s="170" t="str">
        <f t="shared" si="221"/>
        <v>0.96447934517815+0.999368942423681i</v>
      </c>
      <c r="AN453" s="170" t="str">
        <f t="shared" si="222"/>
        <v>1.53526819822702i</v>
      </c>
      <c r="AO453" s="170" t="str">
        <f t="shared" si="223"/>
        <v>0.650940951931256-0.628215543246427i</v>
      </c>
      <c r="AP453" s="170" t="str">
        <f t="shared" si="224"/>
        <v>0.00592010913697498-0.166561490403947i</v>
      </c>
      <c r="AQ453" s="170" t="str">
        <f t="shared" si="225"/>
        <v>0.994079890863025+0.166561490403947i</v>
      </c>
      <c r="AR453" s="170" t="str">
        <f t="shared" si="226"/>
        <v>0.815078191905139-0.136569142668817i</v>
      </c>
    </row>
    <row r="454" spans="7:44">
      <c r="G454" s="688">
        <v>49263.25</v>
      </c>
      <c r="H454" s="676">
        <f t="shared" si="218"/>
        <v>49.263249999999999</v>
      </c>
      <c r="I454" s="677">
        <f t="shared" si="198"/>
        <v>607.27023225990013</v>
      </c>
      <c r="J454" s="678">
        <f t="shared" si="199"/>
        <v>1.5691496126982361</v>
      </c>
      <c r="K454" s="678">
        <f t="shared" si="200"/>
        <v>1.0100857207681524</v>
      </c>
      <c r="L454" s="679">
        <f t="shared" si="201"/>
        <v>0.14143320570910564</v>
      </c>
      <c r="M454" s="678">
        <f t="shared" si="202"/>
        <v>1.0343836833645017</v>
      </c>
      <c r="N454" s="679">
        <f t="shared" si="203"/>
        <v>-0.25855967222395965</v>
      </c>
      <c r="O454" s="677">
        <f t="shared" si="204"/>
        <v>557154.23081530258</v>
      </c>
      <c r="P454" s="680">
        <f t="shared" si="205"/>
        <v>1.5707945319597421</v>
      </c>
      <c r="Q454" s="689">
        <f t="shared" si="227"/>
        <v>263.72156519796465</v>
      </c>
      <c r="R454" s="690">
        <f t="shared" si="228"/>
        <v>1.5670044397125693</v>
      </c>
      <c r="S454" s="677">
        <f t="shared" si="206"/>
        <v>2.295113609307196</v>
      </c>
      <c r="T454" s="680">
        <f t="shared" si="207"/>
        <v>1.1199713003750285</v>
      </c>
      <c r="U454" s="681">
        <f t="shared" si="219"/>
        <v>0.74564783062823892</v>
      </c>
      <c r="V454" s="682">
        <f t="shared" si="220"/>
        <v>-0.93791754456379339</v>
      </c>
      <c r="W454" s="683">
        <f t="shared" si="208"/>
        <v>-25.534845209485312</v>
      </c>
      <c r="X454" s="684">
        <f t="shared" si="209"/>
        <v>-214.74200448993128</v>
      </c>
      <c r="Y454" s="687">
        <f t="shared" si="210"/>
        <v>-34.742004489931276</v>
      </c>
      <c r="AA454" s="170">
        <f t="shared" si="211"/>
        <v>49263.25</v>
      </c>
      <c r="AB454" s="170">
        <f t="shared" si="212"/>
        <v>2426867800.5625</v>
      </c>
      <c r="AD454" s="686">
        <f t="shared" si="213"/>
        <v>31.392770575976975</v>
      </c>
      <c r="AE454" s="687">
        <f t="shared" si="214"/>
        <v>-64.386785050568619</v>
      </c>
      <c r="AG454" s="686">
        <f t="shared" si="215"/>
        <v>3.2630964399350515</v>
      </c>
      <c r="AH454" s="687">
        <f t="shared" si="216"/>
        <v>-42.877785646994489</v>
      </c>
      <c r="AJ454" s="170">
        <f t="shared" si="217"/>
        <v>0</v>
      </c>
      <c r="AK454" s="170">
        <f t="shared" si="229"/>
        <v>0</v>
      </c>
      <c r="AM454" s="170" t="str">
        <f t="shared" si="221"/>
        <v>0.973416472144589+0.999646595576037i</v>
      </c>
      <c r="AN454" s="170" t="str">
        <f t="shared" si="222"/>
        <v>1.54420966691795i</v>
      </c>
      <c r="AO454" s="170" t="str">
        <f t="shared" si="223"/>
        <v>0.647351598032155-0.630365482743938i</v>
      </c>
      <c r="AP454" s="170" t="str">
        <f t="shared" si="224"/>
        <v>0.00443058797590187-0.166607765929339i</v>
      </c>
      <c r="AQ454" s="170" t="str">
        <f t="shared" si="225"/>
        <v>0.995569412024098+0.166607765929339i</v>
      </c>
      <c r="AR454" s="170" t="str">
        <f t="shared" si="226"/>
        <v>0.813912854820395-0.136207682523209i</v>
      </c>
    </row>
    <row r="455" spans="7:44">
      <c r="G455" s="688">
        <v>49548.5</v>
      </c>
      <c r="H455" s="676">
        <f t="shared" si="218"/>
        <v>49.548499999999997</v>
      </c>
      <c r="I455" s="677">
        <f t="shared" si="198"/>
        <v>610.78651194869951</v>
      </c>
      <c r="J455" s="678">
        <f t="shared" si="199"/>
        <v>1.5691590927905543</v>
      </c>
      <c r="K455" s="678">
        <f t="shared" si="200"/>
        <v>1.0102022664968382</v>
      </c>
      <c r="L455" s="679">
        <f t="shared" si="201"/>
        <v>0.14224117867454975</v>
      </c>
      <c r="M455" s="678">
        <f t="shared" si="202"/>
        <v>1.0347763095985711</v>
      </c>
      <c r="N455" s="679">
        <f t="shared" si="203"/>
        <v>-0.25999043368765812</v>
      </c>
      <c r="O455" s="677">
        <f t="shared" si="204"/>
        <v>560380.33230758226</v>
      </c>
      <c r="P455" s="680">
        <f t="shared" si="205"/>
        <v>1.5707945422925822</v>
      </c>
      <c r="Q455" s="689">
        <f t="shared" si="227"/>
        <v>265.24857565612467</v>
      </c>
      <c r="R455" s="690">
        <f t="shared" si="228"/>
        <v>1.5670262693443744</v>
      </c>
      <c r="S455" s="677">
        <f t="shared" si="206"/>
        <v>2.3058860517688373</v>
      </c>
      <c r="T455" s="680">
        <f t="shared" si="207"/>
        <v>1.1222315169870312</v>
      </c>
      <c r="U455" s="681">
        <f t="shared" si="219"/>
        <v>0.74366483567670427</v>
      </c>
      <c r="V455" s="682">
        <f t="shared" si="220"/>
        <v>-0.94217717116878141</v>
      </c>
      <c r="W455" s="683">
        <f t="shared" si="208"/>
        <v>-25.644499695427765</v>
      </c>
      <c r="X455" s="684">
        <f t="shared" si="209"/>
        <v>-215.15054015783457</v>
      </c>
      <c r="Y455" s="687">
        <f t="shared" si="210"/>
        <v>-35.15054015783457</v>
      </c>
      <c r="AA455" s="170">
        <f t="shared" si="211"/>
        <v>49548.5</v>
      </c>
      <c r="AB455" s="170">
        <f t="shared" si="212"/>
        <v>2455053852.25</v>
      </c>
      <c r="AD455" s="686">
        <f t="shared" si="213"/>
        <v>31.352096777464009</v>
      </c>
      <c r="AE455" s="687">
        <f t="shared" si="214"/>
        <v>-64.515035769625641</v>
      </c>
      <c r="AG455" s="686">
        <f t="shared" si="215"/>
        <v>3.2403762480217084</v>
      </c>
      <c r="AH455" s="687">
        <f t="shared" si="216"/>
        <v>-42.669953341748055</v>
      </c>
      <c r="AJ455" s="170">
        <f t="shared" si="217"/>
        <v>0</v>
      </c>
      <c r="AK455" s="170">
        <f t="shared" si="229"/>
        <v>0</v>
      </c>
      <c r="AM455" s="170" t="str">
        <f t="shared" si="221"/>
        <v>0.982355724446251+0.999844327653152i</v>
      </c>
      <c r="AN455" s="170" t="str">
        <f t="shared" si="222"/>
        <v>1.55315113560887i</v>
      </c>
      <c r="AO455" s="170" t="str">
        <f t="shared" si="223"/>
        <v>0.643752114478666-0.63249203630215i</v>
      </c>
      <c r="AP455" s="170" t="str">
        <f t="shared" si="224"/>
        <v>0.00294071259229158-0.166640721275525i</v>
      </c>
      <c r="AQ455" s="170" t="str">
        <f t="shared" si="225"/>
        <v>0.997059287407708+0.166640721275525i</v>
      </c>
      <c r="AR455" s="170" t="str">
        <f t="shared" si="226"/>
        <v>0.812754037435394-0.13583737770495i</v>
      </c>
    </row>
    <row r="456" spans="7:44">
      <c r="G456" s="688">
        <v>49833.75</v>
      </c>
      <c r="H456" s="676">
        <f t="shared" si="218"/>
        <v>49.833750000000002</v>
      </c>
      <c r="I456" s="677">
        <f t="shared" si="198"/>
        <v>614.30279169176333</v>
      </c>
      <c r="J456" s="678">
        <f t="shared" si="199"/>
        <v>1.5691684643544506</v>
      </c>
      <c r="K456" s="678">
        <f t="shared" si="200"/>
        <v>1.0103194715536836</v>
      </c>
      <c r="L456" s="679">
        <f t="shared" si="201"/>
        <v>0.14304896470471071</v>
      </c>
      <c r="M456" s="678">
        <f t="shared" si="202"/>
        <v>1.0351710524914486</v>
      </c>
      <c r="N456" s="679">
        <f t="shared" si="203"/>
        <v>-0.26142010688853307</v>
      </c>
      <c r="O456" s="677">
        <f t="shared" si="204"/>
        <v>563606.43379986216</v>
      </c>
      <c r="P456" s="680">
        <f t="shared" si="205"/>
        <v>1.5707945525071312</v>
      </c>
      <c r="Q456" s="689">
        <f t="shared" si="227"/>
        <v>266.77558623923733</v>
      </c>
      <c r="R456" s="690">
        <f t="shared" si="228"/>
        <v>1.5670478490726714</v>
      </c>
      <c r="S456" s="677">
        <f t="shared" si="206"/>
        <v>2.3166701644455299</v>
      </c>
      <c r="T456" s="680">
        <f t="shared" si="207"/>
        <v>1.1244707023074059</v>
      </c>
      <c r="U456" s="681">
        <f t="shared" si="219"/>
        <v>0.74168449754371579</v>
      </c>
      <c r="V456" s="682">
        <f t="shared" si="220"/>
        <v>-0.94642439412226886</v>
      </c>
      <c r="W456" s="683">
        <f t="shared" si="208"/>
        <v>-25.753729058313994</v>
      </c>
      <c r="X456" s="684">
        <f t="shared" si="209"/>
        <v>-215.55711659576022</v>
      </c>
      <c r="Y456" s="687">
        <f t="shared" si="210"/>
        <v>-35.55711659576022</v>
      </c>
      <c r="AA456" s="170">
        <f t="shared" si="211"/>
        <v>49833.75</v>
      </c>
      <c r="AB456" s="170">
        <f t="shared" si="212"/>
        <v>2483402639.0625</v>
      </c>
      <c r="AD456" s="686">
        <f t="shared" si="213"/>
        <v>31.311568806912572</v>
      </c>
      <c r="AE456" s="687">
        <f t="shared" si="214"/>
        <v>-64.642095796072027</v>
      </c>
      <c r="AG456" s="686">
        <f t="shared" si="215"/>
        <v>3.2179966421552364</v>
      </c>
      <c r="AH456" s="687">
        <f t="shared" si="216"/>
        <v>-42.462773852899332</v>
      </c>
      <c r="AJ456" s="170">
        <f t="shared" si="217"/>
        <v>0</v>
      </c>
      <c r="AK456" s="170">
        <f t="shared" si="229"/>
        <v>0</v>
      </c>
      <c r="AM456" s="170" t="str">
        <f t="shared" si="221"/>
        <v>0.991296387395925+0.99996212284648i</v>
      </c>
      <c r="AN456" s="170" t="str">
        <f t="shared" si="222"/>
        <v>1.5620926042998i</v>
      </c>
      <c r="AO456" s="170" t="str">
        <f t="shared" si="223"/>
        <v>0.640142665098083-0.634595147987573i</v>
      </c>
      <c r="AP456" s="170" t="str">
        <f t="shared" si="224"/>
        <v>0.00145060210067912-0.166660353807747i</v>
      </c>
      <c r="AQ456" s="170" t="str">
        <f t="shared" si="225"/>
        <v>0.998549397899321+0.166660353807747i</v>
      </c>
      <c r="AR456" s="170" t="str">
        <f t="shared" si="226"/>
        <v>0.811601777126689-0.135458335472922i</v>
      </c>
    </row>
    <row r="457" spans="7:44">
      <c r="G457" s="688">
        <v>50119</v>
      </c>
      <c r="H457" s="676">
        <f t="shared" si="218"/>
        <v>50.119</v>
      </c>
      <c r="I457" s="677">
        <f t="shared" si="198"/>
        <v>617.8190714881647</v>
      </c>
      <c r="J457" s="678">
        <f t="shared" si="199"/>
        <v>1.5691777292429718</v>
      </c>
      <c r="K457" s="678">
        <f t="shared" si="200"/>
        <v>1.0104373357092533</v>
      </c>
      <c r="L457" s="679">
        <f t="shared" si="201"/>
        <v>0.14385656281063289</v>
      </c>
      <c r="M457" s="678">
        <f t="shared" si="202"/>
        <v>1.0355679096226194</v>
      </c>
      <c r="N457" s="679">
        <f t="shared" si="203"/>
        <v>-0.26284868723002153</v>
      </c>
      <c r="O457" s="677">
        <f t="shared" si="204"/>
        <v>566832.53529214219</v>
      </c>
      <c r="P457" s="680">
        <f t="shared" si="205"/>
        <v>1.570794562605409</v>
      </c>
      <c r="Q457" s="689">
        <f t="shared" si="227"/>
        <v>268.30259694516911</v>
      </c>
      <c r="R457" s="690">
        <f t="shared" si="228"/>
        <v>1.5670691831643238</v>
      </c>
      <c r="S457" s="677">
        <f t="shared" si="206"/>
        <v>2.3274657851184637</v>
      </c>
      <c r="T457" s="680">
        <f t="shared" si="207"/>
        <v>1.1266891263766021</v>
      </c>
      <c r="U457" s="681">
        <f t="shared" si="219"/>
        <v>0.73970688368834536</v>
      </c>
      <c r="V457" s="682">
        <f t="shared" si="220"/>
        <v>-0.95065928400211341</v>
      </c>
      <c r="W457" s="683">
        <f t="shared" si="208"/>
        <v>-25.86253646223749</v>
      </c>
      <c r="X457" s="684">
        <f t="shared" si="209"/>
        <v>-215.96175297481324</v>
      </c>
      <c r="Y457" s="687">
        <f t="shared" si="210"/>
        <v>-35.961752974813237</v>
      </c>
      <c r="AA457" s="170">
        <f t="shared" si="211"/>
        <v>50119</v>
      </c>
      <c r="AB457" s="170">
        <f t="shared" si="212"/>
        <v>2511914161</v>
      </c>
      <c r="AD457" s="686">
        <f t="shared" si="213"/>
        <v>31.271186118716251</v>
      </c>
      <c r="AE457" s="687">
        <f t="shared" si="214"/>
        <v>-64.767980357728334</v>
      </c>
      <c r="AG457" s="686">
        <f t="shared" si="215"/>
        <v>3.1959535811784874</v>
      </c>
      <c r="AH457" s="687">
        <f t="shared" si="216"/>
        <v>-42.256243036106049</v>
      </c>
      <c r="AJ457" s="170">
        <f t="shared" si="217"/>
        <v>0</v>
      </c>
      <c r="AK457" s="170">
        <f t="shared" si="229"/>
        <v>0</v>
      </c>
      <c r="AM457" s="170" t="str">
        <f t="shared" si="221"/>
        <v>1.00023774619359+0.999999971738373i</v>
      </c>
      <c r="AN457" s="170" t="str">
        <f t="shared" si="222"/>
        <v>1.57103407299073i</v>
      </c>
      <c r="AO457" s="170" t="str">
        <f t="shared" si="223"/>
        <v>0.636523414056007-0.636674763068294i</v>
      </c>
      <c r="AP457" s="170" t="str">
        <f t="shared" si="224"/>
        <v>-0.0000396243655989382-0.166666661956395i</v>
      </c>
      <c r="AQ457" s="170" t="str">
        <f t="shared" si="225"/>
        <v>1.0000396243656+0.166666661956395i</v>
      </c>
      <c r="AR457" s="170" t="str">
        <f t="shared" si="226"/>
        <v>0.810456109762527-0.135070662386978i</v>
      </c>
    </row>
    <row r="458" spans="7:44">
      <c r="G458" s="688">
        <v>50410.75</v>
      </c>
      <c r="H458" s="676">
        <f t="shared" si="218"/>
        <v>50.41075</v>
      </c>
      <c r="I458" s="677">
        <f t="shared" si="198"/>
        <v>621.41547690821574</v>
      </c>
      <c r="J458" s="678">
        <f t="shared" si="199"/>
        <v>1.5691870967889445</v>
      </c>
      <c r="K458" s="678">
        <f t="shared" si="200"/>
        <v>1.0105585671965602</v>
      </c>
      <c r="L458" s="679">
        <f t="shared" si="201"/>
        <v>0.14468236825229502</v>
      </c>
      <c r="M458" s="678">
        <f t="shared" si="202"/>
        <v>1.035975994469142</v>
      </c>
      <c r="N458" s="679">
        <f t="shared" si="203"/>
        <v>-0.26430868541050306</v>
      </c>
      <c r="O458" s="677">
        <f t="shared" si="204"/>
        <v>570132.15005243209</v>
      </c>
      <c r="P458" s="680">
        <f t="shared" si="205"/>
        <v>1.5707945728155781</v>
      </c>
      <c r="Q458" s="689">
        <f t="shared" si="227"/>
        <v>269.86440381309723</v>
      </c>
      <c r="R458" s="690">
        <f t="shared" si="228"/>
        <v>1.5670907536462362</v>
      </c>
      <c r="S458" s="677">
        <f t="shared" si="206"/>
        <v>2.3385191441254554</v>
      </c>
      <c r="T458" s="680">
        <f t="shared" si="207"/>
        <v>1.1289369025620144</v>
      </c>
      <c r="U458" s="681">
        <f t="shared" si="219"/>
        <v>0.73768709262399923</v>
      </c>
      <c r="V458" s="682">
        <f t="shared" si="220"/>
        <v>-0.95497799057165855</v>
      </c>
      <c r="W458" s="683">
        <f t="shared" si="208"/>
        <v>-25.973390031228938</v>
      </c>
      <c r="X458" s="684">
        <f t="shared" si="209"/>
        <v>-216.37362269899319</v>
      </c>
      <c r="Y458" s="687">
        <f t="shared" si="210"/>
        <v>-36.373622698993188</v>
      </c>
      <c r="AA458" s="170">
        <f t="shared" si="211"/>
        <v>50410.75</v>
      </c>
      <c r="AB458" s="170">
        <f t="shared" si="212"/>
        <v>2541243715.5625</v>
      </c>
      <c r="AD458" s="686">
        <f t="shared" si="213"/>
        <v>31.230032937998157</v>
      </c>
      <c r="AE458" s="687">
        <f t="shared" si="214"/>
        <v>-64.895533134012169</v>
      </c>
      <c r="AG458" s="686">
        <f t="shared" si="215"/>
        <v>3.1737522175069568</v>
      </c>
      <c r="AH458" s="687">
        <f t="shared" si="216"/>
        <v>-42.045672664655903</v>
      </c>
      <c r="AJ458" s="170">
        <f t="shared" si="217"/>
        <v>0</v>
      </c>
      <c r="AK458" s="170">
        <f t="shared" si="229"/>
        <v>0</v>
      </c>
      <c r="AM458" s="170" t="str">
        <f t="shared" si="221"/>
        <v>1.00938282671363+0.999955980312564i</v>
      </c>
      <c r="AN458" s="170" t="str">
        <f t="shared" si="222"/>
        <v>1.58017929118732i</v>
      </c>
      <c r="AO458" s="170" t="str">
        <f t="shared" si="223"/>
        <v>0.632811723257817-0.638777404781198i</v>
      </c>
      <c r="AP458" s="170" t="str">
        <f t="shared" si="224"/>
        <v>-0.00156380445227213-0.166659330052094i</v>
      </c>
      <c r="AQ458" s="170" t="str">
        <f t="shared" si="225"/>
        <v>1.00156380445227+0.166659330052094i</v>
      </c>
      <c r="AR458" s="170" t="str">
        <f t="shared" si="226"/>
        <v>0.809291191884943-0.134665337602097i</v>
      </c>
    </row>
    <row r="459" spans="7:44">
      <c r="G459" s="688">
        <v>50702.5</v>
      </c>
      <c r="H459" s="676">
        <f t="shared" si="218"/>
        <v>50.702500000000001</v>
      </c>
      <c r="I459" s="677">
        <f t="shared" si="198"/>
        <v>625.01188238216878</v>
      </c>
      <c r="J459" s="678">
        <f t="shared" si="199"/>
        <v>1.5691963565305882</v>
      </c>
      <c r="K459" s="678">
        <f t="shared" si="200"/>
        <v>1.0106804876733555</v>
      </c>
      <c r="L459" s="679">
        <f t="shared" si="201"/>
        <v>0.14550797501963508</v>
      </c>
      <c r="M459" s="678">
        <f t="shared" si="202"/>
        <v>1.0363862858547916</v>
      </c>
      <c r="N459" s="679">
        <f t="shared" si="203"/>
        <v>-0.26576753071133513</v>
      </c>
      <c r="O459" s="677">
        <f t="shared" si="204"/>
        <v>573431.76481272199</v>
      </c>
      <c r="P459" s="680">
        <f t="shared" si="205"/>
        <v>1.5707945829082455</v>
      </c>
      <c r="Q459" s="689">
        <f t="shared" si="227"/>
        <v>271.42621080514436</v>
      </c>
      <c r="R459" s="690">
        <f t="shared" si="228"/>
        <v>1.5671120758917825</v>
      </c>
      <c r="S459" s="677">
        <f t="shared" si="206"/>
        <v>2.3495842072924629</v>
      </c>
      <c r="T459" s="680">
        <f t="shared" si="207"/>
        <v>1.1311635186864164</v>
      </c>
      <c r="U459" s="681">
        <f t="shared" si="219"/>
        <v>0.73567028904412246</v>
      </c>
      <c r="V459" s="682">
        <f t="shared" si="220"/>
        <v>-0.9592839461299848</v>
      </c>
      <c r="W459" s="683">
        <f t="shared" si="208"/>
        <v>-26.083808768677677</v>
      </c>
      <c r="X459" s="684">
        <f t="shared" si="209"/>
        <v>-216.78350282934591</v>
      </c>
      <c r="Y459" s="687">
        <f t="shared" si="210"/>
        <v>-36.783502829345906</v>
      </c>
      <c r="AA459" s="170">
        <f t="shared" si="211"/>
        <v>50702.5</v>
      </c>
      <c r="AB459" s="170">
        <f t="shared" si="212"/>
        <v>2570743506.25</v>
      </c>
      <c r="AD459" s="686">
        <f t="shared" si="213"/>
        <v>31.189030556936892</v>
      </c>
      <c r="AE459" s="687">
        <f t="shared" si="214"/>
        <v>-65.02188774426827</v>
      </c>
      <c r="AG459" s="686">
        <f t="shared" si="215"/>
        <v>3.1518945715198377</v>
      </c>
      <c r="AH459" s="687">
        <f t="shared" si="216"/>
        <v>-41.83577202366277</v>
      </c>
      <c r="AJ459" s="170">
        <f t="shared" si="217"/>
        <v>0</v>
      </c>
      <c r="AK459" s="170">
        <f t="shared" si="229"/>
        <v>0</v>
      </c>
      <c r="AM459" s="170" t="str">
        <f t="shared" si="221"/>
        <v>1.01852712250628+0.999828358135354i</v>
      </c>
      <c r="AN459" s="170" t="str">
        <f t="shared" si="222"/>
        <v>1.58932450938391i</v>
      </c>
      <c r="AO459" s="170" t="str">
        <f t="shared" si="223"/>
        <v>0.629090127429627-0.64085535489609i</v>
      </c>
      <c r="AP459" s="170" t="str">
        <f t="shared" si="224"/>
        <v>-0.00308785375104665-0.166638059689226i</v>
      </c>
      <c r="AQ459" s="170" t="str">
        <f t="shared" si="225"/>
        <v>1.00308785375105+0.166638059689226i</v>
      </c>
      <c r="AR459" s="170" t="str">
        <f t="shared" si="226"/>
        <v>0.808133242036943-0.134251207329265i</v>
      </c>
    </row>
    <row r="460" spans="7:44">
      <c r="G460" s="688">
        <v>50994.25</v>
      </c>
      <c r="H460" s="676">
        <f t="shared" si="218"/>
        <v>50.994250000000001</v>
      </c>
      <c r="I460" s="677">
        <f t="shared" si="198"/>
        <v>628.60828790909909</v>
      </c>
      <c r="J460" s="678">
        <f t="shared" si="199"/>
        <v>1.5692055103182172</v>
      </c>
      <c r="K460" s="678">
        <f t="shared" si="200"/>
        <v>1.0108030968903265</v>
      </c>
      <c r="L460" s="679">
        <f t="shared" si="201"/>
        <v>0.1463333820592374</v>
      </c>
      <c r="M460" s="678">
        <f t="shared" si="202"/>
        <v>1.0367987811599932</v>
      </c>
      <c r="N460" s="679">
        <f t="shared" si="203"/>
        <v>-0.26722521829538565</v>
      </c>
      <c r="O460" s="677">
        <f t="shared" si="204"/>
        <v>576731.379573012</v>
      </c>
      <c r="P460" s="680">
        <f t="shared" si="205"/>
        <v>1.5707945928854279</v>
      </c>
      <c r="Q460" s="689">
        <f t="shared" si="227"/>
        <v>272.98801791918027</v>
      </c>
      <c r="R460" s="690">
        <f t="shared" si="228"/>
        <v>1.5671331541615401</v>
      </c>
      <c r="S460" s="677">
        <f t="shared" si="206"/>
        <v>2.3606608100376896</v>
      </c>
      <c r="T460" s="680">
        <f t="shared" si="207"/>
        <v>1.1333692503743655</v>
      </c>
      <c r="U460" s="681">
        <f t="shared" si="219"/>
        <v>0.73365653998886504</v>
      </c>
      <c r="V460" s="682">
        <f t="shared" si="220"/>
        <v>-0.96357722736291773</v>
      </c>
      <c r="W460" s="683">
        <f t="shared" si="208"/>
        <v>-26.193795941515006</v>
      </c>
      <c r="X460" s="684">
        <f t="shared" si="209"/>
        <v>-217.19141319699628</v>
      </c>
      <c r="Y460" s="687">
        <f t="shared" si="210"/>
        <v>-37.19141319699628</v>
      </c>
      <c r="AA460" s="170">
        <f t="shared" si="211"/>
        <v>50994.25</v>
      </c>
      <c r="AB460" s="170">
        <f t="shared" si="212"/>
        <v>2600413533.0625</v>
      </c>
      <c r="AD460" s="686">
        <f t="shared" si="213"/>
        <v>31.148178367695309</v>
      </c>
      <c r="AE460" s="687">
        <f t="shared" si="214"/>
        <v>-65.14705973662295</v>
      </c>
      <c r="AG460" s="686">
        <f t="shared" si="215"/>
        <v>3.1303765310264327</v>
      </c>
      <c r="AH460" s="687">
        <f t="shared" si="216"/>
        <v>-41.626536608576721</v>
      </c>
      <c r="AJ460" s="170">
        <f t="shared" si="217"/>
        <v>0</v>
      </c>
      <c r="AK460" s="170">
        <f t="shared" si="229"/>
        <v>0</v>
      </c>
      <c r="AM460" s="170" t="str">
        <f t="shared" si="221"/>
        <v>1.02766986879355+0.999617115880349i</v>
      </c>
      <c r="AN460" s="170" t="str">
        <f t="shared" si="222"/>
        <v>1.59846972758051i</v>
      </c>
      <c r="AO460" s="170" t="str">
        <f t="shared" si="223"/>
        <v>0.625358803255785-0.642908558768304i</v>
      </c>
      <c r="AP460" s="170" t="str">
        <f t="shared" si="224"/>
        <v>-0.00461164479892533-0.166602852646725i</v>
      </c>
      <c r="AQ460" s="170" t="str">
        <f t="shared" si="225"/>
        <v>1.00461164479893+0.166602852646725i</v>
      </c>
      <c r="AR460" s="170" t="str">
        <f t="shared" si="226"/>
        <v>0.806982293890326-0.133828383230054i</v>
      </c>
    </row>
    <row r="461" spans="7:44">
      <c r="G461" s="688">
        <v>51286</v>
      </c>
      <c r="H461" s="676">
        <f t="shared" si="218"/>
        <v>51.286000000000001</v>
      </c>
      <c r="I461" s="677">
        <f t="shared" ref="I461:I524" si="230">SQRT(1+(G461/pole1)^2)</f>
        <v>632.20469348810218</v>
      </c>
      <c r="J461" s="678">
        <f t="shared" ref="J461:J524" si="231">ATAN(G461/pole1)</f>
        <v>1.5692145599600438</v>
      </c>
      <c r="K461" s="678">
        <f t="shared" ref="K461:K524" si="232">SQRT(1+(G461/Zero1)^2)</f>
        <v>1.0109263945968741</v>
      </c>
      <c r="L461" s="679">
        <f t="shared" ref="L461:L524" si="233">ATAN(G461/Zero1)</f>
        <v>0.14715858831928455</v>
      </c>
      <c r="M461" s="678">
        <f t="shared" ref="M461:M524" si="234">SQRT(1+(G461/z_RHP)^2)</f>
        <v>1.0372134777552793</v>
      </c>
      <c r="N461" s="679">
        <f t="shared" ref="N461:N524" si="235">-ATAN(G461/z_RHP)</f>
        <v>-0.26868174335287648</v>
      </c>
      <c r="O461" s="677">
        <f t="shared" ref="O461:O524" si="236">SQRT(1+(G461/Pole2)^2)</f>
        <v>580030.99433330214</v>
      </c>
      <c r="P461" s="680">
        <f t="shared" ref="P461:P524" si="237">ATAN(G461/Pole2)</f>
        <v>1.570794602749096</v>
      </c>
      <c r="Q461" s="689">
        <f t="shared" si="227"/>
        <v>274.54982515312298</v>
      </c>
      <c r="R461" s="690">
        <f t="shared" si="228"/>
        <v>1.5671539926191402</v>
      </c>
      <c r="S461" s="677">
        <f t="shared" ref="S461:S524" si="238">SQRT(1+(G461/pole4)^2)</f>
        <v>2.3717487906838288</v>
      </c>
      <c r="T461" s="680">
        <f t="shared" ref="T461:T524" si="239">ATAN(G461/pole4)</f>
        <v>1.135554368917151</v>
      </c>
      <c r="U461" s="681">
        <f t="shared" si="219"/>
        <v>0.73164591081069497</v>
      </c>
      <c r="V461" s="682">
        <f t="shared" si="220"/>
        <v>-0.96785791131756704</v>
      </c>
      <c r="W461" s="683">
        <f t="shared" ref="W461:W524" si="240">20*LOG10(((K461*Q461*M461*U461)/(I461*O461*S461))*Adc)</f>
        <v>-26.303354778331112</v>
      </c>
      <c r="X461" s="684">
        <f t="shared" ref="X461:X524" si="241">((L461+R461+N461+V461)-(J461+P461+T461))*radconv</f>
        <v>-217.59737341010637</v>
      </c>
      <c r="Y461" s="687">
        <f t="shared" ref="Y461:Y524" si="242">IF(X461&gt;0,X461,X461+180)</f>
        <v>-37.597373410106371</v>
      </c>
      <c r="AA461" s="170">
        <f t="shared" ref="AA461:AA524" si="243">IF(W461&lt;0,G461,1000000000)</f>
        <v>51286</v>
      </c>
      <c r="AB461" s="170">
        <f t="shared" ref="AB461:AB524" si="244">G461^2</f>
        <v>2630253796</v>
      </c>
      <c r="AD461" s="686">
        <f t="shared" ref="AD461:AD524" si="245">20*LOG10((Q461/(O461*S461))*Aea)</f>
        <v>31.107475755291084</v>
      </c>
      <c r="AE461" s="687">
        <f t="shared" ref="AE461:AE524" si="246">(R461-(P461+T461))*radconv</f>
        <v>-65.271064416476534</v>
      </c>
      <c r="AG461" s="686">
        <f t="shared" ref="AG461:AG524" si="247">20*LOG10((K461*M461/(I461*U461))*Acs*Am)</f>
        <v>3.1091940523200696</v>
      </c>
      <c r="AH461" s="687">
        <f t="shared" ref="AH461:AH524" si="248">(L461+N461-(J461+V461))*radconv</f>
        <v>-41.417961893211185</v>
      </c>
      <c r="AJ461" s="170">
        <f t="shared" ref="AJ461:AJ524" si="249">SUM((W462&lt;0)*(W461&gt;0))*G461</f>
        <v>0</v>
      </c>
      <c r="AK461" s="170">
        <f t="shared" si="229"/>
        <v>0</v>
      </c>
      <c r="AM461" s="170" t="str">
        <f t="shared" si="221"/>
        <v>1.03681030092703+0.999322271214678i</v>
      </c>
      <c r="AN461" s="170" t="str">
        <f t="shared" si="222"/>
        <v>1.6076149457771i</v>
      </c>
      <c r="AO461" s="170" t="str">
        <f t="shared" si="223"/>
        <v>0.62161792775049-0.644936963077218i</v>
      </c>
      <c r="AP461" s="170" t="str">
        <f t="shared" si="224"/>
        <v>-0.00613505015450457-0.166553711869113i</v>
      </c>
      <c r="AQ461" s="170" t="str">
        <f t="shared" si="225"/>
        <v>1.0061350501545+0.166553711869113i</v>
      </c>
      <c r="AR461" s="170" t="str">
        <f t="shared" si="226"/>
        <v>0.80583837959503-0.133396976149011i</v>
      </c>
    </row>
    <row r="462" spans="7:44">
      <c r="G462" s="688">
        <v>51584.75</v>
      </c>
      <c r="H462" s="676">
        <f t="shared" ref="H462:H525" si="250">G462/1000</f>
        <v>51.58475</v>
      </c>
      <c r="I462" s="677">
        <f t="shared" si="230"/>
        <v>635.88738820001777</v>
      </c>
      <c r="J462" s="678">
        <f t="shared" si="231"/>
        <v>1.5692237206530883</v>
      </c>
      <c r="K462" s="678">
        <f t="shared" si="232"/>
        <v>1.0110533638063259</v>
      </c>
      <c r="L462" s="679">
        <f t="shared" si="233"/>
        <v>0.14800338471228072</v>
      </c>
      <c r="M462" s="678">
        <f t="shared" si="234"/>
        <v>1.0376404026165646</v>
      </c>
      <c r="N462" s="679">
        <f t="shared" si="235"/>
        <v>-0.27017200533148483</v>
      </c>
      <c r="O462" s="677">
        <f t="shared" si="236"/>
        <v>583409.77722837217</v>
      </c>
      <c r="P462" s="680">
        <f t="shared" si="237"/>
        <v>1.5707946127338044</v>
      </c>
      <c r="Q462" s="689">
        <f t="shared" si="227"/>
        <v>276.14910517633569</v>
      </c>
      <c r="R462" s="690">
        <f t="shared" si="228"/>
        <v>1.567175086795122</v>
      </c>
      <c r="S462" s="677">
        <f t="shared" si="238"/>
        <v>2.3831144316251791</v>
      </c>
      <c r="T462" s="680">
        <f t="shared" si="239"/>
        <v>1.1377708332918235</v>
      </c>
      <c r="U462" s="681">
        <f t="shared" ref="U462:U525" si="251">IMABS(IMPRODUCT(AO462, AR462))</f>
        <v>0.7295903398887682</v>
      </c>
      <c r="V462" s="682">
        <f t="shared" ref="V462:V525" si="252">IMARGUMENT(IMPRODUCT(AO462, AR462))</f>
        <v>-0.97222832890848077</v>
      </c>
      <c r="W462" s="683">
        <f t="shared" si="240"/>
        <v>-26.415101734170385</v>
      </c>
      <c r="X462" s="684">
        <f t="shared" si="241"/>
        <v>-218.011073235109</v>
      </c>
      <c r="Y462" s="687">
        <f t="shared" si="242"/>
        <v>-38.011073235108995</v>
      </c>
      <c r="AA462" s="170">
        <f t="shared" si="243"/>
        <v>51584.75</v>
      </c>
      <c r="AB462" s="170">
        <f t="shared" si="244"/>
        <v>2660986432.5625</v>
      </c>
      <c r="AD462" s="686">
        <f t="shared" si="245"/>
        <v>31.065950912919224</v>
      </c>
      <c r="AE462" s="687">
        <f t="shared" si="246"/>
        <v>-65.396850435555692</v>
      </c>
      <c r="AG462" s="686">
        <f t="shared" si="247"/>
        <v>3.0878469210875812</v>
      </c>
      <c r="AH462" s="687">
        <f t="shared" si="248"/>
        <v>-41.20506273322421</v>
      </c>
      <c r="AJ462" s="170">
        <f t="shared" si="249"/>
        <v>0</v>
      </c>
      <c r="AK462" s="170">
        <f t="shared" si="229"/>
        <v>0</v>
      </c>
      <c r="AM462" s="170" t="str">
        <f t="shared" ref="AM462:AM525" si="253">IMSUB(1,IMEXP(COMPLEX(0,-2*Pi*G462*Tsw)))</f>
        <v>1.04616684414518+0.998933742798628i</v>
      </c>
      <c r="AN462" s="170" t="str">
        <f t="shared" ref="AN462:AN525" si="254">COMPLEX(0, 2*Pi*G462*Tsw)</f>
        <v>1.61697958651826i</v>
      </c>
      <c r="AO462" s="170" t="str">
        <f t="shared" ref="AO462:AO525" si="255">IMDIV(AM462, AN462)</f>
        <v>0.617777584285754-0.646988281650373i</v>
      </c>
      <c r="AP462" s="170" t="str">
        <f t="shared" ref="AP462:AP525" si="256">IMDIV(IMEXP(COMPLEX(0,-2*Pi*G462*Tsw)),6)</f>
        <v>-0.00769447402419673-0.166488957133105i</v>
      </c>
      <c r="AQ462" s="170" t="str">
        <f t="shared" ref="AQ462:AQ525" si="257">IMSUB(1, AP462)</f>
        <v>1.0076944740242+0.166488957133105i</v>
      </c>
      <c r="AR462" s="170" t="str">
        <f t="shared" ref="AR462:AR525" si="258">IMDIV(0.833, AQ462)</f>
        <v>0.804674340237755-0.132946438817859i</v>
      </c>
    </row>
    <row r="463" spans="7:44">
      <c r="G463" s="688">
        <v>51883.5</v>
      </c>
      <c r="H463" s="676">
        <f t="shared" si="250"/>
        <v>51.883499999999998</v>
      </c>
      <c r="I463" s="677">
        <f t="shared" si="230"/>
        <v>639.57008296468143</v>
      </c>
      <c r="J463" s="678">
        <f t="shared" si="231"/>
        <v>1.5692327758501536</v>
      </c>
      <c r="K463" s="678">
        <f t="shared" si="232"/>
        <v>1.0111810544037902</v>
      </c>
      <c r="L463" s="679">
        <f t="shared" si="233"/>
        <v>0.14884796834838579</v>
      </c>
      <c r="M463" s="678">
        <f t="shared" si="234"/>
        <v>1.0380696300549626</v>
      </c>
      <c r="N463" s="679">
        <f t="shared" si="235"/>
        <v>-0.27166103820934062</v>
      </c>
      <c r="O463" s="677">
        <f t="shared" si="236"/>
        <v>586788.56012344221</v>
      </c>
      <c r="P463" s="680">
        <f t="shared" si="237"/>
        <v>1.570794622603527</v>
      </c>
      <c r="Q463" s="689">
        <f t="shared" si="227"/>
        <v>277.74838532100989</v>
      </c>
      <c r="R463" s="690">
        <f t="shared" si="228"/>
        <v>1.5671959380498315</v>
      </c>
      <c r="S463" s="677">
        <f t="shared" si="238"/>
        <v>2.3944916689518756</v>
      </c>
      <c r="T463" s="680">
        <f t="shared" si="239"/>
        <v>1.1399662456572164</v>
      </c>
      <c r="U463" s="681">
        <f t="shared" si="251"/>
        <v>0.72753817372004126</v>
      </c>
      <c r="V463" s="682">
        <f t="shared" si="252"/>
        <v>-0.97658570207816975</v>
      </c>
      <c r="W463" s="683">
        <f t="shared" si="240"/>
        <v>-26.526406285206981</v>
      </c>
      <c r="X463" s="684">
        <f t="shared" si="241"/>
        <v>-218.42276911363228</v>
      </c>
      <c r="Y463" s="687">
        <f t="shared" si="242"/>
        <v>-38.422769113632285</v>
      </c>
      <c r="AA463" s="170">
        <f t="shared" si="243"/>
        <v>51883.5</v>
      </c>
      <c r="AB463" s="170">
        <f t="shared" si="244"/>
        <v>2691897572.25</v>
      </c>
      <c r="AD463" s="686">
        <f t="shared" si="245"/>
        <v>31.024581584967802</v>
      </c>
      <c r="AE463" s="687">
        <f t="shared" si="246"/>
        <v>-65.521444175126945</v>
      </c>
      <c r="AG463" s="686">
        <f t="shared" si="247"/>
        <v>3.0668432794771179</v>
      </c>
      <c r="AH463" s="687">
        <f t="shared" si="248"/>
        <v>-40.992846686832223</v>
      </c>
      <c r="AJ463" s="170">
        <f t="shared" si="249"/>
        <v>0</v>
      </c>
      <c r="AK463" s="170">
        <f t="shared" si="229"/>
        <v>0</v>
      </c>
      <c r="AM463" s="170" t="str">
        <f t="shared" si="253"/>
        <v>1.05551933872244+0.998457612033592i</v>
      </c>
      <c r="AN463" s="170" t="str">
        <f t="shared" si="254"/>
        <v>1.62634422725941i</v>
      </c>
      <c r="AO463" s="170" t="str">
        <f t="shared" si="255"/>
        <v>0.613927602347823-0.649013487446701i</v>
      </c>
      <c r="AP463" s="170" t="str">
        <f t="shared" si="256"/>
        <v>-0.00925322312040647-0.166409602005599i</v>
      </c>
      <c r="AQ463" s="170" t="str">
        <f t="shared" si="257"/>
        <v>1.00925322312041+0.166409602005599i</v>
      </c>
      <c r="AR463" s="170" t="str">
        <f t="shared" si="258"/>
        <v>0.803517739788035-0.132487134268594i</v>
      </c>
    </row>
    <row r="464" spans="7:44">
      <c r="G464" s="688">
        <v>52182.25</v>
      </c>
      <c r="H464" s="676">
        <f t="shared" si="250"/>
        <v>52.182250000000003</v>
      </c>
      <c r="I464" s="677">
        <f t="shared" si="230"/>
        <v>643.25277778118721</v>
      </c>
      <c r="J464" s="678">
        <f t="shared" si="231"/>
        <v>1.5692417273631678</v>
      </c>
      <c r="K464" s="678">
        <f t="shared" si="232"/>
        <v>1.0113094661160136</v>
      </c>
      <c r="L464" s="679">
        <f t="shared" si="233"/>
        <v>0.14969233810349936</v>
      </c>
      <c r="M464" s="678">
        <f t="shared" si="234"/>
        <v>1.0385011572154088</v>
      </c>
      <c r="N464" s="679">
        <f t="shared" si="235"/>
        <v>-0.27314883691154379</v>
      </c>
      <c r="O464" s="677">
        <f t="shared" si="236"/>
        <v>590167.34301851224</v>
      </c>
      <c r="P464" s="680">
        <f t="shared" si="237"/>
        <v>1.5707946323602386</v>
      </c>
      <c r="Q464" s="689">
        <f t="shared" si="227"/>
        <v>279.34766558505936</v>
      </c>
      <c r="R464" s="690">
        <f t="shared" si="228"/>
        <v>1.5672165505554623</v>
      </c>
      <c r="S464" s="677">
        <f t="shared" si="238"/>
        <v>2.4058803381484752</v>
      </c>
      <c r="T464" s="680">
        <f t="shared" si="239"/>
        <v>1.1421408836594538</v>
      </c>
      <c r="U464" s="681">
        <f t="shared" si="251"/>
        <v>0.72548947711832334</v>
      </c>
      <c r="V464" s="682">
        <f t="shared" si="252"/>
        <v>-0.98093011462410828</v>
      </c>
      <c r="W464" s="683">
        <f t="shared" si="240"/>
        <v>-26.637271777992755</v>
      </c>
      <c r="X464" s="684">
        <f t="shared" si="241"/>
        <v>-218.83248139338468</v>
      </c>
      <c r="Y464" s="687">
        <f t="shared" si="242"/>
        <v>-38.832481393384683</v>
      </c>
      <c r="AA464" s="170">
        <f t="shared" si="243"/>
        <v>52182.25</v>
      </c>
      <c r="AB464" s="170">
        <f t="shared" si="244"/>
        <v>2722987215.0625</v>
      </c>
      <c r="AD464" s="686">
        <f t="shared" si="245"/>
        <v>30.983367090771971</v>
      </c>
      <c r="AE464" s="687">
        <f t="shared" si="246"/>
        <v>-65.644861304205506</v>
      </c>
      <c r="AG464" s="686">
        <f t="shared" si="247"/>
        <v>3.0461790000756146</v>
      </c>
      <c r="AH464" s="687">
        <f t="shared" si="248"/>
        <v>-40.781308830245287</v>
      </c>
      <c r="AJ464" s="170">
        <f t="shared" si="249"/>
        <v>0</v>
      </c>
      <c r="AK464" s="170">
        <f t="shared" si="229"/>
        <v>0</v>
      </c>
      <c r="AM464" s="170" t="str">
        <f t="shared" si="253"/>
        <v>1.06486696448381+0.997893920674265i</v>
      </c>
      <c r="AN464" s="170" t="str">
        <f t="shared" si="254"/>
        <v>1.63570886800057i</v>
      </c>
      <c r="AO464" s="170" t="str">
        <f t="shared" si="255"/>
        <v>0.610068173008106-0.651012527544381i</v>
      </c>
      <c r="AP464" s="170" t="str">
        <f t="shared" si="256"/>
        <v>-0.0108111607473018-0.166315653445711i</v>
      </c>
      <c r="AQ464" s="170" t="str">
        <f t="shared" si="257"/>
        <v>1.0108111607473+0.166315653445711i</v>
      </c>
      <c r="AR464" s="170" t="str">
        <f t="shared" si="258"/>
        <v>0.80236860801359-0.132019178782561i</v>
      </c>
    </row>
    <row r="465" spans="7:44">
      <c r="G465" s="688">
        <v>52481</v>
      </c>
      <c r="H465" s="676">
        <f t="shared" si="250"/>
        <v>52.481000000000002</v>
      </c>
      <c r="I465" s="677">
        <f t="shared" si="230"/>
        <v>646.93547264864969</v>
      </c>
      <c r="J465" s="678">
        <f t="shared" si="231"/>
        <v>1.5692505769628002</v>
      </c>
      <c r="K465" s="678">
        <f t="shared" si="232"/>
        <v>1.0114385986683392</v>
      </c>
      <c r="L465" s="679">
        <f t="shared" si="233"/>
        <v>0.15053649285531018</v>
      </c>
      <c r="M465" s="678">
        <f t="shared" si="234"/>
        <v>1.0389349812322979</v>
      </c>
      <c r="N465" s="679">
        <f t="shared" si="235"/>
        <v>-0.27463539639345824</v>
      </c>
      <c r="O465" s="677">
        <f t="shared" si="236"/>
        <v>593546.12591358251</v>
      </c>
      <c r="P465" s="680">
        <f t="shared" si="237"/>
        <v>1.5707946420058696</v>
      </c>
      <c r="Q465" s="689">
        <f t="shared" si="227"/>
        <v>280.94694596644553</v>
      </c>
      <c r="R465" s="690">
        <f t="shared" si="228"/>
        <v>1.5672369283892083</v>
      </c>
      <c r="S465" s="677">
        <f t="shared" si="238"/>
        <v>2.4172802776361375</v>
      </c>
      <c r="T465" s="680">
        <f t="shared" si="239"/>
        <v>1.1442950205009694</v>
      </c>
      <c r="U465" s="681">
        <f t="shared" si="251"/>
        <v>0.72344431313979163</v>
      </c>
      <c r="V465" s="682">
        <f t="shared" si="252"/>
        <v>-0.98526165066974947</v>
      </c>
      <c r="W465" s="683">
        <f t="shared" si="240"/>
        <v>-26.747701520185867</v>
      </c>
      <c r="X465" s="684">
        <f t="shared" si="241"/>
        <v>-219.24023019085527</v>
      </c>
      <c r="Y465" s="687">
        <f t="shared" si="242"/>
        <v>-39.240230190855272</v>
      </c>
      <c r="AA465" s="170">
        <f t="shared" si="243"/>
        <v>52481</v>
      </c>
      <c r="AB465" s="170">
        <f t="shared" si="244"/>
        <v>2754255361</v>
      </c>
      <c r="AD465" s="686">
        <f t="shared" si="245"/>
        <v>30.942306743738488</v>
      </c>
      <c r="AE465" s="687">
        <f t="shared" si="246"/>
        <v>-65.767117242642357</v>
      </c>
      <c r="AG465" s="686">
        <f t="shared" si="247"/>
        <v>3.0258500249157394</v>
      </c>
      <c r="AH465" s="687">
        <f t="shared" si="248"/>
        <v>-40.570444220263809</v>
      </c>
      <c r="AJ465" s="170">
        <f t="shared" si="249"/>
        <v>0</v>
      </c>
      <c r="AK465" s="170">
        <f t="shared" si="229"/>
        <v>0</v>
      </c>
      <c r="AM465" s="170" t="str">
        <f t="shared" si="253"/>
        <v>1.07420890168124+0.997242718154043i</v>
      </c>
      <c r="AN465" s="170" t="str">
        <f t="shared" si="254"/>
        <v>1.64507350874172i</v>
      </c>
      <c r="AO465" s="170" t="str">
        <f t="shared" si="255"/>
        <v>0.606199487654999-0.652985350486179i</v>
      </c>
      <c r="AP465" s="170" t="str">
        <f t="shared" si="256"/>
        <v>-0.0123681502802067-0.166207119692341i</v>
      </c>
      <c r="AQ465" s="170" t="str">
        <f t="shared" si="257"/>
        <v>1.01236815028021+0.166207119692341i</v>
      </c>
      <c r="AR465" s="170" t="str">
        <f t="shared" si="258"/>
        <v>0.801226973148801-0.131542687697174i</v>
      </c>
    </row>
    <row r="466" spans="7:44">
      <c r="G466" s="688">
        <v>52786.5</v>
      </c>
      <c r="H466" s="676">
        <f t="shared" si="250"/>
        <v>52.786499999999997</v>
      </c>
      <c r="I466" s="677">
        <f t="shared" si="230"/>
        <v>650.70137489964077</v>
      </c>
      <c r="J466" s="678">
        <f t="shared" si="231"/>
        <v>1.5692595229211042</v>
      </c>
      <c r="K466" s="678">
        <f t="shared" si="232"/>
        <v>1.0115713940265199</v>
      </c>
      <c r="L466" s="679">
        <f t="shared" si="233"/>
        <v>0.15139949704727546</v>
      </c>
      <c r="M466" s="678">
        <f t="shared" si="234"/>
        <v>1.0393809794199722</v>
      </c>
      <c r="N466" s="679">
        <f t="shared" si="235"/>
        <v>-0.27615425665208276</v>
      </c>
      <c r="O466" s="677">
        <f t="shared" si="236"/>
        <v>597001.24951004761</v>
      </c>
      <c r="P466" s="680">
        <f t="shared" si="237"/>
        <v>1.5707946517565263</v>
      </c>
      <c r="Q466" s="689">
        <f t="shared" si="227"/>
        <v>282.58236083554903</v>
      </c>
      <c r="R466" s="690">
        <f t="shared" si="228"/>
        <v>1.5672575281089882</v>
      </c>
      <c r="S466" s="677">
        <f t="shared" si="238"/>
        <v>2.4289492787678206</v>
      </c>
      <c r="T466" s="680">
        <f t="shared" si="239"/>
        <v>1.1464769070988792</v>
      </c>
      <c r="U466" s="681">
        <f t="shared" si="251"/>
        <v>0.72135665756985767</v>
      </c>
      <c r="V466" s="682">
        <f t="shared" si="252"/>
        <v>-0.98967782584463426</v>
      </c>
      <c r="W466" s="683">
        <f t="shared" si="240"/>
        <v>-26.860179104174023</v>
      </c>
      <c r="X466" s="684">
        <f t="shared" si="241"/>
        <v>-219.65518191578826</v>
      </c>
      <c r="Y466" s="687">
        <f t="shared" si="242"/>
        <v>-39.655181915788262</v>
      </c>
      <c r="AA466" s="170">
        <f t="shared" si="243"/>
        <v>52786.5</v>
      </c>
      <c r="AB466" s="170">
        <f t="shared" si="244"/>
        <v>2786414582.25</v>
      </c>
      <c r="AD466" s="686">
        <f t="shared" si="245"/>
        <v>30.900477362992007</v>
      </c>
      <c r="AE466" s="687">
        <f t="shared" si="246"/>
        <v>-65.890950417889201</v>
      </c>
      <c r="AG466" s="686">
        <f t="shared" si="247"/>
        <v>3.005404330864458</v>
      </c>
      <c r="AH466" s="687">
        <f t="shared" si="248"/>
        <v>-40.355506371149005</v>
      </c>
      <c r="AJ466" s="170">
        <f t="shared" si="249"/>
        <v>0</v>
      </c>
      <c r="AK466" s="170">
        <f t="shared" si="229"/>
        <v>0</v>
      </c>
      <c r="AM466" s="170" t="str">
        <f t="shared" si="253"/>
        <v>1.08375517552731+0.99648636246182i</v>
      </c>
      <c r="AN466" s="170" t="str">
        <f t="shared" si="254"/>
        <v>1.65464973550799i</v>
      </c>
      <c r="AO466" s="170" t="str">
        <f t="shared" si="255"/>
        <v>0.602234020335362-0.654975583212836i</v>
      </c>
      <c r="AP466" s="170" t="str">
        <f t="shared" si="256"/>
        <v>-0.0139591959212189-0.166081060410303i</v>
      </c>
      <c r="AQ466" s="170" t="str">
        <f t="shared" si="257"/>
        <v>1.01395919592122+0.166081060410303i</v>
      </c>
      <c r="AR466" s="170" t="str">
        <f t="shared" si="258"/>
        <v>0.800067324774161-0.131046722819456i</v>
      </c>
    </row>
    <row r="467" spans="7:44">
      <c r="G467" s="688">
        <v>53092</v>
      </c>
      <c r="H467" s="676">
        <f t="shared" si="250"/>
        <v>53.091999999999999</v>
      </c>
      <c r="I467" s="677">
        <f t="shared" si="230"/>
        <v>654.46727720210845</v>
      </c>
      <c r="J467" s="678">
        <f t="shared" si="231"/>
        <v>1.5692683659266529</v>
      </c>
      <c r="K467" s="678">
        <f t="shared" si="232"/>
        <v>1.0117049425809286</v>
      </c>
      <c r="L467" s="679">
        <f t="shared" si="233"/>
        <v>0.15226227404259432</v>
      </c>
      <c r="M467" s="678">
        <f t="shared" si="234"/>
        <v>1.0398293733334332</v>
      </c>
      <c r="N467" s="679">
        <f t="shared" si="235"/>
        <v>-0.27767181048708039</v>
      </c>
      <c r="O467" s="677">
        <f t="shared" si="236"/>
        <v>600456.37310651282</v>
      </c>
      <c r="P467" s="680">
        <f t="shared" si="237"/>
        <v>1.5707946613949695</v>
      </c>
      <c r="Q467" s="689">
        <f t="shared" si="227"/>
        <v>284.21777582318589</v>
      </c>
      <c r="R467" s="690">
        <f t="shared" si="228"/>
        <v>1.5672778907634461</v>
      </c>
      <c r="S467" s="677">
        <f t="shared" si="238"/>
        <v>2.4406297326224031</v>
      </c>
      <c r="T467" s="680">
        <f t="shared" si="239"/>
        <v>1.1486379195994565</v>
      </c>
      <c r="U467" s="681">
        <f t="shared" si="251"/>
        <v>0.71927282390573211</v>
      </c>
      <c r="V467" s="682">
        <f t="shared" si="252"/>
        <v>-0.99408071497255523</v>
      </c>
      <c r="W467" s="683">
        <f t="shared" si="240"/>
        <v>-26.972207898895899</v>
      </c>
      <c r="X467" s="684">
        <f t="shared" si="241"/>
        <v>-220.06812225112674</v>
      </c>
      <c r="Y467" s="687">
        <f t="shared" si="242"/>
        <v>-40.068122251126738</v>
      </c>
      <c r="AA467" s="170">
        <f t="shared" si="243"/>
        <v>53092</v>
      </c>
      <c r="AB467" s="170">
        <f t="shared" si="244"/>
        <v>2818760464</v>
      </c>
      <c r="AD467" s="686">
        <f t="shared" si="245"/>
        <v>30.858807704486534</v>
      </c>
      <c r="AE467" s="687">
        <f t="shared" si="246"/>
        <v>-66.013601171869425</v>
      </c>
      <c r="AG467" s="686">
        <f t="shared" si="247"/>
        <v>2.9853008976914057</v>
      </c>
      <c r="AH467" s="687">
        <f t="shared" si="248"/>
        <v>-40.141262022542946</v>
      </c>
      <c r="AJ467" s="170">
        <f t="shared" si="249"/>
        <v>0</v>
      </c>
      <c r="AK467" s="170">
        <f t="shared" si="229"/>
        <v>0</v>
      </c>
      <c r="AM467" s="170" t="str">
        <f t="shared" si="253"/>
        <v>1.09329376873749+0.995638625563892i</v>
      </c>
      <c r="AN467" s="170" t="str">
        <f t="shared" si="254"/>
        <v>1.66422596227426i</v>
      </c>
      <c r="AO467" s="170" t="str">
        <f t="shared" si="255"/>
        <v>0.598259279769494-0.656938296554058i</v>
      </c>
      <c r="AP467" s="170" t="str">
        <f t="shared" si="256"/>
        <v>-0.0155489614562487-0.165939770927315i</v>
      </c>
      <c r="AQ467" s="170" t="str">
        <f t="shared" si="257"/>
        <v>1.01554896145625+0.165939770927315i</v>
      </c>
      <c r="AR467" s="170" t="str">
        <f t="shared" si="258"/>
        <v>0.79891557086595-0.130542073155842i</v>
      </c>
    </row>
    <row r="468" spans="7:44">
      <c r="G468" s="688">
        <v>53397.5</v>
      </c>
      <c r="H468" s="676">
        <f t="shared" si="250"/>
        <v>53.397500000000001</v>
      </c>
      <c r="I468" s="677">
        <f t="shared" si="230"/>
        <v>658.23317955516904</v>
      </c>
      <c r="J468" s="678">
        <f t="shared" si="231"/>
        <v>1.5692771077464935</v>
      </c>
      <c r="K468" s="678">
        <f t="shared" si="232"/>
        <v>1.011839244033331</v>
      </c>
      <c r="L468" s="679">
        <f t="shared" si="233"/>
        <v>0.1531248226470075</v>
      </c>
      <c r="M468" s="678">
        <f t="shared" si="234"/>
        <v>1.0402801598747784</v>
      </c>
      <c r="N468" s="679">
        <f t="shared" si="235"/>
        <v>-0.27918805260255636</v>
      </c>
      <c r="O468" s="677">
        <f t="shared" si="236"/>
        <v>603911.49670297804</v>
      </c>
      <c r="P468" s="680">
        <f t="shared" si="237"/>
        <v>1.5707946709231249</v>
      </c>
      <c r="Q468" s="689">
        <f t="shared" si="227"/>
        <v>285.85319092732169</v>
      </c>
      <c r="R468" s="690">
        <f t="shared" si="228"/>
        <v>1.5672980204214393</v>
      </c>
      <c r="S468" s="677">
        <f t="shared" si="238"/>
        <v>2.4523214755512783</v>
      </c>
      <c r="T468" s="680">
        <f t="shared" si="239"/>
        <v>1.1507783362330475</v>
      </c>
      <c r="U468" s="681">
        <f t="shared" si="251"/>
        <v>0.71719287403394638</v>
      </c>
      <c r="V468" s="682">
        <f t="shared" si="252"/>
        <v>-0.99847040895656591</v>
      </c>
      <c r="W468" s="683">
        <f t="shared" si="240"/>
        <v>-27.083791320101916</v>
      </c>
      <c r="X468" s="684">
        <f t="shared" si="241"/>
        <v>-220.47907197987664</v>
      </c>
      <c r="Y468" s="687">
        <f t="shared" si="242"/>
        <v>-40.479071979876636</v>
      </c>
      <c r="AA468" s="170">
        <f t="shared" si="243"/>
        <v>53397.5</v>
      </c>
      <c r="AB468" s="170">
        <f t="shared" si="244"/>
        <v>2851293006.25</v>
      </c>
      <c r="AD468" s="686">
        <f t="shared" si="245"/>
        <v>30.817297017608706</v>
      </c>
      <c r="AE468" s="687">
        <f t="shared" si="246"/>
        <v>-66.135085212989637</v>
      </c>
      <c r="AG468" s="686">
        <f t="shared" si="247"/>
        <v>2.9655356024919941</v>
      </c>
      <c r="AH468" s="687">
        <f t="shared" si="248"/>
        <v>-39.92770583232226</v>
      </c>
      <c r="AJ468" s="170">
        <f t="shared" si="249"/>
        <v>0</v>
      </c>
      <c r="AK468" s="170">
        <f t="shared" si="229"/>
        <v>0</v>
      </c>
      <c r="AM468" s="170" t="str">
        <f t="shared" si="253"/>
        <v>1.10282380659017+0.994699585200631i</v>
      </c>
      <c r="AN468" s="170" t="str">
        <f t="shared" si="254"/>
        <v>1.67380218904053i</v>
      </c>
      <c r="AO468" s="170" t="str">
        <f t="shared" si="255"/>
        <v>0.594275471566219-0.658873440249436i</v>
      </c>
      <c r="AP468" s="170" t="str">
        <f t="shared" si="256"/>
        <v>-0.0171373010983623-0.165783264200105i</v>
      </c>
      <c r="AQ468" s="170" t="str">
        <f t="shared" si="257"/>
        <v>1.01713730109836+0.165783264200105i</v>
      </c>
      <c r="AR468" s="170" t="str">
        <f t="shared" si="258"/>
        <v>0.797771736866009-0.130028858917489i</v>
      </c>
    </row>
    <row r="469" spans="7:44">
      <c r="G469" s="688">
        <v>53703</v>
      </c>
      <c r="H469" s="676">
        <f t="shared" si="250"/>
        <v>53.703000000000003</v>
      </c>
      <c r="I469" s="677">
        <f t="shared" si="230"/>
        <v>661.99908195795911</v>
      </c>
      <c r="J469" s="678">
        <f t="shared" si="231"/>
        <v>1.5692857501074646</v>
      </c>
      <c r="K469" s="678">
        <f t="shared" si="232"/>
        <v>1.011974298083971</v>
      </c>
      <c r="L469" s="679">
        <f t="shared" si="233"/>
        <v>0.15398714166824715</v>
      </c>
      <c r="M469" s="678">
        <f t="shared" si="234"/>
        <v>1.0407333359349564</v>
      </c>
      <c r="N469" s="679">
        <f t="shared" si="235"/>
        <v>-0.28070297773589203</v>
      </c>
      <c r="O469" s="677">
        <f t="shared" si="236"/>
        <v>607366.62029944325</v>
      </c>
      <c r="P469" s="680">
        <f t="shared" si="237"/>
        <v>1.5707946803428747</v>
      </c>
      <c r="Q469" s="689">
        <f t="shared" si="227"/>
        <v>287.48860614596833</v>
      </c>
      <c r="R469" s="690">
        <f t="shared" si="228"/>
        <v>1.5673179210592405</v>
      </c>
      <c r="S469" s="677">
        <f t="shared" si="238"/>
        <v>2.464024346855203</v>
      </c>
      <c r="T469" s="680">
        <f t="shared" si="239"/>
        <v>1.1528984307067183</v>
      </c>
      <c r="U469" s="681">
        <f t="shared" si="251"/>
        <v>0.7151168680275618</v>
      </c>
      <c r="V469" s="682">
        <f t="shared" si="252"/>
        <v>-1.0028469989834075</v>
      </c>
      <c r="W469" s="683">
        <f t="shared" si="240"/>
        <v>-27.194932744295137</v>
      </c>
      <c r="X469" s="684">
        <f t="shared" si="241"/>
        <v>-220.88805164692391</v>
      </c>
      <c r="Y469" s="687">
        <f t="shared" si="242"/>
        <v>-40.888051646923913</v>
      </c>
      <c r="AA469" s="170">
        <f t="shared" si="243"/>
        <v>53703</v>
      </c>
      <c r="AB469" s="170">
        <f t="shared" si="244"/>
        <v>2884012209</v>
      </c>
      <c r="AD469" s="686">
        <f t="shared" si="245"/>
        <v>30.775944547098256</v>
      </c>
      <c r="AE469" s="687">
        <f t="shared" si="246"/>
        <v>-66.255417995793763</v>
      </c>
      <c r="AG469" s="686">
        <f t="shared" si="247"/>
        <v>2.9461043924090626</v>
      </c>
      <c r="AH469" s="687">
        <f t="shared" si="248"/>
        <v>-39.714832441598169</v>
      </c>
      <c r="AJ469" s="170">
        <f t="shared" si="249"/>
        <v>0</v>
      </c>
      <c r="AK469" s="170">
        <f t="shared" si="229"/>
        <v>0</v>
      </c>
      <c r="AM469" s="170" t="str">
        <f t="shared" si="253"/>
        <v>1.11234441514831+0.993669327485247i</v>
      </c>
      <c r="AN469" s="170" t="str">
        <f t="shared" si="254"/>
        <v>1.6833784158068i</v>
      </c>
      <c r="AO469" s="170" t="str">
        <f t="shared" si="255"/>
        <v>0.590282801629607-0.660780965648292i</v>
      </c>
      <c r="AP469" s="170" t="str">
        <f t="shared" si="256"/>
        <v>-0.0187240691913852-0.165611554580874i</v>
      </c>
      <c r="AQ469" s="170" t="str">
        <f t="shared" si="257"/>
        <v>1.01872406919139+0.165611554580874i</v>
      </c>
      <c r="AR469" s="170" t="str">
        <f t="shared" si="258"/>
        <v>0.796635846689748-0.129507199245681i</v>
      </c>
    </row>
    <row r="470" spans="7:44">
      <c r="G470" s="688">
        <v>54015.75</v>
      </c>
      <c r="H470" s="676">
        <f t="shared" si="250"/>
        <v>54.015749999999997</v>
      </c>
      <c r="I470" s="677">
        <f t="shared" si="230"/>
        <v>665.85435525400135</v>
      </c>
      <c r="J470" s="678">
        <f t="shared" si="231"/>
        <v>1.5692944962999464</v>
      </c>
      <c r="K470" s="678">
        <f t="shared" si="232"/>
        <v>1.0121133364677668</v>
      </c>
      <c r="L470" s="679">
        <f t="shared" si="233"/>
        <v>0.15486968582574867</v>
      </c>
      <c r="M470" s="678">
        <f t="shared" si="234"/>
        <v>1.0411997385771219</v>
      </c>
      <c r="N470" s="679">
        <f t="shared" si="235"/>
        <v>-0.28225248475400116</v>
      </c>
      <c r="O470" s="677">
        <f t="shared" si="236"/>
        <v>610903.73946407356</v>
      </c>
      <c r="P470" s="680">
        <f t="shared" si="237"/>
        <v>1.5707946898757956</v>
      </c>
      <c r="Q470" s="689">
        <f t="shared" si="227"/>
        <v>289.16283248066628</v>
      </c>
      <c r="R470" s="690">
        <f t="shared" si="228"/>
        <v>1.5673380607906136</v>
      </c>
      <c r="S470" s="677">
        <f t="shared" si="238"/>
        <v>2.4760163087739588</v>
      </c>
      <c r="T470" s="680">
        <f t="shared" si="239"/>
        <v>1.1550480681952184</v>
      </c>
      <c r="U470" s="681">
        <f t="shared" si="251"/>
        <v>0.712995741314843</v>
      </c>
      <c r="V470" s="682">
        <f t="shared" si="252"/>
        <v>-1.0073139738112402</v>
      </c>
      <c r="W470" s="683">
        <f t="shared" si="240"/>
        <v>-27.308257360431266</v>
      </c>
      <c r="X470" s="684">
        <f t="shared" si="241"/>
        <v>-221.30471750930886</v>
      </c>
      <c r="Y470" s="687">
        <f t="shared" si="242"/>
        <v>-41.304717509308858</v>
      </c>
      <c r="AA470" s="170">
        <f t="shared" si="243"/>
        <v>54015.75</v>
      </c>
      <c r="AB470" s="170">
        <f t="shared" si="244"/>
        <v>2917701248.0625</v>
      </c>
      <c r="AD470" s="686">
        <f t="shared" si="245"/>
        <v>30.733773816835104</v>
      </c>
      <c r="AE470" s="687">
        <f t="shared" si="246"/>
        <v>-66.377429776095283</v>
      </c>
      <c r="AG470" s="686">
        <f t="shared" si="247"/>
        <v>2.9265539612280893</v>
      </c>
      <c r="AH470" s="687">
        <f t="shared" si="248"/>
        <v>-39.497608913444765</v>
      </c>
      <c r="AJ470" s="170">
        <f t="shared" si="249"/>
        <v>0</v>
      </c>
      <c r="AK470" s="170">
        <f t="shared" si="229"/>
        <v>0</v>
      </c>
      <c r="AM470" s="170" t="str">
        <f t="shared" si="253"/>
        <v>1.12208028370831+0.992520228675314i</v>
      </c>
      <c r="AN470" s="170" t="str">
        <f t="shared" si="254"/>
        <v>1.69318190163708i</v>
      </c>
      <c r="AO470" s="170" t="str">
        <f t="shared" si="255"/>
        <v>0.586186414888843-0.662705101338143i</v>
      </c>
      <c r="AP470" s="170" t="str">
        <f t="shared" si="256"/>
        <v>-0.0203467139513857-0.165420038112552i</v>
      </c>
      <c r="AQ470" s="170" t="str">
        <f t="shared" si="257"/>
        <v>1.02034671395139+0.165420038112552i</v>
      </c>
      <c r="AR470" s="170" t="str">
        <f t="shared" si="258"/>
        <v>0.795481252281513-0.12896453457535i</v>
      </c>
    </row>
    <row r="471" spans="7:44">
      <c r="G471" s="688">
        <v>54328.5</v>
      </c>
      <c r="H471" s="676">
        <f t="shared" si="250"/>
        <v>54.328499999999998</v>
      </c>
      <c r="I471" s="677">
        <f t="shared" si="230"/>
        <v>669.70962860039242</v>
      </c>
      <c r="J471" s="678">
        <f t="shared" si="231"/>
        <v>1.5693031417951675</v>
      </c>
      <c r="K471" s="678">
        <f t="shared" si="232"/>
        <v>1.012253162953721</v>
      </c>
      <c r="L471" s="679">
        <f t="shared" si="233"/>
        <v>0.15575198685175459</v>
      </c>
      <c r="M471" s="678">
        <f t="shared" si="234"/>
        <v>1.0416686388685743</v>
      </c>
      <c r="N471" s="679">
        <f t="shared" si="235"/>
        <v>-0.28380060048551109</v>
      </c>
      <c r="O471" s="677">
        <f t="shared" si="236"/>
        <v>614440.85862870386</v>
      </c>
      <c r="P471" s="680">
        <f t="shared" si="237"/>
        <v>1.5707946992989612</v>
      </c>
      <c r="Q471" s="689">
        <f t="shared" ref="Q471:Q534" si="259">SQRT(1+(G471/Zero2)^2)</f>
        <v>290.83705893130087</v>
      </c>
      <c r="R471" s="690">
        <f t="shared" ref="R471:R534" si="260">ATAN(G471/Zero2)</f>
        <v>1.5673579686500929</v>
      </c>
      <c r="S471" s="677">
        <f t="shared" si="238"/>
        <v>2.4880196018945244</v>
      </c>
      <c r="T471" s="680">
        <f t="shared" si="239"/>
        <v>1.1571769738622955</v>
      </c>
      <c r="U471" s="681">
        <f t="shared" si="251"/>
        <v>0.71087886958189039</v>
      </c>
      <c r="V471" s="682">
        <f t="shared" si="252"/>
        <v>-1.0117674095831286</v>
      </c>
      <c r="W471" s="683">
        <f t="shared" si="240"/>
        <v>-27.421125790666018</v>
      </c>
      <c r="X471" s="684">
        <f t="shared" si="241"/>
        <v>-221.71936152008084</v>
      </c>
      <c r="Y471" s="687">
        <f t="shared" si="242"/>
        <v>-41.719361520080838</v>
      </c>
      <c r="AA471" s="170">
        <f t="shared" si="243"/>
        <v>54328.5</v>
      </c>
      <c r="AB471" s="170">
        <f t="shared" si="244"/>
        <v>2951585912.25</v>
      </c>
      <c r="AD471" s="686">
        <f t="shared" si="245"/>
        <v>30.691767286510697</v>
      </c>
      <c r="AE471" s="687">
        <f t="shared" si="246"/>
        <v>-66.498266989518655</v>
      </c>
      <c r="AG471" s="686">
        <f t="shared" si="247"/>
        <v>2.9073452831853439</v>
      </c>
      <c r="AH471" s="687">
        <f t="shared" si="248"/>
        <v>-39.281089562086656</v>
      </c>
      <c r="AJ471" s="170">
        <f t="shared" si="249"/>
        <v>0</v>
      </c>
      <c r="AK471" s="170">
        <f t="shared" ref="AK471:AK534" si="261">IF(AJ471&gt;0,Y471,0)</f>
        <v>0</v>
      </c>
      <c r="AM471" s="170" t="str">
        <f t="shared" si="253"/>
        <v>1.13180441942955+0.991275741163294i</v>
      </c>
      <c r="AN471" s="170" t="str">
        <f t="shared" si="254"/>
        <v>1.70298538746736i</v>
      </c>
      <c r="AO471" s="170" t="str">
        <f t="shared" si="255"/>
        <v>0.582081178416625-0.664600194316842i</v>
      </c>
      <c r="AP471" s="170" t="str">
        <f t="shared" si="256"/>
        <v>-0.0219674032382587-0.165212623527216i</v>
      </c>
      <c r="AQ471" s="170" t="str">
        <f t="shared" si="257"/>
        <v>1.02196740323826+0.165212623527216i</v>
      </c>
      <c r="AR471" s="170" t="str">
        <f t="shared" si="258"/>
        <v>0.794335029190506-0.128413268090837i</v>
      </c>
    </row>
    <row r="472" spans="7:44">
      <c r="G472" s="688">
        <v>54641.25</v>
      </c>
      <c r="H472" s="676">
        <f t="shared" si="250"/>
        <v>54.641249999999999</v>
      </c>
      <c r="I472" s="677">
        <f t="shared" si="230"/>
        <v>673.56490199626739</v>
      </c>
      <c r="J472" s="678">
        <f t="shared" si="231"/>
        <v>1.5693116883222047</v>
      </c>
      <c r="K472" s="678">
        <f t="shared" si="232"/>
        <v>1.012393777215288</v>
      </c>
      <c r="L472" s="679">
        <f t="shared" si="233"/>
        <v>0.15663404347362747</v>
      </c>
      <c r="M472" s="678">
        <f t="shared" si="234"/>
        <v>1.0421400334379385</v>
      </c>
      <c r="N472" s="679">
        <f t="shared" si="235"/>
        <v>-0.28534731939281222</v>
      </c>
      <c r="O472" s="677">
        <f t="shared" si="236"/>
        <v>617977.97779333417</v>
      </c>
      <c r="P472" s="680">
        <f t="shared" si="237"/>
        <v>1.570794708614256</v>
      </c>
      <c r="Q472" s="689">
        <f t="shared" si="259"/>
        <v>292.51128549588134</v>
      </c>
      <c r="R472" s="690">
        <f t="shared" si="260"/>
        <v>1.56737764861911</v>
      </c>
      <c r="S472" s="677">
        <f t="shared" si="238"/>
        <v>2.5000340630050455</v>
      </c>
      <c r="T472" s="680">
        <f t="shared" si="239"/>
        <v>1.1592854271643478</v>
      </c>
      <c r="U472" s="681">
        <f t="shared" si="251"/>
        <v>0.70876631155276515</v>
      </c>
      <c r="V472" s="682">
        <f t="shared" si="252"/>
        <v>-1.0162074049448453</v>
      </c>
      <c r="W472" s="683">
        <f t="shared" si="240"/>
        <v>-27.533541534837738</v>
      </c>
      <c r="X472" s="684">
        <f t="shared" si="241"/>
        <v>-222.13200496959118</v>
      </c>
      <c r="Y472" s="687">
        <f t="shared" si="242"/>
        <v>-42.132004969591179</v>
      </c>
      <c r="AA472" s="170">
        <f t="shared" si="243"/>
        <v>54641.25</v>
      </c>
      <c r="AB472" s="170">
        <f t="shared" si="244"/>
        <v>2985666201.5625</v>
      </c>
      <c r="AD472" s="686">
        <f t="shared" si="245"/>
        <v>30.649924133347568</v>
      </c>
      <c r="AE472" s="687">
        <f t="shared" si="246"/>
        <v>-66.617945419724862</v>
      </c>
      <c r="AG472" s="686">
        <f t="shared" si="247"/>
        <v>2.8884742291050989</v>
      </c>
      <c r="AH472" s="687">
        <f t="shared" si="248"/>
        <v>-39.065268590241295</v>
      </c>
      <c r="AJ472" s="170">
        <f t="shared" si="249"/>
        <v>0</v>
      </c>
      <c r="AK472" s="170">
        <f t="shared" si="261"/>
        <v>0</v>
      </c>
      <c r="AM472" s="170" t="str">
        <f t="shared" si="253"/>
        <v>1.14151588774903+0.989935984553851i</v>
      </c>
      <c r="AN472" s="170" t="str">
        <f t="shared" si="254"/>
        <v>1.71278887329765i</v>
      </c>
      <c r="AO472" s="170" t="str">
        <f t="shared" si="255"/>
        <v>0.577967314002874-0.666466197641311i</v>
      </c>
      <c r="AP472" s="170" t="str">
        <f t="shared" si="256"/>
        <v>-0.0235859812915057-0.164989330758975i</v>
      </c>
      <c r="AQ472" s="170" t="str">
        <f t="shared" si="257"/>
        <v>1.02358598129151+0.164989330758975i</v>
      </c>
      <c r="AR472" s="170" t="str">
        <f t="shared" si="258"/>
        <v>0.793197198344961-0.127853524087644i</v>
      </c>
    </row>
    <row r="473" spans="7:44">
      <c r="G473" s="688">
        <v>54954</v>
      </c>
      <c r="H473" s="676">
        <f t="shared" si="250"/>
        <v>54.954000000000001</v>
      </c>
      <c r="I473" s="677">
        <f t="shared" si="230"/>
        <v>677.4201754407818</v>
      </c>
      <c r="J473" s="678">
        <f t="shared" si="231"/>
        <v>1.5693201375707737</v>
      </c>
      <c r="K473" s="678">
        <f t="shared" si="232"/>
        <v>1.0125351789242645</v>
      </c>
      <c r="L473" s="679">
        <f t="shared" si="233"/>
        <v>0.15751585442095589</v>
      </c>
      <c r="M473" s="678">
        <f t="shared" si="234"/>
        <v>1.0426139189020185</v>
      </c>
      <c r="N473" s="679">
        <f t="shared" si="235"/>
        <v>-0.28689263597501657</v>
      </c>
      <c r="O473" s="677">
        <f t="shared" si="236"/>
        <v>621515.09695796447</v>
      </c>
      <c r="P473" s="680">
        <f t="shared" si="237"/>
        <v>1.5707947178235218</v>
      </c>
      <c r="Q473" s="689">
        <f t="shared" si="259"/>
        <v>294.18551217246232</v>
      </c>
      <c r="R473" s="690">
        <f t="shared" si="260"/>
        <v>1.5673971045884625</v>
      </c>
      <c r="S473" s="677">
        <f t="shared" si="238"/>
        <v>2.5120595318656376</v>
      </c>
      <c r="T473" s="680">
        <f t="shared" si="239"/>
        <v>1.1613737029414961</v>
      </c>
      <c r="U473" s="681">
        <f t="shared" si="251"/>
        <v>0.70665812407951123</v>
      </c>
      <c r="V473" s="682">
        <f t="shared" si="252"/>
        <v>-1.0206340587795093</v>
      </c>
      <c r="W473" s="683">
        <f t="shared" si="240"/>
        <v>-27.645508052997194</v>
      </c>
      <c r="X473" s="684">
        <f t="shared" si="241"/>
        <v>-222.5426689022085</v>
      </c>
      <c r="Y473" s="687">
        <f t="shared" si="242"/>
        <v>-42.542668902208504</v>
      </c>
      <c r="AA473" s="170">
        <f t="shared" si="243"/>
        <v>54954</v>
      </c>
      <c r="AB473" s="170">
        <f t="shared" si="244"/>
        <v>3019942116</v>
      </c>
      <c r="AD473" s="686">
        <f t="shared" si="245"/>
        <v>30.608243531209084</v>
      </c>
      <c r="AE473" s="687">
        <f t="shared" si="246"/>
        <v>-66.736480591072166</v>
      </c>
      <c r="AG473" s="686">
        <f t="shared" si="247"/>
        <v>2.8699367407895475</v>
      </c>
      <c r="AH473" s="687">
        <f t="shared" si="248"/>
        <v>-38.850140186748433</v>
      </c>
      <c r="AJ473" s="170">
        <f t="shared" si="249"/>
        <v>0</v>
      </c>
      <c r="AK473" s="170">
        <f t="shared" si="261"/>
        <v>0</v>
      </c>
      <c r="AM473" s="170" t="str">
        <f t="shared" si="253"/>
        <v>1.15121375532117+0.988501087607732i</v>
      </c>
      <c r="AN473" s="170" t="str">
        <f t="shared" si="254"/>
        <v>1.72259235912793i</v>
      </c>
      <c r="AO473" s="170" t="str">
        <f t="shared" si="255"/>
        <v>0.573845043703877-0.668303066143854i</v>
      </c>
      <c r="AP473" s="170" t="str">
        <f t="shared" si="256"/>
        <v>-0.025202292553528-0.164750181267955i</v>
      </c>
      <c r="AQ473" s="170" t="str">
        <f t="shared" si="257"/>
        <v>1.02520229255353+0.164750181267955i</v>
      </c>
      <c r="AR473" s="170" t="str">
        <f t="shared" si="258"/>
        <v>0.792067779157603-0.127285425657501i</v>
      </c>
    </row>
    <row r="474" spans="7:44">
      <c r="G474" s="688">
        <v>55274</v>
      </c>
      <c r="H474" s="676">
        <f t="shared" si="250"/>
        <v>55.274000000000001</v>
      </c>
      <c r="I474" s="677">
        <f t="shared" si="230"/>
        <v>681.36481978201357</v>
      </c>
      <c r="J474" s="678">
        <f t="shared" si="231"/>
        <v>1.5693286837203451</v>
      </c>
      <c r="K474" s="678">
        <f t="shared" si="232"/>
        <v>1.0126806732267608</v>
      </c>
      <c r="L474" s="679">
        <f t="shared" si="233"/>
        <v>0.1584178514229965</v>
      </c>
      <c r="M474" s="678">
        <f t="shared" si="234"/>
        <v>1.0431013643573286</v>
      </c>
      <c r="N474" s="679">
        <f t="shared" si="235"/>
        <v>-0.28847231808091245</v>
      </c>
      <c r="O474" s="677">
        <f t="shared" si="236"/>
        <v>625134.21169075987</v>
      </c>
      <c r="P474" s="680">
        <f t="shared" si="237"/>
        <v>1.5707947271384048</v>
      </c>
      <c r="Q474" s="689">
        <f t="shared" si="259"/>
        <v>295.89854997307395</v>
      </c>
      <c r="R474" s="690">
        <f t="shared" si="260"/>
        <v>1.5674167836925548</v>
      </c>
      <c r="S474" s="677">
        <f t="shared" si="238"/>
        <v>2.5243749979750465</v>
      </c>
      <c r="T474" s="680">
        <f t="shared" si="239"/>
        <v>1.1634897853419659</v>
      </c>
      <c r="U474" s="681">
        <f t="shared" si="251"/>
        <v>0.70450564682394579</v>
      </c>
      <c r="V474" s="682">
        <f t="shared" si="252"/>
        <v>-1.0251496232336847</v>
      </c>
      <c r="W474" s="683">
        <f t="shared" si="240"/>
        <v>-27.759608718713153</v>
      </c>
      <c r="X474" s="684">
        <f t="shared" si="241"/>
        <v>-222.96082543736441</v>
      </c>
      <c r="Y474" s="687">
        <f t="shared" si="242"/>
        <v>-42.960825437364406</v>
      </c>
      <c r="AA474" s="170">
        <f t="shared" si="243"/>
        <v>55274</v>
      </c>
      <c r="AB474" s="170">
        <f t="shared" si="244"/>
        <v>3055215076</v>
      </c>
      <c r="AD474" s="686">
        <f t="shared" si="245"/>
        <v>30.565764094229472</v>
      </c>
      <c r="AE474" s="687">
        <f t="shared" si="246"/>
        <v>-66.85659618595264</v>
      </c>
      <c r="AG474" s="686">
        <f t="shared" si="247"/>
        <v>2.8513106208430661</v>
      </c>
      <c r="AH474" s="687">
        <f t="shared" si="248"/>
        <v>-38.630735555745495</v>
      </c>
      <c r="AJ474" s="170">
        <f t="shared" si="249"/>
        <v>0</v>
      </c>
      <c r="AK474" s="170">
        <f t="shared" si="261"/>
        <v>0</v>
      </c>
      <c r="AM474" s="170" t="str">
        <f t="shared" si="253"/>
        <v>1.16112138409914+0.986934597420709i</v>
      </c>
      <c r="AN474" s="170" t="str">
        <f t="shared" si="254"/>
        <v>1.73262310402222i</v>
      </c>
      <c r="AO474" s="170" t="str">
        <f t="shared" si="255"/>
        <v>0.569618744624597-0.670152314951613i</v>
      </c>
      <c r="AP474" s="170" t="str">
        <f t="shared" si="256"/>
        <v>-0.0268535640165235-0.164489099570118i</v>
      </c>
      <c r="AQ474" s="170" t="str">
        <f t="shared" si="257"/>
        <v>1.02685356401652+0.164489099570118i</v>
      </c>
      <c r="AR474" s="170" t="str">
        <f t="shared" si="258"/>
        <v>0.790920903500238-0.126695637826939i</v>
      </c>
    </row>
    <row r="475" spans="7:44">
      <c r="G475" s="688">
        <v>55594</v>
      </c>
      <c r="H475" s="676">
        <f t="shared" si="250"/>
        <v>55.594000000000001</v>
      </c>
      <c r="I475" s="677">
        <f t="shared" si="230"/>
        <v>685.30946417243717</v>
      </c>
      <c r="J475" s="678">
        <f t="shared" si="231"/>
        <v>1.5693371314865656</v>
      </c>
      <c r="K475" s="678">
        <f t="shared" si="232"/>
        <v>1.0128269912077221</v>
      </c>
      <c r="L475" s="679">
        <f t="shared" si="233"/>
        <v>0.1593195885446444</v>
      </c>
      <c r="M475" s="678">
        <f t="shared" si="234"/>
        <v>1.0435914103277646</v>
      </c>
      <c r="N475" s="679">
        <f t="shared" si="235"/>
        <v>-0.29005052055887998</v>
      </c>
      <c r="O475" s="677">
        <f t="shared" si="236"/>
        <v>628753.32642355538</v>
      </c>
      <c r="P475" s="680">
        <f t="shared" si="237"/>
        <v>1.5707947363460544</v>
      </c>
      <c r="Q475" s="689">
        <f t="shared" si="259"/>
        <v>297.61158788695832</v>
      </c>
      <c r="R475" s="690">
        <f t="shared" si="260"/>
        <v>1.5674362362527108</v>
      </c>
      <c r="S475" s="677">
        <f t="shared" si="238"/>
        <v>2.5367016579568333</v>
      </c>
      <c r="T475" s="680">
        <f t="shared" si="239"/>
        <v>1.1655853115820891</v>
      </c>
      <c r="U475" s="681">
        <f t="shared" si="251"/>
        <v>0.70235785964824426</v>
      </c>
      <c r="V475" s="682">
        <f t="shared" si="252"/>
        <v>-1.029651430566197</v>
      </c>
      <c r="W475" s="683">
        <f t="shared" si="240"/>
        <v>-27.873246294031478</v>
      </c>
      <c r="X475" s="684">
        <f t="shared" si="241"/>
        <v>-223.37695341680836</v>
      </c>
      <c r="Y475" s="687">
        <f t="shared" si="242"/>
        <v>-43.376953416808362</v>
      </c>
      <c r="AA475" s="170">
        <f t="shared" si="243"/>
        <v>55594</v>
      </c>
      <c r="AB475" s="170">
        <f t="shared" si="244"/>
        <v>3090692836</v>
      </c>
      <c r="AD475" s="686">
        <f t="shared" si="245"/>
        <v>30.523453073067195</v>
      </c>
      <c r="AE475" s="687">
        <f t="shared" si="246"/>
        <v>-66.97554697346834</v>
      </c>
      <c r="AG475" s="686">
        <f t="shared" si="247"/>
        <v>2.8330253369496736</v>
      </c>
      <c r="AH475" s="687">
        <f t="shared" si="248"/>
        <v>-38.412043626416285</v>
      </c>
      <c r="AJ475" s="170">
        <f t="shared" si="249"/>
        <v>0</v>
      </c>
      <c r="AK475" s="170">
        <f t="shared" si="261"/>
        <v>0</v>
      </c>
      <c r="AM475" s="170" t="str">
        <f t="shared" si="253"/>
        <v>1.17101280164913+0.985268806809652i</v>
      </c>
      <c r="AN475" s="170" t="str">
        <f t="shared" si="254"/>
        <v>1.74265384891651i</v>
      </c>
      <c r="AO475" s="170" t="str">
        <f t="shared" si="255"/>
        <v>0.565384116542846-0.671970972535483i</v>
      </c>
      <c r="AP475" s="170" t="str">
        <f t="shared" si="256"/>
        <v>-0.0285021336081888-0.164211467801609i</v>
      </c>
      <c r="AQ475" s="170" t="str">
        <f t="shared" si="257"/>
        <v>1.02850213360819+0.164211467801609i</v>
      </c>
      <c r="AR475" s="170" t="str">
        <f t="shared" si="258"/>
        <v>0.789782870438491-0.126097360580371i</v>
      </c>
    </row>
    <row r="476" spans="7:44">
      <c r="G476" s="688">
        <v>55914</v>
      </c>
      <c r="H476" s="676">
        <f t="shared" si="250"/>
        <v>55.914000000000001</v>
      </c>
      <c r="I476" s="677">
        <f t="shared" si="230"/>
        <v>689.25410861120781</v>
      </c>
      <c r="J476" s="678">
        <f t="shared" si="231"/>
        <v>1.5693454825585962</v>
      </c>
      <c r="K476" s="678">
        <f t="shared" si="232"/>
        <v>1.0129741325102222</v>
      </c>
      <c r="L476" s="679">
        <f t="shared" si="233"/>
        <v>0.16022106443237449</v>
      </c>
      <c r="M476" s="678">
        <f t="shared" si="234"/>
        <v>1.0440840531516327</v>
      </c>
      <c r="N476" s="679">
        <f t="shared" si="235"/>
        <v>-0.29162723763615456</v>
      </c>
      <c r="O476" s="677">
        <f t="shared" si="236"/>
        <v>632372.44115635077</v>
      </c>
      <c r="P476" s="680">
        <f t="shared" si="237"/>
        <v>1.570794745448312</v>
      </c>
      <c r="Q476" s="689">
        <f t="shared" si="259"/>
        <v>299.3246259121704</v>
      </c>
      <c r="R476" s="690">
        <f t="shared" si="260"/>
        <v>1.5674554661584557</v>
      </c>
      <c r="S476" s="677">
        <f t="shared" si="238"/>
        <v>2.5490393494168151</v>
      </c>
      <c r="T476" s="680">
        <f t="shared" si="239"/>
        <v>1.1676605616070912</v>
      </c>
      <c r="U476" s="681">
        <f t="shared" si="251"/>
        <v>0.70021481756021731</v>
      </c>
      <c r="V476" s="682">
        <f t="shared" si="252"/>
        <v>-1.0341395873556209</v>
      </c>
      <c r="W476" s="683">
        <f t="shared" si="240"/>
        <v>-27.986424360987549</v>
      </c>
      <c r="X476" s="684">
        <f t="shared" si="241"/>
        <v>-223.79107460755296</v>
      </c>
      <c r="Y476" s="687">
        <f t="shared" si="242"/>
        <v>-43.791074607552957</v>
      </c>
      <c r="AA476" s="170">
        <f t="shared" si="243"/>
        <v>55914</v>
      </c>
      <c r="AB476" s="170">
        <f t="shared" si="244"/>
        <v>3126375396</v>
      </c>
      <c r="AD476" s="686">
        <f t="shared" si="245"/>
        <v>30.481309574394032</v>
      </c>
      <c r="AE476" s="687">
        <f t="shared" si="246"/>
        <v>-67.093348770551316</v>
      </c>
      <c r="AG476" s="686">
        <f t="shared" si="247"/>
        <v>2.8150767637224483</v>
      </c>
      <c r="AH476" s="687">
        <f t="shared" si="248"/>
        <v>-38.194058135836279</v>
      </c>
      <c r="AJ476" s="170">
        <f t="shared" si="249"/>
        <v>0</v>
      </c>
      <c r="AK476" s="170">
        <f t="shared" si="261"/>
        <v>0</v>
      </c>
      <c r="AM476" s="170" t="str">
        <f t="shared" si="253"/>
        <v>1.18088701274617+0.983503883378081i</v>
      </c>
      <c r="AN476" s="170" t="str">
        <f t="shared" si="254"/>
        <v>1.7526845938108i</v>
      </c>
      <c r="AO476" s="170" t="str">
        <f t="shared" si="255"/>
        <v>0.56114139808788-0.673758996294142i</v>
      </c>
      <c r="AP476" s="170" t="str">
        <f t="shared" si="256"/>
        <v>-0.030147835457695-0.163917313896347i</v>
      </c>
      <c r="AQ476" s="170" t="str">
        <f t="shared" si="257"/>
        <v>1.03014783545769+0.163917313896347i</v>
      </c>
      <c r="AR476" s="170" t="str">
        <f t="shared" si="258"/>
        <v>0.788653696096437-0.125490721825492i</v>
      </c>
    </row>
    <row r="477" spans="7:44">
      <c r="G477" s="688">
        <v>56234</v>
      </c>
      <c r="H477" s="676">
        <f t="shared" si="250"/>
        <v>56.234000000000002</v>
      </c>
      <c r="I477" s="677">
        <f t="shared" si="230"/>
        <v>693.19875309750023</v>
      </c>
      <c r="J477" s="678">
        <f t="shared" si="231"/>
        <v>1.5693537385871494</v>
      </c>
      <c r="K477" s="678">
        <f t="shared" si="232"/>
        <v>1.0131220967755343</v>
      </c>
      <c r="L477" s="679">
        <f t="shared" si="233"/>
        <v>0.16112227773514409</v>
      </c>
      <c r="M477" s="678">
        <f t="shared" si="234"/>
        <v>1.0445792891547612</v>
      </c>
      <c r="N477" s="679">
        <f t="shared" si="235"/>
        <v>-0.29320246358037499</v>
      </c>
      <c r="O477" s="677">
        <f t="shared" si="236"/>
        <v>635991.55588914629</v>
      </c>
      <c r="P477" s="680">
        <f t="shared" si="237"/>
        <v>1.5707947544469767</v>
      </c>
      <c r="Q477" s="689">
        <f t="shared" si="259"/>
        <v>301.03766404680994</v>
      </c>
      <c r="R477" s="690">
        <f t="shared" si="260"/>
        <v>1.5674744772107829</v>
      </c>
      <c r="S477" s="677">
        <f t="shared" si="238"/>
        <v>2.5613879129457482</v>
      </c>
      <c r="T477" s="680">
        <f t="shared" si="239"/>
        <v>1.1697158106695262</v>
      </c>
      <c r="U477" s="681">
        <f t="shared" si="251"/>
        <v>0.69807657364699971</v>
      </c>
      <c r="V477" s="682">
        <f t="shared" si="252"/>
        <v>-1.0386142003656815</v>
      </c>
      <c r="W477" s="683">
        <f t="shared" si="240"/>
        <v>-28.099146461366388</v>
      </c>
      <c r="X477" s="684">
        <f t="shared" si="241"/>
        <v>-224.20321052338875</v>
      </c>
      <c r="Y477" s="687">
        <f t="shared" si="242"/>
        <v>-44.203210523388748</v>
      </c>
      <c r="AA477" s="170">
        <f t="shared" si="243"/>
        <v>56234</v>
      </c>
      <c r="AB477" s="170">
        <f t="shared" si="244"/>
        <v>3162262756</v>
      </c>
      <c r="AD477" s="686">
        <f t="shared" si="245"/>
        <v>30.43933270284381</v>
      </c>
      <c r="AE477" s="687">
        <f t="shared" si="246"/>
        <v>-67.210017130333426</v>
      </c>
      <c r="AG477" s="686">
        <f t="shared" si="247"/>
        <v>2.797460847547768</v>
      </c>
      <c r="AH477" s="687">
        <f t="shared" si="248"/>
        <v>-37.976772810442434</v>
      </c>
      <c r="AJ477" s="170">
        <f t="shared" si="249"/>
        <v>0</v>
      </c>
      <c r="AK477" s="170">
        <f t="shared" si="261"/>
        <v>0</v>
      </c>
      <c r="AM477" s="170" t="str">
        <f t="shared" si="253"/>
        <v>1.19074302389652+0.981640004703767i</v>
      </c>
      <c r="AN477" s="170" t="str">
        <f t="shared" si="254"/>
        <v>1.7627153387051i</v>
      </c>
      <c r="AO477" s="170" t="str">
        <f t="shared" si="255"/>
        <v>0.556890828115721-0.675516345578093i</v>
      </c>
      <c r="AP477" s="170" t="str">
        <f t="shared" si="256"/>
        <v>-0.0317905039827532-0.163606667450628i</v>
      </c>
      <c r="AQ477" s="170" t="str">
        <f t="shared" si="257"/>
        <v>1.03179050398275+0.163606667450628i</v>
      </c>
      <c r="AR477" s="170" t="str">
        <f t="shared" si="258"/>
        <v>0.787533395108259-0.124875848132341i</v>
      </c>
    </row>
    <row r="478" spans="7:44">
      <c r="G478" s="688">
        <v>56561.5</v>
      </c>
      <c r="H478" s="676">
        <f t="shared" si="250"/>
        <v>56.561500000000002</v>
      </c>
      <c r="I478" s="677">
        <f t="shared" si="230"/>
        <v>697.23585023730402</v>
      </c>
      <c r="J478" s="678">
        <f t="shared" si="231"/>
        <v>1.5693620913887594</v>
      </c>
      <c r="K478" s="678">
        <f t="shared" si="232"/>
        <v>1.0132743806982232</v>
      </c>
      <c r="L478" s="679">
        <f t="shared" si="233"/>
        <v>0.16204433992888978</v>
      </c>
      <c r="M478" s="678">
        <f t="shared" si="234"/>
        <v>1.0450888134626273</v>
      </c>
      <c r="N478" s="679">
        <f t="shared" si="235"/>
        <v>-0.29481305897802007</v>
      </c>
      <c r="O478" s="677">
        <f t="shared" si="236"/>
        <v>639695.49362349173</v>
      </c>
      <c r="P478" s="680">
        <f t="shared" si="237"/>
        <v>1.570794763551119</v>
      </c>
      <c r="Q478" s="689">
        <f t="shared" si="259"/>
        <v>302.79085162409632</v>
      </c>
      <c r="R478" s="690">
        <f t="shared" si="260"/>
        <v>1.5674937111031841</v>
      </c>
      <c r="S478" s="677">
        <f t="shared" si="238"/>
        <v>2.5740369899266606</v>
      </c>
      <c r="T478" s="680">
        <f t="shared" si="239"/>
        <v>1.1717988024162953</v>
      </c>
      <c r="U478" s="681">
        <f t="shared" si="251"/>
        <v>0.69589323623642607</v>
      </c>
      <c r="V478" s="682">
        <f t="shared" si="252"/>
        <v>-1.0431797750561782</v>
      </c>
      <c r="W478" s="683">
        <f t="shared" si="240"/>
        <v>-28.21404201859988</v>
      </c>
      <c r="X478" s="684">
        <f t="shared" si="241"/>
        <v>-224.62297244822415</v>
      </c>
      <c r="Y478" s="687">
        <f t="shared" si="242"/>
        <v>-44.622972448224147</v>
      </c>
      <c r="AA478" s="170">
        <f t="shared" si="243"/>
        <v>56561.5</v>
      </c>
      <c r="AB478" s="170">
        <f t="shared" si="244"/>
        <v>3199203282.25</v>
      </c>
      <c r="AD478" s="686">
        <f t="shared" si="245"/>
        <v>30.396543593159258</v>
      </c>
      <c r="AE478" s="687">
        <f t="shared" si="246"/>
        <v>-67.328262267089741</v>
      </c>
      <c r="AG478" s="686">
        <f t="shared" si="247"/>
        <v>2.7797723455360073</v>
      </c>
      <c r="AH478" s="687">
        <f t="shared" si="248"/>
        <v>-37.75511327628935</v>
      </c>
      <c r="AJ478" s="170">
        <f t="shared" si="249"/>
        <v>0</v>
      </c>
      <c r="AK478" s="170">
        <f t="shared" si="261"/>
        <v>0</v>
      </c>
      <c r="AM478" s="170" t="str">
        <f t="shared" si="253"/>
        <v>1.20081015571262+0.979630175812624i</v>
      </c>
      <c r="AN478" s="170" t="str">
        <f t="shared" si="254"/>
        <v>1.77298117918285i</v>
      </c>
      <c r="AO478" s="170" t="str">
        <f t="shared" si="255"/>
        <v>0.552532755177991-0.677283081068047i</v>
      </c>
      <c r="AP478" s="170" t="str">
        <f t="shared" si="256"/>
        <v>-0.0334683592854367-0.163271695968771i</v>
      </c>
      <c r="AQ478" s="170" t="str">
        <f t="shared" si="257"/>
        <v>1.03346835928544+0.163271695968771i</v>
      </c>
      <c r="AR478" s="170" t="str">
        <f t="shared" si="258"/>
        <v>0.78639603856181-0.124238167298983i</v>
      </c>
    </row>
    <row r="479" spans="7:44">
      <c r="G479" s="688">
        <v>56889</v>
      </c>
      <c r="H479" s="676">
        <f t="shared" si="250"/>
        <v>56.889000000000003</v>
      </c>
      <c r="I479" s="677">
        <f t="shared" si="230"/>
        <v>701.27294742519348</v>
      </c>
      <c r="J479" s="678">
        <f t="shared" si="231"/>
        <v>1.5693703480193366</v>
      </c>
      <c r="K479" s="678">
        <f t="shared" si="232"/>
        <v>1.0134275258461307</v>
      </c>
      <c r="L479" s="679">
        <f t="shared" si="233"/>
        <v>0.16296612422937579</v>
      </c>
      <c r="M479" s="678">
        <f t="shared" si="234"/>
        <v>1.0456010461029661</v>
      </c>
      <c r="N479" s="679">
        <f t="shared" si="235"/>
        <v>-0.29642208050725216</v>
      </c>
      <c r="O479" s="677">
        <f t="shared" si="236"/>
        <v>643399.43135783717</v>
      </c>
      <c r="P479" s="680">
        <f t="shared" si="237"/>
        <v>1.5707947725504394</v>
      </c>
      <c r="Q479" s="689">
        <f t="shared" si="259"/>
        <v>304.54403931210834</v>
      </c>
      <c r="R479" s="690">
        <f t="shared" si="260"/>
        <v>1.5675127235456936</v>
      </c>
      <c r="S479" s="677">
        <f t="shared" si="238"/>
        <v>2.586697126023958</v>
      </c>
      <c r="T479" s="680">
        <f t="shared" si="239"/>
        <v>1.1738614133629468</v>
      </c>
      <c r="U479" s="681">
        <f t="shared" si="251"/>
        <v>0.69371503104199028</v>
      </c>
      <c r="V479" s="682">
        <f t="shared" si="252"/>
        <v>-1.0477313904559109</v>
      </c>
      <c r="W479" s="683">
        <f t="shared" si="240"/>
        <v>-28.328467366081522</v>
      </c>
      <c r="X479" s="684">
        <f t="shared" si="241"/>
        <v>-225.04069974881909</v>
      </c>
      <c r="Y479" s="687">
        <f t="shared" si="242"/>
        <v>-45.040699748819094</v>
      </c>
      <c r="AA479" s="170">
        <f t="shared" si="243"/>
        <v>56889</v>
      </c>
      <c r="AB479" s="170">
        <f t="shared" si="244"/>
        <v>3236358321</v>
      </c>
      <c r="AD479" s="686">
        <f t="shared" si="245"/>
        <v>30.353927110180624</v>
      </c>
      <c r="AE479" s="687">
        <f t="shared" si="246"/>
        <v>-67.445352352153165</v>
      </c>
      <c r="AG479" s="686">
        <f t="shared" si="247"/>
        <v>2.76242390954059</v>
      </c>
      <c r="AH479" s="687">
        <f t="shared" si="248"/>
        <v>-37.534173786481944</v>
      </c>
      <c r="AJ479" s="170">
        <f t="shared" si="249"/>
        <v>0</v>
      </c>
      <c r="AK479" s="170">
        <f t="shared" si="261"/>
        <v>0</v>
      </c>
      <c r="AM479" s="170" t="str">
        <f t="shared" si="253"/>
        <v>1.21085612483817+0.977517107071908i</v>
      </c>
      <c r="AN479" s="170" t="str">
        <f t="shared" si="254"/>
        <v>1.7832470196606i</v>
      </c>
      <c r="AO479" s="170" t="str">
        <f t="shared" si="255"/>
        <v>0.548166965257542-0.67901760748134i</v>
      </c>
      <c r="AP479" s="170" t="str">
        <f t="shared" si="256"/>
        <v>-0.0351426874730278-0.162919517845318i</v>
      </c>
      <c r="AQ479" s="170" t="str">
        <f t="shared" si="257"/>
        <v>1.03514268747303+0.162919517845318i</v>
      </c>
      <c r="AR479" s="170" t="str">
        <f t="shared" si="258"/>
        <v>0.785268002597201-0.123592124941544i</v>
      </c>
    </row>
    <row r="480" spans="7:44">
      <c r="G480" s="688">
        <v>57216.5</v>
      </c>
      <c r="H480" s="676">
        <f t="shared" si="250"/>
        <v>57.216500000000003</v>
      </c>
      <c r="I480" s="677">
        <f t="shared" si="230"/>
        <v>705.31004466034267</v>
      </c>
      <c r="J480" s="678">
        <f t="shared" si="231"/>
        <v>1.5693785101302897</v>
      </c>
      <c r="K480" s="678">
        <f t="shared" si="232"/>
        <v>1.0135815318288819</v>
      </c>
      <c r="L480" s="679">
        <f t="shared" si="233"/>
        <v>0.16388762919646691</v>
      </c>
      <c r="M480" s="678">
        <f t="shared" si="234"/>
        <v>1.0461159830973576</v>
      </c>
      <c r="N480" s="679">
        <f t="shared" si="235"/>
        <v>-0.29802952215480061</v>
      </c>
      <c r="O480" s="677">
        <f t="shared" si="236"/>
        <v>647103.36909218272</v>
      </c>
      <c r="P480" s="680">
        <f t="shared" si="237"/>
        <v>1.5707947814467378</v>
      </c>
      <c r="Q480" s="689">
        <f t="shared" si="259"/>
        <v>306.29722710894447</v>
      </c>
      <c r="R480" s="690">
        <f t="shared" si="260"/>
        <v>1.56753151834091</v>
      </c>
      <c r="S480" s="677">
        <f t="shared" si="238"/>
        <v>2.5993681596484706</v>
      </c>
      <c r="T480" s="680">
        <f t="shared" si="239"/>
        <v>1.1759039238783526</v>
      </c>
      <c r="U480" s="681">
        <f t="shared" si="251"/>
        <v>0.69154200893530249</v>
      </c>
      <c r="V480" s="682">
        <f t="shared" si="252"/>
        <v>-1.0522691615011317</v>
      </c>
      <c r="W480" s="683">
        <f t="shared" si="240"/>
        <v>-28.442426174687768</v>
      </c>
      <c r="X480" s="684">
        <f t="shared" si="241"/>
        <v>-225.45641468931635</v>
      </c>
      <c r="Y480" s="687">
        <f t="shared" si="242"/>
        <v>-45.456414689316347</v>
      </c>
      <c r="AA480" s="170">
        <f t="shared" si="243"/>
        <v>57216.5</v>
      </c>
      <c r="AB480" s="170">
        <f t="shared" si="244"/>
        <v>3273727872.25</v>
      </c>
      <c r="AD480" s="686">
        <f t="shared" si="245"/>
        <v>30.311482289832817</v>
      </c>
      <c r="AE480" s="687">
        <f t="shared" si="246"/>
        <v>-67.561303231707143</v>
      </c>
      <c r="AG480" s="686">
        <f t="shared" si="247"/>
        <v>2.7454114185119041</v>
      </c>
      <c r="AH480" s="687">
        <f t="shared" si="248"/>
        <v>-37.313947588255431</v>
      </c>
      <c r="AJ480" s="170">
        <f t="shared" si="249"/>
        <v>0</v>
      </c>
      <c r="AK480" s="170">
        <f t="shared" si="261"/>
        <v>0</v>
      </c>
      <c r="AM480" s="170" t="str">
        <f t="shared" si="253"/>
        <v>1.22087987256308+0.975301021170652i</v>
      </c>
      <c r="AN480" s="170" t="str">
        <f t="shared" si="254"/>
        <v>1.79351286013835i</v>
      </c>
      <c r="AO480" s="170" t="str">
        <f t="shared" si="255"/>
        <v>0.54379371503108-0.680719887600305i</v>
      </c>
      <c r="AP480" s="170" t="str">
        <f t="shared" si="256"/>
        <v>-0.0368133120938467-0.162550170195109i</v>
      </c>
      <c r="AQ480" s="170" t="str">
        <f t="shared" si="257"/>
        <v>1.03681331209385+0.162550170195109i</v>
      </c>
      <c r="AR480" s="170" t="str">
        <f t="shared" si="258"/>
        <v>0.7841492983258-0.122937852373655i</v>
      </c>
    </row>
    <row r="481" spans="7:44">
      <c r="G481" s="688">
        <v>57544</v>
      </c>
      <c r="H481" s="676">
        <f t="shared" si="250"/>
        <v>57.543999999999997</v>
      </c>
      <c r="I481" s="677">
        <f t="shared" si="230"/>
        <v>709.34714194194487</v>
      </c>
      <c r="J481" s="678">
        <f t="shared" si="231"/>
        <v>1.5693865793354316</v>
      </c>
      <c r="K481" s="678">
        <f t="shared" si="232"/>
        <v>1.0137363982541447</v>
      </c>
      <c r="L481" s="679">
        <f t="shared" si="233"/>
        <v>0.16480885339279824</v>
      </c>
      <c r="M481" s="678">
        <f t="shared" si="234"/>
        <v>1.0466336204542277</v>
      </c>
      <c r="N481" s="679">
        <f t="shared" si="235"/>
        <v>-0.29963537795185519</v>
      </c>
      <c r="O481" s="677">
        <f t="shared" si="236"/>
        <v>650807.30682652839</v>
      </c>
      <c r="P481" s="680">
        <f t="shared" si="237"/>
        <v>1.5707947902417734</v>
      </c>
      <c r="Q481" s="689">
        <f t="shared" si="259"/>
        <v>308.05041501274695</v>
      </c>
      <c r="R481" s="690">
        <f t="shared" si="260"/>
        <v>1.5675500992048672</v>
      </c>
      <c r="S481" s="677">
        <f t="shared" si="238"/>
        <v>2.6120499322087474</v>
      </c>
      <c r="T481" s="680">
        <f t="shared" si="239"/>
        <v>1.1779266095643959</v>
      </c>
      <c r="U481" s="681">
        <f t="shared" si="251"/>
        <v>0.6893742188235038</v>
      </c>
      <c r="V481" s="682">
        <f t="shared" si="252"/>
        <v>-1.0567932032560374</v>
      </c>
      <c r="W481" s="683">
        <f t="shared" si="240"/>
        <v>-28.555922074534333</v>
      </c>
      <c r="X481" s="684">
        <f t="shared" si="241"/>
        <v>-225.87013927325333</v>
      </c>
      <c r="Y481" s="687">
        <f t="shared" si="242"/>
        <v>-45.870139273253329</v>
      </c>
      <c r="AA481" s="170">
        <f t="shared" si="243"/>
        <v>57544</v>
      </c>
      <c r="AB481" s="170">
        <f t="shared" si="244"/>
        <v>3311311936</v>
      </c>
      <c r="AD481" s="686">
        <f t="shared" si="245"/>
        <v>30.269208167342558</v>
      </c>
      <c r="AE481" s="687">
        <f t="shared" si="246"/>
        <v>-67.676130483764126</v>
      </c>
      <c r="AG481" s="686">
        <f t="shared" si="247"/>
        <v>2.728730824055003</v>
      </c>
      <c r="AH481" s="687">
        <f t="shared" si="248"/>
        <v>-37.094427921748924</v>
      </c>
      <c r="AJ481" s="170">
        <f t="shared" si="249"/>
        <v>0</v>
      </c>
      <c r="AK481" s="170">
        <f t="shared" si="261"/>
        <v>0</v>
      </c>
      <c r="AM481" s="170" t="str">
        <f t="shared" si="253"/>
        <v>1.23088034251912+0.972982151654518i</v>
      </c>
      <c r="AN481" s="170" t="str">
        <f t="shared" si="254"/>
        <v>1.8037787006161i</v>
      </c>
      <c r="AO481" s="170" t="str">
        <f t="shared" si="255"/>
        <v>0.539413261350844-0.682389886352854i</v>
      </c>
      <c r="AP481" s="170" t="str">
        <f t="shared" si="256"/>
        <v>-0.0384800570865193-0.16216369194242i</v>
      </c>
      <c r="AQ481" s="170" t="str">
        <f t="shared" si="257"/>
        <v>1.03848005708652+0.16216369194242i</v>
      </c>
      <c r="AR481" s="170" t="str">
        <f t="shared" si="258"/>
        <v>0.783039935405405-0.122275479434763i</v>
      </c>
    </row>
    <row r="482" spans="7:44">
      <c r="G482" s="688">
        <v>57879</v>
      </c>
      <c r="H482" s="676">
        <f t="shared" si="250"/>
        <v>57.878999999999998</v>
      </c>
      <c r="I482" s="677">
        <f t="shared" si="230"/>
        <v>713.47669188028806</v>
      </c>
      <c r="J482" s="678">
        <f t="shared" si="231"/>
        <v>1.569394738854059</v>
      </c>
      <c r="K482" s="678">
        <f t="shared" si="232"/>
        <v>1.0138957010530325</v>
      </c>
      <c r="L482" s="679">
        <f t="shared" si="233"/>
        <v>0.16575088234171692</v>
      </c>
      <c r="M482" s="678">
        <f t="shared" si="234"/>
        <v>1.0471659017579202</v>
      </c>
      <c r="N482" s="679">
        <f t="shared" si="235"/>
        <v>-0.30127636215447967</v>
      </c>
      <c r="O482" s="677">
        <f t="shared" si="236"/>
        <v>654596.06756242388</v>
      </c>
      <c r="P482" s="680">
        <f t="shared" si="237"/>
        <v>1.5707947991352458</v>
      </c>
      <c r="Q482" s="689">
        <f t="shared" si="259"/>
        <v>309.84375236663345</v>
      </c>
      <c r="R482" s="690">
        <f t="shared" si="260"/>
        <v>1.5675688880344758</v>
      </c>
      <c r="S482" s="677">
        <f t="shared" si="238"/>
        <v>2.625033075428258</v>
      </c>
      <c r="T482" s="680">
        <f t="shared" si="239"/>
        <v>1.1799753876798313</v>
      </c>
      <c r="U482" s="681">
        <f t="shared" si="251"/>
        <v>0.68716224671883575</v>
      </c>
      <c r="V482" s="682">
        <f t="shared" si="252"/>
        <v>-1.06140676458457</v>
      </c>
      <c r="W482" s="683">
        <f t="shared" si="240"/>
        <v>-28.671541928083556</v>
      </c>
      <c r="X482" s="684">
        <f t="shared" si="241"/>
        <v>-226.29130188656339</v>
      </c>
      <c r="Y482" s="687">
        <f t="shared" si="242"/>
        <v>-46.291301886563389</v>
      </c>
      <c r="AA482" s="170">
        <f t="shared" si="243"/>
        <v>57879</v>
      </c>
      <c r="AB482" s="170">
        <f t="shared" si="244"/>
        <v>3349978641</v>
      </c>
      <c r="AD482" s="686">
        <f t="shared" si="245"/>
        <v>30.226141535306713</v>
      </c>
      <c r="AE482" s="687">
        <f t="shared" si="246"/>
        <v>-67.792440811990133</v>
      </c>
      <c r="AG482" s="686">
        <f t="shared" si="247"/>
        <v>2.7120074700433938</v>
      </c>
      <c r="AH482" s="687">
        <f t="shared" si="248"/>
        <v>-36.870605020929531</v>
      </c>
      <c r="AJ482" s="170">
        <f t="shared" si="249"/>
        <v>0</v>
      </c>
      <c r="AK482" s="170">
        <f t="shared" si="261"/>
        <v>0</v>
      </c>
      <c r="AM482" s="170" t="str">
        <f t="shared" si="253"/>
        <v>1.24108464867718+0.970504091785398i</v>
      </c>
      <c r="AN482" s="170" t="str">
        <f t="shared" si="254"/>
        <v>1.81427963667732i</v>
      </c>
      <c r="AO482" s="170" t="str">
        <f t="shared" si="255"/>
        <v>0.534925307083744-0.684064696305641i</v>
      </c>
      <c r="AP482" s="170" t="str">
        <f t="shared" si="256"/>
        <v>-0.04018077477953-0.161750681964233i</v>
      </c>
      <c r="AQ482" s="170" t="str">
        <f t="shared" si="257"/>
        <v>1.04018077477953+0.161750681964233i</v>
      </c>
      <c r="AR482" s="170" t="str">
        <f t="shared" si="258"/>
        <v>0.781914840504501-0.121589690711563i</v>
      </c>
    </row>
    <row r="483" spans="7:44">
      <c r="G483" s="688">
        <v>58214</v>
      </c>
      <c r="H483" s="676">
        <f t="shared" si="250"/>
        <v>58.213999999999999</v>
      </c>
      <c r="I483" s="677">
        <f t="shared" si="230"/>
        <v>717.6062418655863</v>
      </c>
      <c r="J483" s="678">
        <f t="shared" si="231"/>
        <v>1.569402804462857</v>
      </c>
      <c r="K483" s="678">
        <f t="shared" si="232"/>
        <v>1.0140559033186061</v>
      </c>
      <c r="L483" s="679">
        <f t="shared" si="233"/>
        <v>0.16669261447947553</v>
      </c>
      <c r="M483" s="678">
        <f t="shared" si="234"/>
        <v>1.0477010000308333</v>
      </c>
      <c r="N483" s="679">
        <f t="shared" si="235"/>
        <v>-0.30291567454940987</v>
      </c>
      <c r="O483" s="677">
        <f t="shared" si="236"/>
        <v>658384.8282983196</v>
      </c>
      <c r="P483" s="680">
        <f t="shared" si="237"/>
        <v>1.5707948079263609</v>
      </c>
      <c r="Q483" s="689">
        <f t="shared" si="259"/>
        <v>311.63708982864227</v>
      </c>
      <c r="R483" s="690">
        <f t="shared" si="260"/>
        <v>1.5675874606208191</v>
      </c>
      <c r="S483" s="677">
        <f t="shared" si="238"/>
        <v>2.6380271287192554</v>
      </c>
      <c r="T483" s="680">
        <f t="shared" si="239"/>
        <v>1.1820039910273501</v>
      </c>
      <c r="U483" s="681">
        <f t="shared" si="251"/>
        <v>0.68495584636252715</v>
      </c>
      <c r="V483" s="682">
        <f t="shared" si="252"/>
        <v>-1.0660062044809946</v>
      </c>
      <c r="W483" s="683">
        <f t="shared" si="240"/>
        <v>-28.786684984608769</v>
      </c>
      <c r="X483" s="684">
        <f t="shared" si="241"/>
        <v>-226.71042769418304</v>
      </c>
      <c r="Y483" s="687">
        <f t="shared" si="242"/>
        <v>-46.710427694183039</v>
      </c>
      <c r="AA483" s="170">
        <f t="shared" si="243"/>
        <v>58214</v>
      </c>
      <c r="AB483" s="170">
        <f t="shared" si="244"/>
        <v>3388869796</v>
      </c>
      <c r="AD483" s="686">
        <f t="shared" si="245"/>
        <v>30.183251466050905</v>
      </c>
      <c r="AE483" s="687">
        <f t="shared" si="246"/>
        <v>-67.907607595122343</v>
      </c>
      <c r="AG483" s="686">
        <f t="shared" si="247"/>
        <v>2.695623045712281</v>
      </c>
      <c r="AH483" s="687">
        <f t="shared" si="248"/>
        <v>-36.647507056436297</v>
      </c>
      <c r="AJ483" s="170">
        <f t="shared" si="249"/>
        <v>0</v>
      </c>
      <c r="AK483" s="170">
        <f t="shared" si="261"/>
        <v>0</v>
      </c>
      <c r="AM483" s="170" t="str">
        <f t="shared" si="253"/>
        <v>1.25126237075772+0.967919015745227i</v>
      </c>
      <c r="AN483" s="170" t="str">
        <f t="shared" si="254"/>
        <v>1.82478057273853i</v>
      </c>
      <c r="AO483" s="170" t="str">
        <f t="shared" si="255"/>
        <v>0.53043035979533-0.685705662067574i</v>
      </c>
      <c r="AP483" s="170" t="str">
        <f t="shared" si="256"/>
        <v>-0.0418770617929537-0.161319835957538i</v>
      </c>
      <c r="AQ483" s="170" t="str">
        <f t="shared" si="257"/>
        <v>1.04187706179295+0.161319835957538i</v>
      </c>
      <c r="AR483" s="170" t="str">
        <f t="shared" si="258"/>
        <v>0.780799535675736-0.120895696459783i</v>
      </c>
    </row>
    <row r="484" spans="7:44">
      <c r="G484" s="688">
        <v>58549</v>
      </c>
      <c r="H484" s="676">
        <f t="shared" si="250"/>
        <v>58.548999999999999</v>
      </c>
      <c r="I484" s="677">
        <f t="shared" si="230"/>
        <v>721.73579189703366</v>
      </c>
      <c r="J484" s="678">
        <f t="shared" si="231"/>
        <v>1.5694107777737938</v>
      </c>
      <c r="K484" s="678">
        <f t="shared" si="232"/>
        <v>1.0142170046246353</v>
      </c>
      <c r="L484" s="679">
        <f t="shared" si="233"/>
        <v>0.16763404827675335</v>
      </c>
      <c r="M484" s="678">
        <f t="shared" si="234"/>
        <v>1.0482389109590018</v>
      </c>
      <c r="N484" s="679">
        <f t="shared" si="235"/>
        <v>-0.30455330889285953</v>
      </c>
      <c r="O484" s="677">
        <f t="shared" si="236"/>
        <v>662173.5890342152</v>
      </c>
      <c r="P484" s="680">
        <f t="shared" si="237"/>
        <v>1.5707948166168759</v>
      </c>
      <c r="Q484" s="689">
        <f t="shared" si="259"/>
        <v>313.43042739691737</v>
      </c>
      <c r="R484" s="690">
        <f t="shared" si="260"/>
        <v>1.5676058206756853</v>
      </c>
      <c r="S484" s="677">
        <f t="shared" si="238"/>
        <v>2.6510319316543476</v>
      </c>
      <c r="T484" s="680">
        <f t="shared" si="239"/>
        <v>1.1840126996925644</v>
      </c>
      <c r="U484" s="681">
        <f t="shared" si="251"/>
        <v>0.68275506394908214</v>
      </c>
      <c r="V484" s="682">
        <f t="shared" si="252"/>
        <v>-1.0705916463992708</v>
      </c>
      <c r="W484" s="683">
        <f t="shared" si="240"/>
        <v>-28.901355002198876</v>
      </c>
      <c r="X484" s="684">
        <f t="shared" si="241"/>
        <v>-227.12753942689756</v>
      </c>
      <c r="Y484" s="687">
        <f t="shared" si="242"/>
        <v>-47.127539426897556</v>
      </c>
      <c r="AA484" s="170">
        <f t="shared" si="243"/>
        <v>58549</v>
      </c>
      <c r="AB484" s="170">
        <f t="shared" si="244"/>
        <v>3427985401</v>
      </c>
      <c r="AD484" s="686">
        <f t="shared" si="245"/>
        <v>30.140536926914677</v>
      </c>
      <c r="AE484" s="687">
        <f t="shared" si="246"/>
        <v>-68.021646668315142</v>
      </c>
      <c r="AG484" s="686">
        <f t="shared" si="247"/>
        <v>2.6795734447787241</v>
      </c>
      <c r="AH484" s="687">
        <f t="shared" si="248"/>
        <v>-36.425126777118358</v>
      </c>
      <c r="AJ484" s="170">
        <f t="shared" si="249"/>
        <v>0</v>
      </c>
      <c r="AK484" s="170">
        <f t="shared" si="261"/>
        <v>0</v>
      </c>
      <c r="AM484" s="170" t="str">
        <f t="shared" si="253"/>
        <v>1.26141238647713+0.965227208586834i</v>
      </c>
      <c r="AN484" s="170" t="str">
        <f t="shared" si="254"/>
        <v>1.83528150879974i</v>
      </c>
      <c r="AO484" s="170" t="str">
        <f t="shared" si="255"/>
        <v>0.525928694839891-0.687312753073006i</v>
      </c>
      <c r="AP484" s="170" t="str">
        <f t="shared" si="256"/>
        <v>-0.0435687310795217-0.160871201431139i</v>
      </c>
      <c r="AQ484" s="170" t="str">
        <f t="shared" si="257"/>
        <v>1.04356873107952+0.160871201431139i</v>
      </c>
      <c r="AR484" s="170" t="str">
        <f t="shared" si="258"/>
        <v>0.779694026819925-0.120193630862677i</v>
      </c>
    </row>
    <row r="485" spans="7:44">
      <c r="G485" s="688">
        <v>58884</v>
      </c>
      <c r="H485" s="676">
        <f t="shared" si="250"/>
        <v>58.884</v>
      </c>
      <c r="I485" s="677">
        <f t="shared" si="230"/>
        <v>725.86534197384219</v>
      </c>
      <c r="J485" s="678">
        <f t="shared" si="231"/>
        <v>1.5694186603621554</v>
      </c>
      <c r="K485" s="678">
        <f t="shared" si="232"/>
        <v>1.0143790045427699</v>
      </c>
      <c r="L485" s="679">
        <f t="shared" si="233"/>
        <v>0.16857518220731391</v>
      </c>
      <c r="M485" s="678">
        <f t="shared" si="234"/>
        <v>1.0487796302146588</v>
      </c>
      <c r="N485" s="679">
        <f t="shared" si="235"/>
        <v>-0.30618925898982058</v>
      </c>
      <c r="O485" s="677">
        <f t="shared" si="236"/>
        <v>665962.3497701108</v>
      </c>
      <c r="P485" s="680">
        <f t="shared" si="237"/>
        <v>1.5707948252085076</v>
      </c>
      <c r="Q485" s="689">
        <f t="shared" si="259"/>
        <v>315.22376506964508</v>
      </c>
      <c r="R485" s="690">
        <f t="shared" si="260"/>
        <v>1.5676239718263967</v>
      </c>
      <c r="S485" s="677">
        <f t="shared" si="238"/>
        <v>2.6640473268072782</v>
      </c>
      <c r="T485" s="680">
        <f t="shared" si="239"/>
        <v>1.1860017889365639</v>
      </c>
      <c r="U485" s="681">
        <f t="shared" si="251"/>
        <v>0.68055994367617834</v>
      </c>
      <c r="V485" s="682">
        <f t="shared" si="252"/>
        <v>-1.0751632138588676</v>
      </c>
      <c r="W485" s="683">
        <f t="shared" si="240"/>
        <v>-29.015555697754635</v>
      </c>
      <c r="X485" s="684">
        <f t="shared" si="241"/>
        <v>-227.54265954817433</v>
      </c>
      <c r="Y485" s="687">
        <f t="shared" si="242"/>
        <v>-47.542659548174328</v>
      </c>
      <c r="AA485" s="170">
        <f t="shared" si="243"/>
        <v>58884</v>
      </c>
      <c r="AB485" s="170">
        <f t="shared" si="244"/>
        <v>3467325456</v>
      </c>
      <c r="AD485" s="686">
        <f t="shared" si="245"/>
        <v>30.097996885895569</v>
      </c>
      <c r="AE485" s="687">
        <f t="shared" si="246"/>
        <v>-68.134573595135379</v>
      </c>
      <c r="AG485" s="686">
        <f t="shared" si="247"/>
        <v>2.6638546343588247</v>
      </c>
      <c r="AH485" s="687">
        <f t="shared" si="248"/>
        <v>-36.203456928587798</v>
      </c>
      <c r="AJ485" s="170">
        <f t="shared" si="249"/>
        <v>0</v>
      </c>
      <c r="AK485" s="170">
        <f t="shared" si="261"/>
        <v>0</v>
      </c>
      <c r="AM485" s="170" t="str">
        <f t="shared" si="253"/>
        <v>1.27153357660693+0.962428967132147i</v>
      </c>
      <c r="AN485" s="170" t="str">
        <f t="shared" si="254"/>
        <v>1.84578244486095i</v>
      </c>
      <c r="AO485" s="170" t="str">
        <f t="shared" si="255"/>
        <v>0.5214205876818-0.688885941107062i</v>
      </c>
      <c r="AP485" s="170" t="str">
        <f t="shared" si="256"/>
        <v>-0.0452555961011545-0.160404827855358i</v>
      </c>
      <c r="AQ485" s="170" t="str">
        <f t="shared" si="257"/>
        <v>1.04525559610115+0.160404827855358i</v>
      </c>
      <c r="AR485" s="170" t="str">
        <f t="shared" si="258"/>
        <v>0.778598318436217-0.119483626495836i</v>
      </c>
    </row>
    <row r="486" spans="7:44">
      <c r="G486" s="688">
        <v>59227</v>
      </c>
      <c r="H486" s="676">
        <f t="shared" si="250"/>
        <v>59.226999999999997</v>
      </c>
      <c r="I486" s="677">
        <f t="shared" si="230"/>
        <v>730.09350821808334</v>
      </c>
      <c r="J486" s="678">
        <f t="shared" si="231"/>
        <v>1.5694266388009368</v>
      </c>
      <c r="K486" s="678">
        <f t="shared" si="232"/>
        <v>1.0145458037235215</v>
      </c>
      <c r="L486" s="679">
        <f t="shared" si="233"/>
        <v>0.1695384786936141</v>
      </c>
      <c r="M486" s="678">
        <f t="shared" si="234"/>
        <v>1.049336167359963</v>
      </c>
      <c r="N486" s="679">
        <f t="shared" si="235"/>
        <v>-0.30786252507531497</v>
      </c>
      <c r="O486" s="677">
        <f t="shared" si="236"/>
        <v>669841.58837432659</v>
      </c>
      <c r="P486" s="680">
        <f t="shared" si="237"/>
        <v>1.5707948339046114</v>
      </c>
      <c r="Q486" s="689">
        <f t="shared" si="259"/>
        <v>317.05992882301973</v>
      </c>
      <c r="R486" s="690">
        <f t="shared" si="260"/>
        <v>1.5676423436925568</v>
      </c>
      <c r="S486" s="677">
        <f t="shared" si="238"/>
        <v>2.6773843507016513</v>
      </c>
      <c r="T486" s="680">
        <f t="shared" si="239"/>
        <v>1.1880183335197754</v>
      </c>
      <c r="U486" s="681">
        <f t="shared" si="251"/>
        <v>0.67831831329875636</v>
      </c>
      <c r="V486" s="682">
        <f t="shared" si="252"/>
        <v>-1.0798297067167713</v>
      </c>
      <c r="W486" s="683">
        <f t="shared" si="240"/>
        <v>-29.132001146054787</v>
      </c>
      <c r="X486" s="684">
        <f t="shared" si="241"/>
        <v>-227.96565264870441</v>
      </c>
      <c r="Y486" s="687">
        <f t="shared" si="242"/>
        <v>-47.965652648704406</v>
      </c>
      <c r="AA486" s="170">
        <f t="shared" si="243"/>
        <v>59227</v>
      </c>
      <c r="AB486" s="170">
        <f t="shared" si="244"/>
        <v>3507837529</v>
      </c>
      <c r="AD486" s="686">
        <f t="shared" si="245"/>
        <v>30.054620685103075</v>
      </c>
      <c r="AE486" s="687">
        <f t="shared" si="246"/>
        <v>-68.249060956941491</v>
      </c>
      <c r="AG486" s="686">
        <f t="shared" si="247"/>
        <v>2.6480990472296839</v>
      </c>
      <c r="AH486" s="687">
        <f t="shared" si="248"/>
        <v>-35.977221974929158</v>
      </c>
      <c r="AJ486" s="170">
        <f t="shared" si="249"/>
        <v>0</v>
      </c>
      <c r="AK486" s="170">
        <f t="shared" si="261"/>
        <v>0</v>
      </c>
      <c r="AM486" s="170" t="str">
        <f t="shared" si="253"/>
        <v>1.28186543490174+0.959453947100981i</v>
      </c>
      <c r="AN486" s="170" t="str">
        <f t="shared" si="254"/>
        <v>1.85653414954452i</v>
      </c>
      <c r="AO486" s="170" t="str">
        <f t="shared" si="255"/>
        <v>0.516798437204278-0.690461543740648i</v>
      </c>
      <c r="AP486" s="170" t="str">
        <f t="shared" si="256"/>
        <v>-0.0469775724836235-0.159908991183497i</v>
      </c>
      <c r="AQ486" s="170" t="str">
        <f t="shared" si="257"/>
        <v>1.04697757248362+0.159908991183497i</v>
      </c>
      <c r="AR486" s="170" t="str">
        <f t="shared" si="258"/>
        <v>0.777486601484996-0.11874857816412i</v>
      </c>
    </row>
    <row r="487" spans="7:44">
      <c r="G487" s="688">
        <v>59570</v>
      </c>
      <c r="H487" s="676">
        <f t="shared" si="250"/>
        <v>59.57</v>
      </c>
      <c r="I487" s="677">
        <f t="shared" si="230"/>
        <v>734.32167450826364</v>
      </c>
      <c r="J487" s="678">
        <f t="shared" si="231"/>
        <v>1.5694345253612763</v>
      </c>
      <c r="K487" s="678">
        <f t="shared" si="232"/>
        <v>1.014713544032011</v>
      </c>
      <c r="L487" s="679">
        <f t="shared" si="233"/>
        <v>0.17050145759194471</v>
      </c>
      <c r="M487" s="678">
        <f t="shared" si="234"/>
        <v>1.0498956393374763</v>
      </c>
      <c r="N487" s="679">
        <f t="shared" si="235"/>
        <v>-0.30953401252502277</v>
      </c>
      <c r="O487" s="677">
        <f t="shared" si="236"/>
        <v>673720.82697854226</v>
      </c>
      <c r="P487" s="680">
        <f t="shared" si="237"/>
        <v>1.5707948425005718</v>
      </c>
      <c r="Q487" s="689">
        <f t="shared" si="259"/>
        <v>318.89609268217794</v>
      </c>
      <c r="R487" s="690">
        <f t="shared" si="260"/>
        <v>1.5676605039929035</v>
      </c>
      <c r="S487" s="677">
        <f t="shared" si="238"/>
        <v>2.6907321540947846</v>
      </c>
      <c r="T487" s="680">
        <f t="shared" si="239"/>
        <v>1.1900148793767305</v>
      </c>
      <c r="U487" s="681">
        <f t="shared" si="251"/>
        <v>0.67608270624454692</v>
      </c>
      <c r="V487" s="682">
        <f t="shared" si="252"/>
        <v>-1.0844819167499244</v>
      </c>
      <c r="W487" s="683">
        <f t="shared" si="240"/>
        <v>-29.247962346629762</v>
      </c>
      <c r="X487" s="684">
        <f t="shared" si="241"/>
        <v>-228.38660470101428</v>
      </c>
      <c r="Y487" s="687">
        <f t="shared" si="242"/>
        <v>-48.386604701014278</v>
      </c>
      <c r="AA487" s="170">
        <f t="shared" si="243"/>
        <v>59570</v>
      </c>
      <c r="AB487" s="170">
        <f t="shared" si="244"/>
        <v>3548584900</v>
      </c>
      <c r="AD487" s="686">
        <f t="shared" si="245"/>
        <v>30.011425230047351</v>
      </c>
      <c r="AE487" s="687">
        <f t="shared" si="246"/>
        <v>-68.362414592226557</v>
      </c>
      <c r="AG487" s="686">
        <f t="shared" si="247"/>
        <v>2.632681911175903</v>
      </c>
      <c r="AH487" s="687">
        <f t="shared" si="248"/>
        <v>-35.751716390728561</v>
      </c>
      <c r="AJ487" s="170">
        <f t="shared" si="249"/>
        <v>0</v>
      </c>
      <c r="AK487" s="170">
        <f t="shared" si="261"/>
        <v>0</v>
      </c>
      <c r="AM487" s="170" t="str">
        <f t="shared" si="253"/>
        <v>1.29216471010474+0.956368016074051i</v>
      </c>
      <c r="AN487" s="170" t="str">
        <f t="shared" si="254"/>
        <v>1.86728585422809i</v>
      </c>
      <c r="AO487" s="170" t="str">
        <f t="shared" si="255"/>
        <v>0.51217011787914-0.692001552509432i</v>
      </c>
      <c r="AP487" s="170" t="str">
        <f t="shared" si="256"/>
        <v>-0.0486941183507892-0.159394669345675i</v>
      </c>
      <c r="AQ487" s="170" t="str">
        <f t="shared" si="257"/>
        <v>1.04869411835079+0.159394669345675i</v>
      </c>
      <c r="AR487" s="170" t="str">
        <f t="shared" si="258"/>
        <v>0.776385163917724-0.118005483507592i</v>
      </c>
    </row>
    <row r="488" spans="7:44">
      <c r="G488" s="688">
        <v>59913</v>
      </c>
      <c r="H488" s="676">
        <f t="shared" si="250"/>
        <v>59.912999999999997</v>
      </c>
      <c r="I488" s="677">
        <f t="shared" si="230"/>
        <v>738.54984084359421</v>
      </c>
      <c r="J488" s="678">
        <f t="shared" si="231"/>
        <v>1.5694423216211728</v>
      </c>
      <c r="K488" s="678">
        <f t="shared" si="232"/>
        <v>1.0148822250015879</v>
      </c>
      <c r="L488" s="679">
        <f t="shared" si="233"/>
        <v>0.17146411727422858</v>
      </c>
      <c r="M488" s="678">
        <f t="shared" si="234"/>
        <v>1.0504580414579407</v>
      </c>
      <c r="N488" s="679">
        <f t="shared" si="235"/>
        <v>-0.31120371484848613</v>
      </c>
      <c r="O488" s="677">
        <f t="shared" si="236"/>
        <v>677600.06558275805</v>
      </c>
      <c r="P488" s="680">
        <f t="shared" si="237"/>
        <v>1.5707948509981091</v>
      </c>
      <c r="Q488" s="689">
        <f t="shared" si="259"/>
        <v>320.73225664530275</v>
      </c>
      <c r="R488" s="690">
        <f t="shared" si="260"/>
        <v>1.5676784563610109</v>
      </c>
      <c r="S488" s="677">
        <f t="shared" si="238"/>
        <v>2.7040905773589343</v>
      </c>
      <c r="T488" s="680">
        <f t="shared" si="239"/>
        <v>1.1919917068572243</v>
      </c>
      <c r="U488" s="681">
        <f t="shared" si="251"/>
        <v>0.67385316369449066</v>
      </c>
      <c r="V488" s="682">
        <f t="shared" si="252"/>
        <v>-1.0891199766415611</v>
      </c>
      <c r="W488" s="683">
        <f t="shared" si="240"/>
        <v>-29.363443160139045</v>
      </c>
      <c r="X488" s="684">
        <f t="shared" si="241"/>
        <v>-228.80553897388208</v>
      </c>
      <c r="Y488" s="687">
        <f t="shared" si="242"/>
        <v>-48.805538973882079</v>
      </c>
      <c r="AA488" s="170">
        <f t="shared" si="243"/>
        <v>59913</v>
      </c>
      <c r="AB488" s="170">
        <f t="shared" si="244"/>
        <v>3589567569</v>
      </c>
      <c r="AD488" s="686">
        <f t="shared" si="245"/>
        <v>29.968409417174378</v>
      </c>
      <c r="AE488" s="687">
        <f t="shared" si="246"/>
        <v>-68.474650355760815</v>
      </c>
      <c r="AG488" s="686">
        <f t="shared" si="247"/>
        <v>2.6175991271991901</v>
      </c>
      <c r="AH488" s="687">
        <f t="shared" si="248"/>
        <v>-35.526932385615446</v>
      </c>
      <c r="AJ488" s="170">
        <f t="shared" si="249"/>
        <v>0</v>
      </c>
      <c r="AK488" s="170">
        <f t="shared" si="261"/>
        <v>0</v>
      </c>
      <c r="AM488" s="170" t="str">
        <f t="shared" si="253"/>
        <v>1.30243021163988+0.953171530778935i</v>
      </c>
      <c r="AN488" s="170" t="str">
        <f t="shared" si="254"/>
        <v>1.87803755891166i</v>
      </c>
      <c r="AO488" s="170" t="str">
        <f t="shared" si="255"/>
        <v>0.507535925602738-0.693505944787734i</v>
      </c>
      <c r="AP488" s="170" t="str">
        <f t="shared" si="256"/>
        <v>-0.0504050352733133-0.158861921796489i</v>
      </c>
      <c r="AQ488" s="170" t="str">
        <f t="shared" si="257"/>
        <v>1.05040503527331+0.158861921796489i</v>
      </c>
      <c r="AR488" s="170" t="str">
        <f t="shared" si="258"/>
        <v>0.775294006294461-0.117254479616228i</v>
      </c>
    </row>
    <row r="489" spans="7:44">
      <c r="G489" s="688">
        <v>60256</v>
      </c>
      <c r="H489" s="676">
        <f t="shared" si="250"/>
        <v>60.256</v>
      </c>
      <c r="I489" s="677">
        <f t="shared" si="230"/>
        <v>742.77800722330403</v>
      </c>
      <c r="J489" s="678">
        <f t="shared" si="231"/>
        <v>1.5694500291226963</v>
      </c>
      <c r="K489" s="678">
        <f t="shared" si="232"/>
        <v>1.0150518461632958</v>
      </c>
      <c r="L489" s="679">
        <f t="shared" si="233"/>
        <v>0.17242645611583421</v>
      </c>
      <c r="M489" s="678">
        <f t="shared" si="234"/>
        <v>1.0510233690176016</v>
      </c>
      <c r="N489" s="679">
        <f t="shared" si="235"/>
        <v>-0.31287162560891701</v>
      </c>
      <c r="O489" s="677">
        <f t="shared" si="236"/>
        <v>681479.30418697372</v>
      </c>
      <c r="P489" s="680">
        <f t="shared" si="237"/>
        <v>1.5707948593989041</v>
      </c>
      <c r="Q489" s="689">
        <f t="shared" si="259"/>
        <v>322.56842071061874</v>
      </c>
      <c r="R489" s="690">
        <f t="shared" si="260"/>
        <v>1.5676962043477209</v>
      </c>
      <c r="S489" s="677">
        <f t="shared" si="238"/>
        <v>2.7174594638793685</v>
      </c>
      <c r="T489" s="680">
        <f t="shared" si="239"/>
        <v>1.1939490914172342</v>
      </c>
      <c r="U489" s="681">
        <f t="shared" si="251"/>
        <v>0.67162972480061456</v>
      </c>
      <c r="V489" s="682">
        <f t="shared" si="252"/>
        <v>-1.093744019073436</v>
      </c>
      <c r="W489" s="683">
        <f t="shared" si="240"/>
        <v>-29.478447405469304</v>
      </c>
      <c r="X489" s="684">
        <f t="shared" si="241"/>
        <v>-229.22247846116326</v>
      </c>
      <c r="Y489" s="687">
        <f t="shared" si="242"/>
        <v>-49.222478461163263</v>
      </c>
      <c r="AA489" s="170">
        <f t="shared" si="243"/>
        <v>60256</v>
      </c>
      <c r="AB489" s="170">
        <f t="shared" si="244"/>
        <v>3630785536</v>
      </c>
      <c r="AD489" s="686">
        <f t="shared" si="245"/>
        <v>29.925572144960864</v>
      </c>
      <c r="AE489" s="687">
        <f t="shared" si="246"/>
        <v>-68.585783826657178</v>
      </c>
      <c r="AG489" s="686">
        <f t="shared" si="247"/>
        <v>2.602846670741374</v>
      </c>
      <c r="AH489" s="687">
        <f t="shared" si="248"/>
        <v>-35.302862170123092</v>
      </c>
      <c r="AJ489" s="170">
        <f t="shared" si="249"/>
        <v>0</v>
      </c>
      <c r="AK489" s="170">
        <f t="shared" si="261"/>
        <v>0</v>
      </c>
      <c r="AM489" s="170" t="str">
        <f t="shared" si="253"/>
        <v>1.31266075283532+0.949864860723067i</v>
      </c>
      <c r="AN489" s="170" t="str">
        <f t="shared" si="254"/>
        <v>1.88878926359523i</v>
      </c>
      <c r="AO489" s="170" t="str">
        <f t="shared" si="255"/>
        <v>0.502896156300168-0.694974700532089i</v>
      </c>
      <c r="AP489" s="170" t="str">
        <f t="shared" si="256"/>
        <v>-0.0521101254725533-0.158310810120511i</v>
      </c>
      <c r="AQ489" s="170" t="str">
        <f t="shared" si="257"/>
        <v>1.05211012547255+0.158310810120511i</v>
      </c>
      <c r="AR489" s="170" t="str">
        <f t="shared" si="258"/>
        <v>0.77421312783327-0.116495701833655i</v>
      </c>
    </row>
    <row r="490" spans="7:44">
      <c r="G490" s="688">
        <v>60607</v>
      </c>
      <c r="H490" s="676">
        <f t="shared" si="250"/>
        <v>60.606999999999999</v>
      </c>
      <c r="I490" s="677">
        <f t="shared" si="230"/>
        <v>747.10478977364596</v>
      </c>
      <c r="J490" s="678">
        <f t="shared" si="231"/>
        <v>1.5694578260754721</v>
      </c>
      <c r="K490" s="678">
        <f t="shared" si="232"/>
        <v>1.0152263963529027</v>
      </c>
      <c r="L490" s="679">
        <f t="shared" si="233"/>
        <v>0.17341090633418593</v>
      </c>
      <c r="M490" s="678">
        <f t="shared" si="234"/>
        <v>1.0516049057198449</v>
      </c>
      <c r="N490" s="679">
        <f t="shared" si="235"/>
        <v>-0.31457657668991484</v>
      </c>
      <c r="O490" s="677">
        <f t="shared" si="236"/>
        <v>685449.02065950958</v>
      </c>
      <c r="P490" s="680">
        <f t="shared" si="237"/>
        <v>1.5707948678971961</v>
      </c>
      <c r="Q490" s="689">
        <f t="shared" si="259"/>
        <v>324.44741086394953</v>
      </c>
      <c r="R490" s="690">
        <f t="shared" si="260"/>
        <v>1.5677141583145482</v>
      </c>
      <c r="S490" s="677">
        <f t="shared" si="238"/>
        <v>2.7311508330212289</v>
      </c>
      <c r="T490" s="680">
        <f t="shared" si="239"/>
        <v>1.1959322831864085</v>
      </c>
      <c r="U490" s="681">
        <f t="shared" si="251"/>
        <v>0.66936078489027395</v>
      </c>
      <c r="V490" s="682">
        <f t="shared" si="252"/>
        <v>-1.0984615376204596</v>
      </c>
      <c r="W490" s="683">
        <f t="shared" si="240"/>
        <v>-29.595644536122752</v>
      </c>
      <c r="X490" s="684">
        <f t="shared" si="241"/>
        <v>-229.64710107395015</v>
      </c>
      <c r="Y490" s="687">
        <f t="shared" si="242"/>
        <v>-49.647101073950154</v>
      </c>
      <c r="AA490" s="170">
        <f t="shared" si="243"/>
        <v>60607</v>
      </c>
      <c r="AB490" s="170">
        <f t="shared" si="244"/>
        <v>3673208449</v>
      </c>
      <c r="AD490" s="686">
        <f t="shared" si="245"/>
        <v>29.881919441448165</v>
      </c>
      <c r="AE490" s="687">
        <f t="shared" si="246"/>
        <v>-68.698384145516172</v>
      </c>
      <c r="AG490" s="686">
        <f t="shared" si="247"/>
        <v>2.588087985396248</v>
      </c>
      <c r="AH490" s="687">
        <f t="shared" si="248"/>
        <v>-35.074296658395049</v>
      </c>
      <c r="AJ490" s="170">
        <f t="shared" si="249"/>
        <v>0</v>
      </c>
      <c r="AK490" s="170">
        <f t="shared" si="261"/>
        <v>0</v>
      </c>
      <c r="AM490" s="170" t="str">
        <f t="shared" si="253"/>
        <v>1.32309248046513+0.946367396451763i</v>
      </c>
      <c r="AN490" s="170" t="str">
        <f t="shared" si="254"/>
        <v>1.89979173690116i</v>
      </c>
      <c r="AO490" s="170" t="str">
        <f t="shared" si="255"/>
        <v>0.498142705892293-0.696440801781404i</v>
      </c>
      <c r="AP490" s="170" t="str">
        <f t="shared" si="256"/>
        <v>-0.0538487467441885-0.157727899408627i</v>
      </c>
      <c r="AQ490" s="170" t="str">
        <f t="shared" si="257"/>
        <v>1.05384874674419+0.157727899408627i</v>
      </c>
      <c r="AR490" s="170" t="str">
        <f t="shared" si="258"/>
        <v>0.773117678783987-0.115711318011248i</v>
      </c>
    </row>
    <row r="491" spans="7:44">
      <c r="G491" s="688">
        <v>60958</v>
      </c>
      <c r="H491" s="676">
        <f t="shared" si="250"/>
        <v>60.957999999999998</v>
      </c>
      <c r="I491" s="677">
        <f t="shared" si="230"/>
        <v>751.43157236888328</v>
      </c>
      <c r="J491" s="678">
        <f t="shared" si="231"/>
        <v>1.5694655332377185</v>
      </c>
      <c r="K491" s="678">
        <f t="shared" si="232"/>
        <v>1.0154019301024604</v>
      </c>
      <c r="L491" s="679">
        <f t="shared" si="233"/>
        <v>0.17439501713982686</v>
      </c>
      <c r="M491" s="678">
        <f t="shared" si="234"/>
        <v>1.0521894959042282</v>
      </c>
      <c r="N491" s="679">
        <f t="shared" si="235"/>
        <v>-0.31627963819567284</v>
      </c>
      <c r="O491" s="677">
        <f t="shared" si="236"/>
        <v>689418.73713204532</v>
      </c>
      <c r="P491" s="680">
        <f t="shared" si="237"/>
        <v>1.5707948762976209</v>
      </c>
      <c r="Q491" s="689">
        <f t="shared" si="259"/>
        <v>326.32640112065985</v>
      </c>
      <c r="R491" s="690">
        <f t="shared" si="260"/>
        <v>1.5677319055231869</v>
      </c>
      <c r="S491" s="677">
        <f t="shared" si="238"/>
        <v>2.7448528367302072</v>
      </c>
      <c r="T491" s="680">
        <f t="shared" si="239"/>
        <v>1.1978956828629064</v>
      </c>
      <c r="U491" s="681">
        <f t="shared" si="251"/>
        <v>0.66709831329844649</v>
      </c>
      <c r="V491" s="682">
        <f t="shared" si="252"/>
        <v>-1.1031646582562942</v>
      </c>
      <c r="W491" s="683">
        <f t="shared" si="240"/>
        <v>-29.71235056982858</v>
      </c>
      <c r="X491" s="684">
        <f t="shared" si="241"/>
        <v>-230.06968262218712</v>
      </c>
      <c r="Y491" s="687">
        <f t="shared" si="242"/>
        <v>-50.069682622187116</v>
      </c>
      <c r="AA491" s="170">
        <f t="shared" si="243"/>
        <v>60958</v>
      </c>
      <c r="AB491" s="170">
        <f t="shared" si="244"/>
        <v>3715877764</v>
      </c>
      <c r="AD491" s="686">
        <f t="shared" si="245"/>
        <v>29.838451377974845</v>
      </c>
      <c r="AE491" s="687">
        <f t="shared" si="246"/>
        <v>-68.809862301759978</v>
      </c>
      <c r="AG491" s="686">
        <f t="shared" si="247"/>
        <v>2.5736669212865659</v>
      </c>
      <c r="AH491" s="687">
        <f t="shared" si="248"/>
        <v>-34.846462123823933</v>
      </c>
      <c r="AJ491" s="170">
        <f t="shared" si="249"/>
        <v>0</v>
      </c>
      <c r="AK491" s="170">
        <f t="shared" si="261"/>
        <v>0</v>
      </c>
      <c r="AM491" s="170" t="str">
        <f t="shared" si="253"/>
        <v>1.33348509671703+0.942755371380951i</v>
      </c>
      <c r="AN491" s="170" t="str">
        <f t="shared" si="254"/>
        <v>1.91079421020708i</v>
      </c>
      <c r="AO491" s="170" t="str">
        <f t="shared" si="255"/>
        <v>0.493384042271502-0.697869550574217i</v>
      </c>
      <c r="AP491" s="170" t="str">
        <f t="shared" si="256"/>
        <v>-0.055580849452838-0.157125895230158i</v>
      </c>
      <c r="AQ491" s="170" t="str">
        <f t="shared" si="257"/>
        <v>1.05558084945284+0.157125895230158i</v>
      </c>
      <c r="AR491" s="170" t="str">
        <f t="shared" si="258"/>
        <v>0.772032988227518-0.114919074635867i</v>
      </c>
    </row>
    <row r="492" spans="7:44">
      <c r="G492" s="688">
        <v>61309</v>
      </c>
      <c r="H492" s="676">
        <f t="shared" si="250"/>
        <v>61.308999999999997</v>
      </c>
      <c r="I492" s="677">
        <f t="shared" si="230"/>
        <v>755.75835500824462</v>
      </c>
      <c r="J492" s="678">
        <f t="shared" si="231"/>
        <v>1.5694731521516105</v>
      </c>
      <c r="K492" s="678">
        <f t="shared" si="232"/>
        <v>1.0155784469019697</v>
      </c>
      <c r="L492" s="679">
        <f t="shared" si="233"/>
        <v>0.1753787868030752</v>
      </c>
      <c r="M492" s="678">
        <f t="shared" si="234"/>
        <v>1.0527771344841035</v>
      </c>
      <c r="N492" s="679">
        <f t="shared" si="235"/>
        <v>-0.31798080340301593</v>
      </c>
      <c r="O492" s="677">
        <f t="shared" si="236"/>
        <v>693388.45360458118</v>
      </c>
      <c r="P492" s="680">
        <f t="shared" si="237"/>
        <v>1.5707948846018591</v>
      </c>
      <c r="Q492" s="689">
        <f t="shared" si="259"/>
        <v>328.20539147897415</v>
      </c>
      <c r="R492" s="690">
        <f t="shared" si="260"/>
        <v>1.5677494495247246</v>
      </c>
      <c r="S492" s="677">
        <f t="shared" si="238"/>
        <v>2.7585653165381974</v>
      </c>
      <c r="T492" s="680">
        <f t="shared" si="239"/>
        <v>1.1998395703473661</v>
      </c>
      <c r="U492" s="681">
        <f t="shared" si="251"/>
        <v>0.66484234564700073</v>
      </c>
      <c r="V492" s="682">
        <f t="shared" si="252"/>
        <v>-1.107853523050933</v>
      </c>
      <c r="W492" s="683">
        <f t="shared" si="240"/>
        <v>-29.828569468462845</v>
      </c>
      <c r="X492" s="684">
        <f t="shared" si="241"/>
        <v>-230.49024688189826</v>
      </c>
      <c r="Y492" s="687">
        <f t="shared" si="242"/>
        <v>-50.490246881898258</v>
      </c>
      <c r="AA492" s="170">
        <f t="shared" si="243"/>
        <v>61309</v>
      </c>
      <c r="AB492" s="170">
        <f t="shared" si="244"/>
        <v>3758793481</v>
      </c>
      <c r="AD492" s="686">
        <f t="shared" si="245"/>
        <v>29.795166782570568</v>
      </c>
      <c r="AE492" s="687">
        <f t="shared" si="246"/>
        <v>-68.920234129147872</v>
      </c>
      <c r="AG492" s="686">
        <f t="shared" si="247"/>
        <v>2.5595793982156612</v>
      </c>
      <c r="AH492" s="687">
        <f t="shared" si="248"/>
        <v>-34.619350228652742</v>
      </c>
      <c r="AJ492" s="170">
        <f t="shared" si="249"/>
        <v>0</v>
      </c>
      <c r="AK492" s="170">
        <f t="shared" si="261"/>
        <v>0</v>
      </c>
      <c r="AM492" s="170" t="str">
        <f t="shared" si="253"/>
        <v>1.3438373435316+0.939029222757807i</v>
      </c>
      <c r="AN492" s="170" t="str">
        <f t="shared" si="254"/>
        <v>1.92179668351301i</v>
      </c>
      <c r="AO492" s="170" t="str">
        <f t="shared" si="255"/>
        <v>0.488620482496243-0.699260933823181i</v>
      </c>
      <c r="AP492" s="170" t="str">
        <f t="shared" si="256"/>
        <v>-0.0573062239219337-0.156504870459634i</v>
      </c>
      <c r="AQ492" s="170" t="str">
        <f t="shared" si="257"/>
        <v>1.05730622392193+0.156504870459634i</v>
      </c>
      <c r="AR492" s="170" t="str">
        <f t="shared" si="258"/>
        <v>0.770959051271391-0.11411911111366i</v>
      </c>
    </row>
    <row r="493" spans="7:44">
      <c r="G493" s="688">
        <v>61660</v>
      </c>
      <c r="H493" s="676">
        <f t="shared" si="250"/>
        <v>61.66</v>
      </c>
      <c r="I493" s="677">
        <f t="shared" si="230"/>
        <v>760.08513769097692</v>
      </c>
      <c r="J493" s="678">
        <f t="shared" si="231"/>
        <v>1.5694806843242075</v>
      </c>
      <c r="K493" s="678">
        <f t="shared" si="232"/>
        <v>1.0157559462389314</v>
      </c>
      <c r="L493" s="679">
        <f t="shared" si="233"/>
        <v>0.17636221359808937</v>
      </c>
      <c r="M493" s="678">
        <f t="shared" si="234"/>
        <v>1.0533678163576776</v>
      </c>
      <c r="N493" s="679">
        <f t="shared" si="235"/>
        <v>-0.31968006564763529</v>
      </c>
      <c r="O493" s="677">
        <f t="shared" si="236"/>
        <v>697358.17007711704</v>
      </c>
      <c r="P493" s="680">
        <f t="shared" si="237"/>
        <v>1.5707948928115536</v>
      </c>
      <c r="Q493" s="689">
        <f t="shared" si="259"/>
        <v>330.08438193715745</v>
      </c>
      <c r="R493" s="690">
        <f t="shared" si="260"/>
        <v>1.5677667937893927</v>
      </c>
      <c r="S493" s="677">
        <f t="shared" si="238"/>
        <v>2.7722881169924269</v>
      </c>
      <c r="T493" s="680">
        <f t="shared" si="239"/>
        <v>1.2017642205946182</v>
      </c>
      <c r="U493" s="681">
        <f t="shared" si="251"/>
        <v>0.66259291550973365</v>
      </c>
      <c r="V493" s="682">
        <f t="shared" si="252"/>
        <v>-1.1125282740013287</v>
      </c>
      <c r="W493" s="683">
        <f t="shared" si="240"/>
        <v>-29.944305151638837</v>
      </c>
      <c r="X493" s="684">
        <f t="shared" si="241"/>
        <v>-230.90881734732065</v>
      </c>
      <c r="Y493" s="687">
        <f t="shared" si="242"/>
        <v>-50.90881734732065</v>
      </c>
      <c r="AA493" s="170">
        <f t="shared" si="243"/>
        <v>61660</v>
      </c>
      <c r="AB493" s="170">
        <f t="shared" si="244"/>
        <v>3801955600</v>
      </c>
      <c r="AD493" s="686">
        <f t="shared" si="245"/>
        <v>29.752064486676794</v>
      </c>
      <c r="AE493" s="687">
        <f t="shared" si="246"/>
        <v>-69.029515182695704</v>
      </c>
      <c r="AG493" s="686">
        <f t="shared" si="247"/>
        <v>2.5458214113222208</v>
      </c>
      <c r="AH493" s="687">
        <f t="shared" si="248"/>
        <v>-34.392952640450197</v>
      </c>
      <c r="AJ493" s="170">
        <f t="shared" si="249"/>
        <v>0</v>
      </c>
      <c r="AK493" s="170">
        <f t="shared" si="261"/>
        <v>0</v>
      </c>
      <c r="AM493" s="170" t="str">
        <f t="shared" si="253"/>
        <v>1.35414796773626+0.935189401644542i</v>
      </c>
      <c r="AN493" s="170" t="str">
        <f t="shared" si="254"/>
        <v>1.93279915681894i</v>
      </c>
      <c r="AO493" s="170" t="str">
        <f t="shared" si="255"/>
        <v>0.483852343553225-0.700614941267337i</v>
      </c>
      <c r="AP493" s="170" t="str">
        <f t="shared" si="256"/>
        <v>-0.059024661289377-0.15586490027409i</v>
      </c>
      <c r="AQ493" s="170" t="str">
        <f t="shared" si="257"/>
        <v>1.05902466128938+0.15586490027409i</v>
      </c>
      <c r="AR493" s="170" t="str">
        <f t="shared" si="258"/>
        <v>0.769895861757464-0.113311564971641i</v>
      </c>
    </row>
    <row r="494" spans="7:44">
      <c r="G494" s="688">
        <v>62019</v>
      </c>
      <c r="H494" s="676">
        <f t="shared" si="250"/>
        <v>62.018999999999998</v>
      </c>
      <c r="I494" s="677">
        <f t="shared" si="230"/>
        <v>764.51053654732721</v>
      </c>
      <c r="J494" s="678">
        <f t="shared" si="231"/>
        <v>1.5694882999759703</v>
      </c>
      <c r="K494" s="678">
        <f t="shared" si="232"/>
        <v>1.0159385069917095</v>
      </c>
      <c r="L494" s="679">
        <f t="shared" si="233"/>
        <v>0.17736769820493389</v>
      </c>
      <c r="M494" s="678">
        <f t="shared" si="234"/>
        <v>1.0539751038610559</v>
      </c>
      <c r="N494" s="679">
        <f t="shared" si="235"/>
        <v>-0.32141608211595746</v>
      </c>
      <c r="O494" s="677">
        <f t="shared" si="236"/>
        <v>701418.36441797286</v>
      </c>
      <c r="P494" s="680">
        <f t="shared" si="237"/>
        <v>1.570794901112236</v>
      </c>
      <c r="Q494" s="689">
        <f t="shared" si="259"/>
        <v>332.00619849023138</v>
      </c>
      <c r="R494" s="690">
        <f t="shared" si="260"/>
        <v>1.5677843302822727</v>
      </c>
      <c r="S494" s="677">
        <f t="shared" si="238"/>
        <v>2.7863342050561912</v>
      </c>
      <c r="T494" s="680">
        <f t="shared" si="239"/>
        <v>1.2037131191059507</v>
      </c>
      <c r="U494" s="681">
        <f t="shared" si="251"/>
        <v>0.66029901191933738</v>
      </c>
      <c r="V494" s="682">
        <f t="shared" si="252"/>
        <v>-1.117295119857767</v>
      </c>
      <c r="W494" s="683">
        <f t="shared" si="240"/>
        <v>-30.062182866013984</v>
      </c>
      <c r="X494" s="684">
        <f t="shared" si="241"/>
        <v>-231.33488960210084</v>
      </c>
      <c r="Y494" s="687">
        <f t="shared" si="242"/>
        <v>-51.334889602100844</v>
      </c>
      <c r="AA494" s="170">
        <f t="shared" si="243"/>
        <v>62019</v>
      </c>
      <c r="AB494" s="170">
        <f t="shared" si="244"/>
        <v>3846356361</v>
      </c>
      <c r="AD494" s="686">
        <f t="shared" si="245"/>
        <v>29.708167167448629</v>
      </c>
      <c r="AE494" s="687">
        <f t="shared" si="246"/>
        <v>-69.140174550785403</v>
      </c>
      <c r="AG494" s="686">
        <f t="shared" si="247"/>
        <v>2.5320866431477134</v>
      </c>
      <c r="AH494" s="687">
        <f t="shared" si="248"/>
        <v>-34.162125228189858</v>
      </c>
      <c r="AJ494" s="170">
        <f t="shared" si="249"/>
        <v>0</v>
      </c>
      <c r="AK494" s="170">
        <f t="shared" si="261"/>
        <v>0</v>
      </c>
      <c r="AM494" s="170" t="str">
        <f t="shared" si="253"/>
        <v>1.36464923459871+0.931144959556015i</v>
      </c>
      <c r="AN494" s="170" t="str">
        <f t="shared" si="254"/>
        <v>1.94405239874722i</v>
      </c>
      <c r="AO494" s="170" t="str">
        <f t="shared" si="255"/>
        <v>0.478971122463603-0.701961138227608i</v>
      </c>
      <c r="AP494" s="170" t="str">
        <f t="shared" si="256"/>
        <v>-0.0607748724331188-0.155190826592669i</v>
      </c>
      <c r="AQ494" s="170" t="str">
        <f t="shared" si="257"/>
        <v>1.06077487243312+0.155190826592669i</v>
      </c>
      <c r="AR494" s="170" t="str">
        <f t="shared" si="258"/>
        <v>0.768819549978248-0.112477910782385i</v>
      </c>
    </row>
    <row r="495" spans="7:44">
      <c r="G495" s="688">
        <v>62378</v>
      </c>
      <c r="H495" s="676">
        <f t="shared" si="250"/>
        <v>62.378</v>
      </c>
      <c r="I495" s="677">
        <f t="shared" si="230"/>
        <v>768.93593544750729</v>
      </c>
      <c r="J495" s="678">
        <f t="shared" si="231"/>
        <v>1.5694958279681628</v>
      </c>
      <c r="K495" s="678">
        <f t="shared" si="232"/>
        <v>1.016122094487925</v>
      </c>
      <c r="L495" s="679">
        <f t="shared" si="233"/>
        <v>0.17837282049650727</v>
      </c>
      <c r="M495" s="678">
        <f t="shared" si="234"/>
        <v>1.0545855641213622</v>
      </c>
      <c r="N495" s="679">
        <f t="shared" si="235"/>
        <v>-0.3231500939747306</v>
      </c>
      <c r="O495" s="677">
        <f t="shared" si="236"/>
        <v>705478.55875882879</v>
      </c>
      <c r="P495" s="680">
        <f t="shared" si="237"/>
        <v>1.5707949093173736</v>
      </c>
      <c r="Q495" s="689">
        <f t="shared" si="259"/>
        <v>333.92801514423155</v>
      </c>
      <c r="R495" s="690">
        <f t="shared" si="260"/>
        <v>1.5678016649237259</v>
      </c>
      <c r="S495" s="677">
        <f t="shared" si="238"/>
        <v>2.8003907700020134</v>
      </c>
      <c r="T495" s="680">
        <f t="shared" si="239"/>
        <v>1.2056424598871611</v>
      </c>
      <c r="U495" s="681">
        <f t="shared" si="251"/>
        <v>0.65801201191626257</v>
      </c>
      <c r="V495" s="682">
        <f t="shared" si="252"/>
        <v>-1.1220475013410252</v>
      </c>
      <c r="W495" s="683">
        <f t="shared" si="240"/>
        <v>-30.179563249359674</v>
      </c>
      <c r="X495" s="684">
        <f t="shared" si="241"/>
        <v>-231.7589249746556</v>
      </c>
      <c r="Y495" s="687">
        <f t="shared" si="242"/>
        <v>-51.758924974655599</v>
      </c>
      <c r="AA495" s="170">
        <f t="shared" si="243"/>
        <v>62378</v>
      </c>
      <c r="AB495" s="170">
        <f t="shared" si="244"/>
        <v>3891014884</v>
      </c>
      <c r="AD495" s="686">
        <f t="shared" si="245"/>
        <v>29.664458091679204</v>
      </c>
      <c r="AE495" s="687">
        <f t="shared" si="246"/>
        <v>-69.249724903241557</v>
      </c>
      <c r="AG495" s="686">
        <f t="shared" si="247"/>
        <v>2.5186883643104112</v>
      </c>
      <c r="AH495" s="687">
        <f t="shared" si="248"/>
        <v>-33.932027444412618</v>
      </c>
      <c r="AJ495" s="170">
        <f t="shared" si="249"/>
        <v>0</v>
      </c>
      <c r="AK495" s="170">
        <f t="shared" si="261"/>
        <v>0</v>
      </c>
      <c r="AM495" s="170" t="str">
        <f t="shared" si="253"/>
        <v>1.37510432442714+0.926982602747245i</v>
      </c>
      <c r="AN495" s="170" t="str">
        <f t="shared" si="254"/>
        <v>1.95530564067551i</v>
      </c>
      <c r="AO495" s="170" t="str">
        <f t="shared" si="255"/>
        <v>0.474085781508304-0.703268223556127i</v>
      </c>
      <c r="AP495" s="170" t="str">
        <f t="shared" si="256"/>
        <v>-0.062517387404524-0.154497100457874i</v>
      </c>
      <c r="AQ495" s="170" t="str">
        <f t="shared" si="257"/>
        <v>1.06251738740452+0.154497100457874i</v>
      </c>
      <c r="AR495" s="170" t="str">
        <f t="shared" si="258"/>
        <v>0.767754464263878-0.111636609431972i</v>
      </c>
    </row>
    <row r="496" spans="7:44">
      <c r="G496" s="688">
        <v>62737</v>
      </c>
      <c r="H496" s="676">
        <f t="shared" si="250"/>
        <v>62.737000000000002</v>
      </c>
      <c r="I496" s="677">
        <f t="shared" si="230"/>
        <v>773.3613343907648</v>
      </c>
      <c r="J496" s="678">
        <f t="shared" si="231"/>
        <v>1.5695032698056253</v>
      </c>
      <c r="K496" s="678">
        <f t="shared" si="232"/>
        <v>1.0163067081711594</v>
      </c>
      <c r="L496" s="679">
        <f t="shared" si="233"/>
        <v>0.17937757863881856</v>
      </c>
      <c r="M496" s="678">
        <f t="shared" si="234"/>
        <v>1.0551991916320287</v>
      </c>
      <c r="N496" s="679">
        <f t="shared" si="235"/>
        <v>-0.32488209428454551</v>
      </c>
      <c r="O496" s="677">
        <f t="shared" si="236"/>
        <v>709538.75309968472</v>
      </c>
      <c r="P496" s="680">
        <f t="shared" si="237"/>
        <v>1.5707949174286067</v>
      </c>
      <c r="Q496" s="689">
        <f t="shared" si="259"/>
        <v>335.84983189742525</v>
      </c>
      <c r="R496" s="690">
        <f t="shared" si="260"/>
        <v>1.5678188011788745</v>
      </c>
      <c r="S496" s="677">
        <f t="shared" si="238"/>
        <v>2.8144576548522586</v>
      </c>
      <c r="T496" s="680">
        <f t="shared" si="239"/>
        <v>1.2075525217196101</v>
      </c>
      <c r="U496" s="681">
        <f t="shared" si="251"/>
        <v>0.65573194505436361</v>
      </c>
      <c r="V496" s="682">
        <f t="shared" si="252"/>
        <v>-1.1267855700385527</v>
      </c>
      <c r="W496" s="683">
        <f t="shared" si="240"/>
        <v>-30.296450363680485</v>
      </c>
      <c r="X496" s="684">
        <f t="shared" si="241"/>
        <v>-232.1809477185607</v>
      </c>
      <c r="Y496" s="687">
        <f t="shared" si="242"/>
        <v>-52.180947718560702</v>
      </c>
      <c r="AA496" s="170">
        <f t="shared" si="243"/>
        <v>62737</v>
      </c>
      <c r="AB496" s="170">
        <f t="shared" si="244"/>
        <v>3935931169</v>
      </c>
      <c r="AD496" s="686">
        <f t="shared" si="245"/>
        <v>29.620936021788911</v>
      </c>
      <c r="AE496" s="687">
        <f t="shared" si="246"/>
        <v>-69.358182014616546</v>
      </c>
      <c r="AG496" s="686">
        <f t="shared" si="247"/>
        <v>2.505622524787527</v>
      </c>
      <c r="AH496" s="687">
        <f t="shared" si="248"/>
        <v>-33.702650397499468</v>
      </c>
      <c r="AJ496" s="170">
        <f t="shared" si="249"/>
        <v>0</v>
      </c>
      <c r="AK496" s="170">
        <f t="shared" si="261"/>
        <v>0</v>
      </c>
      <c r="AM496" s="170" t="str">
        <f t="shared" si="253"/>
        <v>1.38551191325046+0.922702858314619i</v>
      </c>
      <c r="AN496" s="170" t="str">
        <f t="shared" si="254"/>
        <v>1.96655888260379i</v>
      </c>
      <c r="AO496" s="170" t="str">
        <f t="shared" si="255"/>
        <v>0.469196659442472-0.704536195435956i</v>
      </c>
      <c r="AP496" s="170" t="str">
        <f t="shared" si="256"/>
        <v>-0.0642519855417438-0.153783809719103i</v>
      </c>
      <c r="AQ496" s="170" t="str">
        <f t="shared" si="257"/>
        <v>1.06425198554174+0.153783809719103i</v>
      </c>
      <c r="AR496" s="170" t="str">
        <f t="shared" si="258"/>
        <v>0.766700594236088-0.110787802040611i</v>
      </c>
    </row>
    <row r="497" spans="7:44">
      <c r="G497" s="688">
        <v>63096</v>
      </c>
      <c r="H497" s="676">
        <f t="shared" si="250"/>
        <v>63.095999999999997</v>
      </c>
      <c r="I497" s="677">
        <f t="shared" si="230"/>
        <v>777.7867333763644</v>
      </c>
      <c r="J497" s="678">
        <f t="shared" si="231"/>
        <v>1.5695106269589492</v>
      </c>
      <c r="K497" s="678">
        <f t="shared" si="232"/>
        <v>1.0164923474822898</v>
      </c>
      <c r="L497" s="679">
        <f t="shared" si="233"/>
        <v>0.18038197080214652</v>
      </c>
      <c r="M497" s="678">
        <f t="shared" si="234"/>
        <v>1.0558159808707523</v>
      </c>
      <c r="N497" s="679">
        <f t="shared" si="235"/>
        <v>-0.32661207617035753</v>
      </c>
      <c r="O497" s="677">
        <f t="shared" si="236"/>
        <v>713598.94744054077</v>
      </c>
      <c r="P497" s="680">
        <f t="shared" si="237"/>
        <v>1.5707949254475382</v>
      </c>
      <c r="Q497" s="689">
        <f t="shared" si="259"/>
        <v>337.77164874811945</v>
      </c>
      <c r="R497" s="690">
        <f t="shared" si="260"/>
        <v>1.5678357424339797</v>
      </c>
      <c r="S497" s="677">
        <f t="shared" si="238"/>
        <v>2.8285347056379089</v>
      </c>
      <c r="T497" s="680">
        <f t="shared" si="239"/>
        <v>1.2094435784037159</v>
      </c>
      <c r="U497" s="681">
        <f t="shared" si="251"/>
        <v>0.65345883883344447</v>
      </c>
      <c r="V497" s="682">
        <f t="shared" si="252"/>
        <v>-1.131509477389629</v>
      </c>
      <c r="W497" s="683">
        <f t="shared" si="240"/>
        <v>-30.412848228325974</v>
      </c>
      <c r="X497" s="684">
        <f t="shared" si="241"/>
        <v>-232.60098179951217</v>
      </c>
      <c r="Y497" s="687">
        <f t="shared" si="242"/>
        <v>-52.600981799512169</v>
      </c>
      <c r="AA497" s="170">
        <f t="shared" si="243"/>
        <v>63096</v>
      </c>
      <c r="AB497" s="170">
        <f t="shared" si="244"/>
        <v>3981105216</v>
      </c>
      <c r="AD497" s="686">
        <f t="shared" si="245"/>
        <v>29.577599724986683</v>
      </c>
      <c r="AE497" s="687">
        <f t="shared" si="246"/>
        <v>-69.465561378592255</v>
      </c>
      <c r="AG497" s="686">
        <f t="shared" si="247"/>
        <v>2.4928851506484757</v>
      </c>
      <c r="AH497" s="687">
        <f t="shared" si="248"/>
        <v>-33.473985205801775</v>
      </c>
      <c r="AJ497" s="170">
        <f t="shared" si="249"/>
        <v>0</v>
      </c>
      <c r="AK497" s="170">
        <f t="shared" si="261"/>
        <v>0</v>
      </c>
      <c r="AM497" s="170" t="str">
        <f t="shared" si="253"/>
        <v>1.39587068311285+0.918306268219794i</v>
      </c>
      <c r="AN497" s="170" t="str">
        <f t="shared" si="254"/>
        <v>1.97781212453207i</v>
      </c>
      <c r="AO497" s="170" t="str">
        <f t="shared" si="255"/>
        <v>0.464304094827539-0.705765055132878i</v>
      </c>
      <c r="AP497" s="170" t="str">
        <f t="shared" si="256"/>
        <v>-0.0659784471854753-0.153051044703299i</v>
      </c>
      <c r="AQ497" s="170" t="str">
        <f t="shared" si="257"/>
        <v>1.06597844718548+0.153051044703299i</v>
      </c>
      <c r="AR497" s="170" t="str">
        <f t="shared" si="258"/>
        <v>0.765657928343477-0.109931627724498i</v>
      </c>
    </row>
    <row r="498" spans="7:44">
      <c r="G498" s="688">
        <v>63463.25</v>
      </c>
      <c r="H498" s="676">
        <f t="shared" si="250"/>
        <v>63.463250000000002</v>
      </c>
      <c r="I498" s="677">
        <f t="shared" si="230"/>
        <v>782.31383029257972</v>
      </c>
      <c r="J498" s="678">
        <f t="shared" si="231"/>
        <v>1.5695180670561537</v>
      </c>
      <c r="K498" s="678">
        <f t="shared" si="232"/>
        <v>1.0166833135449436</v>
      </c>
      <c r="L498" s="679">
        <f t="shared" si="233"/>
        <v>0.18140906380650695</v>
      </c>
      <c r="M498" s="678">
        <f t="shared" si="234"/>
        <v>1.056450210011328</v>
      </c>
      <c r="N498" s="679">
        <f t="shared" si="235"/>
        <v>-0.32837971827287105</v>
      </c>
      <c r="O498" s="677">
        <f t="shared" si="236"/>
        <v>717752.44708310172</v>
      </c>
      <c r="P498" s="680">
        <f t="shared" si="237"/>
        <v>1.5707949335568741</v>
      </c>
      <c r="Q498" s="689">
        <f t="shared" si="259"/>
        <v>339.73763001278951</v>
      </c>
      <c r="R498" s="690">
        <f t="shared" si="260"/>
        <v>1.5678528746846643</v>
      </c>
      <c r="S498" s="677">
        <f t="shared" si="238"/>
        <v>2.8429456157008461</v>
      </c>
      <c r="T498" s="680">
        <f t="shared" si="239"/>
        <v>1.21135870759651</v>
      </c>
      <c r="U498" s="681">
        <f t="shared" si="251"/>
        <v>0.65114072447635463</v>
      </c>
      <c r="V498" s="682">
        <f t="shared" si="252"/>
        <v>-1.1363274469902334</v>
      </c>
      <c r="W498" s="683">
        <f t="shared" si="240"/>
        <v>-30.531418877584009</v>
      </c>
      <c r="X498" s="684">
        <f t="shared" si="241"/>
        <v>-233.02863542689553</v>
      </c>
      <c r="Y498" s="687">
        <f t="shared" si="242"/>
        <v>-53.028635426895534</v>
      </c>
      <c r="AA498" s="170">
        <f t="shared" si="243"/>
        <v>63463.25</v>
      </c>
      <c r="AB498" s="170">
        <f t="shared" si="244"/>
        <v>4027584100.5625</v>
      </c>
      <c r="AD498" s="686">
        <f t="shared" si="245"/>
        <v>29.533458484114558</v>
      </c>
      <c r="AE498" s="687">
        <f t="shared" si="246"/>
        <v>-69.574309057658851</v>
      </c>
      <c r="AG498" s="686">
        <f t="shared" si="247"/>
        <v>2.4801908745774899</v>
      </c>
      <c r="AH498" s="687">
        <f t="shared" si="248"/>
        <v>-33.240792505613733</v>
      </c>
      <c r="AJ498" s="170">
        <f t="shared" si="249"/>
        <v>0</v>
      </c>
      <c r="AK498" s="170">
        <f t="shared" si="261"/>
        <v>0</v>
      </c>
      <c r="AM498" s="170" t="str">
        <f t="shared" si="253"/>
        <v>1.40641562032505+0.913688318605312i</v>
      </c>
      <c r="AN498" s="170" t="str">
        <f t="shared" si="254"/>
        <v>1.98932397160216i</v>
      </c>
      <c r="AO498" s="170" t="str">
        <f t="shared" si="255"/>
        <v>0.459295887270411-0.706981688453868i</v>
      </c>
      <c r="AP498" s="170" t="str">
        <f t="shared" si="256"/>
        <v>-0.0677359367208422-0.152281386434219i</v>
      </c>
      <c r="AQ498" s="170" t="str">
        <f t="shared" si="257"/>
        <v>1.06773593672084+0.152281386434219i</v>
      </c>
      <c r="AR498" s="170" t="str">
        <f t="shared" si="258"/>
        <v>0.764602881553464-0.109048298245114i</v>
      </c>
    </row>
    <row r="499" spans="7:44">
      <c r="G499" s="688">
        <v>63830.5</v>
      </c>
      <c r="H499" s="676">
        <f t="shared" si="250"/>
        <v>63.830500000000001</v>
      </c>
      <c r="I499" s="677">
        <f t="shared" si="230"/>
        <v>786.84092725160178</v>
      </c>
      <c r="J499" s="678">
        <f t="shared" si="231"/>
        <v>1.569525421540015</v>
      </c>
      <c r="K499" s="678">
        <f t="shared" si="232"/>
        <v>1.0168753517237072</v>
      </c>
      <c r="L499" s="679">
        <f t="shared" si="233"/>
        <v>0.18243576995802982</v>
      </c>
      <c r="M499" s="678">
        <f t="shared" si="234"/>
        <v>1.0570877361255011</v>
      </c>
      <c r="N499" s="679">
        <f t="shared" si="235"/>
        <v>-0.33014523376810989</v>
      </c>
      <c r="O499" s="677">
        <f t="shared" si="236"/>
        <v>721905.9467256628</v>
      </c>
      <c r="P499" s="680">
        <f t="shared" si="237"/>
        <v>1.5707949415728957</v>
      </c>
      <c r="Q499" s="689">
        <f t="shared" si="259"/>
        <v>341.70361137602993</v>
      </c>
      <c r="R499" s="690">
        <f t="shared" si="260"/>
        <v>1.5678698097955843</v>
      </c>
      <c r="S499" s="677">
        <f t="shared" si="238"/>
        <v>2.8573668476927647</v>
      </c>
      <c r="T499" s="680">
        <f t="shared" si="239"/>
        <v>1.2132545122340852</v>
      </c>
      <c r="U499" s="681">
        <f t="shared" si="251"/>
        <v>0.64882994618641998</v>
      </c>
      <c r="V499" s="682">
        <f t="shared" si="252"/>
        <v>-1.1411309169563419</v>
      </c>
      <c r="W499" s="683">
        <f t="shared" si="240"/>
        <v>-30.649485908448941</v>
      </c>
      <c r="X499" s="684">
        <f t="shared" si="241"/>
        <v>-233.45425777502052</v>
      </c>
      <c r="Y499" s="687">
        <f t="shared" si="242"/>
        <v>-53.454257775020523</v>
      </c>
      <c r="AA499" s="170">
        <f t="shared" si="243"/>
        <v>63830.5</v>
      </c>
      <c r="AB499" s="170">
        <f t="shared" si="244"/>
        <v>4074332730.25</v>
      </c>
      <c r="AD499" s="686">
        <f t="shared" si="245"/>
        <v>29.489509059214527</v>
      </c>
      <c r="AE499" s="687">
        <f t="shared" si="246"/>
        <v>-69.681960811199176</v>
      </c>
      <c r="AG499" s="686">
        <f t="shared" si="247"/>
        <v>2.4678321584005012</v>
      </c>
      <c r="AH499" s="687">
        <f t="shared" si="248"/>
        <v>-33.008325987417734</v>
      </c>
      <c r="AJ499" s="170">
        <f t="shared" si="249"/>
        <v>0</v>
      </c>
      <c r="AK499" s="170">
        <f t="shared" si="261"/>
        <v>0</v>
      </c>
      <c r="AM499" s="170" t="str">
        <f t="shared" si="253"/>
        <v>1.41690669886803+0.908949285955472i</v>
      </c>
      <c r="AN499" s="170" t="str">
        <f t="shared" si="254"/>
        <v>2.00083581867225i</v>
      </c>
      <c r="AO499" s="170" t="str">
        <f t="shared" si="255"/>
        <v>0.454284793121431-0.708157403843503i</v>
      </c>
      <c r="AP499" s="170" t="str">
        <f t="shared" si="256"/>
        <v>-0.069484449811338-0.151491547659245i</v>
      </c>
      <c r="AQ499" s="170" t="str">
        <f t="shared" si="257"/>
        <v>1.06948444981134+0.151491547659245i</v>
      </c>
      <c r="AR499" s="170" t="str">
        <f t="shared" si="258"/>
        <v>0.763559531772356-0.108157547516065i</v>
      </c>
    </row>
    <row r="500" spans="7:44">
      <c r="G500" s="688">
        <v>64197.75</v>
      </c>
      <c r="H500" s="676">
        <f t="shared" si="250"/>
        <v>64.197749999999999</v>
      </c>
      <c r="I500" s="677">
        <f t="shared" si="230"/>
        <v>791.36802425269582</v>
      </c>
      <c r="J500" s="678">
        <f t="shared" si="231"/>
        <v>1.5695326918798098</v>
      </c>
      <c r="K500" s="678">
        <f t="shared" si="232"/>
        <v>1.0170684614112844</v>
      </c>
      <c r="L500" s="679">
        <f t="shared" si="233"/>
        <v>0.1834620873119078</v>
      </c>
      <c r="M500" s="678">
        <f t="shared" si="234"/>
        <v>1.0577285532517045</v>
      </c>
      <c r="N500" s="679">
        <f t="shared" si="235"/>
        <v>-0.3319086155049919</v>
      </c>
      <c r="O500" s="677">
        <f t="shared" si="236"/>
        <v>726059.44636822387</v>
      </c>
      <c r="P500" s="680">
        <f t="shared" si="237"/>
        <v>1.5707949494972042</v>
      </c>
      <c r="Q500" s="689">
        <f t="shared" si="259"/>
        <v>343.66959283614898</v>
      </c>
      <c r="R500" s="690">
        <f t="shared" si="260"/>
        <v>1.5678865511499778</v>
      </c>
      <c r="S500" s="677">
        <f t="shared" si="238"/>
        <v>2.8717982461136091</v>
      </c>
      <c r="T500" s="680">
        <f t="shared" si="239"/>
        <v>1.2151312699155716</v>
      </c>
      <c r="U500" s="681">
        <f t="shared" si="251"/>
        <v>0.64652652702644664</v>
      </c>
      <c r="V500" s="682">
        <f t="shared" si="252"/>
        <v>-1.1459200488293722</v>
      </c>
      <c r="W500" s="683">
        <f t="shared" si="240"/>
        <v>-30.767053490734831</v>
      </c>
      <c r="X500" s="684">
        <f t="shared" si="241"/>
        <v>-233.8778735969195</v>
      </c>
      <c r="Y500" s="687">
        <f t="shared" si="242"/>
        <v>-53.8778735969195</v>
      </c>
      <c r="AA500" s="170">
        <f t="shared" si="243"/>
        <v>64197.75</v>
      </c>
      <c r="AB500" s="170">
        <f t="shared" si="244"/>
        <v>4121351105.0625</v>
      </c>
      <c r="AD500" s="686">
        <f t="shared" si="245"/>
        <v>29.445750147531825</v>
      </c>
      <c r="AE500" s="687">
        <f t="shared" si="246"/>
        <v>-69.788532350718228</v>
      </c>
      <c r="AG500" s="686">
        <f t="shared" si="247"/>
        <v>2.4558049853708761</v>
      </c>
      <c r="AH500" s="687">
        <f t="shared" si="248"/>
        <v>-32.776576181458125</v>
      </c>
      <c r="AJ500" s="170">
        <f t="shared" si="249"/>
        <v>0</v>
      </c>
      <c r="AK500" s="170">
        <f t="shared" si="261"/>
        <v>0</v>
      </c>
      <c r="AM500" s="170" t="str">
        <f t="shared" si="253"/>
        <v>1.42734252845189+0.904089798292375i</v>
      </c>
      <c r="AN500" s="170" t="str">
        <f t="shared" si="254"/>
        <v>2.01234766574234i</v>
      </c>
      <c r="AO500" s="170" t="str">
        <f t="shared" si="255"/>
        <v>0.449271174004052-0.709292212648232i</v>
      </c>
      <c r="AP500" s="170" t="str">
        <f t="shared" si="256"/>
        <v>-0.0712237547419812-0.150681633048729i</v>
      </c>
      <c r="AQ500" s="170" t="str">
        <f t="shared" si="257"/>
        <v>1.07122375474198+0.150681633048729i</v>
      </c>
      <c r="AR500" s="170" t="str">
        <f t="shared" si="258"/>
        <v>0.762527863150241-0.107259518056814i</v>
      </c>
    </row>
    <row r="501" spans="7:44">
      <c r="G501" s="688">
        <v>64565</v>
      </c>
      <c r="H501" s="676">
        <f t="shared" si="250"/>
        <v>64.564999999999998</v>
      </c>
      <c r="I501" s="677">
        <f t="shared" si="230"/>
        <v>795.89512129514401</v>
      </c>
      <c r="J501" s="678">
        <f t="shared" si="231"/>
        <v>1.5695398795113868</v>
      </c>
      <c r="K501" s="678">
        <f t="shared" si="232"/>
        <v>1.0172626419974533</v>
      </c>
      <c r="L501" s="679">
        <f t="shared" si="233"/>
        <v>0.18448801392808248</v>
      </c>
      <c r="M501" s="678">
        <f t="shared" si="234"/>
        <v>1.0583726554120709</v>
      </c>
      <c r="N501" s="679">
        <f t="shared" si="235"/>
        <v>-0.33366985640278851</v>
      </c>
      <c r="O501" s="677">
        <f t="shared" si="236"/>
        <v>730212.94601078483</v>
      </c>
      <c r="P501" s="680">
        <f t="shared" si="237"/>
        <v>1.5707949573313649</v>
      </c>
      <c r="Q501" s="689">
        <f t="shared" si="259"/>
        <v>345.63557439149366</v>
      </c>
      <c r="R501" s="690">
        <f t="shared" si="260"/>
        <v>1.5679031020541077</v>
      </c>
      <c r="S501" s="677">
        <f t="shared" si="238"/>
        <v>2.8862396584648349</v>
      </c>
      <c r="T501" s="680">
        <f t="shared" si="239"/>
        <v>1.2169892532267761</v>
      </c>
      <c r="U501" s="681">
        <f t="shared" si="251"/>
        <v>0.64423048800693072</v>
      </c>
      <c r="V501" s="682">
        <f t="shared" si="252"/>
        <v>-1.1506950039242498</v>
      </c>
      <c r="W501" s="683">
        <f t="shared" si="240"/>
        <v>-30.884125751193018</v>
      </c>
      <c r="X501" s="684">
        <f t="shared" si="241"/>
        <v>-234.29950735165733</v>
      </c>
      <c r="Y501" s="687">
        <f t="shared" si="242"/>
        <v>-54.299507351657326</v>
      </c>
      <c r="AA501" s="170">
        <f t="shared" si="243"/>
        <v>64565</v>
      </c>
      <c r="AB501" s="170">
        <f t="shared" si="244"/>
        <v>4168639225</v>
      </c>
      <c r="AD501" s="686">
        <f t="shared" si="245"/>
        <v>29.402180452478191</v>
      </c>
      <c r="AE501" s="687">
        <f t="shared" si="246"/>
        <v>-69.894039104887128</v>
      </c>
      <c r="AG501" s="686">
        <f t="shared" si="247"/>
        <v>2.4441054156686506</v>
      </c>
      <c r="AH501" s="687">
        <f t="shared" si="248"/>
        <v>-32.545533632799824</v>
      </c>
      <c r="AJ501" s="170">
        <f t="shared" si="249"/>
        <v>0</v>
      </c>
      <c r="AK501" s="170">
        <f t="shared" si="261"/>
        <v>0</v>
      </c>
      <c r="AM501" s="170" t="str">
        <f t="shared" si="253"/>
        <v>1.43772172610839+0.89911049960096i</v>
      </c>
      <c r="AN501" s="170" t="str">
        <f t="shared" si="254"/>
        <v>2.02385951281243i</v>
      </c>
      <c r="AO501" s="170" t="str">
        <f t="shared" si="255"/>
        <v>0.444255391201301-0.710386129574023i</v>
      </c>
      <c r="AP501" s="170" t="str">
        <f t="shared" si="256"/>
        <v>-0.0729536210180655-0.149851749933493i</v>
      </c>
      <c r="AQ501" s="170" t="str">
        <f t="shared" si="257"/>
        <v>1.07295362101807+0.149851749933493i</v>
      </c>
      <c r="AR501" s="170" t="str">
        <f t="shared" si="258"/>
        <v>0.761507858769259-0.106354350262041i</v>
      </c>
    </row>
    <row r="502" spans="7:44">
      <c r="G502" s="688">
        <v>64941</v>
      </c>
      <c r="H502" s="676">
        <f t="shared" si="250"/>
        <v>64.941000000000003</v>
      </c>
      <c r="I502" s="677">
        <f t="shared" si="230"/>
        <v>800.53007977962568</v>
      </c>
      <c r="J502" s="678">
        <f t="shared" si="231"/>
        <v>1.5695471541712429</v>
      </c>
      <c r="K502" s="678">
        <f t="shared" si="232"/>
        <v>1.01746255791286</v>
      </c>
      <c r="L502" s="679">
        <f t="shared" si="233"/>
        <v>0.18553797716272649</v>
      </c>
      <c r="M502" s="678">
        <f t="shared" si="234"/>
        <v>1.0590355008875703</v>
      </c>
      <c r="N502" s="679">
        <f t="shared" si="235"/>
        <v>-0.3354708348763249</v>
      </c>
      <c r="O502" s="677">
        <f t="shared" si="236"/>
        <v>734465.40582182095</v>
      </c>
      <c r="P502" s="680">
        <f t="shared" si="237"/>
        <v>1.5707949652603816</v>
      </c>
      <c r="Q502" s="689">
        <f t="shared" si="259"/>
        <v>347.6483969930494</v>
      </c>
      <c r="R502" s="690">
        <f t="shared" si="260"/>
        <v>1.5679198533588983</v>
      </c>
      <c r="S502" s="677">
        <f t="shared" si="238"/>
        <v>2.901035366523034</v>
      </c>
      <c r="T502" s="680">
        <f t="shared" si="239"/>
        <v>1.2188723331740028</v>
      </c>
      <c r="U502" s="681">
        <f t="shared" si="251"/>
        <v>0.64188741000346639</v>
      </c>
      <c r="V502" s="682">
        <f t="shared" si="252"/>
        <v>-1.1555692065584595</v>
      </c>
      <c r="W502" s="683">
        <f t="shared" si="240"/>
        <v>-31.003478444447037</v>
      </c>
      <c r="X502" s="684">
        <f t="shared" si="241"/>
        <v>-234.72915861112088</v>
      </c>
      <c r="Y502" s="687">
        <f t="shared" si="242"/>
        <v>-54.72915861112088</v>
      </c>
      <c r="AA502" s="170">
        <f t="shared" si="243"/>
        <v>64941</v>
      </c>
      <c r="AB502" s="170">
        <f t="shared" si="244"/>
        <v>4217333481</v>
      </c>
      <c r="AD502" s="686">
        <f t="shared" si="245"/>
        <v>29.357767362950796</v>
      </c>
      <c r="AE502" s="687">
        <f t="shared" si="246"/>
        <v>-70.00097231370448</v>
      </c>
      <c r="AG502" s="686">
        <f t="shared" si="247"/>
        <v>2.432462464602017</v>
      </c>
      <c r="AH502" s="687">
        <f t="shared" si="248"/>
        <v>-32.309709203944287</v>
      </c>
      <c r="AJ502" s="170">
        <f t="shared" si="249"/>
        <v>0</v>
      </c>
      <c r="AK502" s="170">
        <f t="shared" si="261"/>
        <v>0</v>
      </c>
      <c r="AM502" s="170" t="str">
        <f t="shared" si="253"/>
        <v>1.4482881075169+0.89388912772162i</v>
      </c>
      <c r="AN502" s="170" t="str">
        <f t="shared" si="254"/>
        <v>2.03564563806323i</v>
      </c>
      <c r="AO502" s="170" t="str">
        <f t="shared" si="255"/>
        <v>0.439118238954443-0.711463763847838i</v>
      </c>
      <c r="AP502" s="170" t="str">
        <f t="shared" si="256"/>
        <v>-0.0747146845861495-0.148981521286937i</v>
      </c>
      <c r="AQ502" s="170" t="str">
        <f t="shared" si="257"/>
        <v>1.07471468458615+0.148981521286937i</v>
      </c>
      <c r="AR502" s="170" t="str">
        <f t="shared" si="258"/>
        <v>0.760475617719154-0.105420365101879i</v>
      </c>
    </row>
    <row r="503" spans="7:44">
      <c r="G503" s="688">
        <v>65317</v>
      </c>
      <c r="H503" s="676">
        <f t="shared" si="250"/>
        <v>65.316999999999993</v>
      </c>
      <c r="I503" s="677">
        <f t="shared" si="230"/>
        <v>805.16503830598401</v>
      </c>
      <c r="J503" s="678">
        <f t="shared" si="231"/>
        <v>1.5695543450774707</v>
      </c>
      <c r="K503" s="678">
        <f t="shared" si="232"/>
        <v>1.0176635950607649</v>
      </c>
      <c r="L503" s="679">
        <f t="shared" si="233"/>
        <v>0.18658752671830015</v>
      </c>
      <c r="M503" s="678">
        <f t="shared" si="234"/>
        <v>1.0597017770658634</v>
      </c>
      <c r="N503" s="679">
        <f t="shared" si="235"/>
        <v>-0.33726955448597878</v>
      </c>
      <c r="O503" s="677">
        <f t="shared" si="236"/>
        <v>738717.86563285696</v>
      </c>
      <c r="P503" s="680">
        <f t="shared" si="237"/>
        <v>1.5707949730981112</v>
      </c>
      <c r="Q503" s="689">
        <f t="shared" si="259"/>
        <v>349.66121969103438</v>
      </c>
      <c r="R503" s="690">
        <f t="shared" si="260"/>
        <v>1.5679364118061239</v>
      </c>
      <c r="S503" s="677">
        <f t="shared" si="238"/>
        <v>2.9158412572046775</v>
      </c>
      <c r="T503" s="680">
        <f t="shared" si="239"/>
        <v>1.220736296085368</v>
      </c>
      <c r="U503" s="681">
        <f t="shared" si="251"/>
        <v>0.63955210619071734</v>
      </c>
      <c r="V503" s="682">
        <f t="shared" si="252"/>
        <v>-1.1604288902494664</v>
      </c>
      <c r="W503" s="683">
        <f t="shared" si="240"/>
        <v>-31.122320551852688</v>
      </c>
      <c r="X503" s="684">
        <f t="shared" si="241"/>
        <v>-235.15678319560453</v>
      </c>
      <c r="Y503" s="687">
        <f t="shared" si="242"/>
        <v>-55.156783195604532</v>
      </c>
      <c r="AA503" s="170">
        <f t="shared" si="243"/>
        <v>65317</v>
      </c>
      <c r="AB503" s="170">
        <f t="shared" si="244"/>
        <v>4266310489</v>
      </c>
      <c r="AD503" s="686">
        <f t="shared" si="245"/>
        <v>29.313549883954678</v>
      </c>
      <c r="AE503" s="687">
        <f t="shared" si="246"/>
        <v>-70.106821241743077</v>
      </c>
      <c r="AG503" s="686">
        <f t="shared" si="247"/>
        <v>2.4211547961841591</v>
      </c>
      <c r="AH503" s="687">
        <f t="shared" si="248"/>
        <v>-32.074606129226495</v>
      </c>
      <c r="AJ503" s="170">
        <f t="shared" si="249"/>
        <v>0</v>
      </c>
      <c r="AK503" s="170">
        <f t="shared" si="261"/>
        <v>0</v>
      </c>
      <c r="AM503" s="170" t="str">
        <f t="shared" si="253"/>
        <v>1.45879221671316+0.888543584684186i</v>
      </c>
      <c r="AN503" s="170" t="str">
        <f t="shared" si="254"/>
        <v>2.04743176331402i</v>
      </c>
      <c r="AO503" s="170" t="str">
        <f t="shared" si="255"/>
        <v>0.433979583889023-0.712498576437012i</v>
      </c>
      <c r="AP503" s="170" t="str">
        <f t="shared" si="256"/>
        <v>-0.0764653694521937-0.148090597447364i</v>
      </c>
      <c r="AQ503" s="170" t="str">
        <f t="shared" si="257"/>
        <v>1.07646536945219+0.148090597447364i</v>
      </c>
      <c r="AR503" s="170" t="str">
        <f t="shared" si="258"/>
        <v>0.759455564251733-0.104479188496327i</v>
      </c>
    </row>
    <row r="504" spans="7:44">
      <c r="G504" s="688">
        <v>65693</v>
      </c>
      <c r="H504" s="676">
        <f t="shared" si="250"/>
        <v>65.692999999999998</v>
      </c>
      <c r="I504" s="677">
        <f t="shared" si="230"/>
        <v>809.79999687350039</v>
      </c>
      <c r="J504" s="678">
        <f t="shared" si="231"/>
        <v>1.5695614536681828</v>
      </c>
      <c r="K504" s="678">
        <f t="shared" si="232"/>
        <v>1.0178657527768089</v>
      </c>
      <c r="L504" s="679">
        <f t="shared" si="233"/>
        <v>0.18763666052833528</v>
      </c>
      <c r="M504" s="678">
        <f t="shared" si="234"/>
        <v>1.0603714774799839</v>
      </c>
      <c r="N504" s="679">
        <f t="shared" si="235"/>
        <v>-0.33906600786164537</v>
      </c>
      <c r="O504" s="677">
        <f t="shared" si="236"/>
        <v>742970.32544389309</v>
      </c>
      <c r="P504" s="680">
        <f t="shared" si="237"/>
        <v>1.5707949808461208</v>
      </c>
      <c r="Q504" s="689">
        <f t="shared" si="259"/>
        <v>351.67404248379273</v>
      </c>
      <c r="R504" s="690">
        <f t="shared" si="260"/>
        <v>1.5679527807072633</v>
      </c>
      <c r="S504" s="677">
        <f t="shared" si="238"/>
        <v>2.9306571761797322</v>
      </c>
      <c r="T504" s="680">
        <f t="shared" si="239"/>
        <v>1.2225814188478428</v>
      </c>
      <c r="U504" s="681">
        <f t="shared" si="251"/>
        <v>0.63722459274194421</v>
      </c>
      <c r="V504" s="682">
        <f t="shared" si="252"/>
        <v>-1.1652742272899717</v>
      </c>
      <c r="W504" s="683">
        <f t="shared" si="240"/>
        <v>-31.240656367541352</v>
      </c>
      <c r="X504" s="684">
        <f t="shared" si="241"/>
        <v>-235.58240643008554</v>
      </c>
      <c r="Y504" s="687">
        <f t="shared" si="242"/>
        <v>-55.582406430085541</v>
      </c>
      <c r="AA504" s="170">
        <f t="shared" si="243"/>
        <v>65693</v>
      </c>
      <c r="AB504" s="170">
        <f t="shared" si="244"/>
        <v>4315570249</v>
      </c>
      <c r="AD504" s="686">
        <f t="shared" si="245"/>
        <v>29.269526645328206</v>
      </c>
      <c r="AE504" s="687">
        <f t="shared" si="246"/>
        <v>-70.211601563813829</v>
      </c>
      <c r="AG504" s="686">
        <f t="shared" si="247"/>
        <v>2.4101784230439787</v>
      </c>
      <c r="AH504" s="687">
        <f t="shared" si="248"/>
        <v>-31.840214315523632</v>
      </c>
      <c r="AJ504" s="170">
        <f t="shared" si="249"/>
        <v>0</v>
      </c>
      <c r="AK504" s="170">
        <f t="shared" si="261"/>
        <v>0</v>
      </c>
      <c r="AM504" s="170" t="str">
        <f t="shared" si="253"/>
        <v>1.46923259455941+0.883074613044133i</v>
      </c>
      <c r="AN504" s="170" t="str">
        <f t="shared" si="254"/>
        <v>2.05921788856481i</v>
      </c>
      <c r="AO504" s="170" t="str">
        <f t="shared" si="255"/>
        <v>0.428839812410332-0.713490594034905i</v>
      </c>
      <c r="AP504" s="170" t="str">
        <f t="shared" si="256"/>
        <v>-0.0782054324265682-0.147179102174022i</v>
      </c>
      <c r="AQ504" s="170" t="str">
        <f t="shared" si="257"/>
        <v>1.07820543242657+0.147179102174022i</v>
      </c>
      <c r="AR504" s="170" t="str">
        <f t="shared" si="258"/>
        <v>0.758447677065978-0.103530964322187i</v>
      </c>
    </row>
    <row r="505" spans="7:44">
      <c r="G505" s="688">
        <v>66069</v>
      </c>
      <c r="H505" s="676">
        <f t="shared" si="250"/>
        <v>66.069000000000003</v>
      </c>
      <c r="I505" s="677">
        <f t="shared" si="230"/>
        <v>814.43495548147166</v>
      </c>
      <c r="J505" s="678">
        <f t="shared" si="231"/>
        <v>1.5695684813487538</v>
      </c>
      <c r="K505" s="678">
        <f t="shared" si="232"/>
        <v>1.0180690303934596</v>
      </c>
      <c r="L505" s="679">
        <f t="shared" si="233"/>
        <v>0.18868537653166126</v>
      </c>
      <c r="M505" s="678">
        <f t="shared" si="234"/>
        <v>1.0610445956460981</v>
      </c>
      <c r="N505" s="679">
        <f t="shared" si="235"/>
        <v>-0.34086018771028825</v>
      </c>
      <c r="O505" s="677">
        <f t="shared" si="236"/>
        <v>747222.78525492921</v>
      </c>
      <c r="P505" s="680">
        <f t="shared" si="237"/>
        <v>1.5707949885059422</v>
      </c>
      <c r="Q505" s="689">
        <f t="shared" si="259"/>
        <v>353.68686536970654</v>
      </c>
      <c r="R505" s="690">
        <f t="shared" si="260"/>
        <v>1.5679689632984131</v>
      </c>
      <c r="S505" s="677">
        <f t="shared" si="238"/>
        <v>2.9454829721198288</v>
      </c>
      <c r="T505" s="680">
        <f t="shared" si="239"/>
        <v>1.22440797329247</v>
      </c>
      <c r="U505" s="681">
        <f t="shared" si="251"/>
        <v>0.63490488378268883</v>
      </c>
      <c r="V505" s="682">
        <f t="shared" si="252"/>
        <v>-1.1701053896644762</v>
      </c>
      <c r="W505" s="683">
        <f t="shared" si="240"/>
        <v>-31.358490142054588</v>
      </c>
      <c r="X505" s="684">
        <f t="shared" si="241"/>
        <v>-236.00605333875291</v>
      </c>
      <c r="Y505" s="687">
        <f t="shared" si="242"/>
        <v>-56.006053338752906</v>
      </c>
      <c r="AA505" s="170">
        <f t="shared" si="243"/>
        <v>66069</v>
      </c>
      <c r="AB505" s="170">
        <f t="shared" si="244"/>
        <v>4365112761</v>
      </c>
      <c r="AD505" s="686">
        <f t="shared" si="245"/>
        <v>29.225696284475099</v>
      </c>
      <c r="AE505" s="687">
        <f t="shared" si="246"/>
        <v>-70.315328669361321</v>
      </c>
      <c r="AG505" s="686">
        <f t="shared" si="247"/>
        <v>2.3995294358523904</v>
      </c>
      <c r="AH505" s="687">
        <f t="shared" si="248"/>
        <v>-31.606523689607823</v>
      </c>
      <c r="AJ505" s="170">
        <f t="shared" si="249"/>
        <v>0</v>
      </c>
      <c r="AK505" s="170">
        <f t="shared" si="261"/>
        <v>0</v>
      </c>
      <c r="AM505" s="170" t="str">
        <f t="shared" si="253"/>
        <v>1.47960779077086+0.877482972502543i</v>
      </c>
      <c r="AN505" s="170" t="str">
        <f t="shared" si="254"/>
        <v>2.07100401381561i</v>
      </c>
      <c r="AO505" s="170" t="str">
        <f t="shared" si="255"/>
        <v>0.423699310406392-0.714439847001956i</v>
      </c>
      <c r="AP505" s="170" t="str">
        <f t="shared" si="256"/>
        <v>-0.0799346317951425-0.146247162083757i</v>
      </c>
      <c r="AQ505" s="170" t="str">
        <f t="shared" si="257"/>
        <v>1.07993463179514+0.146247162083757i</v>
      </c>
      <c r="AR505" s="170" t="str">
        <f t="shared" si="258"/>
        <v>0.757451933908844-0.102575834210339i</v>
      </c>
    </row>
    <row r="506" spans="7:44">
      <c r="G506" s="688">
        <v>66453.75</v>
      </c>
      <c r="H506" s="676">
        <f t="shared" si="250"/>
        <v>66.453749999999999</v>
      </c>
      <c r="I506" s="677">
        <f t="shared" si="230"/>
        <v>819.17777553438077</v>
      </c>
      <c r="J506" s="678">
        <f t="shared" si="231"/>
        <v>1.5695755902487738</v>
      </c>
      <c r="K506" s="678">
        <f t="shared" si="232"/>
        <v>1.0182781971361823</v>
      </c>
      <c r="L506" s="679">
        <f t="shared" si="233"/>
        <v>0.18975806284633706</v>
      </c>
      <c r="M506" s="678">
        <f t="shared" si="234"/>
        <v>1.0617369093304487</v>
      </c>
      <c r="N506" s="679">
        <f t="shared" si="235"/>
        <v>-0.3426937593826358</v>
      </c>
      <c r="O506" s="677">
        <f t="shared" si="236"/>
        <v>751574.20523444028</v>
      </c>
      <c r="P506" s="680">
        <f t="shared" si="237"/>
        <v>1.5707949962542886</v>
      </c>
      <c r="Q506" s="689">
        <f t="shared" si="259"/>
        <v>355.74652930851943</v>
      </c>
      <c r="R506" s="690">
        <f t="shared" si="260"/>
        <v>1.5679853329142459</v>
      </c>
      <c r="S506" s="677">
        <f t="shared" si="238"/>
        <v>2.9606638528807161</v>
      </c>
      <c r="T506" s="680">
        <f t="shared" si="239"/>
        <v>1.2262580908672913</v>
      </c>
      <c r="U506" s="681">
        <f t="shared" si="251"/>
        <v>0.63253928390810732</v>
      </c>
      <c r="V506" s="682">
        <f t="shared" si="252"/>
        <v>-1.1750344851352221</v>
      </c>
      <c r="W506" s="683">
        <f t="shared" si="240"/>
        <v>-31.478550746498179</v>
      </c>
      <c r="X506" s="684">
        <f t="shared" si="241"/>
        <v>-236.43753899888108</v>
      </c>
      <c r="Y506" s="687">
        <f t="shared" si="242"/>
        <v>-56.437538998881081</v>
      </c>
      <c r="AA506" s="170">
        <f t="shared" si="243"/>
        <v>66453.75</v>
      </c>
      <c r="AB506" s="170">
        <f t="shared" si="244"/>
        <v>4416100889.0625</v>
      </c>
      <c r="AD506" s="686">
        <f t="shared" si="245"/>
        <v>29.181044184581065</v>
      </c>
      <c r="AE506" s="687">
        <f t="shared" si="246"/>
        <v>-70.420395132169716</v>
      </c>
      <c r="AG506" s="686">
        <f t="shared" si="247"/>
        <v>2.3889675377937776</v>
      </c>
      <c r="AH506" s="687">
        <f t="shared" si="248"/>
        <v>-31.36811015170062</v>
      </c>
      <c r="AJ506" s="170">
        <f t="shared" si="249"/>
        <v>0</v>
      </c>
      <c r="AK506" s="170">
        <f t="shared" si="261"/>
        <v>0</v>
      </c>
      <c r="AM506" s="170" t="str">
        <f t="shared" si="253"/>
        <v>1.49015545302225+0.871635033642263i</v>
      </c>
      <c r="AN506" s="170" t="str">
        <f t="shared" si="254"/>
        <v>2.08306441724711i</v>
      </c>
      <c r="AO506" s="170" t="str">
        <f t="shared" si="255"/>
        <v>0.418438828115637-0.715366956818156i</v>
      </c>
      <c r="AP506" s="170" t="str">
        <f t="shared" si="256"/>
        <v>-0.0816925755037088-0.145272505607044i</v>
      </c>
      <c r="AQ506" s="170" t="str">
        <f t="shared" si="257"/>
        <v>1.08169257550371+0.145272505607044i</v>
      </c>
      <c r="AR506" s="170" t="str">
        <f t="shared" si="258"/>
        <v>0.756445565606648-0.101591473547688i</v>
      </c>
    </row>
    <row r="507" spans="7:44">
      <c r="G507" s="688">
        <v>66838.5</v>
      </c>
      <c r="H507" s="676">
        <f t="shared" si="250"/>
        <v>66.838499999999996</v>
      </c>
      <c r="I507" s="677">
        <f t="shared" si="230"/>
        <v>823.92059562821169</v>
      </c>
      <c r="J507" s="678">
        <f t="shared" si="231"/>
        <v>1.5695826173053884</v>
      </c>
      <c r="K507" s="678">
        <f t="shared" si="232"/>
        <v>1.0184885350847059</v>
      </c>
      <c r="L507" s="679">
        <f t="shared" si="233"/>
        <v>0.19083030733265818</v>
      </c>
      <c r="M507" s="678">
        <f t="shared" si="234"/>
        <v>1.062432787899402</v>
      </c>
      <c r="N507" s="679">
        <f t="shared" si="235"/>
        <v>-0.34452493527722933</v>
      </c>
      <c r="O507" s="677">
        <f t="shared" si="236"/>
        <v>755925.62521395157</v>
      </c>
      <c r="P507" s="680">
        <f t="shared" si="237"/>
        <v>1.5707950039134297</v>
      </c>
      <c r="Q507" s="689">
        <f t="shared" si="259"/>
        <v>357.80619334156228</v>
      </c>
      <c r="R507" s="690">
        <f t="shared" si="260"/>
        <v>1.5680015140710255</v>
      </c>
      <c r="S507" s="677">
        <f t="shared" si="238"/>
        <v>2.9758547643857112</v>
      </c>
      <c r="T507" s="680">
        <f t="shared" si="239"/>
        <v>1.2280893259850594</v>
      </c>
      <c r="U507" s="681">
        <f t="shared" si="251"/>
        <v>0.63018187956458005</v>
      </c>
      <c r="V507" s="682">
        <f t="shared" si="252"/>
        <v>-1.1799491018498955</v>
      </c>
      <c r="W507" s="683">
        <f t="shared" si="240"/>
        <v>-31.598094540557156</v>
      </c>
      <c r="X507" s="684">
        <f t="shared" si="241"/>
        <v>-236.86700735275696</v>
      </c>
      <c r="Y507" s="687">
        <f t="shared" si="242"/>
        <v>-56.867007352756957</v>
      </c>
      <c r="AA507" s="170">
        <f t="shared" si="243"/>
        <v>66838.5</v>
      </c>
      <c r="AB507" s="170">
        <f t="shared" si="244"/>
        <v>4467385082.25</v>
      </c>
      <c r="AD507" s="686">
        <f t="shared" si="245"/>
        <v>29.136591182187487</v>
      </c>
      <c r="AE507" s="687">
        <f t="shared" si="246"/>
        <v>-70.524390502678131</v>
      </c>
      <c r="AG507" s="686">
        <f t="shared" si="247"/>
        <v>2.3787404019908953</v>
      </c>
      <c r="AH507" s="687">
        <f t="shared" si="248"/>
        <v>-31.130409543074116</v>
      </c>
      <c r="AJ507" s="170">
        <f t="shared" si="249"/>
        <v>0</v>
      </c>
      <c r="AK507" s="170">
        <f t="shared" si="261"/>
        <v>0</v>
      </c>
      <c r="AM507" s="170" t="str">
        <f t="shared" si="253"/>
        <v>1.50063182139449+0.865660314099724i</v>
      </c>
      <c r="AN507" s="170" t="str">
        <f t="shared" si="254"/>
        <v>2.0951248206786i</v>
      </c>
      <c r="AO507" s="170" t="str">
        <f t="shared" si="255"/>
        <v>0.413178396607101-0.716249364516833i</v>
      </c>
      <c r="AP507" s="170" t="str">
        <f t="shared" si="256"/>
        <v>-0.0834386368990822-0.144276719016621i</v>
      </c>
      <c r="AQ507" s="170" t="str">
        <f t="shared" si="257"/>
        <v>1.08343863689908+0.144276719016621i</v>
      </c>
      <c r="AR507" s="170" t="str">
        <f t="shared" si="258"/>
        <v>0.755451863151952-0.100600174738562i</v>
      </c>
    </row>
    <row r="508" spans="7:44">
      <c r="G508" s="688">
        <v>67223.25</v>
      </c>
      <c r="H508" s="676">
        <f t="shared" si="250"/>
        <v>67.223249999999993</v>
      </c>
      <c r="I508" s="677">
        <f t="shared" si="230"/>
        <v>828.66341576226159</v>
      </c>
      <c r="J508" s="678">
        <f t="shared" si="231"/>
        <v>1.5695895639238786</v>
      </c>
      <c r="K508" s="678">
        <f t="shared" si="232"/>
        <v>1.0187000435135498</v>
      </c>
      <c r="L508" s="679">
        <f t="shared" si="233"/>
        <v>0.19190210779953676</v>
      </c>
      <c r="M508" s="678">
        <f t="shared" si="234"/>
        <v>1.0631322243527186</v>
      </c>
      <c r="N508" s="679">
        <f t="shared" si="235"/>
        <v>-0.34635370783005048</v>
      </c>
      <c r="O508" s="677">
        <f t="shared" si="236"/>
        <v>760277.04519346275</v>
      </c>
      <c r="P508" s="680">
        <f t="shared" si="237"/>
        <v>1.570795011484897</v>
      </c>
      <c r="Q508" s="689">
        <f t="shared" si="259"/>
        <v>359.86585746721704</v>
      </c>
      <c r="R508" s="690">
        <f t="shared" si="260"/>
        <v>1.5680175100046354</v>
      </c>
      <c r="S508" s="677">
        <f t="shared" si="238"/>
        <v>2.9910555538030072</v>
      </c>
      <c r="T508" s="680">
        <f t="shared" si="239"/>
        <v>1.2299019541561218</v>
      </c>
      <c r="U508" s="681">
        <f t="shared" si="251"/>
        <v>0.62783267955321054</v>
      </c>
      <c r="V508" s="682">
        <f t="shared" si="252"/>
        <v>-1.1848494229965965</v>
      </c>
      <c r="W508" s="683">
        <f t="shared" si="240"/>
        <v>-31.717125942475015</v>
      </c>
      <c r="X508" s="684">
        <f t="shared" si="241"/>
        <v>-237.29448426922153</v>
      </c>
      <c r="Y508" s="687">
        <f t="shared" si="242"/>
        <v>-57.294484269221527</v>
      </c>
      <c r="AA508" s="170">
        <f t="shared" si="243"/>
        <v>67223.25</v>
      </c>
      <c r="AB508" s="170">
        <f t="shared" si="244"/>
        <v>4518965340.5625</v>
      </c>
      <c r="AD508" s="686">
        <f t="shared" si="245"/>
        <v>29.092335842971497</v>
      </c>
      <c r="AE508" s="687">
        <f t="shared" si="246"/>
        <v>-70.627330381152063</v>
      </c>
      <c r="AG508" s="686">
        <f t="shared" si="247"/>
        <v>2.3688440836667195</v>
      </c>
      <c r="AH508" s="687">
        <f t="shared" si="248"/>
        <v>-30.89341114049374</v>
      </c>
      <c r="AJ508" s="170">
        <f t="shared" si="249"/>
        <v>0</v>
      </c>
      <c r="AK508" s="170">
        <f t="shared" si="261"/>
        <v>0</v>
      </c>
      <c r="AM508" s="170" t="str">
        <f t="shared" si="253"/>
        <v>1.51103537208339+0.859559682907239i</v>
      </c>
      <c r="AN508" s="170" t="str">
        <f t="shared" si="254"/>
        <v>2.1071852241101i</v>
      </c>
      <c r="AO508" s="170" t="str">
        <f t="shared" si="255"/>
        <v>0.407918427422651-0.717087114504386i</v>
      </c>
      <c r="AP508" s="170" t="str">
        <f t="shared" si="256"/>
        <v>-0.0851725620138982-0.143259947151207i</v>
      </c>
      <c r="AQ508" s="170" t="str">
        <f t="shared" si="257"/>
        <v>1.0851725620139+0.143259947151207i</v>
      </c>
      <c r="AR508" s="170" t="str">
        <f t="shared" si="258"/>
        <v>0.754470799944916-0.0996020823883059i</v>
      </c>
    </row>
    <row r="509" spans="7:44">
      <c r="G509" s="688">
        <v>67608</v>
      </c>
      <c r="H509" s="676">
        <f t="shared" si="250"/>
        <v>67.608000000000004</v>
      </c>
      <c r="I509" s="677">
        <f t="shared" si="230"/>
        <v>833.40623593584394</v>
      </c>
      <c r="J509" s="678">
        <f t="shared" si="231"/>
        <v>1.5695964314775364</v>
      </c>
      <c r="K509" s="678">
        <f t="shared" si="232"/>
        <v>1.0189127216938003</v>
      </c>
      <c r="L509" s="679">
        <f t="shared" si="233"/>
        <v>0.19297346206177973</v>
      </c>
      <c r="M509" s="678">
        <f t="shared" si="234"/>
        <v>1.0638352116728245</v>
      </c>
      <c r="N509" s="679">
        <f t="shared" si="235"/>
        <v>-0.34818006956122405</v>
      </c>
      <c r="O509" s="677">
        <f t="shared" si="236"/>
        <v>764628.46517297404</v>
      </c>
      <c r="P509" s="680">
        <f t="shared" si="237"/>
        <v>1.5707950189701876</v>
      </c>
      <c r="Q509" s="689">
        <f t="shared" si="259"/>
        <v>361.92552168390262</v>
      </c>
      <c r="R509" s="690">
        <f t="shared" si="260"/>
        <v>1.5680333238772999</v>
      </c>
      <c r="S509" s="677">
        <f t="shared" si="238"/>
        <v>3.0062660712935103</v>
      </c>
      <c r="T509" s="680">
        <f t="shared" si="239"/>
        <v>1.2316962458094667</v>
      </c>
      <c r="U509" s="681">
        <f t="shared" si="251"/>
        <v>0.62549169064617427</v>
      </c>
      <c r="V509" s="682">
        <f t="shared" si="252"/>
        <v>-1.1897356313722831</v>
      </c>
      <c r="W509" s="683">
        <f t="shared" si="240"/>
        <v>-31.835649326506299</v>
      </c>
      <c r="X509" s="684">
        <f t="shared" si="241"/>
        <v>-237.71999531043309</v>
      </c>
      <c r="Y509" s="687">
        <f t="shared" si="242"/>
        <v>-57.719995310433092</v>
      </c>
      <c r="AA509" s="170">
        <f t="shared" si="243"/>
        <v>67608</v>
      </c>
      <c r="AB509" s="170">
        <f t="shared" si="244"/>
        <v>4570841664</v>
      </c>
      <c r="AD509" s="686">
        <f t="shared" si="245"/>
        <v>29.048276741557256</v>
      </c>
      <c r="AE509" s="687">
        <f t="shared" si="246"/>
        <v>-70.729230080934812</v>
      </c>
      <c r="AG509" s="686">
        <f t="shared" si="247"/>
        <v>2.3592747170676853</v>
      </c>
      <c r="AH509" s="687">
        <f t="shared" si="248"/>
        <v>-30.657104245786144</v>
      </c>
      <c r="AJ509" s="170">
        <f t="shared" si="249"/>
        <v>0</v>
      </c>
      <c r="AK509" s="170">
        <f t="shared" si="261"/>
        <v>0</v>
      </c>
      <c r="AM509" s="170" t="str">
        <f t="shared" si="253"/>
        <v>1.52136459187616+0.853334027411191i</v>
      </c>
      <c r="AN509" s="170" t="str">
        <f t="shared" si="254"/>
        <v>2.11924562754159i</v>
      </c>
      <c r="AO509" s="170" t="str">
        <f t="shared" si="255"/>
        <v>0.402659331377785-0.717880255174104i</v>
      </c>
      <c r="AP509" s="170" t="str">
        <f t="shared" si="256"/>
        <v>-0.086894098646027-0.142222337901865i</v>
      </c>
      <c r="AQ509" s="170" t="str">
        <f t="shared" si="257"/>
        <v>1.08689409864603+0.142222337901865i</v>
      </c>
      <c r="AR509" s="170" t="str">
        <f t="shared" si="258"/>
        <v>0.75350234856602-0.0985973387481846i</v>
      </c>
    </row>
    <row r="510" spans="7:44">
      <c r="G510" s="688">
        <v>68001.75</v>
      </c>
      <c r="H510" s="676">
        <f t="shared" si="250"/>
        <v>68.001750000000001</v>
      </c>
      <c r="I510" s="677">
        <f t="shared" si="230"/>
        <v>838.25999931161175</v>
      </c>
      <c r="J510" s="678">
        <f t="shared" si="231"/>
        <v>1.5696033792153765</v>
      </c>
      <c r="K510" s="678">
        <f t="shared" si="232"/>
        <v>1.0191315851534262</v>
      </c>
      <c r="L510" s="679">
        <f t="shared" si="233"/>
        <v>0.19406941298552691</v>
      </c>
      <c r="M510" s="678">
        <f t="shared" si="234"/>
        <v>1.0645583122305891</v>
      </c>
      <c r="N510" s="679">
        <f t="shared" si="235"/>
        <v>-0.35004664941622798</v>
      </c>
      <c r="O510" s="677">
        <f t="shared" si="236"/>
        <v>769081.67275434523</v>
      </c>
      <c r="P510" s="680">
        <f t="shared" si="237"/>
        <v>1.5707950265428747</v>
      </c>
      <c r="Q510" s="689">
        <f t="shared" si="259"/>
        <v>364.03336527314826</v>
      </c>
      <c r="R510" s="690">
        <f t="shared" si="260"/>
        <v>1.5680493223907179</v>
      </c>
      <c r="S510" s="677">
        <f t="shared" si="238"/>
        <v>3.0218423091528037</v>
      </c>
      <c r="T510" s="680">
        <f t="shared" si="239"/>
        <v>1.2335138012341764</v>
      </c>
      <c r="U510" s="681">
        <f t="shared" si="251"/>
        <v>0.62310444821618849</v>
      </c>
      <c r="V510" s="682">
        <f t="shared" si="252"/>
        <v>-1.1947217155169094</v>
      </c>
      <c r="W510" s="683">
        <f t="shared" si="240"/>
        <v>-31.956423724329206</v>
      </c>
      <c r="X510" s="684">
        <f t="shared" si="241"/>
        <v>-238.15345079155236</v>
      </c>
      <c r="Y510" s="687">
        <f t="shared" si="242"/>
        <v>-58.153450791552359</v>
      </c>
      <c r="AA510" s="170">
        <f t="shared" si="243"/>
        <v>68001.75</v>
      </c>
      <c r="AB510" s="170">
        <f t="shared" si="244"/>
        <v>4624238003.0625</v>
      </c>
      <c r="AD510" s="686">
        <f t="shared" si="245"/>
        <v>29.003388717158881</v>
      </c>
      <c r="AE510" s="687">
        <f t="shared" si="246"/>
        <v>-70.83245212250543</v>
      </c>
      <c r="AG510" s="686">
        <f t="shared" si="247"/>
        <v>2.3498160664494629</v>
      </c>
      <c r="AH510" s="687">
        <f t="shared" si="248"/>
        <v>-30.415974529113523</v>
      </c>
      <c r="AJ510" s="170">
        <f t="shared" si="249"/>
        <v>0</v>
      </c>
      <c r="AK510" s="170">
        <f t="shared" si="261"/>
        <v>0</v>
      </c>
      <c r="AM510" s="170" t="str">
        <f t="shared" si="253"/>
        <v>1.53185690392166+0.846834242193161i</v>
      </c>
      <c r="AN510" s="170" t="str">
        <f t="shared" si="254"/>
        <v>2.13158814567324i</v>
      </c>
      <c r="AO510" s="170" t="str">
        <f t="shared" si="255"/>
        <v>0.397278547411746-0.718645816749858i</v>
      </c>
      <c r="AP510" s="170" t="str">
        <f t="shared" si="256"/>
        <v>-0.0886428173202768-0.141139040365527i</v>
      </c>
      <c r="AQ510" s="170" t="str">
        <f t="shared" si="257"/>
        <v>1.08864281732028+0.141139040365527i</v>
      </c>
      <c r="AR510" s="170" t="str">
        <f t="shared" si="258"/>
        <v>0.752524271737646-0.0975623518338717i</v>
      </c>
    </row>
    <row r="511" spans="7:44">
      <c r="G511" s="688">
        <v>68395.5</v>
      </c>
      <c r="H511" s="676">
        <f t="shared" si="250"/>
        <v>68.395499999999998</v>
      </c>
      <c r="I511" s="677">
        <f t="shared" si="230"/>
        <v>843.11376272737732</v>
      </c>
      <c r="J511" s="678">
        <f t="shared" si="231"/>
        <v>1.569610246957664</v>
      </c>
      <c r="K511" s="678">
        <f t="shared" si="232"/>
        <v>1.0193516721740858</v>
      </c>
      <c r="L511" s="679">
        <f t="shared" si="233"/>
        <v>0.1951648919736409</v>
      </c>
      <c r="M511" s="678">
        <f t="shared" si="234"/>
        <v>1.0652851167948052</v>
      </c>
      <c r="N511" s="679">
        <f t="shared" si="235"/>
        <v>-0.35191068876185438</v>
      </c>
      <c r="O511" s="677">
        <f t="shared" si="236"/>
        <v>773534.88033571653</v>
      </c>
      <c r="P511" s="680">
        <f t="shared" si="237"/>
        <v>1.5707950340283705</v>
      </c>
      <c r="Q511" s="689">
        <f t="shared" si="259"/>
        <v>366.14120895449628</v>
      </c>
      <c r="R511" s="690">
        <f t="shared" si="260"/>
        <v>1.5680651366999883</v>
      </c>
      <c r="S511" s="677">
        <f t="shared" si="238"/>
        <v>3.0374284272880137</v>
      </c>
      <c r="T511" s="680">
        <f t="shared" si="239"/>
        <v>1.2353127095131331</v>
      </c>
      <c r="U511" s="681">
        <f t="shared" si="251"/>
        <v>0.62072581359507306</v>
      </c>
      <c r="V511" s="682">
        <f t="shared" si="252"/>
        <v>-1.1996934049946741</v>
      </c>
      <c r="W511" s="683">
        <f t="shared" si="240"/>
        <v>-32.076675191902304</v>
      </c>
      <c r="X511" s="684">
        <f t="shared" si="241"/>
        <v>-238.58490056143083</v>
      </c>
      <c r="Y511" s="687">
        <f t="shared" si="242"/>
        <v>-58.584900561430828</v>
      </c>
      <c r="AA511" s="170">
        <f t="shared" si="243"/>
        <v>68395.5</v>
      </c>
      <c r="AB511" s="170">
        <f t="shared" si="244"/>
        <v>4677944420.25</v>
      </c>
      <c r="AD511" s="686">
        <f t="shared" si="245"/>
        <v>28.958703227312682</v>
      </c>
      <c r="AE511" s="687">
        <f t="shared" si="246"/>
        <v>-70.934616310447751</v>
      </c>
      <c r="AG511" s="686">
        <f t="shared" si="247"/>
        <v>2.340691897153742</v>
      </c>
      <c r="AH511" s="687">
        <f t="shared" si="248"/>
        <v>-30.175546462147665</v>
      </c>
      <c r="AJ511" s="170">
        <f t="shared" si="249"/>
        <v>0</v>
      </c>
      <c r="AK511" s="170">
        <f t="shared" si="261"/>
        <v>0</v>
      </c>
      <c r="AM511" s="170" t="str">
        <f t="shared" si="253"/>
        <v>1.54226819510961+0.840205453786492i</v>
      </c>
      <c r="AN511" s="170" t="str">
        <f t="shared" si="254"/>
        <v>2.14393066380489i</v>
      </c>
      <c r="AO511" s="170" t="str">
        <f t="shared" si="255"/>
        <v>0.391899545993413-0.719364772913181i</v>
      </c>
      <c r="AP511" s="170" t="str">
        <f t="shared" si="256"/>
        <v>-0.0903780325182685-0.140034242297749i</v>
      </c>
      <c r="AQ511" s="170" t="str">
        <f t="shared" si="257"/>
        <v>1.09037803251827+0.140034242297749i</v>
      </c>
      <c r="AR511" s="170" t="str">
        <f t="shared" si="258"/>
        <v>0.751559343156326-0.0965206928441367i</v>
      </c>
    </row>
    <row r="512" spans="7:44">
      <c r="G512" s="688">
        <v>68789.25</v>
      </c>
      <c r="H512" s="676">
        <f t="shared" si="250"/>
        <v>68.789249999999996</v>
      </c>
      <c r="I512" s="677">
        <f t="shared" si="230"/>
        <v>847.96752618245387</v>
      </c>
      <c r="J512" s="678">
        <f t="shared" si="231"/>
        <v>1.5696170360780812</v>
      </c>
      <c r="K512" s="678">
        <f t="shared" si="232"/>
        <v>1.0195729819634187</v>
      </c>
      <c r="L512" s="679">
        <f t="shared" si="233"/>
        <v>0.19625989670328334</v>
      </c>
      <c r="M512" s="678">
        <f t="shared" si="234"/>
        <v>1.0660156177893489</v>
      </c>
      <c r="N512" s="679">
        <f t="shared" si="235"/>
        <v>-0.35377217985397053</v>
      </c>
      <c r="O512" s="677">
        <f t="shared" si="236"/>
        <v>777988.08791708783</v>
      </c>
      <c r="P512" s="680">
        <f t="shared" si="237"/>
        <v>1.5707950414281724</v>
      </c>
      <c r="Q512" s="689">
        <f t="shared" si="259"/>
        <v>368.24905272636516</v>
      </c>
      <c r="R512" s="690">
        <f t="shared" si="260"/>
        <v>1.5680807699682355</v>
      </c>
      <c r="S512" s="677">
        <f t="shared" si="238"/>
        <v>3.0530242743785507</v>
      </c>
      <c r="T512" s="680">
        <f t="shared" si="239"/>
        <v>1.2370932446807283</v>
      </c>
      <c r="U512" s="681">
        <f t="shared" si="251"/>
        <v>0.61835578777857259</v>
      </c>
      <c r="V512" s="682">
        <f t="shared" si="252"/>
        <v>-1.2046508943883927</v>
      </c>
      <c r="W512" s="683">
        <f t="shared" si="240"/>
        <v>-32.196408280447514</v>
      </c>
      <c r="X512" s="684">
        <f t="shared" si="241"/>
        <v>-239.01437105679778</v>
      </c>
      <c r="Y512" s="687">
        <f t="shared" si="242"/>
        <v>-59.014371056797785</v>
      </c>
      <c r="AA512" s="170">
        <f t="shared" si="243"/>
        <v>68789.25</v>
      </c>
      <c r="AB512" s="170">
        <f t="shared" si="244"/>
        <v>4731960915.5625</v>
      </c>
      <c r="AD512" s="686">
        <f t="shared" si="245"/>
        <v>28.914218774184516</v>
      </c>
      <c r="AE512" s="687">
        <f t="shared" si="246"/>
        <v>-71.035738164627972</v>
      </c>
      <c r="AG512" s="686">
        <f t="shared" si="247"/>
        <v>2.3318983128431778</v>
      </c>
      <c r="AH512" s="687">
        <f t="shared" si="248"/>
        <v>-29.935808664203371</v>
      </c>
      <c r="AJ512" s="170">
        <f t="shared" si="249"/>
        <v>0</v>
      </c>
      <c r="AK512" s="170">
        <f t="shared" si="261"/>
        <v>0</v>
      </c>
      <c r="AM512" s="170" t="str">
        <f t="shared" si="253"/>
        <v>1.55259687942743+0.833448671993102i</v>
      </c>
      <c r="AN512" s="170" t="str">
        <f t="shared" si="254"/>
        <v>2.15627318193654i</v>
      </c>
      <c r="AO512" s="170" t="str">
        <f t="shared" si="255"/>
        <v>0.386522764821749-0.720037188438734i</v>
      </c>
      <c r="AP512" s="170" t="str">
        <f t="shared" si="256"/>
        <v>-0.0920994799045718-0.13890811199885i</v>
      </c>
      <c r="AQ512" s="170" t="str">
        <f t="shared" si="257"/>
        <v>1.09209947990457+0.13890811199885i</v>
      </c>
      <c r="AR512" s="170" t="str">
        <f t="shared" si="258"/>
        <v>0.750607531108051-0.0954725067788224i</v>
      </c>
    </row>
    <row r="513" spans="7:44">
      <c r="G513" s="688">
        <v>69183</v>
      </c>
      <c r="H513" s="676">
        <f t="shared" si="250"/>
        <v>69.183000000000007</v>
      </c>
      <c r="I513" s="677">
        <f t="shared" si="230"/>
        <v>852.82128967617007</v>
      </c>
      <c r="J513" s="678">
        <f t="shared" si="231"/>
        <v>1.5696237479190378</v>
      </c>
      <c r="K513" s="678">
        <f t="shared" si="232"/>
        <v>1.0197955137253514</v>
      </c>
      <c r="L513" s="679">
        <f t="shared" si="233"/>
        <v>0.19735442485817578</v>
      </c>
      <c r="M513" s="678">
        <f t="shared" si="234"/>
        <v>1.0667498076203701</v>
      </c>
      <c r="N513" s="679">
        <f t="shared" si="235"/>
        <v>-0.35563111504024281</v>
      </c>
      <c r="O513" s="677">
        <f t="shared" si="236"/>
        <v>782441.29549845913</v>
      </c>
      <c r="P513" s="680">
        <f t="shared" si="237"/>
        <v>1.5707950487437434</v>
      </c>
      <c r="Q513" s="689">
        <f t="shared" si="259"/>
        <v>370.35689658720935</v>
      </c>
      <c r="R513" s="690">
        <f t="shared" si="260"/>
        <v>1.5680962252865751</v>
      </c>
      <c r="S513" s="677">
        <f t="shared" si="238"/>
        <v>3.0686297020865791</v>
      </c>
      <c r="T513" s="680">
        <f t="shared" si="239"/>
        <v>1.2388556756681968</v>
      </c>
      <c r="U513" s="681">
        <f t="shared" si="251"/>
        <v>0.61599436976108468</v>
      </c>
      <c r="V513" s="682">
        <f t="shared" si="252"/>
        <v>-1.2095943778059151</v>
      </c>
      <c r="W513" s="683">
        <f t="shared" si="240"/>
        <v>-32.31562749682341</v>
      </c>
      <c r="X513" s="684">
        <f t="shared" si="241"/>
        <v>-239.44188840199547</v>
      </c>
      <c r="Y513" s="687">
        <f t="shared" si="242"/>
        <v>-59.44188840199547</v>
      </c>
      <c r="AA513" s="170">
        <f t="shared" si="243"/>
        <v>69183</v>
      </c>
      <c r="AB513" s="170">
        <f t="shared" si="244"/>
        <v>4786287489</v>
      </c>
      <c r="AD513" s="686">
        <f t="shared" si="245"/>
        <v>28.869933870266941</v>
      </c>
      <c r="AE513" s="687">
        <f t="shared" si="246"/>
        <v>-71.135832916646805</v>
      </c>
      <c r="AG513" s="686">
        <f t="shared" si="247"/>
        <v>2.3234314972673302</v>
      </c>
      <c r="AH513" s="687">
        <f t="shared" si="248"/>
        <v>-29.696749784901026</v>
      </c>
      <c r="AJ513" s="170">
        <f t="shared" si="249"/>
        <v>0</v>
      </c>
      <c r="AK513" s="170">
        <f t="shared" si="261"/>
        <v>0</v>
      </c>
      <c r="AM513" s="170" t="str">
        <f t="shared" si="253"/>
        <v>1.56284138344653+0.826564926112886i</v>
      </c>
      <c r="AN513" s="170" t="str">
        <f t="shared" si="254"/>
        <v>2.16861570006819i</v>
      </c>
      <c r="AO513" s="170" t="str">
        <f t="shared" si="255"/>
        <v>0.38114864062217-0.720663132429313i</v>
      </c>
      <c r="AP513" s="170" t="str">
        <f t="shared" si="256"/>
        <v>-0.0938068972410877-0.137760821018814i</v>
      </c>
      <c r="AQ513" s="170" t="str">
        <f t="shared" si="257"/>
        <v>1.09380689724109+0.137760821018814i</v>
      </c>
      <c r="AR513" s="170" t="str">
        <f t="shared" si="258"/>
        <v>0.749668803205215-0.0944179361843784i</v>
      </c>
    </row>
    <row r="514" spans="7:44">
      <c r="G514" s="688">
        <v>69586</v>
      </c>
      <c r="H514" s="676">
        <f t="shared" si="250"/>
        <v>69.585999999999999</v>
      </c>
      <c r="I514" s="677">
        <f t="shared" si="230"/>
        <v>857.78907812938371</v>
      </c>
      <c r="J514" s="678">
        <f t="shared" si="231"/>
        <v>1.5696305387800957</v>
      </c>
      <c r="K514" s="678">
        <f t="shared" si="232"/>
        <v>1.0200245377526571</v>
      </c>
      <c r="L514" s="679">
        <f t="shared" si="233"/>
        <v>0.19847416982772495</v>
      </c>
      <c r="M514" s="678">
        <f t="shared" si="234"/>
        <v>1.0675050569840754</v>
      </c>
      <c r="N514" s="679">
        <f t="shared" si="235"/>
        <v>-0.35753106588363476</v>
      </c>
      <c r="O514" s="677">
        <f t="shared" si="236"/>
        <v>786999.11811507551</v>
      </c>
      <c r="P514" s="680">
        <f t="shared" si="237"/>
        <v>1.5707950561454422</v>
      </c>
      <c r="Q514" s="689">
        <f t="shared" si="259"/>
        <v>372.51425814042267</v>
      </c>
      <c r="R514" s="690">
        <f t="shared" si="260"/>
        <v>1.5681118625651218</v>
      </c>
      <c r="S514" s="677">
        <f t="shared" si="238"/>
        <v>3.0846115026047802</v>
      </c>
      <c r="T514" s="680">
        <f t="shared" si="239"/>
        <v>1.240641038087466</v>
      </c>
      <c r="U514" s="681">
        <f t="shared" si="251"/>
        <v>0.61358638756463491</v>
      </c>
      <c r="V514" s="682">
        <f t="shared" si="252"/>
        <v>-1.2146396925315293</v>
      </c>
      <c r="W514" s="683">
        <f t="shared" si="240"/>
        <v>-32.437119954626198</v>
      </c>
      <c r="X514" s="684">
        <f t="shared" si="241"/>
        <v>-239.87745343953415</v>
      </c>
      <c r="Y514" s="687">
        <f t="shared" si="242"/>
        <v>-59.87745343953415</v>
      </c>
      <c r="AA514" s="170">
        <f t="shared" si="243"/>
        <v>69586</v>
      </c>
      <c r="AB514" s="170">
        <f t="shared" si="244"/>
        <v>4842211396</v>
      </c>
      <c r="AD514" s="686">
        <f t="shared" si="245"/>
        <v>28.82481371713159</v>
      </c>
      <c r="AE514" s="687">
        <f t="shared" si="246"/>
        <v>-71.237231122310376</v>
      </c>
      <c r="AG514" s="686">
        <f t="shared" si="247"/>
        <v>2.3151002520352861</v>
      </c>
      <c r="AH514" s="687">
        <f t="shared" si="248"/>
        <v>-29.452766135929721</v>
      </c>
      <c r="AJ514" s="170">
        <f t="shared" si="249"/>
        <v>0</v>
      </c>
      <c r="AK514" s="170">
        <f t="shared" si="261"/>
        <v>0</v>
      </c>
      <c r="AM514" s="170" t="str">
        <f t="shared" si="253"/>
        <v>1.57323775352065+0.819389088247212i</v>
      </c>
      <c r="AN514" s="170" t="str">
        <f t="shared" si="254"/>
        <v>2.18124816941944i</v>
      </c>
      <c r="AO514" s="170" t="str">
        <f t="shared" si="255"/>
        <v>0.375651473195414-0.721255735856678i</v>
      </c>
      <c r="AP514" s="170" t="str">
        <f t="shared" si="256"/>
        <v>-0.0955396255867753-0.136564848041202i</v>
      </c>
      <c r="AQ514" s="170" t="str">
        <f t="shared" si="257"/>
        <v>1.09553962558678+0.136564848041202i</v>
      </c>
      <c r="AR514" s="170" t="str">
        <f t="shared" si="258"/>
        <v>0.748721537011558-0.093332126505596i</v>
      </c>
    </row>
    <row r="515" spans="7:44">
      <c r="G515" s="688">
        <v>69989</v>
      </c>
      <c r="H515" s="676">
        <f t="shared" si="250"/>
        <v>69.989000000000004</v>
      </c>
      <c r="I515" s="677">
        <f t="shared" si="230"/>
        <v>862.75686662169926</v>
      </c>
      <c r="J515" s="678">
        <f t="shared" si="231"/>
        <v>1.5696372514370556</v>
      </c>
      <c r="K515" s="678">
        <f t="shared" si="232"/>
        <v>1.0202548401409826</v>
      </c>
      <c r="L515" s="679">
        <f t="shared" si="233"/>
        <v>0.19959341067944211</v>
      </c>
      <c r="M515" s="678">
        <f t="shared" si="234"/>
        <v>1.0682641543847828</v>
      </c>
      <c r="N515" s="679">
        <f t="shared" si="235"/>
        <v>-0.359428323397053</v>
      </c>
      <c r="O515" s="677">
        <f t="shared" si="236"/>
        <v>791556.94073169178</v>
      </c>
      <c r="P515" s="680">
        <f t="shared" si="237"/>
        <v>1.5707950634619023</v>
      </c>
      <c r="Q515" s="689">
        <f t="shared" si="259"/>
        <v>374.67161978367596</v>
      </c>
      <c r="R515" s="690">
        <f t="shared" si="260"/>
        <v>1.5681273197645675</v>
      </c>
      <c r="S515" s="677">
        <f t="shared" si="238"/>
        <v>3.1006030340033739</v>
      </c>
      <c r="T515" s="680">
        <f t="shared" si="239"/>
        <v>1.2424079898800555</v>
      </c>
      <c r="U515" s="681">
        <f t="shared" si="251"/>
        <v>0.61118741402523358</v>
      </c>
      <c r="V515" s="682">
        <f t="shared" si="252"/>
        <v>-1.219670745375093</v>
      </c>
      <c r="W515" s="683">
        <f t="shared" si="240"/>
        <v>-32.558083527567788</v>
      </c>
      <c r="X515" s="684">
        <f t="shared" si="241"/>
        <v>-240.31102687972194</v>
      </c>
      <c r="Y515" s="687">
        <f t="shared" si="242"/>
        <v>-60.311026879721936</v>
      </c>
      <c r="AA515" s="170">
        <f t="shared" si="243"/>
        <v>69989</v>
      </c>
      <c r="AB515" s="170">
        <f t="shared" si="244"/>
        <v>4898460121</v>
      </c>
      <c r="AD515" s="686">
        <f t="shared" si="245"/>
        <v>28.779899479489185</v>
      </c>
      <c r="AE515" s="687">
        <f t="shared" si="246"/>
        <v>-71.337584789654471</v>
      </c>
      <c r="AG515" s="686">
        <f t="shared" si="247"/>
        <v>2.3071034698800874</v>
      </c>
      <c r="AH515" s="687">
        <f t="shared" si="248"/>
        <v>-29.209469719227666</v>
      </c>
      <c r="AJ515" s="170">
        <f t="shared" si="249"/>
        <v>0</v>
      </c>
      <c r="AK515" s="170">
        <f t="shared" si="261"/>
        <v>0</v>
      </c>
      <c r="AM515" s="170" t="str">
        <f t="shared" si="253"/>
        <v>1.58354264794219+0.812082494598069i</v>
      </c>
      <c r="AN515" s="170" t="str">
        <f t="shared" si="254"/>
        <v>2.19388063877069i</v>
      </c>
      <c r="AO515" s="170" t="str">
        <f t="shared" si="255"/>
        <v>0.370158011446378-0.721799818986281i</v>
      </c>
      <c r="AP515" s="170" t="str">
        <f t="shared" si="256"/>
        <v>-0.0972571079903642-0.135347082433011i</v>
      </c>
      <c r="AQ515" s="170" t="str">
        <f t="shared" si="257"/>
        <v>1.09725710799036+0.135347082433011i</v>
      </c>
      <c r="AR515" s="170" t="str">
        <f t="shared" si="258"/>
        <v>0.747787906345857-0.0922399232281762i</v>
      </c>
    </row>
    <row r="516" spans="7:44">
      <c r="G516" s="688">
        <v>70392</v>
      </c>
      <c r="H516" s="676">
        <f t="shared" si="250"/>
        <v>70.391999999999996</v>
      </c>
      <c r="I516" s="677">
        <f t="shared" si="230"/>
        <v>867.72465515244551</v>
      </c>
      <c r="J516" s="678">
        <f t="shared" si="231"/>
        <v>1.5696438872330898</v>
      </c>
      <c r="K516" s="678">
        <f t="shared" si="232"/>
        <v>1.0204864200248294</v>
      </c>
      <c r="L516" s="679">
        <f t="shared" si="233"/>
        <v>0.2007121449514408</v>
      </c>
      <c r="M516" s="678">
        <f t="shared" si="234"/>
        <v>1.0690270916252214</v>
      </c>
      <c r="N516" s="679">
        <f t="shared" si="235"/>
        <v>-0.36132287967386201</v>
      </c>
      <c r="O516" s="677">
        <f t="shared" si="236"/>
        <v>796114.76334830816</v>
      </c>
      <c r="P516" s="680">
        <f t="shared" si="237"/>
        <v>1.5707950706945879</v>
      </c>
      <c r="Q516" s="689">
        <f t="shared" si="259"/>
        <v>376.82898151542258</v>
      </c>
      <c r="R516" s="690">
        <f t="shared" si="260"/>
        <v>1.568142599977786</v>
      </c>
      <c r="S516" s="677">
        <f t="shared" si="238"/>
        <v>3.116604146492715</v>
      </c>
      <c r="T516" s="680">
        <f t="shared" si="239"/>
        <v>1.2441568034957262</v>
      </c>
      <c r="U516" s="681">
        <f t="shared" si="251"/>
        <v>0.60879744190047247</v>
      </c>
      <c r="V516" s="682">
        <f t="shared" si="252"/>
        <v>-1.2246877428431375</v>
      </c>
      <c r="W516" s="683">
        <f t="shared" si="240"/>
        <v>-32.678522909296021</v>
      </c>
      <c r="X516" s="684">
        <f t="shared" si="241"/>
        <v>-240.74263575260517</v>
      </c>
      <c r="Y516" s="687">
        <f t="shared" si="242"/>
        <v>-60.742635752605167</v>
      </c>
      <c r="AA516" s="170">
        <f t="shared" si="243"/>
        <v>70392</v>
      </c>
      <c r="AB516" s="170">
        <f t="shared" si="244"/>
        <v>4955033664</v>
      </c>
      <c r="AD516" s="686">
        <f t="shared" si="245"/>
        <v>28.735189596728254</v>
      </c>
      <c r="AE516" s="687">
        <f t="shared" si="246"/>
        <v>-71.436909351775768</v>
      </c>
      <c r="AG516" s="686">
        <f t="shared" si="247"/>
        <v>2.2994373097942771</v>
      </c>
      <c r="AH516" s="687">
        <f t="shared" si="248"/>
        <v>-28.966848467839146</v>
      </c>
      <c r="AJ516" s="170">
        <f t="shared" si="249"/>
        <v>0</v>
      </c>
      <c r="AK516" s="170">
        <f t="shared" si="261"/>
        <v>0</v>
      </c>
      <c r="AM516" s="170" t="str">
        <f t="shared" si="253"/>
        <v>1.59375442228534+0.804646311130922i</v>
      </c>
      <c r="AN516" s="170" t="str">
        <f t="shared" si="254"/>
        <v>2.20651310812194i</v>
      </c>
      <c r="AO516" s="170" t="str">
        <f t="shared" si="255"/>
        <v>0.364668720149046-0.722295469906297i</v>
      </c>
      <c r="AP516" s="170" t="str">
        <f t="shared" si="256"/>
        <v>-0.0989590703808902-0.13410771852182i</v>
      </c>
      <c r="AQ516" s="170" t="str">
        <f t="shared" si="257"/>
        <v>1.09895907038089+0.13410771852182i</v>
      </c>
      <c r="AR516" s="170" t="str">
        <f t="shared" si="258"/>
        <v>0.74686787463406-0.0911414714195858i</v>
      </c>
    </row>
    <row r="517" spans="7:44">
      <c r="G517" s="688">
        <v>70795</v>
      </c>
      <c r="H517" s="676">
        <f t="shared" si="250"/>
        <v>70.795000000000002</v>
      </c>
      <c r="I517" s="677">
        <f t="shared" si="230"/>
        <v>872.6924437209658</v>
      </c>
      <c r="J517" s="678">
        <f t="shared" si="231"/>
        <v>1.5696504474807866</v>
      </c>
      <c r="K517" s="678">
        <f t="shared" si="232"/>
        <v>1.0207192765346871</v>
      </c>
      <c r="L517" s="679">
        <f t="shared" si="233"/>
        <v>0.20183037018913452</v>
      </c>
      <c r="M517" s="678">
        <f t="shared" si="234"/>
        <v>1.0697938604900981</v>
      </c>
      <c r="N517" s="679">
        <f t="shared" si="235"/>
        <v>-0.36321472690748946</v>
      </c>
      <c r="O517" s="677">
        <f t="shared" si="236"/>
        <v>800672.58596492454</v>
      </c>
      <c r="P517" s="680">
        <f t="shared" si="237"/>
        <v>1.5707950778449293</v>
      </c>
      <c r="Q517" s="689">
        <f t="shared" si="259"/>
        <v>378.9863433341514</v>
      </c>
      <c r="R517" s="690">
        <f t="shared" si="260"/>
        <v>1.5681577062272272</v>
      </c>
      <c r="S517" s="677">
        <f t="shared" si="238"/>
        <v>3.1326146932547729</v>
      </c>
      <c r="T517" s="680">
        <f t="shared" si="239"/>
        <v>1.245887746263163</v>
      </c>
      <c r="U517" s="681">
        <f t="shared" si="251"/>
        <v>0.60641646198314514</v>
      </c>
      <c r="V517" s="682">
        <f t="shared" si="252"/>
        <v>-1.2296908908836031</v>
      </c>
      <c r="W517" s="683">
        <f t="shared" si="240"/>
        <v>-32.798442748763364</v>
      </c>
      <c r="X517" s="684">
        <f t="shared" si="241"/>
        <v>-241.17230677040504</v>
      </c>
      <c r="Y517" s="687">
        <f t="shared" si="242"/>
        <v>-61.172306770405044</v>
      </c>
      <c r="AA517" s="170">
        <f t="shared" si="243"/>
        <v>70795</v>
      </c>
      <c r="AB517" s="170">
        <f t="shared" si="244"/>
        <v>5011932025</v>
      </c>
      <c r="AD517" s="686">
        <f t="shared" si="245"/>
        <v>28.69068251994026</v>
      </c>
      <c r="AE517" s="687">
        <f t="shared" si="246"/>
        <v>-71.535219952388061</v>
      </c>
      <c r="AG517" s="686">
        <f t="shared" si="247"/>
        <v>2.2920980120095584</v>
      </c>
      <c r="AH517" s="687">
        <f t="shared" si="248"/>
        <v>-28.724890350375922</v>
      </c>
      <c r="AJ517" s="170">
        <f t="shared" si="249"/>
        <v>0</v>
      </c>
      <c r="AK517" s="170">
        <f t="shared" si="261"/>
        <v>0</v>
      </c>
      <c r="AM517" s="170" t="str">
        <f t="shared" si="253"/>
        <v>1.60387144698418+0.797081724490807i</v>
      </c>
      <c r="AN517" s="170" t="str">
        <f t="shared" si="254"/>
        <v>2.21914557747319i</v>
      </c>
      <c r="AO517" s="170" t="str">
        <f t="shared" si="255"/>
        <v>0.359184062813219-0.722742781395357i</v>
      </c>
      <c r="AP517" s="170" t="str">
        <f t="shared" si="256"/>
        <v>-0.100645241164029-0.132846954081801i</v>
      </c>
      <c r="AQ517" s="170" t="str">
        <f t="shared" si="257"/>
        <v>1.10064524116403+0.132846954081801i</v>
      </c>
      <c r="AR517" s="170" t="str">
        <f t="shared" si="258"/>
        <v>0.745961404788605-0.0900369136052793i</v>
      </c>
    </row>
    <row r="518" spans="7:44">
      <c r="G518" s="688">
        <v>71207.25</v>
      </c>
      <c r="H518" s="676">
        <f t="shared" si="250"/>
        <v>71.207250000000002</v>
      </c>
      <c r="I518" s="677">
        <f t="shared" si="230"/>
        <v>877.77425725162129</v>
      </c>
      <c r="J518" s="678">
        <f t="shared" si="231"/>
        <v>1.5696570814729338</v>
      </c>
      <c r="K518" s="678">
        <f t="shared" si="232"/>
        <v>1.0209587977707824</v>
      </c>
      <c r="L518" s="679">
        <f t="shared" si="233"/>
        <v>0.20297373264142815</v>
      </c>
      <c r="M518" s="678">
        <f t="shared" si="234"/>
        <v>1.0705821848584387</v>
      </c>
      <c r="N518" s="679">
        <f t="shared" si="235"/>
        <v>-0.36514718637202864</v>
      </c>
      <c r="O518" s="677">
        <f t="shared" si="236"/>
        <v>805335.023616786</v>
      </c>
      <c r="P518" s="680">
        <f t="shared" si="237"/>
        <v>1.5707950850756485</v>
      </c>
      <c r="Q518" s="689">
        <f t="shared" si="259"/>
        <v>381.19322285132364</v>
      </c>
      <c r="R518" s="690">
        <f t="shared" si="260"/>
        <v>1.5681729822886372</v>
      </c>
      <c r="S518" s="677">
        <f t="shared" si="238"/>
        <v>3.1490023392931024</v>
      </c>
      <c r="T518" s="680">
        <f t="shared" si="239"/>
        <v>1.2476402017395452</v>
      </c>
      <c r="U518" s="681">
        <f t="shared" si="251"/>
        <v>0.60399012435213983</v>
      </c>
      <c r="V518" s="682">
        <f t="shared" si="252"/>
        <v>-1.2347947596766458</v>
      </c>
      <c r="W518" s="683">
        <f t="shared" si="240"/>
        <v>-32.92058232534427</v>
      </c>
      <c r="X518" s="684">
        <f t="shared" si="241"/>
        <v>-241.60986240313889</v>
      </c>
      <c r="Y518" s="687">
        <f t="shared" si="242"/>
        <v>-61.609862403138891</v>
      </c>
      <c r="AA518" s="170">
        <f t="shared" si="243"/>
        <v>71207.25</v>
      </c>
      <c r="AB518" s="170">
        <f t="shared" si="244"/>
        <v>5070472452.5625</v>
      </c>
      <c r="AD518" s="686">
        <f t="shared" si="245"/>
        <v>28.645362118028785</v>
      </c>
      <c r="AE518" s="687">
        <f t="shared" si="246"/>
        <v>-71.634753415526404</v>
      </c>
      <c r="AG518" s="686">
        <f t="shared" si="247"/>
        <v>2.2849246220007537</v>
      </c>
      <c r="AH518" s="687">
        <f t="shared" si="248"/>
        <v>-28.478052237243404</v>
      </c>
      <c r="AJ518" s="170">
        <f t="shared" si="249"/>
        <v>0</v>
      </c>
      <c r="AK518" s="170">
        <f t="shared" si="261"/>
        <v>0</v>
      </c>
      <c r="AM518" s="170" t="str">
        <f t="shared" si="253"/>
        <v>1.6141209663603+0.789211909867489i</v>
      </c>
      <c r="AN518" s="170" t="str">
        <f t="shared" si="254"/>
        <v>2.23206799804404i</v>
      </c>
      <c r="AO518" s="170" t="str">
        <f t="shared" si="255"/>
        <v>0.353578793548886-0.723150445136418i</v>
      </c>
      <c r="AP518" s="170" t="str">
        <f t="shared" si="256"/>
        <v>-0.102353494393384-0.131535318311248i</v>
      </c>
      <c r="AQ518" s="170" t="str">
        <f t="shared" si="257"/>
        <v>1.10235349439338+0.131535318311248i</v>
      </c>
      <c r="AR518" s="170" t="str">
        <f t="shared" si="258"/>
        <v>0.745048122086953-0.0889008311710701i</v>
      </c>
    </row>
    <row r="519" spans="7:44">
      <c r="G519" s="688">
        <v>71619.5</v>
      </c>
      <c r="H519" s="676">
        <f t="shared" si="250"/>
        <v>71.619500000000002</v>
      </c>
      <c r="I519" s="677">
        <f t="shared" si="230"/>
        <v>882.85607082046272</v>
      </c>
      <c r="J519" s="678">
        <f t="shared" si="231"/>
        <v>1.5696636390931504</v>
      </c>
      <c r="K519" s="678">
        <f t="shared" si="232"/>
        <v>1.0211996530564327</v>
      </c>
      <c r="L519" s="679">
        <f t="shared" si="233"/>
        <v>0.20411655725108202</v>
      </c>
      <c r="M519" s="678">
        <f t="shared" si="234"/>
        <v>1.071374501316259</v>
      </c>
      <c r="N519" s="679">
        <f t="shared" si="235"/>
        <v>-0.36707679479977839</v>
      </c>
      <c r="O519" s="677">
        <f t="shared" si="236"/>
        <v>809997.46126864734</v>
      </c>
      <c r="P519" s="680">
        <f t="shared" si="237"/>
        <v>1.570795092223126</v>
      </c>
      <c r="Q519" s="689">
        <f t="shared" si="259"/>
        <v>383.40010245642623</v>
      </c>
      <c r="R519" s="690">
        <f t="shared" si="260"/>
        <v>1.5681880824897516</v>
      </c>
      <c r="S519" s="677">
        <f t="shared" si="238"/>
        <v>3.1653995560811219</v>
      </c>
      <c r="T519" s="680">
        <f t="shared" si="239"/>
        <v>1.2493745065624982</v>
      </c>
      <c r="U519" s="681">
        <f t="shared" si="251"/>
        <v>0.6015731709109412</v>
      </c>
      <c r="V519" s="682">
        <f t="shared" si="252"/>
        <v>-1.2398845701253194</v>
      </c>
      <c r="W519" s="683">
        <f t="shared" si="240"/>
        <v>-33.042187938181556</v>
      </c>
      <c r="X519" s="684">
        <f t="shared" si="241"/>
        <v>-242.0454457554664</v>
      </c>
      <c r="Y519" s="687">
        <f t="shared" si="242"/>
        <v>-62.045445755466403</v>
      </c>
      <c r="AA519" s="170">
        <f t="shared" si="243"/>
        <v>71619.5</v>
      </c>
      <c r="AB519" s="170">
        <f t="shared" si="244"/>
        <v>5129352780.25</v>
      </c>
      <c r="AD519" s="686">
        <f t="shared" si="245"/>
        <v>28.600250697792791</v>
      </c>
      <c r="AE519" s="687">
        <f t="shared" si="246"/>
        <v>-71.733256994109979</v>
      </c>
      <c r="AG519" s="686">
        <f t="shared" si="247"/>
        <v>2.2780855659146169</v>
      </c>
      <c r="AH519" s="687">
        <f t="shared" si="248"/>
        <v>-28.231882695859671</v>
      </c>
      <c r="AJ519" s="170">
        <f t="shared" si="249"/>
        <v>0</v>
      </c>
      <c r="AK519" s="170">
        <f t="shared" si="261"/>
        <v>0</v>
      </c>
      <c r="AM519" s="170" t="str">
        <f t="shared" si="253"/>
        <v>1.62426793574606+0.781210307407265i</v>
      </c>
      <c r="AN519" s="170" t="str">
        <f t="shared" si="254"/>
        <v>2.24499041861489i</v>
      </c>
      <c r="AO519" s="170" t="str">
        <f t="shared" si="255"/>
        <v>0.347979350348076-0.723507736281653i</v>
      </c>
      <c r="AP519" s="170" t="str">
        <f t="shared" si="256"/>
        <v>-0.104044655957677-0.130201717901211i</v>
      </c>
      <c r="AQ519" s="170" t="str">
        <f t="shared" si="257"/>
        <v>1.10404465595768+0.130201717901211i</v>
      </c>
      <c r="AR519" s="170" t="str">
        <f t="shared" si="258"/>
        <v>0.744148951034126-0.0877586529459559i</v>
      </c>
    </row>
    <row r="520" spans="7:44">
      <c r="G520" s="688">
        <v>72031.75</v>
      </c>
      <c r="H520" s="676">
        <f t="shared" si="250"/>
        <v>72.031750000000002</v>
      </c>
      <c r="I520" s="677">
        <f t="shared" si="230"/>
        <v>887.93788442683456</v>
      </c>
      <c r="J520" s="678">
        <f t="shared" si="231"/>
        <v>1.5696701216527034</v>
      </c>
      <c r="K520" s="678">
        <f t="shared" si="232"/>
        <v>1.021441841447934</v>
      </c>
      <c r="L520" s="679">
        <f t="shared" si="233"/>
        <v>0.20525884141445735</v>
      </c>
      <c r="M520" s="678">
        <f t="shared" si="234"/>
        <v>1.0721708010132951</v>
      </c>
      <c r="N520" s="679">
        <f t="shared" si="235"/>
        <v>-0.36900354415795261</v>
      </c>
      <c r="O520" s="677">
        <f t="shared" si="236"/>
        <v>814659.8989205088</v>
      </c>
      <c r="P520" s="680">
        <f t="shared" si="237"/>
        <v>1.5707950992887909</v>
      </c>
      <c r="Q520" s="689">
        <f t="shared" si="259"/>
        <v>385.60698214794962</v>
      </c>
      <c r="R520" s="690">
        <f t="shared" si="260"/>
        <v>1.5682030098499786</v>
      </c>
      <c r="S520" s="677">
        <f t="shared" si="238"/>
        <v>3.1818061956522574</v>
      </c>
      <c r="T520" s="680">
        <f t="shared" si="239"/>
        <v>1.2510909309933222</v>
      </c>
      <c r="U520" s="681">
        <f t="shared" si="251"/>
        <v>0.59916558577872425</v>
      </c>
      <c r="V520" s="682">
        <f t="shared" si="252"/>
        <v>-1.2449605408274182</v>
      </c>
      <c r="W520" s="683">
        <f t="shared" si="240"/>
        <v>-33.163264424735665</v>
      </c>
      <c r="X520" s="684">
        <f t="shared" si="241"/>
        <v>-242.47908442809577</v>
      </c>
      <c r="Y520" s="687">
        <f t="shared" si="242"/>
        <v>-62.479084428095774</v>
      </c>
      <c r="AA520" s="170">
        <f t="shared" si="243"/>
        <v>72031.75</v>
      </c>
      <c r="AB520" s="170">
        <f t="shared" si="244"/>
        <v>5188573008.0625</v>
      </c>
      <c r="AD520" s="686">
        <f t="shared" si="245"/>
        <v>28.555346639603624</v>
      </c>
      <c r="AE520" s="687">
        <f t="shared" si="246"/>
        <v>-71.830746000053239</v>
      </c>
      <c r="AG520" s="686">
        <f t="shared" si="247"/>
        <v>2.2715770728926215</v>
      </c>
      <c r="AH520" s="687">
        <f t="shared" si="248"/>
        <v>-27.986368965556519</v>
      </c>
      <c r="AJ520" s="170">
        <f t="shared" si="249"/>
        <v>0</v>
      </c>
      <c r="AK520" s="170">
        <f t="shared" si="261"/>
        <v>0</v>
      </c>
      <c r="AM520" s="170" t="str">
        <f t="shared" si="253"/>
        <v>1.63431066073323+0.773078253270761i</v>
      </c>
      <c r="AN520" s="170" t="str">
        <f t="shared" si="254"/>
        <v>2.25791283918574i</v>
      </c>
      <c r="AO520" s="170" t="str">
        <f t="shared" si="255"/>
        <v>0.342386224948148-0.72381476927276i</v>
      </c>
      <c r="AP520" s="170" t="str">
        <f t="shared" si="256"/>
        <v>-0.105718443455539-0.128846375545127i</v>
      </c>
      <c r="AQ520" s="170" t="str">
        <f t="shared" si="257"/>
        <v>1.10571844345554+0.128846375545127i</v>
      </c>
      <c r="AR520" s="170" t="str">
        <f t="shared" si="258"/>
        <v>0.743263850601482-0.0866105234931503i</v>
      </c>
    </row>
    <row r="521" spans="7:44">
      <c r="G521" s="688">
        <v>72444</v>
      </c>
      <c r="H521" s="676">
        <f t="shared" si="250"/>
        <v>72.444000000000003</v>
      </c>
      <c r="I521" s="677">
        <f t="shared" si="230"/>
        <v>893.01969807009607</v>
      </c>
      <c r="J521" s="678">
        <f t="shared" si="231"/>
        <v>1.5696765304330114</v>
      </c>
      <c r="K521" s="678">
        <f t="shared" si="232"/>
        <v>1.0216853619972561</v>
      </c>
      <c r="L521" s="679">
        <f t="shared" si="233"/>
        <v>0.20640058253601876</v>
      </c>
      <c r="M521" s="678">
        <f t="shared" si="234"/>
        <v>1.0729710750811285</v>
      </c>
      <c r="N521" s="679">
        <f t="shared" si="235"/>
        <v>-0.37092742652246191</v>
      </c>
      <c r="O521" s="677">
        <f t="shared" si="236"/>
        <v>819322.33657237038</v>
      </c>
      <c r="P521" s="680">
        <f t="shared" si="237"/>
        <v>1.5707951062740402</v>
      </c>
      <c r="Q521" s="689">
        <f t="shared" si="259"/>
        <v>387.8138619244184</v>
      </c>
      <c r="R521" s="690">
        <f t="shared" si="260"/>
        <v>1.5682177673199977</v>
      </c>
      <c r="S521" s="677">
        <f t="shared" si="238"/>
        <v>3.1982221129920005</v>
      </c>
      <c r="T521" s="680">
        <f t="shared" si="239"/>
        <v>1.252789740170718</v>
      </c>
      <c r="U521" s="681">
        <f t="shared" si="251"/>
        <v>0.59676735115980306</v>
      </c>
      <c r="V521" s="682">
        <f t="shared" si="252"/>
        <v>-1.2500228897415517</v>
      </c>
      <c r="W521" s="683">
        <f t="shared" si="240"/>
        <v>-33.283816577613599</v>
      </c>
      <c r="X521" s="684">
        <f t="shared" si="241"/>
        <v>-242.91080569959885</v>
      </c>
      <c r="Y521" s="687">
        <f t="shared" si="242"/>
        <v>-62.910805699598853</v>
      </c>
      <c r="AA521" s="170">
        <f t="shared" si="243"/>
        <v>72444</v>
      </c>
      <c r="AB521" s="170">
        <f t="shared" si="244"/>
        <v>5248133136</v>
      </c>
      <c r="AD521" s="686">
        <f t="shared" si="245"/>
        <v>28.510648336874659</v>
      </c>
      <c r="AE521" s="687">
        <f t="shared" si="246"/>
        <v>-71.927235455703283</v>
      </c>
      <c r="AG521" s="686">
        <f t="shared" si="247"/>
        <v>2.2653954543724093</v>
      </c>
      <c r="AH521" s="687">
        <f t="shared" si="248"/>
        <v>-27.741498326341731</v>
      </c>
      <c r="AJ521" s="170">
        <f t="shared" si="249"/>
        <v>0</v>
      </c>
      <c r="AK521" s="170">
        <f t="shared" si="261"/>
        <v>0</v>
      </c>
      <c r="AM521" s="170" t="str">
        <f t="shared" si="253"/>
        <v>1.64424746432102+0.764817105402291i</v>
      </c>
      <c r="AN521" s="170" t="str">
        <f t="shared" si="254"/>
        <v>2.27083525975659i</v>
      </c>
      <c r="AO521" s="170" t="str">
        <f t="shared" si="255"/>
        <v>0.336799907486143-0.724071663612122i</v>
      </c>
      <c r="AP521" s="170" t="str">
        <f t="shared" si="256"/>
        <v>-0.107374577386836-0.127469517567048i</v>
      </c>
      <c r="AQ521" s="170" t="str">
        <f t="shared" si="257"/>
        <v>1.10737457738684+0.127469517567048i</v>
      </c>
      <c r="AR521" s="170" t="str">
        <f t="shared" si="258"/>
        <v>0.742392779421733-0.0854565847641725i</v>
      </c>
    </row>
    <row r="522" spans="7:44">
      <c r="G522" s="688">
        <v>72865.75</v>
      </c>
      <c r="H522" s="676">
        <f t="shared" si="250"/>
        <v>72.865750000000006</v>
      </c>
      <c r="I522" s="677">
        <f t="shared" si="230"/>
        <v>898.21861843277361</v>
      </c>
      <c r="J522" s="678">
        <f t="shared" si="231"/>
        <v>1.5696830118556859</v>
      </c>
      <c r="K522" s="678">
        <f t="shared" si="232"/>
        <v>1.0219358718660194</v>
      </c>
      <c r="L522" s="679">
        <f t="shared" si="233"/>
        <v>0.20756806959235169</v>
      </c>
      <c r="M522" s="678">
        <f t="shared" si="234"/>
        <v>1.073793894419393</v>
      </c>
      <c r="N522" s="679">
        <f t="shared" si="235"/>
        <v>-0.3728926683442827</v>
      </c>
      <c r="O522" s="677">
        <f t="shared" si="236"/>
        <v>824092.21669286187</v>
      </c>
      <c r="P522" s="680">
        <f t="shared" si="237"/>
        <v>1.5707951133384657</v>
      </c>
      <c r="Q522" s="689">
        <f t="shared" si="259"/>
        <v>390.07159771906822</v>
      </c>
      <c r="R522" s="690">
        <f t="shared" si="260"/>
        <v>1.5682326920641989</v>
      </c>
      <c r="S522" s="677">
        <f t="shared" si="238"/>
        <v>3.2150257758849152</v>
      </c>
      <c r="T522" s="680">
        <f t="shared" si="239"/>
        <v>1.2545097395678964</v>
      </c>
      <c r="U522" s="681">
        <f t="shared" si="251"/>
        <v>0.59432350668037082</v>
      </c>
      <c r="V522" s="682">
        <f t="shared" si="252"/>
        <v>-1.2551880271337055</v>
      </c>
      <c r="W522" s="683">
        <f t="shared" si="240"/>
        <v>-33.406609121163918</v>
      </c>
      <c r="X522" s="684">
        <f t="shared" si="241"/>
        <v>-243.35051959872246</v>
      </c>
      <c r="Y522" s="687">
        <f t="shared" si="242"/>
        <v>-63.350519598722457</v>
      </c>
      <c r="AA522" s="170">
        <f t="shared" si="243"/>
        <v>72865.75</v>
      </c>
      <c r="AB522" s="170">
        <f t="shared" si="244"/>
        <v>5309417523.0625</v>
      </c>
      <c r="AD522" s="686">
        <f t="shared" si="245"/>
        <v>28.46513125513512</v>
      </c>
      <c r="AE522" s="687">
        <f t="shared" si="246"/>
        <v>-72.024929441947009</v>
      </c>
      <c r="AG522" s="686">
        <f t="shared" si="247"/>
        <v>2.2594058834341983</v>
      </c>
      <c r="AH522" s="687">
        <f t="shared" si="248"/>
        <v>-27.491637092194004</v>
      </c>
      <c r="AJ522" s="170">
        <f t="shared" si="249"/>
        <v>0</v>
      </c>
      <c r="AK522" s="170">
        <f t="shared" si="261"/>
        <v>0</v>
      </c>
      <c r="AM522" s="170" t="str">
        <f t="shared" si="253"/>
        <v>1.65430191324812+0.756233433749029i</v>
      </c>
      <c r="AN522" s="170" t="str">
        <f t="shared" si="254"/>
        <v>2.28405546806649i</v>
      </c>
      <c r="AO522" s="170" t="str">
        <f t="shared" si="255"/>
        <v>0.331092411862134-0.724282722717119i</v>
      </c>
      <c r="AP522" s="170" t="str">
        <f t="shared" si="256"/>
        <v>-0.109050318874687-0.126038905624838i</v>
      </c>
      <c r="AQ522" s="170" t="str">
        <f t="shared" si="257"/>
        <v>1.10905031887469+0.126038905624838i</v>
      </c>
      <c r="AR522" s="170" t="str">
        <f t="shared" si="258"/>
        <v>0.741516109524797-0.0842701880673214i</v>
      </c>
    </row>
    <row r="523" spans="7:44">
      <c r="G523" s="688">
        <v>73287.5</v>
      </c>
      <c r="H523" s="676">
        <f t="shared" si="250"/>
        <v>73.287499999999994</v>
      </c>
      <c r="I523" s="677">
        <f t="shared" si="230"/>
        <v>903.4175388327501</v>
      </c>
      <c r="J523" s="678">
        <f t="shared" si="231"/>
        <v>1.5696894186807375</v>
      </c>
      <c r="K523" s="678">
        <f t="shared" si="232"/>
        <v>1.022187773976132</v>
      </c>
      <c r="L523" s="679">
        <f t="shared" si="233"/>
        <v>0.20873498282089728</v>
      </c>
      <c r="M523" s="678">
        <f t="shared" si="234"/>
        <v>1.0746208545778511</v>
      </c>
      <c r="N523" s="679">
        <f t="shared" si="235"/>
        <v>-0.37485489308355352</v>
      </c>
      <c r="O523" s="677">
        <f t="shared" si="236"/>
        <v>828862.09681335336</v>
      </c>
      <c r="P523" s="680">
        <f t="shared" si="237"/>
        <v>1.5707951203215835</v>
      </c>
      <c r="Q523" s="689">
        <f t="shared" si="259"/>
        <v>392.32933359960577</v>
      </c>
      <c r="R523" s="690">
        <f t="shared" si="260"/>
        <v>1.5682474450336845</v>
      </c>
      <c r="S523" s="677">
        <f t="shared" si="238"/>
        <v>3.2318388511804956</v>
      </c>
      <c r="T523" s="680">
        <f t="shared" si="239"/>
        <v>1.2562118479661066</v>
      </c>
      <c r="U523" s="681">
        <f t="shared" si="251"/>
        <v>0.59188940505640353</v>
      </c>
      <c r="V523" s="682">
        <f t="shared" si="252"/>
        <v>-1.2603393671240468</v>
      </c>
      <c r="W523" s="683">
        <f t="shared" si="240"/>
        <v>-33.52886289494613</v>
      </c>
      <c r="X523" s="684">
        <f t="shared" si="241"/>
        <v>-243.78828346121199</v>
      </c>
      <c r="Y523" s="687">
        <f t="shared" si="242"/>
        <v>-63.788283461211989</v>
      </c>
      <c r="AA523" s="170">
        <f t="shared" si="243"/>
        <v>73287.5</v>
      </c>
      <c r="AB523" s="170">
        <f t="shared" si="244"/>
        <v>5371057656.25</v>
      </c>
      <c r="AD523" s="686">
        <f t="shared" si="245"/>
        <v>28.419826161290395</v>
      </c>
      <c r="AE523" s="687">
        <f t="shared" si="246"/>
        <v>-72.121608186765059</v>
      </c>
      <c r="AG523" s="686">
        <f t="shared" si="247"/>
        <v>2.2537508727496114</v>
      </c>
      <c r="AH523" s="687">
        <f t="shared" si="248"/>
        <v>-27.242422128623978</v>
      </c>
      <c r="AJ523" s="170">
        <f t="shared" si="249"/>
        <v>0</v>
      </c>
      <c r="AK523" s="170">
        <f t="shared" si="261"/>
        <v>0</v>
      </c>
      <c r="AM523" s="170" t="str">
        <f t="shared" si="253"/>
        <v>1.66424200893851+0.747517594148351i</v>
      </c>
      <c r="AN523" s="170" t="str">
        <f t="shared" si="254"/>
        <v>2.29727567637639i</v>
      </c>
      <c r="AO523" s="170" t="str">
        <f t="shared" si="255"/>
        <v>0.325393073994258-0.724441574884736i</v>
      </c>
      <c r="AP523" s="170" t="str">
        <f t="shared" si="256"/>
        <v>-0.110707001489751-0.124586265691392i</v>
      </c>
      <c r="AQ523" s="170" t="str">
        <f t="shared" si="257"/>
        <v>1.11070700148975+0.124586265691392i</v>
      </c>
      <c r="AR523" s="170" t="str">
        <f t="shared" si="258"/>
        <v>0.740654034467054-0.0830780036497009i</v>
      </c>
    </row>
    <row r="524" spans="7:44">
      <c r="G524" s="688">
        <v>73709.25</v>
      </c>
      <c r="H524" s="676">
        <f t="shared" si="250"/>
        <v>73.709249999999997</v>
      </c>
      <c r="I524" s="677">
        <f t="shared" si="230"/>
        <v>908.61645926938513</v>
      </c>
      <c r="J524" s="678">
        <f t="shared" si="231"/>
        <v>1.5696957521886634</v>
      </c>
      <c r="K524" s="678">
        <f t="shared" si="232"/>
        <v>1.0224410672985607</v>
      </c>
      <c r="L524" s="679">
        <f t="shared" si="233"/>
        <v>0.20990131946902227</v>
      </c>
      <c r="M524" s="678">
        <f t="shared" si="234"/>
        <v>1.0754519460043519</v>
      </c>
      <c r="N524" s="679">
        <f t="shared" si="235"/>
        <v>-0.37681409260722354</v>
      </c>
      <c r="O524" s="677">
        <f t="shared" si="236"/>
        <v>833631.97693384485</v>
      </c>
      <c r="P524" s="680">
        <f t="shared" si="237"/>
        <v>1.5707951272247893</v>
      </c>
      <c r="Q524" s="689">
        <f t="shared" si="259"/>
        <v>394.5870695645566</v>
      </c>
      <c r="R524" s="690">
        <f t="shared" si="260"/>
        <v>1.5682620291770137</v>
      </c>
      <c r="S524" s="677">
        <f t="shared" si="238"/>
        <v>3.2486611927402973</v>
      </c>
      <c r="T524" s="680">
        <f t="shared" si="239"/>
        <v>1.257896333357009</v>
      </c>
      <c r="U524" s="681">
        <f t="shared" si="251"/>
        <v>0.58946502137543377</v>
      </c>
      <c r="V524" s="682">
        <f t="shared" si="252"/>
        <v>-1.2654771409840797</v>
      </c>
      <c r="W524" s="683">
        <f t="shared" si="240"/>
        <v>-33.650582891182601</v>
      </c>
      <c r="X524" s="684">
        <f t="shared" si="241"/>
        <v>-244.22412548897171</v>
      </c>
      <c r="Y524" s="687">
        <f t="shared" si="242"/>
        <v>-64.224125488971708</v>
      </c>
      <c r="AA524" s="170">
        <f t="shared" si="243"/>
        <v>73709.25</v>
      </c>
      <c r="AB524" s="170">
        <f t="shared" si="244"/>
        <v>5433053535.5625</v>
      </c>
      <c r="AD524" s="686">
        <f t="shared" si="245"/>
        <v>28.374731377653085</v>
      </c>
      <c r="AE524" s="687">
        <f t="shared" si="246"/>
        <v>-72.217286876088551</v>
      </c>
      <c r="AG524" s="686">
        <f t="shared" si="247"/>
        <v>2.2484267301235055</v>
      </c>
      <c r="AH524" s="687">
        <f t="shared" si="248"/>
        <v>-26.993839949842414</v>
      </c>
      <c r="AJ524" s="170">
        <f t="shared" si="249"/>
        <v>0</v>
      </c>
      <c r="AK524" s="170">
        <f t="shared" si="261"/>
        <v>0</v>
      </c>
      <c r="AM524" s="170" t="str">
        <f t="shared" si="253"/>
        <v>1.6740660141481+0.738671109879422i</v>
      </c>
      <c r="AN524" s="170" t="str">
        <f t="shared" si="254"/>
        <v>2.31049588468628i</v>
      </c>
      <c r="AO524" s="170" t="str">
        <f t="shared" si="255"/>
        <v>0.319702413137913-0.724548364376509i</v>
      </c>
      <c r="AP524" s="170" t="str">
        <f t="shared" si="256"/>
        <v>-0.112344335691349-0.12311185164657i</v>
      </c>
      <c r="AQ524" s="170" t="str">
        <f t="shared" si="257"/>
        <v>1.11234433569135+0.12311185164657i</v>
      </c>
      <c r="AR524" s="170" t="str">
        <f t="shared" si="258"/>
        <v>0.73980650918991-0.0818801753055605i</v>
      </c>
    </row>
    <row r="525" spans="7:44">
      <c r="G525" s="688">
        <v>74131</v>
      </c>
      <c r="H525" s="676">
        <f t="shared" si="250"/>
        <v>74.131</v>
      </c>
      <c r="I525" s="677">
        <f t="shared" ref="I525:I588" si="262">SQRT(1+(G525/pole1)^2)</f>
        <v>913.81537974205298</v>
      </c>
      <c r="J525" s="678">
        <f t="shared" ref="J525:J588" si="263">ATAN(G525/pole1)</f>
        <v>1.5697020136308206</v>
      </c>
      <c r="K525" s="678">
        <f t="shared" ref="K525:K588" si="264">SQRT(1+(G525/Zero1)^2)</f>
        <v>1.0226957507996113</v>
      </c>
      <c r="L525" s="679">
        <f t="shared" ref="L525:L588" si="265">ATAN(G525/Zero1)</f>
        <v>0.21106707679308767</v>
      </c>
      <c r="M525" s="678">
        <f t="shared" ref="M525:M588" si="266">SQRT(1+(G525/z_RHP)^2)</f>
        <v>1.076287159128601</v>
      </c>
      <c r="N525" s="679">
        <f t="shared" ref="N525:N588" si="267">-ATAN(G525/z_RHP)</f>
        <v>-0.37877025890019689</v>
      </c>
      <c r="O525" s="677">
        <f t="shared" ref="O525:O588" si="268">SQRT(1+(G525/Pole2)^2)</f>
        <v>838401.85705433646</v>
      </c>
      <c r="P525" s="680">
        <f t="shared" ref="P525:P588" si="269">ATAN(G525/Pole2)</f>
        <v>1.570795134049447</v>
      </c>
      <c r="Q525" s="689">
        <f t="shared" si="259"/>
        <v>396.84480561248006</v>
      </c>
      <c r="R525" s="690">
        <f t="shared" si="260"/>
        <v>1.5682764473756456</v>
      </c>
      <c r="S525" s="677">
        <f t="shared" ref="S525:S588" si="270">SQRT(1+(G525/pole4)^2)</f>
        <v>3.2654926573575134</v>
      </c>
      <c r="T525" s="680">
        <f t="shared" ref="T525:T588" si="271">ATAN(G525/pole4)</f>
        <v>1.2595634586116031</v>
      </c>
      <c r="U525" s="681">
        <f t="shared" si="251"/>
        <v>0.58705032886822006</v>
      </c>
      <c r="V525" s="682">
        <f t="shared" si="252"/>
        <v>-1.2706015792689493</v>
      </c>
      <c r="W525" s="683">
        <f t="shared" ref="W525:W588" si="272">20*LOG10(((K525*Q525*M525*U525)/(I525*O525*S525))*Adc)</f>
        <v>-33.771774057168088</v>
      </c>
      <c r="X525" s="684">
        <f t="shared" ref="X525:X588" si="273">((L525+R525+N525+V525)-(J525+P525+T525))*radconv</f>
        <v>-244.65807355788502</v>
      </c>
      <c r="Y525" s="687">
        <f t="shared" ref="Y525:Y588" si="274">IF(X525&gt;0,X525,X525+180)</f>
        <v>-64.658073557885018</v>
      </c>
      <c r="AA525" s="170">
        <f t="shared" ref="AA525:AA588" si="275">IF(W525&lt;0,G525,1000000000)</f>
        <v>74131</v>
      </c>
      <c r="AB525" s="170">
        <f t="shared" ref="AB525:AB588" si="276">G525^2</f>
        <v>5495405161</v>
      </c>
      <c r="AD525" s="686">
        <f t="shared" ref="AD525:AD588" si="277">20*LOG10((Q525/(O525*S525))*Aea)</f>
        <v>28.329845240904664</v>
      </c>
      <c r="AE525" s="687">
        <f t="shared" ref="AE525:AE588" si="278">(R525-(P525+T525))*radconv</f>
        <v>-72.311980406298957</v>
      </c>
      <c r="AG525" s="686">
        <f t="shared" ref="AG525:AG588" si="279">20*LOG10((K525*M525/(I525*U525))*Acs*Am)</f>
        <v>2.2434298468383571</v>
      </c>
      <c r="AH525" s="687">
        <f t="shared" ref="AH525:AH588" si="280">(L525+N525-(J525+V525))*radconv</f>
        <v>-26.745877115677768</v>
      </c>
      <c r="AJ525" s="170">
        <f t="shared" ref="AJ525:AJ588" si="281">SUM((W526&lt;0)*(W525&gt;0))*G525</f>
        <v>0</v>
      </c>
      <c r="AK525" s="170">
        <f t="shared" si="261"/>
        <v>0</v>
      </c>
      <c r="AM525" s="170" t="str">
        <f t="shared" si="253"/>
        <v>1.68377221192214+0.729695527054338i</v>
      </c>
      <c r="AN525" s="170" t="str">
        <f t="shared" si="254"/>
        <v>2.32371609299618i</v>
      </c>
      <c r="AO525" s="170" t="str">
        <f t="shared" si="255"/>
        <v>0.314020946557836-0.724603240902419i</v>
      </c>
      <c r="AP525" s="170" t="str">
        <f t="shared" si="256"/>
        <v>-0.113962035320356-0.121615921175723i</v>
      </c>
      <c r="AQ525" s="170" t="str">
        <f t="shared" si="257"/>
        <v>1.11396203532036+0.121615921175723i</v>
      </c>
      <c r="AR525" s="170" t="str">
        <f t="shared" si="258"/>
        <v>0.738973488484187-0.080676844162464i</v>
      </c>
    </row>
    <row r="526" spans="7:44">
      <c r="G526" s="688">
        <v>74562.75</v>
      </c>
      <c r="H526" s="676">
        <f t="shared" ref="H526:H589" si="282">G526/1000</f>
        <v>74.562749999999994</v>
      </c>
      <c r="I526" s="677">
        <f t="shared" si="262"/>
        <v>919.13757044637259</v>
      </c>
      <c r="J526" s="678">
        <f t="shared" si="263"/>
        <v>1.5697083501639375</v>
      </c>
      <c r="K526" s="678">
        <f t="shared" si="264"/>
        <v>1.0229579119607008</v>
      </c>
      <c r="L526" s="679">
        <f t="shared" si="265"/>
        <v>0.21225987212708902</v>
      </c>
      <c r="M526" s="678">
        <f t="shared" si="266"/>
        <v>1.0771464352037219</v>
      </c>
      <c r="N526" s="679">
        <f t="shared" si="267"/>
        <v>-0.38076965711425159</v>
      </c>
      <c r="O526" s="677">
        <f t="shared" si="268"/>
        <v>843284.83451022801</v>
      </c>
      <c r="P526" s="680">
        <f t="shared" si="269"/>
        <v>1.5707951409559497</v>
      </c>
      <c r="Q526" s="689">
        <f t="shared" si="259"/>
        <v>399.15607431270331</v>
      </c>
      <c r="R526" s="690">
        <f t="shared" si="260"/>
        <v>1.5682910384868058</v>
      </c>
      <c r="S526" s="677">
        <f t="shared" si="270"/>
        <v>3.2827325118571773</v>
      </c>
      <c r="T526" s="680">
        <f t="shared" si="271"/>
        <v>1.2612523993641596</v>
      </c>
      <c r="U526" s="681">
        <f t="shared" ref="U526:U589" si="283">IMABS(IMPRODUCT(AO526, AR526))</f>
        <v>0.58458839097846982</v>
      </c>
      <c r="V526" s="682">
        <f t="shared" ref="V526:V589" si="284">IMARGUMENT(IMPRODUCT(AO526, AR526))</f>
        <v>-1.2758339480566956</v>
      </c>
      <c r="W526" s="683">
        <f t="shared" si="272"/>
        <v>-33.895296085754964</v>
      </c>
      <c r="X526" s="684">
        <f t="shared" si="273"/>
        <v>-245.10037776775349</v>
      </c>
      <c r="Y526" s="687">
        <f t="shared" si="274"/>
        <v>-65.100377767753486</v>
      </c>
      <c r="AA526" s="170">
        <f t="shared" si="275"/>
        <v>74562.75</v>
      </c>
      <c r="AB526" s="170">
        <f t="shared" si="276"/>
        <v>5559603687.5625</v>
      </c>
      <c r="AD526" s="686">
        <f t="shared" si="277"/>
        <v>28.28410922594837</v>
      </c>
      <c r="AE526" s="687">
        <f t="shared" si="278"/>
        <v>-72.407913970003264</v>
      </c>
      <c r="AG526" s="686">
        <f t="shared" si="279"/>
        <v>2.2386497928672049</v>
      </c>
      <c r="AH526" s="687">
        <f t="shared" si="280"/>
        <v>-26.492662464369083</v>
      </c>
      <c r="AJ526" s="170">
        <f t="shared" si="281"/>
        <v>0</v>
      </c>
      <c r="AK526" s="170">
        <f t="shared" si="261"/>
        <v>0</v>
      </c>
      <c r="AM526" s="170" t="str">
        <f t="shared" ref="AM526:AM589" si="285">IMSUB(1,IMEXP(COMPLEX(0,-2*Pi*G526*Tsw)))</f>
        <v>1.69358474928639+0.720375038127598i</v>
      </c>
      <c r="AN526" s="170" t="str">
        <f t="shared" ref="AN526:AN589" si="286">COMPLEX(0, 2*Pi*G526*Tsw)</f>
        <v>2.33724976208403i</v>
      </c>
      <c r="AO526" s="170" t="str">
        <f t="shared" ref="AO526:AO589" si="287">IMDIV(AM526, AN526)</f>
        <v>0.308214830016827-0.724605806688067i</v>
      </c>
      <c r="AP526" s="170" t="str">
        <f t="shared" ref="AP526:AP589" si="288">IMDIV(IMEXP(COMPLEX(0,-2*Pi*G526*Tsw)),6)</f>
        <v>-0.115597458214398-0.1200625063546i</v>
      </c>
      <c r="AQ526" s="170" t="str">
        <f t="shared" ref="AQ526:AQ589" si="289">IMSUB(1, AP526)</f>
        <v>1.1155974582144+0.1200625063546i</v>
      </c>
      <c r="AR526" s="170" t="str">
        <f t="shared" ref="AR526:AR589" si="290">IMDIV(0.833, AQ526)</f>
        <v>0.738135693465733-0.0794394256949399i</v>
      </c>
    </row>
    <row r="527" spans="7:44">
      <c r="G527" s="688">
        <v>74994.5</v>
      </c>
      <c r="H527" s="676">
        <f t="shared" si="282"/>
        <v>74.994500000000002</v>
      </c>
      <c r="I527" s="677">
        <f t="shared" si="262"/>
        <v>924.45976118717203</v>
      </c>
      <c r="J527" s="678">
        <f t="shared" si="263"/>
        <v>1.569714613737172</v>
      </c>
      <c r="K527" s="678">
        <f t="shared" si="264"/>
        <v>1.0232215277991137</v>
      </c>
      <c r="L527" s="679">
        <f t="shared" si="265"/>
        <v>0.21345205454919208</v>
      </c>
      <c r="M527" s="678">
        <f t="shared" si="266"/>
        <v>1.0780100103975263</v>
      </c>
      <c r="N527" s="679">
        <f t="shared" si="267"/>
        <v>-0.3827658599309573</v>
      </c>
      <c r="O527" s="677">
        <f t="shared" si="268"/>
        <v>848167.81196611968</v>
      </c>
      <c r="P527" s="680">
        <f t="shared" si="269"/>
        <v>1.5707951477829301</v>
      </c>
      <c r="Q527" s="689">
        <f t="shared" si="259"/>
        <v>401.46734309692857</v>
      </c>
      <c r="R527" s="690">
        <f t="shared" si="260"/>
        <v>1.5683054615943677</v>
      </c>
      <c r="S527" s="677">
        <f t="shared" si="270"/>
        <v>3.2999816325643514</v>
      </c>
      <c r="T527" s="680">
        <f t="shared" si="271"/>
        <v>1.2629236885365716</v>
      </c>
      <c r="U527" s="681">
        <f t="shared" si="283"/>
        <v>0.5821365467912607</v>
      </c>
      <c r="V527" s="682">
        <f t="shared" si="284"/>
        <v>-1.2810528280369831</v>
      </c>
      <c r="W527" s="683">
        <f t="shared" si="272"/>
        <v>-34.018274261272644</v>
      </c>
      <c r="X527" s="684">
        <f t="shared" si="273"/>
        <v>-245.54075524036818</v>
      </c>
      <c r="Y527" s="687">
        <f t="shared" si="274"/>
        <v>-65.540755240368185</v>
      </c>
      <c r="AA527" s="170">
        <f t="shared" si="275"/>
        <v>74994.5</v>
      </c>
      <c r="AB527" s="170">
        <f t="shared" si="276"/>
        <v>5624175030.25</v>
      </c>
      <c r="AD527" s="686">
        <f t="shared" si="277"/>
        <v>28.238588388043205</v>
      </c>
      <c r="AE527" s="687">
        <f t="shared" si="278"/>
        <v>-72.502845794003278</v>
      </c>
      <c r="AG527" s="686">
        <f t="shared" si="279"/>
        <v>2.2342053092026468</v>
      </c>
      <c r="AH527" s="687">
        <f t="shared" si="280"/>
        <v>-26.240068518988846</v>
      </c>
      <c r="AJ527" s="170">
        <f t="shared" si="281"/>
        <v>0</v>
      </c>
      <c r="AK527" s="170">
        <f t="shared" si="261"/>
        <v>0</v>
      </c>
      <c r="AM527" s="170" t="str">
        <f t="shared" si="285"/>
        <v>1.70327025146895+0.710922607179431i</v>
      </c>
      <c r="AN527" s="170" t="str">
        <f t="shared" si="286"/>
        <v>2.35078343117188i</v>
      </c>
      <c r="AO527" s="170" t="str">
        <f t="shared" si="287"/>
        <v>0.302419439303701-0.724554303422098i</v>
      </c>
      <c r="AP527" s="170" t="str">
        <f t="shared" si="288"/>
        <v>-0.117211708578158-0.118487101196572i</v>
      </c>
      <c r="AQ527" s="170" t="str">
        <f t="shared" si="289"/>
        <v>1.11721170857816+0.118487101196572i</v>
      </c>
      <c r="AR527" s="170" t="str">
        <f t="shared" si="290"/>
        <v>0.73731300285625-0.0781965313397582i</v>
      </c>
    </row>
    <row r="528" spans="7:44">
      <c r="G528" s="688">
        <v>75426.25</v>
      </c>
      <c r="H528" s="676">
        <f t="shared" si="282"/>
        <v>75.426249999999996</v>
      </c>
      <c r="I528" s="677">
        <f t="shared" si="262"/>
        <v>929.78195196382524</v>
      </c>
      <c r="J528" s="678">
        <f t="shared" si="263"/>
        <v>1.5697208056034184</v>
      </c>
      <c r="K528" s="678">
        <f t="shared" si="264"/>
        <v>1.0234865971908216</v>
      </c>
      <c r="L528" s="679">
        <f t="shared" si="265"/>
        <v>0.21464362114541305</v>
      </c>
      <c r="M528" s="678">
        <f t="shared" si="266"/>
        <v>1.0788778743864762</v>
      </c>
      <c r="N528" s="679">
        <f t="shared" si="267"/>
        <v>-0.38475885913357893</v>
      </c>
      <c r="O528" s="677">
        <f t="shared" si="268"/>
        <v>853050.78942201124</v>
      </c>
      <c r="P528" s="680">
        <f t="shared" si="269"/>
        <v>1.5707951545317531</v>
      </c>
      <c r="Q528" s="689">
        <f t="shared" si="259"/>
        <v>403.77861196371339</v>
      </c>
      <c r="R528" s="690">
        <f t="shared" si="260"/>
        <v>1.5683197195833327</v>
      </c>
      <c r="S528" s="677">
        <f t="shared" si="270"/>
        <v>3.3172398749306153</v>
      </c>
      <c r="T528" s="680">
        <f t="shared" si="271"/>
        <v>1.2645775922206535</v>
      </c>
      <c r="U528" s="681">
        <f t="shared" si="283"/>
        <v>0.57969476191002434</v>
      </c>
      <c r="V528" s="682">
        <f t="shared" si="284"/>
        <v>-1.2862584642143062</v>
      </c>
      <c r="W528" s="683">
        <f t="shared" si="272"/>
        <v>-34.140713751576605</v>
      </c>
      <c r="X528" s="684">
        <f t="shared" si="273"/>
        <v>-245.97923486213065</v>
      </c>
      <c r="Y528" s="687">
        <f t="shared" si="274"/>
        <v>-65.979234862130653</v>
      </c>
      <c r="AA528" s="170">
        <f t="shared" si="275"/>
        <v>75426.25</v>
      </c>
      <c r="AB528" s="170">
        <f t="shared" si="276"/>
        <v>5689119189.0625</v>
      </c>
      <c r="AD528" s="686">
        <f t="shared" si="277"/>
        <v>28.193280989471887</v>
      </c>
      <c r="AE528" s="687">
        <f t="shared" si="278"/>
        <v>-72.596790959016687</v>
      </c>
      <c r="AG528" s="686">
        <f t="shared" si="279"/>
        <v>2.2300927860303372</v>
      </c>
      <c r="AH528" s="687">
        <f t="shared" si="280"/>
        <v>-25.988081009773829</v>
      </c>
      <c r="AJ528" s="170">
        <f t="shared" si="281"/>
        <v>0</v>
      </c>
      <c r="AK528" s="170">
        <f t="shared" si="261"/>
        <v>0</v>
      </c>
      <c r="AM528" s="170" t="str">
        <f t="shared" si="285"/>
        <v>1.71282694449839+0.701339965492551i</v>
      </c>
      <c r="AN528" s="170" t="str">
        <f t="shared" si="286"/>
        <v>2.36431710025972i</v>
      </c>
      <c r="AO528" s="170" t="str">
        <f t="shared" si="287"/>
        <v>0.296635322485088-0.724448909289806i</v>
      </c>
      <c r="AP528" s="170" t="str">
        <f t="shared" si="288"/>
        <v>-0.118804490749731-0.116889994248758i</v>
      </c>
      <c r="AQ528" s="170" t="str">
        <f t="shared" si="289"/>
        <v>1.11880449074973+0.116889994248758i</v>
      </c>
      <c r="AR528" s="170" t="str">
        <f t="shared" si="290"/>
        <v>0.736505367992663-0.0769483041412815i</v>
      </c>
    </row>
    <row r="529" spans="7:44">
      <c r="G529" s="688">
        <v>75858</v>
      </c>
      <c r="H529" s="676">
        <f t="shared" si="282"/>
        <v>75.858000000000004</v>
      </c>
      <c r="I529" s="677">
        <f t="shared" si="262"/>
        <v>935.10414277571954</v>
      </c>
      <c r="J529" s="678">
        <f t="shared" si="263"/>
        <v>1.5697269269870482</v>
      </c>
      <c r="K529" s="678">
        <f t="shared" si="264"/>
        <v>1.0237531190067657</v>
      </c>
      <c r="L529" s="679">
        <f t="shared" si="265"/>
        <v>0.21583456901177261</v>
      </c>
      <c r="M529" s="678">
        <f t="shared" si="266"/>
        <v>1.079750016829037</v>
      </c>
      <c r="N529" s="679">
        <f t="shared" si="267"/>
        <v>-0.38674864663353148</v>
      </c>
      <c r="O529" s="677">
        <f t="shared" si="268"/>
        <v>857933.7668779029</v>
      </c>
      <c r="P529" s="680">
        <f t="shared" si="269"/>
        <v>1.5707951612037536</v>
      </c>
      <c r="Q529" s="689">
        <f t="shared" si="259"/>
        <v>406.08988091164809</v>
      </c>
      <c r="R529" s="690">
        <f t="shared" si="260"/>
        <v>1.5683338152730231</v>
      </c>
      <c r="S529" s="677">
        <f t="shared" si="270"/>
        <v>3.3345070973244217</v>
      </c>
      <c r="T529" s="680">
        <f t="shared" si="271"/>
        <v>1.2662143713813936</v>
      </c>
      <c r="U529" s="681">
        <f t="shared" si="283"/>
        <v>0.57726300014304144</v>
      </c>
      <c r="V529" s="682">
        <f t="shared" si="284"/>
        <v>-1.2914511008028942</v>
      </c>
      <c r="W529" s="683">
        <f t="shared" si="272"/>
        <v>-34.262619679535014</v>
      </c>
      <c r="X529" s="684">
        <f t="shared" si="273"/>
        <v>-246.41584518931455</v>
      </c>
      <c r="Y529" s="687">
        <f t="shared" si="274"/>
        <v>-66.415845189314552</v>
      </c>
      <c r="AA529" s="170">
        <f t="shared" si="275"/>
        <v>75858</v>
      </c>
      <c r="AB529" s="170">
        <f t="shared" si="276"/>
        <v>5754436164</v>
      </c>
      <c r="AD529" s="686">
        <f t="shared" si="277"/>
        <v>28.148185308235259</v>
      </c>
      <c r="AE529" s="687">
        <f t="shared" si="278"/>
        <v>-72.689764255777177</v>
      </c>
      <c r="AG529" s="686">
        <f t="shared" si="279"/>
        <v>2.2263086985385399</v>
      </c>
      <c r="AH529" s="687">
        <f t="shared" si="280"/>
        <v>-25.736685717374691</v>
      </c>
      <c r="AJ529" s="170">
        <f t="shared" si="281"/>
        <v>0</v>
      </c>
      <c r="AK529" s="170">
        <f t="shared" si="261"/>
        <v>0</v>
      </c>
      <c r="AM529" s="170" t="str">
        <f t="shared" si="285"/>
        <v>1.72225307799563+0.691628868198713i</v>
      </c>
      <c r="AN529" s="170" t="str">
        <f t="shared" si="286"/>
        <v>2.37785076934757i</v>
      </c>
      <c r="AO529" s="170" t="str">
        <f t="shared" si="287"/>
        <v>0.290863025179869-0.72428980834158i</v>
      </c>
      <c r="AP529" s="170" t="str">
        <f t="shared" si="288"/>
        <v>-0.120375512999272-0.115271478033119i</v>
      </c>
      <c r="AQ529" s="170" t="str">
        <f t="shared" si="289"/>
        <v>1.12037551299927+0.115271478033119i</v>
      </c>
      <c r="AR529" s="170" t="str">
        <f t="shared" si="290"/>
        <v>0.735712740262663-0.0756948844328487i</v>
      </c>
    </row>
    <row r="530" spans="7:44">
      <c r="G530" s="688">
        <v>76299.75</v>
      </c>
      <c r="H530" s="676">
        <f t="shared" si="282"/>
        <v>76.299750000000003</v>
      </c>
      <c r="I530" s="677">
        <f t="shared" si="262"/>
        <v>940.54960382177194</v>
      </c>
      <c r="J530" s="678">
        <f t="shared" si="263"/>
        <v>1.5697331184491181</v>
      </c>
      <c r="K530" s="678">
        <f t="shared" si="264"/>
        <v>1.0240273159731157</v>
      </c>
      <c r="L530" s="679">
        <f t="shared" si="265"/>
        <v>0.21705245766859393</v>
      </c>
      <c r="M530" s="678">
        <f t="shared" si="266"/>
        <v>1.0806467768840247</v>
      </c>
      <c r="N530" s="679">
        <f t="shared" si="267"/>
        <v>-0.38878118825125035</v>
      </c>
      <c r="O530" s="677">
        <f t="shared" si="268"/>
        <v>862929.84166919452</v>
      </c>
      <c r="P530" s="680">
        <f t="shared" si="269"/>
        <v>1.5707951679521359</v>
      </c>
      <c r="Q530" s="689">
        <f t="shared" si="259"/>
        <v>408.45468251765374</v>
      </c>
      <c r="R530" s="690">
        <f t="shared" si="260"/>
        <v>1.568348072332912</v>
      </c>
      <c r="S530" s="677">
        <f t="shared" si="270"/>
        <v>3.3521834050707797</v>
      </c>
      <c r="T530" s="680">
        <f t="shared" si="271"/>
        <v>1.2678716037576789</v>
      </c>
      <c r="U530" s="681">
        <f t="shared" si="283"/>
        <v>0.57478524945856613</v>
      </c>
      <c r="V530" s="682">
        <f t="shared" si="284"/>
        <v>-1.2967508060893895</v>
      </c>
      <c r="W530" s="683">
        <f t="shared" si="272"/>
        <v>-34.386802192370723</v>
      </c>
      <c r="X530" s="684">
        <f t="shared" si="273"/>
        <v>-246.86066279460258</v>
      </c>
      <c r="Y530" s="687">
        <f t="shared" si="274"/>
        <v>-66.860662794602575</v>
      </c>
      <c r="AA530" s="170">
        <f t="shared" si="275"/>
        <v>76299.75</v>
      </c>
      <c r="AB530" s="170">
        <f t="shared" si="276"/>
        <v>5821651850.0625</v>
      </c>
      <c r="AD530" s="686">
        <f t="shared" si="277"/>
        <v>28.102262491120143</v>
      </c>
      <c r="AE530" s="687">
        <f t="shared" si="278"/>
        <v>-72.783900194012276</v>
      </c>
      <c r="AG530" s="686">
        <f t="shared" si="279"/>
        <v>2.2227733112389019</v>
      </c>
      <c r="AH530" s="687">
        <f t="shared" si="280"/>
        <v>-25.480065892574995</v>
      </c>
      <c r="AJ530" s="170">
        <f t="shared" si="281"/>
        <v>0</v>
      </c>
      <c r="AK530" s="170">
        <f t="shared" si="261"/>
        <v>0</v>
      </c>
      <c r="AM530" s="170" t="str">
        <f t="shared" si="285"/>
        <v>1.73176060431771+0.681561749197081i</v>
      </c>
      <c r="AN530" s="170" t="str">
        <f t="shared" si="286"/>
        <v>2.39169789921336i</v>
      </c>
      <c r="AO530" s="170" t="str">
        <f t="shared" si="287"/>
        <v>0.284969832277417-0.724071633330988i</v>
      </c>
      <c r="AP530" s="170" t="str">
        <f t="shared" si="288"/>
        <v>-0.121960100719618-0.11359362486618i</v>
      </c>
      <c r="AQ530" s="170" t="str">
        <f t="shared" si="289"/>
        <v>1.12196010071962+0.11359362486618i</v>
      </c>
      <c r="AR530" s="170" t="str">
        <f t="shared" si="290"/>
        <v>0.734917235989374-0.0744072028578573i</v>
      </c>
    </row>
    <row r="531" spans="7:44">
      <c r="G531" s="688">
        <v>76741.5</v>
      </c>
      <c r="H531" s="676">
        <f t="shared" si="282"/>
        <v>76.741500000000002</v>
      </c>
      <c r="I531" s="677">
        <f t="shared" si="262"/>
        <v>945.99506490346437</v>
      </c>
      <c r="J531" s="678">
        <f t="shared" si="263"/>
        <v>1.5697392386309734</v>
      </c>
      <c r="K531" s="678">
        <f t="shared" si="264"/>
        <v>1.0243030310163275</v>
      </c>
      <c r="L531" s="679">
        <f t="shared" si="265"/>
        <v>0.21826969248381825</v>
      </c>
      <c r="M531" s="678">
        <f t="shared" si="266"/>
        <v>1.0815479939204453</v>
      </c>
      <c r="N531" s="679">
        <f t="shared" si="267"/>
        <v>-0.39081035094514288</v>
      </c>
      <c r="O531" s="677">
        <f t="shared" si="268"/>
        <v>867925.91646048625</v>
      </c>
      <c r="P531" s="680">
        <f t="shared" si="269"/>
        <v>1.5707951746228264</v>
      </c>
      <c r="Q531" s="689">
        <f t="shared" si="259"/>
        <v>410.81948420572752</v>
      </c>
      <c r="R531" s="690">
        <f t="shared" si="260"/>
        <v>1.5683621652568727</v>
      </c>
      <c r="S531" s="677">
        <f t="shared" si="270"/>
        <v>3.369868822719627</v>
      </c>
      <c r="T531" s="680">
        <f t="shared" si="271"/>
        <v>1.2695114459469579</v>
      </c>
      <c r="U531" s="681">
        <f t="shared" si="283"/>
        <v>0.5723179094065477</v>
      </c>
      <c r="V531" s="682">
        <f t="shared" si="284"/>
        <v>-1.3020374173424454</v>
      </c>
      <c r="W531" s="683">
        <f t="shared" si="272"/>
        <v>-34.510436850705631</v>
      </c>
      <c r="X531" s="684">
        <f t="shared" si="273"/>
        <v>-247.30358296279366</v>
      </c>
      <c r="Y531" s="687">
        <f t="shared" si="274"/>
        <v>-67.303582962793655</v>
      </c>
      <c r="AA531" s="170">
        <f t="shared" si="275"/>
        <v>76741.5</v>
      </c>
      <c r="AB531" s="170">
        <f t="shared" si="276"/>
        <v>5889257822.25</v>
      </c>
      <c r="AD531" s="686">
        <f t="shared" si="277"/>
        <v>28.056557715406193</v>
      </c>
      <c r="AE531" s="687">
        <f t="shared" si="278"/>
        <v>-72.877049147770322</v>
      </c>
      <c r="AG531" s="686">
        <f t="shared" si="279"/>
        <v>2.2195745503175228</v>
      </c>
      <c r="AH531" s="687">
        <f t="shared" si="280"/>
        <v>-25.224036080862827</v>
      </c>
      <c r="AJ531" s="170">
        <f t="shared" si="281"/>
        <v>0</v>
      </c>
      <c r="AK531" s="170">
        <f t="shared" si="261"/>
        <v>0</v>
      </c>
      <c r="AM531" s="170" t="str">
        <f t="shared" si="285"/>
        <v>1.74112782290413+0.671363947585353i</v>
      </c>
      <c r="AN531" s="170" t="str">
        <f t="shared" si="286"/>
        <v>2.40554502907915i</v>
      </c>
      <c r="AO531" s="170" t="str">
        <f t="shared" si="287"/>
        <v>0.279090160221342-0.723797643301917i</v>
      </c>
      <c r="AP531" s="170" t="str">
        <f t="shared" si="288"/>
        <v>-0.123521303817355-0.111893991264226i</v>
      </c>
      <c r="AQ531" s="170" t="str">
        <f t="shared" si="289"/>
        <v>1.12352130381736+0.111893991264226i</v>
      </c>
      <c r="AR531" s="170" t="str">
        <f t="shared" si="290"/>
        <v>0.734137339494324-0.073114374220601i</v>
      </c>
    </row>
    <row r="532" spans="7:44">
      <c r="G532" s="688">
        <v>77183.25</v>
      </c>
      <c r="H532" s="676">
        <f t="shared" si="282"/>
        <v>77.183250000000001</v>
      </c>
      <c r="I532" s="677">
        <f t="shared" si="262"/>
        <v>951.44052602018496</v>
      </c>
      <c r="J532" s="678">
        <f t="shared" si="263"/>
        <v>1.569745288756506</v>
      </c>
      <c r="K532" s="678">
        <f t="shared" si="264"/>
        <v>1.0245802629108558</v>
      </c>
      <c r="L532" s="679">
        <f t="shared" si="265"/>
        <v>0.21948627037969712</v>
      </c>
      <c r="M532" s="678">
        <f t="shared" si="266"/>
        <v>1.0824536568060692</v>
      </c>
      <c r="N532" s="679">
        <f t="shared" si="267"/>
        <v>-0.39283612646552762</v>
      </c>
      <c r="O532" s="677">
        <f t="shared" si="268"/>
        <v>872921.99125177786</v>
      </c>
      <c r="P532" s="680">
        <f t="shared" si="269"/>
        <v>1.5707951812171588</v>
      </c>
      <c r="Q532" s="689">
        <f t="shared" si="259"/>
        <v>413.18428597446041</v>
      </c>
      <c r="R532" s="690">
        <f t="shared" si="260"/>
        <v>1.5683760968631255</v>
      </c>
      <c r="S532" s="677">
        <f t="shared" si="270"/>
        <v>3.3875632075910338</v>
      </c>
      <c r="T532" s="680">
        <f t="shared" si="271"/>
        <v>1.271134161564581</v>
      </c>
      <c r="U532" s="681">
        <f t="shared" si="283"/>
        <v>0.56986093575843122</v>
      </c>
      <c r="V532" s="682">
        <f t="shared" si="284"/>
        <v>-1.3073111935842825</v>
      </c>
      <c r="W532" s="683">
        <f t="shared" si="272"/>
        <v>-34.633529002236976</v>
      </c>
      <c r="X532" s="684">
        <f t="shared" si="273"/>
        <v>-247.74463525121311</v>
      </c>
      <c r="Y532" s="687">
        <f t="shared" si="274"/>
        <v>-67.744635251213111</v>
      </c>
      <c r="AA532" s="170">
        <f t="shared" si="275"/>
        <v>77183.25</v>
      </c>
      <c r="AB532" s="170">
        <f t="shared" si="276"/>
        <v>5957254080.5625</v>
      </c>
      <c r="AD532" s="686">
        <f t="shared" si="277"/>
        <v>28.011069187470579</v>
      </c>
      <c r="AE532" s="687">
        <f t="shared" si="278"/>
        <v>-72.96922605970272</v>
      </c>
      <c r="AG532" s="686">
        <f t="shared" si="279"/>
        <v>2.2167089065366552</v>
      </c>
      <c r="AH532" s="687">
        <f t="shared" si="280"/>
        <v>-24.968581215152039</v>
      </c>
      <c r="AJ532" s="170">
        <f t="shared" si="281"/>
        <v>0</v>
      </c>
      <c r="AK532" s="170">
        <f t="shared" si="261"/>
        <v>0</v>
      </c>
      <c r="AM532" s="170" t="str">
        <f t="shared" si="285"/>
        <v>1.75035293768495+0.661037418689416i</v>
      </c>
      <c r="AN532" s="170" t="str">
        <f t="shared" si="286"/>
        <v>2.41939215894494i</v>
      </c>
      <c r="AO532" s="170" t="str">
        <f t="shared" si="287"/>
        <v>0.273224585045231-0.723468054243944i</v>
      </c>
      <c r="AP532" s="170" t="str">
        <f t="shared" si="288"/>
        <v>-0.125058822947492-0.110172903114903i</v>
      </c>
      <c r="AQ532" s="170" t="str">
        <f t="shared" si="289"/>
        <v>1.12505882294749+0.110172903114903i</v>
      </c>
      <c r="AR532" s="170" t="str">
        <f t="shared" si="290"/>
        <v>0.733372999194064-0.0718165403792976i</v>
      </c>
    </row>
    <row r="533" spans="7:44">
      <c r="G533" s="688">
        <v>77625</v>
      </c>
      <c r="H533" s="676">
        <f t="shared" si="282"/>
        <v>77.625</v>
      </c>
      <c r="I533" s="677">
        <f t="shared" si="262"/>
        <v>956.88598717133573</v>
      </c>
      <c r="J533" s="678">
        <f t="shared" si="263"/>
        <v>1.5697512700217484</v>
      </c>
      <c r="K533" s="678">
        <f t="shared" si="264"/>
        <v>1.024859010425742</v>
      </c>
      <c r="L533" s="679">
        <f t="shared" si="265"/>
        <v>0.22070218828958119</v>
      </c>
      <c r="M533" s="678">
        <f t="shared" si="266"/>
        <v>1.0833637543910659</v>
      </c>
      <c r="N533" s="679">
        <f t="shared" si="267"/>
        <v>-0.39485850670144179</v>
      </c>
      <c r="O533" s="677">
        <f t="shared" si="268"/>
        <v>877918.06604306959</v>
      </c>
      <c r="P533" s="680">
        <f t="shared" si="269"/>
        <v>1.570795187736437</v>
      </c>
      <c r="Q533" s="689">
        <f t="shared" si="259"/>
        <v>415.54908782247543</v>
      </c>
      <c r="R533" s="690">
        <f t="shared" si="260"/>
        <v>1.5683898699057401</v>
      </c>
      <c r="S533" s="677">
        <f t="shared" si="270"/>
        <v>3.4052664198990357</v>
      </c>
      <c r="T533" s="680">
        <f t="shared" si="271"/>
        <v>1.2727400091089551</v>
      </c>
      <c r="U533" s="681">
        <f t="shared" si="283"/>
        <v>0.56741428256369819</v>
      </c>
      <c r="V533" s="682">
        <f t="shared" si="284"/>
        <v>-1.3125723929817912</v>
      </c>
      <c r="W533" s="683">
        <f t="shared" si="272"/>
        <v>-34.756083949878096</v>
      </c>
      <c r="X533" s="684">
        <f t="shared" si="273"/>
        <v>-248.18384888438968</v>
      </c>
      <c r="Y533" s="687">
        <f t="shared" si="274"/>
        <v>-68.183848884389676</v>
      </c>
      <c r="AA533" s="170">
        <f t="shared" si="275"/>
        <v>77625</v>
      </c>
      <c r="AB533" s="170">
        <f t="shared" si="276"/>
        <v>6025640625</v>
      </c>
      <c r="AD533" s="686">
        <f t="shared" si="277"/>
        <v>27.96579513070791</v>
      </c>
      <c r="AE533" s="687">
        <f t="shared" si="278"/>
        <v>-73.060445582955296</v>
      </c>
      <c r="AG533" s="686">
        <f t="shared" si="279"/>
        <v>2.2141729571643101</v>
      </c>
      <c r="AH533" s="687">
        <f t="shared" si="280"/>
        <v>-24.713686283079127</v>
      </c>
      <c r="AJ533" s="170">
        <f t="shared" si="281"/>
        <v>0</v>
      </c>
      <c r="AK533" s="170">
        <f t="shared" si="261"/>
        <v>0</v>
      </c>
      <c r="AM533" s="170" t="str">
        <f t="shared" si="285"/>
        <v>1.75943417983721+0.650584142517312i</v>
      </c>
      <c r="AN533" s="170" t="str">
        <f t="shared" si="286"/>
        <v>2.43323928881074i</v>
      </c>
      <c r="AO533" s="170" t="str">
        <f t="shared" si="287"/>
        <v>0.267373679813993-0.723083088427831i</v>
      </c>
      <c r="AP533" s="170" t="str">
        <f t="shared" si="288"/>
        <v>-0.126572363306202-0.108430690419552i</v>
      </c>
      <c r="AQ533" s="170" t="str">
        <f t="shared" si="289"/>
        <v>1.1265723633062+0.108430690419552i</v>
      </c>
      <c r="AR533" s="170" t="str">
        <f t="shared" si="290"/>
        <v>0.732624163770809-0.0705138404625718i</v>
      </c>
    </row>
    <row r="534" spans="7:44">
      <c r="G534" s="688">
        <v>78077</v>
      </c>
      <c r="H534" s="676">
        <f t="shared" si="282"/>
        <v>78.076999999999998</v>
      </c>
      <c r="I534" s="677">
        <f t="shared" si="262"/>
        <v>962.45780031404979</v>
      </c>
      <c r="J534" s="678">
        <f t="shared" si="263"/>
        <v>1.5697573200149668</v>
      </c>
      <c r="K534" s="678">
        <f t="shared" si="264"/>
        <v>1.0251457932558916</v>
      </c>
      <c r="L534" s="679">
        <f t="shared" si="265"/>
        <v>0.22194563302708928</v>
      </c>
      <c r="M534" s="678">
        <f t="shared" si="266"/>
        <v>1.0842995477180468</v>
      </c>
      <c r="N534" s="679">
        <f t="shared" si="267"/>
        <v>-0.39692428988235379</v>
      </c>
      <c r="O534" s="677">
        <f t="shared" si="268"/>
        <v>883030.06560314633</v>
      </c>
      <c r="P534" s="680">
        <f t="shared" si="269"/>
        <v>1.5707951943306251</v>
      </c>
      <c r="Q534" s="689">
        <f t="shared" si="259"/>
        <v>417.96876064858503</v>
      </c>
      <c r="R534" s="690">
        <f t="shared" si="260"/>
        <v>1.5684038012088248</v>
      </c>
      <c r="S534" s="677">
        <f t="shared" si="270"/>
        <v>3.4233893970407383</v>
      </c>
      <c r="T534" s="680">
        <f t="shared" si="271"/>
        <v>1.2743659220935779</v>
      </c>
      <c r="U534" s="681">
        <f t="shared" si="283"/>
        <v>0.56492149201758479</v>
      </c>
      <c r="V534" s="682">
        <f t="shared" si="284"/>
        <v>-1.3179429193115997</v>
      </c>
      <c r="W534" s="683">
        <f t="shared" si="272"/>
        <v>-34.880932000481394</v>
      </c>
      <c r="X534" s="684">
        <f t="shared" si="273"/>
        <v>-248.6313806634025</v>
      </c>
      <c r="Y534" s="687">
        <f t="shared" si="274"/>
        <v>-68.631380663402496</v>
      </c>
      <c r="AA534" s="170">
        <f t="shared" si="275"/>
        <v>78077</v>
      </c>
      <c r="AB534" s="170">
        <f t="shared" si="276"/>
        <v>6096017929</v>
      </c>
      <c r="AD534" s="686">
        <f t="shared" si="277"/>
        <v>27.91969073050694</v>
      </c>
      <c r="AE534" s="687">
        <f t="shared" si="278"/>
        <v>-73.152805707884497</v>
      </c>
      <c r="AG534" s="686">
        <f t="shared" si="279"/>
        <v>2.2119159427542594</v>
      </c>
      <c r="AH534" s="687">
        <f t="shared" si="280"/>
        <v>-24.45344095153574</v>
      </c>
      <c r="AJ534" s="170">
        <f t="shared" si="281"/>
        <v>0</v>
      </c>
      <c r="AK534" s="170">
        <f t="shared" si="261"/>
        <v>0</v>
      </c>
      <c r="AM534" s="170" t="str">
        <f t="shared" si="285"/>
        <v>1.76857540069811+0.639759215206574i</v>
      </c>
      <c r="AN534" s="170" t="str">
        <f t="shared" si="286"/>
        <v>2.44740771597393i</v>
      </c>
      <c r="AO534" s="170" t="str">
        <f t="shared" si="287"/>
        <v>0.261402794079198-0.722632109539753i</v>
      </c>
      <c r="AP534" s="170" t="str">
        <f t="shared" si="288"/>
        <v>-0.128095900116352-0.106626535867762i</v>
      </c>
      <c r="AQ534" s="170" t="str">
        <f t="shared" si="289"/>
        <v>1.12809590011635+0.106626535867762i</v>
      </c>
      <c r="AR534" s="170" t="str">
        <f t="shared" si="290"/>
        <v>0.731873948487938-0.0691760193535683i</v>
      </c>
    </row>
    <row r="535" spans="7:44">
      <c r="G535" s="688">
        <v>78529</v>
      </c>
      <c r="H535" s="676">
        <f t="shared" si="282"/>
        <v>78.528999999999996</v>
      </c>
      <c r="I535" s="677">
        <f t="shared" si="262"/>
        <v>968.02961349158636</v>
      </c>
      <c r="J535" s="678">
        <f t="shared" si="263"/>
        <v>1.5697633003627296</v>
      </c>
      <c r="K535" s="678">
        <f t="shared" si="264"/>
        <v>1.0254341602321444</v>
      </c>
      <c r="L535" s="679">
        <f t="shared" si="265"/>
        <v>0.22318838033574617</v>
      </c>
      <c r="M535" s="678">
        <f t="shared" si="266"/>
        <v>1.0852399602586309</v>
      </c>
      <c r="N535" s="679">
        <f t="shared" si="267"/>
        <v>-0.39898650165033767</v>
      </c>
      <c r="O535" s="677">
        <f t="shared" si="268"/>
        <v>888142.06516322307</v>
      </c>
      <c r="P535" s="680">
        <f t="shared" si="269"/>
        <v>1.570795200848903</v>
      </c>
      <c r="Q535" s="689">
        <f t="shared" ref="Q535:Q598" si="291">SQRT(1+(G535/Zero2)^2)</f>
        <v>420.38843355488075</v>
      </c>
      <c r="R535" s="690">
        <f t="shared" ref="R535:R598" si="292">ATAN(G535/Zero2)</f>
        <v>1.5684175721402469</v>
      </c>
      <c r="S535" s="677">
        <f t="shared" si="270"/>
        <v>3.441521328902212</v>
      </c>
      <c r="T535" s="680">
        <f t="shared" si="271"/>
        <v>1.2759747067873091</v>
      </c>
      <c r="U535" s="681">
        <f t="shared" si="283"/>
        <v>0.56243940381052693</v>
      </c>
      <c r="V535" s="682">
        <f t="shared" si="284"/>
        <v>-1.3233008225044378</v>
      </c>
      <c r="W535" s="683">
        <f t="shared" si="272"/>
        <v>-35.005228721938558</v>
      </c>
      <c r="X535" s="684">
        <f t="shared" si="273"/>
        <v>-249.07704833788375</v>
      </c>
      <c r="Y535" s="687">
        <f t="shared" si="274"/>
        <v>-69.077048337883753</v>
      </c>
      <c r="AA535" s="170">
        <f t="shared" si="275"/>
        <v>78529</v>
      </c>
      <c r="AB535" s="170">
        <f t="shared" si="276"/>
        <v>6166803841</v>
      </c>
      <c r="AD535" s="686">
        <f t="shared" si="277"/>
        <v>27.873807160841658</v>
      </c>
      <c r="AE535" s="687">
        <f t="shared" si="278"/>
        <v>-73.244193638304353</v>
      </c>
      <c r="AG535" s="686">
        <f t="shared" si="279"/>
        <v>2.2099971208741751</v>
      </c>
      <c r="AH535" s="687">
        <f t="shared" si="280"/>
        <v>-24.193750214916939</v>
      </c>
      <c r="AJ535" s="170">
        <f t="shared" si="281"/>
        <v>0</v>
      </c>
      <c r="AK535" s="170">
        <f t="shared" ref="AK535:AK598" si="293">IF(AJ535&gt;0,Y535,0)</f>
        <v>0</v>
      </c>
      <c r="AM535" s="170" t="str">
        <f t="shared" si="285"/>
        <v>1.77756233698748+0.628805862010346i</v>
      </c>
      <c r="AN535" s="170" t="str">
        <f t="shared" si="286"/>
        <v>2.46157614313711i</v>
      </c>
      <c r="AO535" s="170" t="str">
        <f t="shared" si="287"/>
        <v>0.255448470998332-0.722123645024484i</v>
      </c>
      <c r="AP535" s="170" t="str">
        <f t="shared" si="288"/>
        <v>-0.129593722831246-0.104800977001724i</v>
      </c>
      <c r="AQ535" s="170" t="str">
        <f t="shared" si="289"/>
        <v>1.12959372283125+0.104800977001724i</v>
      </c>
      <c r="AR535" s="170" t="str">
        <f t="shared" si="290"/>
        <v>0.731139858311871-0.0678333899412373i</v>
      </c>
    </row>
    <row r="536" spans="7:44">
      <c r="G536" s="688">
        <v>78981</v>
      </c>
      <c r="H536" s="676">
        <f t="shared" si="282"/>
        <v>78.980999999999995</v>
      </c>
      <c r="I536" s="677">
        <f t="shared" si="262"/>
        <v>973.6014267033479</v>
      </c>
      <c r="J536" s="678">
        <f t="shared" si="263"/>
        <v>1.5697692122607556</v>
      </c>
      <c r="K536" s="678">
        <f t="shared" si="264"/>
        <v>1.0257241100184242</v>
      </c>
      <c r="L536" s="679">
        <f t="shared" si="265"/>
        <v>0.22443042696674245</v>
      </c>
      <c r="M536" s="678">
        <f t="shared" si="266"/>
        <v>1.0861849800149548</v>
      </c>
      <c r="N536" s="679">
        <f t="shared" si="267"/>
        <v>-0.40104513376454309</v>
      </c>
      <c r="O536" s="677">
        <f t="shared" si="268"/>
        <v>893254.06472329982</v>
      </c>
      <c r="P536" s="680">
        <f t="shared" si="269"/>
        <v>1.5707952072925742</v>
      </c>
      <c r="Q536" s="689">
        <f t="shared" si="291"/>
        <v>422.80810653998583</v>
      </c>
      <c r="R536" s="690">
        <f t="shared" si="292"/>
        <v>1.5684311854533561</v>
      </c>
      <c r="S536" s="677">
        <f t="shared" si="270"/>
        <v>3.4596620746896209</v>
      </c>
      <c r="T536" s="680">
        <f t="shared" si="271"/>
        <v>1.2775666242330554</v>
      </c>
      <c r="U536" s="681">
        <f t="shared" si="283"/>
        <v>0.55996796349222733</v>
      </c>
      <c r="V536" s="682">
        <f t="shared" si="284"/>
        <v>-1.3286463763726903</v>
      </c>
      <c r="W536" s="683">
        <f t="shared" si="272"/>
        <v>-35.128979656407317</v>
      </c>
      <c r="X536" s="684">
        <f t="shared" si="273"/>
        <v>-249.52088217759024</v>
      </c>
      <c r="Y536" s="687">
        <f t="shared" si="274"/>
        <v>-69.520882177590238</v>
      </c>
      <c r="AA536" s="170">
        <f t="shared" si="275"/>
        <v>78981</v>
      </c>
      <c r="AB536" s="170">
        <f t="shared" si="276"/>
        <v>6237998361</v>
      </c>
      <c r="AD536" s="686">
        <f t="shared" si="277"/>
        <v>27.828142573378706</v>
      </c>
      <c r="AE536" s="687">
        <f t="shared" si="278"/>
        <v>-73.334624173190988</v>
      </c>
      <c r="AG536" s="686">
        <f t="shared" si="279"/>
        <v>2.2084130961813333</v>
      </c>
      <c r="AH536" s="687">
        <f t="shared" si="280"/>
        <v>-23.934598167415455</v>
      </c>
      <c r="AJ536" s="170">
        <f t="shared" si="281"/>
        <v>0</v>
      </c>
      <c r="AK536" s="170">
        <f t="shared" si="293"/>
        <v>0</v>
      </c>
      <c r="AM536" s="170" t="str">
        <f t="shared" si="285"/>
        <v>1.786393184659+0.617726281715358i</v>
      </c>
      <c r="AN536" s="170" t="str">
        <f t="shared" si="286"/>
        <v>2.4757445703003i</v>
      </c>
      <c r="AO536" s="170" t="str">
        <f t="shared" si="287"/>
        <v>0.249511314343882-0.72155795314632i</v>
      </c>
      <c r="AP536" s="170" t="str">
        <f t="shared" si="288"/>
        <v>-0.131065530776499-0.102954380285893i</v>
      </c>
      <c r="AQ536" s="170" t="str">
        <f t="shared" si="289"/>
        <v>1.1310655307765+0.102954380285893i</v>
      </c>
      <c r="AR536" s="170" t="str">
        <f t="shared" si="290"/>
        <v>0.730421839442265-0.0664860927867141i</v>
      </c>
    </row>
    <row r="537" spans="7:44">
      <c r="G537" s="688">
        <v>79433</v>
      </c>
      <c r="H537" s="676">
        <f t="shared" si="282"/>
        <v>79.433000000000007</v>
      </c>
      <c r="I537" s="677">
        <f t="shared" si="262"/>
        <v>979.17323994875005</v>
      </c>
      <c r="J537" s="678">
        <f t="shared" si="263"/>
        <v>1.5697750568775484</v>
      </c>
      <c r="K537" s="678">
        <f t="shared" si="264"/>
        <v>1.0260156412728345</v>
      </c>
      <c r="L537" s="679">
        <f t="shared" si="265"/>
        <v>0.22567176968357833</v>
      </c>
      <c r="M537" s="678">
        <f t="shared" si="266"/>
        <v>1.0871345949721958</v>
      </c>
      <c r="N537" s="679">
        <f t="shared" si="267"/>
        <v>-0.40310017813406668</v>
      </c>
      <c r="O537" s="677">
        <f t="shared" si="268"/>
        <v>898366.06428337668</v>
      </c>
      <c r="P537" s="680">
        <f t="shared" si="269"/>
        <v>1.570795213662912</v>
      </c>
      <c r="Q537" s="689">
        <f t="shared" si="291"/>
        <v>425.2277796025549</v>
      </c>
      <c r="R537" s="690">
        <f t="shared" si="292"/>
        <v>1.5684446438388331</v>
      </c>
      <c r="S537" s="677">
        <f t="shared" si="270"/>
        <v>3.477811496478997</v>
      </c>
      <c r="T537" s="680">
        <f t="shared" si="271"/>
        <v>1.2791419303705198</v>
      </c>
      <c r="U537" s="681">
        <f t="shared" si="283"/>
        <v>0.55750711496991467</v>
      </c>
      <c r="V537" s="682">
        <f t="shared" si="284"/>
        <v>-1.3339798538177792</v>
      </c>
      <c r="W537" s="683">
        <f t="shared" si="272"/>
        <v>-35.252190301666928</v>
      </c>
      <c r="X537" s="684">
        <f t="shared" si="273"/>
        <v>-249.96291211760845</v>
      </c>
      <c r="Y537" s="687">
        <f t="shared" si="274"/>
        <v>-69.962912117608454</v>
      </c>
      <c r="AA537" s="170">
        <f t="shared" si="275"/>
        <v>79433</v>
      </c>
      <c r="AB537" s="170">
        <f t="shared" si="276"/>
        <v>6309601489</v>
      </c>
      <c r="AD537" s="686">
        <f t="shared" si="277"/>
        <v>27.782695138083678</v>
      </c>
      <c r="AE537" s="687">
        <f t="shared" si="278"/>
        <v>-73.42411182271762</v>
      </c>
      <c r="AG537" s="686">
        <f t="shared" si="279"/>
        <v>2.2071605615589696</v>
      </c>
      <c r="AH537" s="687">
        <f t="shared" si="280"/>
        <v>-23.675968961745042</v>
      </c>
      <c r="AJ537" s="170">
        <f t="shared" si="281"/>
        <v>0</v>
      </c>
      <c r="AK537" s="170">
        <f t="shared" si="293"/>
        <v>0</v>
      </c>
      <c r="AM537" s="170" t="str">
        <f t="shared" si="285"/>
        <v>1.79506617099974+0.606522698447317i</v>
      </c>
      <c r="AN537" s="170" t="str">
        <f t="shared" si="286"/>
        <v>2.48991299746349i</v>
      </c>
      <c r="AO537" s="170" t="str">
        <f t="shared" si="287"/>
        <v>0.243591924322332-0.720935298875262i</v>
      </c>
      <c r="AP537" s="170" t="str">
        <f t="shared" si="288"/>
        <v>-0.132511028499956-0.101087116407886i</v>
      </c>
      <c r="AQ537" s="170" t="str">
        <f t="shared" si="289"/>
        <v>1.13251102849996+0.101087116407886i</v>
      </c>
      <c r="AR537" s="170" t="str">
        <f t="shared" si="290"/>
        <v>0.729719838572446-0.0651342657250946i</v>
      </c>
    </row>
    <row r="538" spans="7:44">
      <c r="G538" s="688">
        <v>79895.5</v>
      </c>
      <c r="H538" s="676">
        <f t="shared" si="282"/>
        <v>79.895499999999998</v>
      </c>
      <c r="I538" s="677">
        <f t="shared" si="262"/>
        <v>984.87448694315003</v>
      </c>
      <c r="J538" s="678">
        <f t="shared" si="263"/>
        <v>1.5697809688126534</v>
      </c>
      <c r="K538" s="678">
        <f t="shared" si="264"/>
        <v>1.0263155804195438</v>
      </c>
      <c r="L538" s="679">
        <f t="shared" si="265"/>
        <v>0.22694121690636945</v>
      </c>
      <c r="M538" s="678">
        <f t="shared" si="266"/>
        <v>1.0881110135798984</v>
      </c>
      <c r="N538" s="679">
        <f t="shared" si="267"/>
        <v>-0.40519923935486485</v>
      </c>
      <c r="O538" s="677">
        <f t="shared" si="268"/>
        <v>903596.81604562351</v>
      </c>
      <c r="P538" s="680">
        <f t="shared" si="269"/>
        <v>1.5707952201066235</v>
      </c>
      <c r="Q538" s="689">
        <f t="shared" si="291"/>
        <v>427.70366196331059</v>
      </c>
      <c r="R538" s="690">
        <f t="shared" si="292"/>
        <v>1.5684582572387344</v>
      </c>
      <c r="S538" s="677">
        <f t="shared" si="270"/>
        <v>3.4963913706655716</v>
      </c>
      <c r="T538" s="680">
        <f t="shared" si="271"/>
        <v>1.2807368981455003</v>
      </c>
      <c r="U538" s="681">
        <f t="shared" si="283"/>
        <v>0.55500000427018736</v>
      </c>
      <c r="V538" s="682">
        <f t="shared" si="284"/>
        <v>-1.3394250116549717</v>
      </c>
      <c r="W538" s="683">
        <f t="shared" si="272"/>
        <v>-35.377709569221238</v>
      </c>
      <c r="X538" s="684">
        <f t="shared" si="273"/>
        <v>-250.41337409142196</v>
      </c>
      <c r="Y538" s="687">
        <f t="shared" si="274"/>
        <v>-70.413374091421957</v>
      </c>
      <c r="AA538" s="170">
        <f t="shared" si="275"/>
        <v>79895.5</v>
      </c>
      <c r="AB538" s="170">
        <f t="shared" si="276"/>
        <v>6383290920.25</v>
      </c>
      <c r="AD538" s="686">
        <f t="shared" si="277"/>
        <v>27.736414842424946</v>
      </c>
      <c r="AE538" s="687">
        <f t="shared" si="278"/>
        <v>-73.514717123625203</v>
      </c>
      <c r="AG538" s="686">
        <f t="shared" si="279"/>
        <v>2.2062187019648336</v>
      </c>
      <c r="AH538" s="687">
        <f t="shared" si="280"/>
        <v>-23.411856508230581</v>
      </c>
      <c r="AJ538" s="170">
        <f t="shared" si="281"/>
        <v>0</v>
      </c>
      <c r="AK538" s="170">
        <f t="shared" si="293"/>
        <v>0</v>
      </c>
      <c r="AM538" s="170" t="str">
        <f t="shared" si="285"/>
        <v>1.80377541103624+0.594932843784515i</v>
      </c>
      <c r="AN538" s="170" t="str">
        <f t="shared" si="286"/>
        <v>2.50441055844352i</v>
      </c>
      <c r="AO538" s="170" t="str">
        <f t="shared" si="287"/>
        <v>0.237554039124585-0.720239501049412i</v>
      </c>
      <c r="AP538" s="170" t="str">
        <f t="shared" si="288"/>
        <v>-0.133962568506039-0.0991554739640858i</v>
      </c>
      <c r="AQ538" s="170" t="str">
        <f t="shared" si="289"/>
        <v>1.13396256850604+0.0991554739640858i</v>
      </c>
      <c r="AR538" s="170" t="str">
        <f t="shared" si="290"/>
        <v>0.729018055592419-0.0637464876163216i</v>
      </c>
    </row>
    <row r="539" spans="7:44">
      <c r="G539" s="688">
        <v>80358</v>
      </c>
      <c r="H539" s="676">
        <f t="shared" si="282"/>
        <v>80.358000000000004</v>
      </c>
      <c r="I539" s="677">
        <f t="shared" si="262"/>
        <v>990.57573397157614</v>
      </c>
      <c r="J539" s="678">
        <f t="shared" si="263"/>
        <v>1.5697868126956125</v>
      </c>
      <c r="K539" s="678">
        <f t="shared" si="264"/>
        <v>1.0266171725019919</v>
      </c>
      <c r="L539" s="679">
        <f t="shared" si="265"/>
        <v>0.22820992031483664</v>
      </c>
      <c r="M539" s="678">
        <f t="shared" si="266"/>
        <v>1.0890922178589746</v>
      </c>
      <c r="N539" s="679">
        <f t="shared" si="267"/>
        <v>-0.40729452754686157</v>
      </c>
      <c r="O539" s="677">
        <f t="shared" si="268"/>
        <v>908827.56780787033</v>
      </c>
      <c r="P539" s="680">
        <f t="shared" si="269"/>
        <v>1.5707952264761613</v>
      </c>
      <c r="Q539" s="689">
        <f t="shared" si="291"/>
        <v>430.17954440241795</v>
      </c>
      <c r="R539" s="690">
        <f t="shared" si="292"/>
        <v>1.5684717139358002</v>
      </c>
      <c r="S539" s="677">
        <f t="shared" si="270"/>
        <v>3.5149800453550806</v>
      </c>
      <c r="T539" s="680">
        <f t="shared" si="271"/>
        <v>1.2823150001953811</v>
      </c>
      <c r="U539" s="681">
        <f t="shared" si="283"/>
        <v>0.55250385933540991</v>
      </c>
      <c r="V539" s="682">
        <f t="shared" si="284"/>
        <v>-1.3448581006903633</v>
      </c>
      <c r="W539" s="683">
        <f t="shared" si="272"/>
        <v>-35.502674662742763</v>
      </c>
      <c r="X539" s="684">
        <f t="shared" si="273"/>
        <v>-250.86200975281554</v>
      </c>
      <c r="Y539" s="687">
        <f t="shared" si="274"/>
        <v>-70.862009752815538</v>
      </c>
      <c r="AA539" s="170">
        <f t="shared" si="275"/>
        <v>80358</v>
      </c>
      <c r="AB539" s="170">
        <f t="shared" si="276"/>
        <v>6457408164</v>
      </c>
      <c r="AD539" s="686">
        <f t="shared" si="277"/>
        <v>27.690358086657106</v>
      </c>
      <c r="AE539" s="687">
        <f t="shared" si="278"/>
        <v>-73.604365063826336</v>
      </c>
      <c r="AG539" s="686">
        <f t="shared" si="279"/>
        <v>2.2056171831722993</v>
      </c>
      <c r="AH539" s="687">
        <f t="shared" si="280"/>
        <v>-23.148258085818139</v>
      </c>
      <c r="AJ539" s="170">
        <f t="shared" si="281"/>
        <v>0</v>
      </c>
      <c r="AK539" s="170">
        <f t="shared" si="293"/>
        <v>0</v>
      </c>
      <c r="AM539" s="170" t="str">
        <f t="shared" si="285"/>
        <v>1.81231571709898+0.583217948758406i</v>
      </c>
      <c r="AN539" s="170" t="str">
        <f t="shared" si="286"/>
        <v>2.51890811942355i</v>
      </c>
      <c r="AO539" s="170" t="str">
        <f t="shared" si="287"/>
        <v>0.231536015252464-0.719484646194132i</v>
      </c>
      <c r="AP539" s="170" t="str">
        <f t="shared" si="288"/>
        <v>-0.135385952849831-0.0972029914597343i</v>
      </c>
      <c r="AQ539" s="170" t="str">
        <f t="shared" si="289"/>
        <v>1.13538595284983+0.0972029914597343i</v>
      </c>
      <c r="AR539" s="170" t="str">
        <f t="shared" si="290"/>
        <v>0.728332932315055-0.0623542502194646i</v>
      </c>
    </row>
    <row r="540" spans="7:44">
      <c r="G540" s="688">
        <v>80820.5</v>
      </c>
      <c r="H540" s="676">
        <f t="shared" si="282"/>
        <v>80.820499999999996</v>
      </c>
      <c r="I540" s="677">
        <f t="shared" si="262"/>
        <v>996.27698103344414</v>
      </c>
      <c r="J540" s="678">
        <f t="shared" si="263"/>
        <v>1.5697925896947205</v>
      </c>
      <c r="K540" s="678">
        <f t="shared" si="264"/>
        <v>1.026920416063847</v>
      </c>
      <c r="L540" s="679">
        <f t="shared" si="265"/>
        <v>0.22947787648189852</v>
      </c>
      <c r="M540" s="678">
        <f t="shared" si="266"/>
        <v>1.0900781948863489</v>
      </c>
      <c r="N540" s="679">
        <f t="shared" si="267"/>
        <v>-0.4093860345259161</v>
      </c>
      <c r="O540" s="677">
        <f t="shared" si="268"/>
        <v>914058.31957011716</v>
      </c>
      <c r="P540" s="680">
        <f t="shared" si="269"/>
        <v>1.5707952327727992</v>
      </c>
      <c r="Q540" s="689">
        <f t="shared" si="291"/>
        <v>432.65542691853176</v>
      </c>
      <c r="R540" s="690">
        <f t="shared" si="292"/>
        <v>1.5684850166202342</v>
      </c>
      <c r="S540" s="677">
        <f t="shared" si="270"/>
        <v>3.5335773816602152</v>
      </c>
      <c r="T540" s="680">
        <f t="shared" si="271"/>
        <v>1.2838764948919235</v>
      </c>
      <c r="U540" s="681">
        <f t="shared" si="283"/>
        <v>0.55001861510086381</v>
      </c>
      <c r="V540" s="682">
        <f t="shared" si="284"/>
        <v>-1.3502794103885627</v>
      </c>
      <c r="W540" s="683">
        <f t="shared" si="272"/>
        <v>-35.627091335238397</v>
      </c>
      <c r="X540" s="684">
        <f t="shared" si="273"/>
        <v>-251.30885013081564</v>
      </c>
      <c r="Y540" s="687">
        <f t="shared" si="274"/>
        <v>-71.308850130815642</v>
      </c>
      <c r="AA540" s="170">
        <f t="shared" si="275"/>
        <v>80820.5</v>
      </c>
      <c r="AB540" s="170">
        <f t="shared" si="276"/>
        <v>6531953220.25</v>
      </c>
      <c r="AD540" s="686">
        <f t="shared" si="277"/>
        <v>27.644522969008722</v>
      </c>
      <c r="AE540" s="687">
        <f t="shared" si="278"/>
        <v>-73.693070292868157</v>
      </c>
      <c r="AG540" s="686">
        <f t="shared" si="279"/>
        <v>2.2053527391582555</v>
      </c>
      <c r="AH540" s="687">
        <f t="shared" si="280"/>
        <v>-22.885156903786225</v>
      </c>
      <c r="AJ540" s="170">
        <f t="shared" si="281"/>
        <v>0</v>
      </c>
      <c r="AK540" s="170">
        <f t="shared" si="293"/>
        <v>0</v>
      </c>
      <c r="AM540" s="170" t="str">
        <f t="shared" si="285"/>
        <v>1.82068529422409+0.571380475553998i</v>
      </c>
      <c r="AN540" s="170" t="str">
        <f t="shared" si="286"/>
        <v>2.53340568040358i</v>
      </c>
      <c r="AO540" s="170" t="str">
        <f t="shared" si="287"/>
        <v>0.225538483620584-0.718671039663118i</v>
      </c>
      <c r="AP540" s="170" t="str">
        <f t="shared" si="288"/>
        <v>-0.136780882370682-0.0952300792589997i</v>
      </c>
      <c r="AQ540" s="170" t="str">
        <f t="shared" si="289"/>
        <v>1.13678088237068+0.0952300792589997i</v>
      </c>
      <c r="AR540" s="170" t="str">
        <f t="shared" si="290"/>
        <v>0.72766441353322-0.0609576927703172i</v>
      </c>
    </row>
    <row r="541" spans="7:44">
      <c r="G541" s="688">
        <v>81283</v>
      </c>
      <c r="H541" s="676">
        <f t="shared" si="282"/>
        <v>81.283000000000001</v>
      </c>
      <c r="I541" s="677">
        <f t="shared" si="262"/>
        <v>1001.9782281281833</v>
      </c>
      <c r="J541" s="678">
        <f t="shared" si="263"/>
        <v>1.5697983009516829</v>
      </c>
      <c r="K541" s="678">
        <f t="shared" si="264"/>
        <v>1.0272253096425266</v>
      </c>
      <c r="L541" s="679">
        <f t="shared" si="265"/>
        <v>0.23074508199412028</v>
      </c>
      <c r="M541" s="678">
        <f t="shared" si="266"/>
        <v>1.0910689317229114</v>
      </c>
      <c r="N541" s="679">
        <f t="shared" si="267"/>
        <v>-0.4114737522697226</v>
      </c>
      <c r="O541" s="677">
        <f t="shared" si="268"/>
        <v>919289.07133236399</v>
      </c>
      <c r="P541" s="680">
        <f t="shared" si="269"/>
        <v>1.5707952389977813</v>
      </c>
      <c r="Q541" s="689">
        <f t="shared" si="291"/>
        <v>435.1313095103377</v>
      </c>
      <c r="R541" s="690">
        <f t="shared" si="292"/>
        <v>1.5684981679210119</v>
      </c>
      <c r="S541" s="677">
        <f t="shared" si="270"/>
        <v>3.5521832435381837</v>
      </c>
      <c r="T541" s="680">
        <f t="shared" si="271"/>
        <v>1.2854216355213608</v>
      </c>
      <c r="U541" s="681">
        <f t="shared" si="283"/>
        <v>0.54754420494405454</v>
      </c>
      <c r="V541" s="682">
        <f t="shared" si="284"/>
        <v>-1.3556892292596665</v>
      </c>
      <c r="W541" s="683">
        <f t="shared" si="272"/>
        <v>-35.750965296002619</v>
      </c>
      <c r="X541" s="684">
        <f t="shared" si="273"/>
        <v>-251.75392591885347</v>
      </c>
      <c r="Y541" s="687">
        <f t="shared" si="274"/>
        <v>-71.753925918853469</v>
      </c>
      <c r="AA541" s="170">
        <f t="shared" si="275"/>
        <v>81283</v>
      </c>
      <c r="AB541" s="170">
        <f t="shared" si="276"/>
        <v>6606926089</v>
      </c>
      <c r="AD541" s="686">
        <f t="shared" si="277"/>
        <v>27.59890760726914</v>
      </c>
      <c r="AE541" s="687">
        <f t="shared" si="278"/>
        <v>-73.780847172424927</v>
      </c>
      <c r="AG541" s="686">
        <f t="shared" si="279"/>
        <v>2.2054221941141123</v>
      </c>
      <c r="AH541" s="687">
        <f t="shared" si="280"/>
        <v>-22.62253623306999</v>
      </c>
      <c r="AJ541" s="170">
        <f t="shared" si="281"/>
        <v>0</v>
      </c>
      <c r="AK541" s="170">
        <f t="shared" si="293"/>
        <v>0</v>
      </c>
      <c r="AM541" s="170" t="str">
        <f t="shared" si="285"/>
        <v>1.82888238333073+0.559422912119237i</v>
      </c>
      <c r="AN541" s="170" t="str">
        <f t="shared" si="286"/>
        <v>2.54790324138362i</v>
      </c>
      <c r="AO541" s="170" t="str">
        <f t="shared" si="287"/>
        <v>0.219562070895379-0.717798993943573i</v>
      </c>
      <c r="AP541" s="170" t="str">
        <f t="shared" si="288"/>
        <v>-0.138147063888455-0.0932371520198728i</v>
      </c>
      <c r="AQ541" s="170" t="str">
        <f t="shared" si="289"/>
        <v>1.13814706388845+0.0932371520198728i</v>
      </c>
      <c r="AR541" s="170" t="str">
        <f t="shared" si="290"/>
        <v>0.727012444774525-0.0595569518074383i</v>
      </c>
    </row>
    <row r="542" spans="7:44">
      <c r="G542" s="688">
        <v>81756.25</v>
      </c>
      <c r="H542" s="676">
        <f t="shared" si="282"/>
        <v>81.756249999999994</v>
      </c>
      <c r="I542" s="677">
        <f t="shared" si="262"/>
        <v>1007.8119907293794</v>
      </c>
      <c r="J542" s="678">
        <f t="shared" si="263"/>
        <v>1.5698040780686544</v>
      </c>
      <c r="K542" s="678">
        <f t="shared" si="264"/>
        <v>1.027538996394743</v>
      </c>
      <c r="L542" s="679">
        <f t="shared" si="265"/>
        <v>0.2320409608968278</v>
      </c>
      <c r="M542" s="678">
        <f t="shared" si="266"/>
        <v>1.0920876100281409</v>
      </c>
      <c r="N542" s="679">
        <f t="shared" si="267"/>
        <v>-0.4136060647754714</v>
      </c>
      <c r="O542" s="677">
        <f t="shared" si="268"/>
        <v>924641.40273016586</v>
      </c>
      <c r="P542" s="680">
        <f t="shared" si="269"/>
        <v>1.5707952452945473</v>
      </c>
      <c r="Q542" s="689">
        <f t="shared" si="291"/>
        <v>437.66473972047805</v>
      </c>
      <c r="R542" s="690">
        <f t="shared" si="292"/>
        <v>1.5685114708781653</v>
      </c>
      <c r="S542" s="677">
        <f t="shared" si="270"/>
        <v>3.5712302521044546</v>
      </c>
      <c r="T542" s="680">
        <f t="shared" si="271"/>
        <v>1.2869860205707648</v>
      </c>
      <c r="U542" s="681">
        <f t="shared" si="283"/>
        <v>0.54502342513064295</v>
      </c>
      <c r="V542" s="682">
        <f t="shared" si="284"/>
        <v>-1.3612131952826589</v>
      </c>
      <c r="W542" s="683">
        <f t="shared" si="272"/>
        <v>-35.877162620545427</v>
      </c>
      <c r="X542" s="684">
        <f t="shared" si="273"/>
        <v>-252.20755179672278</v>
      </c>
      <c r="Y542" s="687">
        <f t="shared" si="274"/>
        <v>-72.207551796722782</v>
      </c>
      <c r="AA542" s="170">
        <f t="shared" si="275"/>
        <v>81756.25</v>
      </c>
      <c r="AB542" s="170">
        <f t="shared" si="276"/>
        <v>6684084414.0625</v>
      </c>
      <c r="AD542" s="686">
        <f t="shared" si="277"/>
        <v>27.552457530551031</v>
      </c>
      <c r="AE542" s="687">
        <f t="shared" si="278"/>
        <v>-73.869717990868864</v>
      </c>
      <c r="AG542" s="686">
        <f t="shared" si="279"/>
        <v>2.205835674136301</v>
      </c>
      <c r="AH542" s="687">
        <f t="shared" si="280"/>
        <v>-22.354291413189749</v>
      </c>
      <c r="AJ542" s="170">
        <f t="shared" si="281"/>
        <v>0</v>
      </c>
      <c r="AK542" s="170">
        <f t="shared" si="293"/>
        <v>0</v>
      </c>
      <c r="AM542" s="170" t="str">
        <f t="shared" si="285"/>
        <v>1.83708965403513+0.547065728324624i</v>
      </c>
      <c r="AN542" s="170" t="str">
        <f t="shared" si="286"/>
        <v>2.56273777269994i</v>
      </c>
      <c r="AO542" s="170" t="str">
        <f t="shared" si="287"/>
        <v>0.213469257039229-0.716846520001025i</v>
      </c>
      <c r="AP542" s="170" t="str">
        <f t="shared" si="288"/>
        <v>-0.139514942339188-0.0911776213874373i</v>
      </c>
      <c r="AQ542" s="170" t="str">
        <f t="shared" si="289"/>
        <v>1.13951494233919+0.0911776213874373i</v>
      </c>
      <c r="AR542" s="170" t="str">
        <f t="shared" si="290"/>
        <v>0.726362397649616-0.0581194622573491i</v>
      </c>
    </row>
    <row r="543" spans="7:44">
      <c r="G543" s="688">
        <v>82229.5</v>
      </c>
      <c r="H543" s="676">
        <f t="shared" si="282"/>
        <v>82.229500000000002</v>
      </c>
      <c r="I543" s="677">
        <f t="shared" si="262"/>
        <v>1013.6457533638242</v>
      </c>
      <c r="J543" s="678">
        <f t="shared" si="263"/>
        <v>1.5698097886883726</v>
      </c>
      <c r="K543" s="678">
        <f t="shared" si="264"/>
        <v>1.0278544076404692</v>
      </c>
      <c r="L543" s="679">
        <f t="shared" si="265"/>
        <v>0.23333604665677785</v>
      </c>
      <c r="M543" s="678">
        <f t="shared" si="266"/>
        <v>1.0931112445220976</v>
      </c>
      <c r="N543" s="679">
        <f t="shared" si="267"/>
        <v>-0.41573439337223939</v>
      </c>
      <c r="O543" s="677">
        <f t="shared" si="268"/>
        <v>929993.73412796785</v>
      </c>
      <c r="P543" s="680">
        <f t="shared" si="269"/>
        <v>1.5707952515188348</v>
      </c>
      <c r="Q543" s="689">
        <f t="shared" si="291"/>
        <v>440.19817000717984</v>
      </c>
      <c r="R543" s="690">
        <f t="shared" si="292"/>
        <v>1.5685246207128556</v>
      </c>
      <c r="S543" s="677">
        <f t="shared" si="270"/>
        <v>3.590285907799502</v>
      </c>
      <c r="T543" s="680">
        <f t="shared" si="271"/>
        <v>1.2885338032415008</v>
      </c>
      <c r="U543" s="681">
        <f t="shared" si="283"/>
        <v>0.54251384300081784</v>
      </c>
      <c r="V543" s="682">
        <f t="shared" si="284"/>
        <v>-1.3667257382764757</v>
      </c>
      <c r="W543" s="683">
        <f t="shared" si="272"/>
        <v>-36.002803670897428</v>
      </c>
      <c r="X543" s="684">
        <f t="shared" si="273"/>
        <v>-252.65939407866964</v>
      </c>
      <c r="Y543" s="687">
        <f t="shared" si="274"/>
        <v>-72.659394078669635</v>
      </c>
      <c r="AA543" s="170">
        <f t="shared" si="275"/>
        <v>82229.5</v>
      </c>
      <c r="AB543" s="170">
        <f t="shared" si="276"/>
        <v>6761690670.25</v>
      </c>
      <c r="AD543" s="686">
        <f t="shared" si="277"/>
        <v>27.506233619004007</v>
      </c>
      <c r="AE543" s="687">
        <f t="shared" si="278"/>
        <v>-73.957646332202359</v>
      </c>
      <c r="AG543" s="686">
        <f t="shared" si="279"/>
        <v>2.2065923105098468</v>
      </c>
      <c r="AH543" s="687">
        <f t="shared" si="280"/>
        <v>-22.086514457221089</v>
      </c>
      <c r="AJ543" s="170">
        <f t="shared" si="281"/>
        <v>0</v>
      </c>
      <c r="AK543" s="170">
        <f t="shared" si="293"/>
        <v>0</v>
      </c>
      <c r="AM543" s="170" t="str">
        <f t="shared" si="285"/>
        <v>1.84511271538982+0.534588157637671i</v>
      </c>
      <c r="AN543" s="170" t="str">
        <f t="shared" si="286"/>
        <v>2.57757230401626i</v>
      </c>
      <c r="AO543" s="170" t="str">
        <f t="shared" si="287"/>
        <v>0.207399868785329-0.715833543258843i</v>
      </c>
      <c r="AP543" s="170" t="str">
        <f t="shared" si="288"/>
        <v>-0.140852119231637-0.0890980262729452i</v>
      </c>
      <c r="AQ543" s="170" t="str">
        <f t="shared" si="289"/>
        <v>1.14085211923164+0.0890980262729452i</v>
      </c>
      <c r="AR543" s="170" t="str">
        <f t="shared" si="290"/>
        <v>0.725729565991239-0.056677873361264i</v>
      </c>
    </row>
    <row r="544" spans="7:44">
      <c r="G544" s="688">
        <v>82702.75</v>
      </c>
      <c r="H544" s="676">
        <f t="shared" si="282"/>
        <v>82.702749999999995</v>
      </c>
      <c r="I544" s="677">
        <f t="shared" si="262"/>
        <v>1019.4795160309468</v>
      </c>
      <c r="J544" s="678">
        <f t="shared" si="263"/>
        <v>1.5698154339523884</v>
      </c>
      <c r="K544" s="678">
        <f t="shared" si="264"/>
        <v>1.0281715417926411</v>
      </c>
      <c r="L544" s="679">
        <f t="shared" si="265"/>
        <v>0.23463033566155461</v>
      </c>
      <c r="M544" s="678">
        <f t="shared" si="266"/>
        <v>1.0941398212943318</v>
      </c>
      <c r="N544" s="679">
        <f t="shared" si="267"/>
        <v>-0.41785872998698104</v>
      </c>
      <c r="O544" s="677">
        <f t="shared" si="268"/>
        <v>935346.06552576972</v>
      </c>
      <c r="P544" s="680">
        <f t="shared" si="269"/>
        <v>1.5707952576718875</v>
      </c>
      <c r="Q544" s="689">
        <f t="shared" si="291"/>
        <v>442.73160036912878</v>
      </c>
      <c r="R544" s="690">
        <f t="shared" si="292"/>
        <v>1.5685376200537029</v>
      </c>
      <c r="S544" s="677">
        <f t="shared" si="270"/>
        <v>3.6093500736651198</v>
      </c>
      <c r="T544" s="680">
        <f t="shared" si="271"/>
        <v>1.2900652391339</v>
      </c>
      <c r="U544" s="681">
        <f t="shared" si="283"/>
        <v>0.54001538247599856</v>
      </c>
      <c r="V544" s="682">
        <f t="shared" si="284"/>
        <v>-1.3722271643264941</v>
      </c>
      <c r="W544" s="683">
        <f t="shared" si="272"/>
        <v>-36.127894429453967</v>
      </c>
      <c r="X544" s="684">
        <f t="shared" si="273"/>
        <v>-253.10948460620784</v>
      </c>
      <c r="Y544" s="687">
        <f t="shared" si="274"/>
        <v>-73.109484606207843</v>
      </c>
      <c r="AA544" s="170">
        <f t="shared" si="275"/>
        <v>82702.75</v>
      </c>
      <c r="AB544" s="170">
        <f t="shared" si="276"/>
        <v>6839744857.5625</v>
      </c>
      <c r="AD544" s="686">
        <f t="shared" si="277"/>
        <v>27.460233918767763</v>
      </c>
      <c r="AE544" s="687">
        <f t="shared" si="278"/>
        <v>-74.044646690708035</v>
      </c>
      <c r="AG544" s="686">
        <f t="shared" si="279"/>
        <v>2.207688984422159</v>
      </c>
      <c r="AH544" s="687">
        <f t="shared" si="280"/>
        <v>-21.819187637594496</v>
      </c>
      <c r="AJ544" s="170">
        <f t="shared" si="281"/>
        <v>0</v>
      </c>
      <c r="AK544" s="170">
        <f t="shared" si="293"/>
        <v>0</v>
      </c>
      <c r="AM544" s="170" t="str">
        <f t="shared" si="285"/>
        <v>1.85294980184569+0.52199294586364i</v>
      </c>
      <c r="AN544" s="170" t="str">
        <f t="shared" si="286"/>
        <v>2.59240683533259i</v>
      </c>
      <c r="AO544" s="170" t="str">
        <f t="shared" si="287"/>
        <v>0.201354563160867-0.714760421316343i</v>
      </c>
      <c r="AP544" s="170" t="str">
        <f t="shared" si="288"/>
        <v>-0.142158300307615-0.0869988243106067i</v>
      </c>
      <c r="AQ544" s="170" t="str">
        <f t="shared" si="289"/>
        <v>1.14215830030762+0.0869988243106067i</v>
      </c>
      <c r="AR544" s="170" t="str">
        <f t="shared" si="290"/>
        <v>0.725113894109882-0.0552323231042973i</v>
      </c>
    </row>
    <row r="545" spans="7:44">
      <c r="G545" s="688">
        <v>83176</v>
      </c>
      <c r="H545" s="676">
        <f t="shared" si="282"/>
        <v>83.176000000000002</v>
      </c>
      <c r="I545" s="677">
        <f t="shared" si="262"/>
        <v>1025.3132787301895</v>
      </c>
      <c r="J545" s="678">
        <f t="shared" si="263"/>
        <v>1.5698210149762715</v>
      </c>
      <c r="K545" s="678">
        <f t="shared" si="264"/>
        <v>1.0284903972574888</v>
      </c>
      <c r="L545" s="679">
        <f t="shared" si="265"/>
        <v>0.23592382431386347</v>
      </c>
      <c r="M545" s="678">
        <f t="shared" si="266"/>
        <v>1.0951733264196155</v>
      </c>
      <c r="N545" s="679">
        <f t="shared" si="267"/>
        <v>-0.41997906672102547</v>
      </c>
      <c r="O545" s="677">
        <f t="shared" si="268"/>
        <v>940698.39692357171</v>
      </c>
      <c r="P545" s="680">
        <f t="shared" si="269"/>
        <v>1.5707952637549221</v>
      </c>
      <c r="Q545" s="689">
        <f t="shared" si="291"/>
        <v>445.26503080504045</v>
      </c>
      <c r="R545" s="690">
        <f t="shared" si="292"/>
        <v>1.5685504714695035</v>
      </c>
      <c r="S545" s="677">
        <f t="shared" si="270"/>
        <v>3.6284226155609511</v>
      </c>
      <c r="T545" s="680">
        <f t="shared" si="271"/>
        <v>1.2915805787844297</v>
      </c>
      <c r="U545" s="681">
        <f t="shared" si="283"/>
        <v>0.53752796600853492</v>
      </c>
      <c r="V545" s="682">
        <f t="shared" si="284"/>
        <v>-1.3777177785350743</v>
      </c>
      <c r="W545" s="683">
        <f t="shared" si="272"/>
        <v>-36.25244083589439</v>
      </c>
      <c r="X545" s="684">
        <f t="shared" si="273"/>
        <v>-253.55785488545243</v>
      </c>
      <c r="Y545" s="687">
        <f t="shared" si="274"/>
        <v>-73.557854885452429</v>
      </c>
      <c r="AA545" s="170">
        <f t="shared" si="275"/>
        <v>83176</v>
      </c>
      <c r="AB545" s="170">
        <f t="shared" si="276"/>
        <v>6918246976</v>
      </c>
      <c r="AD545" s="686">
        <f t="shared" si="277"/>
        <v>27.414456496782798</v>
      </c>
      <c r="AE545" s="687">
        <f t="shared" si="278"/>
        <v>-74.13073327395665</v>
      </c>
      <c r="AG545" s="686">
        <f t="shared" si="279"/>
        <v>2.2091226695952813</v>
      </c>
      <c r="AH545" s="687">
        <f t="shared" si="280"/>
        <v>-21.552293290699112</v>
      </c>
      <c r="AJ545" s="170">
        <f t="shared" si="281"/>
        <v>0</v>
      </c>
      <c r="AK545" s="170">
        <f t="shared" si="293"/>
        <v>0</v>
      </c>
      <c r="AM545" s="170" t="str">
        <f t="shared" si="285"/>
        <v>1.86059918877908+0.509282864695829i</v>
      </c>
      <c r="AN545" s="170" t="str">
        <f t="shared" si="286"/>
        <v>2.60724136664891i</v>
      </c>
      <c r="AO545" s="170" t="str">
        <f t="shared" si="287"/>
        <v>0.195333992169053-0.713627519331097i</v>
      </c>
      <c r="AP545" s="170" t="str">
        <f t="shared" si="288"/>
        <v>-0.143433198129847-0.0848804774493048i</v>
      </c>
      <c r="AQ545" s="170" t="str">
        <f t="shared" si="289"/>
        <v>1.14343319812985+0.0848804774493048i</v>
      </c>
      <c r="AR545" s="170" t="str">
        <f t="shared" si="290"/>
        <v>0.72451532730484-0.0537829468320111i</v>
      </c>
    </row>
    <row r="546" spans="7:44">
      <c r="G546" s="688">
        <v>83660.5</v>
      </c>
      <c r="H546" s="676">
        <f t="shared" si="282"/>
        <v>83.660499999999999</v>
      </c>
      <c r="I546" s="677">
        <f t="shared" si="262"/>
        <v>1031.2857204486486</v>
      </c>
      <c r="J546" s="678">
        <f t="shared" si="263"/>
        <v>1.5698266632604565</v>
      </c>
      <c r="K546" s="678">
        <f t="shared" si="264"/>
        <v>1.0288186139936641</v>
      </c>
      <c r="L546" s="679">
        <f t="shared" si="265"/>
        <v>0.23724722865031617</v>
      </c>
      <c r="M546" s="678">
        <f t="shared" si="266"/>
        <v>1.0962364907369557</v>
      </c>
      <c r="N546" s="679">
        <f t="shared" si="267"/>
        <v>-0.42214565595392906</v>
      </c>
      <c r="O546" s="677">
        <f t="shared" si="268"/>
        <v>946177.96282369853</v>
      </c>
      <c r="P546" s="680">
        <f t="shared" si="269"/>
        <v>1.5707952699112666</v>
      </c>
      <c r="Q546" s="689">
        <f t="shared" si="291"/>
        <v>447.85868549461225</v>
      </c>
      <c r="R546" s="690">
        <f t="shared" si="292"/>
        <v>1.568563477766119</v>
      </c>
      <c r="S546" s="677">
        <f t="shared" si="270"/>
        <v>3.6479570858224233</v>
      </c>
      <c r="T546" s="680">
        <f t="shared" si="271"/>
        <v>1.2931155224333486</v>
      </c>
      <c r="U546" s="681">
        <f t="shared" si="283"/>
        <v>0.53499277772456744</v>
      </c>
      <c r="V546" s="682">
        <f t="shared" si="284"/>
        <v>-1.3833280316132617</v>
      </c>
      <c r="W546" s="683">
        <f t="shared" si="272"/>
        <v>-36.379390175579054</v>
      </c>
      <c r="X546" s="684">
        <f t="shared" si="273"/>
        <v>-254.01513420781933</v>
      </c>
      <c r="Y546" s="687">
        <f t="shared" si="274"/>
        <v>-74.01513420781933</v>
      </c>
      <c r="AA546" s="170">
        <f t="shared" si="275"/>
        <v>83660.5</v>
      </c>
      <c r="AB546" s="170">
        <f t="shared" si="276"/>
        <v>6999079260.25</v>
      </c>
      <c r="AD546" s="686">
        <f t="shared" si="277"/>
        <v>27.367819133746561</v>
      </c>
      <c r="AE546" s="687">
        <f t="shared" si="278"/>
        <v>-74.217934213759165</v>
      </c>
      <c r="AG546" s="686">
        <f t="shared" si="279"/>
        <v>2.2109364953136366</v>
      </c>
      <c r="AH546" s="687">
        <f t="shared" si="280"/>
        <v>-21.27948402576807</v>
      </c>
      <c r="AJ546" s="170">
        <f t="shared" si="281"/>
        <v>0</v>
      </c>
      <c r="AK546" s="170">
        <f t="shared" si="293"/>
        <v>0</v>
      </c>
      <c r="AM546" s="170" t="str">
        <f t="shared" si="285"/>
        <v>1.86823421247381+0.496154564919014i</v>
      </c>
      <c r="AN546" s="170" t="str">
        <f t="shared" si="286"/>
        <v>2.62242854134043i</v>
      </c>
      <c r="AO546" s="170" t="str">
        <f t="shared" si="287"/>
        <v>0.18919660044022-0.712406146830174i</v>
      </c>
      <c r="AP546" s="170" t="str">
        <f t="shared" si="288"/>
        <v>-0.144705702078969-0.0826924274865023i</v>
      </c>
      <c r="AQ546" s="170" t="str">
        <f t="shared" si="289"/>
        <v>1.14470570207897+0.0826924274865023i</v>
      </c>
      <c r="AR546" s="170" t="str">
        <f t="shared" si="290"/>
        <v>0.723920195298352-0.0522952913984819i</v>
      </c>
    </row>
    <row r="547" spans="7:44">
      <c r="G547" s="688">
        <v>84145</v>
      </c>
      <c r="H547" s="676">
        <f t="shared" si="282"/>
        <v>84.144999999999996</v>
      </c>
      <c r="I547" s="677">
        <f t="shared" si="262"/>
        <v>1037.2581621996303</v>
      </c>
      <c r="J547" s="678">
        <f t="shared" si="263"/>
        <v>1.5698322464999892</v>
      </c>
      <c r="K547" s="678">
        <f t="shared" si="264"/>
        <v>1.0291486314506215</v>
      </c>
      <c r="L547" s="679">
        <f t="shared" si="265"/>
        <v>0.23856978654878411</v>
      </c>
      <c r="M547" s="678">
        <f t="shared" si="266"/>
        <v>1.0973047909221922</v>
      </c>
      <c r="N547" s="679">
        <f t="shared" si="267"/>
        <v>-0.42430803667951128</v>
      </c>
      <c r="O547" s="677">
        <f t="shared" si="268"/>
        <v>951657.52872382547</v>
      </c>
      <c r="P547" s="680">
        <f t="shared" si="269"/>
        <v>1.5707952759967156</v>
      </c>
      <c r="Q547" s="689">
        <f t="shared" si="291"/>
        <v>450.45234025907297</v>
      </c>
      <c r="R547" s="690">
        <f t="shared" si="292"/>
        <v>1.5685763342851013</v>
      </c>
      <c r="S547" s="677">
        <f t="shared" si="270"/>
        <v>3.6675000592908051</v>
      </c>
      <c r="T547" s="680">
        <f t="shared" si="271"/>
        <v>1.2946341111485371</v>
      </c>
      <c r="U547" s="681">
        <f t="shared" si="283"/>
        <v>0.53246899584331864</v>
      </c>
      <c r="V547" s="682">
        <f t="shared" si="284"/>
        <v>-1.388927596791049</v>
      </c>
      <c r="W547" s="683">
        <f t="shared" si="272"/>
        <v>-36.505781442229974</v>
      </c>
      <c r="X547" s="684">
        <f t="shared" si="273"/>
        <v>-254.47067630831924</v>
      </c>
      <c r="Y547" s="687">
        <f t="shared" si="274"/>
        <v>-74.470676308319241</v>
      </c>
      <c r="AA547" s="170">
        <f t="shared" si="275"/>
        <v>84145</v>
      </c>
      <c r="AB547" s="170">
        <f t="shared" si="276"/>
        <v>7080381025</v>
      </c>
      <c r="AD547" s="686">
        <f t="shared" si="277"/>
        <v>27.321410708244368</v>
      </c>
      <c r="AE547" s="687">
        <f t="shared" si="278"/>
        <v>-74.304206662447839</v>
      </c>
      <c r="AG547" s="686">
        <f t="shared" si="279"/>
        <v>2.2130974171716371</v>
      </c>
      <c r="AH547" s="687">
        <f t="shared" si="280"/>
        <v>-21.007090773254806</v>
      </c>
      <c r="AJ547" s="170">
        <f t="shared" si="281"/>
        <v>0</v>
      </c>
      <c r="AK547" s="170">
        <f t="shared" si="293"/>
        <v>0</v>
      </c>
      <c r="AM547" s="170" t="str">
        <f t="shared" si="285"/>
        <v>1.87566898155768+0.482911829154896i</v>
      </c>
      <c r="AN547" s="170" t="str">
        <f t="shared" si="286"/>
        <v>2.63761571603194i</v>
      </c>
      <c r="AO547" s="170" t="str">
        <f t="shared" si="287"/>
        <v>0.183086499757969-0.711122916866547i</v>
      </c>
      <c r="AP547" s="170" t="str">
        <f t="shared" si="288"/>
        <v>-0.145944830259614-0.0804853048591493i</v>
      </c>
      <c r="AQ547" s="170" t="str">
        <f t="shared" si="289"/>
        <v>1.14594483025961+0.0804853048591493i</v>
      </c>
      <c r="AR547" s="170" t="str">
        <f t="shared" si="290"/>
        <v>0.723342878595315-0.0508039048339259i</v>
      </c>
    </row>
    <row r="548" spans="7:44">
      <c r="G548" s="688">
        <v>84629.5</v>
      </c>
      <c r="H548" s="676">
        <f t="shared" si="282"/>
        <v>84.629499999999993</v>
      </c>
      <c r="I548" s="677">
        <f t="shared" si="262"/>
        <v>1043.2306039825758</v>
      </c>
      <c r="J548" s="678">
        <f t="shared" si="263"/>
        <v>1.5698377658120015</v>
      </c>
      <c r="K548" s="678">
        <f t="shared" si="264"/>
        <v>1.029480447896606</v>
      </c>
      <c r="L548" s="679">
        <f t="shared" si="265"/>
        <v>0.23989149419879183</v>
      </c>
      <c r="M548" s="678">
        <f t="shared" si="266"/>
        <v>1.0983782119896444</v>
      </c>
      <c r="N548" s="679">
        <f t="shared" si="267"/>
        <v>-0.42646620098500881</v>
      </c>
      <c r="O548" s="677">
        <f t="shared" si="268"/>
        <v>957137.09462395252</v>
      </c>
      <c r="P548" s="680">
        <f t="shared" si="269"/>
        <v>1.5707952820124871</v>
      </c>
      <c r="Q548" s="689">
        <f t="shared" si="291"/>
        <v>453.04599509713643</v>
      </c>
      <c r="R548" s="690">
        <f t="shared" si="292"/>
        <v>1.5685890435988437</v>
      </c>
      <c r="S548" s="677">
        <f t="shared" si="270"/>
        <v>3.6870514007540334</v>
      </c>
      <c r="T548" s="680">
        <f t="shared" si="271"/>
        <v>1.296136598045784</v>
      </c>
      <c r="U548" s="681">
        <f t="shared" si="283"/>
        <v>0.52995653272447218</v>
      </c>
      <c r="V548" s="682">
        <f t="shared" si="284"/>
        <v>-1.394516798370147</v>
      </c>
      <c r="W548" s="683">
        <f t="shared" si="272"/>
        <v>-36.631620878409862</v>
      </c>
      <c r="X548" s="684">
        <f t="shared" si="273"/>
        <v>-254.92451395218367</v>
      </c>
      <c r="Y548" s="687">
        <f t="shared" si="274"/>
        <v>-74.924513952183673</v>
      </c>
      <c r="AA548" s="170">
        <f t="shared" si="275"/>
        <v>84629.5</v>
      </c>
      <c r="AB548" s="170">
        <f t="shared" si="276"/>
        <v>7162152270.25</v>
      </c>
      <c r="AD548" s="686">
        <f t="shared" si="277"/>
        <v>27.275229212662108</v>
      </c>
      <c r="AE548" s="687">
        <f t="shared" si="278"/>
        <v>-74.389564975171709</v>
      </c>
      <c r="AG548" s="686">
        <f t="shared" si="279"/>
        <v>2.2156024798704212</v>
      </c>
      <c r="AH548" s="687">
        <f t="shared" si="280"/>
        <v>-20.735094781003156</v>
      </c>
      <c r="AJ548" s="170">
        <f t="shared" si="281"/>
        <v>0</v>
      </c>
      <c r="AK548" s="170">
        <f t="shared" si="293"/>
        <v>0</v>
      </c>
      <c r="AM548" s="170" t="str">
        <f t="shared" si="285"/>
        <v>1.88290178123213+0.469557711785394i</v>
      </c>
      <c r="AN548" s="170" t="str">
        <f t="shared" si="286"/>
        <v>2.65280289072346i</v>
      </c>
      <c r="AO548" s="170" t="str">
        <f t="shared" si="287"/>
        <v>0.177004372781477-0.709778245423516i</v>
      </c>
      <c r="AP548" s="170" t="str">
        <f t="shared" si="288"/>
        <v>-0.147150296872021-0.078259618630899i</v>
      </c>
      <c r="AQ548" s="170" t="str">
        <f t="shared" si="289"/>
        <v>1.14715029687202+0.078259618630899i</v>
      </c>
      <c r="AR548" s="170" t="str">
        <f t="shared" si="290"/>
        <v>0.722783321986009-0.0493089242844959i</v>
      </c>
    </row>
    <row r="549" spans="7:44">
      <c r="G549" s="688">
        <v>85114</v>
      </c>
      <c r="H549" s="676">
        <f t="shared" si="282"/>
        <v>85.114000000000004</v>
      </c>
      <c r="I549" s="677">
        <f t="shared" si="262"/>
        <v>1049.2030457969393</v>
      </c>
      <c r="J549" s="678">
        <f t="shared" si="263"/>
        <v>1.5698432222881882</v>
      </c>
      <c r="K549" s="678">
        <f t="shared" si="264"/>
        <v>1.0298140615926605</v>
      </c>
      <c r="L549" s="679">
        <f t="shared" si="265"/>
        <v>0.241212347806644</v>
      </c>
      <c r="M549" s="678">
        <f t="shared" si="266"/>
        <v>1.0994567389404601</v>
      </c>
      <c r="N549" s="679">
        <f t="shared" si="267"/>
        <v>-0.42862014114559438</v>
      </c>
      <c r="O549" s="677">
        <f t="shared" si="268"/>
        <v>962616.66052407958</v>
      </c>
      <c r="P549" s="680">
        <f t="shared" si="269"/>
        <v>1.5707952879597704</v>
      </c>
      <c r="Q549" s="689">
        <f t="shared" si="291"/>
        <v>455.63965000754592</v>
      </c>
      <c r="R549" s="690">
        <f t="shared" si="292"/>
        <v>1.568601608221168</v>
      </c>
      <c r="S549" s="677">
        <f t="shared" si="270"/>
        <v>3.7066109777955769</v>
      </c>
      <c r="T549" s="680">
        <f t="shared" si="271"/>
        <v>1.2976232311924034</v>
      </c>
      <c r="U549" s="681">
        <f t="shared" si="283"/>
        <v>0.5274552993470395</v>
      </c>
      <c r="V549" s="682">
        <f t="shared" si="284"/>
        <v>-1.4000959596570819</v>
      </c>
      <c r="W549" s="683">
        <f t="shared" si="272"/>
        <v>-36.756914685295541</v>
      </c>
      <c r="X549" s="684">
        <f t="shared" si="273"/>
        <v>-255.37667957007116</v>
      </c>
      <c r="Y549" s="687">
        <f t="shared" si="274"/>
        <v>-75.376679570071161</v>
      </c>
      <c r="AA549" s="170">
        <f t="shared" si="275"/>
        <v>85114</v>
      </c>
      <c r="AB549" s="170">
        <f t="shared" si="276"/>
        <v>7244392996</v>
      </c>
      <c r="AD549" s="686">
        <f t="shared" si="277"/>
        <v>27.229272661447975</v>
      </c>
      <c r="AE549" s="687">
        <f t="shared" si="278"/>
        <v>-74.474023221177646</v>
      </c>
      <c r="AG549" s="686">
        <f t="shared" si="279"/>
        <v>2.2184488235739841</v>
      </c>
      <c r="AH549" s="687">
        <f t="shared" si="280"/>
        <v>-20.463477362225877</v>
      </c>
      <c r="AJ549" s="170">
        <f t="shared" si="281"/>
        <v>0</v>
      </c>
      <c r="AK549" s="170">
        <f t="shared" si="293"/>
        <v>0</v>
      </c>
      <c r="AM549" s="170" t="str">
        <f t="shared" si="285"/>
        <v>1.88993094328196+0.456095292882171i</v>
      </c>
      <c r="AN549" s="170" t="str">
        <f t="shared" si="286"/>
        <v>2.66799006541497i</v>
      </c>
      <c r="AO549" s="170" t="str">
        <f t="shared" si="287"/>
        <v>0.170950896255017-0.708372556472772i</v>
      </c>
      <c r="AP549" s="170" t="str">
        <f t="shared" si="288"/>
        <v>-0.148321823880327-0.0760158821470285i</v>
      </c>
      <c r="AQ549" s="170" t="str">
        <f t="shared" si="289"/>
        <v>1.14832182388033+0.0760158821470285i</v>
      </c>
      <c r="AR549" s="170" t="str">
        <f t="shared" si="290"/>
        <v>0.722241471519107-0.0478104843424227i</v>
      </c>
    </row>
    <row r="550" spans="7:44">
      <c r="G550" s="688">
        <v>85609.5</v>
      </c>
      <c r="H550" s="676">
        <f t="shared" si="282"/>
        <v>85.609499999999997</v>
      </c>
      <c r="I550" s="677">
        <f t="shared" si="262"/>
        <v>1055.3110848774181</v>
      </c>
      <c r="J550" s="678">
        <f t="shared" si="263"/>
        <v>1.5698487387670783</v>
      </c>
      <c r="K550" s="678">
        <f t="shared" si="264"/>
        <v>1.0301571066936703</v>
      </c>
      <c r="L550" s="679">
        <f t="shared" si="265"/>
        <v>0.24256230255166933</v>
      </c>
      <c r="M550" s="678">
        <f t="shared" si="266"/>
        <v>1.1005650180112372</v>
      </c>
      <c r="N550" s="679">
        <f t="shared" si="267"/>
        <v>-0.43081860702804042</v>
      </c>
      <c r="O550" s="677">
        <f t="shared" si="268"/>
        <v>968220.63349314651</v>
      </c>
      <c r="P550" s="680">
        <f t="shared" si="269"/>
        <v>1.5707952939724537</v>
      </c>
      <c r="Q550" s="689">
        <f t="shared" si="291"/>
        <v>458.29219086150255</v>
      </c>
      <c r="R550" s="690">
        <f t="shared" si="292"/>
        <v>1.5686143110122301</v>
      </c>
      <c r="S550" s="677">
        <f t="shared" si="270"/>
        <v>3.7266230149502224</v>
      </c>
      <c r="T550" s="680">
        <f t="shared" si="271"/>
        <v>1.2991274721980293</v>
      </c>
      <c r="U550" s="681">
        <f t="shared" si="283"/>
        <v>0.52490879933109791</v>
      </c>
      <c r="V550" s="682">
        <f t="shared" si="284"/>
        <v>-1.4057917403117823</v>
      </c>
      <c r="W550" s="683">
        <f t="shared" si="272"/>
        <v>-36.884495208849806</v>
      </c>
      <c r="X550" s="684">
        <f t="shared" si="273"/>
        <v>-255.83741513032479</v>
      </c>
      <c r="Y550" s="687">
        <f t="shared" si="274"/>
        <v>-75.837415130324786</v>
      </c>
      <c r="AA550" s="170">
        <f t="shared" si="275"/>
        <v>85609.5</v>
      </c>
      <c r="AB550" s="170">
        <f t="shared" si="276"/>
        <v>7328986490.25</v>
      </c>
      <c r="AD550" s="686">
        <f t="shared" si="277"/>
        <v>27.182503337709587</v>
      </c>
      <c r="AE550" s="687">
        <f t="shared" si="278"/>
        <v>-74.559482410453654</v>
      </c>
      <c r="AG550" s="686">
        <f t="shared" si="279"/>
        <v>2.2217098998866049</v>
      </c>
      <c r="AH550" s="687">
        <f t="shared" si="280"/>
        <v>-20.186065347364519</v>
      </c>
      <c r="AJ550" s="170">
        <f t="shared" si="281"/>
        <v>0</v>
      </c>
      <c r="AK550" s="170">
        <f t="shared" si="293"/>
        <v>0</v>
      </c>
      <c r="AM550" s="170" t="str">
        <f t="shared" si="285"/>
        <v>1.89690737972585+0.442218443976848i</v>
      </c>
      <c r="AN550" s="170" t="str">
        <f t="shared" si="286"/>
        <v>2.68352204696223i</v>
      </c>
      <c r="AO550" s="170" t="str">
        <f t="shared" si="287"/>
        <v>0.164790315204395-0.706872291909495i</v>
      </c>
      <c r="AP550" s="170" t="str">
        <f t="shared" si="288"/>
        <v>-0.149484563287642-0.0737030739961413i</v>
      </c>
      <c r="AQ550" s="170" t="str">
        <f t="shared" si="289"/>
        <v>1.14948456328764+0.0737030739961413i</v>
      </c>
      <c r="AR550" s="170" t="str">
        <f t="shared" si="290"/>
        <v>0.721705577813657-0.0462745836733063i</v>
      </c>
    </row>
    <row r="551" spans="7:44">
      <c r="G551" s="688">
        <v>86105</v>
      </c>
      <c r="H551" s="676">
        <f t="shared" si="282"/>
        <v>86.105000000000004</v>
      </c>
      <c r="I551" s="677">
        <f t="shared" si="262"/>
        <v>1061.419123989642</v>
      </c>
      <c r="J551" s="678">
        <f t="shared" si="263"/>
        <v>1.5698541917557449</v>
      </c>
      <c r="K551" s="678">
        <f t="shared" si="264"/>
        <v>1.030502027878244</v>
      </c>
      <c r="L551" s="679">
        <f t="shared" si="265"/>
        <v>0.24391135606225736</v>
      </c>
      <c r="M551" s="678">
        <f t="shared" si="266"/>
        <v>1.1016786056730128</v>
      </c>
      <c r="N551" s="679">
        <f t="shared" si="267"/>
        <v>-0.43301263903473758</v>
      </c>
      <c r="O551" s="677">
        <f t="shared" si="268"/>
        <v>973824.60646221356</v>
      </c>
      <c r="P551" s="680">
        <f t="shared" si="269"/>
        <v>1.5707952999159358</v>
      </c>
      <c r="Q551" s="689">
        <f t="shared" si="291"/>
        <v>460.94473178855861</v>
      </c>
      <c r="R551" s="690">
        <f t="shared" si="292"/>
        <v>1.5686268676049722</v>
      </c>
      <c r="S551" s="677">
        <f t="shared" si="270"/>
        <v>3.7466433943963255</v>
      </c>
      <c r="T551" s="680">
        <f t="shared" si="271"/>
        <v>1.3006156405645057</v>
      </c>
      <c r="U551" s="681">
        <f t="shared" si="283"/>
        <v>0.52237385223763666</v>
      </c>
      <c r="V551" s="682">
        <f t="shared" si="284"/>
        <v>-1.4114777004929069</v>
      </c>
      <c r="W551" s="683">
        <f t="shared" si="272"/>
        <v>-37.011518038617837</v>
      </c>
      <c r="X551" s="684">
        <f t="shared" si="273"/>
        <v>-256.29646945392119</v>
      </c>
      <c r="Y551" s="687">
        <f t="shared" si="274"/>
        <v>-76.296469453921191</v>
      </c>
      <c r="AA551" s="170">
        <f t="shared" si="275"/>
        <v>86105</v>
      </c>
      <c r="AB551" s="170">
        <f t="shared" si="276"/>
        <v>7414071025</v>
      </c>
      <c r="AD551" s="686">
        <f t="shared" si="277"/>
        <v>27.135965157602691</v>
      </c>
      <c r="AE551" s="687">
        <f t="shared" si="278"/>
        <v>-74.644029077921502</v>
      </c>
      <c r="AG551" s="686">
        <f t="shared" si="279"/>
        <v>2.2253221792050644</v>
      </c>
      <c r="AH551" s="687">
        <f t="shared" si="280"/>
        <v>-19.909009961032751</v>
      </c>
      <c r="AJ551" s="170">
        <f t="shared" si="281"/>
        <v>0</v>
      </c>
      <c r="AK551" s="170">
        <f t="shared" si="293"/>
        <v>0</v>
      </c>
      <c r="AM551" s="170" t="str">
        <f t="shared" si="285"/>
        <v>1.90366744838514+0.428234915354994i</v>
      </c>
      <c r="AN551" s="170" t="str">
        <f t="shared" si="286"/>
        <v>2.69905402850948i</v>
      </c>
      <c r="AO551" s="170" t="str">
        <f t="shared" si="287"/>
        <v>0.158661112683054-0.705309129894083i</v>
      </c>
      <c r="AP551" s="170" t="str">
        <f t="shared" si="288"/>
        <v>-0.150611241397522-0.071372485892499i</v>
      </c>
      <c r="AQ551" s="170" t="str">
        <f t="shared" si="289"/>
        <v>1.15061124139752+0.071372485892499i</v>
      </c>
      <c r="AR551" s="170" t="str">
        <f t="shared" si="290"/>
        <v>0.721188093425223-0.0447353416791856i</v>
      </c>
    </row>
    <row r="552" spans="7:44">
      <c r="G552" s="688">
        <v>86600.5</v>
      </c>
      <c r="H552" s="676">
        <f t="shared" si="282"/>
        <v>86.600499999999997</v>
      </c>
      <c r="I552" s="677">
        <f t="shared" si="262"/>
        <v>1067.5271631330663</v>
      </c>
      <c r="J552" s="678">
        <f t="shared" si="263"/>
        <v>1.569859582343998</v>
      </c>
      <c r="K552" s="678">
        <f t="shared" si="264"/>
        <v>1.0308488232631732</v>
      </c>
      <c r="L552" s="679">
        <f t="shared" si="265"/>
        <v>0.24525950433513166</v>
      </c>
      <c r="M552" s="678">
        <f t="shared" si="266"/>
        <v>1.1027974858441911</v>
      </c>
      <c r="N552" s="679">
        <f t="shared" si="267"/>
        <v>-0.43520222950635873</v>
      </c>
      <c r="O552" s="677">
        <f t="shared" si="268"/>
        <v>979428.57943128061</v>
      </c>
      <c r="P552" s="680">
        <f t="shared" si="269"/>
        <v>1.5707953057914044</v>
      </c>
      <c r="Q552" s="689">
        <f t="shared" si="291"/>
        <v>463.59727278745919</v>
      </c>
      <c r="R552" s="690">
        <f t="shared" si="292"/>
        <v>1.5686392805088767</v>
      </c>
      <c r="S552" s="677">
        <f t="shared" si="270"/>
        <v>3.7666719831126096</v>
      </c>
      <c r="T552" s="680">
        <f t="shared" si="271"/>
        <v>1.3020879860371664</v>
      </c>
      <c r="U552" s="681">
        <f t="shared" si="283"/>
        <v>0.51985035870587737</v>
      </c>
      <c r="V552" s="682">
        <f t="shared" si="284"/>
        <v>-1.4171541829575447</v>
      </c>
      <c r="W552" s="683">
        <f t="shared" si="272"/>
        <v>-37.137989682331344</v>
      </c>
      <c r="X552" s="684">
        <f t="shared" si="273"/>
        <v>-256.75387619799886</v>
      </c>
      <c r="Y552" s="687">
        <f t="shared" si="274"/>
        <v>-76.753876197998864</v>
      </c>
      <c r="AA552" s="170">
        <f t="shared" si="275"/>
        <v>86600.5</v>
      </c>
      <c r="AB552" s="170">
        <f t="shared" si="276"/>
        <v>7499646600.25</v>
      </c>
      <c r="AD552" s="686">
        <f t="shared" si="277"/>
        <v>27.089656067481052</v>
      </c>
      <c r="AE552" s="687">
        <f t="shared" si="278"/>
        <v>-74.727677389220062</v>
      </c>
      <c r="AG552" s="686">
        <f t="shared" si="279"/>
        <v>2.2292829032040102</v>
      </c>
      <c r="AH552" s="687">
        <f t="shared" si="280"/>
        <v>-19.632291417661186</v>
      </c>
      <c r="AJ552" s="170">
        <f t="shared" si="281"/>
        <v>0</v>
      </c>
      <c r="AK552" s="170">
        <f t="shared" si="293"/>
        <v>0</v>
      </c>
      <c r="AM552" s="170" t="str">
        <f t="shared" si="285"/>
        <v>1.91020951847708+0.414148080369487i</v>
      </c>
      <c r="AN552" s="170" t="str">
        <f t="shared" si="286"/>
        <v>2.71458601005674i</v>
      </c>
      <c r="AO552" s="170" t="str">
        <f t="shared" si="287"/>
        <v>0.152563992754398-0.703683549314819i</v>
      </c>
      <c r="AP552" s="170" t="str">
        <f t="shared" si="288"/>
        <v>-0.151701586412846-0.0690246800615812i</v>
      </c>
      <c r="AQ552" s="170" t="str">
        <f t="shared" si="289"/>
        <v>1.15170158641285+0.0690246800615812i</v>
      </c>
      <c r="AR552" s="170" t="str">
        <f t="shared" si="290"/>
        <v>0.720688964972781-0.043192894598763i</v>
      </c>
    </row>
    <row r="553" spans="7:44">
      <c r="G553" s="688">
        <v>87096</v>
      </c>
      <c r="H553" s="676">
        <f t="shared" si="282"/>
        <v>87.096000000000004</v>
      </c>
      <c r="I553" s="677">
        <f t="shared" si="262"/>
        <v>1073.6352023071581</v>
      </c>
      <c r="J553" s="678">
        <f t="shared" si="263"/>
        <v>1.5698649115968479</v>
      </c>
      <c r="K553" s="678">
        <f t="shared" si="264"/>
        <v>1.031197490957557</v>
      </c>
      <c r="L553" s="679">
        <f t="shared" si="265"/>
        <v>0.24660674338554869</v>
      </c>
      <c r="M553" s="678">
        <f t="shared" si="266"/>
        <v>1.1039216424320977</v>
      </c>
      <c r="N553" s="679">
        <f t="shared" si="267"/>
        <v>-0.43738737098490715</v>
      </c>
      <c r="O553" s="677">
        <f t="shared" si="268"/>
        <v>985032.55240034766</v>
      </c>
      <c r="P553" s="680">
        <f t="shared" si="269"/>
        <v>1.5707953116000206</v>
      </c>
      <c r="Q553" s="689">
        <f t="shared" si="291"/>
        <v>466.24981385697816</v>
      </c>
      <c r="R553" s="690">
        <f t="shared" si="292"/>
        <v>1.5686515521763194</v>
      </c>
      <c r="S553" s="677">
        <f t="shared" si="270"/>
        <v>3.7867086508381225</v>
      </c>
      <c r="T553" s="680">
        <f t="shared" si="271"/>
        <v>1.3035447533530888</v>
      </c>
      <c r="U553" s="681">
        <f t="shared" si="283"/>
        <v>0.51733821808915215</v>
      </c>
      <c r="V553" s="682">
        <f t="shared" si="284"/>
        <v>-1.4228215294817006</v>
      </c>
      <c r="W553" s="683">
        <f t="shared" si="272"/>
        <v>-37.263916608362507</v>
      </c>
      <c r="X553" s="684">
        <f t="shared" si="273"/>
        <v>-257.20966868885608</v>
      </c>
      <c r="Y553" s="687">
        <f t="shared" si="274"/>
        <v>-77.209668688856084</v>
      </c>
      <c r="AA553" s="170">
        <f t="shared" si="275"/>
        <v>87096</v>
      </c>
      <c r="AB553" s="170">
        <f t="shared" si="276"/>
        <v>7585713216</v>
      </c>
      <c r="AD553" s="686">
        <f t="shared" si="277"/>
        <v>27.043574036905294</v>
      </c>
      <c r="AE553" s="687">
        <f t="shared" si="278"/>
        <v>-74.810441226306736</v>
      </c>
      <c r="AG553" s="686">
        <f t="shared" si="279"/>
        <v>2.2335894120706747</v>
      </c>
      <c r="AH553" s="687">
        <f t="shared" si="280"/>
        <v>-19.355889996945031</v>
      </c>
      <c r="AJ553" s="170">
        <f t="shared" si="281"/>
        <v>0</v>
      </c>
      <c r="AK553" s="170">
        <f t="shared" si="293"/>
        <v>0</v>
      </c>
      <c r="AM553" s="170" t="str">
        <f t="shared" si="285"/>
        <v>1.91653201180837+0.399961337294624i</v>
      </c>
      <c r="AN553" s="170" t="str">
        <f t="shared" si="286"/>
        <v>2.73011799160399i</v>
      </c>
      <c r="AO553" s="170" t="str">
        <f t="shared" si="287"/>
        <v>0.146499652588143-0.701996037424879i</v>
      </c>
      <c r="AP553" s="170" t="str">
        <f t="shared" si="288"/>
        <v>-0.152755335301395-0.0666602228824373i</v>
      </c>
      <c r="AQ553" s="170" t="str">
        <f t="shared" si="289"/>
        <v>1.1527553353014+0.0666602228824373i</v>
      </c>
      <c r="AR553" s="170" t="str">
        <f t="shared" si="290"/>
        <v>0.720208140610823-0.0416473762511892i</v>
      </c>
    </row>
    <row r="554" spans="7:44">
      <c r="G554" s="688">
        <v>87603.25</v>
      </c>
      <c r="H554" s="676">
        <f t="shared" si="282"/>
        <v>87.603250000000003</v>
      </c>
      <c r="I554" s="677">
        <f t="shared" si="262"/>
        <v>1079.888084015593</v>
      </c>
      <c r="J554" s="678">
        <f t="shared" si="263"/>
        <v>1.5698703047767621</v>
      </c>
      <c r="K554" s="678">
        <f t="shared" si="264"/>
        <v>1.0315563642076617</v>
      </c>
      <c r="L554" s="679">
        <f t="shared" si="265"/>
        <v>0.24798498412248993</v>
      </c>
      <c r="M554" s="678">
        <f t="shared" si="266"/>
        <v>1.1050779053891564</v>
      </c>
      <c r="N554" s="679">
        <f t="shared" si="267"/>
        <v>-0.43961971357141433</v>
      </c>
      <c r="O554" s="677">
        <f t="shared" si="268"/>
        <v>990769.4147385098</v>
      </c>
      <c r="P554" s="680">
        <f t="shared" si="269"/>
        <v>1.5707953174783138</v>
      </c>
      <c r="Q554" s="689">
        <f t="shared" si="291"/>
        <v>468.96525582093273</v>
      </c>
      <c r="R554" s="690">
        <f t="shared" si="292"/>
        <v>1.5686639710491104</v>
      </c>
      <c r="S554" s="677">
        <f t="shared" si="270"/>
        <v>3.807228691976507</v>
      </c>
      <c r="T554" s="680">
        <f t="shared" si="271"/>
        <v>1.3050201793346621</v>
      </c>
      <c r="U554" s="681">
        <f t="shared" si="283"/>
        <v>0.51477815958124573</v>
      </c>
      <c r="V554" s="682">
        <f t="shared" si="284"/>
        <v>-1.4286141605307141</v>
      </c>
      <c r="W554" s="683">
        <f t="shared" si="272"/>
        <v>-37.392272159498894</v>
      </c>
      <c r="X554" s="684">
        <f t="shared" si="273"/>
        <v>-257.67463190800623</v>
      </c>
      <c r="Y554" s="687">
        <f t="shared" si="274"/>
        <v>-77.674631908006234</v>
      </c>
      <c r="AA554" s="170">
        <f t="shared" si="275"/>
        <v>87603.25</v>
      </c>
      <c r="AB554" s="170">
        <f t="shared" si="276"/>
        <v>7674329410.5625</v>
      </c>
      <c r="AD554" s="686">
        <f t="shared" si="277"/>
        <v>26.996632347934057</v>
      </c>
      <c r="AE554" s="687">
        <f t="shared" si="278"/>
        <v>-74.894265695934749</v>
      </c>
      <c r="AG554" s="686">
        <f t="shared" si="279"/>
        <v>2.2383535497903098</v>
      </c>
      <c r="AH554" s="687">
        <f t="shared" si="280"/>
        <v>-19.073242122938833</v>
      </c>
      <c r="AJ554" s="170">
        <f t="shared" si="281"/>
        <v>0</v>
      </c>
      <c r="AK554" s="170">
        <f t="shared" si="293"/>
        <v>0</v>
      </c>
      <c r="AM554" s="170" t="str">
        <f t="shared" si="285"/>
        <v>1.92277539214978+0.3853382613274i</v>
      </c>
      <c r="AN554" s="170" t="str">
        <f t="shared" si="286"/>
        <v>2.74601828956534i</v>
      </c>
      <c r="AO554" s="170" t="str">
        <f t="shared" si="287"/>
        <v>0.140326181654236-0.700204874620165i</v>
      </c>
      <c r="AP554" s="170" t="str">
        <f t="shared" si="288"/>
        <v>-0.15379589869163-0.0642230435545667i</v>
      </c>
      <c r="AQ554" s="170" t="str">
        <f t="shared" si="289"/>
        <v>1.15379589869163+0.0642230435545667i</v>
      </c>
      <c r="AR554" s="170" t="str">
        <f t="shared" si="290"/>
        <v>0.719734822095391-0.0400621642697697i</v>
      </c>
    </row>
    <row r="555" spans="7:44">
      <c r="G555" s="688">
        <v>88110.5</v>
      </c>
      <c r="H555" s="676">
        <f t="shared" si="282"/>
        <v>88.110500000000002</v>
      </c>
      <c r="I555" s="677">
        <f t="shared" si="262"/>
        <v>1086.1409657550766</v>
      </c>
      <c r="J555" s="678">
        <f t="shared" si="263"/>
        <v>1.5698756358599188</v>
      </c>
      <c r="K555" s="678">
        <f t="shared" si="264"/>
        <v>1.0319171955830218</v>
      </c>
      <c r="L555" s="679">
        <f t="shared" si="265"/>
        <v>0.24936226361286504</v>
      </c>
      <c r="M555" s="678">
        <f t="shared" si="266"/>
        <v>1.1062396638119576</v>
      </c>
      <c r="N555" s="679">
        <f t="shared" si="267"/>
        <v>-0.4418473784858214</v>
      </c>
      <c r="O555" s="677">
        <f t="shared" si="268"/>
        <v>996506.27707667195</v>
      </c>
      <c r="P555" s="680">
        <f t="shared" si="269"/>
        <v>1.5707953232889249</v>
      </c>
      <c r="Q555" s="689">
        <f t="shared" si="291"/>
        <v>471.68069785638232</v>
      </c>
      <c r="R555" s="690">
        <f t="shared" si="292"/>
        <v>1.5686762469322519</v>
      </c>
      <c r="S555" s="677">
        <f t="shared" si="270"/>
        <v>3.8277569321311007</v>
      </c>
      <c r="T555" s="680">
        <f t="shared" si="271"/>
        <v>1.3064797830618353</v>
      </c>
      <c r="U555" s="681">
        <f t="shared" si="283"/>
        <v>0.51222978144155151</v>
      </c>
      <c r="V555" s="682">
        <f t="shared" si="284"/>
        <v>-1.4343979390376076</v>
      </c>
      <c r="W555" s="683">
        <f t="shared" si="272"/>
        <v>-37.520070450628261</v>
      </c>
      <c r="X555" s="684">
        <f t="shared" si="273"/>
        <v>-258.13797306089901</v>
      </c>
      <c r="Y555" s="687">
        <f t="shared" si="274"/>
        <v>-78.137973060899014</v>
      </c>
      <c r="AA555" s="170">
        <f t="shared" si="275"/>
        <v>88110.5</v>
      </c>
      <c r="AB555" s="170">
        <f t="shared" si="276"/>
        <v>7763460210.25</v>
      </c>
      <c r="AD555" s="686">
        <f t="shared" si="277"/>
        <v>26.949924382165204</v>
      </c>
      <c r="AE555" s="687">
        <f t="shared" si="278"/>
        <v>-74.977191805987786</v>
      </c>
      <c r="AG555" s="686">
        <f t="shared" si="279"/>
        <v>2.2434747358421463</v>
      </c>
      <c r="AH555" s="687">
        <f t="shared" si="280"/>
        <v>-18.790884968854307</v>
      </c>
      <c r="AJ555" s="170">
        <f t="shared" si="281"/>
        <v>0</v>
      </c>
      <c r="AK555" s="170">
        <f t="shared" si="293"/>
        <v>0</v>
      </c>
      <c r="AM555" s="170" t="str">
        <f t="shared" si="285"/>
        <v>1.92878548181585+0.370617766395637i</v>
      </c>
      <c r="AN555" s="170" t="str">
        <f t="shared" si="286"/>
        <v>2.76191858752668i</v>
      </c>
      <c r="AO555" s="170" t="str">
        <f t="shared" si="287"/>
        <v>0.134188519556447-0.698349868285978i</v>
      </c>
      <c r="AP555" s="170" t="str">
        <f t="shared" si="288"/>
        <v>-0.154797580302642-0.0617696277326062i</v>
      </c>
      <c r="AQ555" s="170" t="str">
        <f t="shared" si="289"/>
        <v>1.15479758030264+0.0617696277326062i</v>
      </c>
      <c r="AR555" s="170" t="str">
        <f t="shared" si="290"/>
        <v>0.719280581193107-0.0384740100719185i</v>
      </c>
    </row>
    <row r="556" spans="7:44">
      <c r="G556" s="688">
        <v>88617.75</v>
      </c>
      <c r="H556" s="676">
        <f t="shared" si="282"/>
        <v>88.617750000000001</v>
      </c>
      <c r="I556" s="677">
        <f t="shared" si="262"/>
        <v>1092.3938475250752</v>
      </c>
      <c r="J556" s="678">
        <f t="shared" si="263"/>
        <v>1.5698809059126466</v>
      </c>
      <c r="K556" s="678">
        <f t="shared" si="264"/>
        <v>1.0322799830302609</v>
      </c>
      <c r="L556" s="679">
        <f t="shared" si="265"/>
        <v>0.25073857764230989</v>
      </c>
      <c r="M556" s="678">
        <f t="shared" si="266"/>
        <v>1.1074069004049516</v>
      </c>
      <c r="N556" s="679">
        <f t="shared" si="267"/>
        <v>-0.44407035837520675</v>
      </c>
      <c r="O556" s="677">
        <f t="shared" si="268"/>
        <v>1002243.139414834</v>
      </c>
      <c r="P556" s="680">
        <f t="shared" si="269"/>
        <v>1.5707953290330157</v>
      </c>
      <c r="Q556" s="689">
        <f t="shared" si="291"/>
        <v>474.3961399620992</v>
      </c>
      <c r="R556" s="690">
        <f t="shared" si="292"/>
        <v>1.5686883822811577</v>
      </c>
      <c r="S556" s="677">
        <f t="shared" si="270"/>
        <v>3.8482932400920196</v>
      </c>
      <c r="T556" s="680">
        <f t="shared" si="271"/>
        <v>1.3079238115701699</v>
      </c>
      <c r="U556" s="681">
        <f t="shared" si="283"/>
        <v>0.50969297183308093</v>
      </c>
      <c r="V556" s="682">
        <f t="shared" si="284"/>
        <v>-1.4401732286718505</v>
      </c>
      <c r="W556" s="683">
        <f t="shared" si="272"/>
        <v>-37.647318302633686</v>
      </c>
      <c r="X556" s="684">
        <f t="shared" si="273"/>
        <v>-258.59972687900699</v>
      </c>
      <c r="Y556" s="687">
        <f t="shared" si="274"/>
        <v>-78.599726879006994</v>
      </c>
      <c r="AA556" s="170">
        <f t="shared" si="275"/>
        <v>88617.75</v>
      </c>
      <c r="AB556" s="170">
        <f t="shared" si="276"/>
        <v>7853105615.0625</v>
      </c>
      <c r="AD556" s="686">
        <f t="shared" si="277"/>
        <v>26.903448035259231</v>
      </c>
      <c r="AE556" s="687">
        <f t="shared" si="278"/>
        <v>-75.059233569942606</v>
      </c>
      <c r="AG556" s="686">
        <f t="shared" si="279"/>
        <v>2.2489504289077002</v>
      </c>
      <c r="AH556" s="687">
        <f t="shared" si="280"/>
        <v>-18.508797579235718</v>
      </c>
      <c r="AJ556" s="170">
        <f t="shared" si="281"/>
        <v>0</v>
      </c>
      <c r="AK556" s="170">
        <f t="shared" si="293"/>
        <v>0</v>
      </c>
      <c r="AM556" s="170" t="str">
        <f t="shared" si="285"/>
        <v>1.9345607613709+0.35580357404872i</v>
      </c>
      <c r="AN556" s="170" t="str">
        <f t="shared" si="286"/>
        <v>2.77781888548802i</v>
      </c>
      <c r="AO556" s="170" t="str">
        <f t="shared" si="287"/>
        <v>0.12808739112097-0.696431567758971i</v>
      </c>
      <c r="AP556" s="170" t="str">
        <f t="shared" si="288"/>
        <v>-0.15576012689515-0.0593005956747867i</v>
      </c>
      <c r="AQ556" s="170" t="str">
        <f t="shared" si="289"/>
        <v>1.15576012689515+0.0593005956747867i</v>
      </c>
      <c r="AR556" s="170" t="str">
        <f t="shared" si="290"/>
        <v>0.718845367506778-0.0368830499506236i</v>
      </c>
    </row>
    <row r="557" spans="7:44">
      <c r="G557" s="688">
        <v>89125</v>
      </c>
      <c r="H557" s="676">
        <f t="shared" si="282"/>
        <v>89.125</v>
      </c>
      <c r="I557" s="677">
        <f t="shared" si="262"/>
        <v>1098.6467293250682</v>
      </c>
      <c r="J557" s="678">
        <f t="shared" si="263"/>
        <v>1.5698861159769979</v>
      </c>
      <c r="K557" s="678">
        <f t="shared" si="264"/>
        <v>1.0326447244877652</v>
      </c>
      <c r="L557" s="679">
        <f t="shared" si="265"/>
        <v>0.25211392201699717</v>
      </c>
      <c r="M557" s="678">
        <f t="shared" si="266"/>
        <v>1.108579597864048</v>
      </c>
      <c r="N557" s="679">
        <f t="shared" si="267"/>
        <v>-0.44628864610275598</v>
      </c>
      <c r="O557" s="677">
        <f t="shared" si="268"/>
        <v>1007980.0017529962</v>
      </c>
      <c r="P557" s="680">
        <f t="shared" si="269"/>
        <v>1.5707953347117221</v>
      </c>
      <c r="Q557" s="689">
        <f t="shared" si="291"/>
        <v>477.11158213688361</v>
      </c>
      <c r="R557" s="690">
        <f t="shared" si="292"/>
        <v>1.5687003794953416</v>
      </c>
      <c r="S557" s="677">
        <f t="shared" si="270"/>
        <v>3.8688374873842735</v>
      </c>
      <c r="T557" s="680">
        <f t="shared" si="271"/>
        <v>1.3093525069109329</v>
      </c>
      <c r="U557" s="681">
        <f t="shared" si="283"/>
        <v>0.50716761772114172</v>
      </c>
      <c r="V557" s="682">
        <f t="shared" si="284"/>
        <v>-1.4459403921583507</v>
      </c>
      <c r="W557" s="683">
        <f t="shared" si="272"/>
        <v>-37.774022499566271</v>
      </c>
      <c r="X557" s="684">
        <f t="shared" si="273"/>
        <v>-259.05992776712014</v>
      </c>
      <c r="Y557" s="687">
        <f t="shared" si="274"/>
        <v>-79.059927767120143</v>
      </c>
      <c r="AA557" s="170">
        <f t="shared" si="275"/>
        <v>89125</v>
      </c>
      <c r="AB557" s="170">
        <f t="shared" si="276"/>
        <v>7943265625</v>
      </c>
      <c r="AD557" s="686">
        <f t="shared" si="277"/>
        <v>26.857201227293626</v>
      </c>
      <c r="AE557" s="687">
        <f t="shared" si="278"/>
        <v>-75.140404718898367</v>
      </c>
      <c r="AG557" s="686">
        <f t="shared" si="279"/>
        <v>2.2547781902739503</v>
      </c>
      <c r="AH557" s="687">
        <f t="shared" si="280"/>
        <v>-18.226959062561175</v>
      </c>
      <c r="AJ557" s="170">
        <f t="shared" si="281"/>
        <v>0</v>
      </c>
      <c r="AK557" s="170">
        <f t="shared" si="293"/>
        <v>0</v>
      </c>
      <c r="AM557" s="170" t="str">
        <f t="shared" si="285"/>
        <v>1.94009977074253+0.34089942952408i</v>
      </c>
      <c r="AN557" s="170" t="str">
        <f t="shared" si="286"/>
        <v>2.79371918344936i</v>
      </c>
      <c r="AO557" s="170" t="str">
        <f t="shared" si="287"/>
        <v>0.122023513151804-0.694450531118564i</v>
      </c>
      <c r="AP557" s="170" t="str">
        <f t="shared" si="288"/>
        <v>-0.156683295123755-0.0568165715873467i</v>
      </c>
      <c r="AQ557" s="170" t="str">
        <f t="shared" si="289"/>
        <v>1.15668329512375+0.0568165715873467i</v>
      </c>
      <c r="AR557" s="170" t="str">
        <f t="shared" si="290"/>
        <v>0.718429132470491-0.0352894179483053i</v>
      </c>
    </row>
    <row r="558" spans="7:44">
      <c r="G558" s="688">
        <v>89644</v>
      </c>
      <c r="H558" s="676">
        <f t="shared" si="282"/>
        <v>89.644000000000005</v>
      </c>
      <c r="I558" s="677">
        <f t="shared" si="262"/>
        <v>1105.044453661538</v>
      </c>
      <c r="J558" s="678">
        <f t="shared" si="263"/>
        <v>1.569891385701194</v>
      </c>
      <c r="K558" s="678">
        <f t="shared" si="264"/>
        <v>1.0330199351302878</v>
      </c>
      <c r="L558" s="679">
        <f t="shared" si="265"/>
        <v>0.2535201170748721</v>
      </c>
      <c r="M558" s="678">
        <f t="shared" si="266"/>
        <v>1.1097850938472498</v>
      </c>
      <c r="N558" s="679">
        <f t="shared" si="267"/>
        <v>-0.44855345484019538</v>
      </c>
      <c r="O558" s="677">
        <f t="shared" si="268"/>
        <v>1013849.7534602532</v>
      </c>
      <c r="P558" s="680">
        <f t="shared" si="269"/>
        <v>1.5707953404554547</v>
      </c>
      <c r="Q558" s="689">
        <f t="shared" si="291"/>
        <v>479.8899252110167</v>
      </c>
      <c r="R558" s="690">
        <f t="shared" si="292"/>
        <v>1.5687125140887366</v>
      </c>
      <c r="S558" s="677">
        <f t="shared" si="270"/>
        <v>3.8898657102097038</v>
      </c>
      <c r="T558" s="680">
        <f t="shared" si="271"/>
        <v>1.3107986740323712</v>
      </c>
      <c r="U558" s="681">
        <f t="shared" si="283"/>
        <v>0.50459550350650018</v>
      </c>
      <c r="V558" s="682">
        <f t="shared" si="284"/>
        <v>-1.4518331136035174</v>
      </c>
      <c r="W558" s="683">
        <f t="shared" si="272"/>
        <v>-37.903106035728207</v>
      </c>
      <c r="X558" s="684">
        <f t="shared" si="273"/>
        <v>-259.52921704997055</v>
      </c>
      <c r="Y558" s="687">
        <f t="shared" si="274"/>
        <v>-79.529217049970555</v>
      </c>
      <c r="AA558" s="170">
        <f t="shared" si="275"/>
        <v>89644</v>
      </c>
      <c r="AB558" s="170">
        <f t="shared" si="276"/>
        <v>8036046736</v>
      </c>
      <c r="AD558" s="686">
        <f t="shared" si="277"/>
        <v>26.810118584786316</v>
      </c>
      <c r="AE558" s="687">
        <f t="shared" si="278"/>
        <v>-75.222569059625229</v>
      </c>
      <c r="AG558" s="686">
        <f t="shared" si="279"/>
        <v>2.2611029051150129</v>
      </c>
      <c r="AH558" s="687">
        <f t="shared" si="280"/>
        <v>-17.93882786660453</v>
      </c>
      <c r="AJ558" s="170">
        <f t="shared" si="281"/>
        <v>0</v>
      </c>
      <c r="AK558" s="170">
        <f t="shared" si="293"/>
        <v>0</v>
      </c>
      <c r="AM558" s="170" t="str">
        <f t="shared" si="285"/>
        <v>1.94552108313429+0.325560871955708i</v>
      </c>
      <c r="AN558" s="170" t="str">
        <f t="shared" si="286"/>
        <v>2.8099877978248i</v>
      </c>
      <c r="AO558" s="170" t="str">
        <f t="shared" si="287"/>
        <v>0.115858464655157-0.692359263851718i</v>
      </c>
      <c r="AP558" s="170" t="str">
        <f t="shared" si="288"/>
        <v>-0.157586847189048-0.0542601453259513i</v>
      </c>
      <c r="AQ558" s="170" t="str">
        <f t="shared" si="289"/>
        <v>1.15758684718905+0.0542601453259513i</v>
      </c>
      <c r="AR558" s="170" t="str">
        <f t="shared" si="290"/>
        <v>0.718022850193171-0.0336562429794717i</v>
      </c>
    </row>
    <row r="559" spans="7:44">
      <c r="G559" s="688">
        <v>90163</v>
      </c>
      <c r="H559" s="676">
        <f t="shared" si="282"/>
        <v>90.162999999999997</v>
      </c>
      <c r="I559" s="677">
        <f t="shared" si="262"/>
        <v>1111.4421780283412</v>
      </c>
      <c r="J559" s="678">
        <f t="shared" si="263"/>
        <v>1.5698965947578296</v>
      </c>
      <c r="K559" s="678">
        <f t="shared" si="264"/>
        <v>1.0333971869647756</v>
      </c>
      <c r="L559" s="679">
        <f t="shared" si="265"/>
        <v>0.25492528821887683</v>
      </c>
      <c r="M559" s="678">
        <f t="shared" si="266"/>
        <v>1.1109962699458142</v>
      </c>
      <c r="N559" s="679">
        <f t="shared" si="267"/>
        <v>-0.45081333709001098</v>
      </c>
      <c r="O559" s="677">
        <f t="shared" si="268"/>
        <v>1019719.5051675105</v>
      </c>
      <c r="P559" s="680">
        <f t="shared" si="269"/>
        <v>1.5707953461330628</v>
      </c>
      <c r="Q559" s="689">
        <f t="shared" si="291"/>
        <v>482.66826835499927</v>
      </c>
      <c r="R559" s="690">
        <f t="shared" si="292"/>
        <v>1.568724508983435</v>
      </c>
      <c r="S559" s="677">
        <f t="shared" si="270"/>
        <v>3.9109019808041485</v>
      </c>
      <c r="T559" s="680">
        <f t="shared" si="271"/>
        <v>1.3122292866015888</v>
      </c>
      <c r="U559" s="681">
        <f t="shared" si="283"/>
        <v>0.50203513861103877</v>
      </c>
      <c r="V559" s="682">
        <f t="shared" si="284"/>
        <v>-1.4577180934389968</v>
      </c>
      <c r="W559" s="683">
        <f t="shared" si="272"/>
        <v>-38.031634695752103</v>
      </c>
      <c r="X559" s="684">
        <f t="shared" si="273"/>
        <v>-259.99695248441964</v>
      </c>
      <c r="Y559" s="687">
        <f t="shared" si="274"/>
        <v>-79.996952484419637</v>
      </c>
      <c r="AA559" s="170">
        <f t="shared" si="275"/>
        <v>90163</v>
      </c>
      <c r="AB559" s="170">
        <f t="shared" si="276"/>
        <v>8129366569</v>
      </c>
      <c r="AD559" s="686">
        <f t="shared" si="277"/>
        <v>26.763271910383367</v>
      </c>
      <c r="AE559" s="687">
        <f t="shared" si="278"/>
        <v>-75.303850190513714</v>
      </c>
      <c r="AG559" s="686">
        <f t="shared" si="279"/>
        <v>2.2677913463122139</v>
      </c>
      <c r="AH559" s="687">
        <f t="shared" si="280"/>
        <v>-17.650913155209363</v>
      </c>
      <c r="AJ559" s="170">
        <f t="shared" si="281"/>
        <v>0</v>
      </c>
      <c r="AK559" s="170">
        <f t="shared" si="293"/>
        <v>0</v>
      </c>
      <c r="AM559" s="170" t="str">
        <f t="shared" si="285"/>
        <v>1.95069215204752+0.310136150803559i</v>
      </c>
      <c r="AN559" s="170" t="str">
        <f t="shared" si="286"/>
        <v>2.82625641220023i</v>
      </c>
      <c r="AO559" s="170" t="str">
        <f t="shared" si="287"/>
        <v>0.109733904349506-0.690203529880332i</v>
      </c>
      <c r="AP559" s="170" t="str">
        <f t="shared" si="288"/>
        <v>-0.158448692007921-0.0516893584672598i</v>
      </c>
      <c r="AQ559" s="170" t="str">
        <f t="shared" si="289"/>
        <v>1.15844869200792+0.0516893584672598i</v>
      </c>
      <c r="AR559" s="170" t="str">
        <f t="shared" si="290"/>
        <v>0.7176363391404-0.0320205480301985i</v>
      </c>
    </row>
    <row r="560" spans="7:44">
      <c r="G560" s="688">
        <v>90682</v>
      </c>
      <c r="H560" s="676">
        <f t="shared" si="282"/>
        <v>90.682000000000002</v>
      </c>
      <c r="I560" s="677">
        <f t="shared" si="262"/>
        <v>1117.8399024249575</v>
      </c>
      <c r="J560" s="678">
        <f t="shared" si="263"/>
        <v>1.5699017441885588</v>
      </c>
      <c r="K560" s="678">
        <f t="shared" si="264"/>
        <v>1.0337764777565768</v>
      </c>
      <c r="L560" s="679">
        <f t="shared" si="265"/>
        <v>0.25632943102398104</v>
      </c>
      <c r="M560" s="678">
        <f t="shared" si="266"/>
        <v>1.1122131076031716</v>
      </c>
      <c r="N560" s="679">
        <f t="shared" si="267"/>
        <v>-0.45306828590174525</v>
      </c>
      <c r="O560" s="677">
        <f t="shared" si="268"/>
        <v>1025589.2568747677</v>
      </c>
      <c r="P560" s="680">
        <f t="shared" si="269"/>
        <v>1.5707953517456814</v>
      </c>
      <c r="Q560" s="689">
        <f t="shared" si="291"/>
        <v>485.44661156763203</v>
      </c>
      <c r="R560" s="690">
        <f t="shared" si="292"/>
        <v>1.5687363665780347</v>
      </c>
      <c r="S560" s="677">
        <f t="shared" si="270"/>
        <v>3.9319461699987155</v>
      </c>
      <c r="T560" s="680">
        <f t="shared" si="271"/>
        <v>1.3136445884639698</v>
      </c>
      <c r="U560" s="681">
        <f t="shared" si="283"/>
        <v>0.49948639837881276</v>
      </c>
      <c r="V560" s="682">
        <f t="shared" si="284"/>
        <v>-1.4635957173484195</v>
      </c>
      <c r="W560" s="683">
        <f t="shared" si="272"/>
        <v>-38.15961563677503</v>
      </c>
      <c r="X560" s="684">
        <f t="shared" si="273"/>
        <v>-260.46316991744442</v>
      </c>
      <c r="Y560" s="687">
        <f t="shared" si="274"/>
        <v>-80.463169917444418</v>
      </c>
      <c r="AA560" s="170">
        <f t="shared" si="275"/>
        <v>90682</v>
      </c>
      <c r="AB560" s="170">
        <f t="shared" si="276"/>
        <v>8223225124</v>
      </c>
      <c r="AD560" s="686">
        <f t="shared" si="277"/>
        <v>26.71665905382801</v>
      </c>
      <c r="AE560" s="687">
        <f t="shared" si="278"/>
        <v>-75.38426194551063</v>
      </c>
      <c r="AG560" s="686">
        <f t="shared" si="279"/>
        <v>2.2748412272985759</v>
      </c>
      <c r="AH560" s="687">
        <f t="shared" si="280"/>
        <v>-17.363192745317448</v>
      </c>
      <c r="AJ560" s="170">
        <f t="shared" si="281"/>
        <v>0</v>
      </c>
      <c r="AK560" s="170">
        <f t="shared" si="293"/>
        <v>0</v>
      </c>
      <c r="AM560" s="170" t="str">
        <f t="shared" si="285"/>
        <v>1.95561160889692+0.294629348404808i</v>
      </c>
      <c r="AN560" s="170" t="str">
        <f t="shared" si="286"/>
        <v>2.84252502657566i</v>
      </c>
      <c r="AO560" s="170" t="str">
        <f t="shared" si="287"/>
        <v>0.10365057322283-0.68798395462249i</v>
      </c>
      <c r="AP560" s="170" t="str">
        <f t="shared" si="288"/>
        <v>-0.15926860148282-0.0491048914008013i</v>
      </c>
      <c r="AQ560" s="170" t="str">
        <f t="shared" si="289"/>
        <v>1.15926860148282+0.0491048914008013i</v>
      </c>
      <c r="AR560" s="170" t="str">
        <f t="shared" si="290"/>
        <v>0.717269553445775-0.0303824700177373i</v>
      </c>
    </row>
    <row r="561" spans="7:44">
      <c r="G561" s="688">
        <v>91201</v>
      </c>
      <c r="H561" s="676">
        <f t="shared" si="282"/>
        <v>91.200999999999993</v>
      </c>
      <c r="I561" s="677">
        <f t="shared" si="262"/>
        <v>1124.2376268508781</v>
      </c>
      <c r="J561" s="678">
        <f t="shared" si="263"/>
        <v>1.569906835011325</v>
      </c>
      <c r="K561" s="678">
        <f t="shared" si="264"/>
        <v>1.0341578052622493</v>
      </c>
      <c r="L561" s="679">
        <f t="shared" si="265"/>
        <v>0.25773254108784838</v>
      </c>
      <c r="M561" s="678">
        <f t="shared" si="266"/>
        <v>1.1134355882573204</v>
      </c>
      <c r="N561" s="679">
        <f t="shared" si="267"/>
        <v>-0.45531829455593609</v>
      </c>
      <c r="O561" s="677">
        <f t="shared" si="268"/>
        <v>1031459.008582025</v>
      </c>
      <c r="P561" s="680">
        <f t="shared" si="269"/>
        <v>1.5707953572944204</v>
      </c>
      <c r="Q561" s="689">
        <f t="shared" si="291"/>
        <v>488.22495484774299</v>
      </c>
      <c r="R561" s="690">
        <f t="shared" si="292"/>
        <v>1.5687480892165346</v>
      </c>
      <c r="S561" s="677">
        <f t="shared" si="270"/>
        <v>3.9529981513269781</v>
      </c>
      <c r="T561" s="680">
        <f t="shared" si="271"/>
        <v>1.3150448185187238</v>
      </c>
      <c r="U561" s="681">
        <f t="shared" si="283"/>
        <v>0.49694915704327786</v>
      </c>
      <c r="V561" s="682">
        <f t="shared" si="284"/>
        <v>-1.4694663701404427</v>
      </c>
      <c r="W561" s="683">
        <f t="shared" si="272"/>
        <v>-38.287055982536586</v>
      </c>
      <c r="X561" s="684">
        <f t="shared" si="273"/>
        <v>-260.92790487619823</v>
      </c>
      <c r="Y561" s="687">
        <f t="shared" si="274"/>
        <v>-80.927904876198227</v>
      </c>
      <c r="AA561" s="170">
        <f t="shared" si="275"/>
        <v>91201</v>
      </c>
      <c r="AB561" s="170">
        <f t="shared" si="276"/>
        <v>8317622401</v>
      </c>
      <c r="AD561" s="686">
        <f t="shared" si="277"/>
        <v>26.670277890413281</v>
      </c>
      <c r="AE561" s="687">
        <f t="shared" si="278"/>
        <v>-75.463817878294861</v>
      </c>
      <c r="AG561" s="686">
        <f t="shared" si="279"/>
        <v>2.2822503688118849</v>
      </c>
      <c r="AH561" s="687">
        <f t="shared" si="280"/>
        <v>-17.075644514579125</v>
      </c>
      <c r="AJ561" s="170">
        <f t="shared" si="281"/>
        <v>0</v>
      </c>
      <c r="AK561" s="170">
        <f t="shared" si="293"/>
        <v>0</v>
      </c>
      <c r="AM561" s="170" t="str">
        <f t="shared" si="285"/>
        <v>1.9602781516893+0.279044568820424i</v>
      </c>
      <c r="AN561" s="170" t="str">
        <f t="shared" si="286"/>
        <v>2.85879364095109i</v>
      </c>
      <c r="AO561" s="170" t="str">
        <f t="shared" si="287"/>
        <v>0.0976092029950049-0.685701172553727i</v>
      </c>
      <c r="AP561" s="170" t="str">
        <f t="shared" si="288"/>
        <v>-0.160046358614884-0.0465074281367373i</v>
      </c>
      <c r="AQ561" s="170" t="str">
        <f t="shared" si="289"/>
        <v>1.16004635861488+0.0465074281367373i</v>
      </c>
      <c r="AR561" s="170" t="str">
        <f t="shared" si="290"/>
        <v>0.716922449378782-0.0287421438345867i</v>
      </c>
    </row>
    <row r="562" spans="7:44">
      <c r="G562" s="688">
        <v>91732</v>
      </c>
      <c r="H562" s="676">
        <f t="shared" si="282"/>
        <v>91.731999999999999</v>
      </c>
      <c r="I562" s="677">
        <f t="shared" si="262"/>
        <v>1130.7832755707909</v>
      </c>
      <c r="J562" s="678">
        <f t="shared" si="263"/>
        <v>1.5699119839221751</v>
      </c>
      <c r="K562" s="678">
        <f t="shared" si="264"/>
        <v>1.0345500551357201</v>
      </c>
      <c r="L562" s="679">
        <f t="shared" si="265"/>
        <v>0.25916701960054195</v>
      </c>
      <c r="M562" s="678">
        <f t="shared" si="266"/>
        <v>1.1146921552126836</v>
      </c>
      <c r="N562" s="679">
        <f t="shared" si="267"/>
        <v>-0.45761520695143559</v>
      </c>
      <c r="O562" s="677">
        <f t="shared" si="268"/>
        <v>1037464.4770917621</v>
      </c>
      <c r="P562" s="680">
        <f t="shared" si="269"/>
        <v>1.5707953629064724</v>
      </c>
      <c r="Q562" s="689">
        <f t="shared" si="291"/>
        <v>491.06753734748128</v>
      </c>
      <c r="R562" s="690">
        <f t="shared" si="292"/>
        <v>1.5687599456149406</v>
      </c>
      <c r="S562" s="677">
        <f t="shared" si="270"/>
        <v>3.9745448189994468</v>
      </c>
      <c r="T562" s="680">
        <f t="shared" si="271"/>
        <v>1.3164620693706939</v>
      </c>
      <c r="U562" s="681">
        <f t="shared" si="283"/>
        <v>0.49436501966188579</v>
      </c>
      <c r="V562" s="682">
        <f t="shared" si="284"/>
        <v>-1.4754659462689974</v>
      </c>
      <c r="W562" s="683">
        <f t="shared" si="272"/>
        <v>-38.416890833489092</v>
      </c>
      <c r="X562" s="684">
        <f t="shared" si="273"/>
        <v>-261.40188759251532</v>
      </c>
      <c r="Y562" s="687">
        <f t="shared" si="274"/>
        <v>-81.401887592515322</v>
      </c>
      <c r="AA562" s="170">
        <f t="shared" si="275"/>
        <v>91732</v>
      </c>
      <c r="AB562" s="170">
        <f t="shared" si="276"/>
        <v>8414759824</v>
      </c>
      <c r="AD562" s="686">
        <f t="shared" si="277"/>
        <v>26.62306193139624</v>
      </c>
      <c r="AE562" s="687">
        <f t="shared" si="278"/>
        <v>-75.544341370674061</v>
      </c>
      <c r="AG562" s="686">
        <f t="shared" si="279"/>
        <v>2.290200474973664</v>
      </c>
      <c r="AH562" s="687">
        <f t="shared" si="280"/>
        <v>-16.781602955664173</v>
      </c>
      <c r="AJ562" s="170">
        <f t="shared" si="281"/>
        <v>0</v>
      </c>
      <c r="AK562" s="170">
        <f t="shared" si="293"/>
        <v>0</v>
      </c>
      <c r="AM562" s="170" t="str">
        <f t="shared" si="285"/>
        <v>1.96478955051113+0.263023046945567i</v>
      </c>
      <c r="AN562" s="170" t="str">
        <f t="shared" si="286"/>
        <v>2.87543840826005i</v>
      </c>
      <c r="AO562" s="170" t="str">
        <f t="shared" si="287"/>
        <v>0.0914723285986585-0.683300864614951i</v>
      </c>
      <c r="AP562" s="170" t="str">
        <f t="shared" si="288"/>
        <v>-0.160798258418522-0.0438371744909278i</v>
      </c>
      <c r="AQ562" s="170" t="str">
        <f t="shared" si="289"/>
        <v>1.16079825841852+0.0438371744909278i</v>
      </c>
      <c r="AR562" s="170" t="str">
        <f t="shared" si="290"/>
        <v>0.716587645934551-0.0270617029660896i</v>
      </c>
    </row>
    <row r="563" spans="7:44">
      <c r="G563" s="688">
        <v>92263</v>
      </c>
      <c r="H563" s="676">
        <f t="shared" si="282"/>
        <v>92.263000000000005</v>
      </c>
      <c r="I563" s="677">
        <f t="shared" si="262"/>
        <v>1137.3289243203371</v>
      </c>
      <c r="J563" s="678">
        <f t="shared" si="263"/>
        <v>1.569917073566157</v>
      </c>
      <c r="K563" s="678">
        <f t="shared" si="264"/>
        <v>1.0349444322162042</v>
      </c>
      <c r="L563" s="679">
        <f t="shared" si="265"/>
        <v>0.26060040781292476</v>
      </c>
      <c r="M563" s="678">
        <f t="shared" si="266"/>
        <v>1.115954589806339</v>
      </c>
      <c r="N563" s="679">
        <f t="shared" si="267"/>
        <v>-0.45990693460548071</v>
      </c>
      <c r="O563" s="677">
        <f t="shared" si="268"/>
        <v>1043469.9456014993</v>
      </c>
      <c r="P563" s="680">
        <f t="shared" si="269"/>
        <v>1.5707953684539264</v>
      </c>
      <c r="Q563" s="689">
        <f t="shared" si="291"/>
        <v>493.91011991545622</v>
      </c>
      <c r="R563" s="690">
        <f t="shared" si="292"/>
        <v>1.5687716655399695</v>
      </c>
      <c r="S563" s="677">
        <f t="shared" si="270"/>
        <v>3.9960993838428625</v>
      </c>
      <c r="T563" s="680">
        <f t="shared" si="271"/>
        <v>1.3178640339915484</v>
      </c>
      <c r="U563" s="681">
        <f t="shared" si="283"/>
        <v>0.491792649355693</v>
      </c>
      <c r="V563" s="682">
        <f t="shared" si="284"/>
        <v>-1.4814590374979977</v>
      </c>
      <c r="W563" s="683">
        <f t="shared" si="272"/>
        <v>-38.54617478833898</v>
      </c>
      <c r="X563" s="684">
        <f t="shared" si="273"/>
        <v>-261.87439274063706</v>
      </c>
      <c r="Y563" s="687">
        <f t="shared" si="274"/>
        <v>-81.874392740637063</v>
      </c>
      <c r="AA563" s="170">
        <f t="shared" si="275"/>
        <v>92263</v>
      </c>
      <c r="AB563" s="170">
        <f t="shared" si="276"/>
        <v>8512461169</v>
      </c>
      <c r="AD563" s="686">
        <f t="shared" si="277"/>
        <v>26.576084084482012</v>
      </c>
      <c r="AE563" s="687">
        <f t="shared" si="278"/>
        <v>-75.623996842172048</v>
      </c>
      <c r="AG563" s="686">
        <f t="shared" si="279"/>
        <v>2.2985223709194234</v>
      </c>
      <c r="AH563" s="687">
        <f t="shared" si="280"/>
        <v>-16.487694964185994</v>
      </c>
      <c r="AJ563" s="170">
        <f t="shared" si="281"/>
        <v>0</v>
      </c>
      <c r="AK563" s="170">
        <f t="shared" si="293"/>
        <v>0</v>
      </c>
      <c r="AM563" s="170" t="str">
        <f t="shared" si="285"/>
        <v>1.96903366221966+0.24692865667063i</v>
      </c>
      <c r="AN563" s="170" t="str">
        <f t="shared" si="286"/>
        <v>2.89208317556902i</v>
      </c>
      <c r="AO563" s="170" t="str">
        <f t="shared" si="287"/>
        <v>0.0853808973256955-0.68083576532416i</v>
      </c>
      <c r="AP563" s="170" t="str">
        <f t="shared" si="288"/>
        <v>-0.161505610369943-0.0411547761117717i</v>
      </c>
      <c r="AQ563" s="170" t="str">
        <f t="shared" si="289"/>
        <v>1.16150561036994+0.0411547761117717i</v>
      </c>
      <c r="AR563" s="170" t="str">
        <f t="shared" si="290"/>
        <v>0.716273359125609-0.0253791884141243i</v>
      </c>
    </row>
    <row r="564" spans="7:44">
      <c r="G564" s="688">
        <v>92794</v>
      </c>
      <c r="H564" s="676">
        <f t="shared" si="282"/>
        <v>92.793999999999997</v>
      </c>
      <c r="I564" s="677">
        <f t="shared" si="262"/>
        <v>1143.8745730990083</v>
      </c>
      <c r="J564" s="678">
        <f t="shared" si="263"/>
        <v>1.5699221049607071</v>
      </c>
      <c r="K564" s="678">
        <f t="shared" si="264"/>
        <v>1.0353409340728454</v>
      </c>
      <c r="L564" s="679">
        <f t="shared" si="265"/>
        <v>0.26203270108422677</v>
      </c>
      <c r="M564" s="678">
        <f t="shared" si="266"/>
        <v>1.1172228721474222</v>
      </c>
      <c r="N564" s="679">
        <f t="shared" si="267"/>
        <v>-0.46219347106245356</v>
      </c>
      <c r="O564" s="677">
        <f t="shared" si="268"/>
        <v>1049475.4141112366</v>
      </c>
      <c r="P564" s="680">
        <f t="shared" si="269"/>
        <v>1.5707953739378915</v>
      </c>
      <c r="Q564" s="689">
        <f t="shared" si="291"/>
        <v>496.75270255049668</v>
      </c>
      <c r="R564" s="690">
        <f t="shared" si="292"/>
        <v>1.5687832513344551</v>
      </c>
      <c r="S564" s="677">
        <f t="shared" si="270"/>
        <v>4.0176617187533834</v>
      </c>
      <c r="T564" s="680">
        <f t="shared" si="271"/>
        <v>1.3192509529437486</v>
      </c>
      <c r="U564" s="681">
        <f t="shared" si="283"/>
        <v>0.48923190811010298</v>
      </c>
      <c r="V564" s="682">
        <f t="shared" si="284"/>
        <v>-1.487446053384079</v>
      </c>
      <c r="W564" s="683">
        <f t="shared" si="272"/>
        <v>-38.674915379305197</v>
      </c>
      <c r="X564" s="684">
        <f t="shared" si="273"/>
        <v>-262.3454573897846</v>
      </c>
      <c r="Y564" s="687">
        <f t="shared" si="274"/>
        <v>-82.345457389784599</v>
      </c>
      <c r="AA564" s="170">
        <f t="shared" si="275"/>
        <v>92794</v>
      </c>
      <c r="AB564" s="170">
        <f t="shared" si="276"/>
        <v>8610726436</v>
      </c>
      <c r="AD564" s="686">
        <f t="shared" si="277"/>
        <v>26.529342155192808</v>
      </c>
      <c r="AE564" s="687">
        <f t="shared" si="278"/>
        <v>-75.702797941831591</v>
      </c>
      <c r="AG564" s="686">
        <f t="shared" si="279"/>
        <v>2.3072140643326691</v>
      </c>
      <c r="AH564" s="687">
        <f t="shared" si="280"/>
        <v>-16.193897028589582</v>
      </c>
      <c r="AJ564" s="170">
        <f t="shared" si="281"/>
        <v>0</v>
      </c>
      <c r="AK564" s="170">
        <f t="shared" si="293"/>
        <v>0</v>
      </c>
      <c r="AM564" s="170" t="str">
        <f t="shared" si="285"/>
        <v>1.97300931101818+0.230765856815812i</v>
      </c>
      <c r="AN564" s="170" t="str">
        <f t="shared" si="286"/>
        <v>2.90872794287798i</v>
      </c>
      <c r="AO564" s="170" t="str">
        <f t="shared" si="287"/>
        <v>0.0793356619620759-0.678306582727715i</v>
      </c>
      <c r="AP564" s="170" t="str">
        <f t="shared" si="288"/>
        <v>-0.162168218503029-0.0384609761359687i</v>
      </c>
      <c r="AQ564" s="170" t="str">
        <f t="shared" si="289"/>
        <v>1.16216821850303+0.0384609761359687i</v>
      </c>
      <c r="AR564" s="170" t="str">
        <f t="shared" si="290"/>
        <v>0.715979549233414-0.0236947387809127i</v>
      </c>
    </row>
    <row r="565" spans="7:44">
      <c r="G565" s="688">
        <v>93325</v>
      </c>
      <c r="H565" s="676">
        <f t="shared" si="282"/>
        <v>93.325000000000003</v>
      </c>
      <c r="I565" s="677">
        <f t="shared" si="262"/>
        <v>1150.420221906307</v>
      </c>
      <c r="J565" s="678">
        <f t="shared" si="263"/>
        <v>1.5699270791001065</v>
      </c>
      <c r="K565" s="678">
        <f t="shared" si="264"/>
        <v>1.0357395582654232</v>
      </c>
      <c r="L565" s="679">
        <f t="shared" si="265"/>
        <v>0.26346389479873489</v>
      </c>
      <c r="M565" s="678">
        <f t="shared" si="266"/>
        <v>1.1184969823433593</v>
      </c>
      <c r="N565" s="679">
        <f t="shared" si="267"/>
        <v>-0.46447481011307484</v>
      </c>
      <c r="O565" s="677">
        <f t="shared" si="268"/>
        <v>1055480.882620974</v>
      </c>
      <c r="P565" s="680">
        <f t="shared" si="269"/>
        <v>1.5707953793594513</v>
      </c>
      <c r="Q565" s="689">
        <f t="shared" si="291"/>
        <v>499.59528525145782</v>
      </c>
      <c r="R565" s="690">
        <f t="shared" si="292"/>
        <v>1.5687947052879101</v>
      </c>
      <c r="S565" s="677">
        <f t="shared" si="270"/>
        <v>4.0392316992958692</v>
      </c>
      <c r="T565" s="680">
        <f t="shared" si="271"/>
        <v>1.320623061885543</v>
      </c>
      <c r="U565" s="681">
        <f t="shared" si="283"/>
        <v>0.48668265688062889</v>
      </c>
      <c r="V565" s="682">
        <f t="shared" si="284"/>
        <v>-1.493427402714701</v>
      </c>
      <c r="W565" s="683">
        <f t="shared" si="272"/>
        <v>-38.80312010967701</v>
      </c>
      <c r="X565" s="684">
        <f t="shared" si="273"/>
        <v>-262.81511829852337</v>
      </c>
      <c r="Y565" s="687">
        <f t="shared" si="274"/>
        <v>-82.815118298523373</v>
      </c>
      <c r="AA565" s="170">
        <f t="shared" si="275"/>
        <v>93325</v>
      </c>
      <c r="AB565" s="170">
        <f t="shared" si="276"/>
        <v>8709555625</v>
      </c>
      <c r="AD565" s="686">
        <f t="shared" si="277"/>
        <v>26.48283397570134</v>
      </c>
      <c r="AE565" s="687">
        <f t="shared" si="278"/>
        <v>-75.780758040758428</v>
      </c>
      <c r="AG565" s="686">
        <f t="shared" si="279"/>
        <v>2.3162736759114395</v>
      </c>
      <c r="AH565" s="687">
        <f t="shared" si="280"/>
        <v>-15.900185692742243</v>
      </c>
      <c r="AJ565" s="170">
        <f t="shared" si="281"/>
        <v>0</v>
      </c>
      <c r="AK565" s="170">
        <f t="shared" si="293"/>
        <v>0</v>
      </c>
      <c r="AM565" s="170" t="str">
        <f t="shared" si="285"/>
        <v>1.97671539548547+0.214539125153591i</v>
      </c>
      <c r="AN565" s="170" t="str">
        <f t="shared" si="286"/>
        <v>2.92537271018695i</v>
      </c>
      <c r="AO565" s="170" t="str">
        <f t="shared" si="287"/>
        <v>0.0733373646395575-0.675714034181698i</v>
      </c>
      <c r="AP565" s="170" t="str">
        <f t="shared" si="288"/>
        <v>-0.162785899247578-0.0357565208589318i</v>
      </c>
      <c r="AQ565" s="170" t="str">
        <f t="shared" si="289"/>
        <v>1.16278589924758+0.0357565208589318i</v>
      </c>
      <c r="AR565" s="170" t="str">
        <f t="shared" si="290"/>
        <v>0.715706178990882-0.0220084909307152i</v>
      </c>
    </row>
    <row r="566" spans="7:44">
      <c r="G566" s="688">
        <v>93868.5</v>
      </c>
      <c r="H566" s="676">
        <f t="shared" si="282"/>
        <v>93.868499999999997</v>
      </c>
      <c r="I566" s="677">
        <f t="shared" si="262"/>
        <v>1157.1199585206946</v>
      </c>
      <c r="J566" s="678">
        <f t="shared" si="263"/>
        <v>1.5699321120545715</v>
      </c>
      <c r="K566" s="678">
        <f t="shared" si="264"/>
        <v>1.036149761575254</v>
      </c>
      <c r="L566" s="679">
        <f t="shared" si="265"/>
        <v>0.264927636035311</v>
      </c>
      <c r="M566" s="678">
        <f t="shared" si="266"/>
        <v>1.1198071002097747</v>
      </c>
      <c r="N566" s="679">
        <f t="shared" si="267"/>
        <v>-0.46680446440738477</v>
      </c>
      <c r="O566" s="677">
        <f t="shared" si="268"/>
        <v>1061627.7227999612</v>
      </c>
      <c r="P566" s="680">
        <f t="shared" si="269"/>
        <v>1.5707953848451166</v>
      </c>
      <c r="Q566" s="689">
        <f t="shared" si="291"/>
        <v>502.50478380814695</v>
      </c>
      <c r="R566" s="690">
        <f t="shared" si="292"/>
        <v>1.5688062946752819</v>
      </c>
      <c r="S566" s="677">
        <f t="shared" si="270"/>
        <v>4.0613172383200116</v>
      </c>
      <c r="T566" s="680">
        <f t="shared" si="271"/>
        <v>1.3220123748162702</v>
      </c>
      <c r="U566" s="681">
        <f t="shared" si="283"/>
        <v>0.48408514778954986</v>
      </c>
      <c r="V566" s="682">
        <f t="shared" si="284"/>
        <v>-1.4995441136230312</v>
      </c>
      <c r="W566" s="683">
        <f t="shared" si="272"/>
        <v>-38.933795714421969</v>
      </c>
      <c r="X566" s="684">
        <f t="shared" si="273"/>
        <v>-263.29441960797828</v>
      </c>
      <c r="Y566" s="687">
        <f t="shared" si="274"/>
        <v>-83.294419607978284</v>
      </c>
      <c r="AA566" s="170">
        <f t="shared" si="275"/>
        <v>93868.5</v>
      </c>
      <c r="AB566" s="170">
        <f t="shared" si="276"/>
        <v>8811295292.25</v>
      </c>
      <c r="AD566" s="686">
        <f t="shared" si="277"/>
        <v>26.435470804366453</v>
      </c>
      <c r="AE566" s="687">
        <f t="shared" si="278"/>
        <v>-75.859696099524172</v>
      </c>
      <c r="AG566" s="686">
        <f t="shared" si="279"/>
        <v>2.3259257229227757</v>
      </c>
      <c r="AH566" s="687">
        <f t="shared" si="280"/>
        <v>-15.599625503532588</v>
      </c>
      <c r="AJ566" s="170">
        <f t="shared" si="281"/>
        <v>0</v>
      </c>
      <c r="AK566" s="170">
        <f t="shared" si="293"/>
        <v>0</v>
      </c>
      <c r="AM566" s="170" t="str">
        <f t="shared" si="285"/>
        <v>1.98022849429655+0.197868893384277i</v>
      </c>
      <c r="AN566" s="170" t="str">
        <f t="shared" si="286"/>
        <v>2.94240930346835i</v>
      </c>
      <c r="AO566" s="170" t="str">
        <f t="shared" si="287"/>
        <v>0.0672472361853397-0.672995593088414i</v>
      </c>
      <c r="AP566" s="170" t="str">
        <f t="shared" si="288"/>
        <v>-0.163371415716092-0.0329781488973795i</v>
      </c>
      <c r="AQ566" s="170" t="str">
        <f t="shared" si="289"/>
        <v>1.16337141571609+0.0329781488973795i</v>
      </c>
      <c r="AR566" s="170" t="str">
        <f t="shared" si="290"/>
        <v>0.715447504233056-0.0202808269174582i</v>
      </c>
    </row>
    <row r="567" spans="7:44">
      <c r="G567" s="688">
        <v>94412</v>
      </c>
      <c r="H567" s="676">
        <f t="shared" si="282"/>
        <v>94.412000000000006</v>
      </c>
      <c r="I567" s="677">
        <f t="shared" si="262"/>
        <v>1163.8196951640552</v>
      </c>
      <c r="J567" s="678">
        <f t="shared" si="263"/>
        <v>1.5699370870628282</v>
      </c>
      <c r="K567" s="678">
        <f t="shared" si="264"/>
        <v>1.0365621831159184</v>
      </c>
      <c r="L567" s="679">
        <f t="shared" si="265"/>
        <v>0.26639021563316012</v>
      </c>
      <c r="M567" s="678">
        <f t="shared" si="266"/>
        <v>1.1211232813697971</v>
      </c>
      <c r="N567" s="679">
        <f t="shared" si="267"/>
        <v>-0.46912866133591097</v>
      </c>
      <c r="O567" s="677">
        <f t="shared" si="268"/>
        <v>1067774.5629789485</v>
      </c>
      <c r="P567" s="680">
        <f t="shared" si="269"/>
        <v>1.5707953902676233</v>
      </c>
      <c r="Q567" s="689">
        <f t="shared" si="291"/>
        <v>505.41428243155246</v>
      </c>
      <c r="R567" s="690">
        <f t="shared" si="292"/>
        <v>1.5688177506303096</v>
      </c>
      <c r="S567" s="677">
        <f t="shared" si="270"/>
        <v>4.0834105316537057</v>
      </c>
      <c r="T567" s="680">
        <f t="shared" si="271"/>
        <v>1.3233866566200909</v>
      </c>
      <c r="U567" s="681">
        <f t="shared" si="283"/>
        <v>0.48149937814989535</v>
      </c>
      <c r="V567" s="682">
        <f t="shared" si="284"/>
        <v>-1.5056557523947407</v>
      </c>
      <c r="W567" s="683">
        <f t="shared" si="272"/>
        <v>-39.063925754707014</v>
      </c>
      <c r="X567" s="684">
        <f t="shared" si="273"/>
        <v>-263.77232727966509</v>
      </c>
      <c r="Y567" s="687">
        <f t="shared" si="274"/>
        <v>-83.772327279665092</v>
      </c>
      <c r="AA567" s="170">
        <f t="shared" si="275"/>
        <v>94412</v>
      </c>
      <c r="AB567" s="170">
        <f t="shared" si="276"/>
        <v>8913625744</v>
      </c>
      <c r="AD567" s="686">
        <f t="shared" si="277"/>
        <v>26.38834800595799</v>
      </c>
      <c r="AE567" s="687">
        <f t="shared" si="278"/>
        <v>-75.937780579647324</v>
      </c>
      <c r="AG567" s="686">
        <f t="shared" si="279"/>
        <v>2.3359595884995694</v>
      </c>
      <c r="AH567" s="687">
        <f t="shared" si="280"/>
        <v>-15.299106479240997</v>
      </c>
      <c r="AJ567" s="170">
        <f t="shared" si="281"/>
        <v>0</v>
      </c>
      <c r="AK567" s="170">
        <f t="shared" si="293"/>
        <v>0</v>
      </c>
      <c r="AM567" s="170" t="str">
        <f t="shared" si="285"/>
        <v>1.9834570930691+0.181141232446031i</v>
      </c>
      <c r="AN567" s="170" t="str">
        <f t="shared" si="286"/>
        <v>2.95944589674975i</v>
      </c>
      <c r="AO567" s="170" t="str">
        <f t="shared" si="287"/>
        <v>0.0612078202358664-0.670212317531284i</v>
      </c>
      <c r="AP567" s="170" t="str">
        <f t="shared" si="288"/>
        <v>-0.163909515511517-0.0301902054076718i</v>
      </c>
      <c r="AQ567" s="170" t="str">
        <f t="shared" si="289"/>
        <v>1.16390951551152+0.0301902054076718i</v>
      </c>
      <c r="AR567" s="170" t="str">
        <f t="shared" si="290"/>
        <v>0.715210171731492-0.0185515641091228i</v>
      </c>
    </row>
    <row r="568" spans="7:44">
      <c r="G568" s="688">
        <v>94955.5</v>
      </c>
      <c r="H568" s="676">
        <f t="shared" si="282"/>
        <v>94.955500000000001</v>
      </c>
      <c r="I568" s="677">
        <f t="shared" si="262"/>
        <v>1170.5194318358915</v>
      </c>
      <c r="J568" s="678">
        <f t="shared" si="263"/>
        <v>1.5699420051198811</v>
      </c>
      <c r="K568" s="678">
        <f t="shared" si="264"/>
        <v>1.0369768202407434</v>
      </c>
      <c r="L568" s="679">
        <f t="shared" si="265"/>
        <v>0.26785162872471102</v>
      </c>
      <c r="M568" s="678">
        <f t="shared" si="266"/>
        <v>1.1224455044939468</v>
      </c>
      <c r="N568" s="679">
        <f t="shared" si="267"/>
        <v>-0.47144739503071076</v>
      </c>
      <c r="O568" s="677">
        <f t="shared" si="268"/>
        <v>1073921.4031579355</v>
      </c>
      <c r="P568" s="680">
        <f t="shared" si="269"/>
        <v>1.570795395628056</v>
      </c>
      <c r="Q568" s="689">
        <f t="shared" si="291"/>
        <v>508.32378112052862</v>
      </c>
      <c r="R568" s="690">
        <f t="shared" si="292"/>
        <v>1.5688290754441749</v>
      </c>
      <c r="S568" s="677">
        <f t="shared" si="270"/>
        <v>4.1055114541104318</v>
      </c>
      <c r="T568" s="680">
        <f t="shared" si="271"/>
        <v>1.324746144811741</v>
      </c>
      <c r="U568" s="681">
        <f t="shared" si="283"/>
        <v>0.47892519577604686</v>
      </c>
      <c r="V568" s="682">
        <f t="shared" si="284"/>
        <v>-1.511762755193335</v>
      </c>
      <c r="W568" s="683">
        <f t="shared" si="272"/>
        <v>-39.193518194774221</v>
      </c>
      <c r="X568" s="684">
        <f t="shared" si="273"/>
        <v>-264.24887978098332</v>
      </c>
      <c r="Y568" s="687">
        <f t="shared" si="274"/>
        <v>-84.248879780983316</v>
      </c>
      <c r="AA568" s="170">
        <f t="shared" si="275"/>
        <v>94955.5</v>
      </c>
      <c r="AB568" s="170">
        <f t="shared" si="276"/>
        <v>9016546980.25</v>
      </c>
      <c r="AD568" s="686">
        <f t="shared" si="277"/>
        <v>26.341463340457629</v>
      </c>
      <c r="AE568" s="687">
        <f t="shared" si="278"/>
        <v>-76.015024958506942</v>
      </c>
      <c r="AG568" s="686">
        <f t="shared" si="279"/>
        <v>2.34637361924882</v>
      </c>
      <c r="AH568" s="687">
        <f t="shared" si="280"/>
        <v>-14.998603629231894</v>
      </c>
      <c r="AJ568" s="170">
        <f t="shared" si="281"/>
        <v>0</v>
      </c>
      <c r="AK568" s="170">
        <f t="shared" si="293"/>
        <v>0</v>
      </c>
      <c r="AM568" s="170" t="str">
        <f t="shared" si="285"/>
        <v>1.9864002547395+0.164360997349913i</v>
      </c>
      <c r="AN568" s="170" t="str">
        <f t="shared" si="286"/>
        <v>2.97648249003115i</v>
      </c>
      <c r="AO568" s="170" t="str">
        <f t="shared" si="287"/>
        <v>0.0552198771201886-0.667365005973447i</v>
      </c>
      <c r="AP568" s="170" t="str">
        <f t="shared" si="288"/>
        <v>-0.164400042456583-0.0273934995583188i</v>
      </c>
      <c r="AQ568" s="170" t="str">
        <f t="shared" si="289"/>
        <v>1.16440004245658+0.0273934995583188i</v>
      </c>
      <c r="AR568" s="170" t="str">
        <f t="shared" si="290"/>
        <v>0.714994149648238-0.0168208443906166i</v>
      </c>
    </row>
    <row r="569" spans="7:44">
      <c r="G569" s="688">
        <v>95499</v>
      </c>
      <c r="H569" s="676">
        <f t="shared" si="282"/>
        <v>95.498999999999995</v>
      </c>
      <c r="I569" s="677">
        <f t="shared" si="262"/>
        <v>1177.2191685357175</v>
      </c>
      <c r="J569" s="678">
        <f t="shared" si="263"/>
        <v>1.5699468671980847</v>
      </c>
      <c r="K569" s="678">
        <f t="shared" si="264"/>
        <v>1.0373936702930806</v>
      </c>
      <c r="L569" s="679">
        <f t="shared" si="265"/>
        <v>0.26931187047008454</v>
      </c>
      <c r="M569" s="678">
        <f t="shared" si="266"/>
        <v>1.1237737482554455</v>
      </c>
      <c r="N569" s="679">
        <f t="shared" si="267"/>
        <v>-0.47376065988637839</v>
      </c>
      <c r="O569" s="677">
        <f t="shared" si="268"/>
        <v>1080068.243336923</v>
      </c>
      <c r="P569" s="680">
        <f t="shared" si="269"/>
        <v>1.5707954009274747</v>
      </c>
      <c r="Q569" s="689">
        <f t="shared" si="291"/>
        <v>511.23327987395595</v>
      </c>
      <c r="R569" s="690">
        <f t="shared" si="292"/>
        <v>1.5688402713559022</v>
      </c>
      <c r="S569" s="677">
        <f t="shared" si="270"/>
        <v>4.127619883142092</v>
      </c>
      <c r="T569" s="680">
        <f t="shared" si="271"/>
        <v>1.326091072038611</v>
      </c>
      <c r="U569" s="681">
        <f t="shared" si="283"/>
        <v>0.47636244752208357</v>
      </c>
      <c r="V569" s="682">
        <f t="shared" si="284"/>
        <v>-1.5178655575595756</v>
      </c>
      <c r="W569" s="683">
        <f t="shared" si="272"/>
        <v>-39.322580975656656</v>
      </c>
      <c r="X569" s="684">
        <f t="shared" si="273"/>
        <v>-264.72411527991846</v>
      </c>
      <c r="Y569" s="687">
        <f t="shared" si="274"/>
        <v>-84.724115279918465</v>
      </c>
      <c r="AA569" s="170">
        <f t="shared" si="275"/>
        <v>95499</v>
      </c>
      <c r="AB569" s="170">
        <f t="shared" si="276"/>
        <v>9120059001</v>
      </c>
      <c r="AD569" s="686">
        <f t="shared" si="277"/>
        <v>26.294814595615005</v>
      </c>
      <c r="AE569" s="687">
        <f t="shared" si="278"/>
        <v>-76.091442437590686</v>
      </c>
      <c r="AG569" s="686">
        <f t="shared" si="279"/>
        <v>2.3571662819897563</v>
      </c>
      <c r="AH569" s="687">
        <f t="shared" si="280"/>
        <v>-14.698092010708175</v>
      </c>
      <c r="AJ569" s="170">
        <f t="shared" si="281"/>
        <v>0</v>
      </c>
      <c r="AK569" s="170">
        <f t="shared" si="293"/>
        <v>0</v>
      </c>
      <c r="AM569" s="170" t="str">
        <f t="shared" si="285"/>
        <v>1.98905712508892+0.147533058366027i</v>
      </c>
      <c r="AN569" s="170" t="str">
        <f t="shared" si="286"/>
        <v>2.99351908331255i</v>
      </c>
      <c r="AO569" s="170" t="str">
        <f t="shared" si="287"/>
        <v>0.049284154956103-0.664454466376036i</v>
      </c>
      <c r="AP569" s="170" t="str">
        <f t="shared" si="288"/>
        <v>-0.164842854181487-0.0245888430610045i</v>
      </c>
      <c r="AQ569" s="170" t="str">
        <f t="shared" si="289"/>
        <v>1.16484285418149+0.0245888430610045i</v>
      </c>
      <c r="AR569" s="170" t="str">
        <f t="shared" si="290"/>
        <v>0.714799408926839-0.0150888082655159i</v>
      </c>
    </row>
    <row r="570" spans="7:44">
      <c r="G570" s="688">
        <v>96611.5</v>
      </c>
      <c r="H570" s="676">
        <f t="shared" si="282"/>
        <v>96.611500000000007</v>
      </c>
      <c r="I570" s="677">
        <f t="shared" si="262"/>
        <v>1190.9329810930565</v>
      </c>
      <c r="J570" s="678">
        <f t="shared" si="263"/>
        <v>1.5699566488840606</v>
      </c>
      <c r="K570" s="678">
        <f t="shared" si="264"/>
        <v>1.0382538177761242</v>
      </c>
      <c r="L570" s="679">
        <f t="shared" si="265"/>
        <v>0.27229719282953818</v>
      </c>
      <c r="M570" s="678">
        <f t="shared" si="266"/>
        <v>1.1265112395218593</v>
      </c>
      <c r="N570" s="679">
        <f t="shared" si="267"/>
        <v>-0.47847864743816482</v>
      </c>
      <c r="O570" s="677">
        <f t="shared" si="268"/>
        <v>1092650.3219001677</v>
      </c>
      <c r="P570" s="680">
        <f t="shared" si="269"/>
        <v>1.5707954115890161</v>
      </c>
      <c r="Q570" s="689">
        <f t="shared" si="291"/>
        <v>517.18878579840134</v>
      </c>
      <c r="R570" s="690">
        <f t="shared" si="292"/>
        <v>1.5688627956539478</v>
      </c>
      <c r="S570" s="677">
        <f t="shared" si="270"/>
        <v>4.1728969337319244</v>
      </c>
      <c r="T570" s="680">
        <f t="shared" si="271"/>
        <v>1.3287995747007812</v>
      </c>
      <c r="U570" s="681">
        <f t="shared" si="283"/>
        <v>0.47115171870022238</v>
      </c>
      <c r="V570" s="682">
        <f t="shared" si="284"/>
        <v>-1.5303462249352777</v>
      </c>
      <c r="W570" s="683">
        <f t="shared" si="272"/>
        <v>-39.585143529506006</v>
      </c>
      <c r="X570" s="684">
        <f t="shared" si="273"/>
        <v>-265.69293553430185</v>
      </c>
      <c r="Y570" s="687">
        <f t="shared" si="274"/>
        <v>-85.692935534301853</v>
      </c>
      <c r="AA570" s="170">
        <f t="shared" si="275"/>
        <v>96611.5</v>
      </c>
      <c r="AB570" s="170">
        <f t="shared" si="276"/>
        <v>9333781932.25</v>
      </c>
      <c r="AD570" s="686">
        <f t="shared" si="277"/>
        <v>26.200054967293873</v>
      </c>
      <c r="AE570" s="687">
        <f t="shared" si="278"/>
        <v>-76.24533827275566</v>
      </c>
      <c r="AG570" s="686">
        <f t="shared" si="279"/>
        <v>2.3804328871016276</v>
      </c>
      <c r="AH570" s="687">
        <f t="shared" si="280"/>
        <v>-14.08283729602363</v>
      </c>
      <c r="AJ570" s="170">
        <f t="shared" si="281"/>
        <v>0</v>
      </c>
      <c r="AK570" s="170">
        <f t="shared" si="293"/>
        <v>0</v>
      </c>
      <c r="AM570" s="170" t="str">
        <f t="shared" si="285"/>
        <v>1.9935995993496+0.112959444812339i</v>
      </c>
      <c r="AN570" s="170" t="str">
        <f t="shared" si="286"/>
        <v>3.02839159485911i</v>
      </c>
      <c r="AO570" s="170" t="str">
        <f t="shared" si="287"/>
        <v>0.0373001447382482-0.658303108070259i</v>
      </c>
      <c r="AP570" s="170" t="str">
        <f t="shared" si="288"/>
        <v>-0.165599933224933-0.0188265741353898i</v>
      </c>
      <c r="AQ570" s="170" t="str">
        <f t="shared" si="289"/>
        <v>1.16559993322493+0.0188265741353898i</v>
      </c>
      <c r="AR570" s="170" t="str">
        <f t="shared" si="290"/>
        <v>0.714467046975004-0.011539951610972i</v>
      </c>
    </row>
    <row r="571" spans="7:44">
      <c r="G571" s="688">
        <v>97724</v>
      </c>
      <c r="H571" s="676">
        <f t="shared" si="282"/>
        <v>97.724000000000004</v>
      </c>
      <c r="I571" s="677">
        <f t="shared" si="262"/>
        <v>1204.6467937617517</v>
      </c>
      <c r="J571" s="678">
        <f t="shared" si="263"/>
        <v>1.5699662078587668</v>
      </c>
      <c r="K571" s="678">
        <f t="shared" si="264"/>
        <v>1.0391232029657467</v>
      </c>
      <c r="L571" s="679">
        <f t="shared" si="265"/>
        <v>0.2752775463577265</v>
      </c>
      <c r="M571" s="678">
        <f t="shared" si="266"/>
        <v>1.1292736843635012</v>
      </c>
      <c r="N571" s="679">
        <f t="shared" si="267"/>
        <v>-0.48317365666185957</v>
      </c>
      <c r="O571" s="677">
        <f t="shared" si="268"/>
        <v>1105232.4004634125</v>
      </c>
      <c r="P571" s="680">
        <f t="shared" si="269"/>
        <v>1.5707954220078133</v>
      </c>
      <c r="Q571" s="689">
        <f t="shared" si="291"/>
        <v>523.14429197926506</v>
      </c>
      <c r="R571" s="690">
        <f t="shared" si="292"/>
        <v>1.5688848071160688</v>
      </c>
      <c r="S571" s="677">
        <f t="shared" si="270"/>
        <v>4.218203939340194</v>
      </c>
      <c r="T571" s="680">
        <f t="shared" si="271"/>
        <v>1.3314499133335069</v>
      </c>
      <c r="U571" s="681">
        <f t="shared" si="283"/>
        <v>0.46598691815202542</v>
      </c>
      <c r="V571" s="682">
        <f t="shared" si="284"/>
        <v>-1.5428148391982885</v>
      </c>
      <c r="W571" s="683">
        <f t="shared" si="272"/>
        <v>-39.845587733437952</v>
      </c>
      <c r="X571" s="684">
        <f t="shared" si="273"/>
        <v>-266.65671738363631</v>
      </c>
      <c r="Y571" s="687">
        <f t="shared" si="274"/>
        <v>-86.656717383636305</v>
      </c>
      <c r="AA571" s="170">
        <f t="shared" si="275"/>
        <v>97724</v>
      </c>
      <c r="AB571" s="170">
        <f t="shared" si="276"/>
        <v>9549980176</v>
      </c>
      <c r="AD571" s="686">
        <f t="shared" si="277"/>
        <v>26.106256305353984</v>
      </c>
      <c r="AE571" s="687">
        <f t="shared" si="278"/>
        <v>-76.395930923936064</v>
      </c>
      <c r="AG571" s="686">
        <f t="shared" si="279"/>
        <v>2.40526954425171</v>
      </c>
      <c r="AH571" s="687">
        <f t="shared" si="280"/>
        <v>-13.46722854525078</v>
      </c>
      <c r="AJ571" s="170">
        <f t="shared" si="281"/>
        <v>0</v>
      </c>
      <c r="AK571" s="170">
        <f t="shared" si="293"/>
        <v>0</v>
      </c>
      <c r="AM571" s="170" t="str">
        <f t="shared" si="285"/>
        <v>1.99693388747138+0.0782484760950922i</v>
      </c>
      <c r="AN571" s="170" t="str">
        <f t="shared" si="286"/>
        <v>3.06326410640567i</v>
      </c>
      <c r="AO571" s="170" t="str">
        <f t="shared" si="287"/>
        <v>0.0255441494357162-0.65189739379492i</v>
      </c>
      <c r="AP571" s="170" t="str">
        <f t="shared" si="288"/>
        <v>-0.166155647911896-0.0130414126825154i</v>
      </c>
      <c r="AQ571" s="170" t="str">
        <f t="shared" si="289"/>
        <v>1.1661556479119+0.0130414126825154i</v>
      </c>
      <c r="AR571" s="170" t="str">
        <f t="shared" si="290"/>
        <v>0.714223556063339-0.00798734213470908i</v>
      </c>
    </row>
    <row r="572" spans="7:44">
      <c r="G572" s="688">
        <v>98862</v>
      </c>
      <c r="H572" s="676">
        <f t="shared" si="282"/>
        <v>98.861999999999995</v>
      </c>
      <c r="I572" s="677">
        <f t="shared" si="262"/>
        <v>1218.6749456186419</v>
      </c>
      <c r="J572" s="678">
        <f t="shared" si="263"/>
        <v>1.5699757633494791</v>
      </c>
      <c r="K572" s="678">
        <f t="shared" si="264"/>
        <v>1.0400220492270191</v>
      </c>
      <c r="L572" s="679">
        <f t="shared" si="265"/>
        <v>0.2783210304972259</v>
      </c>
      <c r="M572" s="678">
        <f t="shared" si="266"/>
        <v>1.1321250758040373</v>
      </c>
      <c r="N572" s="679">
        <f t="shared" si="267"/>
        <v>-0.48795246781939311</v>
      </c>
      <c r="O572" s="677">
        <f t="shared" si="268"/>
        <v>1118102.8772319274</v>
      </c>
      <c r="P572" s="680">
        <f t="shared" si="269"/>
        <v>1.5707954324228131</v>
      </c>
      <c r="Q572" s="689">
        <f t="shared" si="291"/>
        <v>529.23630664796747</v>
      </c>
      <c r="R572" s="690">
        <f t="shared" si="292"/>
        <v>1.5689068105570949</v>
      </c>
      <c r="S572" s="677">
        <f t="shared" si="270"/>
        <v>4.2645794400506851</v>
      </c>
      <c r="T572" s="680">
        <f t="shared" si="271"/>
        <v>1.3341027166992503</v>
      </c>
      <c r="U572" s="681">
        <f t="shared" si="283"/>
        <v>0.46074984826040849</v>
      </c>
      <c r="V572" s="682">
        <f t="shared" si="284"/>
        <v>-1.5555606557705792</v>
      </c>
      <c r="W572" s="683">
        <f t="shared" si="272"/>
        <v>-40.109880237747248</v>
      </c>
      <c r="X572" s="684">
        <f t="shared" si="273"/>
        <v>-267.63770761345995</v>
      </c>
      <c r="Y572" s="687">
        <f t="shared" si="274"/>
        <v>-87.637707613459952</v>
      </c>
      <c r="AA572" s="170">
        <f t="shared" si="275"/>
        <v>98862</v>
      </c>
      <c r="AB572" s="170">
        <f t="shared" si="276"/>
        <v>9773695044</v>
      </c>
      <c r="AD572" s="686">
        <f t="shared" si="277"/>
        <v>26.011283224740616</v>
      </c>
      <c r="AE572" s="687">
        <f t="shared" si="278"/>
        <v>-76.54666525327346</v>
      </c>
      <c r="AG572" s="686">
        <f t="shared" si="279"/>
        <v>2.4322910751237066</v>
      </c>
      <c r="AH572" s="687">
        <f t="shared" si="280"/>
        <v>-12.836921451987758</v>
      </c>
      <c r="AJ572" s="170">
        <f t="shared" si="281"/>
        <v>0</v>
      </c>
      <c r="AK572" s="170">
        <f t="shared" si="293"/>
        <v>0</v>
      </c>
      <c r="AM572" s="170" t="str">
        <f t="shared" si="285"/>
        <v>1.99909034046498+0.0426437755080394i</v>
      </c>
      <c r="AN572" s="170" t="str">
        <f t="shared" si="286"/>
        <v>3.098935942936i</v>
      </c>
      <c r="AO572" s="170" t="str">
        <f t="shared" si="287"/>
        <v>0.0137607799235881-0.645089274924153i</v>
      </c>
      <c r="AP572" s="170" t="str">
        <f t="shared" si="288"/>
        <v>-0.166515056744163-0.00710729591800657i</v>
      </c>
      <c r="AQ572" s="170" t="str">
        <f t="shared" si="289"/>
        <v>1.16651505674416+0.00710729591800657i</v>
      </c>
      <c r="AR572" s="170" t="str">
        <f t="shared" si="290"/>
        <v>0.714066289962361-0.00435063430899945i</v>
      </c>
    </row>
    <row r="573" spans="7:44">
      <c r="G573" s="688">
        <v>100000</v>
      </c>
      <c r="H573" s="676">
        <f t="shared" si="282"/>
        <v>100</v>
      </c>
      <c r="I573" s="677">
        <f t="shared" si="262"/>
        <v>1232.7030975842729</v>
      </c>
      <c r="J573" s="678">
        <f t="shared" si="263"/>
        <v>1.5699851013573676</v>
      </c>
      <c r="K573" s="678">
        <f t="shared" si="264"/>
        <v>1.040930512310938</v>
      </c>
      <c r="L573" s="679">
        <f t="shared" si="265"/>
        <v>0.28135923038940863</v>
      </c>
      <c r="M573" s="678">
        <f t="shared" si="266"/>
        <v>1.1350021913778314</v>
      </c>
      <c r="N573" s="679">
        <f t="shared" si="267"/>
        <v>-0.49270715949921784</v>
      </c>
      <c r="O573" s="677">
        <f t="shared" si="268"/>
        <v>1130973.3540004422</v>
      </c>
      <c r="P573" s="680">
        <f t="shared" si="269"/>
        <v>1.5707954426007673</v>
      </c>
      <c r="Q573" s="689">
        <f t="shared" si="291"/>
        <v>535.32832156706854</v>
      </c>
      <c r="R573" s="690">
        <f t="shared" si="292"/>
        <v>1.5689283132015712</v>
      </c>
      <c r="S573" s="677">
        <f t="shared" si="270"/>
        <v>4.3109843063480122</v>
      </c>
      <c r="T573" s="680">
        <f t="shared" si="271"/>
        <v>1.336698426693447</v>
      </c>
      <c r="U573" s="681">
        <f t="shared" si="283"/>
        <v>0.45555796999661186</v>
      </c>
      <c r="V573" s="682">
        <f t="shared" si="284"/>
        <v>-1.5683017239259966</v>
      </c>
      <c r="W573" s="683">
        <f t="shared" si="272"/>
        <v>-40.372098729598292</v>
      </c>
      <c r="X573" s="684">
        <f t="shared" si="273"/>
        <v>-268.61409160969578</v>
      </c>
      <c r="Y573" s="687">
        <f t="shared" si="274"/>
        <v>-88.614091609695777</v>
      </c>
      <c r="AA573" s="170">
        <f t="shared" si="275"/>
        <v>100000</v>
      </c>
      <c r="AB573" s="170">
        <f t="shared" si="276"/>
        <v>10000000000</v>
      </c>
      <c r="AD573" s="686">
        <f t="shared" si="277"/>
        <v>25.917278212801801</v>
      </c>
      <c r="AE573" s="687">
        <f t="shared" si="278"/>
        <v>-76.694157053326336</v>
      </c>
      <c r="AG573" s="686">
        <f t="shared" si="279"/>
        <v>2.4609396685035816</v>
      </c>
      <c r="AH573" s="687">
        <f t="shared" si="280"/>
        <v>-12.205794782914461</v>
      </c>
      <c r="AJ573" s="170">
        <f t="shared" si="281"/>
        <v>0</v>
      </c>
      <c r="AK573" s="170">
        <f t="shared" si="293"/>
        <v>0</v>
      </c>
      <c r="AM573" s="170" t="str">
        <f t="shared" si="285"/>
        <v>1.99997560586592+0.00698481732671883i</v>
      </c>
      <c r="AN573" s="170" t="str">
        <f t="shared" si="286"/>
        <v>3.13460777946633i</v>
      </c>
      <c r="AO573" s="170" t="str">
        <f t="shared" si="287"/>
        <v>0.00222829068838335-0.638030575616838i</v>
      </c>
      <c r="AP573" s="170" t="str">
        <f t="shared" si="288"/>
        <v>-0.166662600977653-0.00116413622111981i</v>
      </c>
      <c r="AQ573" s="170" t="str">
        <f t="shared" si="289"/>
        <v>1.16666260097765+0.00116413622111981i</v>
      </c>
      <c r="AR573" s="170" t="str">
        <f t="shared" si="290"/>
        <v>0.714001777297531-0.000712455623587697i</v>
      </c>
    </row>
    <row r="574" spans="7:44">
      <c r="G574" s="688">
        <v>101165</v>
      </c>
      <c r="H574" s="676">
        <f t="shared" si="282"/>
        <v>101.16500000000001</v>
      </c>
      <c r="I574" s="677">
        <f t="shared" si="262"/>
        <v>1247.0640792747713</v>
      </c>
      <c r="J574" s="678">
        <f t="shared" si="263"/>
        <v>1.5699944432960542</v>
      </c>
      <c r="K574" s="678">
        <f t="shared" si="264"/>
        <v>1.041870464953621</v>
      </c>
      <c r="L574" s="679">
        <f t="shared" si="265"/>
        <v>0.28446399626804969</v>
      </c>
      <c r="M574" s="678">
        <f t="shared" si="266"/>
        <v>1.1379740120624289</v>
      </c>
      <c r="N574" s="679">
        <f t="shared" si="267"/>
        <v>-0.49754964300475224</v>
      </c>
      <c r="O574" s="677">
        <f t="shared" si="268"/>
        <v>1144149.1935745373</v>
      </c>
      <c r="P574" s="680">
        <f t="shared" si="269"/>
        <v>1.5707954527830059</v>
      </c>
      <c r="Q574" s="689">
        <f t="shared" si="291"/>
        <v>541.56487487628453</v>
      </c>
      <c r="R574" s="690">
        <f t="shared" si="292"/>
        <v>1.5689498248989044</v>
      </c>
      <c r="S574" s="677">
        <f t="shared" si="270"/>
        <v>4.3585196064807707</v>
      </c>
      <c r="T574" s="680">
        <f t="shared" si="271"/>
        <v>1.3392984487908925</v>
      </c>
      <c r="U574" s="681">
        <f t="shared" si="283"/>
        <v>0.45028818756289662</v>
      </c>
      <c r="V574" s="682">
        <f t="shared" si="284"/>
        <v>-1.5813443117713499</v>
      </c>
      <c r="W574" s="683">
        <f t="shared" si="272"/>
        <v>-40.638465227850759</v>
      </c>
      <c r="X574" s="684">
        <f t="shared" si="273"/>
        <v>-269.6092143347222</v>
      </c>
      <c r="Y574" s="687">
        <f t="shared" si="274"/>
        <v>-89.609214334722196</v>
      </c>
      <c r="AA574" s="170">
        <f t="shared" si="275"/>
        <v>101165</v>
      </c>
      <c r="AB574" s="170">
        <f t="shared" si="276"/>
        <v>10234357225</v>
      </c>
      <c r="AD574" s="686">
        <f t="shared" si="277"/>
        <v>25.822026623551189</v>
      </c>
      <c r="AE574" s="687">
        <f t="shared" si="278"/>
        <v>-76.841895400251488</v>
      </c>
      <c r="AG574" s="686">
        <f t="shared" si="279"/>
        <v>2.4919485512109656</v>
      </c>
      <c r="AH574" s="687">
        <f t="shared" si="280"/>
        <v>-11.558608684373267</v>
      </c>
      <c r="AJ574" s="170">
        <f t="shared" si="281"/>
        <v>0</v>
      </c>
      <c r="AK574" s="170">
        <f t="shared" si="293"/>
        <v>0</v>
      </c>
      <c r="AM574" s="170" t="str">
        <f t="shared" si="285"/>
        <v>1.99956392360083-0.0295290134565149i</v>
      </c>
      <c r="AN574" s="170" t="str">
        <f t="shared" si="286"/>
        <v>3.17112596009711i</v>
      </c>
      <c r="AO574" s="170" t="str">
        <f t="shared" si="287"/>
        <v>-0.00931183870589947-0.630553295189699i</v>
      </c>
      <c r="AP574" s="170" t="str">
        <f t="shared" si="288"/>
        <v>-0.166593987266805+0.00492150224275248i</v>
      </c>
      <c r="AQ574" s="170" t="str">
        <f t="shared" si="289"/>
        <v>1.1665939872668-0.00492150224275248i</v>
      </c>
      <c r="AR574" s="170" t="str">
        <f t="shared" si="290"/>
        <v>0.714031774673865+0.00301228106677211i</v>
      </c>
    </row>
    <row r="575" spans="7:44">
      <c r="G575" s="688">
        <v>102330</v>
      </c>
      <c r="H575" s="676">
        <f t="shared" si="282"/>
        <v>102.33</v>
      </c>
      <c r="I575" s="677">
        <f t="shared" si="262"/>
        <v>1261.4250610716249</v>
      </c>
      <c r="J575" s="678">
        <f t="shared" si="263"/>
        <v>1.570003572523871</v>
      </c>
      <c r="K575" s="678">
        <f t="shared" si="264"/>
        <v>1.0428204426194043</v>
      </c>
      <c r="L575" s="679">
        <f t="shared" si="265"/>
        <v>0.28756313528160626</v>
      </c>
      <c r="M575" s="678">
        <f t="shared" si="266"/>
        <v>1.140972378461395</v>
      </c>
      <c r="N575" s="679">
        <f t="shared" si="267"/>
        <v>-0.50236678781038913</v>
      </c>
      <c r="O575" s="677">
        <f t="shared" si="268"/>
        <v>1157325.0331486324</v>
      </c>
      <c r="P575" s="680">
        <f t="shared" si="269"/>
        <v>1.5707954627334002</v>
      </c>
      <c r="Q575" s="689">
        <f t="shared" si="291"/>
        <v>547.80142843040517</v>
      </c>
      <c r="R575" s="690">
        <f t="shared" si="292"/>
        <v>1.5689708467879135</v>
      </c>
      <c r="S575" s="677">
        <f t="shared" si="270"/>
        <v>4.4060837348418875</v>
      </c>
      <c r="T575" s="680">
        <f t="shared" si="271"/>
        <v>1.3418423527640171</v>
      </c>
      <c r="U575" s="681">
        <f t="shared" si="283"/>
        <v>0.44506263411355784</v>
      </c>
      <c r="V575" s="682">
        <f t="shared" si="284"/>
        <v>-1.5943903447794796</v>
      </c>
      <c r="W575" s="683">
        <f t="shared" si="272"/>
        <v>-40.902810598822008</v>
      </c>
      <c r="X575" s="684">
        <f t="shared" si="273"/>
        <v>-270.60020557964276</v>
      </c>
      <c r="Y575" s="687">
        <f t="shared" si="274"/>
        <v>-90.600205579642761</v>
      </c>
      <c r="AA575" s="170">
        <f t="shared" si="275"/>
        <v>102330</v>
      </c>
      <c r="AB575" s="170">
        <f t="shared" si="276"/>
        <v>10471428900</v>
      </c>
      <c r="AD575" s="686">
        <f t="shared" si="277"/>
        <v>25.72775143995257</v>
      </c>
      <c r="AE575" s="687">
        <f t="shared" si="278"/>
        <v>-76.98644646616124</v>
      </c>
      <c r="AG575" s="686">
        <f t="shared" si="279"/>
        <v>2.5246551740978762</v>
      </c>
      <c r="AH575" s="687">
        <f t="shared" si="280"/>
        <v>-10.910083600167376</v>
      </c>
      <c r="AJ575" s="170">
        <f t="shared" si="281"/>
        <v>0</v>
      </c>
      <c r="AK575" s="170">
        <f t="shared" si="293"/>
        <v>0</v>
      </c>
      <c r="AM575" s="170" t="str">
        <f t="shared" si="285"/>
        <v>1.99781939349204-0.0660034693873932i</v>
      </c>
      <c r="AN575" s="170" t="str">
        <f t="shared" si="286"/>
        <v>3.20764414072789i</v>
      </c>
      <c r="AO575" s="170" t="str">
        <f t="shared" si="287"/>
        <v>-0.0205769301367749-0.622830746130925i</v>
      </c>
      <c r="AP575" s="170" t="str">
        <f t="shared" si="288"/>
        <v>-0.166303232248674+0.0110005782312322i</v>
      </c>
      <c r="AQ575" s="170" t="str">
        <f t="shared" si="289"/>
        <v>1.16630323224867-0.0110005782312322i</v>
      </c>
      <c r="AR575" s="170" t="str">
        <f t="shared" si="290"/>
        <v>0.714158957647398+0.00673595105107315i</v>
      </c>
    </row>
    <row r="576" spans="7:44">
      <c r="G576" s="688">
        <v>103520</v>
      </c>
      <c r="H576" s="676">
        <f t="shared" si="282"/>
        <v>103.52</v>
      </c>
      <c r="I576" s="677">
        <f t="shared" si="262"/>
        <v>1276.094218549588</v>
      </c>
      <c r="J576" s="678">
        <f t="shared" si="263"/>
        <v>1.570012685518404</v>
      </c>
      <c r="K576" s="678">
        <f t="shared" si="264"/>
        <v>1.0438011276343888</v>
      </c>
      <c r="L576" s="679">
        <f t="shared" si="265"/>
        <v>0.29072292430279095</v>
      </c>
      <c r="M576" s="678">
        <f t="shared" si="266"/>
        <v>1.1440622767577153</v>
      </c>
      <c r="N576" s="679">
        <f t="shared" si="267"/>
        <v>-0.50726112031187809</v>
      </c>
      <c r="O576" s="677">
        <f t="shared" si="268"/>
        <v>1170783.6160612272</v>
      </c>
      <c r="P576" s="680">
        <f t="shared" si="269"/>
        <v>1.5707954726661009</v>
      </c>
      <c r="Q576" s="689">
        <f t="shared" si="291"/>
        <v>554.17181385010565</v>
      </c>
      <c r="R576" s="690">
        <f t="shared" si="292"/>
        <v>1.5689918312978171</v>
      </c>
      <c r="S576" s="677">
        <f t="shared" si="270"/>
        <v>4.4546973552844209</v>
      </c>
      <c r="T576" s="680">
        <f t="shared" si="271"/>
        <v>1.3443847449725534</v>
      </c>
      <c r="U576" s="681">
        <f t="shared" si="283"/>
        <v>0.43976893822302759</v>
      </c>
      <c r="V576" s="682">
        <f t="shared" si="284"/>
        <v>-1.6077243241759749</v>
      </c>
      <c r="W576" s="683">
        <f t="shared" si="272"/>
        <v>-41.17082225450978</v>
      </c>
      <c r="X576" s="684">
        <f t="shared" si="273"/>
        <v>-271.60855706992265</v>
      </c>
      <c r="Y576" s="687">
        <f t="shared" si="274"/>
        <v>-91.608557069922654</v>
      </c>
      <c r="AA576" s="170">
        <f t="shared" si="275"/>
        <v>103520</v>
      </c>
      <c r="AB576" s="170">
        <f t="shared" si="276"/>
        <v>10716390400</v>
      </c>
      <c r="AD576" s="686">
        <f t="shared" si="277"/>
        <v>25.632441954219413</v>
      </c>
      <c r="AE576" s="687">
        <f t="shared" si="278"/>
        <v>-77.130913054991595</v>
      </c>
      <c r="AG576" s="686">
        <f t="shared" si="279"/>
        <v>2.5598163233244802</v>
      </c>
      <c r="AH576" s="687">
        <f t="shared" si="280"/>
        <v>-10.246007012803815</v>
      </c>
      <c r="AJ576" s="170">
        <f t="shared" si="281"/>
        <v>0</v>
      </c>
      <c r="AK576" s="170">
        <f t="shared" si="293"/>
        <v>0</v>
      </c>
      <c r="AM576" s="170" t="str">
        <f t="shared" si="285"/>
        <v>1.99466379825845-0.103169416175838i</v>
      </c>
      <c r="AN576" s="170" t="str">
        <f t="shared" si="286"/>
        <v>3.24494597330354i</v>
      </c>
      <c r="AO576" s="170" t="str">
        <f t="shared" si="287"/>
        <v>-0.0317938779334454-0.614698615837899i</v>
      </c>
      <c r="AP576" s="170" t="str">
        <f t="shared" si="288"/>
        <v>-0.165777299709743+0.017194902695973i</v>
      </c>
      <c r="AQ576" s="170" t="str">
        <f t="shared" si="289"/>
        <v>1.16577729970974-0.017194902695973i</v>
      </c>
      <c r="AR576" s="170" t="str">
        <f t="shared" si="290"/>
        <v>0.714389289145354+0.0105370505301125i</v>
      </c>
    </row>
    <row r="577" spans="7:44">
      <c r="G577" s="688">
        <v>104710</v>
      </c>
      <c r="H577" s="676">
        <f t="shared" si="282"/>
        <v>104.71</v>
      </c>
      <c r="I577" s="677">
        <f t="shared" si="262"/>
        <v>1290.7633761311181</v>
      </c>
      <c r="J577" s="678">
        <f t="shared" si="263"/>
        <v>1.570021591379771</v>
      </c>
      <c r="K577" s="678">
        <f t="shared" si="264"/>
        <v>1.044792214613274</v>
      </c>
      <c r="L577" s="679">
        <f t="shared" si="265"/>
        <v>0.29387675002898922</v>
      </c>
      <c r="M577" s="678">
        <f t="shared" si="266"/>
        <v>1.1471794324697422</v>
      </c>
      <c r="N577" s="679">
        <f t="shared" si="267"/>
        <v>-0.51212897079501585</v>
      </c>
      <c r="O577" s="677">
        <f t="shared" si="268"/>
        <v>1184242.1989738222</v>
      </c>
      <c r="P577" s="680">
        <f t="shared" si="269"/>
        <v>1.570795482373037</v>
      </c>
      <c r="Q577" s="689">
        <f t="shared" si="291"/>
        <v>560.54219950828872</v>
      </c>
      <c r="R577" s="690">
        <f t="shared" si="292"/>
        <v>1.5690123388430299</v>
      </c>
      <c r="S577" s="677">
        <f t="shared" si="270"/>
        <v>4.5033391480407952</v>
      </c>
      <c r="T577" s="680">
        <f t="shared" si="271"/>
        <v>1.3468722308299934</v>
      </c>
      <c r="U577" s="681">
        <f t="shared" si="283"/>
        <v>0.43451799089884646</v>
      </c>
      <c r="V577" s="682">
        <f t="shared" si="284"/>
        <v>-1.6210708927630963</v>
      </c>
      <c r="W577" s="683">
        <f t="shared" si="272"/>
        <v>-41.436888176649219</v>
      </c>
      <c r="X577" s="684">
        <f t="shared" si="273"/>
        <v>-272.61332377652491</v>
      </c>
      <c r="Y577" s="687">
        <f t="shared" si="274"/>
        <v>-92.613323776524908</v>
      </c>
      <c r="AA577" s="170">
        <f t="shared" si="275"/>
        <v>104710</v>
      </c>
      <c r="AB577" s="170">
        <f t="shared" si="276"/>
        <v>10964184100</v>
      </c>
      <c r="AD577" s="686">
        <f t="shared" si="277"/>
        <v>25.53811261598343</v>
      </c>
      <c r="AE577" s="687">
        <f t="shared" si="278"/>
        <v>-77.272261056760527</v>
      </c>
      <c r="AG577" s="686">
        <f t="shared" si="279"/>
        <v>2.5967512674814603</v>
      </c>
      <c r="AH577" s="687">
        <f t="shared" si="280"/>
        <v>-9.5800216138417031</v>
      </c>
      <c r="AJ577" s="170">
        <f t="shared" si="281"/>
        <v>0</v>
      </c>
      <c r="AK577" s="170">
        <f t="shared" si="293"/>
        <v>0</v>
      </c>
      <c r="AM577" s="170" t="str">
        <f t="shared" si="285"/>
        <v>1.99012436171566-0.140191826927081i</v>
      </c>
      <c r="AN577" s="170" t="str">
        <f t="shared" si="286"/>
        <v>3.28224780587919i</v>
      </c>
      <c r="AO577" s="170" t="str">
        <f t="shared" si="287"/>
        <v>-0.0427121397342298-0.60632971043531i</v>
      </c>
      <c r="AP577" s="170" t="str">
        <f t="shared" si="288"/>
        <v>-0.16502072695261+0.0233653044878468i</v>
      </c>
      <c r="AQ577" s="170" t="str">
        <f t="shared" si="289"/>
        <v>1.16502072695261-0.0233653044878468i</v>
      </c>
      <c r="AR577" s="170" t="str">
        <f t="shared" si="290"/>
        <v>0.714721255161963+0.0143342340307346i</v>
      </c>
    </row>
    <row r="578" spans="7:44">
      <c r="G578" s="688">
        <v>105930</v>
      </c>
      <c r="H578" s="676">
        <f t="shared" si="282"/>
        <v>105.93</v>
      </c>
      <c r="I578" s="677">
        <f t="shared" si="262"/>
        <v>1305.8023445118426</v>
      </c>
      <c r="J578" s="678">
        <f t="shared" si="263"/>
        <v>1.5700305140346824</v>
      </c>
      <c r="K578" s="678">
        <f t="shared" si="264"/>
        <v>1.0458190546386468</v>
      </c>
      <c r="L578" s="679">
        <f t="shared" si="265"/>
        <v>0.29710384544122964</v>
      </c>
      <c r="M578" s="678">
        <f t="shared" si="266"/>
        <v>1.1504032367926316</v>
      </c>
      <c r="N578" s="679">
        <f t="shared" si="267"/>
        <v>-0.51709203322519615</v>
      </c>
      <c r="O578" s="677">
        <f t="shared" si="268"/>
        <v>1198040.0738926176</v>
      </c>
      <c r="P578" s="680">
        <f t="shared" si="269"/>
        <v>1.570795492098277</v>
      </c>
      <c r="Q578" s="689">
        <f t="shared" si="291"/>
        <v>567.07318336340415</v>
      </c>
      <c r="R578" s="690">
        <f t="shared" si="292"/>
        <v>1.5690328850599924</v>
      </c>
      <c r="S578" s="677">
        <f t="shared" si="270"/>
        <v>4.5532355058896794</v>
      </c>
      <c r="T578" s="680">
        <f t="shared" si="271"/>
        <v>1.349367236762353</v>
      </c>
      <c r="U578" s="681">
        <f t="shared" si="283"/>
        <v>0.42917722616178555</v>
      </c>
      <c r="V578" s="682">
        <f t="shared" si="284"/>
        <v>-1.6347717680416443</v>
      </c>
      <c r="W578" s="683">
        <f t="shared" si="272"/>
        <v>-41.70772843668103</v>
      </c>
      <c r="X578" s="684">
        <f t="shared" si="273"/>
        <v>-273.64007757624705</v>
      </c>
      <c r="Y578" s="687">
        <f t="shared" si="274"/>
        <v>-93.640077576247052</v>
      </c>
      <c r="AA578" s="170">
        <f t="shared" si="275"/>
        <v>105930</v>
      </c>
      <c r="AB578" s="170">
        <f t="shared" si="276"/>
        <v>11221164900</v>
      </c>
      <c r="AD578" s="686">
        <f t="shared" si="277"/>
        <v>25.442403124775499</v>
      </c>
      <c r="AE578" s="687">
        <f t="shared" si="278"/>
        <v>-77.414037712405118</v>
      </c>
      <c r="AG578" s="686">
        <f t="shared" si="279"/>
        <v>2.6364642697076803</v>
      </c>
      <c r="AH578" s="687">
        <f t="shared" si="280"/>
        <v>-8.8949940979333633</v>
      </c>
      <c r="AJ578" s="170">
        <f t="shared" si="281"/>
        <v>0</v>
      </c>
      <c r="AK578" s="170">
        <f t="shared" si="293"/>
        <v>0</v>
      </c>
      <c r="AM578" s="170" t="str">
        <f t="shared" si="285"/>
        <v>1.98404049855008-0.177944646486822i</v>
      </c>
      <c r="AN578" s="170" t="str">
        <f t="shared" si="286"/>
        <v>3.32049002078868i</v>
      </c>
      <c r="AO578" s="170" t="str">
        <f t="shared" si="287"/>
        <v>-0.0535898754017507-0.597514368701169i</v>
      </c>
      <c r="AP578" s="170" t="str">
        <f t="shared" si="288"/>
        <v>-0.164006749758346+0.029657441081137i</v>
      </c>
      <c r="AQ578" s="170" t="str">
        <f t="shared" si="289"/>
        <v>1.16400674975835-0.029657441081137i</v>
      </c>
      <c r="AR578" s="170" t="str">
        <f t="shared" si="290"/>
        <v>0.715167326112029+0.0182215720327438i</v>
      </c>
    </row>
    <row r="579" spans="7:44">
      <c r="G579" s="688">
        <v>107150</v>
      </c>
      <c r="H579" s="676">
        <f t="shared" si="282"/>
        <v>107.15</v>
      </c>
      <c r="I579" s="677">
        <f t="shared" si="262"/>
        <v>1320.8413129941596</v>
      </c>
      <c r="J579" s="678">
        <f t="shared" si="263"/>
        <v>1.5700392335046627</v>
      </c>
      <c r="K579" s="678">
        <f t="shared" si="264"/>
        <v>1.0468567645428792</v>
      </c>
      <c r="L579" s="679">
        <f t="shared" si="265"/>
        <v>0.3003245765418549</v>
      </c>
      <c r="M579" s="678">
        <f t="shared" si="266"/>
        <v>1.1536552190594538</v>
      </c>
      <c r="N579" s="679">
        <f t="shared" si="267"/>
        <v>-0.52202723638315074</v>
      </c>
      <c r="O579" s="677">
        <f t="shared" si="268"/>
        <v>1211837.9488114128</v>
      </c>
      <c r="P579" s="680">
        <f t="shared" si="269"/>
        <v>1.5707955016020554</v>
      </c>
      <c r="Q579" s="689">
        <f t="shared" si="291"/>
        <v>573.60416745245652</v>
      </c>
      <c r="R579" s="690">
        <f t="shared" si="292"/>
        <v>1.5690529634037376</v>
      </c>
      <c r="S579" s="677">
        <f t="shared" si="270"/>
        <v>4.603159593298952</v>
      </c>
      <c r="T579" s="680">
        <f t="shared" si="271"/>
        <v>1.3518081378786309</v>
      </c>
      <c r="U579" s="681">
        <f t="shared" si="283"/>
        <v>0.42387767929494291</v>
      </c>
      <c r="V579" s="682">
        <f t="shared" si="284"/>
        <v>-1.6484955849428411</v>
      </c>
      <c r="W579" s="683">
        <f t="shared" si="272"/>
        <v>-41.976700458386745</v>
      </c>
      <c r="X579" s="684">
        <f t="shared" si="273"/>
        <v>-274.6638294388149</v>
      </c>
      <c r="Y579" s="687">
        <f t="shared" si="274"/>
        <v>-94.663829438814901</v>
      </c>
      <c r="AA579" s="170">
        <f t="shared" si="275"/>
        <v>107150</v>
      </c>
      <c r="AB579" s="170">
        <f t="shared" si="276"/>
        <v>11481122500</v>
      </c>
      <c r="AD579" s="686">
        <f t="shared" si="277"/>
        <v>25.347684448712112</v>
      </c>
      <c r="AE579" s="687">
        <f t="shared" si="278"/>
        <v>-77.552741184905287</v>
      </c>
      <c r="AG579" s="686">
        <f t="shared" si="279"/>
        <v>2.6780557477386466</v>
      </c>
      <c r="AH579" s="687">
        <f t="shared" si="280"/>
        <v>-8.207408911706338</v>
      </c>
      <c r="AJ579" s="170">
        <f t="shared" si="281"/>
        <v>0</v>
      </c>
      <c r="AK579" s="170">
        <f t="shared" si="293"/>
        <v>0</v>
      </c>
      <c r="AM579" s="170" t="str">
        <f t="shared" si="285"/>
        <v>1.9765176840086-0.215437259587305i</v>
      </c>
      <c r="AN579" s="170" t="str">
        <f t="shared" si="286"/>
        <v>3.35873223569817i</v>
      </c>
      <c r="AO579" s="170" t="str">
        <f t="shared" si="287"/>
        <v>-0.0641424336532509-0.5884713473141i</v>
      </c>
      <c r="AP579" s="170" t="str">
        <f t="shared" si="288"/>
        <v>-0.162752947334766+0.0359062099312175i</v>
      </c>
      <c r="AQ579" s="170" t="str">
        <f t="shared" si="289"/>
        <v>1.16275294733477-0.0359062099312175i</v>
      </c>
      <c r="AR579" s="170" t="str">
        <f t="shared" si="290"/>
        <v>0.715720750090974+0.0221017023124311i</v>
      </c>
    </row>
    <row r="580" spans="7:44">
      <c r="G580" s="688">
        <v>108400</v>
      </c>
      <c r="H580" s="676">
        <f t="shared" si="282"/>
        <v>108.4</v>
      </c>
      <c r="I580" s="677">
        <f t="shared" si="262"/>
        <v>1336.2500922786453</v>
      </c>
      <c r="J580" s="678">
        <f t="shared" si="263"/>
        <v>1.5700479638206903</v>
      </c>
      <c r="K580" s="678">
        <f t="shared" si="264"/>
        <v>1.0479312322380503</v>
      </c>
      <c r="L580" s="679">
        <f t="shared" si="265"/>
        <v>0.30361785497254118</v>
      </c>
      <c r="M580" s="678">
        <f t="shared" si="266"/>
        <v>1.1570161454520553</v>
      </c>
      <c r="N580" s="679">
        <f t="shared" si="267"/>
        <v>-0.52705489707031317</v>
      </c>
      <c r="O580" s="677">
        <f t="shared" si="268"/>
        <v>1225975.1157364082</v>
      </c>
      <c r="P580" s="680">
        <f t="shared" si="269"/>
        <v>1.5707955111176555</v>
      </c>
      <c r="Q580" s="689">
        <f t="shared" si="291"/>
        <v>580.29574974528896</v>
      </c>
      <c r="R580" s="690">
        <f t="shared" si="292"/>
        <v>1.5690730667238437</v>
      </c>
      <c r="S580" s="677">
        <f t="shared" si="270"/>
        <v>4.6543391498744224</v>
      </c>
      <c r="T580" s="680">
        <f t="shared" si="271"/>
        <v>1.3542547349870107</v>
      </c>
      <c r="U580" s="681">
        <f t="shared" si="283"/>
        <v>0.41848857872590361</v>
      </c>
      <c r="V580" s="682">
        <f t="shared" si="284"/>
        <v>-1.6625858299687524</v>
      </c>
      <c r="W580" s="683">
        <f t="shared" si="272"/>
        <v>-42.250443384580969</v>
      </c>
      <c r="X580" s="684">
        <f t="shared" si="273"/>
        <v>-275.71004240420751</v>
      </c>
      <c r="Y580" s="687">
        <f t="shared" si="274"/>
        <v>-95.710042404207513</v>
      </c>
      <c r="AA580" s="170">
        <f t="shared" si="275"/>
        <v>108400</v>
      </c>
      <c r="AB580" s="170">
        <f t="shared" si="276"/>
        <v>11750560000</v>
      </c>
      <c r="AD580" s="686">
        <f t="shared" si="277"/>
        <v>25.251644271460648</v>
      </c>
      <c r="AE580" s="687">
        <f t="shared" si="278"/>
        <v>-77.691769583350663</v>
      </c>
      <c r="AG580" s="686">
        <f t="shared" si="279"/>
        <v>2.7226305222715412</v>
      </c>
      <c r="AH580" s="687">
        <f t="shared" si="280"/>
        <v>-7.499970332228715</v>
      </c>
      <c r="AJ580" s="170">
        <f t="shared" si="281"/>
        <v>0</v>
      </c>
      <c r="AK580" s="170">
        <f t="shared" si="293"/>
        <v>0</v>
      </c>
      <c r="AM580" s="170" t="str">
        <f t="shared" si="285"/>
        <v>1.96732893630073-0.253524612208157i</v>
      </c>
      <c r="AN580" s="170" t="str">
        <f t="shared" si="286"/>
        <v>3.3979148329415i</v>
      </c>
      <c r="AO580" s="170" t="str">
        <f t="shared" si="287"/>
        <v>-0.0746118206820052-0.578981237913387i</v>
      </c>
      <c r="AP580" s="170" t="str">
        <f t="shared" si="288"/>
        <v>-0.161221489383455+0.0422541020346928i</v>
      </c>
      <c r="AQ580" s="170" t="str">
        <f t="shared" si="289"/>
        <v>1.16122148938345-0.0422541020346928i</v>
      </c>
      <c r="AR580" s="170" t="str">
        <f t="shared" si="290"/>
        <v>0.716399519091831+0.0260680831814294i</v>
      </c>
    </row>
    <row r="581" spans="7:44">
      <c r="G581" s="688">
        <v>109650</v>
      </c>
      <c r="H581" s="676">
        <f t="shared" si="282"/>
        <v>109.65</v>
      </c>
      <c r="I581" s="677">
        <f t="shared" si="262"/>
        <v>1351.6588716626554</v>
      </c>
      <c r="J581" s="678">
        <f t="shared" si="263"/>
        <v>1.5700564950872151</v>
      </c>
      <c r="K581" s="678">
        <f t="shared" si="264"/>
        <v>1.0490170421086173</v>
      </c>
      <c r="L581" s="679">
        <f t="shared" si="265"/>
        <v>0.30690435141507394</v>
      </c>
      <c r="M581" s="678">
        <f t="shared" si="266"/>
        <v>1.1604061483279708</v>
      </c>
      <c r="N581" s="679">
        <f t="shared" si="267"/>
        <v>-0.53205330794246131</v>
      </c>
      <c r="O581" s="677">
        <f t="shared" si="268"/>
        <v>1240112.2826614033</v>
      </c>
      <c r="P581" s="680">
        <f t="shared" si="269"/>
        <v>1.5707955204163018</v>
      </c>
      <c r="Q581" s="689">
        <f t="shared" si="291"/>
        <v>586.98733226729701</v>
      </c>
      <c r="R581" s="690">
        <f t="shared" si="292"/>
        <v>1.569092711693264</v>
      </c>
      <c r="S581" s="677">
        <f t="shared" si="270"/>
        <v>4.7055459604338523</v>
      </c>
      <c r="T581" s="680">
        <f t="shared" si="271"/>
        <v>1.356648097321892</v>
      </c>
      <c r="U581" s="681">
        <f t="shared" si="283"/>
        <v>0.41313869324639696</v>
      </c>
      <c r="V581" s="682">
        <f t="shared" si="284"/>
        <v>-1.6767106718521974</v>
      </c>
      <c r="W581" s="683">
        <f t="shared" si="272"/>
        <v>-42.522418107495128</v>
      </c>
      <c r="X581" s="684">
        <f t="shared" si="273"/>
        <v>-276.75391502845258</v>
      </c>
      <c r="Y581" s="687">
        <f t="shared" si="274"/>
        <v>-96.753915028452582</v>
      </c>
      <c r="AA581" s="170">
        <f t="shared" si="275"/>
        <v>109650</v>
      </c>
      <c r="AB581" s="170">
        <f t="shared" si="276"/>
        <v>12023122500</v>
      </c>
      <c r="AD581" s="686">
        <f t="shared" si="277"/>
        <v>25.156604106795935</v>
      </c>
      <c r="AE581" s="687">
        <f t="shared" si="278"/>
        <v>-77.82777410307709</v>
      </c>
      <c r="AG581" s="686">
        <f t="shared" si="279"/>
        <v>2.7692054974373583</v>
      </c>
      <c r="AH581" s="687">
        <f t="shared" si="280"/>
        <v>-6.7892507824758637</v>
      </c>
      <c r="AJ581" s="170">
        <f t="shared" si="281"/>
        <v>0</v>
      </c>
      <c r="AK581" s="170">
        <f t="shared" si="293"/>
        <v>0</v>
      </c>
      <c r="AM581" s="170" t="str">
        <f t="shared" si="285"/>
        <v>1.95665526175935-0.291222784390487i</v>
      </c>
      <c r="AN581" s="170" t="str">
        <f t="shared" si="286"/>
        <v>3.43709743018483i</v>
      </c>
      <c r="AO581" s="170" t="str">
        <f t="shared" si="287"/>
        <v>-0.0847292782081032-0.569275471965347i</v>
      </c>
      <c r="AP581" s="170" t="str">
        <f t="shared" si="288"/>
        <v>-0.159442543626558+0.0485371307317478i</v>
      </c>
      <c r="AQ581" s="170" t="str">
        <f t="shared" si="289"/>
        <v>1.15944254362656-0.0485371307317478i</v>
      </c>
      <c r="AR581" s="170" t="str">
        <f t="shared" si="290"/>
        <v>0.717191855452823+0.0300234237903473i</v>
      </c>
    </row>
    <row r="582" spans="7:44">
      <c r="G582" s="688">
        <v>110925</v>
      </c>
      <c r="H582" s="676">
        <f t="shared" si="282"/>
        <v>110.925</v>
      </c>
      <c r="I582" s="677">
        <f t="shared" si="262"/>
        <v>1367.3758267333872</v>
      </c>
      <c r="J582" s="678">
        <f t="shared" si="263"/>
        <v>1.5700649988968973</v>
      </c>
      <c r="K582" s="678">
        <f t="shared" si="264"/>
        <v>1.0501362163972174</v>
      </c>
      <c r="L582" s="679">
        <f t="shared" si="265"/>
        <v>0.31024953929178639</v>
      </c>
      <c r="M582" s="678">
        <f t="shared" si="266"/>
        <v>1.1638936423574917</v>
      </c>
      <c r="N582" s="679">
        <f t="shared" si="267"/>
        <v>-0.53712156108763487</v>
      </c>
      <c r="O582" s="677">
        <f t="shared" si="268"/>
        <v>1254532.1929248988</v>
      </c>
      <c r="P582" s="680">
        <f t="shared" si="269"/>
        <v>1.5707955296850211</v>
      </c>
      <c r="Q582" s="689">
        <f t="shared" si="291"/>
        <v>593.81274666780735</v>
      </c>
      <c r="R582" s="690">
        <f t="shared" si="292"/>
        <v>1.569112293438804</v>
      </c>
      <c r="S582" s="677">
        <f t="shared" si="270"/>
        <v>4.7578040716581</v>
      </c>
      <c r="T582" s="680">
        <f t="shared" si="271"/>
        <v>1.3590362390353743</v>
      </c>
      <c r="U582" s="681">
        <f t="shared" si="283"/>
        <v>0.40772005795971666</v>
      </c>
      <c r="V582" s="682">
        <f t="shared" si="284"/>
        <v>-1.6911592055562643</v>
      </c>
      <c r="W582" s="683">
        <f t="shared" si="272"/>
        <v>-42.798113585534949</v>
      </c>
      <c r="X582" s="684">
        <f t="shared" si="273"/>
        <v>-277.81667565192078</v>
      </c>
      <c r="Y582" s="687">
        <f t="shared" si="274"/>
        <v>-97.816675651920775</v>
      </c>
      <c r="AA582" s="170">
        <f t="shared" si="275"/>
        <v>110925</v>
      </c>
      <c r="AB582" s="170">
        <f t="shared" si="276"/>
        <v>12304355625</v>
      </c>
      <c r="AD582" s="686">
        <f t="shared" si="277"/>
        <v>25.06067313893363</v>
      </c>
      <c r="AE582" s="687">
        <f t="shared" si="278"/>
        <v>-77.963483123977397</v>
      </c>
      <c r="AG582" s="686">
        <f t="shared" si="279"/>
        <v>2.8187927566129161</v>
      </c>
      <c r="AH582" s="687">
        <f t="shared" si="280"/>
        <v>-6.0606223803606953</v>
      </c>
      <c r="AJ582" s="170">
        <f t="shared" si="281"/>
        <v>0</v>
      </c>
      <c r="AK582" s="170">
        <f t="shared" si="293"/>
        <v>0</v>
      </c>
      <c r="AM582" s="170" t="str">
        <f t="shared" si="285"/>
        <v>1.9442553461167-0.329213974992003i</v>
      </c>
      <c r="AN582" s="170" t="str">
        <f t="shared" si="286"/>
        <v>3.47706367937302i</v>
      </c>
      <c r="AO582" s="170" t="str">
        <f t="shared" si="287"/>
        <v>-0.094681606478765-0.559165872529342i</v>
      </c>
      <c r="AP582" s="170" t="str">
        <f t="shared" si="288"/>
        <v>-0.15737589101945+0.0548689958320005i</v>
      </c>
      <c r="AQ582" s="170" t="str">
        <f t="shared" si="289"/>
        <v>1.15737589101945-0.0548689958320005i</v>
      </c>
      <c r="AR582" s="170" t="str">
        <f t="shared" si="290"/>
        <v>0.71811760878535+0.0340445937997056i</v>
      </c>
    </row>
    <row r="583" spans="7:44">
      <c r="G583" s="688">
        <v>112200</v>
      </c>
      <c r="H583" s="676">
        <f t="shared" si="282"/>
        <v>112.2</v>
      </c>
      <c r="I583" s="677">
        <f t="shared" si="262"/>
        <v>1383.0927819007529</v>
      </c>
      <c r="J583" s="678">
        <f t="shared" si="263"/>
        <v>1.5700733094382797</v>
      </c>
      <c r="K583" s="678">
        <f t="shared" si="264"/>
        <v>1.0512671169087235</v>
      </c>
      <c r="L583" s="679">
        <f t="shared" si="265"/>
        <v>0.31358756728419535</v>
      </c>
      <c r="M583" s="678">
        <f t="shared" si="266"/>
        <v>1.1674108544696069</v>
      </c>
      <c r="N583" s="679">
        <f t="shared" si="267"/>
        <v>-0.54215940340953328</v>
      </c>
      <c r="O583" s="677">
        <f t="shared" si="268"/>
        <v>1268952.1031883941</v>
      </c>
      <c r="P583" s="680">
        <f t="shared" si="269"/>
        <v>1.5707955387430881</v>
      </c>
      <c r="Q583" s="689">
        <f t="shared" si="291"/>
        <v>600.63816129083705</v>
      </c>
      <c r="R583" s="690">
        <f t="shared" si="292"/>
        <v>1.5691314301459205</v>
      </c>
      <c r="S583" s="677">
        <f t="shared" si="270"/>
        <v>4.8100887280007401</v>
      </c>
      <c r="T583" s="680">
        <f t="shared" si="271"/>
        <v>1.3613724766328508</v>
      </c>
      <c r="U583" s="681">
        <f t="shared" si="283"/>
        <v>0.40233784602070061</v>
      </c>
      <c r="V583" s="682">
        <f t="shared" si="284"/>
        <v>-1.7056550170809723</v>
      </c>
      <c r="W583" s="683">
        <f t="shared" si="272"/>
        <v>-43.072179198411817</v>
      </c>
      <c r="X583" s="684">
        <f t="shared" si="273"/>
        <v>-278.87785344081112</v>
      </c>
      <c r="Y583" s="687">
        <f t="shared" si="274"/>
        <v>-98.877853440811123</v>
      </c>
      <c r="AA583" s="170">
        <f t="shared" si="275"/>
        <v>112200</v>
      </c>
      <c r="AB583" s="170">
        <f t="shared" si="276"/>
        <v>12588840000</v>
      </c>
      <c r="AD583" s="686">
        <f t="shared" si="277"/>
        <v>24.965742182594113</v>
      </c>
      <c r="AE583" s="687">
        <f t="shared" si="278"/>
        <v>-78.096243744841729</v>
      </c>
      <c r="AG583" s="686">
        <f t="shared" si="279"/>
        <v>2.870505730241196</v>
      </c>
      <c r="AH583" s="687">
        <f t="shared" si="280"/>
        <v>-5.3279419045229037</v>
      </c>
      <c r="AJ583" s="170">
        <f t="shared" si="281"/>
        <v>0</v>
      </c>
      <c r="AK583" s="170">
        <f t="shared" si="293"/>
        <v>0</v>
      </c>
      <c r="AM583" s="170" t="str">
        <f t="shared" si="285"/>
        <v>1.93034737114683-0.36667938174949i</v>
      </c>
      <c r="AN583" s="170" t="str">
        <f t="shared" si="286"/>
        <v>3.51702992856122i</v>
      </c>
      <c r="AO583" s="170" t="str">
        <f t="shared" si="287"/>
        <v>-0.104258248919563-0.548857248973288i</v>
      </c>
      <c r="AP583" s="170" t="str">
        <f t="shared" si="288"/>
        <v>-0.155057895191138+0.0611132302915817i</v>
      </c>
      <c r="AQ583" s="170" t="str">
        <f t="shared" si="289"/>
        <v>1.15505789519114-0.0611132302915817i</v>
      </c>
      <c r="AR583" s="170" t="str">
        <f t="shared" si="290"/>
        <v>0.719162756733659+0.0380503517203524i</v>
      </c>
    </row>
    <row r="584" spans="7:44">
      <c r="G584" s="688">
        <v>113510</v>
      </c>
      <c r="H584" s="676">
        <f t="shared" si="282"/>
        <v>113.51</v>
      </c>
      <c r="I584" s="677">
        <f t="shared" si="262"/>
        <v>1399.2411829934695</v>
      </c>
      <c r="J584" s="678">
        <f t="shared" si="263"/>
        <v>1.5700816536582849</v>
      </c>
      <c r="K584" s="678">
        <f t="shared" si="264"/>
        <v>1.0524412354984718</v>
      </c>
      <c r="L584" s="679">
        <f t="shared" si="265"/>
        <v>0.31700971622312724</v>
      </c>
      <c r="M584" s="678">
        <f t="shared" si="266"/>
        <v>1.1710552890020935</v>
      </c>
      <c r="N584" s="679">
        <f t="shared" si="267"/>
        <v>-0.54730388545686381</v>
      </c>
      <c r="O584" s="677">
        <f t="shared" si="268"/>
        <v>1283767.8541257896</v>
      </c>
      <c r="P584" s="680">
        <f t="shared" si="269"/>
        <v>1.5707955478378626</v>
      </c>
      <c r="Q584" s="689">
        <f t="shared" si="291"/>
        <v>607.65094046073648</v>
      </c>
      <c r="R584" s="690">
        <f t="shared" si="292"/>
        <v>1.5691506444058916</v>
      </c>
      <c r="S584" s="677">
        <f t="shared" si="270"/>
        <v>4.8638353977858975</v>
      </c>
      <c r="T584" s="680">
        <f t="shared" si="271"/>
        <v>1.3637205183478684</v>
      </c>
      <c r="U584" s="681">
        <f t="shared" si="283"/>
        <v>0.39684347558176686</v>
      </c>
      <c r="V584" s="682">
        <f t="shared" si="284"/>
        <v>-1.7206040348615985</v>
      </c>
      <c r="W584" s="683">
        <f t="shared" si="272"/>
        <v>-43.352184257814763</v>
      </c>
      <c r="X584" s="684">
        <f t="shared" si="273"/>
        <v>-279.96696208084853</v>
      </c>
      <c r="Y584" s="687">
        <f t="shared" si="274"/>
        <v>-99.966962080848532</v>
      </c>
      <c r="AA584" s="170">
        <f t="shared" si="275"/>
        <v>113510</v>
      </c>
      <c r="AB584" s="170">
        <f t="shared" si="276"/>
        <v>12884520100</v>
      </c>
      <c r="AD584" s="686">
        <f t="shared" si="277"/>
        <v>24.869226275345508</v>
      </c>
      <c r="AE584" s="687">
        <f t="shared" si="278"/>
        <v>-78.229676250474768</v>
      </c>
      <c r="AG584" s="686">
        <f t="shared" si="279"/>
        <v>2.9258822566898077</v>
      </c>
      <c r="AH584" s="687">
        <f t="shared" si="280"/>
        <v>-4.5705867835781095</v>
      </c>
      <c r="AJ584" s="170">
        <f t="shared" si="281"/>
        <v>0</v>
      </c>
      <c r="AK584" s="170">
        <f t="shared" si="293"/>
        <v>0</v>
      </c>
      <c r="AM584" s="170" t="str">
        <f t="shared" si="285"/>
        <v>1.91451024866147-0.404562733198627i</v>
      </c>
      <c r="AN584" s="170" t="str">
        <f t="shared" si="286"/>
        <v>3.55809329047223i</v>
      </c>
      <c r="AO584" s="170" t="str">
        <f t="shared" si="287"/>
        <v>-0.113702115198034-0.538071965057267i</v>
      </c>
      <c r="AP584" s="170" t="str">
        <f t="shared" si="288"/>
        <v>-0.152418374776911+0.0674271221997712i</v>
      </c>
      <c r="AQ584" s="170" t="str">
        <f t="shared" si="289"/>
        <v>1.15241837477691-0.0674271221997712i</v>
      </c>
      <c r="AR584" s="170" t="str">
        <f t="shared" si="290"/>
        <v>0.720361729893025+0.042147816671995i</v>
      </c>
    </row>
    <row r="585" spans="7:44">
      <c r="G585" s="688">
        <v>114820</v>
      </c>
      <c r="H585" s="676">
        <f t="shared" si="282"/>
        <v>114.82</v>
      </c>
      <c r="I585" s="677">
        <f t="shared" si="262"/>
        <v>1415.3895841813867</v>
      </c>
      <c r="J585" s="678">
        <f t="shared" si="263"/>
        <v>1.5700898074772678</v>
      </c>
      <c r="K585" s="678">
        <f t="shared" si="264"/>
        <v>1.0536276517827365</v>
      </c>
      <c r="L585" s="679">
        <f t="shared" si="265"/>
        <v>0.32042419819040224</v>
      </c>
      <c r="M585" s="678">
        <f t="shared" si="266"/>
        <v>1.1747305235490908</v>
      </c>
      <c r="N585" s="679">
        <f t="shared" si="267"/>
        <v>-0.55241631229279187</v>
      </c>
      <c r="O585" s="677">
        <f t="shared" si="268"/>
        <v>1298583.6050631853</v>
      </c>
      <c r="P585" s="680">
        <f t="shared" si="269"/>
        <v>1.5707955567251097</v>
      </c>
      <c r="Q585" s="689">
        <f t="shared" si="291"/>
        <v>614.66371984985415</v>
      </c>
      <c r="R585" s="690">
        <f t="shared" si="292"/>
        <v>1.5691694202298208</v>
      </c>
      <c r="S585" s="677">
        <f t="shared" si="270"/>
        <v>4.9176082971065114</v>
      </c>
      <c r="T585" s="680">
        <f t="shared" si="271"/>
        <v>1.3660172219190065</v>
      </c>
      <c r="U585" s="681">
        <f t="shared" si="283"/>
        <v>0.39138275559301311</v>
      </c>
      <c r="V585" s="682">
        <f t="shared" si="284"/>
        <v>-1.7356153008086914</v>
      </c>
      <c r="W585" s="683">
        <f t="shared" si="272"/>
        <v>-43.63070213326619</v>
      </c>
      <c r="X585" s="684">
        <f t="shared" si="273"/>
        <v>-281.05531267539601</v>
      </c>
      <c r="Y585" s="687">
        <f t="shared" si="274"/>
        <v>-101.05531267539601</v>
      </c>
      <c r="AA585" s="170">
        <f t="shared" si="275"/>
        <v>114820</v>
      </c>
      <c r="AB585" s="170">
        <f t="shared" si="276"/>
        <v>13183632400</v>
      </c>
      <c r="AD585" s="686">
        <f t="shared" si="277"/>
        <v>24.77372473304186</v>
      </c>
      <c r="AE585" s="687">
        <f t="shared" si="278"/>
        <v>-78.360192405776459</v>
      </c>
      <c r="AG585" s="686">
        <f t="shared" si="279"/>
        <v>2.9835682403972488</v>
      </c>
      <c r="AH585" s="687">
        <f t="shared" si="280"/>
        <v>-3.8082568530244929</v>
      </c>
      <c r="AJ585" s="170">
        <f t="shared" si="281"/>
        <v>0</v>
      </c>
      <c r="AK585" s="170">
        <f t="shared" si="293"/>
        <v>0</v>
      </c>
      <c r="AM585" s="170" t="str">
        <f t="shared" si="285"/>
        <v>1.89713129594807-0.441764006943227i</v>
      </c>
      <c r="AN585" s="170" t="str">
        <f t="shared" si="286"/>
        <v>3.59915665238324i</v>
      </c>
      <c r="AO585" s="170" t="str">
        <f t="shared" si="287"/>
        <v>-0.122740977848437-0.527104396718007i</v>
      </c>
      <c r="AP585" s="170" t="str">
        <f t="shared" si="288"/>
        <v>-0.149521882658012+0.0736273344905378i</v>
      </c>
      <c r="AQ585" s="170" t="str">
        <f t="shared" si="289"/>
        <v>1.14952188265801-0.0736273344905378i</v>
      </c>
      <c r="AR585" s="170" t="str">
        <f t="shared" si="290"/>
        <v>0.72168840884311+0.0462244300673691i</v>
      </c>
    </row>
    <row r="586" spans="7:44">
      <c r="G586" s="688">
        <v>116155</v>
      </c>
      <c r="H586" s="676">
        <f t="shared" si="282"/>
        <v>116.155</v>
      </c>
      <c r="I586" s="677">
        <f t="shared" si="262"/>
        <v>1431.846161059101</v>
      </c>
      <c r="J586" s="678">
        <f t="shared" si="263"/>
        <v>1.5700979276871643</v>
      </c>
      <c r="K586" s="678">
        <f t="shared" si="264"/>
        <v>1.0548493186026258</v>
      </c>
      <c r="L586" s="679">
        <f t="shared" si="265"/>
        <v>0.32389589868324731</v>
      </c>
      <c r="M586" s="678">
        <f t="shared" si="266"/>
        <v>1.1785072851098193</v>
      </c>
      <c r="N586" s="679">
        <f t="shared" si="267"/>
        <v>-0.55759336101705348</v>
      </c>
      <c r="O586" s="677">
        <f t="shared" si="268"/>
        <v>1313682.099339081</v>
      </c>
      <c r="P586" s="680">
        <f t="shared" si="269"/>
        <v>1.5707955655757246</v>
      </c>
      <c r="Q586" s="689">
        <f t="shared" si="291"/>
        <v>621.81033112455759</v>
      </c>
      <c r="R586" s="690">
        <f t="shared" si="292"/>
        <v>1.5691881186629295</v>
      </c>
      <c r="S586" s="677">
        <f t="shared" si="270"/>
        <v>4.9724335009132243</v>
      </c>
      <c r="T586" s="680">
        <f t="shared" si="271"/>
        <v>1.3683066383670208</v>
      </c>
      <c r="U586" s="681">
        <f t="shared" si="283"/>
        <v>0.38584989575418532</v>
      </c>
      <c r="V586" s="682">
        <f t="shared" si="284"/>
        <v>-1.7509836250832271</v>
      </c>
      <c r="W586" s="683">
        <f t="shared" si="272"/>
        <v>-43.913130985806667</v>
      </c>
      <c r="X586" s="684">
        <f t="shared" si="273"/>
        <v>-282.16413037161976</v>
      </c>
      <c r="Y586" s="687">
        <f t="shared" si="274"/>
        <v>-102.16413037161976</v>
      </c>
      <c r="AA586" s="170">
        <f t="shared" si="275"/>
        <v>116155</v>
      </c>
      <c r="AB586" s="170">
        <f t="shared" si="276"/>
        <v>13491984025</v>
      </c>
      <c r="AD586" s="686">
        <f t="shared" si="277"/>
        <v>24.677423452110499</v>
      </c>
      <c r="AE586" s="687">
        <f t="shared" si="278"/>
        <v>-78.490295471746421</v>
      </c>
      <c r="AG586" s="686">
        <f t="shared" si="279"/>
        <v>3.0447726441876801</v>
      </c>
      <c r="AH586" s="687">
        <f t="shared" si="280"/>
        <v>-3.0258912430272571</v>
      </c>
      <c r="AJ586" s="170">
        <f t="shared" si="281"/>
        <v>0</v>
      </c>
      <c r="AK586" s="170">
        <f t="shared" si="293"/>
        <v>0</v>
      </c>
      <c r="AM586" s="170" t="str">
        <f t="shared" si="285"/>
        <v>1.87786478523251-0.478908570448135i</v>
      </c>
      <c r="AN586" s="170" t="str">
        <f t="shared" si="286"/>
        <v>3.64100366623911i</v>
      </c>
      <c r="AO586" s="170" t="str">
        <f t="shared" si="287"/>
        <v>-0.131532020933891-0.515754708693333i</v>
      </c>
      <c r="AP586" s="170" t="str">
        <f t="shared" si="288"/>
        <v>-0.146310797538752+0.0798180950746892i</v>
      </c>
      <c r="AQ586" s="170" t="str">
        <f t="shared" si="289"/>
        <v>1.14631079753875-0.0798180950746892i</v>
      </c>
      <c r="AR586" s="170" t="str">
        <f t="shared" si="290"/>
        <v>0.72317278694621+0.0503548203400302i</v>
      </c>
    </row>
    <row r="587" spans="7:44">
      <c r="G587" s="688">
        <v>117490</v>
      </c>
      <c r="H587" s="676">
        <f t="shared" si="282"/>
        <v>117.49</v>
      </c>
      <c r="I587" s="677">
        <f t="shared" si="262"/>
        <v>1448.3027380290828</v>
      </c>
      <c r="J587" s="678">
        <f t="shared" si="263"/>
        <v>1.5701058633626328</v>
      </c>
      <c r="K587" s="678">
        <f t="shared" si="264"/>
        <v>1.0560836697058198</v>
      </c>
      <c r="L587" s="679">
        <f t="shared" si="265"/>
        <v>0.32735952539082769</v>
      </c>
      <c r="M587" s="678">
        <f t="shared" si="266"/>
        <v>1.1823154305383781</v>
      </c>
      <c r="N587" s="679">
        <f t="shared" si="267"/>
        <v>-0.56273719713198411</v>
      </c>
      <c r="O587" s="677">
        <f t="shared" si="268"/>
        <v>1328780.5936149764</v>
      </c>
      <c r="P587" s="680">
        <f t="shared" si="269"/>
        <v>1.5707955742252062</v>
      </c>
      <c r="Q587" s="689">
        <f t="shared" si="291"/>
        <v>628.95694261172468</v>
      </c>
      <c r="R587" s="690">
        <f t="shared" si="292"/>
        <v>1.5692063921689061</v>
      </c>
      <c r="S587" s="677">
        <f t="shared" si="270"/>
        <v>5.027284198837739</v>
      </c>
      <c r="T587" s="680">
        <f t="shared" si="271"/>
        <v>1.3705461085164197</v>
      </c>
      <c r="U587" s="681">
        <f t="shared" si="283"/>
        <v>0.38034680311481822</v>
      </c>
      <c r="V587" s="682">
        <f t="shared" si="284"/>
        <v>-1.7664298985603799</v>
      </c>
      <c r="W587" s="683">
        <f t="shared" si="272"/>
        <v>-44.194272759568946</v>
      </c>
      <c r="X587" s="684">
        <f t="shared" si="273"/>
        <v>-283.27312592949949</v>
      </c>
      <c r="Y587" s="687">
        <f t="shared" si="274"/>
        <v>-103.27312592949949</v>
      </c>
      <c r="AA587" s="170">
        <f t="shared" si="275"/>
        <v>117490</v>
      </c>
      <c r="AB587" s="170">
        <f t="shared" si="276"/>
        <v>13803900100</v>
      </c>
      <c r="AD587" s="686">
        <f t="shared" si="277"/>
        <v>24.582134130885059</v>
      </c>
      <c r="AE587" s="687">
        <f t="shared" si="278"/>
        <v>-78.617561160607352</v>
      </c>
      <c r="AG587" s="686">
        <f t="shared" si="279"/>
        <v>3.1084648704836719</v>
      </c>
      <c r="AH587" s="687">
        <f t="shared" si="280"/>
        <v>-2.2376085511320754</v>
      </c>
      <c r="AJ587" s="170">
        <f t="shared" si="281"/>
        <v>0</v>
      </c>
      <c r="AK587" s="170">
        <f t="shared" si="293"/>
        <v>0</v>
      </c>
      <c r="AM587" s="170" t="str">
        <f t="shared" si="285"/>
        <v>1.8570612061117-0.515214604779746i</v>
      </c>
      <c r="AN587" s="170" t="str">
        <f t="shared" si="286"/>
        <v>3.68285068009499i</v>
      </c>
      <c r="AO587" s="170" t="str">
        <f t="shared" si="287"/>
        <v>-0.139895599776654-0.50424558784007i</v>
      </c>
      <c r="AP587" s="170" t="str">
        <f t="shared" si="288"/>
        <v>-0.142843534351951+0.0858691007966243i</v>
      </c>
      <c r="AQ587" s="170" t="str">
        <f t="shared" si="289"/>
        <v>1.14284353435195-0.0858691007966243i</v>
      </c>
      <c r="AR587" s="170" t="str">
        <f t="shared" si="290"/>
        <v>0.724791886638783+0.0544582225821952i</v>
      </c>
    </row>
    <row r="588" spans="7:44">
      <c r="G588" s="688">
        <v>118860</v>
      </c>
      <c r="H588" s="676">
        <f t="shared" si="282"/>
        <v>118.86</v>
      </c>
      <c r="I588" s="677">
        <f t="shared" si="262"/>
        <v>1465.1907609298958</v>
      </c>
      <c r="J588" s="678">
        <f t="shared" si="263"/>
        <v>1.5701138217557569</v>
      </c>
      <c r="K588" s="678">
        <f t="shared" si="264"/>
        <v>1.0573635229452387</v>
      </c>
      <c r="L588" s="679">
        <f t="shared" si="265"/>
        <v>0.33090550738253638</v>
      </c>
      <c r="M588" s="678">
        <f t="shared" si="266"/>
        <v>1.1862557268353966</v>
      </c>
      <c r="N588" s="679">
        <f t="shared" si="267"/>
        <v>-0.56798141166467331</v>
      </c>
      <c r="O588" s="677">
        <f t="shared" si="268"/>
        <v>1344274.9285647722</v>
      </c>
      <c r="P588" s="680">
        <f t="shared" si="269"/>
        <v>1.5707955828994489</v>
      </c>
      <c r="Q588" s="689">
        <f t="shared" si="291"/>
        <v>636.29091865838154</v>
      </c>
      <c r="R588" s="690">
        <f t="shared" si="292"/>
        <v>1.5692247179877685</v>
      </c>
      <c r="S588" s="677">
        <f t="shared" si="270"/>
        <v>5.0835985700370641</v>
      </c>
      <c r="T588" s="680">
        <f t="shared" si="271"/>
        <v>1.372794036103371</v>
      </c>
      <c r="U588" s="681">
        <f t="shared" si="283"/>
        <v>0.3747276076698367</v>
      </c>
      <c r="V588" s="682">
        <f t="shared" si="284"/>
        <v>-1.7823693007441437</v>
      </c>
      <c r="W588" s="683">
        <f t="shared" si="272"/>
        <v>-44.481588011697838</v>
      </c>
      <c r="X588" s="684">
        <f t="shared" si="273"/>
        <v>-284.41189121176347</v>
      </c>
      <c r="Y588" s="687">
        <f t="shared" si="274"/>
        <v>-104.41189121176347</v>
      </c>
      <c r="AA588" s="170">
        <f t="shared" si="275"/>
        <v>118860</v>
      </c>
      <c r="AB588" s="170">
        <f t="shared" si="276"/>
        <v>14127699600</v>
      </c>
      <c r="AD588" s="686">
        <f t="shared" si="277"/>
        <v>24.485377644921652</v>
      </c>
      <c r="AE588" s="687">
        <f t="shared" si="278"/>
        <v>-78.745308429057218</v>
      </c>
      <c r="AG588" s="686">
        <f t="shared" si="279"/>
        <v>3.1764692967443193</v>
      </c>
      <c r="AH588" s="687">
        <f t="shared" si="280"/>
        <v>-1.4221056166766306</v>
      </c>
      <c r="AJ588" s="170">
        <f t="shared" si="281"/>
        <v>0</v>
      </c>
      <c r="AK588" s="170">
        <f t="shared" si="293"/>
        <v>0</v>
      </c>
      <c r="AM588" s="170" t="str">
        <f t="shared" si="285"/>
        <v>1.83415239106082-0.551534032030219i</v>
      </c>
      <c r="AN588" s="170" t="str">
        <f t="shared" si="286"/>
        <v>3.72579480667368i</v>
      </c>
      <c r="AO588" s="170" t="str">
        <f t="shared" si="287"/>
        <v>-0.148031241828537-0.492284864366515i</v>
      </c>
      <c r="AP588" s="170" t="str">
        <f t="shared" si="288"/>
        <v>-0.139025398510137+0.0919223386717032i</v>
      </c>
      <c r="AQ588" s="170" t="str">
        <f t="shared" si="289"/>
        <v>1.13902539851014-0.0919223386717032i</v>
      </c>
      <c r="AR588" s="170" t="str">
        <f t="shared" si="290"/>
        <v>0.726594727110851+0.0586381011959171i</v>
      </c>
    </row>
    <row r="589" spans="7:44">
      <c r="G589" s="688">
        <v>120230</v>
      </c>
      <c r="H589" s="676">
        <f t="shared" si="282"/>
        <v>120.23</v>
      </c>
      <c r="I589" s="677">
        <f t="shared" ref="I589:I613" si="294">SQRT(1+(G589/pole1)^2)</f>
        <v>1482.0787839213931</v>
      </c>
      <c r="J589" s="678">
        <f t="shared" ref="J589:J613" si="295">ATAN(G589/pole1)</f>
        <v>1.5701215987799455</v>
      </c>
      <c r="K589" s="678">
        <f t="shared" ref="K589:K613" si="296">SQRT(1+(G589/Zero1)^2)</f>
        <v>1.0586566392174213</v>
      </c>
      <c r="L589" s="679">
        <f t="shared" ref="L589:L613" si="297">ATAN(G589/Zero1)</f>
        <v>0.33444287114873472</v>
      </c>
      <c r="M589" s="678">
        <f t="shared" ref="M589:M613" si="298">SQRT(1+(G589/z_RHP)^2)</f>
        <v>1.1902284307552911</v>
      </c>
      <c r="N589" s="679">
        <f t="shared" ref="N589:N613" si="299">-ATAN(G589/z_RHP)</f>
        <v>-0.57319076074943698</v>
      </c>
      <c r="O589" s="677">
        <f t="shared" ref="O589:O613" si="300">SQRT(1+(G589/Pole2)^2)</f>
        <v>1359769.2635145679</v>
      </c>
      <c r="P589" s="680">
        <f t="shared" ref="P589:P613" si="301">ATAN(G589/Pole2)</f>
        <v>1.5707955913760083</v>
      </c>
      <c r="Q589" s="689">
        <f t="shared" si="291"/>
        <v>643.62489491385759</v>
      </c>
      <c r="R589" s="690">
        <f t="shared" si="292"/>
        <v>1.5692426261685948</v>
      </c>
      <c r="S589" s="677">
        <f t="shared" ref="S589:S613" si="302">SQRT(1+(G589/pole4)^2)</f>
        <v>5.1399380665975265</v>
      </c>
      <c r="T589" s="680">
        <f t="shared" ref="T589:T613" si="303">ATAN(G589/pole4)</f>
        <v>1.3749926949741502</v>
      </c>
      <c r="U589" s="681">
        <f t="shared" si="283"/>
        <v>0.36913409086046023</v>
      </c>
      <c r="V589" s="682">
        <f t="shared" si="284"/>
        <v>-1.798405363259219</v>
      </c>
      <c r="W589" s="683">
        <f t="shared" ref="W589:W613" si="304">20*LOG10(((K589*Q589*M589*U589)/(I589*O589*S589))*Adc)</f>
        <v>-44.76783808326352</v>
      </c>
      <c r="X589" s="684">
        <f t="shared" ref="X589:X613" si="305">((L589+R589+N589+V589)-(J589+P589+T589))*radconv</f>
        <v>-285.5518815043884</v>
      </c>
      <c r="Y589" s="687">
        <f t="shared" ref="Y589:Y613" si="306">IF(X589&gt;0,X589,X589+180)</f>
        <v>-105.5518815043884</v>
      </c>
      <c r="AA589" s="170">
        <f t="shared" ref="AA589:AA613" si="307">IF(W589&lt;0,G589,1000000000)</f>
        <v>120230</v>
      </c>
      <c r="AB589" s="170">
        <f t="shared" ref="AB589:AB613" si="308">G589^2</f>
        <v>14455252900</v>
      </c>
      <c r="AD589" s="686">
        <f t="shared" ref="AD589:AD613" si="309">20*LOG10((Q589/(O589*S589))*Aea)</f>
        <v>24.389644658758126</v>
      </c>
      <c r="AE589" s="687">
        <f t="shared" ref="AE589:AE613" si="310">(R589-(P589+T589))*radconv</f>
        <v>-78.870256725575629</v>
      </c>
      <c r="AG589" s="686">
        <f t="shared" ref="AG589:AG613" si="311">20*LOG10((K589*M589/(I589*U589))*Acs*Am)</f>
        <v>3.2472136019670961</v>
      </c>
      <c r="AH589" s="687">
        <f t="shared" ref="AH589:AH613" si="312">(L589+N589-(J589+V589))*radconv</f>
        <v>-0.59955020643977641</v>
      </c>
      <c r="AJ589" s="170">
        <f t="shared" ref="AJ589:AJ613" si="313">SUM((W590&lt;0)*(W589&gt;0))*G589</f>
        <v>0</v>
      </c>
      <c r="AK589" s="170">
        <f t="shared" si="293"/>
        <v>0</v>
      </c>
      <c r="AM589" s="170" t="str">
        <f t="shared" si="285"/>
        <v>1.80970547023507-0.58683647762507i</v>
      </c>
      <c r="AN589" s="170" t="str">
        <f t="shared" si="286"/>
        <v>3.76873893325237i</v>
      </c>
      <c r="AO589" s="170" t="str">
        <f t="shared" si="287"/>
        <v>-0.155711628748622-0.480188599498803i</v>
      </c>
      <c r="AP589" s="170" t="str">
        <f t="shared" si="288"/>
        <v>-0.134950911705845+0.0978060796041783i</v>
      </c>
      <c r="AQ589" s="170" t="str">
        <f t="shared" si="289"/>
        <v>1.13495091170584-0.0978060796041783i</v>
      </c>
      <c r="AR589" s="170" t="str">
        <f t="shared" si="290"/>
        <v>0.728542013440294+0.0627831894988583i</v>
      </c>
    </row>
    <row r="590" spans="7:44">
      <c r="G590" s="688">
        <v>126030</v>
      </c>
      <c r="H590" s="676">
        <f t="shared" ref="H590:H613" si="314">G590/1000</f>
        <v>126.03</v>
      </c>
      <c r="I590" s="677">
        <f t="shared" si="294"/>
        <v>1553.575524529987</v>
      </c>
      <c r="J590" s="678">
        <f t="shared" si="295"/>
        <v>1.5701526502865686</v>
      </c>
      <c r="K590" s="678">
        <f t="shared" si="296"/>
        <v>1.0642769568165091</v>
      </c>
      <c r="L590" s="679">
        <f t="shared" si="297"/>
        <v>0.3493218091059862</v>
      </c>
      <c r="M590" s="678">
        <f t="shared" si="298"/>
        <v>1.2073987888060733</v>
      </c>
      <c r="N590" s="679">
        <f t="shared" si="299"/>
        <v>-0.59486034098112395</v>
      </c>
      <c r="O590" s="677">
        <f t="shared" si="300"/>
        <v>1425365.7180465509</v>
      </c>
      <c r="P590" s="680">
        <f t="shared" si="301"/>
        <v>1.5707956252205657</v>
      </c>
      <c r="Q590" s="689">
        <f t="shared" si="291"/>
        <v>674.67384764110659</v>
      </c>
      <c r="R590" s="690">
        <f t="shared" si="292"/>
        <v>1.5693141285895735</v>
      </c>
      <c r="S590" s="677">
        <f t="shared" si="302"/>
        <v>5.3787158105043451</v>
      </c>
      <c r="T590" s="680">
        <f t="shared" si="303"/>
        <v>1.3837902740965038</v>
      </c>
      <c r="U590" s="681">
        <f t="shared" ref="U590:U613" si="315">IMABS(IMPRODUCT(AO590, AR590))</f>
        <v>0.34567057218292707</v>
      </c>
      <c r="V590" s="682">
        <f t="shared" ref="V590:V613" si="316">IMARGUMENT(IMPRODUCT(AO590, AR590))</f>
        <v>-1.8675397374446816</v>
      </c>
      <c r="W590" s="683">
        <f t="shared" si="304"/>
        <v>-45.971510834167191</v>
      </c>
      <c r="X590" s="684">
        <f t="shared" si="305"/>
        <v>-290.40381293866949</v>
      </c>
      <c r="Y590" s="687">
        <f t="shared" si="306"/>
        <v>-110.40381293866949</v>
      </c>
      <c r="AA590" s="170">
        <f t="shared" si="307"/>
        <v>126030</v>
      </c>
      <c r="AB590" s="170">
        <f t="shared" si="308"/>
        <v>15883560900</v>
      </c>
      <c r="AD590" s="686">
        <f t="shared" si="309"/>
        <v>23.995229465767775</v>
      </c>
      <c r="AE590" s="687">
        <f t="shared" si="310"/>
        <v>-79.37022603199344</v>
      </c>
      <c r="AG590" s="686">
        <f t="shared" si="311"/>
        <v>3.578825931455905</v>
      </c>
      <c r="AH590" s="687">
        <f t="shared" si="312"/>
        <v>2.9707033949597341</v>
      </c>
      <c r="AJ590" s="170">
        <f t="shared" si="313"/>
        <v>0</v>
      </c>
      <c r="AK590" s="170">
        <f t="shared" si="293"/>
        <v>0</v>
      </c>
      <c r="AM590" s="170" t="str">
        <f t="shared" ref="AM590:AM613" si="317">IMSUB(1,IMEXP(COMPLEX(0,-2*Pi*G590*Tsw)))</f>
        <v>1.69025599944746-0.723565239095132i</v>
      </c>
      <c r="AN590" s="170" t="str">
        <f t="shared" ref="AN590:AN613" si="318">COMPLEX(0, 2*Pi*G590*Tsw)</f>
        <v>3.95054618446141i</v>
      </c>
      <c r="AO590" s="170" t="str">
        <f t="shared" ref="AO590:AO613" si="319">IMDIV(AM590, AN590)</f>
        <v>-0.183155747410602-0.42785374996898i</v>
      </c>
      <c r="AP590" s="170" t="str">
        <f t="shared" ref="AP590:AP613" si="320">IMDIV(IMEXP(COMPLEX(0,-2*Pi*G590*Tsw)),6)</f>
        <v>-0.115042666574576+0.120594206515855i</v>
      </c>
      <c r="AQ590" s="170" t="str">
        <f t="shared" ref="AQ590:AQ613" si="321">IMSUB(1, AP590)</f>
        <v>1.11504266657458-0.120594206515855i</v>
      </c>
      <c r="AR590" s="170" t="str">
        <f t="shared" ref="AR590:AR613" si="322">IMDIV(0.833, AQ590)</f>
        <v>0.738419413995022+0.0798616106594305i</v>
      </c>
    </row>
    <row r="591" spans="7:44">
      <c r="G591" s="688">
        <v>131830</v>
      </c>
      <c r="H591" s="676">
        <f t="shared" si="314"/>
        <v>131.83000000000001</v>
      </c>
      <c r="I591" s="677">
        <f t="shared" si="294"/>
        <v>1625.0722665047244</v>
      </c>
      <c r="J591" s="678">
        <f t="shared" si="295"/>
        <v>1.5701809695066564</v>
      </c>
      <c r="K591" s="678">
        <f t="shared" si="296"/>
        <v>1.0701303819162207</v>
      </c>
      <c r="L591" s="679">
        <f t="shared" si="297"/>
        <v>0.36404120622058184</v>
      </c>
      <c r="M591" s="678">
        <f t="shared" si="298"/>
        <v>1.2251200611819746</v>
      </c>
      <c r="N591" s="679">
        <f t="shared" si="299"/>
        <v>-0.61591267530644256</v>
      </c>
      <c r="O591" s="677">
        <f t="shared" si="300"/>
        <v>1490962.1725785355</v>
      </c>
      <c r="P591" s="680">
        <f t="shared" si="301"/>
        <v>1.5707956560870688</v>
      </c>
      <c r="Q591" s="689">
        <f t="shared" si="291"/>
        <v>705.72280351417692</v>
      </c>
      <c r="R591" s="690">
        <f t="shared" si="292"/>
        <v>1.5693793393748179</v>
      </c>
      <c r="S591" s="677">
        <f t="shared" si="302"/>
        <v>5.617874447190859</v>
      </c>
      <c r="T591" s="680">
        <f t="shared" si="303"/>
        <v>1.3918393889745126</v>
      </c>
      <c r="U591" s="681">
        <f t="shared" si="315"/>
        <v>0.32238877088147949</v>
      </c>
      <c r="V591" s="682">
        <f t="shared" si="316"/>
        <v>-1.9391255753766763</v>
      </c>
      <c r="W591" s="683">
        <f t="shared" si="304"/>
        <v>-47.171637453398539</v>
      </c>
      <c r="X591" s="684">
        <f t="shared" si="305"/>
        <v>-295.32729825366516</v>
      </c>
      <c r="Y591" s="687">
        <f t="shared" si="306"/>
        <v>-115.32729825366516</v>
      </c>
      <c r="AA591" s="170">
        <f t="shared" si="307"/>
        <v>131830</v>
      </c>
      <c r="AB591" s="170">
        <f t="shared" si="308"/>
        <v>17379148900</v>
      </c>
      <c r="AD591" s="686">
        <f t="shared" si="309"/>
        <v>23.617360035148948</v>
      </c>
      <c r="AE591" s="687">
        <f t="shared" si="310"/>
        <v>-79.827671809589148</v>
      </c>
      <c r="AG591" s="686">
        <f t="shared" si="311"/>
        <v>3.9678688239576032</v>
      </c>
      <c r="AH591" s="687">
        <f t="shared" si="312"/>
        <v>6.7077966397548847</v>
      </c>
      <c r="AJ591" s="170">
        <f t="shared" si="313"/>
        <v>0</v>
      </c>
      <c r="AK591" s="170">
        <f t="shared" si="293"/>
        <v>0</v>
      </c>
      <c r="AM591" s="170" t="str">
        <f t="shared" si="317"/>
        <v>1.54805366827153-0.836443170032562i</v>
      </c>
      <c r="AN591" s="170" t="str">
        <f t="shared" si="318"/>
        <v>4.13235343567046i</v>
      </c>
      <c r="AO591" s="170" t="str">
        <f t="shared" si="319"/>
        <v>-0.202413269594122-0.374617924717846i</v>
      </c>
      <c r="AP591" s="170" t="str">
        <f t="shared" si="320"/>
        <v>-0.0913422780452548+0.139407195005427i</v>
      </c>
      <c r="AQ591" s="170" t="str">
        <f t="shared" si="321"/>
        <v>1.09134227804525-0.139407195005427i</v>
      </c>
      <c r="AR591" s="170" t="str">
        <f t="shared" si="322"/>
        <v>0.751025531464923+0.0959354043412619i</v>
      </c>
    </row>
    <row r="592" spans="7:44">
      <c r="G592" s="688">
        <v>144540</v>
      </c>
      <c r="H592" s="676">
        <f t="shared" si="314"/>
        <v>144.54</v>
      </c>
      <c r="I592" s="677">
        <f t="shared" si="294"/>
        <v>1781.7487515988539</v>
      </c>
      <c r="J592" s="678">
        <f t="shared" si="295"/>
        <v>1.5702350804061438</v>
      </c>
      <c r="K592" s="678">
        <f t="shared" si="296"/>
        <v>1.0837539065034845</v>
      </c>
      <c r="L592" s="679">
        <f t="shared" si="297"/>
        <v>0.39572145096765587</v>
      </c>
      <c r="M592" s="678">
        <f t="shared" si="298"/>
        <v>1.2657664209211816</v>
      </c>
      <c r="N592" s="679">
        <f t="shared" si="299"/>
        <v>-0.65992995020401513</v>
      </c>
      <c r="O592" s="677">
        <f t="shared" si="300"/>
        <v>1634708.8858719061</v>
      </c>
      <c r="P592" s="680">
        <f t="shared" si="301"/>
        <v>1.5707957150651821</v>
      </c>
      <c r="Q592" s="689">
        <f t="shared" si="291"/>
        <v>773.76285217231487</v>
      </c>
      <c r="R592" s="690">
        <f t="shared" si="292"/>
        <v>1.5695039407937212</v>
      </c>
      <c r="S592" s="677">
        <f t="shared" si="302"/>
        <v>6.1430761943080068</v>
      </c>
      <c r="T592" s="680">
        <f t="shared" si="303"/>
        <v>1.4072837859205014</v>
      </c>
      <c r="U592" s="681">
        <f t="shared" si="315"/>
        <v>0.27085299018369208</v>
      </c>
      <c r="V592" s="682">
        <f t="shared" si="316"/>
        <v>-2.1075698417932962</v>
      </c>
      <c r="W592" s="683">
        <f t="shared" si="304"/>
        <v>-49.86693949868021</v>
      </c>
      <c r="X592" s="684">
        <f t="shared" si="305"/>
        <v>-306.56616690677487</v>
      </c>
      <c r="Y592" s="687">
        <f t="shared" si="306"/>
        <v>-126.56616690677487</v>
      </c>
      <c r="AA592" s="170">
        <f t="shared" si="307"/>
        <v>144540</v>
      </c>
      <c r="AB592" s="170">
        <f t="shared" si="308"/>
        <v>20891811600</v>
      </c>
      <c r="AD592" s="686">
        <f t="shared" si="309"/>
        <v>22.841081108587964</v>
      </c>
      <c r="AE592" s="687">
        <f t="shared" si="310"/>
        <v>-80.705434816494474</v>
      </c>
      <c r="AG592" s="686">
        <f t="shared" si="311"/>
        <v>5.0746965846152223</v>
      </c>
      <c r="AH592" s="687">
        <f t="shared" si="312"/>
        <v>15.648982113305735</v>
      </c>
      <c r="AJ592" s="170">
        <f t="shared" si="313"/>
        <v>0</v>
      </c>
      <c r="AK592" s="170">
        <f t="shared" si="293"/>
        <v>0</v>
      </c>
      <c r="AM592" s="170" t="str">
        <f t="shared" si="317"/>
        <v>1.1806299471063-0.983551128415994i</v>
      </c>
      <c r="AN592" s="170" t="str">
        <f t="shared" si="318"/>
        <v>4.53076208444063i</v>
      </c>
      <c r="AO592" s="170" t="str">
        <f t="shared" si="319"/>
        <v>-0.21708293441266-0.260580874718797i</v>
      </c>
      <c r="AP592" s="170" t="str">
        <f t="shared" si="320"/>
        <v>-0.0301049911843838+0.163925188069332i</v>
      </c>
      <c r="AQ592" s="170" t="str">
        <f t="shared" si="321"/>
        <v>1.03010499118438-0.163925188069332i</v>
      </c>
      <c r="AR592" s="170" t="str">
        <f t="shared" si="322"/>
        <v>0.78868300645314+0.125506634048311i</v>
      </c>
    </row>
    <row r="593" spans="7:44">
      <c r="G593" s="688">
        <v>158490</v>
      </c>
      <c r="H593" s="676">
        <f t="shared" si="314"/>
        <v>158.49</v>
      </c>
      <c r="I593" s="677">
        <f t="shared" si="294"/>
        <v>1953.7107524289452</v>
      </c>
      <c r="J593" s="678">
        <f t="shared" si="295"/>
        <v>1.5702844802779947</v>
      </c>
      <c r="K593" s="678">
        <f t="shared" si="296"/>
        <v>1.0999252611519421</v>
      </c>
      <c r="L593" s="679">
        <f t="shared" si="297"/>
        <v>0.42955136522758486</v>
      </c>
      <c r="M593" s="678">
        <f t="shared" si="298"/>
        <v>1.3130145397134947</v>
      </c>
      <c r="N593" s="679">
        <f t="shared" si="299"/>
        <v>-0.70500827503405461</v>
      </c>
      <c r="O593" s="677">
        <f t="shared" si="300"/>
        <v>1792479.6687548792</v>
      </c>
      <c r="P593" s="680">
        <f t="shared" si="301"/>
        <v>1.570795768908513</v>
      </c>
      <c r="Q593" s="689">
        <f t="shared" si="291"/>
        <v>848.44096586024204</v>
      </c>
      <c r="R593" s="690">
        <f t="shared" si="292"/>
        <v>1.5696176941359758</v>
      </c>
      <c r="S593" s="677">
        <f t="shared" si="302"/>
        <v>6.7209271418595575</v>
      </c>
      <c r="T593" s="680">
        <f t="shared" si="303"/>
        <v>1.4214528028748625</v>
      </c>
      <c r="U593" s="681">
        <f t="shared" si="315"/>
        <v>0.21101035268226259</v>
      </c>
      <c r="V593" s="682">
        <f t="shared" si="316"/>
        <v>-2.3172388686402199</v>
      </c>
      <c r="W593" s="683">
        <f t="shared" si="304"/>
        <v>-53.169710613624339</v>
      </c>
      <c r="X593" s="684">
        <f t="shared" si="305"/>
        <v>-320.03194448108195</v>
      </c>
      <c r="Y593" s="687">
        <f t="shared" si="306"/>
        <v>-140.03194448108195</v>
      </c>
      <c r="AA593" s="170">
        <f t="shared" si="307"/>
        <v>158490</v>
      </c>
      <c r="AB593" s="170">
        <f t="shared" si="308"/>
        <v>25119080100</v>
      </c>
      <c r="AD593" s="686">
        <f t="shared" si="309"/>
        <v>22.060214179214075</v>
      </c>
      <c r="AE593" s="687">
        <f t="shared" si="310"/>
        <v>-81.510745187327799</v>
      </c>
      <c r="AG593" s="686">
        <f t="shared" si="311"/>
        <v>6.8899872446854395</v>
      </c>
      <c r="AH593" s="687">
        <f t="shared" si="312"/>
        <v>27.014815603173748</v>
      </c>
      <c r="AJ593" s="170">
        <f t="shared" si="313"/>
        <v>0</v>
      </c>
      <c r="AK593" s="170">
        <f t="shared" si="293"/>
        <v>0</v>
      </c>
      <c r="AM593" s="170" t="str">
        <f t="shared" si="317"/>
        <v>0.747124803165911-0.967498906886267i</v>
      </c>
      <c r="AN593" s="170" t="str">
        <f t="shared" si="318"/>
        <v>4.96803986967618i</v>
      </c>
      <c r="AO593" s="170" t="str">
        <f t="shared" si="319"/>
        <v>-0.194744593897418-0.150386233356579i</v>
      </c>
      <c r="AP593" s="170" t="str">
        <f t="shared" si="320"/>
        <v>0.0421458661390148+0.161249817814378i</v>
      </c>
      <c r="AQ593" s="170" t="str">
        <f t="shared" si="321"/>
        <v>0.957854133860985-0.161249817814378i</v>
      </c>
      <c r="AR593" s="170" t="str">
        <f t="shared" si="322"/>
        <v>0.845685526894646+0.142366809641821i</v>
      </c>
    </row>
    <row r="594" spans="7:44">
      <c r="G594" s="688">
        <v>173780</v>
      </c>
      <c r="H594" s="676">
        <f t="shared" si="314"/>
        <v>173.78</v>
      </c>
      <c r="I594" s="677">
        <f t="shared" si="294"/>
        <v>2142.1909715140355</v>
      </c>
      <c r="J594" s="678">
        <f t="shared" si="295"/>
        <v>1.5703295149888454</v>
      </c>
      <c r="K594" s="678">
        <f t="shared" si="296"/>
        <v>1.1190511370309297</v>
      </c>
      <c r="L594" s="679">
        <f t="shared" si="297"/>
        <v>0.46546219359954055</v>
      </c>
      <c r="M594" s="678">
        <f t="shared" si="298"/>
        <v>1.3676402220396255</v>
      </c>
      <c r="N594" s="679">
        <f t="shared" si="299"/>
        <v>-0.75073678243587483</v>
      </c>
      <c r="O594" s="677">
        <f t="shared" si="300"/>
        <v>1965405.4945814547</v>
      </c>
      <c r="P594" s="680">
        <f t="shared" si="301"/>
        <v>1.5707958179940396</v>
      </c>
      <c r="Q594" s="689">
        <f t="shared" si="291"/>
        <v>930.29247156730708</v>
      </c>
      <c r="R594" s="690">
        <f t="shared" si="292"/>
        <v>1.5697213958208829</v>
      </c>
      <c r="S594" s="677">
        <f t="shared" si="302"/>
        <v>7.3555794574679325</v>
      </c>
      <c r="T594" s="680">
        <f t="shared" si="303"/>
        <v>1.4344227932313787</v>
      </c>
      <c r="U594" s="681">
        <f t="shared" si="315"/>
        <v>0.1384141873696044</v>
      </c>
      <c r="V594" s="682">
        <f t="shared" si="316"/>
        <v>-2.5853467369013918</v>
      </c>
      <c r="W594" s="683">
        <f t="shared" si="304"/>
        <v>-57.912105461137529</v>
      </c>
      <c r="X594" s="684">
        <f t="shared" si="305"/>
        <v>-336.69567252889999</v>
      </c>
      <c r="Y594" s="687">
        <f t="shared" si="306"/>
        <v>-156.69567252889999</v>
      </c>
      <c r="AA594" s="170">
        <f t="shared" si="307"/>
        <v>173780</v>
      </c>
      <c r="AB594" s="170">
        <f t="shared" si="308"/>
        <v>30199488400</v>
      </c>
      <c r="AD594" s="686">
        <f t="shared" si="309"/>
        <v>21.276459088704076</v>
      </c>
      <c r="AE594" s="687">
        <f t="shared" si="310"/>
        <v>-82.247932039443839</v>
      </c>
      <c r="AG594" s="686">
        <f t="shared" si="311"/>
        <v>10.256273729486749</v>
      </c>
      <c r="AH594" s="687">
        <f t="shared" si="312"/>
        <v>41.811173053807011</v>
      </c>
      <c r="AJ594" s="170">
        <f t="shared" si="313"/>
        <v>0</v>
      </c>
      <c r="AK594" s="170">
        <f t="shared" si="293"/>
        <v>0</v>
      </c>
      <c r="AM594" s="170" t="str">
        <f t="shared" si="317"/>
        <v>0.329462979726776-0.741876070811767i</v>
      </c>
      <c r="AN594" s="170" t="str">
        <f t="shared" si="318"/>
        <v>5.44732139915659i</v>
      </c>
      <c r="AO594" s="170" t="str">
        <f t="shared" si="319"/>
        <v>-0.136190985706595-0.0604816487930723i</v>
      </c>
      <c r="AP594" s="170" t="str">
        <f t="shared" si="320"/>
        <v>0.111756170045537+0.123646011801961i</v>
      </c>
      <c r="AQ594" s="170" t="str">
        <f t="shared" si="321"/>
        <v>0.888243829954463-0.123646011801961i</v>
      </c>
      <c r="AR594" s="170" t="str">
        <f t="shared" si="322"/>
        <v>0.919978747912196+0.128063600653141i</v>
      </c>
    </row>
    <row r="595" spans="7:44">
      <c r="G595" s="688">
        <v>190550</v>
      </c>
      <c r="H595" s="676">
        <f t="shared" si="314"/>
        <v>190.55</v>
      </c>
      <c r="I595" s="677">
        <f t="shared" si="294"/>
        <v>2348.9151924159837</v>
      </c>
      <c r="J595" s="678">
        <f t="shared" si="295"/>
        <v>1.5703705983422747</v>
      </c>
      <c r="K595" s="678">
        <f t="shared" si="296"/>
        <v>1.1416280448866964</v>
      </c>
      <c r="L595" s="679">
        <f t="shared" si="297"/>
        <v>0.50341120312414001</v>
      </c>
      <c r="M595" s="678">
        <f t="shared" si="298"/>
        <v>1.4305743368044934</v>
      </c>
      <c r="N595" s="679">
        <f t="shared" si="299"/>
        <v>-0.79677025468667573</v>
      </c>
      <c r="O595" s="677">
        <f t="shared" si="300"/>
        <v>2155069.7260472323</v>
      </c>
      <c r="P595" s="680">
        <f t="shared" si="301"/>
        <v>1.5707958627727874</v>
      </c>
      <c r="Q595" s="689">
        <f t="shared" si="291"/>
        <v>1020.0668271596626</v>
      </c>
      <c r="R595" s="690">
        <f t="shared" si="292"/>
        <v>1.5698159987089826</v>
      </c>
      <c r="S595" s="677">
        <f t="shared" si="302"/>
        <v>8.0528506824607735</v>
      </c>
      <c r="T595" s="680">
        <f t="shared" si="303"/>
        <v>1.4462953101732299</v>
      </c>
      <c r="U595" s="681">
        <f t="shared" si="315"/>
        <v>5.1121240494948456E-2</v>
      </c>
      <c r="V595" s="682">
        <f t="shared" si="316"/>
        <v>-2.9261003458286599</v>
      </c>
      <c r="W595" s="683">
        <f t="shared" si="304"/>
        <v>-67.586263700179899</v>
      </c>
      <c r="X595" s="684">
        <f t="shared" si="305"/>
        <v>-357.35980302687892</v>
      </c>
      <c r="Y595" s="687">
        <f t="shared" si="306"/>
        <v>-177.35980302687892</v>
      </c>
      <c r="AA595" s="170">
        <f t="shared" si="307"/>
        <v>190550</v>
      </c>
      <c r="AB595" s="170">
        <f t="shared" si="308"/>
        <v>36309302500</v>
      </c>
      <c r="AD595" s="686">
        <f t="shared" si="309"/>
        <v>20.489803141221337</v>
      </c>
      <c r="AE595" s="687">
        <f t="shared" si="310"/>
        <v>-82.922759372596005</v>
      </c>
      <c r="AG595" s="686">
        <f t="shared" si="311"/>
        <v>18.671940380494163</v>
      </c>
      <c r="AH595" s="687">
        <f t="shared" si="312"/>
        <v>60.869357224366084</v>
      </c>
      <c r="AJ595" s="170">
        <f t="shared" si="313"/>
        <v>0</v>
      </c>
      <c r="AK595" s="170">
        <f t="shared" si="293"/>
        <v>0</v>
      </c>
      <c r="AM595" s="170" t="str">
        <f t="shared" si="317"/>
        <v>0.04772446442742-0.30523974896785i</v>
      </c>
      <c r="AN595" s="170" t="str">
        <f t="shared" si="318"/>
        <v>5.97299512377309i</v>
      </c>
      <c r="AO595" s="170" t="str">
        <f t="shared" si="319"/>
        <v>-0.0511032978669222-0.00799003907394334i</v>
      </c>
      <c r="AP595" s="170" t="str">
        <f t="shared" si="320"/>
        <v>0.158712589262097+0.0508732914946417i</v>
      </c>
      <c r="AQ595" s="170" t="str">
        <f t="shared" si="321"/>
        <v>0.841287410737903-0.0508732914946417i</v>
      </c>
      <c r="AR595" s="170" t="str">
        <f t="shared" si="322"/>
        <v>0.986541632818749+0.0596569251095377i</v>
      </c>
    </row>
    <row r="596" spans="7:44">
      <c r="G596" s="688">
        <v>208930</v>
      </c>
      <c r="H596" s="676">
        <f t="shared" si="314"/>
        <v>208.93</v>
      </c>
      <c r="I596" s="677">
        <f t="shared" si="294"/>
        <v>2575.4859284742506</v>
      </c>
      <c r="J596" s="678">
        <f t="shared" si="295"/>
        <v>1.5704080505422211</v>
      </c>
      <c r="K596" s="678">
        <f t="shared" si="296"/>
        <v>1.168182632586614</v>
      </c>
      <c r="L596" s="679">
        <f t="shared" si="297"/>
        <v>0.54325518635138303</v>
      </c>
      <c r="M596" s="678">
        <f t="shared" si="298"/>
        <v>1.5027222403511609</v>
      </c>
      <c r="N596" s="679">
        <f t="shared" si="299"/>
        <v>-0.8426877888666362</v>
      </c>
      <c r="O596" s="677">
        <f t="shared" si="300"/>
        <v>2362942.6285124118</v>
      </c>
      <c r="P596" s="680">
        <f t="shared" si="301"/>
        <v>1.5707959035937626</v>
      </c>
      <c r="Q596" s="689">
        <f t="shared" si="291"/>
        <v>1118.4599578724706</v>
      </c>
      <c r="R596" s="690">
        <f t="shared" si="292"/>
        <v>1.5699022401302887</v>
      </c>
      <c r="S596" s="677">
        <f t="shared" si="302"/>
        <v>8.8181508758564942</v>
      </c>
      <c r="T596" s="680">
        <f t="shared" si="303"/>
        <v>1.4571493880462139</v>
      </c>
      <c r="U596" s="681">
        <f t="shared" si="315"/>
        <v>4.0135521265984991E-2</v>
      </c>
      <c r="V596" s="682">
        <f t="shared" si="316"/>
        <v>-0.18512634411930262</v>
      </c>
      <c r="W596" s="683">
        <f t="shared" si="304"/>
        <v>-70.64902038001604</v>
      </c>
      <c r="X596" s="684">
        <f t="shared" si="305"/>
        <v>-201.28064940677896</v>
      </c>
      <c r="Y596" s="687">
        <f t="shared" si="306"/>
        <v>-21.280649406778963</v>
      </c>
      <c r="AA596" s="170">
        <f t="shared" si="307"/>
        <v>208930</v>
      </c>
      <c r="AB596" s="170">
        <f t="shared" si="308"/>
        <v>43651744900</v>
      </c>
      <c r="AD596" s="686">
        <f t="shared" si="309"/>
        <v>19.701244863059799</v>
      </c>
      <c r="AE596" s="687">
        <f t="shared" si="310"/>
        <v>-83.539713295338842</v>
      </c>
      <c r="AG596" s="686">
        <f t="shared" si="311"/>
        <v>20.600641016586295</v>
      </c>
      <c r="AH596" s="687">
        <f t="shared" si="312"/>
        <v>-96.527019697754525</v>
      </c>
      <c r="AJ596" s="170">
        <f t="shared" si="313"/>
        <v>0</v>
      </c>
      <c r="AK596" s="170">
        <f t="shared" si="293"/>
        <v>0</v>
      </c>
      <c r="AM596" s="170" t="str">
        <f t="shared" si="317"/>
        <v>0.035156939316612+0.262826688620299i</v>
      </c>
      <c r="AN596" s="170" t="str">
        <f t="shared" si="318"/>
        <v>6.549136033639i</v>
      </c>
      <c r="AO596" s="170" t="str">
        <f t="shared" si="319"/>
        <v>0.0401315054795496-0.00536817973180459i</v>
      </c>
      <c r="AP596" s="170" t="str">
        <f t="shared" si="320"/>
        <v>0.160807176780565-0.0438044481033832i</v>
      </c>
      <c r="AQ596" s="170" t="str">
        <f t="shared" si="321"/>
        <v>0.839192823219435+0.0438044481033832i</v>
      </c>
      <c r="AR596" s="170" t="str">
        <f t="shared" si="322"/>
        <v>0.98992329221419-0.0516723240241391i</v>
      </c>
    </row>
    <row r="597" spans="7:44">
      <c r="G597" s="688">
        <v>229090</v>
      </c>
      <c r="H597" s="676">
        <f t="shared" si="314"/>
        <v>229.09</v>
      </c>
      <c r="I597" s="677">
        <f t="shared" si="294"/>
        <v>2823.9987740914889</v>
      </c>
      <c r="J597" s="678">
        <f t="shared" si="295"/>
        <v>1.5704422189850515</v>
      </c>
      <c r="K597" s="678">
        <f t="shared" si="296"/>
        <v>1.1993403521234622</v>
      </c>
      <c r="L597" s="679">
        <f t="shared" si="297"/>
        <v>0.58485585484780767</v>
      </c>
      <c r="M597" s="678">
        <f t="shared" si="298"/>
        <v>1.5851482979022045</v>
      </c>
      <c r="N597" s="679">
        <f t="shared" si="299"/>
        <v>-0.88814063012616673</v>
      </c>
      <c r="O597" s="677">
        <f t="shared" si="300"/>
        <v>2590946.8566787932</v>
      </c>
      <c r="P597" s="680">
        <f t="shared" si="301"/>
        <v>1.5707959408356102</v>
      </c>
      <c r="Q597" s="689">
        <f t="shared" si="291"/>
        <v>1226.3819198646083</v>
      </c>
      <c r="R597" s="690">
        <f t="shared" si="292"/>
        <v>1.5699809200324379</v>
      </c>
      <c r="S597" s="677">
        <f t="shared" si="302"/>
        <v>9.6585621973690934</v>
      </c>
      <c r="T597" s="680">
        <f t="shared" si="303"/>
        <v>1.467075375534391</v>
      </c>
      <c r="U597" s="681">
        <f t="shared" si="315"/>
        <v>0.11119276945544383</v>
      </c>
      <c r="V597" s="682">
        <f t="shared" si="316"/>
        <v>-0.59337471569458955</v>
      </c>
      <c r="W597" s="683">
        <f t="shared" si="304"/>
        <v>-62.69641603217206</v>
      </c>
      <c r="X597" s="684">
        <f t="shared" si="305"/>
        <v>-225.45844036565384</v>
      </c>
      <c r="Y597" s="687">
        <f t="shared" si="306"/>
        <v>-45.458440365653843</v>
      </c>
      <c r="AA597" s="170">
        <f t="shared" si="307"/>
        <v>229090</v>
      </c>
      <c r="AB597" s="170">
        <f t="shared" si="308"/>
        <v>52482228100</v>
      </c>
      <c r="AD597" s="686">
        <f t="shared" si="309"/>
        <v>18.910545166032563</v>
      </c>
      <c r="AE597" s="687">
        <f t="shared" si="310"/>
        <v>-84.103924594030786</v>
      </c>
      <c r="AG597" s="686">
        <f t="shared" si="311"/>
        <v>11.642039484022387</v>
      </c>
      <c r="AH597" s="687">
        <f t="shared" si="312"/>
        <v>-73.358781935776349</v>
      </c>
      <c r="AJ597" s="170">
        <f t="shared" si="313"/>
        <v>0</v>
      </c>
      <c r="AK597" s="170">
        <f t="shared" si="293"/>
        <v>0</v>
      </c>
      <c r="AM597" s="170" t="str">
        <f t="shared" si="317"/>
        <v>0.37673676293415+0.782012108168536i</v>
      </c>
      <c r="AN597" s="170" t="str">
        <f t="shared" si="318"/>
        <v>7.18107296197941i</v>
      </c>
      <c r="AO597" s="170" t="str">
        <f t="shared" si="319"/>
        <v>0.108899061784909-0.0524624613799085i</v>
      </c>
      <c r="AP597" s="170" t="str">
        <f t="shared" si="320"/>
        <v>0.103877206177642-0.130335351361423i</v>
      </c>
      <c r="AQ597" s="170" t="str">
        <f t="shared" si="321"/>
        <v>0.896122793822358+0.130335351361423i</v>
      </c>
      <c r="AR597" s="170" t="str">
        <f t="shared" si="322"/>
        <v>0.910303680029198-0.13239787091692i</v>
      </c>
    </row>
    <row r="598" spans="7:44">
      <c r="G598" s="688">
        <v>251190</v>
      </c>
      <c r="H598" s="676">
        <f t="shared" si="314"/>
        <v>251.19</v>
      </c>
      <c r="I598" s="677">
        <f t="shared" si="294"/>
        <v>3096.4260534397818</v>
      </c>
      <c r="J598" s="678">
        <f t="shared" si="295"/>
        <v>1.5704733738161643</v>
      </c>
      <c r="K598" s="678">
        <f t="shared" si="296"/>
        <v>1.2357525289985096</v>
      </c>
      <c r="L598" s="679">
        <f t="shared" si="297"/>
        <v>0.627967098983093</v>
      </c>
      <c r="M598" s="678">
        <f t="shared" si="298"/>
        <v>1.6788769579479041</v>
      </c>
      <c r="N598" s="679">
        <f t="shared" si="299"/>
        <v>-0.9327388019030447</v>
      </c>
      <c r="O598" s="677">
        <f t="shared" si="300"/>
        <v>2840891.9679127764</v>
      </c>
      <c r="P598" s="680">
        <f t="shared" si="301"/>
        <v>1.5707959747927751</v>
      </c>
      <c r="Q598" s="689">
        <f t="shared" si="291"/>
        <v>1344.6892366451402</v>
      </c>
      <c r="R598" s="690">
        <f t="shared" si="292"/>
        <v>1.5700526604778611</v>
      </c>
      <c r="S598" s="677">
        <f t="shared" si="302"/>
        <v>10.580757702621172</v>
      </c>
      <c r="T598" s="680">
        <f t="shared" si="303"/>
        <v>1.4761438669526268</v>
      </c>
      <c r="U598" s="681">
        <f t="shared" si="315"/>
        <v>0.14855861461388978</v>
      </c>
      <c r="V598" s="682">
        <f t="shared" si="316"/>
        <v>-0.95990039827416029</v>
      </c>
      <c r="W598" s="683">
        <f t="shared" si="304"/>
        <v>-61.013239959615007</v>
      </c>
      <c r="X598" s="684">
        <f t="shared" si="305"/>
        <v>-247.0612726096131</v>
      </c>
      <c r="Y598" s="687">
        <f t="shared" si="306"/>
        <v>-67.061272609613098</v>
      </c>
      <c r="AA598" s="170">
        <f t="shared" si="307"/>
        <v>251190</v>
      </c>
      <c r="AB598" s="170">
        <f t="shared" si="308"/>
        <v>63096416100</v>
      </c>
      <c r="AD598" s="686">
        <f t="shared" si="309"/>
        <v>18.118458912387069</v>
      </c>
      <c r="AE598" s="687">
        <f t="shared" si="310"/>
        <v>-84.619402400294419</v>
      </c>
      <c r="AG598" s="686">
        <f t="shared" si="311"/>
        <v>9.0844500709998517</v>
      </c>
      <c r="AH598" s="687">
        <f t="shared" si="312"/>
        <v>-52.445386935557032</v>
      </c>
      <c r="AJ598" s="170">
        <f t="shared" si="313"/>
        <v>0</v>
      </c>
      <c r="AK598" s="170">
        <f t="shared" si="293"/>
        <v>0</v>
      </c>
      <c r="AM598" s="170" t="str">
        <f t="shared" si="317"/>
        <v>1.01983834577337+0.999803200653497i</v>
      </c>
      <c r="AN598" s="170" t="str">
        <f t="shared" si="318"/>
        <v>7.87382128124147i</v>
      </c>
      <c r="AO598" s="170" t="str">
        <f t="shared" si="319"/>
        <v>0.12697814249803-0.129522668771137i</v>
      </c>
      <c r="AP598" s="170" t="str">
        <f t="shared" si="320"/>
        <v>-0.00330639096222857-0.166633866775583i</v>
      </c>
      <c r="AQ598" s="170" t="str">
        <f t="shared" si="321"/>
        <v>1.00330639096223+0.166633866775583i</v>
      </c>
      <c r="AR598" s="170" t="str">
        <f t="shared" si="322"/>
        <v>0.807967760177664-0.134191103855412i</v>
      </c>
    </row>
    <row r="599" spans="7:44">
      <c r="G599" s="688">
        <v>275420</v>
      </c>
      <c r="H599" s="676">
        <f t="shared" si="314"/>
        <v>275.42</v>
      </c>
      <c r="I599" s="677">
        <f t="shared" si="294"/>
        <v>3395.1099014986344</v>
      </c>
      <c r="J599" s="678">
        <f t="shared" si="295"/>
        <v>1.5705017855153882</v>
      </c>
      <c r="K599" s="678">
        <f t="shared" si="296"/>
        <v>1.2781528349548794</v>
      </c>
      <c r="L599" s="679">
        <f t="shared" si="297"/>
        <v>0.67231971237009569</v>
      </c>
      <c r="M599" s="678">
        <f t="shared" si="298"/>
        <v>1.7850496851437401</v>
      </c>
      <c r="N599" s="679">
        <f t="shared" si="299"/>
        <v>-0.97615884793445906</v>
      </c>
      <c r="O599" s="677">
        <f t="shared" si="300"/>
        <v>3114926.8115869612</v>
      </c>
      <c r="P599" s="680">
        <f t="shared" si="301"/>
        <v>1.5707960057600665</v>
      </c>
      <c r="Q599" s="689">
        <f t="shared" ref="Q599:Q613" si="323">SQRT(1+(G599/Zero2)^2)</f>
        <v>1474.3990299390132</v>
      </c>
      <c r="R599" s="690">
        <f t="shared" ref="R599:R613" si="324">ATAN(G599/Zero2)</f>
        <v>1.5701180842999118</v>
      </c>
      <c r="S599" s="677">
        <f t="shared" si="302"/>
        <v>11.592667656711328</v>
      </c>
      <c r="T599" s="680">
        <f t="shared" si="303"/>
        <v>1.4844275656977108</v>
      </c>
      <c r="U599" s="681">
        <f t="shared" si="315"/>
        <v>0.15849927306710829</v>
      </c>
      <c r="V599" s="682">
        <f t="shared" si="316"/>
        <v>-1.2808094146755775</v>
      </c>
      <c r="W599" s="683">
        <f t="shared" si="304"/>
        <v>-61.218192095505401</v>
      </c>
      <c r="X599" s="684">
        <f t="shared" si="305"/>
        <v>-265.86707481772822</v>
      </c>
      <c r="Y599" s="687">
        <f t="shared" si="306"/>
        <v>-85.867074817728223</v>
      </c>
      <c r="AA599" s="170">
        <f t="shared" si="307"/>
        <v>275420</v>
      </c>
      <c r="AB599" s="170">
        <f t="shared" si="308"/>
        <v>75856176400</v>
      </c>
      <c r="AD599" s="686">
        <f t="shared" si="309"/>
        <v>17.325126182881995</v>
      </c>
      <c r="AE599" s="687">
        <f t="shared" si="310"/>
        <v>-85.090276643095578</v>
      </c>
      <c r="AG599" s="686">
        <f t="shared" si="311"/>
        <v>8.5476533044887386</v>
      </c>
      <c r="AH599" s="687">
        <f t="shared" si="312"/>
        <v>-34.006850363859655</v>
      </c>
      <c r="AJ599" s="170">
        <f t="shared" si="313"/>
        <v>0</v>
      </c>
      <c r="AK599" s="170">
        <f t="shared" ref="AK599:AK613" si="325">IF(AJ599&gt;0,Y599,0)</f>
        <v>0</v>
      </c>
      <c r="AM599" s="170" t="str">
        <f t="shared" si="317"/>
        <v>1.70282081354719+0.711366926448558i</v>
      </c>
      <c r="AN599" s="170" t="str">
        <f t="shared" si="318"/>
        <v>8.63333674620616i</v>
      </c>
      <c r="AO599" s="170" t="str">
        <f t="shared" si="319"/>
        <v>0.0823976809153381-0.197237854100326i</v>
      </c>
      <c r="AP599" s="170" t="str">
        <f t="shared" si="320"/>
        <v>-0.117136802257865-0.118561154408093i</v>
      </c>
      <c r="AQ599" s="170" t="str">
        <f t="shared" si="321"/>
        <v>1.11713680225786+0.118561154408093i</v>
      </c>
      <c r="AR599" s="170" t="str">
        <f t="shared" si="322"/>
        <v>0.737351085175062-0.0782546915344006i</v>
      </c>
    </row>
    <row r="600" spans="7:44">
      <c r="G600" s="688">
        <v>302000</v>
      </c>
      <c r="H600" s="676">
        <f t="shared" si="314"/>
        <v>302</v>
      </c>
      <c r="I600" s="677">
        <f t="shared" si="294"/>
        <v>3722.7622640629006</v>
      </c>
      <c r="J600" s="678">
        <f t="shared" si="295"/>
        <v>1.5705277090478869</v>
      </c>
      <c r="K600" s="678">
        <f t="shared" si="296"/>
        <v>1.3273600707596191</v>
      </c>
      <c r="L600" s="679">
        <f t="shared" si="297"/>
        <v>0.71761673587522889</v>
      </c>
      <c r="M600" s="678">
        <f t="shared" si="298"/>
        <v>1.9049337675662075</v>
      </c>
      <c r="N600" s="679">
        <f t="shared" si="299"/>
        <v>-1.0181368645909565</v>
      </c>
      <c r="O600" s="677">
        <f t="shared" si="300"/>
        <v>3415539.5290801469</v>
      </c>
      <c r="P600" s="680">
        <f t="shared" si="301"/>
        <v>1.5707960340153837</v>
      </c>
      <c r="Q600" s="689">
        <f t="shared" si="323"/>
        <v>1616.6890197053046</v>
      </c>
      <c r="R600" s="690">
        <f t="shared" si="324"/>
        <v>1.570177778606854</v>
      </c>
      <c r="S600" s="677">
        <f t="shared" si="302"/>
        <v>12.70348201570085</v>
      </c>
      <c r="T600" s="680">
        <f t="shared" si="303"/>
        <v>1.4919962262959554</v>
      </c>
      <c r="U600" s="681">
        <f t="shared" si="315"/>
        <v>0.15083071832289027</v>
      </c>
      <c r="V600" s="682">
        <f t="shared" si="316"/>
        <v>-1.5857036485809579</v>
      </c>
      <c r="W600" s="683">
        <f t="shared" si="304"/>
        <v>-62.351248425355152</v>
      </c>
      <c r="X600" s="684">
        <f t="shared" si="305"/>
        <v>-283.57778155892686</v>
      </c>
      <c r="Y600" s="687">
        <f t="shared" si="306"/>
        <v>-103.57778155892686</v>
      </c>
      <c r="AA600" s="170">
        <f t="shared" si="307"/>
        <v>302000</v>
      </c>
      <c r="AB600" s="170">
        <f t="shared" si="308"/>
        <v>91204000000</v>
      </c>
      <c r="AD600" s="686">
        <f t="shared" si="309"/>
        <v>16.530338015098597</v>
      </c>
      <c r="AE600" s="687">
        <f t="shared" si="310"/>
        <v>-85.520510339495246</v>
      </c>
      <c r="AG600" s="686">
        <f t="shared" si="311"/>
        <v>9.0708841574997177</v>
      </c>
      <c r="AH600" s="687">
        <f t="shared" si="312"/>
        <v>-16.349017767430215</v>
      </c>
      <c r="AJ600" s="170">
        <f t="shared" si="313"/>
        <v>0</v>
      </c>
      <c r="AK600" s="170">
        <f t="shared" si="325"/>
        <v>0</v>
      </c>
      <c r="AM600" s="170" t="str">
        <f t="shared" si="317"/>
        <v>1.99912911559637-0.0417254163264214i</v>
      </c>
      <c r="AN600" s="170" t="str">
        <f t="shared" si="318"/>
        <v>9.46651549398831i</v>
      </c>
      <c r="AO600" s="170" t="str">
        <f t="shared" si="319"/>
        <v>-0.0044076847867538-0.211178983107978i</v>
      </c>
      <c r="AP600" s="170" t="str">
        <f t="shared" si="320"/>
        <v>-0.166521519266062+0.00695423605440357i</v>
      </c>
      <c r="AQ600" s="170" t="str">
        <f t="shared" si="321"/>
        <v>1.16652151926606-0.00695423605440357i</v>
      </c>
      <c r="AR600" s="170" t="str">
        <f t="shared" si="322"/>
        <v>0.714063463684804+0.00425690036769615i</v>
      </c>
    </row>
    <row r="601" spans="7:44">
      <c r="G601" s="688">
        <v>331130</v>
      </c>
      <c r="H601" s="676">
        <f t="shared" si="314"/>
        <v>331.13</v>
      </c>
      <c r="I601" s="677">
        <f t="shared" si="294"/>
        <v>4081.8485464188566</v>
      </c>
      <c r="J601" s="678">
        <f t="shared" si="295"/>
        <v>1.5705513397507593</v>
      </c>
      <c r="K601" s="678">
        <f t="shared" si="296"/>
        <v>1.3841789826293729</v>
      </c>
      <c r="L601" s="679">
        <f t="shared" si="297"/>
        <v>0.76345723058299364</v>
      </c>
      <c r="M601" s="678">
        <f t="shared" si="298"/>
        <v>2.0396954226423887</v>
      </c>
      <c r="N601" s="679">
        <f t="shared" si="299"/>
        <v>-1.0583976448964185</v>
      </c>
      <c r="O601" s="677">
        <f t="shared" si="300"/>
        <v>3744992.067100334</v>
      </c>
      <c r="P601" s="680">
        <f t="shared" si="301"/>
        <v>1.5707960597716342</v>
      </c>
      <c r="Q601" s="689">
        <f t="shared" si="323"/>
        <v>1772.6298604942328</v>
      </c>
      <c r="R601" s="690">
        <f t="shared" si="324"/>
        <v>1.5702321932014558</v>
      </c>
      <c r="S601" s="677">
        <f t="shared" si="302"/>
        <v>13.921560326916993</v>
      </c>
      <c r="T601" s="680">
        <f t="shared" si="303"/>
        <v>1.4989033831316472</v>
      </c>
      <c r="U601" s="681">
        <f t="shared" si="315"/>
        <v>0.12904815003999037</v>
      </c>
      <c r="V601" s="682">
        <f t="shared" si="316"/>
        <v>-1.924762481332003</v>
      </c>
      <c r="W601" s="683">
        <f t="shared" si="304"/>
        <v>-64.343364584013415</v>
      </c>
      <c r="X601" s="684">
        <f t="shared" si="305"/>
        <v>-303.07871624210804</v>
      </c>
      <c r="Y601" s="687">
        <f t="shared" si="306"/>
        <v>-123.07871624210804</v>
      </c>
      <c r="AA601" s="170">
        <f t="shared" si="307"/>
        <v>331130</v>
      </c>
      <c r="AB601" s="170">
        <f t="shared" si="308"/>
        <v>109647076900</v>
      </c>
      <c r="AD601" s="686">
        <f t="shared" si="309"/>
        <v>15.735035003876536</v>
      </c>
      <c r="AE601" s="687">
        <f t="shared" si="310"/>
        <v>-85.913145024173815</v>
      </c>
      <c r="AG601" s="686">
        <f t="shared" si="311"/>
        <v>10.583591659136601</v>
      </c>
      <c r="AH601" s="687">
        <f t="shared" si="312"/>
        <v>3.3959625249974343</v>
      </c>
      <c r="AJ601" s="170">
        <f t="shared" si="313"/>
        <v>0</v>
      </c>
      <c r="AK601" s="170">
        <f t="shared" si="325"/>
        <v>0</v>
      </c>
      <c r="AM601" s="170" t="str">
        <f t="shared" si="317"/>
        <v>1.57773219472982-0.816226384756503i</v>
      </c>
      <c r="AN601" s="170" t="str">
        <f t="shared" si="318"/>
        <v>10.3796267401469i</v>
      </c>
      <c r="AO601" s="170" t="str">
        <f t="shared" si="319"/>
        <v>-0.0786373542315792-0.152002787212702i</v>
      </c>
      <c r="AP601" s="170" t="str">
        <f t="shared" si="320"/>
        <v>-0.0962886991216358+0.13603773079275i</v>
      </c>
      <c r="AQ601" s="170" t="str">
        <f t="shared" si="321"/>
        <v>1.09628869912164-0.13603773079275i</v>
      </c>
      <c r="AR601" s="170" t="str">
        <f t="shared" si="322"/>
        <v>0.748313691220471+0.0928577450048897i</v>
      </c>
    </row>
    <row r="602" spans="7:44">
      <c r="G602" s="688">
        <v>363080</v>
      </c>
      <c r="H602" s="676">
        <f t="shared" si="314"/>
        <v>363.08</v>
      </c>
      <c r="I602" s="677">
        <f t="shared" si="294"/>
        <v>4475.6970457246825</v>
      </c>
      <c r="J602" s="678">
        <f t="shared" si="295"/>
        <v>1.5705728979081548</v>
      </c>
      <c r="K602" s="678">
        <f t="shared" si="296"/>
        <v>1.4495637683422158</v>
      </c>
      <c r="L602" s="679">
        <f t="shared" si="297"/>
        <v>0.80949692395625439</v>
      </c>
      <c r="M602" s="678">
        <f t="shared" si="298"/>
        <v>2.1908107572901008</v>
      </c>
      <c r="N602" s="679">
        <f t="shared" si="299"/>
        <v>-1.0967928470816388</v>
      </c>
      <c r="O602" s="677">
        <f t="shared" si="300"/>
        <v>4106338.0537033221</v>
      </c>
      <c r="P602" s="680">
        <f t="shared" si="301"/>
        <v>1.5707960832689163</v>
      </c>
      <c r="Q602" s="689">
        <f t="shared" si="323"/>
        <v>1943.6669359985856</v>
      </c>
      <c r="R602" s="690">
        <f t="shared" si="324"/>
        <v>1.5702818353326014</v>
      </c>
      <c r="S602" s="677">
        <f t="shared" si="302"/>
        <v>15.258193526785254</v>
      </c>
      <c r="T602" s="680">
        <f t="shared" si="303"/>
        <v>1.5052107599795763</v>
      </c>
      <c r="U602" s="681">
        <f t="shared" si="315"/>
        <v>8.6066808826113519E-2</v>
      </c>
      <c r="V602" s="682">
        <f t="shared" si="316"/>
        <v>-2.3856829519540765</v>
      </c>
      <c r="W602" s="683">
        <f t="shared" si="304"/>
        <v>-68.436374119718138</v>
      </c>
      <c r="X602" s="684">
        <f t="shared" si="305"/>
        <v>-329.40929517473603</v>
      </c>
      <c r="Y602" s="687">
        <f t="shared" si="306"/>
        <v>-149.40929517473603</v>
      </c>
      <c r="AA602" s="170">
        <f t="shared" si="307"/>
        <v>363080</v>
      </c>
      <c r="AB602" s="170">
        <f t="shared" si="308"/>
        <v>131827086400</v>
      </c>
      <c r="AD602" s="686">
        <f t="shared" si="309"/>
        <v>14.938730665842376</v>
      </c>
      <c r="AE602" s="687">
        <f t="shared" si="310"/>
        <v>-86.271688159462826</v>
      </c>
      <c r="AG602" s="686">
        <f t="shared" si="311"/>
        <v>14.323529764610399</v>
      </c>
      <c r="AH602" s="687">
        <f t="shared" si="312"/>
        <v>30.241522103668249</v>
      </c>
      <c r="AJ602" s="170">
        <f t="shared" si="313"/>
        <v>0</v>
      </c>
      <c r="AK602" s="170">
        <f t="shared" si="325"/>
        <v>0</v>
      </c>
      <c r="AM602" s="170" t="str">
        <f t="shared" si="317"/>
        <v>0.623922250356806-0.926588110339924i</v>
      </c>
      <c r="AN602" s="170" t="str">
        <f t="shared" si="318"/>
        <v>11.3811339256863i</v>
      </c>
      <c r="AO602" s="170" t="str">
        <f t="shared" si="319"/>
        <v>-0.0814143930112877-0.0548207458440203i</v>
      </c>
      <c r="AP602" s="170" t="str">
        <f t="shared" si="320"/>
        <v>0.0626796249405323+0.154431351723321i</v>
      </c>
      <c r="AQ602" s="170" t="str">
        <f t="shared" si="321"/>
        <v>0.937320375059468-0.154431351723321i</v>
      </c>
      <c r="AR602" s="170" t="str">
        <f t="shared" si="322"/>
        <v>0.86521702324124+0.142551722963128i</v>
      </c>
    </row>
    <row r="603" spans="7:44">
      <c r="G603" s="688">
        <v>398110</v>
      </c>
      <c r="H603" s="676">
        <f t="shared" si="314"/>
        <v>398.11</v>
      </c>
      <c r="I603" s="677">
        <f t="shared" si="294"/>
        <v>4907.5127888924717</v>
      </c>
      <c r="J603" s="678">
        <f t="shared" si="295"/>
        <v>1.5705925575843134</v>
      </c>
      <c r="K603" s="678">
        <f t="shared" si="296"/>
        <v>1.5244607079406192</v>
      </c>
      <c r="L603" s="679">
        <f t="shared" si="297"/>
        <v>0.85532971835858074</v>
      </c>
      <c r="M603" s="678">
        <f t="shared" si="298"/>
        <v>2.359703832563453</v>
      </c>
      <c r="N603" s="679">
        <f t="shared" si="299"/>
        <v>-1.1331795901758117</v>
      </c>
      <c r="O603" s="677">
        <f t="shared" si="300"/>
        <v>4502518.0196095118</v>
      </c>
      <c r="P603" s="680">
        <f t="shared" si="301"/>
        <v>1.5707961046969514</v>
      </c>
      <c r="Q603" s="689">
        <f t="shared" si="323"/>
        <v>2131.1920972256094</v>
      </c>
      <c r="R603" s="690">
        <f t="shared" si="324"/>
        <v>1.5703271058185255</v>
      </c>
      <c r="S603" s="677">
        <f t="shared" si="302"/>
        <v>16.724259716557004</v>
      </c>
      <c r="T603" s="680">
        <f t="shared" si="303"/>
        <v>1.5109672609720166</v>
      </c>
      <c r="U603" s="681">
        <f t="shared" si="315"/>
        <v>6.9749580585169091E-3</v>
      </c>
      <c r="V603" s="682">
        <f t="shared" si="316"/>
        <v>-3.080601200595936</v>
      </c>
      <c r="W603" s="683">
        <f t="shared" si="304"/>
        <v>-90.776516300689337</v>
      </c>
      <c r="X603" s="684">
        <f t="shared" si="305"/>
        <v>-369.01231614882528</v>
      </c>
      <c r="Y603" s="687">
        <f t="shared" si="306"/>
        <v>-189.01231614882528</v>
      </c>
      <c r="AA603" s="170">
        <f t="shared" si="307"/>
        <v>398110</v>
      </c>
      <c r="AB603" s="170">
        <f t="shared" si="308"/>
        <v>158491572100</v>
      </c>
      <c r="AD603" s="686">
        <f t="shared" si="309"/>
        <v>14.141854786846677</v>
      </c>
      <c r="AE603" s="687">
        <f t="shared" si="310"/>
        <v>-86.598918791422435</v>
      </c>
      <c r="AG603" s="686">
        <f t="shared" si="311"/>
        <v>36.432027465651124</v>
      </c>
      <c r="AH603" s="687">
        <f t="shared" si="312"/>
        <v>70.597497360133701</v>
      </c>
      <c r="AJ603" s="170">
        <f t="shared" si="313"/>
        <v>0</v>
      </c>
      <c r="AK603" s="170">
        <f t="shared" si="325"/>
        <v>0</v>
      </c>
      <c r="AM603" s="170" t="str">
        <f t="shared" si="317"/>
        <v>0.00379808194241604-0.0870731787543742i</v>
      </c>
      <c r="AN603" s="170" t="str">
        <f t="shared" si="318"/>
        <v>12.4791870308334i</v>
      </c>
      <c r="AO603" s="170" t="str">
        <f t="shared" si="319"/>
        <v>-0.00697747205320627-0.000304353315086295i</v>
      </c>
      <c r="AP603" s="170" t="str">
        <f t="shared" si="320"/>
        <v>0.166033653009597+0.0145121964590624i</v>
      </c>
      <c r="AQ603" s="170" t="str">
        <f t="shared" si="321"/>
        <v>0.833966346990403-0.0145121964590624i</v>
      </c>
      <c r="AR603" s="170" t="str">
        <f t="shared" si="322"/>
        <v>0.998538896916402+0.017375992084526i</v>
      </c>
    </row>
    <row r="604" spans="7:44">
      <c r="G604" s="688">
        <v>436520</v>
      </c>
      <c r="H604" s="676">
        <f t="shared" si="314"/>
        <v>436.52</v>
      </c>
      <c r="I604" s="677">
        <f t="shared" si="294"/>
        <v>5380.9938839137694</v>
      </c>
      <c r="J604" s="678">
        <f t="shared" si="295"/>
        <v>1.5706104875192295</v>
      </c>
      <c r="K604" s="678">
        <f t="shared" si="296"/>
        <v>1.6099013562192137</v>
      </c>
      <c r="L604" s="679">
        <f t="shared" si="297"/>
        <v>0.90057931584125139</v>
      </c>
      <c r="M604" s="678">
        <f t="shared" si="298"/>
        <v>2.5479823028566813</v>
      </c>
      <c r="N604" s="679">
        <f t="shared" si="299"/>
        <v>-1.1674836210187014</v>
      </c>
      <c r="O604" s="677">
        <f t="shared" si="300"/>
        <v>4936924.8848809022</v>
      </c>
      <c r="P604" s="680">
        <f t="shared" si="301"/>
        <v>1.5707961242396575</v>
      </c>
      <c r="Q604" s="689">
        <f t="shared" si="323"/>
        <v>2336.8113261437047</v>
      </c>
      <c r="R604" s="690">
        <f t="shared" si="324"/>
        <v>1.5703683932174899</v>
      </c>
      <c r="S604" s="677">
        <f t="shared" si="302"/>
        <v>18.332314940162995</v>
      </c>
      <c r="T604" s="680">
        <f t="shared" si="303"/>
        <v>1.516220754023887</v>
      </c>
      <c r="U604" s="681">
        <f t="shared" si="315"/>
        <v>6.870618465110416E-2</v>
      </c>
      <c r="V604" s="682">
        <f t="shared" si="316"/>
        <v>-0.71862083119015896</v>
      </c>
      <c r="W604" s="683">
        <f t="shared" si="304"/>
        <v>-71.364422312750349</v>
      </c>
      <c r="X604" s="684">
        <f t="shared" si="305"/>
        <v>-233.35334057644957</v>
      </c>
      <c r="Y604" s="687">
        <f t="shared" si="306"/>
        <v>-53.353340576449568</v>
      </c>
      <c r="AA604" s="170">
        <f t="shared" si="307"/>
        <v>436520</v>
      </c>
      <c r="AB604" s="170">
        <f t="shared" si="308"/>
        <v>190549710400</v>
      </c>
      <c r="AD604" s="686">
        <f t="shared" si="309"/>
        <v>13.344446498592063</v>
      </c>
      <c r="AE604" s="687">
        <f t="shared" si="310"/>
        <v>-86.897557297344022</v>
      </c>
      <c r="AG604" s="686">
        <f t="shared" si="311"/>
        <v>16.903360471201527</v>
      </c>
      <c r="AH604" s="687">
        <f t="shared" si="312"/>
        <v>-64.107901790250779</v>
      </c>
      <c r="AJ604" s="170">
        <f t="shared" si="313"/>
        <v>0</v>
      </c>
      <c r="AK604" s="170">
        <f t="shared" si="325"/>
        <v>0</v>
      </c>
      <c r="AM604" s="170" t="str">
        <f t="shared" si="317"/>
        <v>0.561456781096066+0.898710100729583i</v>
      </c>
      <c r="AN604" s="170" t="str">
        <f t="shared" si="318"/>
        <v>13.6831898789264i</v>
      </c>
      <c r="AO604" s="170" t="str">
        <f t="shared" si="319"/>
        <v>0.0656798676830243-0.0410325944508576i</v>
      </c>
      <c r="AP604" s="170" t="str">
        <f t="shared" si="320"/>
        <v>0.073090536483989-0.149785016788264i</v>
      </c>
      <c r="AQ604" s="170" t="str">
        <f t="shared" si="321"/>
        <v>0.926909463516011+0.149785016788264i</v>
      </c>
      <c r="AR604" s="170" t="str">
        <f t="shared" si="322"/>
        <v>0.875814960396678-0.141528340911327i</v>
      </c>
    </row>
    <row r="605" spans="7:44">
      <c r="G605" s="688">
        <v>478630</v>
      </c>
      <c r="H605" s="676">
        <f t="shared" si="314"/>
        <v>478.63</v>
      </c>
      <c r="I605" s="677">
        <f t="shared" si="294"/>
        <v>5900.0849793278858</v>
      </c>
      <c r="J605" s="678">
        <f t="shared" si="295"/>
        <v>1.5706268377098596</v>
      </c>
      <c r="K605" s="678">
        <f t="shared" si="296"/>
        <v>1.7069581299659391</v>
      </c>
      <c r="L605" s="679">
        <f t="shared" si="297"/>
        <v>0.94488331100391854</v>
      </c>
      <c r="M605" s="678">
        <f t="shared" si="298"/>
        <v>2.7573474033155247</v>
      </c>
      <c r="N605" s="679">
        <f t="shared" si="299"/>
        <v>-1.1996677600974051</v>
      </c>
      <c r="O605" s="677">
        <f t="shared" si="300"/>
        <v>5413177.7642502934</v>
      </c>
      <c r="P605" s="680">
        <f t="shared" si="301"/>
        <v>1.5707961420605236</v>
      </c>
      <c r="Q605" s="689">
        <f t="shared" si="323"/>
        <v>2562.2376702203646</v>
      </c>
      <c r="R605" s="690">
        <f t="shared" si="324"/>
        <v>1.5704060429281774</v>
      </c>
      <c r="S605" s="677">
        <f t="shared" si="302"/>
        <v>20.095756517954015</v>
      </c>
      <c r="T605" s="680">
        <f t="shared" si="303"/>
        <v>1.5210140175323186</v>
      </c>
      <c r="U605" s="681">
        <f t="shared" si="315"/>
        <v>9.2056954680041408E-2</v>
      </c>
      <c r="V605" s="682">
        <f t="shared" si="316"/>
        <v>-1.3139242654406842</v>
      </c>
      <c r="W605" s="683">
        <f t="shared" si="304"/>
        <v>-69.226489750423511</v>
      </c>
      <c r="X605" s="684">
        <f t="shared" si="305"/>
        <v>-267.04071274280739</v>
      </c>
      <c r="Y605" s="687">
        <f t="shared" si="306"/>
        <v>-87.040712742807386</v>
      </c>
      <c r="AA605" s="170">
        <f t="shared" si="307"/>
        <v>478630</v>
      </c>
      <c r="AB605" s="170">
        <f t="shared" si="308"/>
        <v>229086676900</v>
      </c>
      <c r="AD605" s="686">
        <f t="shared" si="309"/>
        <v>12.546705354120943</v>
      </c>
      <c r="AE605" s="687">
        <f t="shared" si="310"/>
        <v>-87.170034918320695</v>
      </c>
      <c r="AG605" s="686">
        <f t="shared" si="311"/>
        <v>14.75660330859019</v>
      </c>
      <c r="AH605" s="687">
        <f t="shared" si="312"/>
        <v>-29.306047633285342</v>
      </c>
      <c r="AJ605" s="170">
        <f t="shared" si="313"/>
        <v>0</v>
      </c>
      <c r="AK605" s="170">
        <f t="shared" si="325"/>
        <v>0</v>
      </c>
      <c r="AM605" s="170" t="str">
        <f t="shared" si="317"/>
        <v>1.76174758767658+0.647873917262388i</v>
      </c>
      <c r="AN605" s="170" t="str">
        <f t="shared" si="318"/>
        <v>15.0031732148597i</v>
      </c>
      <c r="AO605" s="170" t="str">
        <f t="shared" si="319"/>
        <v>0.0431824593360496-0.11742499819516i</v>
      </c>
      <c r="AP605" s="170" t="str">
        <f t="shared" si="320"/>
        <v>-0.12695793127943-0.107978986210398i</v>
      </c>
      <c r="AQ605" s="170" t="str">
        <f t="shared" si="321"/>
        <v>1.12695793127943+0.107978986210398i</v>
      </c>
      <c r="AR605" s="170" t="str">
        <f t="shared" si="322"/>
        <v>0.732433966442402-0.0701778433492399i</v>
      </c>
    </row>
    <row r="606" spans="7:44">
      <c r="G606" s="688">
        <v>524810</v>
      </c>
      <c r="H606" s="676">
        <f t="shared" si="314"/>
        <v>524.80999999999995</v>
      </c>
      <c r="I606" s="677">
        <f t="shared" si="294"/>
        <v>6469.34707502335</v>
      </c>
      <c r="J606" s="678">
        <f t="shared" si="295"/>
        <v>1.570641751689807</v>
      </c>
      <c r="K606" s="678">
        <f t="shared" si="296"/>
        <v>1.8168114617695901</v>
      </c>
      <c r="L606" s="679">
        <f t="shared" si="297"/>
        <v>0.98793528464816593</v>
      </c>
      <c r="M606" s="678">
        <f t="shared" si="298"/>
        <v>2.9897474011721283</v>
      </c>
      <c r="N606" s="679">
        <f t="shared" si="299"/>
        <v>-1.2297467332174736</v>
      </c>
      <c r="O606" s="677">
        <f t="shared" si="300"/>
        <v>5935461.2591274846</v>
      </c>
      <c r="P606" s="680">
        <f t="shared" si="301"/>
        <v>1.570796158315994</v>
      </c>
      <c r="Q606" s="689">
        <f t="shared" si="323"/>
        <v>2809.4518406243033</v>
      </c>
      <c r="R606" s="690">
        <f t="shared" si="324"/>
        <v>1.5704403854661806</v>
      </c>
      <c r="S606" s="677">
        <f t="shared" si="302"/>
        <v>22.03007930228269</v>
      </c>
      <c r="T606" s="680">
        <f t="shared" si="303"/>
        <v>1.5253882409681849</v>
      </c>
      <c r="U606" s="681">
        <f t="shared" si="315"/>
        <v>8.3629037929781602E-2</v>
      </c>
      <c r="V606" s="682">
        <f t="shared" si="316"/>
        <v>-1.8421208065808552</v>
      </c>
      <c r="W606" s="683">
        <f t="shared" si="304"/>
        <v>-70.414157572089195</v>
      </c>
      <c r="X606" s="684">
        <f t="shared" si="305"/>
        <v>-296.8103594584212</v>
      </c>
      <c r="Y606" s="687">
        <f t="shared" si="306"/>
        <v>-116.8103594584212</v>
      </c>
      <c r="AA606" s="170">
        <f t="shared" si="307"/>
        <v>524810</v>
      </c>
      <c r="AB606" s="170">
        <f t="shared" si="308"/>
        <v>275425536100</v>
      </c>
      <c r="AD606" s="686">
        <f t="shared" si="309"/>
        <v>11.748471235652362</v>
      </c>
      <c r="AE606" s="687">
        <f t="shared" si="310"/>
        <v>-87.41869270901168</v>
      </c>
      <c r="AG606" s="686">
        <f t="shared" si="311"/>
        <v>16.035149737210073</v>
      </c>
      <c r="AH606" s="687">
        <f t="shared" si="312"/>
        <v>1.6998286324337071</v>
      </c>
      <c r="AJ606" s="170">
        <f t="shared" si="313"/>
        <v>0</v>
      </c>
      <c r="AK606" s="170">
        <f t="shared" si="325"/>
        <v>0</v>
      </c>
      <c r="AM606" s="170" t="str">
        <f t="shared" si="317"/>
        <v>1.73659671994326-0.676332220265182i</v>
      </c>
      <c r="AN606" s="170" t="str">
        <f t="shared" si="318"/>
        <v>16.4507350874172i</v>
      </c>
      <c r="AO606" s="170" t="str">
        <f t="shared" si="319"/>
        <v>-0.0411125835211153-0.105563472435438i</v>
      </c>
      <c r="AP606" s="170" t="str">
        <f t="shared" si="320"/>
        <v>-0.122766119990543+0.112722036710864i</v>
      </c>
      <c r="AQ606" s="170" t="str">
        <f t="shared" si="321"/>
        <v>1.12276611999054-0.112722036710864i</v>
      </c>
      <c r="AR606" s="170" t="str">
        <f t="shared" si="322"/>
        <v>0.734514112751795+0.0737428083267717i</v>
      </c>
    </row>
    <row r="607" spans="7:44">
      <c r="G607" s="688">
        <v>575440</v>
      </c>
      <c r="H607" s="676">
        <f t="shared" si="314"/>
        <v>575.44000000000005</v>
      </c>
      <c r="I607" s="677">
        <f t="shared" si="294"/>
        <v>7093.464441168403</v>
      </c>
      <c r="J607" s="678">
        <f t="shared" si="295"/>
        <v>1.5706553519564934</v>
      </c>
      <c r="K607" s="678">
        <f t="shared" si="296"/>
        <v>1.9406567224856095</v>
      </c>
      <c r="L607" s="679">
        <f t="shared" si="297"/>
        <v>1.0294509312742126</v>
      </c>
      <c r="M607" s="678">
        <f t="shared" si="298"/>
        <v>3.2471824011768176</v>
      </c>
      <c r="N607" s="679">
        <f t="shared" si="299"/>
        <v>-1.2577489927108416</v>
      </c>
      <c r="O607" s="677">
        <f t="shared" si="300"/>
        <v>6508073.0682576783</v>
      </c>
      <c r="P607" s="680">
        <f t="shared" si="301"/>
        <v>1.5707961731395843</v>
      </c>
      <c r="Q607" s="689">
        <f t="shared" si="323"/>
        <v>3080.4880812872102</v>
      </c>
      <c r="R607" s="690">
        <f t="shared" si="324"/>
        <v>1.570471702907001</v>
      </c>
      <c r="S607" s="677">
        <f t="shared" si="302"/>
        <v>24.151200484348028</v>
      </c>
      <c r="T607" s="680">
        <f t="shared" si="303"/>
        <v>1.5293786771217617</v>
      </c>
      <c r="U607" s="681">
        <f t="shared" si="315"/>
        <v>4.0813213909399175E-2</v>
      </c>
      <c r="V607" s="682">
        <f t="shared" si="316"/>
        <v>-2.5999639590445116</v>
      </c>
      <c r="W607" s="683">
        <f t="shared" si="304"/>
        <v>-76.953474967323729</v>
      </c>
      <c r="X607" s="684">
        <f t="shared" si="305"/>
        <v>-339.68493450688334</v>
      </c>
      <c r="Y607" s="687">
        <f t="shared" si="306"/>
        <v>-159.68493450688334</v>
      </c>
      <c r="AA607" s="170">
        <f t="shared" si="307"/>
        <v>575440</v>
      </c>
      <c r="AB607" s="170">
        <f t="shared" si="308"/>
        <v>331131193600</v>
      </c>
      <c r="AD607" s="686">
        <f t="shared" si="309"/>
        <v>10.950017890773648</v>
      </c>
      <c r="AE607" s="687">
        <f t="shared" si="310"/>
        <v>-87.645534351432232</v>
      </c>
      <c r="AG607" s="686">
        <f t="shared" si="311"/>
        <v>22.756537897508849</v>
      </c>
      <c r="AH607" s="687">
        <f t="shared" si="312"/>
        <v>45.894523663737893</v>
      </c>
      <c r="AJ607" s="170">
        <f t="shared" si="313"/>
        <v>0</v>
      </c>
      <c r="AK607" s="170">
        <f t="shared" si="325"/>
        <v>0</v>
      </c>
      <c r="AM607" s="170" t="str">
        <f t="shared" si="317"/>
        <v>0.311783847842008-0.725505704945762i</v>
      </c>
      <c r="AN607" s="170" t="str">
        <f t="shared" si="318"/>
        <v>18.037787006161i</v>
      </c>
      <c r="AO607" s="170" t="str">
        <f t="shared" si="319"/>
        <v>-0.0402214365153529-0.0172850387764039i</v>
      </c>
      <c r="AP607" s="170" t="str">
        <f t="shared" si="320"/>
        <v>0.114702692026332+0.12091761749096i</v>
      </c>
      <c r="AQ607" s="170" t="str">
        <f t="shared" si="321"/>
        <v>0.885297307973668-0.12091761749096i</v>
      </c>
      <c r="AR607" s="170" t="str">
        <f t="shared" si="322"/>
        <v>0.923695086826833+0.126162147090284i</v>
      </c>
    </row>
    <row r="608" spans="7:44">
      <c r="G608" s="688">
        <v>630960</v>
      </c>
      <c r="H608" s="676">
        <f t="shared" si="314"/>
        <v>630.96</v>
      </c>
      <c r="I608" s="677">
        <f t="shared" si="294"/>
        <v>7777.8609695486057</v>
      </c>
      <c r="J608" s="678">
        <f t="shared" si="295"/>
        <v>1.5706677567411671</v>
      </c>
      <c r="K608" s="678">
        <f t="shared" si="296"/>
        <v>2.0798243312851219</v>
      </c>
      <c r="L608" s="679">
        <f t="shared" si="297"/>
        <v>1.0692182450318519</v>
      </c>
      <c r="M608" s="678">
        <f t="shared" si="298"/>
        <v>3.5319595901152248</v>
      </c>
      <c r="N608" s="679">
        <f t="shared" si="299"/>
        <v>-1.2837413412063681</v>
      </c>
      <c r="O608" s="677">
        <f t="shared" si="300"/>
        <v>7135989.4743984705</v>
      </c>
      <c r="P608" s="680">
        <f t="shared" si="301"/>
        <v>1.5707961866601607</v>
      </c>
      <c r="Q608" s="689">
        <f t="shared" si="323"/>
        <v>3377.7018325782246</v>
      </c>
      <c r="R608" s="690">
        <f t="shared" si="324"/>
        <v>1.570500267502462</v>
      </c>
      <c r="S608" s="677">
        <f t="shared" si="302"/>
        <v>26.477553854157545</v>
      </c>
      <c r="T608" s="680">
        <f t="shared" si="303"/>
        <v>1.5330195029543889</v>
      </c>
      <c r="U608" s="681">
        <f t="shared" si="315"/>
        <v>4.1448647938065693E-2</v>
      </c>
      <c r="V608" s="682">
        <f t="shared" si="316"/>
        <v>-0.6114716792806999</v>
      </c>
      <c r="W608" s="683">
        <f t="shared" si="304"/>
        <v>-77.086362418070877</v>
      </c>
      <c r="X608" s="684">
        <f t="shared" si="305"/>
        <v>-225.17115061862799</v>
      </c>
      <c r="Y608" s="687">
        <f t="shared" si="306"/>
        <v>-45.171150618627991</v>
      </c>
      <c r="AA608" s="170">
        <f t="shared" si="307"/>
        <v>630960</v>
      </c>
      <c r="AB608" s="170">
        <f t="shared" si="308"/>
        <v>398110521600</v>
      </c>
      <c r="AD608" s="686">
        <f t="shared" si="309"/>
        <v>10.151235075080109</v>
      </c>
      <c r="AE608" s="687">
        <f t="shared" si="310"/>
        <v>-87.85250244972903</v>
      </c>
      <c r="AG608" s="686">
        <f t="shared" si="311"/>
        <v>23.154050344722108</v>
      </c>
      <c r="AH608" s="687">
        <f t="shared" si="312"/>
        <v>-67.24915505971056</v>
      </c>
      <c r="AJ608" s="170">
        <f t="shared" si="313"/>
        <v>0</v>
      </c>
      <c r="AK608" s="170">
        <f t="shared" si="325"/>
        <v>0</v>
      </c>
      <c r="AM608" s="170" t="str">
        <f t="shared" si="317"/>
        <v>0.401016568301621+0.800761417995918i</v>
      </c>
      <c r="AN608" s="170" t="str">
        <f t="shared" si="318"/>
        <v>19.7781212453207i</v>
      </c>
      <c r="AO608" s="170" t="str">
        <f t="shared" si="319"/>
        <v>0.0404872337500393-0.0202757665062093i</v>
      </c>
      <c r="AP608" s="170" t="str">
        <f t="shared" si="320"/>
        <v>0.0998305719497298-0.133460236332653i</v>
      </c>
      <c r="AQ608" s="170" t="str">
        <f t="shared" si="321"/>
        <v>0.90016942805027+0.133460236332653i</v>
      </c>
      <c r="AR608" s="170" t="str">
        <f t="shared" si="322"/>
        <v>0.90547768622174-0.13424724527564i</v>
      </c>
    </row>
    <row r="609" spans="7:44">
      <c r="G609" s="688">
        <v>691830</v>
      </c>
      <c r="H609" s="676">
        <f t="shared" si="314"/>
        <v>691.83</v>
      </c>
      <c r="I609" s="677">
        <f t="shared" si="294"/>
        <v>8528.2070924956188</v>
      </c>
      <c r="J609" s="678">
        <f t="shared" si="295"/>
        <v>1.5706790688541072</v>
      </c>
      <c r="K609" s="678">
        <f t="shared" si="296"/>
        <v>2.2356853493806628</v>
      </c>
      <c r="L609" s="679">
        <f t="shared" si="297"/>
        <v>1.1070631430718474</v>
      </c>
      <c r="M609" s="678">
        <f t="shared" si="298"/>
        <v>3.846493884800763</v>
      </c>
      <c r="N609" s="679">
        <f t="shared" si="299"/>
        <v>-1.3077979270157907</v>
      </c>
      <c r="O609" s="677">
        <f t="shared" si="300"/>
        <v>7824412.9549782658</v>
      </c>
      <c r="P609" s="680">
        <f t="shared" si="301"/>
        <v>1.5707961989897814</v>
      </c>
      <c r="Q609" s="689">
        <f t="shared" si="323"/>
        <v>3703.5556003617503</v>
      </c>
      <c r="R609" s="690">
        <f t="shared" si="324"/>
        <v>1.5705263159944503</v>
      </c>
      <c r="S609" s="677">
        <f t="shared" si="302"/>
        <v>29.028414094689992</v>
      </c>
      <c r="T609" s="680">
        <f t="shared" si="303"/>
        <v>1.5363405039092477</v>
      </c>
      <c r="U609" s="681">
        <f t="shared" si="315"/>
        <v>6.5455232991767753E-2</v>
      </c>
      <c r="V609" s="682">
        <f t="shared" si="316"/>
        <v>-1.4614563048903397</v>
      </c>
      <c r="W609" s="683">
        <f t="shared" si="304"/>
        <v>-73.347875692425177</v>
      </c>
      <c r="X609" s="684">
        <f t="shared" si="305"/>
        <v>-273.27110598719236</v>
      </c>
      <c r="Y609" s="687">
        <f t="shared" si="306"/>
        <v>-93.271105987192357</v>
      </c>
      <c r="AA609" s="170">
        <f t="shared" si="307"/>
        <v>691830</v>
      </c>
      <c r="AB609" s="170">
        <f t="shared" si="308"/>
        <v>478628748900</v>
      </c>
      <c r="AD609" s="686">
        <f t="shared" si="309"/>
        <v>9.3523260173649128</v>
      </c>
      <c r="AE609" s="687">
        <f t="shared" si="310"/>
        <v>-88.041290026198723</v>
      </c>
      <c r="AG609" s="686">
        <f t="shared" si="311"/>
        <v>19.75408593854365</v>
      </c>
      <c r="AH609" s="687">
        <f t="shared" si="312"/>
        <v>-17.759259343628759</v>
      </c>
      <c r="AJ609" s="170">
        <f t="shared" si="313"/>
        <v>0</v>
      </c>
      <c r="AK609" s="170">
        <f t="shared" si="325"/>
        <v>0</v>
      </c>
      <c r="AM609" s="170" t="str">
        <f t="shared" si="317"/>
        <v>1.95384948267004+0.30028513851022i</v>
      </c>
      <c r="AN609" s="170" t="str">
        <f t="shared" si="318"/>
        <v>21.6861570006819i</v>
      </c>
      <c r="AO609" s="170" t="str">
        <f t="shared" si="319"/>
        <v>0.0138468580901991-0.0900966216655447i</v>
      </c>
      <c r="AP609" s="170" t="str">
        <f t="shared" si="320"/>
        <v>-0.158974913778339-0.0500475230850367i</v>
      </c>
      <c r="AQ609" s="170" t="str">
        <f t="shared" si="321"/>
        <v>1.15897491377834+0.0500475230850367i</v>
      </c>
      <c r="AR609" s="170" t="str">
        <f t="shared" si="322"/>
        <v>0.717400831602482-0.0309792164213458i</v>
      </c>
    </row>
    <row r="610" spans="7:44">
      <c r="G610" s="688">
        <v>758580</v>
      </c>
      <c r="H610" s="676">
        <f t="shared" si="314"/>
        <v>758.58</v>
      </c>
      <c r="I610" s="677">
        <f t="shared" si="294"/>
        <v>9351.0361342276574</v>
      </c>
      <c r="J610" s="678">
        <f t="shared" si="295"/>
        <v>1.5706893867737532</v>
      </c>
      <c r="K610" s="678">
        <f t="shared" si="296"/>
        <v>2.4097810829218664</v>
      </c>
      <c r="L610" s="679">
        <f t="shared" si="297"/>
        <v>1.1428805020866244</v>
      </c>
      <c r="M610" s="678">
        <f t="shared" si="298"/>
        <v>4.1935676797007284</v>
      </c>
      <c r="N610" s="679">
        <f t="shared" si="299"/>
        <v>-1.3300160758020949</v>
      </c>
      <c r="O610" s="677">
        <f t="shared" si="300"/>
        <v>8579337.6687732581</v>
      </c>
      <c r="P610" s="680">
        <f t="shared" si="301"/>
        <v>1.5707962102357824</v>
      </c>
      <c r="Q610" s="689">
        <f t="shared" si="323"/>
        <v>4060.8866196784725</v>
      </c>
      <c r="R610" s="690">
        <f t="shared" si="324"/>
        <v>1.5705500751499331</v>
      </c>
      <c r="S610" s="677">
        <f t="shared" si="302"/>
        <v>31.825991865308676</v>
      </c>
      <c r="T610" s="680">
        <f t="shared" si="303"/>
        <v>1.5393702954416264</v>
      </c>
      <c r="U610" s="681">
        <f t="shared" si="315"/>
        <v>4.4893283082399191E-2</v>
      </c>
      <c r="V610" s="682">
        <f t="shared" si="316"/>
        <v>-2.2972333441870254</v>
      </c>
      <c r="W610" s="683">
        <f t="shared" si="304"/>
        <v>-76.820638169250458</v>
      </c>
      <c r="X610" s="684">
        <f t="shared" si="305"/>
        <v>-320.55125044192806</v>
      </c>
      <c r="Y610" s="687">
        <f t="shared" si="306"/>
        <v>-140.55125044192806</v>
      </c>
      <c r="AA610" s="170">
        <f t="shared" si="307"/>
        <v>758580</v>
      </c>
      <c r="AB610" s="170">
        <f t="shared" si="308"/>
        <v>575443616400</v>
      </c>
      <c r="AD610" s="686">
        <f t="shared" si="309"/>
        <v>8.5531532099492313</v>
      </c>
      <c r="AE610" s="687">
        <f t="shared" si="310"/>
        <v>-88.213523639019726</v>
      </c>
      <c r="AG610" s="686">
        <f t="shared" si="311"/>
        <v>23.63101651807192</v>
      </c>
      <c r="AH610" s="687">
        <f t="shared" si="312"/>
        <v>30.905823855172404</v>
      </c>
      <c r="AJ610" s="170">
        <f t="shared" si="313"/>
        <v>0</v>
      </c>
      <c r="AK610" s="170">
        <f t="shared" si="325"/>
        <v>0</v>
      </c>
      <c r="AM610" s="170" t="str">
        <f t="shared" si="317"/>
        <v>0.785126022396115-0.97664178374094i</v>
      </c>
      <c r="AN610" s="170" t="str">
        <f t="shared" si="318"/>
        <v>23.7785076934757i</v>
      </c>
      <c r="AO610" s="170" t="str">
        <f t="shared" si="319"/>
        <v>-0.0410724590596957-0.0330183051231401i</v>
      </c>
      <c r="AP610" s="170" t="str">
        <f t="shared" si="320"/>
        <v>0.0358123296006475+0.16277363062349i</v>
      </c>
      <c r="AQ610" s="170" t="str">
        <f t="shared" si="321"/>
        <v>0.964187670399352-0.16277363062349i</v>
      </c>
      <c r="AR610" s="170" t="str">
        <f t="shared" si="322"/>
        <v>0.839999696532303+0.141808285383448i</v>
      </c>
    </row>
    <row r="611" spans="7:44">
      <c r="G611" s="688">
        <v>831760</v>
      </c>
      <c r="H611" s="676">
        <f t="shared" si="314"/>
        <v>831.76</v>
      </c>
      <c r="I611" s="677">
        <f t="shared" si="294"/>
        <v>10253.12795950802</v>
      </c>
      <c r="J611" s="678">
        <f t="shared" si="295"/>
        <v>1.5706987955824183</v>
      </c>
      <c r="K611" s="678">
        <f t="shared" si="296"/>
        <v>2.6036992386000914</v>
      </c>
      <c r="L611" s="679">
        <f t="shared" si="297"/>
        <v>1.1765971185709099</v>
      </c>
      <c r="M611" s="678">
        <f t="shared" si="298"/>
        <v>4.5760748999661907</v>
      </c>
      <c r="N611" s="679">
        <f t="shared" si="299"/>
        <v>-1.3504906811715507</v>
      </c>
      <c r="O611" s="677">
        <f t="shared" si="300"/>
        <v>9406983.9692304526</v>
      </c>
      <c r="P611" s="680">
        <f t="shared" si="301"/>
        <v>1.5707962204908992</v>
      </c>
      <c r="Q611" s="689">
        <f t="shared" si="323"/>
        <v>4452.6391910620114</v>
      </c>
      <c r="R611" s="690">
        <f t="shared" si="324"/>
        <v>1.5705717408885393</v>
      </c>
      <c r="S611" s="677">
        <f t="shared" si="302"/>
        <v>34.893338443195965</v>
      </c>
      <c r="T611" s="680">
        <f t="shared" si="303"/>
        <v>1.5421336369316656</v>
      </c>
      <c r="U611" s="681">
        <f t="shared" si="315"/>
        <v>3.1733494699220169E-2</v>
      </c>
      <c r="V611" s="682">
        <f t="shared" si="316"/>
        <v>-0.61797996912860131</v>
      </c>
      <c r="W611" s="683">
        <f t="shared" si="304"/>
        <v>-80.002598000357651</v>
      </c>
      <c r="X611" s="684">
        <f t="shared" si="305"/>
        <v>-223.73603398016078</v>
      </c>
      <c r="Y611" s="687">
        <f t="shared" si="306"/>
        <v>-43.736033980160784</v>
      </c>
      <c r="AA611" s="170">
        <f t="shared" si="307"/>
        <v>831760</v>
      </c>
      <c r="AB611" s="170">
        <f t="shared" si="308"/>
        <v>691824697600</v>
      </c>
      <c r="AD611" s="686">
        <f t="shared" si="309"/>
        <v>7.753941657441171</v>
      </c>
      <c r="AE611" s="687">
        <f t="shared" si="310"/>
        <v>-88.370610676124585</v>
      </c>
      <c r="AG611" s="686">
        <f t="shared" si="311"/>
        <v>27.27480683147985</v>
      </c>
      <c r="AH611" s="687">
        <f t="shared" si="312"/>
        <v>-64.550135113730406</v>
      </c>
      <c r="AJ611" s="170">
        <f t="shared" si="313"/>
        <v>0</v>
      </c>
      <c r="AK611" s="170">
        <f t="shared" si="325"/>
        <v>0</v>
      </c>
      <c r="AM611" s="170" t="str">
        <f t="shared" si="317"/>
        <v>0.409947481083266+0.807364864804022i</v>
      </c>
      <c r="AN611" s="170" t="str">
        <f t="shared" si="318"/>
        <v>26.0724136664891i</v>
      </c>
      <c r="AO611" s="170" t="str">
        <f t="shared" si="319"/>
        <v>0.0309662494286721-0.0157234188720384i</v>
      </c>
      <c r="AP611" s="170" t="str">
        <f t="shared" si="320"/>
        <v>0.0983420864861223-0.13456081080067i</v>
      </c>
      <c r="AQ611" s="170" t="str">
        <f t="shared" si="321"/>
        <v>0.901657913513878+0.13456081080067i</v>
      </c>
      <c r="AR611" s="170" t="str">
        <f t="shared" si="322"/>
        <v>0.903726171894687-0.134869471680252i</v>
      </c>
    </row>
    <row r="612" spans="7:44">
      <c r="G612" s="688">
        <v>912010</v>
      </c>
      <c r="H612" s="676">
        <f t="shared" si="314"/>
        <v>912.01</v>
      </c>
      <c r="I612" s="677">
        <f t="shared" si="294"/>
        <v>11242.371865524168</v>
      </c>
      <c r="J612" s="678">
        <f t="shared" si="295"/>
        <v>1.5707073775933154</v>
      </c>
      <c r="K612" s="678">
        <f t="shared" si="296"/>
        <v>2.8192617151451635</v>
      </c>
      <c r="L612" s="679">
        <f t="shared" si="297"/>
        <v>1.2082001559808835</v>
      </c>
      <c r="M612" s="678">
        <f t="shared" si="298"/>
        <v>4.9973874094162927</v>
      </c>
      <c r="N612" s="679">
        <f t="shared" si="299"/>
        <v>-1.3693316905179447</v>
      </c>
      <c r="O612" s="677">
        <f t="shared" si="300"/>
        <v>10314590.08581545</v>
      </c>
      <c r="P612" s="680">
        <f t="shared" si="301"/>
        <v>1.570796229844849</v>
      </c>
      <c r="Q612" s="689">
        <f t="shared" si="323"/>
        <v>4882.2394096979788</v>
      </c>
      <c r="R612" s="690">
        <f t="shared" si="324"/>
        <v>1.5705915027534934</v>
      </c>
      <c r="S612" s="677">
        <f t="shared" si="302"/>
        <v>38.257279548334992</v>
      </c>
      <c r="T612" s="680">
        <f t="shared" si="303"/>
        <v>1.5446545331340553</v>
      </c>
      <c r="U612" s="681">
        <f t="shared" si="315"/>
        <v>4.9635647485267574E-2</v>
      </c>
      <c r="V612" s="682">
        <f t="shared" si="316"/>
        <v>-1.6832478499296091</v>
      </c>
      <c r="W612" s="683">
        <f t="shared" si="304"/>
        <v>-76.260655424172015</v>
      </c>
      <c r="X612" s="684">
        <f t="shared" si="305"/>
        <v>-284.18397401438125</v>
      </c>
      <c r="Y612" s="687">
        <f t="shared" si="306"/>
        <v>-104.18397401438125</v>
      </c>
      <c r="AA612" s="170">
        <f t="shared" si="307"/>
        <v>912010</v>
      </c>
      <c r="AB612" s="170">
        <f t="shared" si="308"/>
        <v>831762240100</v>
      </c>
      <c r="AD612" s="686">
        <f t="shared" si="309"/>
        <v>6.9545103900287017</v>
      </c>
      <c r="AE612" s="687">
        <f t="shared" si="310"/>
        <v>-88.513915653760492</v>
      </c>
      <c r="AG612" s="686">
        <f t="shared" si="311"/>
        <v>24.045149097129972</v>
      </c>
      <c r="AH612" s="687">
        <f t="shared" si="312"/>
        <v>-2.7840627893428973</v>
      </c>
      <c r="AJ612" s="170">
        <f t="shared" si="313"/>
        <v>0</v>
      </c>
      <c r="AK612" s="170">
        <f t="shared" si="325"/>
        <v>0</v>
      </c>
      <c r="AM612" s="170" t="str">
        <f t="shared" si="317"/>
        <v>1.95122841044447-0.308487457059911i</v>
      </c>
      <c r="AN612" s="170" t="str">
        <f t="shared" si="318"/>
        <v>28.5879364095109i</v>
      </c>
      <c r="AO612" s="170" t="str">
        <f t="shared" si="319"/>
        <v>-0.0107908263346102-0.0682535592109166i</v>
      </c>
      <c r="AP612" s="170" t="str">
        <f t="shared" si="320"/>
        <v>-0.158538068407411+0.0514145761766518i</v>
      </c>
      <c r="AQ612" s="170" t="str">
        <f t="shared" si="321"/>
        <v>1.15853806840741-0.0514145761766518i</v>
      </c>
      <c r="AR612" s="170" t="str">
        <f t="shared" si="322"/>
        <v>0.717596313258844+0.031846092345372i</v>
      </c>
    </row>
    <row r="613" spans="7:44">
      <c r="G613" s="688">
        <v>1000000</v>
      </c>
      <c r="H613" s="676">
        <f t="shared" si="314"/>
        <v>1000</v>
      </c>
      <c r="I613" s="677">
        <f t="shared" si="294"/>
        <v>12327.0269602766</v>
      </c>
      <c r="J613" s="678">
        <f t="shared" si="295"/>
        <v>1.5707152042335264</v>
      </c>
      <c r="K613" s="678">
        <f t="shared" si="296"/>
        <v>3.0583709954796516</v>
      </c>
      <c r="L613" s="679">
        <f t="shared" si="297"/>
        <v>1.2376992342253292</v>
      </c>
      <c r="M613" s="678">
        <f t="shared" si="298"/>
        <v>5.4610436221703944</v>
      </c>
      <c r="N613" s="679">
        <f t="shared" si="299"/>
        <v>-1.3866420431422624</v>
      </c>
      <c r="O613" s="677">
        <f t="shared" si="300"/>
        <v>11309733.540000046</v>
      </c>
      <c r="P613" s="680">
        <f t="shared" si="301"/>
        <v>1.5707962383754837</v>
      </c>
      <c r="Q613" s="689">
        <f t="shared" si="323"/>
        <v>5353.2739690007893</v>
      </c>
      <c r="R613" s="690">
        <f t="shared" si="324"/>
        <v>1.570609525220457</v>
      </c>
      <c r="S613" s="677">
        <f t="shared" si="302"/>
        <v>41.945900502407682</v>
      </c>
      <c r="T613" s="680">
        <f t="shared" si="303"/>
        <v>1.5469538359109924</v>
      </c>
      <c r="U613" s="681">
        <f t="shared" si="315"/>
        <v>2.2256625811705286E-3</v>
      </c>
      <c r="V613" s="682">
        <f t="shared" si="316"/>
        <v>-3.0927176004350132</v>
      </c>
      <c r="W613" s="683">
        <f t="shared" si="304"/>
        <v>-103.34911154849387</v>
      </c>
      <c r="X613" s="684">
        <f t="shared" si="305"/>
        <v>-364.37343628152058</v>
      </c>
      <c r="Y613" s="687">
        <f t="shared" si="306"/>
        <v>-184.37343628152058</v>
      </c>
      <c r="AA613" s="170">
        <f t="shared" si="307"/>
        <v>1000000</v>
      </c>
      <c r="AB613" s="170">
        <f t="shared" si="308"/>
        <v>1000000000000</v>
      </c>
      <c r="AD613" s="686">
        <f t="shared" si="309"/>
        <v>6.15500159992986</v>
      </c>
      <c r="AE613" s="687">
        <f t="shared" si="310"/>
        <v>-88.644623876326989</v>
      </c>
      <c r="AG613" s="686">
        <f t="shared" si="311"/>
        <v>51.689576451354931</v>
      </c>
      <c r="AH613" s="687">
        <f t="shared" si="312"/>
        <v>78.67051946127377</v>
      </c>
      <c r="AJ613" s="170">
        <f t="shared" si="313"/>
        <v>0</v>
      </c>
      <c r="AK613" s="170">
        <f t="shared" si="325"/>
        <v>0</v>
      </c>
      <c r="AM613" s="170" t="str">
        <f t="shared" si="317"/>
        <v>0.00243843168961799-0.0697919582052983i</v>
      </c>
      <c r="AN613" s="170" t="str">
        <f t="shared" si="318"/>
        <v>31.3460777946633i</v>
      </c>
      <c r="AO613" s="170" t="str">
        <f t="shared" si="319"/>
        <v>-0.00222649732009472-0.0000777906475442084i</v>
      </c>
      <c r="AP613" s="170" t="str">
        <f t="shared" si="320"/>
        <v>0.166260261385064+0.0116319930342164i</v>
      </c>
      <c r="AQ613" s="170" t="str">
        <f t="shared" si="321"/>
        <v>0.833739738614936-0.0116319930342164i</v>
      </c>
      <c r="AR613" s="170" t="str">
        <f t="shared" si="322"/>
        <v>0.998918310113283+0.0139364963511178i</v>
      </c>
    </row>
    <row r="614" spans="7:44">
      <c r="G614" s="692"/>
      <c r="H614" s="692"/>
      <c r="I614" s="693"/>
      <c r="J614" s="693"/>
      <c r="K614" s="693"/>
      <c r="L614" s="693"/>
      <c r="M614" s="678"/>
      <c r="N614" s="679"/>
      <c r="O614" s="693"/>
      <c r="P614" s="693"/>
      <c r="Q614" s="693"/>
      <c r="R614" s="693"/>
      <c r="S614" s="693"/>
      <c r="T614" s="693"/>
      <c r="U614" s="693"/>
      <c r="V614" s="694"/>
      <c r="W614" s="695"/>
      <c r="X614" s="684"/>
      <c r="Y614" s="696"/>
      <c r="AG614" s="686"/>
      <c r="AH614" s="687"/>
    </row>
    <row r="615" spans="7:44">
      <c r="G615" s="692"/>
      <c r="H615" s="692"/>
      <c r="I615" s="693"/>
      <c r="J615" s="693"/>
      <c r="K615" s="693"/>
      <c r="L615" s="693"/>
      <c r="M615" s="678"/>
      <c r="N615" s="679"/>
      <c r="O615" s="693"/>
      <c r="P615" s="693"/>
      <c r="Q615" s="693"/>
      <c r="R615" s="693"/>
      <c r="S615" s="693"/>
      <c r="T615" s="693"/>
      <c r="U615" s="693"/>
      <c r="V615" s="694"/>
      <c r="W615" s="696"/>
      <c r="X615" s="684"/>
      <c r="Y615" s="696"/>
      <c r="AG615" s="686"/>
      <c r="AH615" s="687"/>
    </row>
    <row r="616" spans="7:44">
      <c r="G616" s="170" t="s">
        <v>724</v>
      </c>
      <c r="M616" s="678"/>
      <c r="N616" s="679"/>
      <c r="W616" s="683"/>
      <c r="X616" s="684"/>
      <c r="Y616" s="697"/>
      <c r="AG616" s="686"/>
      <c r="AH616" s="687"/>
    </row>
    <row r="617" spans="7:44">
      <c r="G617" s="698">
        <f>W4*1000</f>
        <v>7244.4</v>
      </c>
      <c r="H617" s="698"/>
      <c r="I617" s="699">
        <f t="shared" ref="I617:I626" si="326">SQRT(1+(G617/pole1)^2)</f>
        <v>89.307512625825922</v>
      </c>
      <c r="J617" s="689">
        <f t="shared" ref="J617:J626" si="327">ATAN(G617/pole1)</f>
        <v>1.5595988265148146</v>
      </c>
      <c r="K617" s="689">
        <f t="shared" ref="K617:K626" si="328">SQRT(1+(G617/Zero1)^2)</f>
        <v>1.0002191808744696</v>
      </c>
      <c r="L617" s="690">
        <f t="shared" ref="L617:L626" si="329">ATAN(G617/Zero1)</f>
        <v>2.0935178452032861E-2</v>
      </c>
      <c r="M617" s="678">
        <v>1</v>
      </c>
      <c r="N617" s="679">
        <v>0</v>
      </c>
      <c r="O617" s="699">
        <f t="shared" ref="O617:O626" si="330">SQRT(1+(G617/Pole2)^2)</f>
        <v>81932.233663278617</v>
      </c>
      <c r="P617" s="700">
        <f t="shared" ref="P617:P626" si="331">ATAN(G617/Pole2)</f>
        <v>1.5707841215863321</v>
      </c>
      <c r="Q617" s="689">
        <f t="shared" ref="Q617:Q626" si="332">SQRT(1+(G617/Zero2)^2)</f>
        <v>38.794147947948517</v>
      </c>
      <c r="R617" s="690">
        <f t="shared" ref="R617:R626" si="333">ATAN(G617/Zero2)</f>
        <v>1.5450163875763461</v>
      </c>
      <c r="S617" s="699">
        <f t="shared" ref="S617:S626" si="334">SQRT(1+(G617/pole4)^2)</f>
        <v>1.045124991013185</v>
      </c>
      <c r="T617" s="700">
        <f t="shared" ref="T617:T626" si="335">ATAN(G617/pole4)</f>
        <v>0.2949270311813143</v>
      </c>
      <c r="U617" s="699" t="e">
        <v>#DIV/0!</v>
      </c>
      <c r="V617" s="701" t="e">
        <v>#DIV/0!</v>
      </c>
      <c r="W617" s="683" t="e">
        <f>20*LOG10(((K617*Q617*M617)/(I617*O617*U617*S617))*Adc)</f>
        <v>#DIV/0!</v>
      </c>
      <c r="X617" s="684" t="e">
        <f>((L617+R617+N617)-(J617+P617+V617+T617))*radconv</f>
        <v>#DIV/0!</v>
      </c>
      <c r="Y617" s="687" t="e">
        <f t="shared" ref="Y617:Y626" si="336">IF(X617&gt;0,X617,X617+180)</f>
        <v>#DIV/0!</v>
      </c>
      <c r="Z617" s="170" t="s">
        <v>725</v>
      </c>
      <c r="AD617" s="686">
        <f>20*LOG10((Q617/(O617*S617))*Aea)</f>
        <v>38.228313904321837</v>
      </c>
      <c r="AE617" s="687">
        <f>(R617-(P617+T617))*radconv</f>
        <v>-18.37445657839633</v>
      </c>
      <c r="AG617" s="686" t="e">
        <f>20*LOG10((K617*M617/(I617*U617))*Acs*Am)</f>
        <v>#DIV/0!</v>
      </c>
      <c r="AH617" s="687" t="e">
        <f>(L617+N617-(J617+V617))*radconv</f>
        <v>#DIV/0!</v>
      </c>
    </row>
    <row r="618" spans="7:44">
      <c r="G618" s="698">
        <f>G617</f>
        <v>7244.4</v>
      </c>
      <c r="H618" s="698"/>
      <c r="I618" s="699"/>
      <c r="J618" s="689"/>
      <c r="K618" s="689"/>
      <c r="L618" s="690"/>
      <c r="M618" s="678"/>
      <c r="N618" s="679"/>
      <c r="O618" s="699"/>
      <c r="P618" s="700"/>
      <c r="Q618" s="689"/>
      <c r="R618" s="690"/>
      <c r="S618" s="677"/>
      <c r="T618" s="680"/>
      <c r="U618" s="699"/>
      <c r="V618" s="682"/>
      <c r="W618" s="683"/>
      <c r="X618" s="684">
        <v>-135</v>
      </c>
      <c r="Y618" s="687"/>
      <c r="AD618" s="686"/>
      <c r="AE618" s="687"/>
      <c r="AG618" s="686"/>
      <c r="AH618" s="687"/>
    </row>
    <row r="619" spans="7:44">
      <c r="G619" s="170">
        <f>G618</f>
        <v>7244.4</v>
      </c>
      <c r="H619" s="698"/>
      <c r="I619" s="699"/>
      <c r="J619" s="689"/>
      <c r="K619" s="689"/>
      <c r="L619" s="690"/>
      <c r="M619" s="678"/>
      <c r="N619" s="679"/>
      <c r="O619" s="699"/>
      <c r="P619" s="700"/>
      <c r="Q619" s="689"/>
      <c r="R619" s="690"/>
      <c r="S619" s="677"/>
      <c r="T619" s="680"/>
      <c r="U619" s="699"/>
      <c r="V619" s="682"/>
      <c r="W619" s="683"/>
      <c r="X619" s="684"/>
      <c r="Y619" s="687"/>
      <c r="AD619" s="686"/>
      <c r="AE619" s="687"/>
      <c r="AG619" s="686"/>
      <c r="AH619" s="687"/>
    </row>
    <row r="620" spans="7:44">
      <c r="G620" s="698">
        <v>1000000</v>
      </c>
      <c r="H620" s="698"/>
      <c r="I620" s="699"/>
      <c r="J620" s="689"/>
      <c r="K620" s="689"/>
      <c r="L620" s="690"/>
      <c r="M620" s="678"/>
      <c r="N620" s="679"/>
      <c r="O620" s="699"/>
      <c r="P620" s="700"/>
      <c r="Q620" s="689"/>
      <c r="R620" s="690"/>
      <c r="S620" s="677"/>
      <c r="T620" s="680"/>
      <c r="U620" s="699"/>
      <c r="V620" s="682"/>
      <c r="W620" s="683"/>
      <c r="X620" s="684" t="e">
        <f>X617</f>
        <v>#DIV/0!</v>
      </c>
      <c r="Y620" s="687"/>
      <c r="AD620" s="686"/>
      <c r="AE620" s="687"/>
      <c r="AG620" s="686"/>
      <c r="AH620" s="687"/>
    </row>
    <row r="621" spans="7:44">
      <c r="G621" s="698"/>
      <c r="H621" s="698"/>
      <c r="I621" s="699"/>
      <c r="J621" s="689"/>
      <c r="K621" s="689"/>
      <c r="L621" s="690"/>
      <c r="M621" s="678"/>
      <c r="N621" s="679"/>
      <c r="O621" s="699"/>
      <c r="P621" s="700"/>
      <c r="Q621" s="689"/>
      <c r="R621" s="690"/>
      <c r="S621" s="677"/>
      <c r="T621" s="680"/>
      <c r="U621" s="699"/>
      <c r="V621" s="682"/>
      <c r="W621" s="683"/>
      <c r="X621" s="684"/>
      <c r="Y621" s="687"/>
      <c r="AD621" s="686"/>
      <c r="AE621" s="687"/>
      <c r="AG621" s="686"/>
      <c r="AH621" s="687"/>
    </row>
    <row r="622" spans="7:44">
      <c r="G622" s="702">
        <f>pole1</f>
        <v>81.12256154812502</v>
      </c>
      <c r="H622" s="703"/>
      <c r="I622" s="699">
        <f t="shared" si="326"/>
        <v>1.4142135623730951</v>
      </c>
      <c r="J622" s="689">
        <f t="shared" si="327"/>
        <v>0.78539816339744828</v>
      </c>
      <c r="K622" s="689">
        <f t="shared" si="328"/>
        <v>1.0000000274870864</v>
      </c>
      <c r="L622" s="690">
        <f t="shared" si="329"/>
        <v>2.3446571536354162E-4</v>
      </c>
      <c r="M622" s="678">
        <v>1</v>
      </c>
      <c r="N622" s="679">
        <v>0</v>
      </c>
      <c r="O622" s="699">
        <f t="shared" si="330"/>
        <v>917.47510016562387</v>
      </c>
      <c r="P622" s="700">
        <f t="shared" si="331"/>
        <v>1.5697063787430996</v>
      </c>
      <c r="Q622" s="689">
        <f t="shared" si="332"/>
        <v>1.0902254596398548</v>
      </c>
      <c r="R622" s="690">
        <f t="shared" si="333"/>
        <v>0.40969723172962813</v>
      </c>
      <c r="S622" s="677">
        <f t="shared" si="334"/>
        <v>1.0000057860768752</v>
      </c>
      <c r="T622" s="680">
        <f t="shared" si="335"/>
        <v>3.4017786454497868E-3</v>
      </c>
      <c r="U622" s="699" t="e">
        <f>SQRT((1-(G622^2/(pole3^2)))^2+(G622/(Q*pole3))^2)</f>
        <v>#DIV/0!</v>
      </c>
      <c r="V622" s="682" t="e">
        <f>ATAN((G622/(Q*pole3))/(1-G622^2/pole3^2))</f>
        <v>#NAME?</v>
      </c>
      <c r="W622" s="683" t="e">
        <f t="shared" ref="W622:W628" si="337">20*LOG10(((K622*Q622*M622)/(I622*O622*U622*S622))*Adc)</f>
        <v>#DIV/0!</v>
      </c>
      <c r="X622" s="684" t="e">
        <f t="shared" ref="X622:X628" si="338">((L622+R622+N622)-(J622+P622+V622+T622))*radconv</f>
        <v>#NAME?</v>
      </c>
      <c r="Y622" s="687" t="e">
        <f t="shared" si="336"/>
        <v>#NAME?</v>
      </c>
      <c r="Z622" s="170" t="s">
        <v>713</v>
      </c>
      <c r="AD622" s="686">
        <f>20*LOG10((Q622/(O622*S622))*Aea)</f>
        <v>46.603840508819076</v>
      </c>
      <c r="AE622" s="687">
        <f>(R622-(P622+T622))*radconv</f>
        <v>-66.658535955833045</v>
      </c>
      <c r="AG622" s="686" t="e">
        <f t="shared" ref="AG622:AG628" si="339">20*LOG10((K622*M622/(I622*U622))*Acs*Am)</f>
        <v>#DIV/0!</v>
      </c>
      <c r="AH622" s="687" t="e">
        <f t="shared" ref="AH622:AH628" si="340">(L622+N622-(J622+V622))*radconv</f>
        <v>#NAME?</v>
      </c>
    </row>
    <row r="623" spans="7:44">
      <c r="G623" s="702">
        <f>Zero1</f>
        <v>345989.0071168617</v>
      </c>
      <c r="H623" s="703"/>
      <c r="I623" s="699">
        <f t="shared" si="326"/>
        <v>4265.015921887988</v>
      </c>
      <c r="J623" s="689">
        <f t="shared" si="327"/>
        <v>1.5705618610795331</v>
      </c>
      <c r="K623" s="689">
        <f t="shared" si="328"/>
        <v>1.4142135623730951</v>
      </c>
      <c r="L623" s="690">
        <f t="shared" si="329"/>
        <v>0.78539816339744828</v>
      </c>
      <c r="M623" s="678">
        <v>1</v>
      </c>
      <c r="N623" s="679">
        <v>0</v>
      </c>
      <c r="O623" s="699">
        <f t="shared" si="330"/>
        <v>3913043.4782609977</v>
      </c>
      <c r="P623" s="700">
        <f t="shared" si="331"/>
        <v>1.5707960712393412</v>
      </c>
      <c r="Q623" s="689">
        <f t="shared" si="332"/>
        <v>1852.174182996511</v>
      </c>
      <c r="R623" s="690">
        <f t="shared" si="333"/>
        <v>1.5702564207440708</v>
      </c>
      <c r="S623" s="677">
        <f t="shared" si="334"/>
        <v>14.543116912388841</v>
      </c>
      <c r="T623" s="680">
        <f t="shared" si="335"/>
        <v>1.5019809757904976</v>
      </c>
      <c r="U623" s="699" t="e">
        <f>SQRT((1-(G623^2/(pole3^2)))^2+(G623/(Q*pole3))^2)</f>
        <v>#DIV/0!</v>
      </c>
      <c r="V623" s="682" t="e">
        <f>ATAN((G623/(Q*pole3))/(1-G623^2/pole3^2))</f>
        <v>#NAME?</v>
      </c>
      <c r="W623" s="683" t="e">
        <f t="shared" si="337"/>
        <v>#DIV/0!</v>
      </c>
      <c r="X623" s="684" t="e">
        <f t="shared" si="338"/>
        <v>#NAME?</v>
      </c>
      <c r="Y623" s="687" t="e">
        <f t="shared" si="336"/>
        <v>#NAME?</v>
      </c>
      <c r="Z623" s="170" t="s">
        <v>714</v>
      </c>
      <c r="AD623" s="686">
        <f>20*LOG10((Q623/(O623*S623))*Aea)</f>
        <v>15.355643252594444</v>
      </c>
      <c r="AE623" s="687">
        <f>(R623-(P623+T623))*radconv</f>
        <v>-86.088090615897713</v>
      </c>
      <c r="AG623" s="686" t="e">
        <f t="shared" si="339"/>
        <v>#DIV/0!</v>
      </c>
      <c r="AH623" s="687" t="e">
        <f t="shared" si="340"/>
        <v>#NAME?</v>
      </c>
    </row>
    <row r="624" spans="7:44">
      <c r="G624" s="702">
        <f>Pole2</f>
        <v>8.8419412929864646E-2</v>
      </c>
      <c r="H624" s="703"/>
      <c r="I624" s="699">
        <f t="shared" si="326"/>
        <v>1.0000005939936718</v>
      </c>
      <c r="J624" s="689">
        <f t="shared" si="327"/>
        <v>1.0899480517970446E-3</v>
      </c>
      <c r="K624" s="689">
        <f t="shared" si="328"/>
        <v>1.0000000000000326</v>
      </c>
      <c r="L624" s="690">
        <f t="shared" si="329"/>
        <v>2.5555555555554997E-7</v>
      </c>
      <c r="M624" s="678">
        <v>1</v>
      </c>
      <c r="N624" s="679">
        <v>0</v>
      </c>
      <c r="O624" s="699">
        <f t="shared" si="330"/>
        <v>1.4142135623730951</v>
      </c>
      <c r="P624" s="700">
        <f t="shared" si="331"/>
        <v>0.78539816339744828</v>
      </c>
      <c r="Q624" s="689">
        <f t="shared" si="332"/>
        <v>1.0000001120222159</v>
      </c>
      <c r="R624" s="690">
        <f t="shared" si="333"/>
        <v>4.7333329798410364E-4</v>
      </c>
      <c r="S624" s="677">
        <f t="shared" si="334"/>
        <v>1.0000000000068738</v>
      </c>
      <c r="T624" s="680">
        <f t="shared" si="335"/>
        <v>3.7077777777607877E-6</v>
      </c>
      <c r="U624" s="699" t="e">
        <f>SQRT((1-(G624^2/(pole3^2)))^2+(G624/(Q*pole3))^2)</f>
        <v>#DIV/0!</v>
      </c>
      <c r="V624" s="682" t="e">
        <f>ATAN((G624/(Q*pole3))/(1-G624^2/pole3^2))</f>
        <v>#NAME?</v>
      </c>
      <c r="W624" s="683" t="e">
        <f t="shared" si="337"/>
        <v>#DIV/0!</v>
      </c>
      <c r="X624" s="684" t="e">
        <f t="shared" si="338"/>
        <v>#NAME?</v>
      </c>
      <c r="Y624" s="687" t="e">
        <f t="shared" si="336"/>
        <v>#NAME?</v>
      </c>
      <c r="Z624" s="170" t="s">
        <v>715</v>
      </c>
      <c r="AC624" s="170">
        <f>Pole2</f>
        <v>8.8419412929864646E-2</v>
      </c>
      <c r="AD624" s="686">
        <f>20*LOG10((Q624/(O624*S624))*Aea)</f>
        <v>102.09515111837915</v>
      </c>
      <c r="AE624" s="687">
        <f>(R624-(P624+T624))*radconv</f>
        <v>-44.97309249112979</v>
      </c>
      <c r="AG624" s="686" t="e">
        <f t="shared" si="339"/>
        <v>#DIV/0!</v>
      </c>
      <c r="AH624" s="687" t="e">
        <f t="shared" si="340"/>
        <v>#NAME?</v>
      </c>
    </row>
    <row r="625" spans="7:34">
      <c r="G625" s="702">
        <f>Zero2</f>
        <v>186.80157661239005</v>
      </c>
      <c r="H625" s="703"/>
      <c r="I625" s="699">
        <f t="shared" si="326"/>
        <v>2.5104709569960515</v>
      </c>
      <c r="J625" s="689">
        <f t="shared" si="327"/>
        <v>1.1610990950652684</v>
      </c>
      <c r="K625" s="689">
        <f t="shared" si="328"/>
        <v>1.0000001457492895</v>
      </c>
      <c r="L625" s="690">
        <f t="shared" si="329"/>
        <v>5.3990605082576953E-4</v>
      </c>
      <c r="M625" s="678">
        <v>1</v>
      </c>
      <c r="N625" s="679">
        <v>0</v>
      </c>
      <c r="O625" s="699">
        <f t="shared" si="330"/>
        <v>2112.6762930046812</v>
      </c>
      <c r="P625" s="700">
        <f t="shared" si="331"/>
        <v>1.5703229934969125</v>
      </c>
      <c r="Q625" s="689">
        <f t="shared" si="332"/>
        <v>1.4142135623730951</v>
      </c>
      <c r="R625" s="690">
        <f t="shared" si="333"/>
        <v>0.78539816339744828</v>
      </c>
      <c r="S625" s="677">
        <f t="shared" si="334"/>
        <v>1.0000306800849217</v>
      </c>
      <c r="T625" s="680">
        <f t="shared" si="335"/>
        <v>7.8331731185528539E-3</v>
      </c>
      <c r="U625" s="699" t="e">
        <f>SQRT((1-(G625^2/(pole3^2)))^2+(G625/(Q*pole3))^2)</f>
        <v>#DIV/0!</v>
      </c>
      <c r="V625" s="682" t="e">
        <f>ATAN((G625/(Q*pole3))/(1-G625^2/pole3^2))</f>
        <v>#NAME?</v>
      </c>
      <c r="W625" s="683" t="e">
        <f t="shared" si="337"/>
        <v>#DIV/0!</v>
      </c>
      <c r="X625" s="684" t="e">
        <f t="shared" si="338"/>
        <v>#NAME?</v>
      </c>
      <c r="Y625" s="687" t="e">
        <f t="shared" si="336"/>
        <v>#NAME?</v>
      </c>
      <c r="Z625" s="170" t="s">
        <v>726</v>
      </c>
      <c r="AC625" s="170">
        <f>Zero2</f>
        <v>186.80157661239005</v>
      </c>
      <c r="AD625" s="686">
        <f>20*LOG10((Q625/(O625*S625))*Aea)</f>
        <v>41.618824399217338</v>
      </c>
      <c r="AE625" s="687">
        <f>(R625-(P625+T625))*radconv</f>
        <v>-45.421687811512754</v>
      </c>
      <c r="AG625" s="686" t="e">
        <f t="shared" si="339"/>
        <v>#DIV/0!</v>
      </c>
      <c r="AH625" s="687" t="e">
        <f t="shared" si="340"/>
        <v>#NAME?</v>
      </c>
    </row>
    <row r="626" spans="7:34">
      <c r="G626" s="702">
        <f>pole3</f>
        <v>0</v>
      </c>
      <c r="H626" s="703"/>
      <c r="I626" s="699">
        <f t="shared" si="326"/>
        <v>1</v>
      </c>
      <c r="J626" s="689">
        <f t="shared" si="327"/>
        <v>0</v>
      </c>
      <c r="K626" s="689">
        <f t="shared" si="328"/>
        <v>1</v>
      </c>
      <c r="L626" s="690">
        <f t="shared" si="329"/>
        <v>0</v>
      </c>
      <c r="M626" s="678">
        <v>1</v>
      </c>
      <c r="N626" s="679">
        <v>0</v>
      </c>
      <c r="O626" s="699">
        <f t="shared" si="330"/>
        <v>1</v>
      </c>
      <c r="P626" s="700">
        <f t="shared" si="331"/>
        <v>0</v>
      </c>
      <c r="Q626" s="689">
        <f t="shared" si="332"/>
        <v>1</v>
      </c>
      <c r="R626" s="690">
        <f t="shared" si="333"/>
        <v>0</v>
      </c>
      <c r="S626" s="677">
        <f t="shared" si="334"/>
        <v>1</v>
      </c>
      <c r="T626" s="680">
        <f t="shared" si="335"/>
        <v>0</v>
      </c>
      <c r="U626" s="699" t="e">
        <f>SQRT((1-(G626^2/(pole3^2)))^2+(G626/(Q*pole3))^2)</f>
        <v>#DIV/0!</v>
      </c>
      <c r="V626" s="682" t="e">
        <f>ATAN((G626/(Q*pole3))/(1-G626^2/pole3^2))</f>
        <v>#NAME?</v>
      </c>
      <c r="W626" s="683" t="e">
        <f t="shared" si="337"/>
        <v>#DIV/0!</v>
      </c>
      <c r="X626" s="684" t="e">
        <f t="shared" si="338"/>
        <v>#NAME?</v>
      </c>
      <c r="Y626" s="687" t="e">
        <f t="shared" si="336"/>
        <v>#NAME?</v>
      </c>
      <c r="Z626" s="170" t="s">
        <v>691</v>
      </c>
      <c r="AD626" s="686">
        <f>20*LOG10((Q626/(O626*S626))*Aea)</f>
        <v>105.10545010206611</v>
      </c>
      <c r="AE626" s="687">
        <f>(R626-(P626+T626))*radconv</f>
        <v>0</v>
      </c>
      <c r="AG626" s="686" t="e">
        <f t="shared" si="339"/>
        <v>#DIV/0!</v>
      </c>
      <c r="AH626" s="687" t="e">
        <f t="shared" si="340"/>
        <v>#NAME?</v>
      </c>
    </row>
    <row r="627" spans="7:34" ht="13" thickBot="1">
      <c r="G627" s="197">
        <v>195034.73926858415</v>
      </c>
      <c r="I627" s="699">
        <f>SQRT(1+(G627/pole1)^2)</f>
        <v>2404.1986892130044</v>
      </c>
      <c r="J627" s="689">
        <f>ATAN(G627/pole1)</f>
        <v>1.5703803877823179</v>
      </c>
      <c r="K627" s="689">
        <f>SQRT(1+(G627/Zero1)^2)</f>
        <v>1.1479373188936624</v>
      </c>
      <c r="L627" s="690">
        <f>ATAN(G627/Zero1)</f>
        <v>0.51330217976863035</v>
      </c>
      <c r="M627" s="678">
        <v>1</v>
      </c>
      <c r="N627" s="679">
        <v>0</v>
      </c>
      <c r="O627" s="699">
        <f>SQRT(1+(G627/Pole2)^2)</f>
        <v>2205790.9321712884</v>
      </c>
      <c r="P627" s="700">
        <f>ATAN(G627/Pole2)</f>
        <v>1.5707958734427745</v>
      </c>
      <c r="Q627" s="689">
        <f>SQRT(1+(G627/Zero2)^2)</f>
        <v>1044.0748534539462</v>
      </c>
      <c r="R627" s="690">
        <f>ATAN(G627/Zero2)</f>
        <v>1.5698385409143305</v>
      </c>
      <c r="S627" s="677">
        <f>SQRT(1+(G627/pole4)^2)</f>
        <v>8.2394910860394841</v>
      </c>
      <c r="T627" s="680">
        <f>ATAN(G627/pole4)</f>
        <v>1.4491296623807695</v>
      </c>
      <c r="U627" s="699" t="e">
        <v>#DIV/0!</v>
      </c>
      <c r="V627" s="682" t="e">
        <v>#DIV/0!</v>
      </c>
      <c r="W627" s="683" t="e">
        <f t="shared" si="337"/>
        <v>#DIV/0!</v>
      </c>
      <c r="X627" s="684" t="e">
        <f t="shared" si="338"/>
        <v>#DIV/0!</v>
      </c>
      <c r="Y627" s="687" t="e">
        <f>IF(X627&gt;0,X627,X627+180)</f>
        <v>#DIV/0!</v>
      </c>
      <c r="Z627" s="170" t="s">
        <v>727</v>
      </c>
      <c r="AD627" s="704"/>
      <c r="AE627" s="705"/>
      <c r="AG627" s="686" t="e">
        <f t="shared" si="339"/>
        <v>#DIV/0!</v>
      </c>
      <c r="AH627" s="687" t="e">
        <f t="shared" si="340"/>
        <v>#DIV/0!</v>
      </c>
    </row>
    <row r="628" spans="7:34">
      <c r="G628" s="197">
        <f>z_RHP</f>
        <v>186264.644725716</v>
      </c>
      <c r="I628" s="699">
        <f>SQRT(1+(G628/pole1)^2)</f>
        <v>2296.0895074866676</v>
      </c>
      <c r="J628" s="689">
        <f>ATAN(G628/pole1)</f>
        <v>1.5703608036899164</v>
      </c>
      <c r="K628" s="689">
        <f>SQRT(1+(G628/Zero1)^2)</f>
        <v>1.1357047479442401</v>
      </c>
      <c r="L628" s="690">
        <f>ATAN(G628/Zero1)</f>
        <v>0.49385817475520166</v>
      </c>
      <c r="M628" s="678">
        <v>1</v>
      </c>
      <c r="N628" s="679">
        <v>0</v>
      </c>
      <c r="O628" s="699">
        <f>SQRT(1+(G628/Pole2)^2)</f>
        <v>2106603.4997708523</v>
      </c>
      <c r="P628" s="700">
        <f>ATAN(G628/Pole2)</f>
        <v>1.5707958520971188</v>
      </c>
      <c r="Q628" s="689">
        <f>SQRT(1+(G628/Zero2)^2)</f>
        <v>997.12615799927971</v>
      </c>
      <c r="R628" s="690">
        <f>ATAN(G628/Zero2)</f>
        <v>1.5697934445020127</v>
      </c>
      <c r="S628" s="677">
        <f>SQRT(1+(G628/pole4)^2)</f>
        <v>7.8745712424740715</v>
      </c>
      <c r="T628" s="680">
        <f>ATAN(G628/pole4)</f>
        <v>1.4434614597650179</v>
      </c>
      <c r="U628" s="699" t="e">
        <v>#DIV/0!</v>
      </c>
      <c r="V628" s="682" t="e">
        <v>#DIV/0!</v>
      </c>
      <c r="W628" s="683" t="e">
        <f t="shared" si="337"/>
        <v>#DIV/0!</v>
      </c>
      <c r="X628" s="684" t="e">
        <f t="shared" si="338"/>
        <v>#DIV/0!</v>
      </c>
      <c r="Y628" s="687" t="e">
        <f>IF(X628&gt;0,X628,X628+180)</f>
        <v>#DIV/0!</v>
      </c>
      <c r="Z628" s="170" t="s">
        <v>712</v>
      </c>
      <c r="AD628" s="696"/>
      <c r="AE628" s="696"/>
      <c r="AG628" s="686" t="e">
        <f t="shared" si="339"/>
        <v>#DIV/0!</v>
      </c>
      <c r="AH628" s="687" t="e">
        <f t="shared" si="340"/>
        <v>#DIV/0!</v>
      </c>
    </row>
    <row r="629" spans="7:34">
      <c r="G629" s="197">
        <v>195034.73926858415</v>
      </c>
      <c r="W629" s="683">
        <v>-25</v>
      </c>
    </row>
    <row r="631" spans="7:34">
      <c r="J631" s="170" t="s">
        <v>728</v>
      </c>
      <c r="K631" s="170" t="s">
        <v>729</v>
      </c>
    </row>
    <row r="632" spans="7:34">
      <c r="G632" s="170" t="s">
        <v>713</v>
      </c>
      <c r="H632" s="170" t="s">
        <v>730</v>
      </c>
      <c r="I632" s="172">
        <f>pole1</f>
        <v>81.12256154812502</v>
      </c>
      <c r="J632" s="172" t="e">
        <f>W622</f>
        <v>#DIV/0!</v>
      </c>
      <c r="K632" s="172" t="e">
        <f>AG622</f>
        <v>#DIV/0!</v>
      </c>
    </row>
    <row r="633" spans="7:34">
      <c r="G633" s="170" t="s">
        <v>714</v>
      </c>
      <c r="H633" s="170" t="s">
        <v>731</v>
      </c>
      <c r="I633" s="172">
        <f>Zero1</f>
        <v>345989.0071168617</v>
      </c>
      <c r="J633" s="172" t="e">
        <f>W623</f>
        <v>#DIV/0!</v>
      </c>
      <c r="K633" s="172" t="e">
        <f>AG623</f>
        <v>#DIV/0!</v>
      </c>
    </row>
    <row r="634" spans="7:34">
      <c r="G634" s="170" t="s">
        <v>715</v>
      </c>
      <c r="H634" s="170" t="s">
        <v>732</v>
      </c>
      <c r="I634" s="172">
        <f>Pole2</f>
        <v>8.8419412929864646E-2</v>
      </c>
      <c r="J634" s="172" t="e">
        <f>W624</f>
        <v>#DIV/0!</v>
      </c>
      <c r="K634" s="172" t="e">
        <f>AG624</f>
        <v>#DIV/0!</v>
      </c>
    </row>
    <row r="635" spans="7:34">
      <c r="G635" s="170" t="s">
        <v>726</v>
      </c>
      <c r="H635" s="170" t="s">
        <v>733</v>
      </c>
      <c r="I635" s="172">
        <f>Zero2</f>
        <v>186.80157661239005</v>
      </c>
      <c r="J635" s="172" t="e">
        <f>W625</f>
        <v>#DIV/0!</v>
      </c>
      <c r="K635" s="172" t="e">
        <f>AG625</f>
        <v>#DIV/0!</v>
      </c>
    </row>
    <row r="636" spans="7:34">
      <c r="G636" s="170" t="s">
        <v>691</v>
      </c>
      <c r="H636" s="170" t="s">
        <v>734</v>
      </c>
      <c r="I636" s="170">
        <f>pole3</f>
        <v>0</v>
      </c>
      <c r="J636" s="172" t="e">
        <f>W626</f>
        <v>#DIV/0!</v>
      </c>
      <c r="K636" s="172" t="e">
        <f>AG626</f>
        <v>#DIV/0!</v>
      </c>
    </row>
    <row r="637" spans="7:34">
      <c r="I637" s="197"/>
      <c r="J637" s="172"/>
      <c r="K637" s="172"/>
    </row>
    <row r="639" spans="7:34">
      <c r="G639" s="172">
        <f>W4*1000</f>
        <v>7244.4</v>
      </c>
    </row>
    <row r="640" spans="7:34">
      <c r="G640" s="172">
        <f>W4*1000</f>
        <v>7244.4</v>
      </c>
    </row>
    <row r="687" spans="36:37">
      <c r="AJ687" s="170" t="s">
        <v>705</v>
      </c>
      <c r="AK687" s="172">
        <f>SUM(AK689:AK1306)</f>
        <v>0</v>
      </c>
    </row>
  </sheetData>
  <sheetProtection selectLockedCells="1" selectUnlockedCells="1"/>
  <mergeCells count="20">
    <mergeCell ref="G10:G12"/>
    <mergeCell ref="H10:H11"/>
    <mergeCell ref="I10:N10"/>
    <mergeCell ref="O10:T10"/>
    <mergeCell ref="U10:V10"/>
    <mergeCell ref="G2:J2"/>
    <mergeCell ref="K2:M2"/>
    <mergeCell ref="P2:R2"/>
    <mergeCell ref="S2:U2"/>
    <mergeCell ref="V2:X2"/>
    <mergeCell ref="W10:Y10"/>
    <mergeCell ref="AD10:AE10"/>
    <mergeCell ref="AG10:AH10"/>
    <mergeCell ref="I11:J11"/>
    <mergeCell ref="K11:L11"/>
    <mergeCell ref="M11:N11"/>
    <mergeCell ref="O11:P11"/>
    <mergeCell ref="Q11:R11"/>
    <mergeCell ref="S11:T11"/>
    <mergeCell ref="U11:V11"/>
  </mergeCells>
  <phoneticPr fontId="83"/>
  <hyperlinks>
    <hyperlink ref="C50" r:id="rId1" display="Gpwr_@Fco" xr:uid="{4F4202D4-BC5C-4B6D-9289-7BEBC6947453}"/>
  </hyperlinks>
  <pageMargins left="0.75" right="0.75" top="1" bottom="1" header="0.5" footer="0.5"/>
  <pageSetup scale="48" orientation="portrait" horizontalDpi="300" verticalDpi="300" r:id="rId2"/>
  <headerFooter alignWithMargins="0"/>
  <colBreaks count="1" manualBreakCount="1">
    <brk id="25"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740353" r:id="rId5" name="Drop Down 1">
              <controlPr locked="0" defaultSize="0" autoLine="0" autoPict="0">
                <anchor moveWithCells="1">
                  <from>
                    <xdr:col>0</xdr:col>
                    <xdr:colOff>38100</xdr:colOff>
                    <xdr:row>2</xdr:row>
                    <xdr:rowOff>127000</xdr:rowOff>
                  </from>
                  <to>
                    <xdr:col>1</xdr:col>
                    <xdr:colOff>107950</xdr:colOff>
                    <xdr:row>4</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00FF"/>
  </sheetPr>
  <dimension ref="A1:Z315"/>
  <sheetViews>
    <sheetView zoomScale="70" zoomScaleNormal="70" workbookViewId="0">
      <pane ySplit="5" topLeftCell="A84" activePane="bottomLeft" state="frozenSplit"/>
      <selection pane="bottomLeft" activeCell="S122" sqref="S122"/>
    </sheetView>
  </sheetViews>
  <sheetFormatPr defaultRowHeight="13"/>
  <cols>
    <col min="1" max="1" width="40.453125" customWidth="1"/>
    <col min="2" max="2" width="11.81640625" customWidth="1"/>
    <col min="3" max="3" width="9.453125" style="3" customWidth="1"/>
    <col min="4" max="4" width="10.26953125" customWidth="1"/>
    <col min="5" max="5" width="11.54296875" customWidth="1"/>
    <col min="6" max="6" width="14.81640625" customWidth="1"/>
    <col min="7" max="7" width="12.453125" bestFit="1" customWidth="1"/>
    <col min="8" max="8" width="20.1796875" customWidth="1"/>
    <col min="9" max="9" width="14.453125" customWidth="1"/>
    <col min="10" max="10" width="12.453125" bestFit="1" customWidth="1"/>
    <col min="11" max="11" width="12" customWidth="1"/>
    <col min="12" max="12" width="8.81640625" customWidth="1"/>
    <col min="13" max="13" width="7" customWidth="1"/>
    <col min="14" max="14" width="9.26953125" customWidth="1"/>
    <col min="16" max="16" width="7.1796875" customWidth="1"/>
    <col min="17" max="17" width="11" customWidth="1"/>
    <col min="18" max="18" width="13.81640625" customWidth="1"/>
    <col min="19" max="19" width="5.453125" customWidth="1"/>
    <col min="20" max="20" width="16.26953125" customWidth="1"/>
    <col min="22" max="22" width="9.7265625" customWidth="1"/>
    <col min="23" max="23" width="11.26953125" customWidth="1"/>
    <col min="24" max="24" width="5.81640625" customWidth="1"/>
    <col min="25" max="25" width="12" bestFit="1" customWidth="1"/>
    <col min="26" max="26" width="7.81640625" customWidth="1"/>
  </cols>
  <sheetData>
    <row r="1" spans="1:26" ht="30.75" customHeight="1">
      <c r="A1" s="942" t="s">
        <v>171</v>
      </c>
      <c r="B1" s="942"/>
      <c r="C1" s="942"/>
      <c r="D1" s="942"/>
      <c r="E1" s="942"/>
      <c r="F1" s="942"/>
      <c r="G1" s="942"/>
      <c r="H1" s="942"/>
      <c r="I1" s="942"/>
    </row>
    <row r="2" spans="1:26" ht="12" customHeight="1">
      <c r="A2" s="19"/>
      <c r="B2" s="19" t="s">
        <v>81</v>
      </c>
      <c r="C2" s="20"/>
      <c r="E2" s="19"/>
      <c r="F2" s="19"/>
      <c r="G2" s="19"/>
      <c r="H2" s="19"/>
      <c r="I2" s="19"/>
    </row>
    <row r="3" spans="1:26" ht="11.25" customHeight="1">
      <c r="A3" s="19"/>
      <c r="B3" s="19" t="s">
        <v>100</v>
      </c>
      <c r="C3" s="21"/>
      <c r="E3" s="19"/>
      <c r="F3" s="19"/>
      <c r="G3" s="19"/>
      <c r="H3" s="19"/>
      <c r="I3" s="19"/>
    </row>
    <row r="4" spans="1:26" ht="11.25" customHeight="1">
      <c r="A4" s="19"/>
      <c r="B4" s="19" t="s">
        <v>82</v>
      </c>
      <c r="C4" s="22"/>
      <c r="E4" s="19"/>
      <c r="F4" s="19"/>
      <c r="G4" s="19"/>
      <c r="H4" s="19"/>
      <c r="I4" s="19"/>
    </row>
    <row r="5" spans="1:26">
      <c r="A5" s="3" t="s">
        <v>19</v>
      </c>
      <c r="B5" s="3" t="s">
        <v>6</v>
      </c>
      <c r="C5" s="3" t="s">
        <v>7</v>
      </c>
      <c r="E5" s="941" t="s">
        <v>9</v>
      </c>
      <c r="F5" s="941"/>
      <c r="G5" s="941"/>
      <c r="H5" s="941"/>
      <c r="I5" s="3" t="s">
        <v>173</v>
      </c>
    </row>
    <row r="6" spans="1:26" ht="16" thickBot="1">
      <c r="A6" s="50" t="s">
        <v>61</v>
      </c>
      <c r="B6" s="39"/>
      <c r="C6" s="39"/>
      <c r="D6" s="39"/>
      <c r="E6" s="51"/>
      <c r="F6" s="51"/>
      <c r="G6" s="51"/>
      <c r="H6" s="51"/>
      <c r="I6" s="39"/>
    </row>
    <row r="7" spans="1:26" ht="12.5">
      <c r="A7" s="109" t="s">
        <v>145</v>
      </c>
      <c r="B7" s="9">
        <f>'Design Converter'!E6</f>
        <v>9</v>
      </c>
      <c r="C7" s="31" t="s">
        <v>0</v>
      </c>
      <c r="D7" s="79" t="s">
        <v>146</v>
      </c>
      <c r="E7" s="31"/>
      <c r="F7" s="31"/>
      <c r="G7" s="31"/>
      <c r="H7" s="31"/>
      <c r="I7" s="32">
        <v>1</v>
      </c>
    </row>
    <row r="8" spans="1:26" ht="12.5">
      <c r="A8" s="110" t="s">
        <v>143</v>
      </c>
      <c r="B8" s="10">
        <f>'Design Converter'!E7</f>
        <v>12.5</v>
      </c>
      <c r="C8" s="7" t="s">
        <v>0</v>
      </c>
      <c r="D8" s="7" t="s">
        <v>10</v>
      </c>
      <c r="F8" s="7"/>
      <c r="G8" s="7"/>
      <c r="H8" s="7"/>
      <c r="I8" s="25"/>
    </row>
    <row r="9" spans="1:26" ht="12.5">
      <c r="A9" s="110" t="s">
        <v>144</v>
      </c>
      <c r="B9" s="10">
        <f>'Design Converter'!E8</f>
        <v>16</v>
      </c>
      <c r="C9" s="7" t="s">
        <v>0</v>
      </c>
      <c r="D9" s="77" t="s">
        <v>147</v>
      </c>
      <c r="F9" s="7"/>
      <c r="G9" s="7"/>
      <c r="H9" s="7"/>
      <c r="I9" s="25"/>
    </row>
    <row r="10" spans="1:26" thickBot="1">
      <c r="A10" s="110"/>
      <c r="B10" s="205"/>
      <c r="C10" s="60"/>
      <c r="D10" s="77"/>
      <c r="F10" s="7"/>
      <c r="G10" s="7"/>
      <c r="H10" s="7"/>
      <c r="I10" s="25"/>
    </row>
    <row r="11" spans="1:26">
      <c r="A11" s="24" t="s">
        <v>4</v>
      </c>
      <c r="B11" s="10">
        <f>'Design Converter'!E10</f>
        <v>170</v>
      </c>
      <c r="C11" s="7" t="s">
        <v>0</v>
      </c>
      <c r="D11" s="77" t="s">
        <v>563</v>
      </c>
      <c r="F11" s="7"/>
      <c r="G11" s="7">
        <f>(Vout+Vfwd2)*Nps</f>
        <v>8.5350000000000001</v>
      </c>
      <c r="H11" s="7"/>
      <c r="I11" s="25">
        <v>1</v>
      </c>
      <c r="K11" t="str">
        <f>'Variable Mgmt'!B73&amp;" Output PSR Flyback Converter, "&amp;"VIN = "&amp;Vin&amp;" V, VOUT = "&amp;Vout&amp;" V, IOUT = "&amp;Iout&amp;" A"</f>
        <v>DUAL Output PSR Flyback Converter, VIN = 12.5 V, VOUT = 170 V, IOUT = 0.6 A</v>
      </c>
      <c r="W11" s="751" t="s">
        <v>788</v>
      </c>
      <c r="X11" s="152"/>
      <c r="Y11" s="152"/>
      <c r="Z11" s="738"/>
    </row>
    <row r="12" spans="1:26" ht="12.5">
      <c r="A12" s="24" t="s">
        <v>5</v>
      </c>
      <c r="B12" s="572">
        <f>'Design Converter'!E11</f>
        <v>0.6</v>
      </c>
      <c r="C12" s="77" t="s">
        <v>1</v>
      </c>
      <c r="D12" s="77" t="s">
        <v>648</v>
      </c>
      <c r="F12" s="7"/>
      <c r="G12" s="7"/>
      <c r="H12" s="7"/>
      <c r="I12" s="25">
        <v>1</v>
      </c>
      <c r="K12" t="str">
        <f>'Variable Mgmt'!B73&amp;" Output PSR Flyback Converter, "&amp;"VIN = "&amp;Vin&amp;" V, VOUT1 = "&amp;Vout&amp;" V, IOUT1 = "&amp;Iout&amp;" A"&amp;", VOUT2 = "&amp;Vout2_actual&amp;" V, IOUT2 = "&amp;Iout2_actual&amp;" A"</f>
        <v>DUAL Output PSR Flyback Converter, VIN = 12.5 V, VOUT1 = 170 V, IOUT1 = 0.6 A, VOUT2 = 12 V, IOUT2 = 0.5 A</v>
      </c>
      <c r="L12" s="76"/>
      <c r="W12" s="24"/>
      <c r="X12" s="7" t="s">
        <v>787</v>
      </c>
      <c r="Y12" s="7">
        <f>'Calculations - Single'!AQ105*1000</f>
        <v>216684.62742543031</v>
      </c>
      <c r="Z12" s="25" t="s">
        <v>8</v>
      </c>
    </row>
    <row r="13" spans="1:26" ht="12.5">
      <c r="A13" s="110" t="s">
        <v>168</v>
      </c>
      <c r="B13" s="153">
        <f>Vout/Iout</f>
        <v>283.33333333333337</v>
      </c>
      <c r="C13" s="113" t="s">
        <v>45</v>
      </c>
      <c r="D13" s="111" t="s">
        <v>169</v>
      </c>
      <c r="F13" s="7"/>
      <c r="G13" s="7"/>
      <c r="H13" s="7"/>
      <c r="I13" s="25"/>
      <c r="W13" s="24"/>
      <c r="X13" s="7" t="s">
        <v>789</v>
      </c>
      <c r="Y13" s="7">
        <f>Lmag</f>
        <v>4.9999999999999998E-7</v>
      </c>
      <c r="Z13" s="25" t="s">
        <v>11</v>
      </c>
    </row>
    <row r="14" spans="1:26" ht="12.5">
      <c r="A14" s="110" t="s">
        <v>152</v>
      </c>
      <c r="B14" s="571">
        <f>Vout*Iout</f>
        <v>102</v>
      </c>
      <c r="C14" s="60" t="s">
        <v>45</v>
      </c>
      <c r="D14" s="111" t="s">
        <v>158</v>
      </c>
      <c r="F14" s="7"/>
      <c r="G14" s="7"/>
      <c r="H14" s="7"/>
      <c r="I14" s="25"/>
      <c r="L14" s="76"/>
      <c r="W14" s="24"/>
      <c r="X14" s="7" t="s">
        <v>791</v>
      </c>
      <c r="Y14" s="7">
        <f>G11/(G11+VIN_nom/Npri_sec)</f>
        <v>3.3012938286885722E-2</v>
      </c>
      <c r="Z14" s="25"/>
    </row>
    <row r="15" spans="1:26" ht="12.5">
      <c r="B15" s="372"/>
      <c r="C15" s="60"/>
      <c r="D15" s="111"/>
      <c r="F15" s="7"/>
      <c r="G15" s="7"/>
      <c r="H15" s="7"/>
      <c r="I15" s="25"/>
      <c r="L15" s="76"/>
      <c r="W15" s="24"/>
      <c r="X15" s="7" t="s">
        <v>790</v>
      </c>
      <c r="Y15" s="7">
        <f>VIN_nom/Lmag*Y14/Y12</f>
        <v>3.8088694476315319</v>
      </c>
      <c r="Z15" s="25" t="s">
        <v>1</v>
      </c>
    </row>
    <row r="16" spans="1:26" ht="12.5">
      <c r="A16" s="110" t="s">
        <v>608</v>
      </c>
      <c r="B16" s="573">
        <f>ABS('Design Converter'!E12)</f>
        <v>12</v>
      </c>
      <c r="C16" s="7" t="s">
        <v>0</v>
      </c>
      <c r="D16" s="77" t="s">
        <v>565</v>
      </c>
      <c r="F16" s="7"/>
      <c r="G16" s="7"/>
      <c r="H16" s="7"/>
      <c r="I16" s="25"/>
      <c r="L16" s="76"/>
      <c r="W16" s="24"/>
      <c r="X16" s="7" t="s">
        <v>792</v>
      </c>
      <c r="Y16" s="7">
        <f>0.5*Y15^2*Y13*Y12</f>
        <v>0.7858873251091516</v>
      </c>
      <c r="Z16" s="25"/>
    </row>
    <row r="17" spans="1:26">
      <c r="A17" s="110" t="s">
        <v>609</v>
      </c>
      <c r="B17" s="611">
        <f>'Design Converter'!E12</f>
        <v>12</v>
      </c>
      <c r="C17" s="60" t="s">
        <v>0</v>
      </c>
      <c r="D17" s="77"/>
      <c r="F17" s="7"/>
      <c r="G17" s="7"/>
      <c r="H17" s="7"/>
      <c r="I17" s="25"/>
      <c r="L17" s="76"/>
      <c r="P17" s="3" t="s">
        <v>769</v>
      </c>
      <c r="W17" s="24"/>
      <c r="X17" s="7" t="s">
        <v>769</v>
      </c>
      <c r="Y17" s="39" t="str">
        <f>IF((Y16/(G11*Iout))&lt;1.01, "BCM", "DCM")</f>
        <v>BCM</v>
      </c>
      <c r="Z17" s="25"/>
    </row>
    <row r="18" spans="1:26">
      <c r="A18" s="110" t="s">
        <v>498</v>
      </c>
      <c r="B18" s="573">
        <f>ABS('Design Converter'!E13)</f>
        <v>0.5</v>
      </c>
      <c r="C18" s="77" t="s">
        <v>1</v>
      </c>
      <c r="D18" s="77" t="s">
        <v>564</v>
      </c>
      <c r="F18" s="7"/>
      <c r="G18" s="7"/>
      <c r="H18" s="7"/>
      <c r="I18" s="25"/>
      <c r="L18" s="76"/>
      <c r="P18" s="3" t="s">
        <v>768</v>
      </c>
      <c r="Q18">
        <v>1</v>
      </c>
      <c r="W18" s="24"/>
      <c r="X18" s="7"/>
      <c r="Y18" s="7"/>
      <c r="Z18" s="25"/>
    </row>
    <row r="19" spans="1:26" ht="13.5" thickBot="1">
      <c r="A19" s="111" t="s">
        <v>647</v>
      </c>
      <c r="B19">
        <f>Iout2*SIGN(Vout2_actual)</f>
        <v>0.5</v>
      </c>
      <c r="C19" s="76" t="s">
        <v>1</v>
      </c>
      <c r="F19" s="7"/>
      <c r="G19" s="7"/>
      <c r="H19" s="7"/>
      <c r="I19" s="25"/>
      <c r="L19" s="76"/>
      <c r="P19" s="3" t="s">
        <v>767</v>
      </c>
      <c r="Q19">
        <v>2</v>
      </c>
      <c r="W19" s="748"/>
      <c r="X19" s="180" t="s">
        <v>793</v>
      </c>
      <c r="Y19" s="180">
        <f>Vout*Iout</f>
        <v>102</v>
      </c>
      <c r="Z19" s="750"/>
    </row>
    <row r="20" spans="1:26">
      <c r="A20" s="110" t="s">
        <v>499</v>
      </c>
      <c r="B20" s="571">
        <f>ABS(Vout2/Iout2)</f>
        <v>24</v>
      </c>
      <c r="C20" s="113" t="s">
        <v>45</v>
      </c>
      <c r="D20" s="111" t="s">
        <v>501</v>
      </c>
      <c r="F20" s="7"/>
      <c r="G20" s="7"/>
      <c r="H20" s="7"/>
      <c r="I20" s="25"/>
      <c r="K20" s="76" t="s">
        <v>530</v>
      </c>
      <c r="L20" s="76" t="s">
        <v>531</v>
      </c>
      <c r="Q20" s="3">
        <v>2</v>
      </c>
    </row>
    <row r="21" spans="1:26" ht="12.5">
      <c r="A21" s="110" t="s">
        <v>500</v>
      </c>
      <c r="B21" s="571">
        <f>ABS(Vout2*Iout2)</f>
        <v>6</v>
      </c>
      <c r="C21" s="60" t="s">
        <v>45</v>
      </c>
      <c r="D21" s="111" t="s">
        <v>502</v>
      </c>
      <c r="F21" s="7"/>
      <c r="G21" s="7"/>
      <c r="H21" s="7"/>
      <c r="I21" s="25"/>
      <c r="K21">
        <v>5</v>
      </c>
      <c r="L21" s="76">
        <v>-5</v>
      </c>
    </row>
    <row r="22" spans="1:26" ht="12.5">
      <c r="A22" s="110" t="s">
        <v>503</v>
      </c>
      <c r="B22" s="571">
        <f>CHOOSE(MODE, Pout, Pout + Pout2)</f>
        <v>108</v>
      </c>
      <c r="C22" s="60" t="s">
        <v>45</v>
      </c>
      <c r="D22" s="111" t="s">
        <v>504</v>
      </c>
      <c r="F22" s="7"/>
      <c r="G22" s="7"/>
      <c r="H22" s="7"/>
      <c r="I22" s="25"/>
      <c r="K22">
        <v>0.2</v>
      </c>
      <c r="L22" s="76">
        <v>0.2</v>
      </c>
    </row>
    <row r="23" spans="1:26" ht="12.5">
      <c r="A23" s="110"/>
      <c r="B23" s="372"/>
      <c r="C23" s="60"/>
      <c r="D23" s="111"/>
      <c r="F23" s="7"/>
      <c r="G23" s="7"/>
      <c r="H23" s="7"/>
      <c r="I23" s="25"/>
      <c r="L23" s="76"/>
    </row>
    <row r="24" spans="1:26">
      <c r="A24" s="34" t="str">
        <f>CHOOSE(MODE, "Turns Ratio, PRI : SEC", "Turns Ratio, PRI : SEC1")</f>
        <v>Turns Ratio, PRI : SEC1</v>
      </c>
      <c r="B24" s="556" t="str">
        <f>Nps</f>
        <v>0.05</v>
      </c>
      <c r="C24" s="60"/>
      <c r="D24" s="111" t="str">
        <f>CHOOSE(MODE, "TR primary-secondary (single output) = Np/Ns", "TR primary-secondary1 (dual output) = Np/Nsec1")</f>
        <v>TR primary-secondary1 (dual output) = Np/Nsec1</v>
      </c>
      <c r="F24" s="7"/>
      <c r="G24" s="7"/>
      <c r="H24" s="7"/>
      <c r="I24" s="25"/>
      <c r="L24" s="76"/>
    </row>
    <row r="25" spans="1:26">
      <c r="A25" s="34" t="s">
        <v>576</v>
      </c>
      <c r="B25" s="173">
        <f>Npri_sec2</f>
        <v>0.67204724409448824</v>
      </c>
      <c r="D25" s="111" t="s">
        <v>577</v>
      </c>
      <c r="F25" s="7"/>
      <c r="G25" s="7"/>
      <c r="H25" s="7"/>
      <c r="I25" s="25"/>
      <c r="L25" s="76"/>
    </row>
    <row r="26" spans="1:26" ht="13.5" thickBot="1">
      <c r="A26" s="34" t="s">
        <v>589</v>
      </c>
      <c r="B26" s="610">
        <f>Nsec1sec2</f>
        <v>7.4399531341534861E-2</v>
      </c>
      <c r="D26" s="76" t="s">
        <v>578</v>
      </c>
      <c r="F26" s="7"/>
      <c r="G26" s="7"/>
      <c r="H26" s="7"/>
      <c r="I26" s="25"/>
      <c r="L26" s="76"/>
      <c r="R26" s="157" t="s">
        <v>389</v>
      </c>
      <c r="V26" s="157" t="s">
        <v>389</v>
      </c>
    </row>
    <row r="27" spans="1:26">
      <c r="H27" s="7"/>
      <c r="I27" s="25"/>
      <c r="K27" s="157" t="s">
        <v>529</v>
      </c>
      <c r="P27" s="737"/>
      <c r="Q27" s="152"/>
      <c r="R27" s="155" t="s">
        <v>571</v>
      </c>
      <c r="S27" s="152"/>
      <c r="T27" s="152"/>
      <c r="U27" s="152"/>
      <c r="V27" s="155" t="s">
        <v>572</v>
      </c>
      <c r="W27" s="738"/>
    </row>
    <row r="28" spans="1:26" ht="12.5">
      <c r="A28" s="76" t="s">
        <v>610</v>
      </c>
      <c r="B28" s="5">
        <f>Vout+VIN_max/Nps</f>
        <v>490</v>
      </c>
      <c r="C28" s="76" t="s">
        <v>0</v>
      </c>
      <c r="G28" s="7"/>
      <c r="H28" s="7"/>
      <c r="I28" s="25"/>
      <c r="K28" s="76" t="s">
        <v>526</v>
      </c>
      <c r="L28">
        <v>1</v>
      </c>
      <c r="P28" s="24"/>
      <c r="Q28" s="7"/>
      <c r="R28" s="7" t="str">
        <f>"20 : 1"</f>
        <v>20 : 1</v>
      </c>
      <c r="S28" s="7">
        <v>1</v>
      </c>
      <c r="T28" s="7">
        <v>20</v>
      </c>
      <c r="U28" s="7"/>
      <c r="V28" s="7" t="str">
        <f>"20 : 1"</f>
        <v>20 : 1</v>
      </c>
      <c r="W28" s="7">
        <v>1</v>
      </c>
    </row>
    <row r="29" spans="1:26" ht="12.5">
      <c r="A29" s="76"/>
      <c r="B29" s="5"/>
      <c r="C29" s="76"/>
      <c r="G29" s="7"/>
      <c r="H29" s="7"/>
      <c r="I29" s="848"/>
      <c r="K29" s="76"/>
      <c r="P29" s="24"/>
      <c r="Q29" s="7"/>
      <c r="R29" s="7" t="str">
        <f>"15 : 1"</f>
        <v>15 : 1</v>
      </c>
      <c r="S29" s="7">
        <v>2</v>
      </c>
      <c r="T29" s="7">
        <v>15</v>
      </c>
      <c r="U29" s="7"/>
      <c r="V29" s="7" t="str">
        <f>"15 : 1"</f>
        <v>15 : 1</v>
      </c>
      <c r="W29" s="7">
        <v>2</v>
      </c>
    </row>
    <row r="30" spans="1:26" ht="12.5">
      <c r="A30" s="76"/>
      <c r="B30" s="5"/>
      <c r="C30" s="76"/>
      <c r="G30" s="7"/>
      <c r="H30" s="7"/>
      <c r="I30" s="848"/>
      <c r="K30" s="76"/>
      <c r="P30" s="24"/>
      <c r="Q30" s="7"/>
      <c r="R30" s="7" t="str">
        <f>"10 : 1"</f>
        <v>10 : 1</v>
      </c>
      <c r="S30" s="7">
        <v>3</v>
      </c>
      <c r="T30" s="7">
        <v>10</v>
      </c>
      <c r="U30" s="7"/>
      <c r="V30" s="7" t="str">
        <f>"10 : 1"</f>
        <v>10 : 1</v>
      </c>
      <c r="W30" s="7">
        <v>3</v>
      </c>
    </row>
    <row r="31" spans="1:26" ht="12.5">
      <c r="A31" s="76"/>
      <c r="B31" s="5"/>
      <c r="C31" s="76"/>
      <c r="G31" s="7"/>
      <c r="H31" s="7"/>
      <c r="I31" s="848"/>
      <c r="K31" s="76"/>
      <c r="P31" s="24"/>
      <c r="Q31" s="7"/>
      <c r="R31" s="7" t="str">
        <f>"8 : 1"</f>
        <v>8 : 1</v>
      </c>
      <c r="S31" s="7">
        <v>4</v>
      </c>
      <c r="T31" s="12">
        <v>8</v>
      </c>
      <c r="U31" s="7"/>
      <c r="V31" s="7" t="str">
        <f>"8 : 1"</f>
        <v>8 : 1</v>
      </c>
      <c r="W31" s="7">
        <v>4</v>
      </c>
    </row>
    <row r="32" spans="1:26" ht="12.5">
      <c r="A32" s="76"/>
      <c r="B32" s="5"/>
      <c r="C32" s="76"/>
      <c r="G32" s="7"/>
      <c r="H32" s="7"/>
      <c r="I32" s="848"/>
      <c r="K32" s="76"/>
      <c r="P32" s="24"/>
      <c r="Q32" s="7"/>
      <c r="R32" s="7" t="str">
        <f>"6 : 1"</f>
        <v>6 : 1</v>
      </c>
      <c r="S32" s="7">
        <v>5</v>
      </c>
      <c r="T32" s="12">
        <v>6</v>
      </c>
      <c r="U32" s="7"/>
      <c r="V32" s="7" t="str">
        <f>"6 : 1"</f>
        <v>6 : 1</v>
      </c>
      <c r="W32" s="7">
        <v>5</v>
      </c>
    </row>
    <row r="33" spans="1:23" ht="12.5">
      <c r="A33" s="76"/>
      <c r="B33" s="5"/>
      <c r="C33" s="76"/>
      <c r="G33" s="7"/>
      <c r="H33" s="7"/>
      <c r="I33" s="848"/>
      <c r="K33" s="76"/>
      <c r="P33" s="24"/>
      <c r="Q33" s="7"/>
      <c r="R33" s="7" t="str">
        <f>"5 : 1"</f>
        <v>5 : 1</v>
      </c>
      <c r="S33" s="7">
        <v>6</v>
      </c>
      <c r="T33" s="7">
        <v>5</v>
      </c>
      <c r="U33" s="7"/>
      <c r="V33" s="7" t="str">
        <f>"5 : 1"</f>
        <v>5 : 1</v>
      </c>
      <c r="W33" s="7">
        <v>6</v>
      </c>
    </row>
    <row r="34" spans="1:23">
      <c r="F34" s="7"/>
      <c r="G34" s="7"/>
      <c r="H34" s="7"/>
      <c r="I34" s="25"/>
      <c r="K34" s="76" t="s">
        <v>527</v>
      </c>
      <c r="L34">
        <v>2</v>
      </c>
      <c r="P34" s="24"/>
      <c r="Q34" s="7"/>
      <c r="R34" s="7" t="str">
        <f>"4 : 1"</f>
        <v>4 : 1</v>
      </c>
      <c r="S34" s="7">
        <v>7</v>
      </c>
      <c r="T34" s="7">
        <v>4</v>
      </c>
      <c r="U34" s="7"/>
      <c r="V34" s="7" t="str">
        <f>"4 : 1"</f>
        <v>4 : 1</v>
      </c>
      <c r="W34" s="7">
        <v>7</v>
      </c>
    </row>
    <row r="35" spans="1:23" ht="12.5">
      <c r="A35" s="110" t="s">
        <v>436</v>
      </c>
      <c r="B35" s="371">
        <f>1%*Vout*1000</f>
        <v>1700</v>
      </c>
      <c r="C35" s="60" t="s">
        <v>149</v>
      </c>
      <c r="D35" s="111" t="s">
        <v>454</v>
      </c>
      <c r="F35" s="7"/>
      <c r="G35" s="7"/>
      <c r="H35" s="7"/>
      <c r="I35" s="25"/>
      <c r="K35" s="76" t="s">
        <v>528</v>
      </c>
      <c r="L35">
        <v>3</v>
      </c>
      <c r="P35" s="24"/>
      <c r="Q35" s="7"/>
      <c r="R35" s="7" t="str">
        <f>"3 : 1"</f>
        <v>3 : 1</v>
      </c>
      <c r="S35" s="7">
        <v>8</v>
      </c>
      <c r="T35" s="7">
        <v>3</v>
      </c>
      <c r="U35" s="7"/>
      <c r="V35" s="7" t="str">
        <f>"3 : 1"</f>
        <v>3 : 1</v>
      </c>
      <c r="W35" s="7">
        <v>8</v>
      </c>
    </row>
    <row r="36" spans="1:23" ht="12.5">
      <c r="A36" s="110" t="s">
        <v>547</v>
      </c>
      <c r="B36" s="371">
        <f>1%*Vout2*1000</f>
        <v>120</v>
      </c>
      <c r="C36" s="60" t="s">
        <v>149</v>
      </c>
      <c r="D36" s="111" t="s">
        <v>546</v>
      </c>
      <c r="F36" s="7"/>
      <c r="G36" s="7"/>
      <c r="H36" s="7"/>
      <c r="I36" s="25"/>
      <c r="P36" s="24"/>
      <c r="Q36" s="7"/>
      <c r="R36" s="7" t="str">
        <f>"2.5 : 1"</f>
        <v>2.5 : 1</v>
      </c>
      <c r="S36" s="7">
        <v>9</v>
      </c>
      <c r="T36" s="7">
        <v>2.5</v>
      </c>
      <c r="U36" s="7"/>
      <c r="V36" s="7" t="str">
        <f>"2.5 : 1"</f>
        <v>2.5 : 1</v>
      </c>
      <c r="W36" s="7">
        <v>9</v>
      </c>
    </row>
    <row r="37" spans="1:23">
      <c r="F37" s="7"/>
      <c r="G37" s="7"/>
      <c r="H37" s="7"/>
      <c r="I37" s="25"/>
      <c r="P37" s="24"/>
      <c r="Q37" s="739"/>
      <c r="R37" s="7" t="str">
        <f>"2 : 1"</f>
        <v>2 : 1</v>
      </c>
      <c r="S37" s="7">
        <v>10</v>
      </c>
      <c r="T37" s="12">
        <v>2</v>
      </c>
      <c r="U37" s="7"/>
      <c r="V37" s="7" t="str">
        <f>"2 : 1"</f>
        <v>2 : 1</v>
      </c>
      <c r="W37" s="7">
        <v>10</v>
      </c>
    </row>
    <row r="38" spans="1:23">
      <c r="F38" s="7"/>
      <c r="G38" s="7"/>
      <c r="H38" s="7"/>
      <c r="I38" s="25"/>
      <c r="P38" s="24"/>
      <c r="Q38" s="739"/>
      <c r="R38" s="7" t="str">
        <f>"1.8 :1"</f>
        <v>1.8 :1</v>
      </c>
      <c r="S38" s="7">
        <v>11</v>
      </c>
      <c r="T38" s="12">
        <v>1.8</v>
      </c>
      <c r="U38" s="7"/>
      <c r="V38" s="7" t="str">
        <f>"1.8 : 1"</f>
        <v>1.8 : 1</v>
      </c>
      <c r="W38" s="7">
        <v>11</v>
      </c>
    </row>
    <row r="39" spans="1:23" ht="12.5">
      <c r="A39" s="110" t="s">
        <v>47</v>
      </c>
      <c r="B39" s="612">
        <v>1</v>
      </c>
      <c r="C39" s="60"/>
      <c r="D39" s="77" t="s">
        <v>175</v>
      </c>
      <c r="F39" s="7"/>
      <c r="G39" s="7"/>
      <c r="H39" s="7"/>
      <c r="I39" s="25"/>
      <c r="P39" s="24"/>
      <c r="Q39" s="7"/>
      <c r="R39" s="7" t="str">
        <f>"1.5 : 1"</f>
        <v>1.5 : 1</v>
      </c>
      <c r="S39" s="7">
        <v>12</v>
      </c>
      <c r="T39" s="12">
        <v>1.5</v>
      </c>
      <c r="U39" s="7"/>
      <c r="V39" s="7" t="str">
        <f>"1.5 : 1"</f>
        <v>1.5 : 1</v>
      </c>
      <c r="W39" s="7">
        <v>12</v>
      </c>
    </row>
    <row r="40" spans="1:23" ht="12.5">
      <c r="A40" s="110"/>
      <c r="B40" s="612"/>
      <c r="C40" s="60"/>
      <c r="D40" s="77"/>
      <c r="F40" s="7"/>
      <c r="G40" s="7"/>
      <c r="H40" s="7"/>
      <c r="I40" s="25"/>
      <c r="P40" s="24"/>
      <c r="Q40" s="7"/>
      <c r="R40" s="7" t="str">
        <f>"1.2 : 1"</f>
        <v>1.2 : 1</v>
      </c>
      <c r="S40" s="7">
        <v>13</v>
      </c>
      <c r="T40" s="12">
        <v>1.2</v>
      </c>
      <c r="U40" s="7"/>
      <c r="V40" s="740" t="s">
        <v>785</v>
      </c>
      <c r="W40" s="7">
        <v>13</v>
      </c>
    </row>
    <row r="41" spans="1:23" ht="12.5">
      <c r="A41" s="110" t="s">
        <v>156</v>
      </c>
      <c r="B41" s="420">
        <f>Pout_total/Efficiency</f>
        <v>108</v>
      </c>
      <c r="C41" s="60" t="s">
        <v>45</v>
      </c>
      <c r="D41" s="111" t="s">
        <v>455</v>
      </c>
      <c r="F41" s="7"/>
      <c r="G41" s="7"/>
      <c r="H41" s="7"/>
      <c r="I41" s="25"/>
      <c r="P41" s="24"/>
      <c r="Q41" s="7"/>
      <c r="R41" s="7" t="str">
        <f>"1 : 1"</f>
        <v>1 : 1</v>
      </c>
      <c r="S41" s="7">
        <v>14</v>
      </c>
      <c r="T41" s="12">
        <v>1</v>
      </c>
      <c r="U41" s="7"/>
      <c r="V41" s="7" t="str">
        <f>"1 : 1"</f>
        <v>1 : 1</v>
      </c>
      <c r="W41" s="7">
        <v>14</v>
      </c>
    </row>
    <row r="42" spans="1:23" ht="12.5">
      <c r="A42" s="110"/>
      <c r="B42" s="420"/>
      <c r="C42" s="60"/>
      <c r="D42" s="111"/>
      <c r="F42" s="7"/>
      <c r="G42" s="7"/>
      <c r="H42" s="7"/>
      <c r="I42" s="25"/>
      <c r="P42" s="24"/>
      <c r="Q42" s="7"/>
      <c r="R42" s="7" t="str">
        <f>"1 : 1.2"</f>
        <v>1 : 1.2</v>
      </c>
      <c r="S42" s="7">
        <v>15</v>
      </c>
      <c r="T42" s="7">
        <f>0.833</f>
        <v>0.83299999999999996</v>
      </c>
      <c r="U42" s="7"/>
      <c r="V42" s="740" t="s">
        <v>786</v>
      </c>
      <c r="W42" s="7">
        <v>15</v>
      </c>
    </row>
    <row r="43" spans="1:23" ht="12.5">
      <c r="A43" s="110" t="s">
        <v>153</v>
      </c>
      <c r="B43" s="162">
        <f>Pin/VIN_min</f>
        <v>12</v>
      </c>
      <c r="C43" s="60" t="s">
        <v>1</v>
      </c>
      <c r="D43" s="77"/>
      <c r="F43" s="7"/>
      <c r="G43" s="7"/>
      <c r="H43" s="7"/>
      <c r="I43" s="25"/>
      <c r="P43" s="24"/>
      <c r="Q43" s="7"/>
      <c r="R43" s="7" t="str">
        <f>"1 : 1.5"</f>
        <v>1 : 1.5</v>
      </c>
      <c r="S43" s="7">
        <v>16</v>
      </c>
      <c r="T43" s="7">
        <f>0.667</f>
        <v>0.66700000000000004</v>
      </c>
      <c r="U43" s="7"/>
      <c r="V43" s="7" t="str">
        <f>"1 : 1.5"</f>
        <v>1 : 1.5</v>
      </c>
      <c r="W43" s="7">
        <v>16</v>
      </c>
    </row>
    <row r="44" spans="1:23" ht="12.5">
      <c r="A44" s="110"/>
      <c r="B44" s="162"/>
      <c r="C44" s="60"/>
      <c r="D44" s="77"/>
      <c r="F44" s="7"/>
      <c r="G44" s="7"/>
      <c r="H44" s="7"/>
      <c r="I44" s="25"/>
      <c r="P44" s="24"/>
      <c r="Q44" s="7"/>
      <c r="R44" s="7" t="str">
        <f>"1 : 1.8"</f>
        <v>1 : 1.8</v>
      </c>
      <c r="S44" s="7">
        <v>17</v>
      </c>
      <c r="T44" s="7">
        <f>0.556</f>
        <v>0.55600000000000005</v>
      </c>
      <c r="U44" s="7"/>
      <c r="V44" s="7" t="str">
        <f>"1 : 1.8"</f>
        <v>1 : 1.8</v>
      </c>
      <c r="W44" s="7">
        <v>17</v>
      </c>
    </row>
    <row r="45" spans="1:23" ht="12.5">
      <c r="A45" s="110" t="s">
        <v>154</v>
      </c>
      <c r="B45" s="162">
        <f>Pin/VIN_nom</f>
        <v>8.64</v>
      </c>
      <c r="C45" s="60" t="s">
        <v>1</v>
      </c>
      <c r="D45" s="111" t="s">
        <v>159</v>
      </c>
      <c r="F45" s="7"/>
      <c r="G45" s="7"/>
      <c r="H45" s="7"/>
      <c r="I45" s="25">
        <v>1</v>
      </c>
      <c r="K45" s="76"/>
      <c r="P45" s="24"/>
      <c r="Q45" s="7"/>
      <c r="R45" s="7" t="str">
        <f>"1 : 2"</f>
        <v>1 : 2</v>
      </c>
      <c r="S45" s="12">
        <v>18</v>
      </c>
      <c r="T45" s="7">
        <f>1/2</f>
        <v>0.5</v>
      </c>
      <c r="U45" s="7"/>
      <c r="V45" s="7" t="str">
        <f>"1 : 2"</f>
        <v>1 : 2</v>
      </c>
      <c r="W45" s="12">
        <v>18</v>
      </c>
    </row>
    <row r="46" spans="1:23" ht="12.5">
      <c r="A46" s="110"/>
      <c r="B46" s="162"/>
      <c r="C46" s="60"/>
      <c r="D46" s="111"/>
      <c r="F46" s="7"/>
      <c r="G46" s="7"/>
      <c r="H46" s="7"/>
      <c r="I46" s="25"/>
      <c r="K46" s="76"/>
      <c r="P46" s="24"/>
      <c r="Q46" s="7"/>
      <c r="R46" s="7" t="str">
        <f>"1 : 2.5"</f>
        <v>1 : 2.5</v>
      </c>
      <c r="S46" s="12">
        <v>19</v>
      </c>
      <c r="T46" s="7">
        <f>1/2.5</f>
        <v>0.4</v>
      </c>
      <c r="U46" s="7"/>
      <c r="V46" s="7" t="str">
        <f>"1 : 2.5"</f>
        <v>1 : 2.5</v>
      </c>
      <c r="W46" s="12">
        <v>19</v>
      </c>
    </row>
    <row r="47" spans="1:23" ht="12.5">
      <c r="A47" s="110" t="s">
        <v>155</v>
      </c>
      <c r="B47" s="162">
        <f>Pin/VIN_max</f>
        <v>6.75</v>
      </c>
      <c r="C47" s="60" t="s">
        <v>1</v>
      </c>
      <c r="D47" s="77"/>
      <c r="F47" s="7"/>
      <c r="G47" s="7"/>
      <c r="H47" s="7"/>
      <c r="I47" s="25"/>
      <c r="P47" s="24"/>
      <c r="Q47" s="7"/>
      <c r="R47" s="7" t="str">
        <f>"1 : 3"</f>
        <v>1 : 3</v>
      </c>
      <c r="S47" s="12">
        <v>20</v>
      </c>
      <c r="T47" s="7">
        <f>0.333</f>
        <v>0.33300000000000002</v>
      </c>
      <c r="U47" s="7"/>
      <c r="V47" s="7" t="str">
        <f>"1 : 3"</f>
        <v>1 : 3</v>
      </c>
      <c r="W47" s="12">
        <v>20</v>
      </c>
    </row>
    <row r="48" spans="1:23" ht="12.5">
      <c r="A48" s="110" t="s">
        <v>607</v>
      </c>
      <c r="B48" s="162">
        <f>CHOOSE(MODE,'Calculations - Single'!H212,'Calculations - Dual'!H212+'Calculations - Dual'!I212)*0+CHOOSE(MODE,'Calculations - Single'!H212,'Calculations - Dual'!O212+'Calculations - Dual'!P212)</f>
        <v>120.13317159060782</v>
      </c>
      <c r="C48" s="60" t="s">
        <v>45</v>
      </c>
      <c r="D48" s="77" t="b">
        <f>B48&lt;Pout_total</f>
        <v>0</v>
      </c>
      <c r="F48" s="7"/>
      <c r="G48" s="7"/>
      <c r="H48" s="7"/>
      <c r="I48" s="25"/>
      <c r="P48" s="24"/>
      <c r="Q48" s="7"/>
      <c r="R48" s="7" t="str">
        <f>"1 : 4"</f>
        <v>1 : 4</v>
      </c>
      <c r="S48" s="12">
        <v>21</v>
      </c>
      <c r="T48" s="7">
        <f>1/4</f>
        <v>0.25</v>
      </c>
      <c r="U48" s="7"/>
      <c r="V48" s="7" t="str">
        <f>R48</f>
        <v>1 : 4</v>
      </c>
      <c r="W48" s="12">
        <v>21</v>
      </c>
    </row>
    <row r="49" spans="1:23" ht="12.5">
      <c r="A49" s="110"/>
      <c r="B49" s="162"/>
      <c r="C49" s="60"/>
      <c r="D49" s="77"/>
      <c r="F49" s="7"/>
      <c r="G49" s="7"/>
      <c r="H49" s="7"/>
      <c r="I49" s="848"/>
      <c r="P49" s="24"/>
      <c r="Q49" s="7"/>
      <c r="R49" s="7" t="str">
        <f>"1 : 5"</f>
        <v>1 : 5</v>
      </c>
      <c r="S49" s="12">
        <v>22</v>
      </c>
      <c r="T49" s="7">
        <v>0.2</v>
      </c>
      <c r="U49" s="7"/>
      <c r="V49" s="7" t="str">
        <f>"1 : 5"</f>
        <v>1 : 5</v>
      </c>
      <c r="W49" s="12">
        <v>22</v>
      </c>
    </row>
    <row r="50" spans="1:23" ht="12.5">
      <c r="A50" s="110"/>
      <c r="B50" s="162"/>
      <c r="C50" s="60"/>
      <c r="D50" s="77"/>
      <c r="F50" s="7"/>
      <c r="G50" s="7"/>
      <c r="H50" s="7"/>
      <c r="I50" s="848"/>
      <c r="P50" s="24"/>
      <c r="Q50" s="7"/>
      <c r="R50" s="7" t="str">
        <f>"1 : 6"</f>
        <v>1 : 6</v>
      </c>
      <c r="S50" s="12">
        <v>23</v>
      </c>
      <c r="T50" s="7">
        <f>0.167</f>
        <v>0.16700000000000001</v>
      </c>
      <c r="U50" s="7"/>
      <c r="V50" s="7" t="str">
        <f>"1 : 6"</f>
        <v>1 : 6</v>
      </c>
      <c r="W50" s="12">
        <v>23</v>
      </c>
    </row>
    <row r="51" spans="1:23" ht="12.5">
      <c r="A51" s="110"/>
      <c r="B51" s="162"/>
      <c r="C51" s="60"/>
      <c r="D51" s="77"/>
      <c r="F51" s="7"/>
      <c r="G51" s="7"/>
      <c r="H51" s="7"/>
      <c r="I51" s="848"/>
      <c r="P51" s="24"/>
      <c r="Q51" s="7"/>
      <c r="R51" s="7" t="str">
        <f>"1 : 8"</f>
        <v>1 : 8</v>
      </c>
      <c r="S51" s="12">
        <v>24</v>
      </c>
      <c r="T51" s="7">
        <f>1/8</f>
        <v>0.125</v>
      </c>
      <c r="U51" s="7"/>
      <c r="V51" s="7" t="str">
        <f>"1 : 8"</f>
        <v>1 : 8</v>
      </c>
      <c r="W51" s="12">
        <v>24</v>
      </c>
    </row>
    <row r="52" spans="1:23" ht="12.5">
      <c r="A52" s="110"/>
      <c r="B52" s="162"/>
      <c r="C52" s="60"/>
      <c r="D52" s="77"/>
      <c r="F52" s="7"/>
      <c r="G52" s="7"/>
      <c r="H52" s="7"/>
      <c r="I52" s="848"/>
      <c r="P52" s="24"/>
      <c r="Q52" s="7"/>
      <c r="R52" s="7" t="str">
        <f>"1 : 10"</f>
        <v>1 : 10</v>
      </c>
      <c r="S52" s="12">
        <v>25</v>
      </c>
      <c r="T52" s="7">
        <f>1/10</f>
        <v>0.1</v>
      </c>
      <c r="U52" s="7"/>
      <c r="V52" s="7" t="str">
        <f>"1 : 10"</f>
        <v>1 : 10</v>
      </c>
      <c r="W52" s="12">
        <v>25</v>
      </c>
    </row>
    <row r="53" spans="1:23" ht="12.5">
      <c r="A53" s="110"/>
      <c r="B53" s="162"/>
      <c r="C53" s="60"/>
      <c r="D53" s="77"/>
      <c r="F53" s="7"/>
      <c r="G53" s="7"/>
      <c r="H53" s="7"/>
      <c r="I53" s="848"/>
      <c r="P53" s="24"/>
      <c r="Q53" s="7"/>
      <c r="R53" s="7" t="str">
        <f>"1 : 15"</f>
        <v>1 : 15</v>
      </c>
      <c r="S53" s="12">
        <v>26</v>
      </c>
      <c r="T53" s="7">
        <f>0.0667</f>
        <v>6.6699999999999995E-2</v>
      </c>
      <c r="U53" s="7"/>
      <c r="V53" s="7" t="str">
        <f>"1 : 15"</f>
        <v>1 : 15</v>
      </c>
      <c r="W53" s="12">
        <v>26</v>
      </c>
    </row>
    <row r="54" spans="1:23" ht="12.5">
      <c r="A54" s="110"/>
      <c r="B54" s="162"/>
      <c r="C54" s="60"/>
      <c r="D54" s="77"/>
      <c r="F54" s="7"/>
      <c r="G54" s="7"/>
      <c r="H54" s="7"/>
      <c r="I54" s="848"/>
      <c r="P54" s="24"/>
      <c r="Q54" s="7"/>
      <c r="R54" s="7" t="str">
        <f>"1 : 20"</f>
        <v>1 : 20</v>
      </c>
      <c r="S54" s="12">
        <v>27</v>
      </c>
      <c r="T54" s="7">
        <f>1/20</f>
        <v>0.05</v>
      </c>
      <c r="U54" s="7"/>
      <c r="V54" s="7" t="str">
        <f>"1 : 20"</f>
        <v>1 : 20</v>
      </c>
      <c r="W54" s="12">
        <v>27</v>
      </c>
    </row>
    <row r="55" spans="1:23" ht="12.5">
      <c r="A55" s="110"/>
      <c r="B55" s="162"/>
      <c r="C55" s="60"/>
      <c r="D55" s="77"/>
      <c r="F55" s="7"/>
      <c r="G55" s="7"/>
      <c r="H55" s="7"/>
      <c r="I55" s="848"/>
      <c r="P55" s="24"/>
      <c r="Q55" s="7"/>
      <c r="R55" s="7" t="str">
        <f>"1 : 30"</f>
        <v>1 : 30</v>
      </c>
      <c r="S55" s="12">
        <v>28</v>
      </c>
      <c r="T55" s="7">
        <f>0.0333</f>
        <v>3.3300000000000003E-2</v>
      </c>
      <c r="U55" s="7"/>
      <c r="V55" s="7" t="str">
        <f>"1 : 30"</f>
        <v>1 : 30</v>
      </c>
      <c r="W55" s="12">
        <v>28</v>
      </c>
    </row>
    <row r="56" spans="1:23" ht="12.5">
      <c r="A56" s="110"/>
      <c r="B56" s="162"/>
      <c r="C56" s="60"/>
      <c r="D56" s="77"/>
      <c r="F56" s="7"/>
      <c r="G56" s="7"/>
      <c r="H56" s="7"/>
      <c r="I56" s="848"/>
      <c r="P56" s="24"/>
      <c r="Q56" s="7"/>
      <c r="R56" s="7" t="str">
        <f>"1 : 40"</f>
        <v>1 : 40</v>
      </c>
      <c r="S56" s="7">
        <v>29</v>
      </c>
      <c r="T56" s="7">
        <f>1/40</f>
        <v>2.5000000000000001E-2</v>
      </c>
      <c r="U56" s="7"/>
      <c r="V56" s="7" t="str">
        <f>"1 : 40"</f>
        <v>1 : 40</v>
      </c>
      <c r="W56" s="7">
        <v>29</v>
      </c>
    </row>
    <row r="57" spans="1:23" ht="12.5">
      <c r="A57" s="110"/>
      <c r="B57" s="162"/>
      <c r="C57" s="60"/>
      <c r="D57" s="77"/>
      <c r="F57" s="7"/>
      <c r="G57" s="7"/>
      <c r="H57" s="7"/>
      <c r="I57" s="848"/>
      <c r="P57" s="24"/>
      <c r="Q57" s="7"/>
      <c r="R57" s="7" t="str">
        <f>"1 : 50"</f>
        <v>1 : 50</v>
      </c>
      <c r="S57" s="12">
        <v>30</v>
      </c>
      <c r="T57" s="7">
        <f>1/50</f>
        <v>0.02</v>
      </c>
      <c r="U57" s="7"/>
      <c r="V57" s="7" t="str">
        <f>"1 : 50"</f>
        <v>1 : 50</v>
      </c>
      <c r="W57" s="12">
        <v>30</v>
      </c>
    </row>
    <row r="58" spans="1:23" ht="12.5">
      <c r="A58" s="110"/>
      <c r="B58" s="162"/>
      <c r="C58" s="60"/>
      <c r="D58" s="77"/>
      <c r="F58" s="7"/>
      <c r="G58" s="7"/>
      <c r="H58" s="7"/>
      <c r="I58" s="848"/>
      <c r="P58" s="24"/>
      <c r="Q58" s="7"/>
      <c r="R58" s="7" t="str">
        <f>"1 : 60"</f>
        <v>1 : 60</v>
      </c>
      <c r="S58" s="12">
        <v>31</v>
      </c>
      <c r="T58" s="7">
        <f>0.0167</f>
        <v>1.67E-2</v>
      </c>
      <c r="U58" s="7"/>
      <c r="V58" s="7" t="str">
        <f>"1 : 60"</f>
        <v>1 : 60</v>
      </c>
      <c r="W58" s="12">
        <v>31</v>
      </c>
    </row>
    <row r="59" spans="1:23" ht="12.5">
      <c r="A59" s="110"/>
      <c r="B59" s="162"/>
      <c r="C59" s="60"/>
      <c r="D59" s="77"/>
      <c r="F59" s="7"/>
      <c r="G59" s="7"/>
      <c r="H59" s="7"/>
      <c r="I59" s="848"/>
      <c r="P59" s="24"/>
      <c r="Q59" s="7"/>
      <c r="R59" s="7" t="str">
        <f>"1 : 80"</f>
        <v>1 : 80</v>
      </c>
      <c r="S59" s="12">
        <v>32</v>
      </c>
      <c r="T59" s="7">
        <f>1/80</f>
        <v>1.2500000000000001E-2</v>
      </c>
      <c r="U59" s="7"/>
      <c r="V59" s="7" t="str">
        <f>"1 : 80"</f>
        <v>1 : 80</v>
      </c>
      <c r="W59" s="12">
        <v>32</v>
      </c>
    </row>
    <row r="60" spans="1:23">
      <c r="A60" s="110"/>
      <c r="B60" s="518"/>
      <c r="C60" s="111"/>
      <c r="D60" s="77"/>
      <c r="F60" s="7"/>
      <c r="G60" s="7"/>
      <c r="H60" s="7"/>
      <c r="I60" s="25"/>
      <c r="P60" s="24"/>
      <c r="Q60" s="7"/>
      <c r="R60" s="7" t="str">
        <f>"1 : 100"</f>
        <v>1 : 100</v>
      </c>
      <c r="S60" s="7">
        <v>33</v>
      </c>
      <c r="T60" s="7">
        <f>1/100</f>
        <v>0.01</v>
      </c>
      <c r="U60" s="741"/>
      <c r="V60" s="7" t="str">
        <f>"1 : 100"</f>
        <v>1 : 100</v>
      </c>
      <c r="W60" s="7">
        <v>33</v>
      </c>
    </row>
    <row r="61" spans="1:23">
      <c r="A61" s="110" t="s">
        <v>428</v>
      </c>
      <c r="B61" s="132">
        <v>350000</v>
      </c>
      <c r="C61" s="111" t="s">
        <v>8</v>
      </c>
      <c r="D61" s="77" t="s">
        <v>566</v>
      </c>
      <c r="F61" s="7"/>
      <c r="G61" s="7"/>
      <c r="H61" s="7"/>
      <c r="I61" s="25"/>
      <c r="P61" s="24"/>
      <c r="Q61" s="741" t="s">
        <v>388</v>
      </c>
      <c r="R61" s="374" t="str">
        <f>CHOOSE(Turns_Ratio,"20 : 1", "15 : 1", "10 : 1", "8 : 1", "6 : 1",  "5 : 1", "4 : 1", "3 : 1", "2.5 : 1", "2 : 1", "1.8 : 1", "1.5 : 1", "1.2 : 1", "1 : 1", "1 : 1.2", "1 : 1.5", "1 : 1.8", "1 : 2",  "1 : 2.5","1 : 3", "1 : 4", "1 : 5", "1 : 6", "1 : 8", "1 : 10", "1 : 15", "1 : 20", "1 : 30", "1 : 40", "1 : 50", "1 : 60", "1 : 80", "1 : 100")</f>
        <v>1 : 20</v>
      </c>
      <c r="S61" s="39">
        <v>27</v>
      </c>
      <c r="T61" s="7"/>
      <c r="U61" s="741" t="s">
        <v>570</v>
      </c>
      <c r="V61" s="596" t="str">
        <f>CHOOSE(Turns_Ratio2, "20 : 1", "15 : 1", "10 : 1", "8 : 1", "6 : 1",  "5 : 1", "4 : 1", "3 : 1", "2.5 : 1", "2 : 1", "1.8 : 1", "1.5 : 1", "1.2 : 1", "1 : 1", "1 : 1.2", "1 : 1.5", "1 : 1.8", "1 : 2",  "1 : 2.5","1 : 3", "1 : 4", "1 : 5", "1 : 6", "1 : 8", "1 : 10", "1 : 15", "1 : 20", "1 : 30", "1 : 40", "1 : 50", "1 : 60", "1 : 80", "1 : 100")</f>
        <v>2.5 : 1</v>
      </c>
      <c r="W61" s="25">
        <v>9</v>
      </c>
    </row>
    <row r="62" spans="1:23">
      <c r="A62" s="26" t="s">
        <v>18</v>
      </c>
      <c r="B62" s="731">
        <v>1</v>
      </c>
      <c r="C62" s="7" t="s">
        <v>0</v>
      </c>
      <c r="D62" s="732" t="s">
        <v>782</v>
      </c>
      <c r="F62" s="7"/>
      <c r="G62" s="7"/>
      <c r="H62" s="7"/>
      <c r="I62" s="25"/>
      <c r="P62" s="24"/>
      <c r="Q62" s="7"/>
      <c r="R62" s="7"/>
      <c r="S62" s="7"/>
      <c r="T62" s="7"/>
      <c r="U62" s="7"/>
      <c r="V62" s="7"/>
      <c r="W62" s="25"/>
    </row>
    <row r="63" spans="1:23">
      <c r="A63" s="110" t="s">
        <v>386</v>
      </c>
      <c r="B63" s="163">
        <f>'Design Converter'!E40*1000</f>
        <v>85300</v>
      </c>
      <c r="C63" s="113" t="s">
        <v>45</v>
      </c>
      <c r="D63" s="111" t="s">
        <v>567</v>
      </c>
      <c r="F63" s="7"/>
      <c r="G63" s="7"/>
      <c r="H63" s="7"/>
      <c r="I63" s="25"/>
      <c r="P63" s="24"/>
      <c r="Q63" s="77" t="s">
        <v>447</v>
      </c>
      <c r="R63" s="374" t="str">
        <f>CHOOSE(Turns_Ratio,"20", "15", "10", "8", "6", "5", "4 ", "3", "2.5", "2", "1.8", "1.5", "1.2", "1", "0.833",  "0.667", "0.556", "0.5", "0.4", "0.33", "0.25", "0.2", "0.167", "0.125", "0.1", "0.0667", "0.05", "0.0333", "0.025", "0.02", "0.0167", "0.0125", "0.01")</f>
        <v>0.05</v>
      </c>
      <c r="S63" s="7"/>
      <c r="T63" s="7"/>
      <c r="U63" s="7"/>
      <c r="V63" s="77" t="s">
        <v>574</v>
      </c>
      <c r="W63" s="742" t="str">
        <f>CHOOSE(Turns_Ratio,"1", "1", "1", "1", "1", "1", "1", "1", "1", "1", "1", "1", "1", "1", "1.2", "1.5", "1.8",  "2", "2.5", "3", "4", "5", "6", "8", "10", "15", "20", "30", "40", "50", "60", "80", "100")</f>
        <v>20</v>
      </c>
    </row>
    <row r="64" spans="1:23">
      <c r="A64" s="110"/>
      <c r="B64" s="371"/>
      <c r="C64" s="113"/>
      <c r="D64" s="60"/>
      <c r="F64" s="7"/>
      <c r="G64" s="7"/>
      <c r="H64" s="7"/>
      <c r="I64" s="25"/>
      <c r="K64" s="76" t="s">
        <v>390</v>
      </c>
      <c r="P64" s="24"/>
      <c r="Q64" s="77" t="s">
        <v>494</v>
      </c>
      <c r="R64" s="374" t="str">
        <f>CHOOSE(Turns_Ratio, "20", "15", "10", "8", "6", "5", "4 ", "3", "2.5", "2", "1.8", "1.5", "1.2", "1", "0.833",  "0.667", "0.556", "0.5", "0.4", "0.33", "0.25", "0.2", "0.167", "0.125", "0.1", "0.0667", "0.05", "0.0333", "0.025", "0.02", "0.0167", "0.0125", "0.01")</f>
        <v>0.05</v>
      </c>
      <c r="S64" s="7"/>
      <c r="T64" s="7"/>
      <c r="U64" s="7"/>
      <c r="V64" s="77" t="s">
        <v>573</v>
      </c>
      <c r="W64" s="743">
        <f>Nsec1sec2</f>
        <v>7.4399531341534861E-2</v>
      </c>
    </row>
    <row r="65" spans="1:23" ht="15.5">
      <c r="A65" s="110" t="s">
        <v>387</v>
      </c>
      <c r="B65" s="518">
        <v>0.1</v>
      </c>
      <c r="C65" s="77" t="s">
        <v>45</v>
      </c>
      <c r="D65" s="111" t="s">
        <v>568</v>
      </c>
      <c r="F65" s="596" t="s">
        <v>569</v>
      </c>
      <c r="G65" s="7"/>
      <c r="H65" s="7"/>
      <c r="I65" s="25"/>
      <c r="P65" s="24"/>
      <c r="Q65" s="77" t="s">
        <v>573</v>
      </c>
      <c r="R65" s="744">
        <f>ABS((Vout2+Vfwd22)/(Vout+Vfwd2))</f>
        <v>7.4399531341534861E-2</v>
      </c>
      <c r="S65" s="7"/>
      <c r="T65" s="7"/>
      <c r="U65" s="7"/>
      <c r="V65" s="39"/>
      <c r="W65" s="745">
        <f>W63*W64</f>
        <v>1.4879906268306973</v>
      </c>
    </row>
    <row r="66" spans="1:23" ht="13.5" thickBot="1">
      <c r="A66" s="28"/>
      <c r="B66" s="29"/>
      <c r="C66" s="80"/>
      <c r="D66" s="29"/>
      <c r="E66" s="29"/>
      <c r="F66" s="29"/>
      <c r="G66" s="29"/>
      <c r="H66" s="29"/>
      <c r="I66" s="30"/>
      <c r="K66" s="441" t="str">
        <f>"SCH_"&amp;B73&amp;"_"&amp;F78&amp;"_"&amp;I78&amp;"_"&amp;F72</f>
        <v>SCH_DUAL_UVLOadj_SSadj_TCyes</v>
      </c>
      <c r="P66" s="24"/>
      <c r="Q66" s="386" t="s">
        <v>495</v>
      </c>
      <c r="R66" s="746">
        <f>Nps/Nsec1sec2</f>
        <v>0.67204724409448824</v>
      </c>
      <c r="S66" s="7"/>
      <c r="T66" s="7"/>
      <c r="U66" s="7"/>
      <c r="V66" s="377" t="s">
        <v>575</v>
      </c>
      <c r="W66" s="747" t="str">
        <f>CHOOSE(MODE, R61, R61&amp;" : "&amp;ROUND(W65,2))</f>
        <v>1 : 20 : 1.49</v>
      </c>
    </row>
    <row r="67" spans="1:23" ht="13.5" thickBot="1">
      <c r="A67" s="7"/>
      <c r="B67" s="7"/>
      <c r="C67" s="39"/>
      <c r="D67" s="7"/>
      <c r="E67" s="7"/>
      <c r="F67" s="7"/>
      <c r="G67" s="7"/>
      <c r="H67" s="7"/>
      <c r="I67" s="7"/>
      <c r="P67" s="748"/>
      <c r="Q67" s="180"/>
      <c r="R67" s="749">
        <f>ROUND(Nsec1sec2,1)</f>
        <v>0.1</v>
      </c>
      <c r="S67" s="180"/>
      <c r="T67" s="180"/>
      <c r="U67" s="180"/>
      <c r="V67" s="180"/>
      <c r="W67" s="750"/>
    </row>
    <row r="68" spans="1:23" ht="16" thickBot="1">
      <c r="A68" s="50" t="s">
        <v>557</v>
      </c>
      <c r="B68" s="7"/>
      <c r="C68" s="39"/>
      <c r="D68" s="7"/>
      <c r="E68" s="7"/>
      <c r="F68" s="7"/>
      <c r="G68" s="7"/>
      <c r="H68" s="7"/>
      <c r="I68" s="7"/>
    </row>
    <row r="69" spans="1:23" ht="15.5">
      <c r="A69" s="380"/>
      <c r="B69" s="381"/>
      <c r="C69" s="382"/>
      <c r="D69" s="381"/>
      <c r="E69" s="381"/>
      <c r="F69" s="381"/>
      <c r="G69" s="381"/>
      <c r="H69" s="381"/>
      <c r="I69" s="433"/>
      <c r="J69" s="433"/>
      <c r="K69" s="433"/>
      <c r="L69" s="433"/>
      <c r="M69" s="433"/>
      <c r="N69" s="433"/>
      <c r="O69" s="24"/>
    </row>
    <row r="70" spans="1:23">
      <c r="A70" s="377" t="s">
        <v>361</v>
      </c>
      <c r="B70" s="77" t="s">
        <v>362</v>
      </c>
      <c r="C70" s="434">
        <v>1</v>
      </c>
      <c r="D70" s="7"/>
      <c r="E70" s="377" t="s">
        <v>375</v>
      </c>
      <c r="F70" s="77" t="s">
        <v>364</v>
      </c>
      <c r="G70" s="160" t="b">
        <v>1</v>
      </c>
      <c r="I70" s="154" t="s">
        <v>300</v>
      </c>
      <c r="J70" s="160">
        <v>1</v>
      </c>
      <c r="K70" t="str">
        <f>B73&amp;", "&amp;F72&amp;", "&amp;I72&amp;", "&amp;F78&amp;", "&amp;I78</f>
        <v>DUAL, TCyes, IlimRes, UVLOadj, SSadj</v>
      </c>
      <c r="O70" s="24"/>
    </row>
    <row r="71" spans="1:23">
      <c r="A71" s="376"/>
      <c r="B71" s="77" t="s">
        <v>363</v>
      </c>
      <c r="C71" s="434">
        <v>2</v>
      </c>
      <c r="D71" s="7"/>
      <c r="E71" s="37"/>
      <c r="F71" s="77" t="s">
        <v>365</v>
      </c>
      <c r="G71" s="160" t="b">
        <v>0</v>
      </c>
      <c r="I71" s="154" t="s">
        <v>301</v>
      </c>
      <c r="J71" s="160">
        <v>2</v>
      </c>
      <c r="K71" t="str">
        <f>C73&amp;", "&amp;G72&amp;", "&amp;J72&amp;", "&amp;G78&amp;", "&amp;J78</f>
        <v>2, 1, 2, 1, 1</v>
      </c>
      <c r="O71" s="24"/>
      <c r="Q71" s="395" t="s">
        <v>333</v>
      </c>
      <c r="R71" s="3" t="s">
        <v>328</v>
      </c>
      <c r="S71" s="368">
        <v>1</v>
      </c>
    </row>
    <row r="72" spans="1:23">
      <c r="B72" s="76" t="s">
        <v>506</v>
      </c>
      <c r="C72" s="576">
        <v>3</v>
      </c>
      <c r="D72" s="7"/>
      <c r="E72" s="440" t="s">
        <v>376</v>
      </c>
      <c r="F72" s="379" t="str">
        <f>CHOOSE(G72, "TCyes", "TCno")</f>
        <v>TCyes</v>
      </c>
      <c r="G72" s="374">
        <v>1</v>
      </c>
      <c r="H72" s="440" t="s">
        <v>299</v>
      </c>
      <c r="I72" s="436" t="str">
        <f>CHOOSE(J72, "IlimGND", "IlimRes")</f>
        <v>IlimRes</v>
      </c>
      <c r="J72" s="374">
        <f>IF(C78=4, 1, 2)</f>
        <v>2</v>
      </c>
      <c r="K72" t="str">
        <f>C73&amp;G72&amp;J72&amp;G78&amp;J78</f>
        <v>21211</v>
      </c>
      <c r="O72" s="24"/>
      <c r="Q72" s="395" t="s">
        <v>335</v>
      </c>
      <c r="R72" s="3" t="s">
        <v>329</v>
      </c>
      <c r="S72" s="368">
        <v>2</v>
      </c>
    </row>
    <row r="73" spans="1:23">
      <c r="A73" s="437" t="s">
        <v>286</v>
      </c>
      <c r="B73" s="435" t="str">
        <f>CHOOSE(C73,"SINGLE", IF(Vout2_actual&gt;0, "DUAL", "BIPOLAR"))</f>
        <v>DUAL</v>
      </c>
      <c r="C73" s="378">
        <v>2</v>
      </c>
      <c r="D73" s="7"/>
      <c r="E73" s="7"/>
      <c r="G73" s="78">
        <f>TC</f>
        <v>1</v>
      </c>
      <c r="I73" s="374"/>
      <c r="J73" s="7"/>
      <c r="O73" s="24"/>
      <c r="Q73" s="395" t="s">
        <v>336</v>
      </c>
      <c r="R73" s="3" t="s">
        <v>330</v>
      </c>
      <c r="S73" s="368">
        <v>3</v>
      </c>
    </row>
    <row r="74" spans="1:23">
      <c r="A74" s="376"/>
      <c r="B74" s="3" t="b">
        <f>CHOOSE(C73, TRUE, FALSE)</f>
        <v>0</v>
      </c>
      <c r="C74" s="78" t="str">
        <f>CHOOSE(C73,"1", IF(Vout2&gt;0, "2", "3"))</f>
        <v>2</v>
      </c>
      <c r="O74" s="24"/>
      <c r="Q74" s="395" t="s">
        <v>334</v>
      </c>
      <c r="R74" s="3" t="s">
        <v>331</v>
      </c>
      <c r="S74" s="368">
        <v>4</v>
      </c>
    </row>
    <row r="75" spans="1:23">
      <c r="O75" s="24"/>
      <c r="Q75" s="395" t="s">
        <v>338</v>
      </c>
      <c r="R75" s="3" t="s">
        <v>337</v>
      </c>
      <c r="S75" s="368">
        <v>5</v>
      </c>
    </row>
    <row r="76" spans="1:23">
      <c r="A76" s="383" t="s">
        <v>188</v>
      </c>
      <c r="B76" s="111" t="s">
        <v>364</v>
      </c>
      <c r="C76" s="434">
        <v>1</v>
      </c>
      <c r="D76" s="7"/>
      <c r="E76" s="157" t="s">
        <v>318</v>
      </c>
      <c r="F76" s="474" t="s">
        <v>534</v>
      </c>
      <c r="G76" s="160">
        <v>1</v>
      </c>
      <c r="H76" s="377" t="s">
        <v>296</v>
      </c>
      <c r="I76" s="77" t="s">
        <v>534</v>
      </c>
      <c r="J76" s="160">
        <v>1</v>
      </c>
      <c r="L76" s="154" t="s">
        <v>316</v>
      </c>
      <c r="M76" s="160">
        <v>1</v>
      </c>
      <c r="O76" s="24"/>
      <c r="Q76" s="439" t="s">
        <v>332</v>
      </c>
      <c r="R76" s="445" t="str">
        <f>CHOOSE(S76,"6.3V","10V","16V","25V","50V")</f>
        <v>50V</v>
      </c>
      <c r="S76" s="458">
        <f>IF(Vout&lt;=5, 1, IF(Vout&lt;=8, 2, IF(Vout&lt;=12, 3, IF(Vout&lt;=20, 4, 5))))</f>
        <v>5</v>
      </c>
    </row>
    <row r="77" spans="1:23">
      <c r="A77" s="384"/>
      <c r="B77" s="111" t="s">
        <v>365</v>
      </c>
      <c r="C77" s="434">
        <v>2</v>
      </c>
      <c r="D77" s="7"/>
      <c r="F77" s="474" t="s">
        <v>535</v>
      </c>
      <c r="G77" s="160">
        <v>2</v>
      </c>
      <c r="H77" s="37"/>
      <c r="I77" s="77" t="s">
        <v>649</v>
      </c>
      <c r="J77" s="160">
        <v>2</v>
      </c>
      <c r="L77" s="154" t="s">
        <v>317</v>
      </c>
      <c r="M77" s="160">
        <v>2</v>
      </c>
      <c r="O77" s="24"/>
      <c r="T77" s="3" t="s">
        <v>116</v>
      </c>
      <c r="U77" s="3" t="s">
        <v>634</v>
      </c>
    </row>
    <row r="78" spans="1:23">
      <c r="A78" s="438" t="s">
        <v>287</v>
      </c>
      <c r="B78" s="435" t="str">
        <f>CHOOSE(C78, "YES", "NO")</f>
        <v>YES</v>
      </c>
      <c r="C78" s="378">
        <v>1</v>
      </c>
      <c r="D78" s="7"/>
      <c r="E78" s="439" t="s">
        <v>304</v>
      </c>
      <c r="F78" s="436" t="str">
        <f>CHOOSE(G78, "UVLOadj", "UVLOint")</f>
        <v>UVLOadj</v>
      </c>
      <c r="G78" s="374">
        <v>1</v>
      </c>
      <c r="H78" s="440" t="s">
        <v>288</v>
      </c>
      <c r="I78" s="379" t="str">
        <f>CHOOSE(J78, "SSadj", "SSint")</f>
        <v>SSadj</v>
      </c>
      <c r="J78" s="374">
        <v>1</v>
      </c>
      <c r="L78" s="375" t="s">
        <v>297</v>
      </c>
      <c r="M78" s="374">
        <v>1</v>
      </c>
      <c r="O78" s="24"/>
      <c r="R78" s="3" t="s">
        <v>633</v>
      </c>
      <c r="S78" s="3"/>
      <c r="T78" s="76" t="s">
        <v>347</v>
      </c>
      <c r="U78" s="460">
        <v>0.5</v>
      </c>
    </row>
    <row r="79" spans="1:23" ht="13.5" thickBot="1">
      <c r="A79" s="28"/>
      <c r="B79" s="29"/>
      <c r="C79" s="159"/>
      <c r="D79" s="29"/>
      <c r="E79" s="29"/>
      <c r="F79" s="29"/>
      <c r="G79" s="29"/>
      <c r="H79" s="29"/>
      <c r="I79" s="29"/>
      <c r="J79" s="29"/>
      <c r="K79" s="29"/>
      <c r="L79" s="29"/>
      <c r="M79" s="29"/>
      <c r="N79" s="29"/>
      <c r="O79" s="24"/>
      <c r="R79" s="457" t="s">
        <v>341</v>
      </c>
      <c r="S79" s="368">
        <v>1</v>
      </c>
      <c r="T79" s="76" t="s">
        <v>351</v>
      </c>
      <c r="U79" s="460">
        <v>1.3</v>
      </c>
    </row>
    <row r="80" spans="1:23">
      <c r="A80" s="7"/>
      <c r="B80" s="7" t="b">
        <f>(CONFIG="2")</f>
        <v>1</v>
      </c>
      <c r="C80" s="39" t="str">
        <f>CONFIG</f>
        <v>2</v>
      </c>
      <c r="D80" s="7"/>
      <c r="E80" s="7"/>
      <c r="F80" s="7"/>
      <c r="G80" s="7"/>
      <c r="H80" s="7"/>
      <c r="I80" s="7"/>
      <c r="R80" s="457" t="s">
        <v>119</v>
      </c>
      <c r="S80" s="368">
        <v>2</v>
      </c>
      <c r="T80" s="76" t="s">
        <v>352</v>
      </c>
      <c r="U80" s="460">
        <v>2.5</v>
      </c>
    </row>
    <row r="81" spans="1:26" ht="16" thickBot="1">
      <c r="A81" s="50" t="s">
        <v>558</v>
      </c>
      <c r="B81" s="39"/>
      <c r="C81" s="39"/>
      <c r="E81" s="7"/>
      <c r="F81" s="7"/>
      <c r="G81" s="7"/>
      <c r="H81" s="7"/>
      <c r="I81" s="7"/>
      <c r="R81" s="457" t="s">
        <v>342</v>
      </c>
      <c r="S81" s="368">
        <v>3</v>
      </c>
      <c r="T81" s="76" t="s">
        <v>350</v>
      </c>
      <c r="U81" s="460">
        <v>5.0999999999999996</v>
      </c>
    </row>
    <row r="82" spans="1:26">
      <c r="A82" s="109"/>
      <c r="B82" s="594"/>
      <c r="C82" s="595"/>
      <c r="D82" s="152"/>
      <c r="E82" s="79"/>
      <c r="F82" s="31"/>
      <c r="G82" s="31"/>
      <c r="H82" s="31"/>
      <c r="I82" s="32">
        <v>1</v>
      </c>
      <c r="K82" s="76"/>
      <c r="R82" s="457" t="s">
        <v>343</v>
      </c>
      <c r="S82" s="368">
        <v>4</v>
      </c>
      <c r="T82" s="76" t="s">
        <v>353</v>
      </c>
      <c r="U82" s="460">
        <v>8</v>
      </c>
    </row>
    <row r="83" spans="1:26">
      <c r="A83" s="110" t="s">
        <v>150</v>
      </c>
      <c r="B83" s="161">
        <f>Nps*(Vout+Vfwd2)/(VIN_min+Nps*(Vout+Vfwd2))*0+IF(H83="BAD",'Calculations - Single'!CQ210,CHOOSE(MODE,'Calculations - Single'!M210,'Calculations - Dual'!N210))</f>
        <v>0.55330825172558673</v>
      </c>
      <c r="C83" s="7"/>
      <c r="D83" t="b">
        <f>B83&gt;0.75</f>
        <v>0</v>
      </c>
      <c r="E83" s="77"/>
      <c r="F83" s="7"/>
      <c r="G83" s="7">
        <f>Vfwd2</f>
        <v>0.7</v>
      </c>
      <c r="H83" s="7">
        <f>'Calculations - Single'!DT210</f>
        <v>600</v>
      </c>
      <c r="I83" s="25">
        <v>1</v>
      </c>
      <c r="R83" s="457" t="s">
        <v>344</v>
      </c>
      <c r="S83" s="368">
        <v>5</v>
      </c>
      <c r="T83" s="445" t="str">
        <f>CHOOSE(S85,T78,T79, T80,T81,T82)</f>
        <v>3.2 x 2.5</v>
      </c>
      <c r="U83" s="460">
        <v>8</v>
      </c>
    </row>
    <row r="84" spans="1:26">
      <c r="A84" s="110"/>
      <c r="B84" s="161"/>
      <c r="C84" s="7"/>
      <c r="E84" s="77"/>
      <c r="F84" s="7"/>
      <c r="G84" s="7"/>
      <c r="H84" s="7"/>
      <c r="I84" s="848"/>
      <c r="R84" s="457" t="s">
        <v>943</v>
      </c>
      <c r="S84" s="368">
        <v>6</v>
      </c>
      <c r="T84" s="445" t="s">
        <v>944</v>
      </c>
      <c r="U84" s="460">
        <v>25.1</v>
      </c>
    </row>
    <row r="85" spans="1:26">
      <c r="A85" s="110" t="s">
        <v>157</v>
      </c>
      <c r="B85" s="161">
        <f>Nps*(Vout+Vfwd1)/(VIN_nom+Nps*(Vout+Vfwd1))</f>
        <v>0.40546967895362668</v>
      </c>
      <c r="C85" s="7"/>
      <c r="F85" s="7"/>
      <c r="G85" s="7"/>
      <c r="H85" s="7"/>
      <c r="I85" s="25"/>
      <c r="Q85" s="439" t="s">
        <v>345</v>
      </c>
      <c r="R85" s="445" t="str">
        <f>CHOOSE(S85,"0402","0603","0805","1206","1210")</f>
        <v>1210</v>
      </c>
      <c r="S85" s="458">
        <v>5</v>
      </c>
    </row>
    <row r="86" spans="1:26">
      <c r="A86" s="110" t="s">
        <v>151</v>
      </c>
      <c r="B86" s="161">
        <f>Nps*(Vout+Vfwd1)/(VIN_max+Nps*(Vout+Vfwd1))*0+CHOOSE(MODE, 'Calculations - Single'!M316, 'Calculations - Dual'!N316)</f>
        <v>0.37308426425877272</v>
      </c>
      <c r="C86" s="7"/>
      <c r="E86" s="77"/>
      <c r="F86" s="7"/>
      <c r="G86" s="7"/>
      <c r="H86" s="7"/>
      <c r="I86" s="25"/>
    </row>
    <row r="87" spans="1:26">
      <c r="A87" s="76"/>
      <c r="B87" s="7"/>
      <c r="C87" s="7"/>
      <c r="D87" s="7"/>
      <c r="E87" s="77"/>
      <c r="F87" s="7"/>
      <c r="G87" s="7"/>
      <c r="H87" s="7"/>
      <c r="I87" s="25"/>
      <c r="T87" s="3" t="s">
        <v>116</v>
      </c>
      <c r="U87" s="3" t="s">
        <v>634</v>
      </c>
      <c r="W87" s="3" t="s">
        <v>633</v>
      </c>
      <c r="X87" s="3"/>
      <c r="Y87" s="3" t="s">
        <v>116</v>
      </c>
      <c r="Z87" s="3" t="s">
        <v>634</v>
      </c>
    </row>
    <row r="88" spans="1:26">
      <c r="A88" s="110" t="s">
        <v>832</v>
      </c>
      <c r="B88" s="784">
        <f>MIN(0.667*VIN_nom/Vout, 1.857*VIN_min/Vout*1+0*3.33*VIN_min/Vout)</f>
        <v>4.9044117647058828E-2</v>
      </c>
      <c r="C88" s="77"/>
      <c r="D88" s="77" t="s">
        <v>834</v>
      </c>
      <c r="F88" s="7"/>
      <c r="G88" s="7"/>
      <c r="H88" s="7"/>
      <c r="I88" s="25"/>
      <c r="R88" s="3" t="s">
        <v>633</v>
      </c>
      <c r="S88" s="3"/>
      <c r="T88" s="474" t="s">
        <v>621</v>
      </c>
      <c r="U88" s="460">
        <v>36</v>
      </c>
      <c r="W88" s="76" t="s">
        <v>639</v>
      </c>
      <c r="X88" s="368">
        <v>1</v>
      </c>
      <c r="Y88" s="76" t="s">
        <v>351</v>
      </c>
      <c r="Z88">
        <v>1.3</v>
      </c>
    </row>
    <row r="89" spans="1:26">
      <c r="A89" s="110"/>
      <c r="B89" s="629"/>
      <c r="C89" s="7"/>
      <c r="D89" s="77"/>
      <c r="F89" s="7"/>
      <c r="G89" s="7"/>
      <c r="H89" s="7"/>
      <c r="I89" s="25"/>
      <c r="R89" s="76" t="s">
        <v>348</v>
      </c>
      <c r="S89" s="368">
        <v>1</v>
      </c>
      <c r="T89" s="474" t="s">
        <v>620</v>
      </c>
      <c r="U89" s="460">
        <v>49</v>
      </c>
      <c r="W89" s="76" t="s">
        <v>630</v>
      </c>
      <c r="X89" s="368">
        <v>2</v>
      </c>
      <c r="Y89" s="76" t="s">
        <v>638</v>
      </c>
      <c r="Z89">
        <v>3.2</v>
      </c>
    </row>
    <row r="90" spans="1:26">
      <c r="A90" s="110"/>
      <c r="B90" s="629"/>
      <c r="C90" s="77"/>
      <c r="D90" s="77"/>
      <c r="F90" s="7"/>
      <c r="G90" s="7"/>
      <c r="H90" s="7"/>
      <c r="I90" s="25"/>
      <c r="R90" s="76" t="s">
        <v>349</v>
      </c>
      <c r="S90" s="368">
        <v>2</v>
      </c>
      <c r="T90" s="474" t="s">
        <v>619</v>
      </c>
      <c r="U90" s="460">
        <v>64</v>
      </c>
      <c r="W90" s="76" t="s">
        <v>631</v>
      </c>
      <c r="X90" s="368">
        <v>3</v>
      </c>
      <c r="Y90" s="76" t="s">
        <v>637</v>
      </c>
      <c r="Z90">
        <v>6.5</v>
      </c>
    </row>
    <row r="91" spans="1:26" ht="12.5">
      <c r="A91" s="76"/>
      <c r="B91" s="11"/>
      <c r="C91"/>
      <c r="I91" s="25">
        <v>1</v>
      </c>
      <c r="R91" s="76" t="s">
        <v>611</v>
      </c>
      <c r="S91" s="368">
        <v>3</v>
      </c>
      <c r="T91" s="474" t="s">
        <v>618</v>
      </c>
      <c r="U91" s="460">
        <v>81</v>
      </c>
      <c r="W91" s="76" t="s">
        <v>632</v>
      </c>
      <c r="X91" s="368">
        <v>4</v>
      </c>
      <c r="Y91" s="76" t="s">
        <v>636</v>
      </c>
      <c r="Z91">
        <v>12.5</v>
      </c>
    </row>
    <row r="92" spans="1:26">
      <c r="A92" s="111" t="s">
        <v>850</v>
      </c>
      <c r="B92" s="630">
        <f>VIN_max+Nps*(Vout+Vfwd2)*1.5</f>
        <v>28.802500000000002</v>
      </c>
      <c r="C92" s="77"/>
      <c r="D92" s="77"/>
      <c r="E92" s="77"/>
      <c r="F92" s="7"/>
      <c r="G92" s="7"/>
      <c r="H92" s="7"/>
      <c r="I92" s="25"/>
      <c r="R92" s="76" t="s">
        <v>612</v>
      </c>
      <c r="S92" s="368">
        <v>4</v>
      </c>
      <c r="T92" s="474" t="s">
        <v>617</v>
      </c>
      <c r="U92" s="460">
        <v>100</v>
      </c>
      <c r="W92" s="439" t="s">
        <v>635</v>
      </c>
    </row>
    <row r="93" spans="1:26">
      <c r="A93" s="111"/>
      <c r="B93" s="630"/>
      <c r="C93" s="7"/>
      <c r="D93" s="77">
        <f>Isw_min</f>
        <v>13.333333333333334</v>
      </c>
      <c r="E93" s="77"/>
      <c r="F93" s="7"/>
      <c r="G93" s="7"/>
      <c r="H93" s="7"/>
      <c r="I93" s="25"/>
      <c r="R93" s="76" t="s">
        <v>613</v>
      </c>
      <c r="S93" s="368">
        <v>5</v>
      </c>
      <c r="T93" s="474" t="s">
        <v>616</v>
      </c>
      <c r="U93" s="460">
        <v>120</v>
      </c>
    </row>
    <row r="94" spans="1:26">
      <c r="A94" s="111"/>
      <c r="B94" s="630"/>
      <c r="C94" s="77"/>
      <c r="D94" s="77"/>
      <c r="E94" s="77"/>
      <c r="F94" s="7"/>
      <c r="G94" s="7"/>
      <c r="H94" s="7"/>
      <c r="I94" s="25"/>
      <c r="R94" s="76" t="s">
        <v>614</v>
      </c>
      <c r="S94" s="368">
        <v>6</v>
      </c>
      <c r="T94" s="474" t="s">
        <v>622</v>
      </c>
      <c r="U94" s="460">
        <v>143</v>
      </c>
    </row>
    <row r="95" spans="1:26" ht="15.5">
      <c r="A95" s="76"/>
      <c r="B95" s="7"/>
      <c r="C95" s="77"/>
      <c r="D95" s="7"/>
      <c r="E95" s="77"/>
      <c r="F95" s="7"/>
      <c r="G95" s="7"/>
      <c r="H95" s="7"/>
      <c r="I95" s="25"/>
      <c r="K95" s="76" t="s">
        <v>320</v>
      </c>
      <c r="R95" s="76" t="s">
        <v>615</v>
      </c>
      <c r="S95" s="368">
        <v>7</v>
      </c>
      <c r="T95" s="474" t="s">
        <v>955</v>
      </c>
      <c r="U95">
        <f>11*14</f>
        <v>154</v>
      </c>
    </row>
    <row r="96" spans="1:26">
      <c r="A96" s="110" t="s">
        <v>680</v>
      </c>
      <c r="B96" s="41">
        <f>'Design Converter'!L7/1000000</f>
        <v>4.9999999999999998E-7</v>
      </c>
      <c r="C96" s="7" t="s">
        <v>11</v>
      </c>
      <c r="D96" s="77" t="s">
        <v>452</v>
      </c>
      <c r="F96" s="7"/>
      <c r="G96" s="7"/>
      <c r="H96" s="7"/>
      <c r="I96" s="25"/>
      <c r="Q96" s="439" t="s">
        <v>453</v>
      </c>
      <c r="R96" s="76" t="s">
        <v>954</v>
      </c>
      <c r="S96" s="368">
        <v>8</v>
      </c>
      <c r="T96" s="474" t="s">
        <v>956</v>
      </c>
      <c r="U96">
        <f>23*17</f>
        <v>391</v>
      </c>
    </row>
    <row r="97" spans="1:17" ht="12.5">
      <c r="A97" s="110" t="s">
        <v>661</v>
      </c>
      <c r="B97" s="132">
        <f>'Design Converter'!L11</f>
        <v>50</v>
      </c>
      <c r="C97" s="7" t="s">
        <v>662</v>
      </c>
      <c r="D97" s="77"/>
      <c r="F97" s="7"/>
      <c r="G97" s="7"/>
      <c r="H97" s="7"/>
      <c r="I97" s="25"/>
    </row>
    <row r="98" spans="1:17" ht="12.5">
      <c r="A98" s="110" t="s">
        <v>826</v>
      </c>
      <c r="B98" s="41">
        <f>Lmag/(Nps)^2</f>
        <v>1.9999999999999996E-4</v>
      </c>
      <c r="C98" s="7" t="s">
        <v>11</v>
      </c>
      <c r="D98" s="77"/>
      <c r="F98" s="7"/>
      <c r="G98" s="7"/>
      <c r="H98" s="7"/>
      <c r="I98" s="25"/>
    </row>
    <row r="99" spans="1:17" ht="12.5">
      <c r="A99" s="110" t="s">
        <v>827</v>
      </c>
      <c r="B99" s="41">
        <f>Lmag/(Nps/Nsec1sec2)^2</f>
        <v>1.1070580527680052E-6</v>
      </c>
      <c r="C99" s="12" t="s">
        <v>11</v>
      </c>
      <c r="D99" s="77"/>
      <c r="F99" s="7"/>
      <c r="G99" s="7"/>
      <c r="H99" s="7"/>
      <c r="I99" s="25"/>
    </row>
    <row r="100" spans="1:17" ht="12.5">
      <c r="A100" s="110"/>
      <c r="B100" s="132"/>
      <c r="C100" s="7"/>
      <c r="D100" s="77"/>
      <c r="F100" s="7"/>
      <c r="G100" s="7"/>
      <c r="H100" s="7"/>
      <c r="I100" s="25"/>
    </row>
    <row r="101" spans="1:17" ht="12.5">
      <c r="A101" s="110" t="s">
        <v>385</v>
      </c>
      <c r="B101" s="10">
        <f>'Design Converter'!L8/1000</f>
        <v>0.03</v>
      </c>
      <c r="C101" s="113" t="s">
        <v>45</v>
      </c>
      <c r="D101" s="77" t="s">
        <v>450</v>
      </c>
      <c r="F101" s="7"/>
      <c r="G101" s="7"/>
      <c r="H101" s="7"/>
      <c r="I101" s="25"/>
    </row>
    <row r="102" spans="1:17" thickBot="1">
      <c r="A102" s="110" t="s">
        <v>448</v>
      </c>
      <c r="B102" s="10">
        <f>'Design Converter'!L9/1000</f>
        <v>0.03</v>
      </c>
      <c r="C102" s="113" t="s">
        <v>45</v>
      </c>
      <c r="D102" s="77" t="s">
        <v>451</v>
      </c>
      <c r="F102" s="7"/>
      <c r="G102" s="7"/>
      <c r="H102" s="7"/>
      <c r="I102" s="25">
        <v>2</v>
      </c>
    </row>
    <row r="103" spans="1:17" ht="12.5">
      <c r="A103" s="110" t="s">
        <v>449</v>
      </c>
      <c r="B103" s="10">
        <f>'Design Converter'!L10/1000</f>
        <v>5.0000000000000001E-3</v>
      </c>
      <c r="C103" s="113" t="s">
        <v>45</v>
      </c>
      <c r="D103" s="77" t="s">
        <v>540</v>
      </c>
      <c r="E103" s="77"/>
      <c r="F103" s="7"/>
      <c r="G103" s="7"/>
      <c r="H103" s="7"/>
      <c r="I103" s="25">
        <v>1</v>
      </c>
      <c r="K103" s="847" t="s">
        <v>880</v>
      </c>
      <c r="L103" s="738"/>
    </row>
    <row r="104" spans="1:17" ht="12.5">
      <c r="A104" s="110"/>
      <c r="B104" s="7"/>
      <c r="C104" s="7"/>
      <c r="D104" s="7"/>
      <c r="E104" s="7"/>
      <c r="F104" s="7"/>
      <c r="G104" s="7"/>
      <c r="H104" s="7"/>
      <c r="I104" s="25"/>
      <c r="K104" s="110" t="s">
        <v>644</v>
      </c>
      <c r="L104" s="848">
        <f>Vfwd1</f>
        <v>0.5</v>
      </c>
      <c r="Q104">
        <f>ktr_rcmd</f>
        <v>4.9044117647058828E-2</v>
      </c>
    </row>
    <row r="105" spans="1:17" ht="15.75" customHeight="1">
      <c r="A105" s="77" t="s">
        <v>539</v>
      </c>
      <c r="B105" s="191">
        <v>100</v>
      </c>
      <c r="C105" s="111" t="s">
        <v>102</v>
      </c>
      <c r="D105" s="77"/>
      <c r="E105" s="7"/>
      <c r="F105" s="7"/>
      <c r="H105" s="7"/>
      <c r="I105" s="25"/>
      <c r="K105" s="110" t="s">
        <v>645</v>
      </c>
      <c r="L105" s="848">
        <f>Vfwd2</f>
        <v>0.7</v>
      </c>
      <c r="M105" s="76"/>
      <c r="Q105" t="str">
        <f>Nps</f>
        <v>0.05</v>
      </c>
    </row>
    <row r="106" spans="1:17" ht="13.5" thickBot="1">
      <c r="A106" s="110" t="s">
        <v>536</v>
      </c>
      <c r="B106" s="183">
        <f>Rdcr_pri*(1+0.0039*(B105-25))</f>
        <v>3.8774999999999997E-2</v>
      </c>
      <c r="C106" s="113" t="s">
        <v>45</v>
      </c>
      <c r="D106" s="7"/>
      <c r="H106" s="7"/>
      <c r="I106" s="25"/>
      <c r="K106" s="849" t="s">
        <v>881</v>
      </c>
      <c r="L106" s="750">
        <f>'Design Converter'!S31</f>
        <v>0.7</v>
      </c>
      <c r="M106" s="76"/>
    </row>
    <row r="107" spans="1:17">
      <c r="A107" s="110" t="s">
        <v>537</v>
      </c>
      <c r="B107" s="183">
        <f>Rdcr_sec*(1+0.0039*(B105-25))</f>
        <v>3.8774999999999997E-2</v>
      </c>
      <c r="C107" s="113" t="s">
        <v>45</v>
      </c>
      <c r="D107" s="7"/>
      <c r="H107" s="7"/>
      <c r="I107" s="25"/>
    </row>
    <row r="108" spans="1:17">
      <c r="A108" s="110" t="s">
        <v>538</v>
      </c>
      <c r="B108" s="183">
        <f>Rdcr_sec2*(1+0.0039*(B105-25))</f>
        <v>6.4625000000000004E-3</v>
      </c>
      <c r="C108" s="113" t="s">
        <v>45</v>
      </c>
      <c r="D108" s="7"/>
      <c r="H108" s="7"/>
      <c r="I108" s="25"/>
    </row>
    <row r="109" spans="1:17">
      <c r="A109" s="912" t="s">
        <v>957</v>
      </c>
      <c r="B109" s="911">
        <v>3.9999999999999998E-7</v>
      </c>
      <c r="C109" s="3" t="s">
        <v>51</v>
      </c>
      <c r="I109" s="25"/>
      <c r="K109" t="s">
        <v>883</v>
      </c>
    </row>
    <row r="110" spans="1:17">
      <c r="A110" s="441" t="s">
        <v>660</v>
      </c>
      <c r="B110" s="623">
        <f>(Vout+Vfwd1)*Nps*0.00000045/Isw_min*1000000*0+0.32*VIN_nom^2/Pin*0+MAX(2*(Vout+Vfwd2)^2*VIN_nom^2/(Pin*(Vout+Vfwd2+VIN_nom/ktr_rcmd)^2),B111)</f>
        <v>0.46552827622021592</v>
      </c>
      <c r="C110" s="3" t="s">
        <v>833</v>
      </c>
      <c r="I110" s="25"/>
      <c r="K110" t="s">
        <v>884</v>
      </c>
      <c r="L110">
        <f>MAX('Calculations - Single'!BM316,'Calculations - Single'!BM210,'Calculations - Single'!BM105)</f>
        <v>-7.6861832168114637</v>
      </c>
    </row>
    <row r="111" spans="1:17">
      <c r="A111" s="913" t="s">
        <v>846</v>
      </c>
      <c r="B111" s="623">
        <f>(Vout+Vfwd1)*Nps*toff_max/(0.02/RCS/1000)</f>
        <v>0.25574999999999998</v>
      </c>
      <c r="C111" s="3" t="s">
        <v>833</v>
      </c>
      <c r="I111" s="25"/>
      <c r="K111" t="s">
        <v>885</v>
      </c>
      <c r="L111">
        <f>MAX('Calculations - Dual'!BK316,'Calculations - Dual'!BK210,'Calculations - Dual'!BK105)</f>
        <v>-7.1240806612268734</v>
      </c>
    </row>
    <row r="112" spans="1:17">
      <c r="A112" t="s">
        <v>837</v>
      </c>
      <c r="B112" s="623">
        <f>MIN(350000,('Calculations - Single'!CQ210*VIN_min)^2/(2*Pin*Lmag))</f>
        <v>177473.69256472823</v>
      </c>
      <c r="C112" s="3" t="s">
        <v>8</v>
      </c>
      <c r="D112" s="76" t="s">
        <v>845</v>
      </c>
      <c r="I112" s="25"/>
      <c r="K112" t="s">
        <v>886</v>
      </c>
      <c r="L112">
        <f>CHOOSE(MODE,L110,L111)</f>
        <v>-7.1240806612268734</v>
      </c>
    </row>
    <row r="113" spans="1:12">
      <c r="A113" t="s">
        <v>838</v>
      </c>
      <c r="B113" s="623">
        <f>VIN_min/Lmag*'Calculations - Single'!CQ210/B112*1.2</f>
        <v>59.204692082111436</v>
      </c>
      <c r="C113" s="3" t="s">
        <v>1</v>
      </c>
      <c r="I113" s="25"/>
    </row>
    <row r="114" spans="1:12">
      <c r="A114" t="s">
        <v>839</v>
      </c>
      <c r="B114" s="183">
        <f>0.1/B113</f>
        <v>1.6890553177999685E-3</v>
      </c>
      <c r="C114" s="113" t="s">
        <v>45</v>
      </c>
      <c r="D114" t="s">
        <v>841</v>
      </c>
      <c r="I114" s="25"/>
    </row>
    <row r="115" spans="1:12">
      <c r="A115" t="s">
        <v>840</v>
      </c>
      <c r="B115" s="183">
        <f>0.02*Lmag/((Vout+Vfwd1)*0.00000045*Nps)</f>
        <v>2.606712284131639E-3</v>
      </c>
      <c r="C115" s="113"/>
      <c r="D115" t="s">
        <v>842</v>
      </c>
      <c r="I115" s="25"/>
    </row>
    <row r="116" spans="1:12">
      <c r="B116" s="183"/>
      <c r="C116" s="113"/>
      <c r="I116" s="25"/>
    </row>
    <row r="117" spans="1:12" ht="13.5" thickBot="1">
      <c r="A117" s="165" t="s">
        <v>773</v>
      </c>
      <c r="B117" s="166">
        <f>Iout*((Vout+Parameters!B49)/VIN_min+1/'Variable Mgmt'!B24)*0+CHOOSE(MODE, 'Calculations - Single'!U210,'Calculations - Dual'!T210)*1.1</f>
        <v>62.22263419046557</v>
      </c>
      <c r="C117" s="29" t="s">
        <v>1</v>
      </c>
      <c r="D117" s="29"/>
      <c r="E117" s="29"/>
      <c r="F117" s="29"/>
      <c r="G117" s="29"/>
      <c r="H117" s="29"/>
      <c r="I117" s="30"/>
    </row>
    <row r="118" spans="1:12">
      <c r="A118" s="39" t="s">
        <v>774</v>
      </c>
      <c r="B118" s="727">
        <f>MIN(B114,B115)</f>
        <v>1.6890553177999685E-3</v>
      </c>
      <c r="C118" s="113" t="s">
        <v>45</v>
      </c>
      <c r="D118" s="7"/>
      <c r="E118" s="7"/>
      <c r="F118" s="7"/>
      <c r="G118" s="7"/>
      <c r="H118" s="7"/>
      <c r="I118" s="7"/>
    </row>
    <row r="120" spans="1:12" ht="16" thickBot="1">
      <c r="A120" s="50" t="s">
        <v>559</v>
      </c>
      <c r="B120" s="7"/>
      <c r="D120" s="39"/>
      <c r="E120" s="7"/>
      <c r="F120" s="7"/>
      <c r="G120" s="7"/>
      <c r="H120" s="7"/>
      <c r="I120" s="7"/>
    </row>
    <row r="121" spans="1:12" ht="12.5">
      <c r="A121" s="109" t="s">
        <v>164</v>
      </c>
      <c r="B121" s="419"/>
      <c r="C121" s="164" t="s">
        <v>1</v>
      </c>
      <c r="D121" s="79" t="s">
        <v>163</v>
      </c>
      <c r="E121" s="31"/>
      <c r="F121" s="31"/>
      <c r="G121" s="31"/>
      <c r="H121" s="31"/>
      <c r="I121" s="32"/>
      <c r="L121" s="5"/>
    </row>
    <row r="122" spans="1:12" ht="12.5">
      <c r="A122" s="110" t="s">
        <v>165</v>
      </c>
      <c r="B122" s="420"/>
      <c r="C122" s="111" t="s">
        <v>1</v>
      </c>
      <c r="D122" s="7"/>
      <c r="E122" s="77"/>
      <c r="F122" s="7"/>
      <c r="G122" s="7"/>
      <c r="H122" s="7"/>
      <c r="I122" s="25"/>
      <c r="L122" s="5"/>
    </row>
    <row r="123" spans="1:12" ht="12.5">
      <c r="A123" s="110" t="s">
        <v>166</v>
      </c>
      <c r="B123" s="420"/>
      <c r="C123" s="111" t="s">
        <v>1</v>
      </c>
      <c r="D123" s="7"/>
      <c r="E123" s="77"/>
      <c r="F123" s="7"/>
      <c r="G123" s="7"/>
      <c r="H123" s="7"/>
      <c r="I123" s="25"/>
      <c r="L123" s="5"/>
    </row>
    <row r="124" spans="1:12" ht="12.5">
      <c r="A124" s="110"/>
      <c r="B124" s="167"/>
      <c r="C124" s="111"/>
      <c r="D124" s="7"/>
      <c r="E124" s="77"/>
      <c r="F124" s="7"/>
      <c r="G124" s="7"/>
      <c r="H124" s="7"/>
      <c r="I124" s="25"/>
      <c r="L124" s="5"/>
    </row>
    <row r="125" spans="1:12" ht="12.5">
      <c r="A125" s="110" t="s">
        <v>174</v>
      </c>
      <c r="B125" s="549">
        <f>Vout_ripple</f>
        <v>1700</v>
      </c>
      <c r="C125" s="111" t="s">
        <v>149</v>
      </c>
      <c r="D125" s="77" t="s">
        <v>594</v>
      </c>
      <c r="F125" s="7"/>
      <c r="G125" s="7"/>
      <c r="H125" s="7"/>
      <c r="I125" s="25"/>
      <c r="L125" s="5"/>
    </row>
    <row r="126" spans="1:12">
      <c r="A126" s="499" t="s">
        <v>12</v>
      </c>
      <c r="B126" s="192">
        <f>MAX(4.7, CHOOSE(MODE, 'Calculations - Single'!EE212, 'Calculations - Dual'!AW105))</f>
        <v>4.7</v>
      </c>
      <c r="C126" s="201" t="s">
        <v>97</v>
      </c>
      <c r="D126" s="77" t="s">
        <v>593</v>
      </c>
      <c r="E126" s="77"/>
      <c r="F126" s="7"/>
      <c r="G126" s="7"/>
      <c r="H126" s="7"/>
      <c r="I126" s="25"/>
    </row>
    <row r="127" spans="1:12" ht="12.5">
      <c r="A127" s="110" t="s">
        <v>14</v>
      </c>
      <c r="B127" s="591">
        <f>'Design Converter'!E34</f>
        <v>10</v>
      </c>
      <c r="C127" s="201" t="s">
        <v>97</v>
      </c>
      <c r="D127" s="77" t="s">
        <v>167</v>
      </c>
      <c r="F127" s="7"/>
      <c r="G127" s="7"/>
      <c r="H127" s="7"/>
      <c r="I127" s="25"/>
    </row>
    <row r="128" spans="1:12" ht="12.5">
      <c r="A128" s="200" t="s">
        <v>181</v>
      </c>
      <c r="B128" s="550">
        <f>(Vripple1_spec-Iout*B130/Cout*1000)/Iout</f>
        <v>2334.4450100068948</v>
      </c>
      <c r="C128" s="113" t="s">
        <v>258</v>
      </c>
      <c r="D128" s="77" t="s">
        <v>107</v>
      </c>
      <c r="F128" s="7"/>
      <c r="G128" s="7"/>
      <c r="H128" s="7"/>
      <c r="I128" s="25"/>
    </row>
    <row r="129" spans="1:9" ht="12.5">
      <c r="A129" s="110" t="s">
        <v>54</v>
      </c>
      <c r="B129" s="193">
        <f>'Design Converter'!E35</f>
        <v>2</v>
      </c>
      <c r="C129" s="113" t="s">
        <v>258</v>
      </c>
      <c r="D129" s="77" t="s">
        <v>108</v>
      </c>
      <c r="F129" s="7"/>
      <c r="G129" s="7"/>
      <c r="H129" s="7"/>
      <c r="I129" s="25"/>
    </row>
    <row r="130" spans="1:9" ht="12.5">
      <c r="A130" s="110" t="s">
        <v>438</v>
      </c>
      <c r="B130" s="192">
        <f>CHOOSE(MODE, 'Calculations - Single'!AT105, 'Calculations - Dual'!AR105)</f>
        <v>4.9888832332643887</v>
      </c>
      <c r="C130" s="201" t="s">
        <v>247</v>
      </c>
      <c r="D130" s="77"/>
      <c r="F130" s="7"/>
      <c r="G130" s="7"/>
      <c r="H130" s="7"/>
      <c r="I130" s="25"/>
    </row>
    <row r="131" spans="1:9">
      <c r="A131" s="34" t="s">
        <v>437</v>
      </c>
      <c r="B131" s="588">
        <f>Iout*B130/Cout*1000+Iout*CoutEsr</f>
        <v>300.53299399586331</v>
      </c>
      <c r="C131" s="77" t="s">
        <v>443</v>
      </c>
      <c r="D131" s="77" t="s">
        <v>596</v>
      </c>
      <c r="F131" s="7"/>
      <c r="G131" s="7"/>
      <c r="H131" s="445" t="s">
        <v>562</v>
      </c>
      <c r="I131" s="25"/>
    </row>
    <row r="132" spans="1:9">
      <c r="A132" s="34"/>
      <c r="B132" s="192"/>
      <c r="C132" s="77"/>
      <c r="D132" s="77"/>
      <c r="F132" s="7"/>
      <c r="G132" s="7"/>
      <c r="H132" s="7"/>
      <c r="I132" s="25"/>
    </row>
    <row r="133" spans="1:9">
      <c r="A133" s="34"/>
      <c r="B133" s="192"/>
      <c r="C133" s="77"/>
      <c r="D133" s="77"/>
      <c r="F133" s="7"/>
      <c r="G133" s="7"/>
      <c r="H133" s="7"/>
      <c r="I133" s="25"/>
    </row>
    <row r="134" spans="1:9" ht="15.5">
      <c r="A134" s="634" t="s">
        <v>560</v>
      </c>
      <c r="B134" s="192"/>
      <c r="C134" s="201"/>
      <c r="D134" s="77"/>
      <c r="F134" s="7"/>
      <c r="G134" s="7"/>
      <c r="H134" s="7"/>
      <c r="I134" s="25"/>
    </row>
    <row r="135" spans="1:9" ht="12.5">
      <c r="A135" s="110" t="s">
        <v>541</v>
      </c>
      <c r="B135" s="549">
        <f>Vout_ripple2</f>
        <v>120</v>
      </c>
      <c r="C135" s="111" t="s">
        <v>149</v>
      </c>
      <c r="D135" s="77" t="s">
        <v>597</v>
      </c>
      <c r="F135" s="7"/>
      <c r="G135" s="7"/>
      <c r="H135" s="7"/>
      <c r="I135" s="25"/>
    </row>
    <row r="136" spans="1:9">
      <c r="A136" s="499" t="s">
        <v>543</v>
      </c>
      <c r="B136" s="192">
        <f>MAX(4.7, 'Calculations - Dual'!AX105)</f>
        <v>8.8664993872092648</v>
      </c>
      <c r="C136" s="201" t="s">
        <v>97</v>
      </c>
      <c r="D136" s="77" t="s">
        <v>593</v>
      </c>
      <c r="F136" s="7"/>
      <c r="G136" s="7"/>
      <c r="H136" s="7"/>
      <c r="I136" s="25"/>
    </row>
    <row r="137" spans="1:9" ht="12.5">
      <c r="A137" s="110" t="s">
        <v>542</v>
      </c>
      <c r="B137" s="591">
        <f>MAX(4.7,'Design Converter'!L34)</f>
        <v>55</v>
      </c>
      <c r="C137" s="201" t="s">
        <v>97</v>
      </c>
      <c r="D137" s="77" t="s">
        <v>167</v>
      </c>
      <c r="F137" s="7"/>
      <c r="G137" s="7"/>
      <c r="H137" s="7"/>
      <c r="I137" s="25"/>
    </row>
    <row r="138" spans="1:9">
      <c r="A138" s="200" t="s">
        <v>544</v>
      </c>
      <c r="B138" s="550">
        <f>(Vout_ripple2-Iout2*B140/Cout2*1000)/Iout2</f>
        <v>149.29303212246566</v>
      </c>
      <c r="C138" s="113" t="s">
        <v>258</v>
      </c>
      <c r="D138" s="77" t="s">
        <v>107</v>
      </c>
      <c r="F138" s="7"/>
      <c r="G138" s="7"/>
      <c r="H138" s="445" t="s">
        <v>561</v>
      </c>
      <c r="I138" s="25"/>
    </row>
    <row r="139" spans="1:9" ht="12.5">
      <c r="A139" s="110" t="s">
        <v>545</v>
      </c>
      <c r="B139" s="193">
        <f>'Design Converter'!L35</f>
        <v>8</v>
      </c>
      <c r="C139" s="113" t="s">
        <v>258</v>
      </c>
      <c r="D139" s="77" t="s">
        <v>108</v>
      </c>
      <c r="F139" s="7"/>
      <c r="G139" s="7"/>
      <c r="I139" s="25"/>
    </row>
    <row r="140" spans="1:9">
      <c r="A140" s="110" t="s">
        <v>438</v>
      </c>
      <c r="B140" s="192">
        <f>'Calculations - Dual'!AR105</f>
        <v>4.9888832332643887</v>
      </c>
      <c r="C140" s="201" t="s">
        <v>247</v>
      </c>
      <c r="D140" s="77"/>
      <c r="F140" s="7"/>
      <c r="G140" s="7"/>
      <c r="H140" s="445" t="s">
        <v>561</v>
      </c>
      <c r="I140" s="25"/>
    </row>
    <row r="141" spans="1:9">
      <c r="A141" s="34" t="s">
        <v>437</v>
      </c>
      <c r="B141" s="588">
        <f>Iout2*B140/Cout2*1000+Iout2*CoutEsr2</f>
        <v>49.35348393876717</v>
      </c>
      <c r="C141" s="77" t="s">
        <v>443</v>
      </c>
      <c r="D141" s="77" t="s">
        <v>595</v>
      </c>
      <c r="F141" s="7"/>
      <c r="G141" s="7"/>
      <c r="H141" s="7"/>
      <c r="I141" s="25"/>
    </row>
    <row r="142" spans="1:9">
      <c r="A142" s="39"/>
      <c r="B142" s="192"/>
      <c r="C142" s="77"/>
      <c r="D142" s="77"/>
      <c r="F142" s="7"/>
      <c r="G142" s="7"/>
      <c r="H142" s="7"/>
      <c r="I142" s="25"/>
    </row>
    <row r="143" spans="1:9" thickBot="1">
      <c r="A143" s="29"/>
      <c r="B143" s="29"/>
      <c r="C143" s="29"/>
      <c r="D143" s="29"/>
      <c r="E143" s="29"/>
      <c r="F143" s="29"/>
      <c r="G143" s="29"/>
      <c r="H143" s="29"/>
      <c r="I143" s="30"/>
    </row>
    <row r="145" spans="1:9" ht="13.5" thickBot="1">
      <c r="A145" s="7"/>
      <c r="B145" s="7"/>
      <c r="C145" s="39"/>
      <c r="D145" s="7"/>
      <c r="E145" s="7"/>
      <c r="F145" s="7"/>
      <c r="G145" s="7"/>
      <c r="H145" s="7"/>
      <c r="I145" s="7"/>
    </row>
    <row r="146" spans="1:9" ht="15.5">
      <c r="A146" s="61" t="s">
        <v>55</v>
      </c>
      <c r="B146" s="62"/>
      <c r="C146" s="168"/>
      <c r="D146" s="62"/>
      <c r="E146" s="62"/>
      <c r="F146" s="62"/>
      <c r="G146" s="62"/>
      <c r="H146" s="62"/>
      <c r="I146" s="63"/>
    </row>
    <row r="147" spans="1:9" ht="12.5">
      <c r="A147" s="552" t="s">
        <v>507</v>
      </c>
      <c r="B147" s="555">
        <f>0.05*VIN_nom</f>
        <v>0.625</v>
      </c>
      <c r="C147" s="111" t="s">
        <v>444</v>
      </c>
      <c r="D147" s="76" t="s">
        <v>439</v>
      </c>
      <c r="E147" s="7"/>
      <c r="F147" s="7"/>
      <c r="G147" s="7"/>
      <c r="H147" s="7"/>
      <c r="I147" s="65"/>
    </row>
    <row r="148" spans="1:9" ht="12.5">
      <c r="A148" s="64"/>
      <c r="B148" s="12"/>
      <c r="C148" s="60"/>
      <c r="E148" s="7"/>
      <c r="F148" s="7"/>
      <c r="G148" s="7"/>
      <c r="H148" s="7"/>
      <c r="I148" s="65"/>
    </row>
    <row r="149" spans="1:9" ht="12.5">
      <c r="A149" s="66" t="s">
        <v>58</v>
      </c>
      <c r="B149" s="421"/>
      <c r="C149" s="201" t="s">
        <v>30</v>
      </c>
      <c r="E149" s="7"/>
      <c r="F149" s="7"/>
      <c r="G149" s="7"/>
      <c r="H149" s="7"/>
      <c r="I149" s="65"/>
    </row>
    <row r="150" spans="1:9" ht="12.5">
      <c r="A150" s="66" t="s">
        <v>98</v>
      </c>
      <c r="B150" s="185">
        <f>'Calculations - Single'!BB105</f>
        <v>39.74548337568249</v>
      </c>
      <c r="C150" s="201" t="s">
        <v>97</v>
      </c>
      <c r="E150" s="7"/>
      <c r="F150" s="7"/>
      <c r="G150" s="7"/>
      <c r="H150" s="7"/>
      <c r="I150" s="65"/>
    </row>
    <row r="151" spans="1:9" ht="12.5">
      <c r="A151" s="200" t="s">
        <v>180</v>
      </c>
      <c r="B151" s="597">
        <f>MAX(2.2,Cinmin)</f>
        <v>39.74548337568249</v>
      </c>
      <c r="C151" s="201" t="s">
        <v>97</v>
      </c>
      <c r="E151" s="7"/>
      <c r="F151" s="7"/>
      <c r="G151" s="7"/>
      <c r="H151" s="7"/>
      <c r="I151" s="65"/>
    </row>
    <row r="152" spans="1:9" ht="12.5">
      <c r="A152" s="66" t="s">
        <v>28</v>
      </c>
      <c r="B152" s="553">
        <f>'Design Converter'!E30</f>
        <v>40</v>
      </c>
      <c r="C152" s="201" t="s">
        <v>97</v>
      </c>
      <c r="D152" s="7" t="s">
        <v>60</v>
      </c>
      <c r="F152" s="7"/>
      <c r="G152" s="7"/>
      <c r="H152" s="7"/>
      <c r="I152" s="65"/>
    </row>
    <row r="153" spans="1:9" ht="12.5">
      <c r="A153" s="66"/>
      <c r="B153" s="551"/>
      <c r="C153" s="58"/>
      <c r="D153" s="7"/>
      <c r="F153" s="7"/>
      <c r="G153" s="7"/>
      <c r="H153" s="7"/>
      <c r="I153" s="65"/>
    </row>
    <row r="154" spans="1:9" ht="12.5">
      <c r="A154" s="67" t="s">
        <v>99</v>
      </c>
      <c r="B154" s="420">
        <f>(Vinripple1-B157*B159/Cin)/B158</f>
        <v>9.0958573141240598E-4</v>
      </c>
      <c r="C154" s="113" t="s">
        <v>45</v>
      </c>
      <c r="D154" s="7"/>
      <c r="F154" s="7"/>
      <c r="G154" s="7"/>
      <c r="H154" s="7"/>
      <c r="I154" s="65"/>
    </row>
    <row r="155" spans="1:9" ht="12.5">
      <c r="A155" s="66" t="s">
        <v>37</v>
      </c>
      <c r="B155" s="59">
        <f>'Design Converter'!E31/1000</f>
        <v>3.0000000000000001E-3</v>
      </c>
      <c r="C155" s="113" t="s">
        <v>45</v>
      </c>
      <c r="D155" s="77" t="s">
        <v>109</v>
      </c>
      <c r="F155" s="7"/>
      <c r="G155" s="7"/>
      <c r="H155" s="7"/>
      <c r="I155" s="65"/>
    </row>
    <row r="156" spans="1:9">
      <c r="A156" s="200" t="s">
        <v>182</v>
      </c>
      <c r="B156" s="369">
        <f>'Design Converter'!E31</f>
        <v>3</v>
      </c>
      <c r="C156" s="17" t="s">
        <v>161</v>
      </c>
      <c r="D156" s="77"/>
      <c r="F156" s="7"/>
      <c r="G156" s="7"/>
      <c r="H156" s="7"/>
      <c r="I156" s="65"/>
    </row>
    <row r="157" spans="1:9" ht="12.5">
      <c r="A157" s="200" t="s">
        <v>441</v>
      </c>
      <c r="B157" s="426">
        <f>Vout*Iout/VIN_nom/Efficiency</f>
        <v>8.16</v>
      </c>
      <c r="C157" s="77" t="s">
        <v>1</v>
      </c>
      <c r="D157" s="77"/>
      <c r="F157" s="7"/>
      <c r="G157" s="7"/>
      <c r="H157" s="7"/>
      <c r="I157" s="65"/>
    </row>
    <row r="158" spans="1:9" ht="12.5">
      <c r="A158" s="200" t="s">
        <v>445</v>
      </c>
      <c r="B158" s="426">
        <f>CHOOSE(MODE, 'Calculations - Single'!AJ105, 'Calculations - Dual'!$AI$105)</f>
        <v>45.484036284945255</v>
      </c>
      <c r="C158" s="77" t="s">
        <v>1</v>
      </c>
      <c r="D158" s="77"/>
      <c r="F158" s="7"/>
      <c r="G158" s="7"/>
      <c r="H158" s="7"/>
      <c r="I158" s="65"/>
    </row>
    <row r="159" spans="1:9" ht="12.5">
      <c r="A159" s="200" t="s">
        <v>442</v>
      </c>
      <c r="B159" s="426">
        <f>CHOOSE(MODE, 'Calculations - Single'!AU105, 'Calculations - Dual'!$AT$105)</f>
        <v>2.8609233803341652</v>
      </c>
      <c r="C159" s="201" t="s">
        <v>247</v>
      </c>
      <c r="D159" s="77"/>
      <c r="F159" s="7"/>
      <c r="G159" s="7"/>
      <c r="H159" s="7"/>
      <c r="I159" s="65"/>
    </row>
    <row r="160" spans="1:9" ht="12.5">
      <c r="A160" s="200" t="s">
        <v>440</v>
      </c>
      <c r="B160" s="185">
        <f>B157*B159/Cin+B158*RCinEsr</f>
        <v>0.72008047844300549</v>
      </c>
      <c r="C160" s="201" t="s">
        <v>444</v>
      </c>
      <c r="D160" s="76" t="s">
        <v>446</v>
      </c>
      <c r="E160" s="554"/>
      <c r="F160" s="201"/>
      <c r="G160" s="7"/>
      <c r="H160" s="7"/>
      <c r="I160" s="65"/>
    </row>
    <row r="161" spans="1:9" thickBot="1">
      <c r="A161" s="68"/>
      <c r="B161" s="69"/>
      <c r="C161" s="69"/>
      <c r="D161" s="69"/>
      <c r="E161" s="70"/>
      <c r="F161" s="70"/>
      <c r="G161" s="70"/>
      <c r="H161" s="70"/>
      <c r="I161" s="71"/>
    </row>
    <row r="162" spans="1:9">
      <c r="A162" s="7"/>
      <c r="B162" s="7"/>
      <c r="C162" s="39"/>
      <c r="D162" s="7"/>
      <c r="E162" s="7"/>
      <c r="F162" s="7"/>
      <c r="G162" s="7"/>
      <c r="H162" s="7"/>
      <c r="I162" s="7"/>
    </row>
    <row r="163" spans="1:9" ht="16" thickBot="1">
      <c r="A163" s="50" t="s">
        <v>62</v>
      </c>
      <c r="B163" s="7"/>
      <c r="C163" s="39"/>
      <c r="D163" s="7"/>
      <c r="E163" s="7"/>
      <c r="F163" s="7"/>
      <c r="G163" s="7"/>
      <c r="H163" s="7"/>
      <c r="I163" s="7"/>
    </row>
    <row r="164" spans="1:9" ht="12.5">
      <c r="A164" s="52" t="s">
        <v>64</v>
      </c>
      <c r="B164" s="9">
        <f>'Design Converter'!E42/1000</f>
        <v>0.02</v>
      </c>
      <c r="C164" s="31" t="s">
        <v>51</v>
      </c>
      <c r="D164" s="79" t="s">
        <v>176</v>
      </c>
      <c r="E164" s="31"/>
      <c r="F164" s="31"/>
      <c r="G164" s="31"/>
      <c r="H164" s="31"/>
      <c r="I164" s="32"/>
    </row>
    <row r="165" spans="1:9" ht="12.5">
      <c r="A165" s="24" t="s">
        <v>65</v>
      </c>
      <c r="B165" s="195">
        <v>5.0000000000000004E-6</v>
      </c>
      <c r="C165" s="7" t="s">
        <v>1</v>
      </c>
      <c r="D165" s="77" t="s">
        <v>306</v>
      </c>
      <c r="E165" s="7"/>
      <c r="F165" s="7"/>
      <c r="G165" s="7"/>
      <c r="H165" s="7"/>
      <c r="I165" s="25"/>
    </row>
    <row r="166" spans="1:9" ht="12.5">
      <c r="A166" s="24" t="s">
        <v>66</v>
      </c>
      <c r="B166" s="195">
        <f>0.000005*Tss/1</f>
        <v>1.0000000000000001E-7</v>
      </c>
      <c r="C166" s="7" t="s">
        <v>13</v>
      </c>
      <c r="D166" s="77" t="s">
        <v>308</v>
      </c>
      <c r="E166" s="7"/>
      <c r="F166" s="7"/>
      <c r="G166" s="7"/>
      <c r="H166" s="7"/>
      <c r="I166" s="25"/>
    </row>
    <row r="167" spans="1:9" thickBot="1">
      <c r="A167" s="28" t="s">
        <v>72</v>
      </c>
      <c r="B167" s="196">
        <f>'Standard Value Calculator'!B4</f>
        <v>9.9999999999999995E-8</v>
      </c>
      <c r="C167" s="29" t="s">
        <v>13</v>
      </c>
      <c r="D167" s="80" t="s">
        <v>309</v>
      </c>
      <c r="E167" s="29"/>
      <c r="F167" s="29"/>
      <c r="G167" s="29"/>
      <c r="H167" s="29"/>
      <c r="I167" s="30"/>
    </row>
    <row r="169" spans="1:9" ht="16" thickBot="1">
      <c r="A169" s="50" t="s">
        <v>556</v>
      </c>
      <c r="B169" s="7"/>
      <c r="C169" s="39"/>
      <c r="D169" s="7"/>
      <c r="E169" s="7"/>
      <c r="F169" s="7"/>
      <c r="G169" s="7"/>
      <c r="H169" s="7"/>
      <c r="I169" s="7"/>
    </row>
    <row r="170" spans="1:9" ht="12.75" customHeight="1">
      <c r="A170" s="109"/>
      <c r="B170" s="53"/>
      <c r="C170" s="155"/>
      <c r="D170" s="79"/>
      <c r="E170" s="31"/>
      <c r="F170" s="31"/>
      <c r="G170" s="31"/>
      <c r="H170" s="31"/>
      <c r="I170" s="32"/>
    </row>
    <row r="171" spans="1:9" ht="12.75" customHeight="1">
      <c r="A171" s="110" t="s">
        <v>111</v>
      </c>
      <c r="B171" s="186">
        <v>1.5</v>
      </c>
      <c r="C171" s="77" t="s">
        <v>0</v>
      </c>
      <c r="D171" s="77"/>
      <c r="E171" s="7"/>
      <c r="F171" s="7"/>
      <c r="G171" s="7"/>
      <c r="H171" s="7"/>
      <c r="I171" s="25"/>
    </row>
    <row r="172" spans="1:9" ht="12.75" customHeight="1">
      <c r="A172" s="110" t="s">
        <v>112</v>
      </c>
      <c r="B172" s="186">
        <v>1.45</v>
      </c>
      <c r="C172" s="77" t="s">
        <v>0</v>
      </c>
      <c r="D172" s="77"/>
      <c r="E172" s="7"/>
      <c r="F172" s="7"/>
      <c r="G172" s="7"/>
      <c r="H172" s="7"/>
      <c r="I172" s="25"/>
    </row>
    <row r="173" spans="1:9" ht="12.75" customHeight="1">
      <c r="A173" s="110" t="s">
        <v>148</v>
      </c>
      <c r="B173" s="37">
        <f>B171-B172</f>
        <v>5.0000000000000044E-2</v>
      </c>
      <c r="C173" s="77" t="s">
        <v>0</v>
      </c>
      <c r="D173" s="77"/>
      <c r="E173" s="7"/>
      <c r="F173" s="7"/>
      <c r="G173" s="7"/>
      <c r="H173" s="7"/>
      <c r="I173" s="25"/>
    </row>
    <row r="174" spans="1:9" ht="12.75" customHeight="1">
      <c r="A174" s="110" t="s">
        <v>373</v>
      </c>
      <c r="B174" s="7">
        <v>0</v>
      </c>
      <c r="C174" s="111" t="s">
        <v>1</v>
      </c>
      <c r="D174" s="77"/>
      <c r="E174" s="7"/>
      <c r="F174" s="7"/>
      <c r="G174" s="7"/>
      <c r="H174" s="7"/>
      <c r="I174" s="25"/>
    </row>
    <row r="175" spans="1:9" ht="12.75" customHeight="1">
      <c r="A175" s="110" t="s">
        <v>372</v>
      </c>
      <c r="B175" s="519">
        <v>5.0000000000000001E-3</v>
      </c>
      <c r="C175" s="111" t="s">
        <v>30</v>
      </c>
      <c r="D175" s="77"/>
      <c r="E175" s="7"/>
      <c r="F175" s="7"/>
      <c r="G175" s="7"/>
      <c r="H175" s="7"/>
      <c r="I175" s="25"/>
    </row>
    <row r="176" spans="1:9" ht="12.75" customHeight="1">
      <c r="A176" s="110" t="s">
        <v>371</v>
      </c>
      <c r="B176" s="520">
        <f>Iuvlo2-Iuvlo1</f>
        <v>5.0000000000000001E-3</v>
      </c>
      <c r="C176" s="111" t="s">
        <v>30</v>
      </c>
      <c r="D176" s="77"/>
      <c r="F176" s="7"/>
      <c r="G176" s="7"/>
      <c r="H176" s="7"/>
      <c r="I176" s="25"/>
    </row>
    <row r="177" spans="1:9" ht="12.75" customHeight="1">
      <c r="A177" s="110"/>
      <c r="B177" s="37"/>
      <c r="C177" s="377"/>
      <c r="D177" s="77"/>
      <c r="E177" s="7"/>
      <c r="F177" s="7"/>
      <c r="G177" s="7"/>
      <c r="H177" s="7"/>
      <c r="I177" s="25"/>
    </row>
    <row r="178" spans="1:9" ht="12.75" customHeight="1">
      <c r="A178" s="110" t="s">
        <v>110</v>
      </c>
      <c r="B178" s="184">
        <f>'Design Converter'!E48</f>
        <v>8</v>
      </c>
      <c r="C178" s="111" t="s">
        <v>0</v>
      </c>
      <c r="E178" s="7"/>
      <c r="F178" s="7"/>
      <c r="G178" s="7"/>
      <c r="H178" s="7"/>
      <c r="I178" s="25"/>
    </row>
    <row r="179" spans="1:9" ht="12.75" customHeight="1">
      <c r="A179" s="110" t="s">
        <v>294</v>
      </c>
      <c r="B179" s="184">
        <f>'Design Converter'!E49</f>
        <v>7</v>
      </c>
      <c r="C179" s="111" t="s">
        <v>0</v>
      </c>
      <c r="E179" s="7"/>
      <c r="F179" s="7"/>
      <c r="G179" s="7"/>
      <c r="H179" s="7"/>
      <c r="I179" s="25"/>
    </row>
    <row r="180" spans="1:9" ht="12.75" customHeight="1">
      <c r="A180" s="110"/>
      <c r="B180" s="37"/>
      <c r="C180" s="111"/>
      <c r="E180" s="7"/>
      <c r="F180" s="7"/>
      <c r="G180" s="7"/>
      <c r="H180" s="7"/>
      <c r="I180" s="25"/>
    </row>
    <row r="181" spans="1:9" ht="12.75" customHeight="1">
      <c r="A181" s="110" t="s">
        <v>126</v>
      </c>
      <c r="B181" s="589">
        <f>(VINuvlo_off-VINuvlo_on*Vuvlo_off/Vuvlo_on)/(Iuvlo1*Vuvlo_off/Vuvlo_on-Iuvlo2)</f>
        <v>146.66666666666669</v>
      </c>
      <c r="C181" s="17" t="s">
        <v>113</v>
      </c>
      <c r="D181" s="7">
        <f>'Standard Value Calculator'!J16</f>
        <v>147</v>
      </c>
      <c r="E181" s="17" t="s">
        <v>113</v>
      </c>
      <c r="F181" s="37">
        <f>IF(Ruvlo1&lt;0,"N/A",D181)</f>
        <v>147</v>
      </c>
      <c r="G181" s="37" t="str">
        <f>IF(Ruvlo1&lt;0,"N/A",D181&amp;"kΩ")</f>
        <v>147kΩ</v>
      </c>
      <c r="I181" s="25"/>
    </row>
    <row r="182" spans="1:9" ht="12.75" customHeight="1">
      <c r="A182" s="110" t="s">
        <v>127</v>
      </c>
      <c r="B182" s="187">
        <f>D181*Vuvlo_on/(VINuvlo_on-Vuvlo_on+Ruvlo1*Iuvlo1)</f>
        <v>33.92307692307692</v>
      </c>
      <c r="C182" s="17" t="s">
        <v>113</v>
      </c>
      <c r="D182" s="7">
        <f>'Standard Value Calculator'!J17</f>
        <v>34</v>
      </c>
      <c r="E182" s="17" t="s">
        <v>113</v>
      </c>
      <c r="F182" s="37">
        <f>IF(F181="N/A","N/A",D182)</f>
        <v>34</v>
      </c>
      <c r="G182" s="37" t="str">
        <f>IF(G181="N/A","N/A",D182&amp;"kΩ")</f>
        <v>34kΩ</v>
      </c>
      <c r="I182" s="25"/>
    </row>
    <row r="183" spans="1:9" ht="12.75" customHeight="1">
      <c r="A183" s="110"/>
      <c r="B183" s="112"/>
      <c r="C183" s="17"/>
      <c r="D183" s="37"/>
      <c r="E183" s="17"/>
      <c r="F183" s="37"/>
      <c r="G183" s="37"/>
      <c r="I183" s="25"/>
    </row>
    <row r="184" spans="1:9" ht="12.75" customHeight="1">
      <c r="A184" s="110" t="s">
        <v>114</v>
      </c>
      <c r="B184" s="590">
        <f>(D181+D182)/D182*Vuvlo_on</f>
        <v>7.985294117647058</v>
      </c>
      <c r="C184" s="3" t="s">
        <v>0</v>
      </c>
      <c r="E184" s="7"/>
      <c r="F184" s="17"/>
      <c r="G184" s="7"/>
      <c r="H184" s="7"/>
      <c r="I184" s="25"/>
    </row>
    <row r="185" spans="1:9" ht="12.75" customHeight="1">
      <c r="A185" s="110" t="s">
        <v>115</v>
      </c>
      <c r="B185" s="590">
        <f>(D181+D182)/D182*Vuvlo_off-Iuvlo2*D181</f>
        <v>6.9841176470588229</v>
      </c>
      <c r="C185" s="3" t="s">
        <v>0</v>
      </c>
      <c r="E185" s="7"/>
      <c r="F185" s="17"/>
      <c r="G185" s="7"/>
      <c r="H185" s="7"/>
      <c r="I185" s="25"/>
    </row>
    <row r="186" spans="1:9" ht="12.75" customHeight="1" thickBot="1">
      <c r="A186" s="28"/>
      <c r="B186" s="38"/>
      <c r="C186" s="156"/>
      <c r="D186" s="29"/>
      <c r="E186" s="29"/>
      <c r="F186" s="29"/>
      <c r="G186" s="29"/>
      <c r="H186" s="29"/>
      <c r="I186" s="30"/>
    </row>
    <row r="187" spans="1:9">
      <c r="B187" s="16"/>
      <c r="C187" s="157"/>
    </row>
    <row r="188" spans="1:9" ht="16" thickBot="1">
      <c r="A188" s="50" t="s">
        <v>518</v>
      </c>
      <c r="B188" s="7"/>
      <c r="C188" s="39"/>
      <c r="D188" s="7"/>
      <c r="E188" s="7"/>
      <c r="F188" s="7"/>
      <c r="G188" s="7"/>
      <c r="H188" s="7"/>
      <c r="I188" s="7"/>
    </row>
    <row r="189" spans="1:9">
      <c r="A189" s="175" t="s">
        <v>16</v>
      </c>
      <c r="B189" s="176">
        <v>3.1415926500000002</v>
      </c>
      <c r="C189" s="177"/>
      <c r="D189" s="178" t="s">
        <v>170</v>
      </c>
      <c r="E189" s="31"/>
      <c r="F189" s="31"/>
      <c r="G189" s="31"/>
      <c r="H189" s="31"/>
      <c r="I189" s="32"/>
    </row>
    <row r="190" spans="1:9">
      <c r="A190" s="76" t="s">
        <v>185</v>
      </c>
      <c r="B190" s="204"/>
      <c r="C190" s="179" t="s">
        <v>184</v>
      </c>
      <c r="D190" s="181" t="s">
        <v>548</v>
      </c>
      <c r="I190" s="25"/>
    </row>
    <row r="191" spans="1:9">
      <c r="A191" s="76" t="s">
        <v>186</v>
      </c>
      <c r="B191" s="204"/>
      <c r="C191" s="179" t="s">
        <v>184</v>
      </c>
      <c r="D191" s="181"/>
      <c r="I191" s="25"/>
    </row>
    <row r="192" spans="1:9" ht="12.5">
      <c r="C192" s="7"/>
      <c r="D192" s="7"/>
      <c r="F192" s="7"/>
      <c r="G192" s="7"/>
      <c r="H192" s="7"/>
      <c r="I192" s="25"/>
    </row>
    <row r="193" spans="1:9">
      <c r="A193" s="110" t="s">
        <v>386</v>
      </c>
      <c r="B193" s="169">
        <f>(Vout+Vfwd1)*Nps*10</f>
        <v>85.25</v>
      </c>
      <c r="C193" s="17" t="s">
        <v>113</v>
      </c>
      <c r="D193" s="77" t="s">
        <v>520</v>
      </c>
      <c r="F193" s="7"/>
      <c r="G193" s="7"/>
      <c r="H193" s="7"/>
      <c r="I193" s="25">
        <v>1</v>
      </c>
    </row>
    <row r="194" spans="1:9">
      <c r="A194" s="34" t="s">
        <v>519</v>
      </c>
      <c r="B194" s="174">
        <f>Rfb/1000</f>
        <v>85.3</v>
      </c>
      <c r="C194" s="17" t="s">
        <v>113</v>
      </c>
      <c r="D194" s="77" t="s">
        <v>517</v>
      </c>
      <c r="F194" s="7"/>
      <c r="G194" s="7"/>
      <c r="H194" s="7"/>
      <c r="I194" s="25"/>
    </row>
    <row r="195" spans="1:9">
      <c r="A195" s="110" t="s">
        <v>53</v>
      </c>
      <c r="B195" s="36">
        <f>'Standard Value Calculator'!J10/1000</f>
        <v>84.5</v>
      </c>
      <c r="C195" s="17" t="s">
        <v>113</v>
      </c>
      <c r="D195" s="77" t="s">
        <v>359</v>
      </c>
      <c r="F195" s="7"/>
      <c r="G195" s="7"/>
      <c r="H195" s="7"/>
      <c r="I195" s="25"/>
    </row>
    <row r="196" spans="1:9">
      <c r="A196" s="77"/>
      <c r="B196" s="12"/>
      <c r="C196" s="17"/>
      <c r="D196" s="77"/>
      <c r="F196" s="7"/>
      <c r="G196" s="7"/>
      <c r="H196" s="7"/>
      <c r="I196" s="25"/>
    </row>
    <row r="197" spans="1:9">
      <c r="A197" s="111" t="s">
        <v>521</v>
      </c>
      <c r="B197" s="592">
        <f>'Design Converter'!E45</f>
        <v>4</v>
      </c>
      <c r="C197" s="111" t="s">
        <v>380</v>
      </c>
      <c r="D197" s="77"/>
      <c r="F197" s="7"/>
      <c r="G197" s="7"/>
      <c r="H197" s="7"/>
      <c r="I197" s="25"/>
    </row>
    <row r="198" spans="1:9" ht="15.5">
      <c r="A198" s="24" t="s">
        <v>516</v>
      </c>
      <c r="B198" s="371">
        <f>4*B194/Nps/ABS(Diode_TC)*1000</f>
        <v>1705999.9999999998</v>
      </c>
      <c r="C198" s="17" t="s">
        <v>136</v>
      </c>
      <c r="D198" s="77"/>
      <c r="F198" s="7"/>
      <c r="G198" s="7"/>
      <c r="H198" s="7"/>
      <c r="I198" s="25"/>
    </row>
    <row r="199" spans="1:9">
      <c r="A199" s="12" t="s">
        <v>522</v>
      </c>
      <c r="B199" s="167">
        <f>'Standard Value Calculator'!J9/1000</f>
        <v>1690</v>
      </c>
      <c r="C199" s="17" t="s">
        <v>113</v>
      </c>
      <c r="D199" s="77"/>
      <c r="F199" s="7"/>
      <c r="G199" s="7"/>
      <c r="H199" s="7"/>
      <c r="I199" s="25"/>
    </row>
    <row r="200" spans="1:9" ht="13.5" thickBot="1">
      <c r="A200" s="180"/>
      <c r="B200" s="180"/>
      <c r="C200" s="40"/>
      <c r="D200" s="29"/>
      <c r="E200" s="40"/>
      <c r="F200" s="29"/>
      <c r="G200" s="29"/>
      <c r="H200" s="29"/>
      <c r="I200" s="30"/>
    </row>
    <row r="201" spans="1:9">
      <c r="A201" s="2"/>
      <c r="B201" s="18"/>
      <c r="C201" s="18"/>
      <c r="E201" s="18"/>
    </row>
    <row r="202" spans="1:9">
      <c r="A202" s="2"/>
      <c r="B202" s="18"/>
      <c r="C202" s="18"/>
      <c r="E202" s="18"/>
    </row>
    <row r="203" spans="1:9" ht="16" thickBot="1">
      <c r="A203" s="54" t="s">
        <v>83</v>
      </c>
      <c r="B203" s="7"/>
      <c r="C203" s="39"/>
      <c r="D203" s="7"/>
      <c r="E203" s="7"/>
      <c r="F203" s="7"/>
      <c r="G203" s="7"/>
      <c r="H203" s="7"/>
      <c r="I203" s="7"/>
    </row>
    <row r="204" spans="1:9">
      <c r="A204" s="52"/>
      <c r="B204" s="31"/>
      <c r="C204" s="158"/>
      <c r="D204" s="31"/>
      <c r="E204" s="31"/>
      <c r="F204" s="31"/>
      <c r="G204" s="31"/>
      <c r="H204" s="31"/>
      <c r="I204" s="32"/>
    </row>
    <row r="205" spans="1:9">
      <c r="A205" s="34" t="s">
        <v>26</v>
      </c>
      <c r="B205" s="7"/>
      <c r="C205" s="39"/>
      <c r="D205" s="7"/>
      <c r="E205" s="7"/>
      <c r="F205" s="7"/>
      <c r="G205" s="7"/>
      <c r="H205" s="7"/>
      <c r="I205" s="25"/>
    </row>
    <row r="206" spans="1:9" ht="12.5">
      <c r="A206" s="24" t="s">
        <v>36</v>
      </c>
      <c r="B206" s="132">
        <f>'Design Converter'!E83</f>
        <v>85</v>
      </c>
      <c r="C206" s="77" t="s">
        <v>102</v>
      </c>
      <c r="D206" s="7" t="s">
        <v>40</v>
      </c>
      <c r="F206" s="7"/>
      <c r="G206" s="7"/>
      <c r="H206" s="7"/>
      <c r="I206" s="25"/>
    </row>
    <row r="207" spans="1:9">
      <c r="A207" s="34" t="s">
        <v>29</v>
      </c>
      <c r="B207" s="7"/>
      <c r="C207" s="7"/>
      <c r="D207" s="7"/>
      <c r="F207" s="7"/>
      <c r="G207" s="7"/>
      <c r="H207" s="7"/>
      <c r="I207" s="25"/>
    </row>
    <row r="208" spans="1:9" ht="12.5">
      <c r="A208" s="24" t="s">
        <v>35</v>
      </c>
      <c r="B208" s="27">
        <f>4000/1000000</f>
        <v>4.0000000000000001E-3</v>
      </c>
      <c r="C208" s="77" t="s">
        <v>138</v>
      </c>
      <c r="D208" s="77" t="s">
        <v>549</v>
      </c>
      <c r="F208" s="7"/>
      <c r="G208" s="7"/>
      <c r="H208" s="7"/>
      <c r="I208" s="25"/>
    </row>
    <row r="209" spans="1:9" ht="15.5">
      <c r="A209" s="110" t="s">
        <v>177</v>
      </c>
      <c r="B209" s="27">
        <v>20</v>
      </c>
      <c r="C209" s="111" t="s">
        <v>84</v>
      </c>
      <c r="D209" s="77" t="s">
        <v>550</v>
      </c>
      <c r="F209" s="7"/>
      <c r="G209" s="7"/>
      <c r="H209" s="7"/>
      <c r="I209" s="25"/>
    </row>
    <row r="210" spans="1:9" ht="12.5">
      <c r="A210" s="24" t="s">
        <v>37</v>
      </c>
      <c r="B210" s="10">
        <f>RCinEsr</f>
        <v>3.0000000000000001E-3</v>
      </c>
      <c r="C210" s="113" t="s">
        <v>45</v>
      </c>
      <c r="D210" s="77" t="s">
        <v>178</v>
      </c>
      <c r="F210" s="7"/>
      <c r="G210" s="7"/>
      <c r="H210" s="7"/>
      <c r="I210" s="25"/>
    </row>
    <row r="211" spans="1:9" ht="12.5">
      <c r="A211" s="24"/>
      <c r="B211" s="10"/>
      <c r="C211" s="113"/>
      <c r="D211" s="77"/>
      <c r="F211" s="7"/>
      <c r="G211" s="7"/>
      <c r="H211" s="7"/>
      <c r="I211" s="25"/>
    </row>
    <row r="212" spans="1:9">
      <c r="A212" s="33" t="s">
        <v>52</v>
      </c>
      <c r="B212" s="7"/>
      <c r="C212" s="7"/>
      <c r="D212" s="7"/>
      <c r="F212" s="7"/>
      <c r="G212" s="7"/>
      <c r="H212" s="7"/>
      <c r="I212" s="25"/>
    </row>
    <row r="213" spans="1:9">
      <c r="A213" s="110" t="s">
        <v>285</v>
      </c>
      <c r="B213" s="27">
        <f>Vdd</f>
        <v>5</v>
      </c>
      <c r="C213" s="60" t="s">
        <v>0</v>
      </c>
      <c r="D213" s="182"/>
      <c r="F213" s="7"/>
      <c r="G213" s="7"/>
      <c r="H213" s="7"/>
      <c r="I213" s="25"/>
    </row>
    <row r="214" spans="1:9" ht="12.5">
      <c r="A214" s="24" t="s">
        <v>49</v>
      </c>
      <c r="B214" s="35">
        <f>IQ</f>
        <v>4.4999999999999999E-4</v>
      </c>
      <c r="C214" s="7" t="s">
        <v>1</v>
      </c>
      <c r="D214" s="7" t="s">
        <v>50</v>
      </c>
      <c r="F214" s="7"/>
      <c r="G214" s="7"/>
      <c r="H214" s="7"/>
      <c r="I214" s="25"/>
    </row>
    <row r="215" spans="1:9" ht="12.5">
      <c r="A215" s="24"/>
      <c r="B215" s="7"/>
      <c r="C215" s="7"/>
      <c r="D215" s="7"/>
      <c r="F215" s="7"/>
      <c r="G215" s="7"/>
      <c r="H215" s="7"/>
      <c r="I215" s="25"/>
    </row>
    <row r="216" spans="1:9">
      <c r="A216" s="55" t="s">
        <v>172</v>
      </c>
      <c r="B216" s="42" t="s">
        <v>6</v>
      </c>
      <c r="C216" s="14" t="s">
        <v>33</v>
      </c>
      <c r="D216" s="7"/>
      <c r="F216" s="7"/>
      <c r="G216" s="7"/>
      <c r="H216" s="7"/>
      <c r="I216" s="25"/>
    </row>
    <row r="217" spans="1:9" ht="12.5">
      <c r="A217" s="56" t="s">
        <v>44</v>
      </c>
      <c r="B217" s="43"/>
      <c r="C217" s="44" t="s">
        <v>45</v>
      </c>
      <c r="D217" s="7"/>
      <c r="F217" s="7"/>
      <c r="G217" s="7"/>
      <c r="H217" s="7"/>
      <c r="I217" s="25"/>
    </row>
    <row r="218" spans="1:9" ht="12.5">
      <c r="A218" s="56" t="s">
        <v>46</v>
      </c>
      <c r="B218" s="13">
        <v>0</v>
      </c>
      <c r="C218" s="111" t="s">
        <v>102</v>
      </c>
      <c r="D218" s="7"/>
      <c r="F218" s="7"/>
      <c r="G218" s="7"/>
      <c r="H218" s="7"/>
      <c r="I218" s="25"/>
    </row>
    <row r="219" spans="1:9" ht="12.5">
      <c r="A219" s="56" t="s">
        <v>87</v>
      </c>
      <c r="B219" s="13" t="e">
        <v>#NAME?</v>
      </c>
      <c r="C219" s="12" t="s">
        <v>1</v>
      </c>
      <c r="D219" s="7"/>
      <c r="F219" s="7"/>
      <c r="G219" s="7"/>
      <c r="H219" s="7"/>
      <c r="I219" s="25"/>
    </row>
    <row r="220" spans="1:9" ht="12.5">
      <c r="A220" s="56" t="s">
        <v>88</v>
      </c>
      <c r="B220" s="12" t="e">
        <v>#NAME?</v>
      </c>
      <c r="C220" s="12" t="s">
        <v>1</v>
      </c>
      <c r="D220" s="7"/>
      <c r="F220" s="7"/>
      <c r="G220" s="7"/>
      <c r="H220" s="7"/>
      <c r="I220" s="25"/>
    </row>
    <row r="221" spans="1:9" ht="12.5">
      <c r="A221" s="56" t="s">
        <v>89</v>
      </c>
      <c r="B221" s="12" t="e">
        <f>C221/Vin</f>
        <v>#NAME?</v>
      </c>
      <c r="C221" s="12" t="e">
        <v>#NAME?</v>
      </c>
      <c r="D221" s="7"/>
      <c r="F221" s="7"/>
      <c r="G221" s="7"/>
      <c r="H221" s="7"/>
      <c r="I221" s="25"/>
    </row>
    <row r="222" spans="1:9" ht="12.5">
      <c r="A222" s="56" t="s">
        <v>91</v>
      </c>
      <c r="B222" s="12" t="e">
        <f>SUM(B219:B221)</f>
        <v>#NAME?</v>
      </c>
      <c r="C222" s="12" t="s">
        <v>1</v>
      </c>
      <c r="D222" s="7"/>
      <c r="F222" s="7"/>
      <c r="G222" s="7"/>
      <c r="H222" s="7"/>
      <c r="I222" s="25"/>
    </row>
    <row r="223" spans="1:9" ht="13.5" thickBot="1">
      <c r="A223" s="28"/>
      <c r="B223" s="29"/>
      <c r="C223" s="159"/>
      <c r="D223" s="29"/>
      <c r="E223" s="29"/>
      <c r="F223" s="29"/>
      <c r="G223" s="29"/>
      <c r="H223" s="29"/>
      <c r="I223" s="30"/>
    </row>
    <row r="224" spans="1:9">
      <c r="A224" s="2"/>
      <c r="B224" s="2"/>
      <c r="C224" s="2"/>
    </row>
    <row r="225" spans="1:9" ht="21.75" customHeight="1" thickBot="1">
      <c r="A225" s="50" t="s">
        <v>85</v>
      </c>
      <c r="B225" s="7"/>
      <c r="C225" s="39"/>
      <c r="D225" s="7"/>
      <c r="E225" s="7"/>
      <c r="F225" s="7"/>
      <c r="G225" s="7"/>
      <c r="H225" s="7"/>
      <c r="I225" s="7"/>
    </row>
    <row r="226" spans="1:9">
      <c r="A226" s="52"/>
      <c r="B226" s="31"/>
      <c r="C226" s="158"/>
      <c r="D226" s="31"/>
      <c r="E226" s="57"/>
      <c r="F226" s="57"/>
      <c r="G226" s="57"/>
      <c r="H226" s="57"/>
      <c r="I226" s="32"/>
    </row>
    <row r="227" spans="1:9">
      <c r="A227" s="24"/>
      <c r="B227" s="111"/>
      <c r="C227" s="39"/>
      <c r="D227" s="7"/>
      <c r="E227" s="199"/>
      <c r="F227" s="199"/>
      <c r="G227" s="199"/>
      <c r="H227" s="199"/>
      <c r="I227" s="25"/>
    </row>
    <row r="228" spans="1:9">
      <c r="A228" s="24" t="str">
        <f>"RUV1 = "&amp;'Design Converter'!E50&amp;"MΩ"</f>
        <v>RUV1 = 147MΩ</v>
      </c>
      <c r="B228" s="7" t="str">
        <f>C269</f>
        <v>147kΩ</v>
      </c>
      <c r="C228" s="39"/>
      <c r="D228" s="7"/>
      <c r="E228" s="199"/>
      <c r="F228" s="199"/>
      <c r="G228" s="199"/>
      <c r="H228" s="199"/>
      <c r="I228" s="25"/>
    </row>
    <row r="229" spans="1:9">
      <c r="A229" s="24" t="str">
        <f>"RUV2 = "&amp;'Design Converter'!E51&amp;"kΩ"</f>
        <v>RUV2 = 34kΩ</v>
      </c>
      <c r="B229" s="7" t="str">
        <f>C270</f>
        <v>34kΩ</v>
      </c>
      <c r="C229" s="39"/>
      <c r="D229" s="7"/>
      <c r="E229" s="199"/>
      <c r="F229" s="199"/>
      <c r="G229" s="199"/>
      <c r="H229" s="199"/>
      <c r="I229" s="25"/>
    </row>
    <row r="230" spans="1:9">
      <c r="A230" s="24"/>
      <c r="B230" s="7"/>
      <c r="C230" s="39"/>
      <c r="D230" s="7"/>
      <c r="E230" s="199"/>
      <c r="F230" s="199"/>
      <c r="G230" s="199"/>
      <c r="H230" s="199"/>
      <c r="I230" s="25"/>
    </row>
    <row r="231" spans="1:9">
      <c r="A231" s="24" t="str">
        <f>"Lmag = "&amp;'Design Converter'!L7&amp;"µH"</f>
        <v>Lmag = 0.5µH</v>
      </c>
      <c r="B231" s="7" t="str">
        <f>'Design Converter'!L7&amp;"µH"</f>
        <v>0.5µH</v>
      </c>
      <c r="C231" s="39"/>
      <c r="D231" s="7"/>
      <c r="E231" s="7"/>
      <c r="F231" s="7"/>
      <c r="G231" s="7"/>
      <c r="H231" s="7"/>
      <c r="I231" s="25"/>
    </row>
    <row r="232" spans="1:9">
      <c r="A232" s="24" t="str">
        <f>"Rdcr = "&amp;Rdcr_pri*1000&amp;"mΩ"</f>
        <v>Rdcr = 30mΩ</v>
      </c>
      <c r="B232" s="198" t="str">
        <f>Rdcr_pri*1000&amp;"mΩ"</f>
        <v>30mΩ</v>
      </c>
      <c r="C232" s="39"/>
      <c r="D232" s="7"/>
      <c r="E232" s="7"/>
      <c r="F232" s="7"/>
      <c r="G232" s="7"/>
      <c r="H232" s="7"/>
      <c r="I232" s="25"/>
    </row>
    <row r="233" spans="1:9">
      <c r="A233" s="110" t="s">
        <v>384</v>
      </c>
      <c r="B233" s="198" t="str">
        <f>W66</f>
        <v>1 : 20 : 1.49</v>
      </c>
      <c r="C233" s="39"/>
      <c r="D233" s="7"/>
      <c r="E233" s="7"/>
      <c r="F233" s="7"/>
      <c r="G233" s="7"/>
      <c r="H233" s="7"/>
      <c r="I233" s="25"/>
    </row>
    <row r="234" spans="1:9">
      <c r="A234" s="24"/>
      <c r="B234" s="198"/>
      <c r="C234" s="39"/>
      <c r="D234" s="7"/>
      <c r="E234" s="7"/>
      <c r="F234" s="7"/>
      <c r="G234" s="7"/>
      <c r="H234" s="7"/>
      <c r="I234" s="25"/>
    </row>
    <row r="235" spans="1:9">
      <c r="A235" s="24" t="str">
        <f>"Css = "&amp;ROUND(Css_u*1000000000,1)&amp;"nF"</f>
        <v>Css = 100nF</v>
      </c>
      <c r="B235" s="7" t="str">
        <f>ROUND(Css_u*1000000000,1)&amp;"nF"</f>
        <v>100nF</v>
      </c>
      <c r="C235" s="39"/>
      <c r="D235" s="7"/>
      <c r="E235" s="7"/>
      <c r="F235" s="7"/>
      <c r="G235" s="7"/>
      <c r="H235" s="7"/>
      <c r="I235" s="25"/>
    </row>
    <row r="236" spans="1:9">
      <c r="A236" s="24"/>
      <c r="B236" s="7"/>
      <c r="C236" s="39"/>
      <c r="D236" s="7"/>
      <c r="E236" s="7"/>
      <c r="F236" s="7"/>
      <c r="G236" s="7"/>
      <c r="H236" s="7"/>
      <c r="I236" s="25"/>
    </row>
    <row r="237" spans="1:9">
      <c r="A237" s="24" t="s">
        <v>57</v>
      </c>
      <c r="B237" s="7" t="str">
        <f>VIN_nom&amp;"V"</f>
        <v>12.5V</v>
      </c>
      <c r="C237" s="39"/>
      <c r="D237" s="7"/>
      <c r="E237" s="7"/>
      <c r="F237" s="7"/>
      <c r="G237" s="7"/>
      <c r="H237" s="7"/>
      <c r="I237" s="25"/>
    </row>
    <row r="238" spans="1:9">
      <c r="A238" s="110" t="s">
        <v>187</v>
      </c>
      <c r="B238" s="7" t="str">
        <f>VIN_min&amp;"V..."&amp;VIN_max&amp;"V"</f>
        <v>9V...16V</v>
      </c>
      <c r="C238" s="39"/>
      <c r="D238" s="7"/>
      <c r="E238" s="7"/>
      <c r="F238" s="7"/>
      <c r="G238" s="7"/>
      <c r="H238" s="7"/>
      <c r="I238" s="25"/>
    </row>
    <row r="239" spans="1:9">
      <c r="A239" s="110"/>
      <c r="B239" s="7"/>
      <c r="C239" s="39"/>
      <c r="D239" s="7"/>
      <c r="E239" s="7"/>
      <c r="F239" s="7"/>
      <c r="G239" s="7"/>
      <c r="H239" s="7"/>
      <c r="I239" s="25"/>
    </row>
    <row r="240" spans="1:9">
      <c r="A240" s="24" t="str">
        <f>"VOUT = "&amp;'Design Converter'!E10&amp;"V"</f>
        <v>VOUT = 170V</v>
      </c>
      <c r="B240" s="7" t="str">
        <f>'Design Converter'!E10&amp;"V"</f>
        <v>170V</v>
      </c>
      <c r="C240" s="39"/>
      <c r="D240" s="7">
        <f>MODE</f>
        <v>2</v>
      </c>
      <c r="E240" s="7"/>
      <c r="F240" s="7"/>
      <c r="G240" s="7"/>
      <c r="H240" s="7"/>
      <c r="I240" s="25"/>
    </row>
    <row r="241" spans="1:9">
      <c r="A241" s="24" t="str">
        <f>"VOUT2 = "&amp;'Design Converter'!E12&amp;"V"</f>
        <v>VOUT2 = 12V</v>
      </c>
      <c r="B241" s="7" t="str">
        <f>IF(MODE_TOP="DUAL", 'Design Converter'!E12&amp;"V", "")</f>
        <v>12V</v>
      </c>
      <c r="C241" s="39"/>
      <c r="D241" s="77" t="b">
        <f>MODE=2</f>
        <v>1</v>
      </c>
      <c r="E241" s="7"/>
      <c r="F241" s="7"/>
      <c r="G241" s="7"/>
      <c r="H241" s="7"/>
      <c r="I241" s="25"/>
    </row>
    <row r="242" spans="1:9">
      <c r="A242" s="24" t="str">
        <f>"VOUT2 = "&amp;'Design Converter'!E12&amp;"V"</f>
        <v>VOUT2 = 12V</v>
      </c>
      <c r="B242" s="7" t="str">
        <f>IF(MODE_TOP="BIPOLAR", 'Design Converter'!E12&amp;"V", "")</f>
        <v/>
      </c>
      <c r="C242" s="39"/>
      <c r="D242" s="7"/>
      <c r="E242" s="7"/>
      <c r="F242" s="7"/>
      <c r="G242" s="7"/>
      <c r="H242" s="7"/>
      <c r="I242" s="25"/>
    </row>
    <row r="243" spans="1:9">
      <c r="A243" s="24"/>
      <c r="B243" s="7"/>
      <c r="C243" s="39"/>
      <c r="D243" s="7"/>
      <c r="E243" s="7"/>
      <c r="F243" s="7"/>
      <c r="G243" s="7"/>
      <c r="H243" s="7"/>
      <c r="I243" s="25"/>
    </row>
    <row r="244" spans="1:9">
      <c r="A244" s="396" t="s">
        <v>510</v>
      </c>
      <c r="B244" s="77" t="str">
        <f>IF(MODE=1, "", "Co1")</f>
        <v>Co1</v>
      </c>
      <c r="C244" s="77" t="str">
        <f>IF(MODE_TOP="DUAL", "Co2", "")</f>
        <v>Co2</v>
      </c>
      <c r="D244" s="77" t="str">
        <f>IF(MODE_TOP="BIPOLAR", "Co2", "")</f>
        <v/>
      </c>
      <c r="E244" s="7"/>
      <c r="F244" s="77" t="str">
        <f>MODE_TOP</f>
        <v>DUAL</v>
      </c>
      <c r="G244" s="7"/>
      <c r="H244" s="7"/>
      <c r="I244" s="25"/>
    </row>
    <row r="245" spans="1:9" ht="12.5">
      <c r="A245" s="24" t="str">
        <f>"COUT = "&amp;'Design Converter'!$E$34&amp;"µF"</f>
        <v>COUT = 10µF</v>
      </c>
      <c r="B245" s="7" t="str">
        <f>'Design Converter'!$E$34&amp;"µF"</f>
        <v>10µF</v>
      </c>
      <c r="C245" s="7" t="str">
        <f>IF(MODE_TOP="DUAL", 'Design Converter'!$L$34&amp;"µF", "")</f>
        <v>55µF</v>
      </c>
      <c r="D245" s="7" t="str">
        <f>IF(MODE_TOP="BIPOLAR", 'Design Converter'!$L$34&amp;"µF", "")</f>
        <v/>
      </c>
      <c r="E245" s="7"/>
      <c r="F245" s="7" t="str">
        <f>'Design Converter'!$L$34&amp;"µF"</f>
        <v>55µF</v>
      </c>
      <c r="G245" s="7"/>
      <c r="H245" s="7"/>
      <c r="I245" s="25"/>
    </row>
    <row r="246" spans="1:9">
      <c r="A246" s="110" t="s">
        <v>134</v>
      </c>
      <c r="B246" s="7" t="str">
        <f>"22µF"</f>
        <v>22µF</v>
      </c>
      <c r="C246" s="39"/>
      <c r="D246" s="7"/>
      <c r="E246" s="7"/>
      <c r="F246" s="7"/>
      <c r="G246" s="7"/>
      <c r="H246" s="7"/>
      <c r="I246" s="25"/>
    </row>
    <row r="247" spans="1:9">
      <c r="A247" s="110" t="s">
        <v>135</v>
      </c>
      <c r="B247" s="78" t="str">
        <f>ROUNDUP(Cout/22,0)&amp;" x"</f>
        <v>1 x</v>
      </c>
      <c r="C247" s="160"/>
      <c r="D247" s="7"/>
      <c r="E247" s="7"/>
      <c r="F247" s="7"/>
      <c r="G247" s="7"/>
      <c r="H247" s="7"/>
      <c r="I247" s="25"/>
    </row>
    <row r="248" spans="1:9">
      <c r="A248" s="110"/>
      <c r="B248" s="78">
        <f>Cout</f>
        <v>10</v>
      </c>
      <c r="C248" s="160"/>
      <c r="D248" s="7"/>
      <c r="E248" s="7"/>
      <c r="F248" s="7"/>
      <c r="G248" s="7"/>
      <c r="H248" s="7"/>
      <c r="I248" s="25"/>
    </row>
    <row r="249" spans="1:9">
      <c r="A249" s="396" t="s">
        <v>511</v>
      </c>
      <c r="B249" s="7"/>
      <c r="C249" s="39"/>
      <c r="D249" s="7"/>
      <c r="E249" s="7"/>
      <c r="F249" s="7"/>
      <c r="G249" s="7"/>
      <c r="H249" s="7"/>
      <c r="I249" s="25"/>
    </row>
    <row r="250" spans="1:9">
      <c r="A250" s="24" t="s">
        <v>95</v>
      </c>
      <c r="B250" s="7" t="str">
        <f>Cin&amp;"µF"</f>
        <v>40µF</v>
      </c>
      <c r="E250" s="7"/>
      <c r="F250" s="7"/>
      <c r="G250" s="7"/>
      <c r="H250" s="7"/>
      <c r="I250" s="25"/>
    </row>
    <row r="251" spans="1:9">
      <c r="A251" s="110" t="s">
        <v>133</v>
      </c>
      <c r="B251" s="7" t="str">
        <f>"4.7µF"</f>
        <v>4.7µF</v>
      </c>
      <c r="C251" s="39"/>
      <c r="D251" s="7"/>
      <c r="E251" s="7"/>
      <c r="F251" s="7"/>
      <c r="G251" s="7"/>
      <c r="H251" s="7"/>
      <c r="I251" s="25"/>
    </row>
    <row r="252" spans="1:9">
      <c r="A252" s="110" t="s">
        <v>132</v>
      </c>
      <c r="B252" s="78" t="str">
        <f>ROUNDUP(Cin/4.7,0)&amp;" x"</f>
        <v>9 x</v>
      </c>
      <c r="C252" s="160"/>
      <c r="D252" s="7"/>
      <c r="E252" s="7"/>
      <c r="F252" s="7"/>
      <c r="G252" s="7"/>
      <c r="H252" s="7"/>
      <c r="I252" s="25"/>
    </row>
    <row r="253" spans="1:9">
      <c r="A253" s="110"/>
      <c r="B253" s="78"/>
      <c r="D253" s="7"/>
      <c r="E253" s="7"/>
      <c r="F253" s="7"/>
      <c r="G253" s="7"/>
      <c r="H253" s="7"/>
      <c r="I253" s="25"/>
    </row>
    <row r="254" spans="1:9" ht="15.5">
      <c r="A254" s="110" t="s">
        <v>512</v>
      </c>
      <c r="B254" s="577" t="s">
        <v>513</v>
      </c>
      <c r="C254" s="577" t="s">
        <v>551</v>
      </c>
      <c r="D254" s="7"/>
      <c r="E254" s="7"/>
      <c r="F254" s="7"/>
      <c r="G254" s="7"/>
      <c r="H254" s="7"/>
      <c r="I254" s="25"/>
    </row>
    <row r="255" spans="1:9">
      <c r="A255" s="110"/>
      <c r="B255" s="78"/>
      <c r="D255" s="7"/>
      <c r="E255" s="7"/>
      <c r="F255" s="7"/>
      <c r="G255" s="7"/>
      <c r="H255" s="7"/>
      <c r="I255" s="25"/>
    </row>
    <row r="256" spans="1:9">
      <c r="A256" s="396" t="s">
        <v>383</v>
      </c>
      <c r="B256" s="160" t="str">
        <f>IF(MODE_TC=1, "YES", "NO")</f>
        <v>YES</v>
      </c>
      <c r="D256" s="7"/>
      <c r="E256" s="7"/>
      <c r="F256" s="7"/>
      <c r="G256" s="7"/>
      <c r="H256" s="7"/>
      <c r="I256" s="25"/>
    </row>
    <row r="257" spans="1:9">
      <c r="A257" s="110" t="s">
        <v>298</v>
      </c>
      <c r="B257" s="160" t="str">
        <f>IF(MODE_TC=2, "YES", "NO")</f>
        <v>NO</v>
      </c>
      <c r="C257" s="386" t="str">
        <f>IF(MODE_TC=2, "R1", "")</f>
        <v/>
      </c>
      <c r="D257" s="386" t="str">
        <f>IF(MODE_TC=2, "R2", "")</f>
        <v/>
      </c>
      <c r="E257" s="386"/>
      <c r="F257" s="7"/>
      <c r="G257" s="7"/>
      <c r="H257" s="7"/>
      <c r="I257" s="25"/>
    </row>
    <row r="258" spans="1:9" ht="12.5">
      <c r="A258" s="24" t="str">
        <f>"RFB = "&amp;'Design Converter'!E39&amp;"kΩ"</f>
        <v>RFB = 85.25kΩ</v>
      </c>
      <c r="B258" s="7" t="str">
        <f>IF(MODE_TC=1, "", 'Design Converter'!E39&amp;"kΩ")</f>
        <v/>
      </c>
      <c r="C258" s="77" t="str">
        <f>'Design Converter'!E39&amp;"kΩ"</f>
        <v>85.25kΩ</v>
      </c>
      <c r="D258" s="7"/>
      <c r="E258" s="7"/>
      <c r="F258" s="7"/>
      <c r="G258" s="7"/>
      <c r="H258" s="7"/>
      <c r="I258" s="25"/>
    </row>
    <row r="259" spans="1:9" ht="12.5">
      <c r="A259" s="24" t="str">
        <f>"RFB2 = "&amp;IF(Vout=Vref,"OPEN",'Design Converter'!E40&amp;"kΩ")</f>
        <v>RFB2 = 85.3kΩ</v>
      </c>
      <c r="B259" s="7" t="str">
        <f>IF(MODE_TC=1, "", IF(Vout=Vref,"OPEN",Rfb2_u/1000&amp;"kΩ"))</f>
        <v/>
      </c>
      <c r="C259" s="77" t="str">
        <f>'Design Converter'!E40&amp;"kΩ"</f>
        <v>85.3kΩ</v>
      </c>
      <c r="D259" s="7"/>
      <c r="E259" s="7"/>
      <c r="F259" s="7"/>
      <c r="G259" s="7"/>
      <c r="H259" s="7"/>
      <c r="I259" s="25"/>
    </row>
    <row r="260" spans="1:9" ht="12.5">
      <c r="A260" s="24"/>
      <c r="B260" s="7"/>
      <c r="C260" s="77"/>
      <c r="D260" s="7"/>
      <c r="E260" s="7"/>
      <c r="F260" s="7"/>
      <c r="G260" s="7"/>
      <c r="H260" s="7"/>
      <c r="I260" s="25"/>
    </row>
    <row r="261" spans="1:9">
      <c r="A261" s="110" t="s">
        <v>302</v>
      </c>
      <c r="B261" s="39" t="str">
        <f>IF(MODE=1, "YES", "NO")</f>
        <v>NO</v>
      </c>
      <c r="C261" s="7" t="str">
        <f>IF(MODE=1,"Rt", "")</f>
        <v/>
      </c>
      <c r="D261" s="7"/>
      <c r="E261" s="7"/>
      <c r="F261" s="7"/>
      <c r="G261" s="7"/>
      <c r="H261" s="7"/>
      <c r="I261" s="25"/>
    </row>
    <row r="262" spans="1:9">
      <c r="A262" s="110" t="s">
        <v>139</v>
      </c>
      <c r="B262" s="7" t="str">
        <f>IF(MODE=2, "", 'Standard Value Calculator'!J4/1000&amp;"kΩ")</f>
        <v/>
      </c>
      <c r="C262" s="39"/>
      <c r="D262" s="7"/>
      <c r="E262" s="7"/>
      <c r="F262" s="7"/>
      <c r="G262" s="7"/>
      <c r="H262" s="7"/>
      <c r="I262" s="25"/>
    </row>
    <row r="263" spans="1:9">
      <c r="A263" s="110"/>
      <c r="B263" s="7"/>
      <c r="C263" s="39"/>
      <c r="D263" s="7"/>
      <c r="E263" s="7"/>
      <c r="F263" s="7"/>
      <c r="G263" s="7"/>
      <c r="H263" s="7"/>
      <c r="I263" s="25"/>
    </row>
    <row r="264" spans="1:9">
      <c r="A264" s="396" t="s">
        <v>374</v>
      </c>
      <c r="B264" s="160" t="str">
        <f>IF(MODE=1, "YES", "NO")</f>
        <v>NO</v>
      </c>
      <c r="C264" s="77" t="str">
        <f>IF(TC=1,"Rtc", "")</f>
        <v>Rtc</v>
      </c>
      <c r="D264" s="7"/>
      <c r="E264" s="7"/>
      <c r="F264" s="7"/>
      <c r="G264" s="7"/>
      <c r="H264" s="7"/>
      <c r="I264" s="25"/>
    </row>
    <row r="265" spans="1:9" ht="12.5">
      <c r="A265" s="521" t="str">
        <f>"RTC = "&amp;RTC&amp;"kΩ"</f>
        <v>RTC = 1690kΩ</v>
      </c>
      <c r="B265" s="7" t="str">
        <f>IF(TC=1, RTC&amp;"kΩ", "")</f>
        <v>1690kΩ</v>
      </c>
      <c r="C265" s="77" t="str">
        <f>CHOOSE(TC,"Rtc","")</f>
        <v>Rtc</v>
      </c>
      <c r="D265" s="7"/>
      <c r="E265" s="7"/>
      <c r="F265" s="8"/>
      <c r="G265" s="7"/>
      <c r="H265" s="7"/>
      <c r="I265" s="25"/>
    </row>
    <row r="266" spans="1:9" ht="12.5">
      <c r="A266" s="110" t="s">
        <v>377</v>
      </c>
      <c r="B266" s="368"/>
      <c r="C266" s="7"/>
      <c r="D266" s="7"/>
      <c r="E266" s="7"/>
      <c r="F266" s="8"/>
      <c r="G266" s="7"/>
      <c r="H266" s="7"/>
      <c r="I266" s="25"/>
    </row>
    <row r="267" spans="1:9">
      <c r="A267" s="24"/>
      <c r="B267" s="78"/>
      <c r="C267" s="160"/>
      <c r="D267" s="7"/>
      <c r="E267" s="113"/>
      <c r="F267" s="7"/>
      <c r="G267" s="7"/>
      <c r="H267" s="7"/>
      <c r="I267" s="25"/>
    </row>
    <row r="268" spans="1:9">
      <c r="A268" s="396" t="s">
        <v>305</v>
      </c>
      <c r="B268" s="160" t="str">
        <f>IF(MODE_UVLO=1, "YES", "NO")</f>
        <v>YES</v>
      </c>
      <c r="C268" s="386" t="str">
        <f>IF(MODE_UVLO=1, "Ruv1", "")</f>
        <v>Ruv1</v>
      </c>
      <c r="D268" s="386" t="str">
        <f>IF(MODE_UVLO=1, "Ruv2", "")</f>
        <v>Ruv2</v>
      </c>
      <c r="E268" s="386"/>
      <c r="F268" s="386" t="s">
        <v>6</v>
      </c>
      <c r="G268" s="386" t="s">
        <v>33</v>
      </c>
      <c r="H268" s="77" t="s">
        <v>339</v>
      </c>
      <c r="I268" s="25"/>
    </row>
    <row r="269" spans="1:9" ht="12.5">
      <c r="A269" s="24" t="str">
        <f>"RUV1 = "&amp;C269</f>
        <v>RUV1 = 147kΩ</v>
      </c>
      <c r="B269" s="7" t="str">
        <f>'Design Converter'!E50&amp;" kΩ"</f>
        <v>147 kΩ</v>
      </c>
      <c r="C269" s="386" t="str">
        <f>IF(MODE_UVLO=1,'Design Converter'!E50&amp;"kΩ", "")</f>
        <v>147kΩ</v>
      </c>
      <c r="F269" s="7">
        <f>IF(MODE_UVLO=1,'Design Converter'!E50, "")</f>
        <v>147</v>
      </c>
      <c r="G269" s="77" t="str">
        <f>IF(MODE_UVLO=1,"kΩ", "")</f>
        <v>kΩ</v>
      </c>
      <c r="H269" s="386" t="str">
        <f>IF(MODE_UVLO=1,'Design Converter'!E50&amp;"k", "")</f>
        <v>147k</v>
      </c>
      <c r="I269" s="25"/>
    </row>
    <row r="270" spans="1:9" ht="12.5">
      <c r="A270" s="24" t="str">
        <f>"RUV2 = "&amp;C270</f>
        <v>RUV2 = 34kΩ</v>
      </c>
      <c r="B270" s="7" t="str">
        <f>IF(D182&gt;=1000, D182/1000&amp;" MΩ", D182&amp;" kΩ")</f>
        <v>34 kΩ</v>
      </c>
      <c r="C270" s="386" t="str">
        <f>IF(MODE_UVLO=1, IF(D182&lt;1, D182*1000&amp;"Ω", IF(D182&lt;1000, D182&amp;"kΩ", D182/1000&amp;"MΩ")), "")</f>
        <v>34kΩ</v>
      </c>
      <c r="F270" s="7">
        <f>IF(MODE_UVLO=1, IF(D182&lt;1, D182*1000, IF(D182&lt;1000, D182, D182/1000)), "")</f>
        <v>34</v>
      </c>
      <c r="G270" s="77" t="str">
        <f>IF(MODE_UVLO=1, IF(D182&lt;1, "Ω", IF(D182&lt;1000,"kΩ", "MΩ")), "")</f>
        <v>kΩ</v>
      </c>
      <c r="H270" s="386" t="str">
        <f>IF(MODE_UVLO=1, IF(D182&lt;1, D182*1000, IF(D182&lt;1000, D182&amp;"k", D182/1000&amp;"M")), "")</f>
        <v>34k</v>
      </c>
      <c r="I270" s="25"/>
    </row>
    <row r="271" spans="1:9" ht="12.5">
      <c r="A271" s="24"/>
      <c r="B271" s="7"/>
      <c r="C271" s="386"/>
      <c r="F271" s="7"/>
      <c r="G271" s="77"/>
      <c r="H271" s="386"/>
      <c r="I271" s="25"/>
    </row>
    <row r="272" spans="1:9">
      <c r="A272" s="396" t="s">
        <v>378</v>
      </c>
      <c r="B272" s="7"/>
      <c r="C272" s="386"/>
      <c r="F272" s="7"/>
      <c r="G272" s="77"/>
      <c r="H272" s="386"/>
      <c r="I272" s="25"/>
    </row>
    <row r="273" spans="1:9" ht="12.5">
      <c r="A273" s="24" t="str">
        <f>"RSET = "&amp;C273</f>
        <v>RSET = 10kΩ</v>
      </c>
      <c r="B273" s="77" t="s">
        <v>783</v>
      </c>
      <c r="C273" s="77" t="s">
        <v>784</v>
      </c>
      <c r="F273" s="7">
        <f>IF(MODE_UVLO=1, IF(D183&lt;1, D183*1000, IF(D183&lt;1000, D183, D183/1000)), "")</f>
        <v>0</v>
      </c>
      <c r="G273" s="77" t="str">
        <f>IF(MODE_UVLO=1, IF(D183&lt;1, "Ω", IF(D183&lt;1000,"kΩ", "MΩ")), "")</f>
        <v>Ω</v>
      </c>
      <c r="H273" s="386">
        <f>IF(MODE_UVLO=1, IF(D183&lt;1, D183*1000, IF(D183&lt;1000, D183&amp;"k", D183&amp;"M")), "")</f>
        <v>0</v>
      </c>
      <c r="I273" s="25"/>
    </row>
    <row r="274" spans="1:9" ht="12.5">
      <c r="A274" s="24"/>
      <c r="B274" s="77"/>
      <c r="C274" s="77"/>
      <c r="F274" s="7"/>
      <c r="G274" s="77"/>
      <c r="H274" s="386"/>
      <c r="I274" s="25"/>
    </row>
    <row r="275" spans="1:9">
      <c r="A275" s="396" t="s">
        <v>379</v>
      </c>
      <c r="B275" s="78"/>
      <c r="C275" s="160"/>
      <c r="D275" s="7"/>
      <c r="E275" s="113"/>
      <c r="F275" s="7"/>
      <c r="G275" s="7"/>
      <c r="H275" s="7"/>
      <c r="I275" s="25"/>
    </row>
    <row r="276" spans="1:9">
      <c r="A276" s="24" t="str">
        <f>"Css = "&amp;Css*1000000000&amp;"nF"</f>
        <v>Css = 100nF</v>
      </c>
      <c r="B276" s="7" t="str">
        <f>Css*1000000000&amp;"nF"</f>
        <v>100nF</v>
      </c>
      <c r="D276" s="7"/>
      <c r="E276" s="7"/>
      <c r="F276" s="7"/>
      <c r="G276" s="7"/>
      <c r="H276" s="7"/>
      <c r="I276" s="25"/>
    </row>
    <row r="277" spans="1:9" ht="12.5">
      <c r="A277" s="24" t="s">
        <v>66</v>
      </c>
      <c r="B277" s="7" t="str">
        <f>CHOOSE(MODE_SS,'Standard Value Calculator'!B4*1000000000&amp;"nF","")</f>
        <v>100nF</v>
      </c>
      <c r="C277" s="7" t="str">
        <f>CHOOSE(MODE_SS,"Css","")</f>
        <v>Css</v>
      </c>
      <c r="D277" s="397" t="str">
        <f>B277</f>
        <v>100nF</v>
      </c>
      <c r="E277" s="7"/>
      <c r="F277" s="7"/>
      <c r="G277" s="7"/>
      <c r="H277" s="7"/>
      <c r="I277" s="25"/>
    </row>
    <row r="278" spans="1:9">
      <c r="A278" s="24"/>
      <c r="B278" s="7"/>
      <c r="C278" s="77" t="str">
        <f>C277</f>
        <v>Css</v>
      </c>
      <c r="D278" s="39"/>
      <c r="E278" s="7"/>
      <c r="F278" s="7"/>
      <c r="G278" s="7"/>
      <c r="H278" s="7"/>
      <c r="I278" s="25"/>
    </row>
    <row r="279" spans="1:9">
      <c r="A279" s="24"/>
      <c r="B279" s="7"/>
      <c r="C279" s="77"/>
      <c r="D279" s="39"/>
      <c r="E279" s="7"/>
      <c r="F279" s="7"/>
      <c r="G279" s="7"/>
      <c r="H279" s="7"/>
      <c r="I279" s="25"/>
    </row>
    <row r="280" spans="1:9" ht="12.5">
      <c r="A280" s="110" t="s">
        <v>640</v>
      </c>
      <c r="B280" s="77">
        <f>ROUND(Iout*2,1)</f>
        <v>1.2</v>
      </c>
      <c r="C280" s="77" t="s">
        <v>1</v>
      </c>
      <c r="D280" s="7"/>
      <c r="E280" s="7"/>
      <c r="F280" s="7"/>
      <c r="G280" s="7"/>
      <c r="H280" s="7"/>
      <c r="I280" s="25"/>
    </row>
    <row r="281" spans="1:9" ht="12.5">
      <c r="A281" s="110" t="s">
        <v>641</v>
      </c>
      <c r="B281">
        <f>ROUND(VRRM_DIODE,0)</f>
        <v>490</v>
      </c>
      <c r="C281" s="77" t="s">
        <v>0</v>
      </c>
      <c r="D281" s="7"/>
      <c r="E281" s="7"/>
      <c r="F281" s="7"/>
      <c r="G281" s="7"/>
      <c r="H281" s="7"/>
      <c r="I281" s="25"/>
    </row>
    <row r="282" spans="1:9">
      <c r="F282" s="7"/>
      <c r="G282" s="7"/>
      <c r="H282" s="7"/>
      <c r="I282" s="25"/>
    </row>
    <row r="283" spans="1:9" ht="12.5">
      <c r="A283" s="110"/>
      <c r="B283" s="368"/>
      <c r="C283" s="7"/>
      <c r="D283" s="7"/>
      <c r="E283" s="7"/>
      <c r="F283" s="7"/>
      <c r="G283" s="7"/>
      <c r="H283" s="7"/>
      <c r="I283" s="25"/>
    </row>
    <row r="284" spans="1:9" ht="12.5">
      <c r="A284" s="110" t="s">
        <v>129</v>
      </c>
      <c r="B284" s="77" t="s">
        <v>310</v>
      </c>
      <c r="C284" s="7"/>
      <c r="D284" s="7"/>
      <c r="E284" s="7"/>
      <c r="F284" s="7"/>
      <c r="G284" s="7"/>
      <c r="H284" s="7"/>
      <c r="I284" s="25"/>
    </row>
    <row r="285" spans="1:9" ht="12.5">
      <c r="A285" s="110"/>
      <c r="B285" s="77"/>
      <c r="C285" s="7"/>
      <c r="D285" s="7"/>
      <c r="E285" s="7"/>
      <c r="F285" s="7"/>
      <c r="G285" s="7"/>
      <c r="H285" s="7"/>
      <c r="I285" s="25"/>
    </row>
    <row r="286" spans="1:9" ht="12.5">
      <c r="A286" s="110" t="s">
        <v>183</v>
      </c>
      <c r="B286" s="353" t="str">
        <f>CHOOSE(MODE, ROUND('Calculations - Single'!$CB$105,1)&amp;"%", ROUND('Calculations - Dual'!CB105,1)&amp;"%")</f>
        <v>7.2%</v>
      </c>
      <c r="C286" s="7"/>
      <c r="D286" s="7"/>
      <c r="E286" s="7"/>
      <c r="F286" s="7"/>
      <c r="G286" s="7"/>
      <c r="H286" s="7"/>
      <c r="I286" s="25"/>
    </row>
    <row r="287" spans="1:9" ht="12.5">
      <c r="A287" s="110" t="s">
        <v>492</v>
      </c>
      <c r="B287" s="353" t="str">
        <f>ROUND('Calculations - Single'!$CB$55,1)&amp;"%"</f>
        <v>60.8%</v>
      </c>
      <c r="C287" s="7"/>
      <c r="D287" s="7"/>
      <c r="E287" s="7"/>
      <c r="F287" s="7"/>
      <c r="G287" s="7"/>
      <c r="H287" s="7"/>
      <c r="I287" s="25"/>
    </row>
    <row r="288" spans="1:9" ht="12.5">
      <c r="A288" s="110" t="s">
        <v>307</v>
      </c>
      <c r="B288" s="353" t="str">
        <f>ROUND('Calculations - Single'!$CB$15,1)&amp;"%"</f>
        <v>73.7%</v>
      </c>
      <c r="C288" s="77" t="s">
        <v>312</v>
      </c>
      <c r="D288" s="7"/>
      <c r="E288" s="7"/>
      <c r="F288" s="7"/>
      <c r="G288" s="7"/>
      <c r="H288" s="7"/>
      <c r="I288" s="25"/>
    </row>
    <row r="289" spans="1:9" ht="12.5">
      <c r="A289" s="110" t="s">
        <v>311</v>
      </c>
      <c r="B289" s="353" t="str">
        <f>ROUND(Parameters!BZ56,1)&amp;"%"</f>
        <v>0%</v>
      </c>
      <c r="C289" s="77" t="s">
        <v>313</v>
      </c>
      <c r="D289" s="7"/>
      <c r="E289" s="7"/>
      <c r="F289" s="7"/>
      <c r="G289" s="7"/>
      <c r="H289" s="7"/>
      <c r="I289" s="25"/>
    </row>
    <row r="290" spans="1:9">
      <c r="A290" s="24"/>
      <c r="B290" s="7"/>
      <c r="C290" s="39"/>
      <c r="D290" s="7"/>
      <c r="E290" s="7"/>
      <c r="F290" s="7"/>
      <c r="G290" s="7"/>
      <c r="H290" s="7"/>
      <c r="I290" s="25"/>
    </row>
    <row r="291" spans="1:9">
      <c r="A291" s="24"/>
      <c r="B291" s="7"/>
      <c r="C291" s="39"/>
      <c r="D291" s="7"/>
      <c r="E291" s="7"/>
      <c r="F291" s="7"/>
      <c r="G291" s="7"/>
      <c r="H291" s="7"/>
      <c r="I291" s="25"/>
    </row>
    <row r="292" spans="1:9">
      <c r="A292" s="24"/>
      <c r="B292" s="7"/>
      <c r="C292" s="39"/>
      <c r="D292" s="7"/>
      <c r="E292" s="7"/>
      <c r="F292" s="7"/>
      <c r="G292" s="7"/>
      <c r="H292" s="7"/>
      <c r="I292" s="25"/>
    </row>
    <row r="293" spans="1:9">
      <c r="A293" s="24" t="s">
        <v>80</v>
      </c>
      <c r="B293" s="7" t="str">
        <f>IF(C293="y","","|")</f>
        <v>|</v>
      </c>
      <c r="C293" s="39" t="s">
        <v>319</v>
      </c>
      <c r="D293" s="7"/>
      <c r="E293" s="7"/>
      <c r="F293" s="7"/>
      <c r="G293" s="7"/>
      <c r="H293" s="7"/>
      <c r="I293" s="25"/>
    </row>
    <row r="294" spans="1:9">
      <c r="A294" s="24"/>
      <c r="B294" s="7"/>
      <c r="C294" s="39"/>
      <c r="D294" s="7"/>
      <c r="E294" s="7"/>
      <c r="F294" s="7"/>
      <c r="G294" s="7"/>
      <c r="H294" s="7"/>
      <c r="I294" s="25"/>
    </row>
    <row r="295" spans="1:9">
      <c r="A295" s="499" t="s">
        <v>86</v>
      </c>
      <c r="B295" s="7" t="str">
        <f>'Design Converter'!$E$11&amp;"A"</f>
        <v>0.6A</v>
      </c>
      <c r="C295" s="39"/>
      <c r="D295" s="7"/>
      <c r="E295" s="7"/>
      <c r="F295" s="7"/>
      <c r="G295" s="7"/>
      <c r="H295" s="7"/>
      <c r="I295" s="25"/>
    </row>
    <row r="296" spans="1:9">
      <c r="A296" s="499" t="s">
        <v>509</v>
      </c>
      <c r="B296" s="7" t="str">
        <f>IF(MODE_TOP="DUAL", 'Design Converter'!$E$13&amp;"A", "")</f>
        <v>0.5A</v>
      </c>
      <c r="C296" s="39"/>
      <c r="D296" s="77">
        <f>MODE</f>
        <v>2</v>
      </c>
      <c r="E296" s="7"/>
      <c r="F296" s="7"/>
      <c r="G296" s="7"/>
      <c r="H296" s="7"/>
      <c r="I296" s="25"/>
    </row>
    <row r="297" spans="1:9">
      <c r="A297" s="499" t="s">
        <v>508</v>
      </c>
      <c r="B297" s="7" t="str">
        <f>IF(MODE_TOP="BIPOLAR", Iout2_actual&amp;"A", "")</f>
        <v/>
      </c>
      <c r="C297" s="39"/>
      <c r="D297" s="7"/>
      <c r="E297" s="7"/>
      <c r="F297" s="7"/>
      <c r="G297" s="7"/>
      <c r="H297" s="7"/>
      <c r="I297" s="25"/>
    </row>
    <row r="298" spans="1:9">
      <c r="A298" s="24"/>
      <c r="B298" s="7"/>
      <c r="C298" s="39"/>
      <c r="D298" s="7"/>
      <c r="E298" s="7"/>
      <c r="F298" s="7"/>
      <c r="G298" s="7"/>
      <c r="H298" s="7"/>
      <c r="I298" s="25"/>
    </row>
    <row r="299" spans="1:9">
      <c r="A299" s="110" t="s">
        <v>94</v>
      </c>
      <c r="B299" s="7">
        <v>1</v>
      </c>
      <c r="C299" s="39"/>
      <c r="D299" s="7"/>
      <c r="E299" s="7"/>
      <c r="F299" s="7"/>
      <c r="G299" s="7"/>
      <c r="H299" s="7"/>
      <c r="I299" s="25"/>
    </row>
    <row r="300" spans="1:9">
      <c r="A300" s="110" t="s">
        <v>93</v>
      </c>
      <c r="B300" s="7">
        <v>2</v>
      </c>
      <c r="C300" s="39"/>
      <c r="D300" s="7"/>
      <c r="E300" s="7"/>
      <c r="F300" s="7"/>
      <c r="G300" s="7"/>
      <c r="H300" s="7"/>
      <c r="I300" s="25"/>
    </row>
    <row r="301" spans="1:9">
      <c r="A301" s="593" t="s">
        <v>57</v>
      </c>
      <c r="B301" s="7">
        <v>3</v>
      </c>
      <c r="C301" s="39"/>
      <c r="D301" s="7"/>
      <c r="E301" s="7"/>
      <c r="F301" s="7"/>
      <c r="G301" s="7"/>
      <c r="H301" s="7"/>
      <c r="I301" s="25"/>
    </row>
    <row r="302" spans="1:9">
      <c r="A302" s="110" t="s">
        <v>552</v>
      </c>
      <c r="B302" s="7">
        <v>4</v>
      </c>
      <c r="C302" s="39"/>
      <c r="D302" s="7"/>
      <c r="E302" s="7"/>
      <c r="F302" s="7"/>
      <c r="G302" s="7"/>
      <c r="H302" s="7"/>
      <c r="I302" s="25"/>
    </row>
    <row r="303" spans="1:9">
      <c r="A303" s="110" t="s">
        <v>553</v>
      </c>
      <c r="B303" s="7">
        <v>5</v>
      </c>
      <c r="C303" s="39"/>
      <c r="D303" s="7"/>
      <c r="E303" s="7"/>
      <c r="F303" s="7"/>
      <c r="G303" s="7"/>
      <c r="H303" s="7"/>
      <c r="I303" s="25"/>
    </row>
    <row r="304" spans="1:9">
      <c r="A304" s="110" t="s">
        <v>554</v>
      </c>
      <c r="B304" s="7">
        <v>6</v>
      </c>
      <c r="C304" s="39"/>
      <c r="D304" s="7"/>
      <c r="E304" s="7"/>
      <c r="F304" s="7"/>
      <c r="G304" s="7"/>
      <c r="H304" s="7"/>
      <c r="I304" s="25"/>
    </row>
    <row r="305" spans="1:9">
      <c r="A305" s="110" t="s">
        <v>555</v>
      </c>
      <c r="B305" s="7">
        <v>7</v>
      </c>
      <c r="C305" s="39"/>
      <c r="D305" s="7"/>
      <c r="E305" s="7"/>
      <c r="F305" s="7"/>
      <c r="G305" s="7"/>
      <c r="H305" s="7"/>
      <c r="I305" s="25"/>
    </row>
    <row r="306" spans="1:9">
      <c r="A306" s="593" t="s">
        <v>92</v>
      </c>
      <c r="B306" s="7">
        <v>8</v>
      </c>
      <c r="C306" s="39"/>
      <c r="D306" s="7"/>
      <c r="E306" s="7"/>
      <c r="F306" s="7"/>
      <c r="G306" s="7"/>
      <c r="H306" s="7"/>
      <c r="I306" s="25"/>
    </row>
    <row r="307" spans="1:9" ht="13.5" thickBot="1">
      <c r="A307" s="207"/>
      <c r="B307" s="29"/>
      <c r="C307" s="159"/>
      <c r="D307" s="29"/>
      <c r="E307" s="29"/>
      <c r="F307" s="29"/>
      <c r="G307" s="29"/>
      <c r="H307" s="29"/>
      <c r="I307" s="30"/>
    </row>
    <row r="309" spans="1:9">
      <c r="A309" t="s">
        <v>743</v>
      </c>
      <c r="B309">
        <f>'Design Converter'!$E$60</f>
        <v>142</v>
      </c>
      <c r="C309" s="3" t="s">
        <v>866</v>
      </c>
      <c r="D309" t="str">
        <f>B309&amp;"kΩ"</f>
        <v>142kΩ</v>
      </c>
    </row>
    <row r="310" spans="1:9">
      <c r="A310" t="s">
        <v>865</v>
      </c>
      <c r="B310">
        <f>'Design Converter'!$E$62</f>
        <v>6</v>
      </c>
      <c r="C310" s="3" t="s">
        <v>319</v>
      </c>
      <c r="D310" t="str">
        <f>B310&amp;"nF"</f>
        <v>6nF</v>
      </c>
    </row>
    <row r="311" spans="1:9">
      <c r="A311" t="s">
        <v>750</v>
      </c>
      <c r="B311">
        <f>'Design Converter'!$E$64</f>
        <v>47</v>
      </c>
      <c r="C311" s="3" t="s">
        <v>170</v>
      </c>
      <c r="D311" t="str">
        <f>B311&amp;"pF"</f>
        <v>47pF</v>
      </c>
    </row>
    <row r="313" spans="1:9">
      <c r="A313" t="s">
        <v>771</v>
      </c>
      <c r="B313">
        <f>RCS</f>
        <v>1.5</v>
      </c>
      <c r="C313" s="3" t="s">
        <v>867</v>
      </c>
      <c r="D313" t="str">
        <f>B313&amp;"mΩ"</f>
        <v>1.5mΩ</v>
      </c>
    </row>
    <row r="314" spans="1:9">
      <c r="A314" t="s">
        <v>868</v>
      </c>
      <c r="B314">
        <v>100</v>
      </c>
      <c r="D314" t="s">
        <v>869</v>
      </c>
    </row>
    <row r="315" spans="1:9">
      <c r="A315" t="s">
        <v>870</v>
      </c>
      <c r="B315">
        <v>100</v>
      </c>
      <c r="D315" t="str">
        <f>100&amp;"Ω"</f>
        <v>100Ω</v>
      </c>
    </row>
  </sheetData>
  <sheetProtection selectLockedCells="1" selectUnlockedCells="1"/>
  <mergeCells count="2">
    <mergeCell ref="E5:H5"/>
    <mergeCell ref="A1:I1"/>
  </mergeCells>
  <phoneticPr fontId="6" type="noConversion"/>
  <pageMargins left="0.75" right="0.75" top="1" bottom="1" header="0.5" footer="0.5"/>
  <pageSetup orientation="portrait" r:id="rId1"/>
  <headerFooter alignWithMargins="0"/>
  <ignoredErrors>
    <ignoredError sqref="R79:R83" numberStoredAsText="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CC133"/>
  <sheetViews>
    <sheetView showWhiteSpace="0" zoomScale="70" zoomScaleNormal="70" workbookViewId="0">
      <pane ySplit="5" topLeftCell="A6" activePane="bottomLeft" state="frozen"/>
      <selection pane="bottomLeft" activeCell="F12" sqref="F12"/>
    </sheetView>
  </sheetViews>
  <sheetFormatPr defaultColWidth="9.1796875" defaultRowHeight="12.5"/>
  <cols>
    <col min="1" max="1" width="15.7265625" style="170" customWidth="1"/>
    <col min="2" max="2" width="11.54296875" style="170" customWidth="1"/>
    <col min="3" max="3" width="9.1796875" style="170"/>
    <col min="4" max="4" width="12.453125" style="170" bestFit="1" customWidth="1"/>
    <col min="5" max="5" width="51.453125" style="170" customWidth="1"/>
    <col min="6" max="6" width="13.453125" style="170" customWidth="1"/>
    <col min="7" max="7" width="10" style="170" customWidth="1"/>
    <col min="8" max="8" width="6.81640625" style="170" customWidth="1"/>
    <col min="9" max="9" width="12.453125" style="170" bestFit="1" customWidth="1"/>
    <col min="10" max="10" width="9.1796875" style="216" customWidth="1"/>
    <col min="11" max="11" width="8.81640625"/>
    <col min="13" max="13" width="10.81640625" customWidth="1"/>
    <col min="14" max="14" width="12" style="170" customWidth="1"/>
    <col min="15" max="15" width="12.7265625" style="216" customWidth="1"/>
    <col min="16" max="16" width="11.453125" style="216" customWidth="1"/>
    <col min="17" max="17" width="12.453125" style="216" customWidth="1"/>
    <col min="18" max="19" width="10.54296875" style="197" customWidth="1"/>
    <col min="20" max="20" width="10" style="197" customWidth="1"/>
    <col min="21" max="21" width="10.54296875" style="197" customWidth="1"/>
    <col min="22" max="22" width="8.453125" style="216" customWidth="1"/>
    <col min="23" max="23" width="9.26953125" style="216" customWidth="1"/>
    <col min="24" max="24" width="9.453125" style="170" customWidth="1"/>
    <col min="25" max="25" width="9.453125" style="216" customWidth="1"/>
    <col min="26" max="26" width="8.26953125" style="217" customWidth="1"/>
    <col min="27" max="27" width="9.54296875" style="216" customWidth="1"/>
    <col min="28" max="28" width="9.453125" style="216" bestFit="1" customWidth="1"/>
    <col min="29" max="29" width="8.54296875" style="216" customWidth="1"/>
    <col min="30" max="30" width="9.7265625" style="218" customWidth="1"/>
    <col min="31" max="31" width="9.1796875" style="218" customWidth="1"/>
    <col min="32" max="32" width="8.1796875" style="216" customWidth="1"/>
    <col min="33" max="33" width="10.26953125" style="216" customWidth="1"/>
    <col min="34" max="34" width="9.453125" style="216" customWidth="1"/>
    <col min="35" max="35" width="8.81640625"/>
    <col min="36" max="36" width="9.7265625" style="216" customWidth="1"/>
    <col min="37" max="37" width="11.54296875" style="216" customWidth="1"/>
    <col min="38" max="38" width="10.1796875" style="216" customWidth="1"/>
    <col min="39" max="39" width="11.1796875" style="216" customWidth="1"/>
    <col min="40" max="40" width="9.1796875" style="216"/>
    <col min="41" max="41" width="10.26953125" style="216" customWidth="1"/>
    <col min="42" max="42" width="9.81640625" style="216" customWidth="1"/>
    <col min="43" max="43" width="9.7265625" style="216" customWidth="1"/>
    <col min="44" max="44" width="10.26953125" style="216" customWidth="1"/>
    <col min="45" max="45" width="10.1796875" style="216" customWidth="1"/>
    <col min="46" max="46" width="10.453125" style="216" customWidth="1"/>
    <col min="47" max="47" width="11.26953125" style="216" customWidth="1"/>
    <col min="48" max="48" width="11.7265625" style="216" customWidth="1"/>
    <col min="49" max="49" width="10.453125" style="216" customWidth="1"/>
    <col min="50" max="50" width="11.453125" style="216" customWidth="1"/>
    <col min="51" max="51" width="10.1796875" style="216" customWidth="1"/>
    <col min="52" max="52" width="10" style="172" bestFit="1" customWidth="1"/>
    <col min="53" max="55" width="12.7265625" style="345" customWidth="1"/>
    <col min="56" max="56" width="14" style="345" customWidth="1"/>
    <col min="57" max="57" width="12.81640625" style="345" customWidth="1"/>
    <col min="58" max="58" width="10.453125" style="345" customWidth="1"/>
    <col min="59" max="59" width="9" style="345" customWidth="1"/>
    <col min="60" max="60" width="8.81640625" style="345" customWidth="1"/>
    <col min="61" max="61" width="10.81640625" style="345" customWidth="1"/>
    <col min="62" max="62" width="11.1796875" style="345" customWidth="1"/>
    <col min="63" max="64" width="9.1796875" style="345"/>
    <col min="65" max="65" width="8.81640625" style="172" customWidth="1"/>
    <col min="66" max="66" width="9.1796875" style="217"/>
    <col min="67" max="67" width="12.54296875" style="170" customWidth="1"/>
    <col min="68" max="68" width="13.54296875" style="172" customWidth="1"/>
    <col min="69" max="69" width="12.7265625" style="197" customWidth="1"/>
    <col min="70" max="70" width="3.7265625" style="170" customWidth="1"/>
    <col min="71" max="71" width="12.453125" style="170" bestFit="1" customWidth="1"/>
    <col min="72" max="72" width="3.54296875" style="170" customWidth="1"/>
    <col min="73" max="73" width="9.1796875" style="172"/>
    <col min="74" max="74" width="11.1796875" style="172" customWidth="1"/>
    <col min="75" max="75" width="9.1796875" style="172"/>
    <col min="76" max="76" width="4.7265625" style="170" customWidth="1"/>
    <col min="77" max="77" width="3.7265625" style="170" customWidth="1"/>
    <col min="78" max="78" width="12.453125" style="170" customWidth="1"/>
    <col min="79" max="79" width="11.81640625" style="170" customWidth="1"/>
    <col min="80" max="80" width="11.54296875" style="170" customWidth="1"/>
    <col min="81" max="81" width="11.7265625" style="170" customWidth="1"/>
    <col min="82" max="82" width="9.1796875" style="170"/>
    <col min="83" max="83" width="9.1796875" style="170" customWidth="1"/>
    <col min="84" max="16384" width="9.1796875" style="170"/>
  </cols>
  <sheetData>
    <row r="1" spans="1:81">
      <c r="A1" s="943" t="s">
        <v>794</v>
      </c>
      <c r="B1" s="943"/>
      <c r="C1" s="943"/>
      <c r="D1" s="943"/>
      <c r="E1" s="943"/>
    </row>
    <row r="2" spans="1:81" ht="15.5">
      <c r="A2" s="943"/>
      <c r="B2" s="943"/>
      <c r="C2" s="943"/>
      <c r="D2" s="943"/>
      <c r="E2" s="943"/>
      <c r="G2" s="944" t="s">
        <v>22</v>
      </c>
      <c r="H2" s="944"/>
      <c r="AF2" s="216">
        <v>1.9257738538542499E-2</v>
      </c>
      <c r="AG2" s="216">
        <v>7.417209872377299E-4</v>
      </c>
      <c r="AH2" s="216">
        <v>1.2403450565440797E-3</v>
      </c>
      <c r="AI2">
        <v>20</v>
      </c>
      <c r="AJ2" s="216">
        <v>7.1523178807947021</v>
      </c>
      <c r="AK2" s="216">
        <v>0</v>
      </c>
      <c r="AL2" s="216">
        <v>8.3629954314142624E-4</v>
      </c>
      <c r="AM2" s="216">
        <v>1.5780205303791562E-3</v>
      </c>
      <c r="AO2" s="268" t="e">
        <f>Ifb</f>
        <v>#NAME?</v>
      </c>
    </row>
    <row r="3" spans="1:81" ht="13" thickBot="1">
      <c r="A3" s="943"/>
      <c r="B3" s="943"/>
      <c r="C3" s="943"/>
      <c r="D3" s="943"/>
      <c r="E3" s="943"/>
    </row>
    <row r="4" spans="1:81" ht="13.5" thickBot="1">
      <c r="A4" s="945"/>
      <c r="B4" s="945"/>
      <c r="C4" s="945"/>
      <c r="D4" s="945"/>
      <c r="E4" s="945"/>
      <c r="H4" s="220" t="s">
        <v>23</v>
      </c>
      <c r="I4" s="221"/>
      <c r="J4" s="222"/>
      <c r="K4" s="946" t="s">
        <v>189</v>
      </c>
      <c r="L4" s="947"/>
      <c r="M4" s="948"/>
      <c r="N4" s="948"/>
      <c r="O4" s="948"/>
      <c r="P4" s="947"/>
      <c r="Q4" s="947"/>
      <c r="R4" s="948"/>
      <c r="S4" s="948"/>
      <c r="T4" s="948"/>
      <c r="U4" s="949"/>
      <c r="V4" s="223" t="s">
        <v>190</v>
      </c>
      <c r="W4" s="224"/>
      <c r="X4" s="225"/>
      <c r="Y4" s="226"/>
      <c r="Z4" s="227" t="s">
        <v>14</v>
      </c>
      <c r="AA4" s="228"/>
      <c r="AB4" s="222"/>
      <c r="AC4" s="229" t="s">
        <v>28</v>
      </c>
      <c r="AD4" s="230"/>
      <c r="AE4" s="231"/>
      <c r="AF4" s="223" t="s">
        <v>191</v>
      </c>
      <c r="AG4" s="224"/>
      <c r="AH4" s="224"/>
      <c r="AI4" s="442"/>
      <c r="AJ4" s="442"/>
      <c r="AK4" s="224"/>
      <c r="AL4" s="224"/>
      <c r="AM4" s="222"/>
      <c r="AN4" s="232" t="s">
        <v>192</v>
      </c>
      <c r="AO4" s="233"/>
      <c r="AP4" s="233"/>
      <c r="AQ4" s="451" t="s">
        <v>193</v>
      </c>
      <c r="AR4" s="452"/>
      <c r="AS4" s="452"/>
      <c r="AT4" s="233"/>
      <c r="AU4" s="234"/>
      <c r="AV4" s="235"/>
      <c r="AW4" s="236"/>
      <c r="AX4" s="223" t="s">
        <v>179</v>
      </c>
      <c r="AY4" s="224"/>
      <c r="AZ4" s="225"/>
      <c r="BA4" s="346"/>
      <c r="BB4" s="346"/>
      <c r="BC4" s="346"/>
      <c r="BD4" s="346"/>
      <c r="BE4" s="346"/>
      <c r="BF4" s="346"/>
      <c r="BG4" s="346"/>
      <c r="BH4" s="346"/>
      <c r="BI4" s="346"/>
      <c r="BJ4" s="346"/>
      <c r="BK4" s="346"/>
      <c r="BL4" s="346"/>
      <c r="BM4" s="339"/>
      <c r="BN4" s="343"/>
      <c r="BO4" s="225"/>
      <c r="BP4" s="341"/>
      <c r="BQ4" s="448"/>
      <c r="BR4" s="449"/>
      <c r="BS4" s="449"/>
      <c r="BT4" s="449"/>
      <c r="BU4" s="449"/>
      <c r="BV4" s="449"/>
      <c r="BW4" s="449"/>
      <c r="BX4" s="449"/>
      <c r="BY4" s="449"/>
      <c r="BZ4" s="449"/>
      <c r="CA4" s="449"/>
      <c r="CB4" s="449"/>
      <c r="CC4" s="450"/>
    </row>
    <row r="5" spans="1:81" ht="78" customHeight="1" thickBot="1">
      <c r="A5" s="237" t="s">
        <v>42</v>
      </c>
      <c r="B5" s="238"/>
      <c r="C5" s="238"/>
      <c r="D5" s="239"/>
      <c r="E5" s="240"/>
      <c r="F5" s="189"/>
      <c r="G5" s="189"/>
      <c r="H5" s="241" t="s">
        <v>25</v>
      </c>
      <c r="I5" s="242" t="s">
        <v>194</v>
      </c>
      <c r="J5" s="243" t="s">
        <v>195</v>
      </c>
      <c r="K5" s="251" t="s">
        <v>322</v>
      </c>
      <c r="L5" s="244" t="s">
        <v>48</v>
      </c>
      <c r="M5" s="244" t="s">
        <v>323</v>
      </c>
      <c r="N5" s="444" t="s">
        <v>196</v>
      </c>
      <c r="O5" s="525" t="s">
        <v>404</v>
      </c>
      <c r="P5" s="525" t="s">
        <v>405</v>
      </c>
      <c r="Q5" s="525" t="s">
        <v>406</v>
      </c>
      <c r="R5" s="245" t="s">
        <v>197</v>
      </c>
      <c r="S5" s="246" t="s">
        <v>198</v>
      </c>
      <c r="T5" s="246" t="s">
        <v>199</v>
      </c>
      <c r="U5" s="245" t="s">
        <v>327</v>
      </c>
      <c r="V5" s="247" t="s">
        <v>200</v>
      </c>
      <c r="W5" s="244" t="s">
        <v>201</v>
      </c>
      <c r="X5" s="242" t="s">
        <v>202</v>
      </c>
      <c r="Y5" s="243" t="s">
        <v>203</v>
      </c>
      <c r="Z5" s="248" t="s">
        <v>200</v>
      </c>
      <c r="AA5" s="244" t="s">
        <v>204</v>
      </c>
      <c r="AB5" s="243" t="s">
        <v>205</v>
      </c>
      <c r="AC5" s="247" t="s">
        <v>200</v>
      </c>
      <c r="AD5" s="249" t="s">
        <v>206</v>
      </c>
      <c r="AE5" s="250" t="s">
        <v>207</v>
      </c>
      <c r="AF5" s="247" t="s">
        <v>200</v>
      </c>
      <c r="AG5" s="244" t="s">
        <v>208</v>
      </c>
      <c r="AH5" s="244" t="s">
        <v>209</v>
      </c>
      <c r="AI5" s="244" t="s">
        <v>324</v>
      </c>
      <c r="AJ5" s="244" t="s">
        <v>321</v>
      </c>
      <c r="AK5" s="244" t="s">
        <v>210</v>
      </c>
      <c r="AL5" s="251" t="s">
        <v>211</v>
      </c>
      <c r="AM5" s="243" t="s">
        <v>212</v>
      </c>
      <c r="AN5" s="252" t="s">
        <v>200</v>
      </c>
      <c r="AO5" s="253" t="s">
        <v>213</v>
      </c>
      <c r="AP5" s="253" t="s">
        <v>214</v>
      </c>
      <c r="AQ5" s="253" t="s">
        <v>215</v>
      </c>
      <c r="AR5" s="253" t="s">
        <v>216</v>
      </c>
      <c r="AS5" s="254" t="s">
        <v>217</v>
      </c>
      <c r="AT5" s="252" t="s">
        <v>218</v>
      </c>
      <c r="AU5" s="252" t="s">
        <v>219</v>
      </c>
      <c r="AV5" s="252" t="s">
        <v>220</v>
      </c>
      <c r="AW5" s="255" t="s">
        <v>221</v>
      </c>
      <c r="AX5" s="247" t="s">
        <v>222</v>
      </c>
      <c r="AY5" s="244" t="s">
        <v>223</v>
      </c>
      <c r="AZ5" s="256" t="s">
        <v>224</v>
      </c>
      <c r="BA5" s="347" t="s">
        <v>225</v>
      </c>
      <c r="BB5" s="347" t="s">
        <v>226</v>
      </c>
      <c r="BC5" s="347" t="s">
        <v>227</v>
      </c>
      <c r="BD5" s="347" t="s">
        <v>228</v>
      </c>
      <c r="BE5" s="347" t="s">
        <v>229</v>
      </c>
      <c r="BF5" s="347" t="s">
        <v>230</v>
      </c>
      <c r="BG5" s="347" t="s">
        <v>231</v>
      </c>
      <c r="BH5" s="348" t="s">
        <v>232</v>
      </c>
      <c r="BI5" s="349" t="s">
        <v>233</v>
      </c>
      <c r="BJ5" s="350" t="s">
        <v>234</v>
      </c>
      <c r="BK5" s="351" t="s">
        <v>235</v>
      </c>
      <c r="BL5" s="350" t="s">
        <v>281</v>
      </c>
      <c r="BM5" s="340" t="s">
        <v>236</v>
      </c>
      <c r="BN5" s="344" t="s">
        <v>237</v>
      </c>
      <c r="BO5" s="257" t="s">
        <v>238</v>
      </c>
      <c r="BP5" s="342" t="s">
        <v>238</v>
      </c>
      <c r="BQ5" s="258" t="s">
        <v>239</v>
      </c>
      <c r="BR5" s="259"/>
      <c r="BS5" s="260" t="s">
        <v>240</v>
      </c>
      <c r="BT5" s="259"/>
      <c r="BU5" s="354" t="s">
        <v>283</v>
      </c>
      <c r="BV5" s="355" t="s">
        <v>284</v>
      </c>
      <c r="BW5" s="447" t="s">
        <v>282</v>
      </c>
      <c r="BX5" s="259"/>
      <c r="BY5" s="259"/>
      <c r="BZ5" s="446" t="s">
        <v>289</v>
      </c>
      <c r="CA5" s="255" t="s">
        <v>340</v>
      </c>
      <c r="CB5" s="355" t="s">
        <v>291</v>
      </c>
      <c r="CC5" s="447" t="s">
        <v>290</v>
      </c>
    </row>
    <row r="6" spans="1:81" ht="13">
      <c r="A6" s="261" t="s">
        <v>26</v>
      </c>
      <c r="B6" s="262" t="s">
        <v>43</v>
      </c>
      <c r="C6" s="263" t="s">
        <v>33</v>
      </c>
      <c r="D6" s="264" t="s">
        <v>90</v>
      </c>
      <c r="E6" s="265" t="s">
        <v>41</v>
      </c>
      <c r="F6" s="266"/>
      <c r="G6" s="266"/>
      <c r="H6" s="170">
        <v>0.1</v>
      </c>
      <c r="I6" s="456">
        <f t="shared" ref="I6:I37" si="0">IF(PLOT_TYPE=1, H6/100*Iout_max, min_I*EXP(H6*rr/100))</f>
        <v>5.9999999999999995E-4</v>
      </c>
      <c r="J6" s="217"/>
      <c r="K6" s="217"/>
      <c r="L6" s="217"/>
      <c r="M6" s="217"/>
      <c r="N6" s="267"/>
      <c r="O6" s="172"/>
      <c r="P6" s="217"/>
      <c r="Q6" s="443"/>
      <c r="S6" s="268"/>
      <c r="T6" s="268"/>
      <c r="U6" s="268"/>
      <c r="AJ6" s="443"/>
      <c r="AY6" s="216">
        <f>Vout*I6</f>
        <v>0.10199999999999999</v>
      </c>
      <c r="AZ6" s="269">
        <f>AY6/(AY6+AX6)</f>
        <v>1</v>
      </c>
      <c r="BA6" s="345">
        <f>AG6/($AY6+$AX6)</f>
        <v>0</v>
      </c>
      <c r="BB6" s="345">
        <f>AO6/($AY6+$AX6)</f>
        <v>0</v>
      </c>
      <c r="BC6" s="345" t="e">
        <f>Vin*R6*(QgBot+Qg)/($AY6+$AX6)</f>
        <v>#NAME?</v>
      </c>
      <c r="BD6" s="345">
        <f>AK6/($AY6+$AX6)</f>
        <v>0</v>
      </c>
      <c r="BE6" s="345">
        <f>AQ6/(AX6+AY6)</f>
        <v>0</v>
      </c>
      <c r="BF6" s="345">
        <f>AR6/($AY6+$AX6)</f>
        <v>0</v>
      </c>
      <c r="BG6" s="345">
        <f t="shared" ref="BG6:BH9" si="1">W6/($AY6+$AX6)</f>
        <v>0</v>
      </c>
      <c r="BH6" s="345">
        <f t="shared" si="1"/>
        <v>0</v>
      </c>
      <c r="BI6" s="345">
        <f>(AB6+AE6)/($AY6+$AX6)</f>
        <v>0</v>
      </c>
      <c r="BJ6" s="219">
        <f>AT6/($AY6+$AX6)</f>
        <v>0</v>
      </c>
      <c r="BK6" s="219">
        <f>AX6/($AY6+$AX6)</f>
        <v>0</v>
      </c>
      <c r="BL6" s="219">
        <f>AZ6</f>
        <v>1</v>
      </c>
      <c r="BM6" s="172">
        <f>100*BL6</f>
        <v>100</v>
      </c>
      <c r="BN6" s="217" t="e">
        <f xml:space="preserve"> CHOOSE(MODE, I6*1000,#REF!)</f>
        <v>#REF!</v>
      </c>
      <c r="BO6" s="172">
        <v>59.702372085750142</v>
      </c>
      <c r="BP6" s="219">
        <f>BO6/100</f>
        <v>0.59702372085750144</v>
      </c>
      <c r="BQ6" s="270">
        <f>R6/1000</f>
        <v>0</v>
      </c>
      <c r="BR6" s="271"/>
      <c r="BS6" s="219">
        <f>AL6/($AY6+$AX6)</f>
        <v>0</v>
      </c>
      <c r="BT6" s="272"/>
      <c r="BU6" s="172">
        <f>1000*AW6</f>
        <v>0</v>
      </c>
      <c r="BV6" s="172">
        <f>1000*AU6</f>
        <v>0</v>
      </c>
      <c r="BW6" s="172">
        <f>1000*Y6</f>
        <v>0</v>
      </c>
      <c r="BX6" s="219"/>
      <c r="BY6" s="219"/>
      <c r="BZ6" s="172" t="e">
        <f xml:space="preserve"> IF(MODE=1, BM6,#REF!)</f>
        <v>#REF!</v>
      </c>
      <c r="CA6" s="172" t="e">
        <f xml:space="preserve"> IF(MODE=1, BU6,#REF!)</f>
        <v>#REF!</v>
      </c>
      <c r="CB6" s="172" t="e">
        <f xml:space="preserve"> IF(MODE=1, BV6,#REF!)</f>
        <v>#REF!</v>
      </c>
      <c r="CC6" s="172" t="e">
        <f xml:space="preserve"> IF(MODE=1, BW6,#REF!)</f>
        <v>#REF!</v>
      </c>
    </row>
    <row r="7" spans="1:81" ht="13">
      <c r="A7" s="418"/>
      <c r="B7" s="262"/>
      <c r="C7" s="263"/>
      <c r="D7" s="264"/>
      <c r="E7" s="265"/>
      <c r="F7" s="266"/>
      <c r="G7" s="266"/>
      <c r="H7" s="170">
        <v>1</v>
      </c>
      <c r="I7" s="456">
        <f t="shared" si="0"/>
        <v>6.0000000000000001E-3</v>
      </c>
      <c r="J7" s="217"/>
      <c r="K7" s="217"/>
      <c r="L7" s="217"/>
      <c r="M7" s="217"/>
      <c r="N7" s="267"/>
      <c r="O7" s="172"/>
      <c r="P7" s="217"/>
      <c r="Q7" s="443"/>
      <c r="S7" s="268"/>
      <c r="T7" s="268"/>
      <c r="U7" s="268"/>
      <c r="AJ7" s="443"/>
      <c r="AY7" s="216">
        <f>Vout*I7</f>
        <v>1.02</v>
      </c>
      <c r="AZ7" s="269">
        <f>AY7/(AY7+AX7)</f>
        <v>1</v>
      </c>
      <c r="BA7" s="345">
        <f>AG7/($AY7+$AX7)</f>
        <v>0</v>
      </c>
      <c r="BB7" s="345">
        <f>AO7/($AY7+$AX7)</f>
        <v>0</v>
      </c>
      <c r="BC7" s="345" t="e">
        <f>Vin*R7*(QgBot+Qg)/($AY7+$AX7)</f>
        <v>#NAME?</v>
      </c>
      <c r="BD7" s="345">
        <f>AK7/($AY7+$AX7)</f>
        <v>0</v>
      </c>
      <c r="BE7" s="345">
        <f>AQ7/(AX7+AY7)</f>
        <v>0</v>
      </c>
      <c r="BF7" s="345">
        <f>AR7/($AY7+$AX7)</f>
        <v>0</v>
      </c>
      <c r="BG7" s="345">
        <f t="shared" si="1"/>
        <v>0</v>
      </c>
      <c r="BH7" s="345">
        <f t="shared" si="1"/>
        <v>0</v>
      </c>
      <c r="BI7" s="345">
        <f>(AB7+AE7)/($AY7+$AX7)</f>
        <v>0</v>
      </c>
      <c r="BJ7" s="219">
        <f>AT7/($AY7+$AX7)</f>
        <v>0</v>
      </c>
      <c r="BK7" s="219">
        <f>AX7/($AY7+$AX7)</f>
        <v>0</v>
      </c>
      <c r="BL7" s="219">
        <f>AZ7</f>
        <v>1</v>
      </c>
      <c r="BM7" s="172">
        <f>100*BL7</f>
        <v>100</v>
      </c>
      <c r="BN7" s="217" t="e">
        <f xml:space="preserve"> CHOOSE(MODE, I7*1000,#REF!)</f>
        <v>#REF!</v>
      </c>
      <c r="BO7" s="172">
        <v>83.682599061581868</v>
      </c>
      <c r="BP7" s="219">
        <f>BO7/100</f>
        <v>0.83682599061581864</v>
      </c>
      <c r="BQ7" s="270">
        <f>R7/1000</f>
        <v>0</v>
      </c>
      <c r="BR7" s="271"/>
      <c r="BS7" s="219">
        <f>AL7/($AY7+$AX7)</f>
        <v>0</v>
      </c>
      <c r="BT7" s="272"/>
      <c r="BU7" s="172">
        <f>1000*AW7</f>
        <v>0</v>
      </c>
      <c r="BV7" s="172">
        <f>1000*AU7</f>
        <v>0</v>
      </c>
      <c r="BW7" s="172">
        <f>1000*Y7</f>
        <v>0</v>
      </c>
      <c r="BX7" s="219"/>
      <c r="BY7" s="219"/>
      <c r="BZ7" s="172" t="e">
        <f xml:space="preserve"> IF(MODE=1, BM7,#REF!)</f>
        <v>#REF!</v>
      </c>
      <c r="CA7" s="172" t="e">
        <f xml:space="preserve"> IF(MODE=1, BU7,#REF!)</f>
        <v>#REF!</v>
      </c>
      <c r="CB7" s="172" t="e">
        <f xml:space="preserve"> IF(MODE=1, BV7,#REF!)</f>
        <v>#REF!</v>
      </c>
      <c r="CC7" s="172" t="e">
        <f xml:space="preserve"> IF(MODE=1, BW7,#REF!)</f>
        <v>#REF!</v>
      </c>
    </row>
    <row r="8" spans="1:81" ht="13">
      <c r="A8" s="273" t="s">
        <v>3</v>
      </c>
      <c r="B8" s="274">
        <f>Vin</f>
        <v>12.5</v>
      </c>
      <c r="C8" s="275" t="s">
        <v>0</v>
      </c>
      <c r="D8" s="194">
        <f>B8</f>
        <v>12.5</v>
      </c>
      <c r="E8" s="188" t="s">
        <v>3</v>
      </c>
      <c r="F8" s="266"/>
      <c r="G8" s="266"/>
      <c r="H8" s="170">
        <v>2</v>
      </c>
      <c r="I8" s="456">
        <f t="shared" si="0"/>
        <v>1.2E-2</v>
      </c>
      <c r="J8" s="217"/>
      <c r="K8" s="217"/>
      <c r="L8" s="217"/>
      <c r="M8" s="217"/>
      <c r="N8" s="267"/>
      <c r="O8" s="172"/>
      <c r="P8" s="217"/>
      <c r="Q8" s="443"/>
      <c r="S8" s="268"/>
      <c r="T8" s="268"/>
      <c r="U8" s="268"/>
      <c r="AJ8" s="443"/>
      <c r="AY8" s="216">
        <f>Vout*I8</f>
        <v>2.04</v>
      </c>
      <c r="AZ8" s="269">
        <f>AY8/(AY8+AX8)</f>
        <v>1</v>
      </c>
      <c r="BA8" s="345">
        <f>AG8/($AY8+$AX8)</f>
        <v>0</v>
      </c>
      <c r="BB8" s="345">
        <f>AO8/($AY8+$AX8)</f>
        <v>0</v>
      </c>
      <c r="BC8" s="345" t="e">
        <f>Vin*R8*(QgBot+Qg)/($AY8+$AX8)</f>
        <v>#NAME?</v>
      </c>
      <c r="BD8" s="345">
        <f>AK8/($AY8+$AX8)</f>
        <v>0</v>
      </c>
      <c r="BE8" s="345">
        <f>AQ8/(AX8+AY8)</f>
        <v>0</v>
      </c>
      <c r="BF8" s="345">
        <f>AR8/($AY8+$AX8)</f>
        <v>0</v>
      </c>
      <c r="BG8" s="345">
        <f t="shared" si="1"/>
        <v>0</v>
      </c>
      <c r="BH8" s="345">
        <f t="shared" si="1"/>
        <v>0</v>
      </c>
      <c r="BI8" s="345">
        <f>(AB8+AE8)/($AY8+$AX8)</f>
        <v>0</v>
      </c>
      <c r="BJ8" s="219">
        <f>AT8/($AY8+$AX8)</f>
        <v>0</v>
      </c>
      <c r="BK8" s="219">
        <f>AX8/($AY8+$AX8)</f>
        <v>0</v>
      </c>
      <c r="BL8" s="219">
        <f>AZ8</f>
        <v>1</v>
      </c>
      <c r="BM8" s="172">
        <f>100*BL8</f>
        <v>100</v>
      </c>
      <c r="BN8" s="217" t="e">
        <f xml:space="preserve"> CHOOSE(MODE, I8*1000,#REF!)</f>
        <v>#REF!</v>
      </c>
      <c r="BO8" s="172">
        <v>85.591306536493136</v>
      </c>
      <c r="BP8" s="219">
        <f>BO8/100</f>
        <v>0.85591306536493139</v>
      </c>
      <c r="BQ8" s="270">
        <f>R8/1000</f>
        <v>0</v>
      </c>
      <c r="BR8" s="271"/>
      <c r="BS8" s="219">
        <f>AL8/($AY8+$AX8)</f>
        <v>0</v>
      </c>
      <c r="BT8" s="272"/>
      <c r="BU8" s="172">
        <f>1000*AW8</f>
        <v>0</v>
      </c>
      <c r="BV8" s="172">
        <f>1000*AU8</f>
        <v>0</v>
      </c>
      <c r="BW8" s="172">
        <f>1000*Y8</f>
        <v>0</v>
      </c>
      <c r="BX8" s="219"/>
      <c r="BY8" s="219"/>
      <c r="BZ8" s="172" t="e">
        <f xml:space="preserve"> IF(MODE=1, BM8,#REF!)</f>
        <v>#REF!</v>
      </c>
      <c r="CA8" s="172" t="e">
        <f xml:space="preserve"> IF(MODE=1, BU8,#REF!)</f>
        <v>#REF!</v>
      </c>
      <c r="CB8" s="172" t="e">
        <f xml:space="preserve"> IF(MODE=1, BV8,#REF!)</f>
        <v>#REF!</v>
      </c>
      <c r="CC8" s="172" t="e">
        <f xml:space="preserve"> IF(MODE=1, BW8,#REF!)</f>
        <v>#REF!</v>
      </c>
    </row>
    <row r="9" spans="1:81" ht="13">
      <c r="A9" s="276" t="s">
        <v>4</v>
      </c>
      <c r="B9" s="274">
        <f>Vout</f>
        <v>170</v>
      </c>
      <c r="C9" s="275" t="s">
        <v>0</v>
      </c>
      <c r="D9" s="194">
        <f>B9</f>
        <v>170</v>
      </c>
      <c r="E9" s="188" t="s">
        <v>4</v>
      </c>
      <c r="F9" s="266"/>
      <c r="G9" s="266"/>
      <c r="H9" s="170">
        <v>3</v>
      </c>
      <c r="I9" s="456">
        <f t="shared" si="0"/>
        <v>1.7999999999999999E-2</v>
      </c>
      <c r="J9" s="217"/>
      <c r="K9" s="217"/>
      <c r="L9" s="217"/>
      <c r="M9" s="217"/>
      <c r="N9" s="267"/>
      <c r="O9" s="172"/>
      <c r="P9" s="217"/>
      <c r="Q9" s="443"/>
      <c r="S9" s="268"/>
      <c r="T9" s="268"/>
      <c r="U9" s="268"/>
      <c r="AJ9" s="443"/>
      <c r="AY9" s="216">
        <f>Vout*I9</f>
        <v>3.0599999999999996</v>
      </c>
      <c r="AZ9" s="269">
        <f>AY9/(AY9+AX9)</f>
        <v>1</v>
      </c>
      <c r="BA9" s="345">
        <f>AG9/($AY9+$AX9)</f>
        <v>0</v>
      </c>
      <c r="BB9" s="345">
        <f>AO9/($AY9+$AX9)</f>
        <v>0</v>
      </c>
      <c r="BC9" s="345" t="e">
        <f>Vin*R9*(QgBot+Qg)/($AY9+$AX9)</f>
        <v>#NAME?</v>
      </c>
      <c r="BD9" s="345">
        <f>AK9/($AY9+$AX9)</f>
        <v>0</v>
      </c>
      <c r="BE9" s="345">
        <f>AQ9/(AX9+AY9)</f>
        <v>0</v>
      </c>
      <c r="BF9" s="345">
        <f>AR9/($AY9+$AX9)</f>
        <v>0</v>
      </c>
      <c r="BG9" s="345">
        <f t="shared" si="1"/>
        <v>0</v>
      </c>
      <c r="BH9" s="345">
        <f t="shared" si="1"/>
        <v>0</v>
      </c>
      <c r="BI9" s="345">
        <f>(AB9+AE9)/($AY9+$AX9)</f>
        <v>0</v>
      </c>
      <c r="BJ9" s="219">
        <f>AT9/($AY9+$AX9)</f>
        <v>0</v>
      </c>
      <c r="BK9" s="219">
        <f>AX9/($AY9+$AX9)</f>
        <v>0</v>
      </c>
      <c r="BL9" s="219">
        <f>AZ9</f>
        <v>1</v>
      </c>
      <c r="BM9" s="172">
        <f>100*BL9</f>
        <v>100</v>
      </c>
      <c r="BN9" s="217" t="e">
        <f xml:space="preserve"> CHOOSE(MODE, I9*1000,#REF!)</f>
        <v>#REF!</v>
      </c>
      <c r="BO9" s="172">
        <v>86.246143423411425</v>
      </c>
      <c r="BP9" s="219">
        <f>BO9/100</f>
        <v>0.86246143423411425</v>
      </c>
      <c r="BQ9" s="270">
        <f>R9/1000</f>
        <v>0</v>
      </c>
      <c r="BR9" s="271"/>
      <c r="BS9" s="219">
        <f>AL9/($AY9+$AX9)</f>
        <v>0</v>
      </c>
      <c r="BT9" s="272"/>
      <c r="BU9" s="172">
        <f>1000*AW9</f>
        <v>0</v>
      </c>
      <c r="BV9" s="172">
        <f>1000*AU9</f>
        <v>0</v>
      </c>
      <c r="BW9" s="172">
        <f>1000*Y9</f>
        <v>0</v>
      </c>
      <c r="BX9" s="219"/>
      <c r="BY9" s="219"/>
      <c r="BZ9" s="172" t="e">
        <f xml:space="preserve"> IF(MODE=1, BM9,#REF!)</f>
        <v>#REF!</v>
      </c>
      <c r="CA9" s="172" t="e">
        <f xml:space="preserve"> IF(MODE=1, BU9,#REF!)</f>
        <v>#REF!</v>
      </c>
      <c r="CB9" s="172" t="e">
        <f xml:space="preserve"> IF(MODE=1, BV9,#REF!)</f>
        <v>#REF!</v>
      </c>
      <c r="CC9" s="172" t="e">
        <f xml:space="preserve"> IF(MODE=1, BW9,#REF!)</f>
        <v>#REF!</v>
      </c>
    </row>
    <row r="10" spans="1:81" ht="13">
      <c r="A10" s="276" t="s">
        <v>5</v>
      </c>
      <c r="B10" s="274">
        <f>Iout</f>
        <v>0.6</v>
      </c>
      <c r="C10" s="275" t="s">
        <v>1</v>
      </c>
      <c r="D10" s="194">
        <f>B10</f>
        <v>0.6</v>
      </c>
      <c r="E10" s="277" t="s">
        <v>241</v>
      </c>
      <c r="F10" s="266"/>
      <c r="G10" s="266"/>
      <c r="H10" s="170">
        <v>4</v>
      </c>
      <c r="I10" s="456">
        <f t="shared" si="0"/>
        <v>2.4E-2</v>
      </c>
      <c r="J10" s="217"/>
      <c r="K10" s="217"/>
      <c r="L10" s="217"/>
      <c r="M10" s="217"/>
      <c r="N10" s="267"/>
      <c r="O10" s="172"/>
      <c r="P10" s="217"/>
      <c r="Q10" s="443"/>
      <c r="S10" s="268"/>
      <c r="T10" s="268"/>
      <c r="U10" s="268"/>
      <c r="AJ10" s="443"/>
      <c r="AZ10" s="269"/>
      <c r="BJ10" s="219"/>
      <c r="BK10" s="219"/>
      <c r="BL10" s="219"/>
      <c r="BO10" s="172"/>
      <c r="BP10" s="219"/>
      <c r="BQ10" s="270"/>
      <c r="BR10" s="271"/>
      <c r="BS10" s="219"/>
      <c r="BT10" s="272"/>
      <c r="BX10" s="219"/>
      <c r="BY10" s="219"/>
      <c r="BZ10" s="172"/>
      <c r="CA10" s="172"/>
      <c r="CB10" s="172"/>
      <c r="CC10" s="172"/>
    </row>
    <row r="11" spans="1:81" ht="13">
      <c r="A11" s="276" t="s">
        <v>139</v>
      </c>
      <c r="B11" s="357">
        <f>Vout/(Fsw/1000)*100000/16</f>
        <v>88541.666666666657</v>
      </c>
      <c r="C11" s="278" t="s">
        <v>242</v>
      </c>
      <c r="D11" s="292">
        <f>B11*1000</f>
        <v>88541666.666666657</v>
      </c>
      <c r="E11" s="277"/>
      <c r="F11" s="266"/>
      <c r="G11" s="266"/>
      <c r="H11" s="170">
        <v>5</v>
      </c>
      <c r="I11" s="456">
        <f t="shared" si="0"/>
        <v>0.03</v>
      </c>
      <c r="J11" s="217"/>
      <c r="K11" s="217"/>
      <c r="L11" s="217"/>
      <c r="M11" s="217"/>
      <c r="N11" s="267"/>
      <c r="O11" s="172"/>
      <c r="P11" s="217"/>
      <c r="Q11" s="443"/>
      <c r="S11" s="268"/>
      <c r="T11" s="268"/>
      <c r="U11" s="268"/>
      <c r="AJ11" s="443"/>
      <c r="AZ11" s="269"/>
      <c r="BJ11" s="219"/>
      <c r="BK11" s="219"/>
      <c r="BL11" s="219"/>
      <c r="BO11" s="172"/>
      <c r="BP11" s="219"/>
      <c r="BQ11" s="270"/>
      <c r="BR11" s="271"/>
      <c r="BS11" s="219"/>
      <c r="BT11" s="272"/>
      <c r="BX11" s="219"/>
      <c r="BY11" s="219"/>
      <c r="BZ11" s="172"/>
      <c r="CA11" s="172"/>
      <c r="CB11" s="172"/>
      <c r="CC11" s="172"/>
    </row>
    <row r="12" spans="1:81" ht="13">
      <c r="A12" s="276" t="s">
        <v>243</v>
      </c>
      <c r="B12" s="274">
        <v>25</v>
      </c>
      <c r="C12" s="275" t="s">
        <v>102</v>
      </c>
      <c r="D12" s="194">
        <f>B12</f>
        <v>25</v>
      </c>
      <c r="E12" s="277" t="s">
        <v>244</v>
      </c>
      <c r="F12" s="266">
        <f>Turns_Ratio</f>
        <v>27</v>
      </c>
      <c r="H12" s="170">
        <v>6</v>
      </c>
      <c r="I12" s="456">
        <f t="shared" si="0"/>
        <v>3.5999999999999997E-2</v>
      </c>
      <c r="J12" s="217"/>
      <c r="K12" s="217"/>
      <c r="L12" s="217"/>
      <c r="M12" s="217"/>
      <c r="N12" s="267"/>
      <c r="O12" s="172"/>
      <c r="P12" s="217"/>
      <c r="Q12" s="443"/>
      <c r="S12" s="268"/>
      <c r="T12" s="268"/>
      <c r="U12" s="268"/>
      <c r="AJ12" s="443"/>
      <c r="AZ12" s="269"/>
      <c r="BJ12" s="219"/>
      <c r="BK12" s="219"/>
      <c r="BL12" s="219"/>
      <c r="BO12" s="172"/>
      <c r="BP12" s="219"/>
      <c r="BQ12" s="270"/>
      <c r="BR12" s="271"/>
      <c r="BS12" s="219"/>
      <c r="BT12" s="272"/>
      <c r="BX12" s="219"/>
      <c r="BY12" s="219"/>
      <c r="BZ12" s="172"/>
      <c r="CA12" s="172"/>
      <c r="CB12" s="172"/>
      <c r="CC12" s="172"/>
    </row>
    <row r="13" spans="1:81" ht="13">
      <c r="A13" s="279" t="s">
        <v>245</v>
      </c>
      <c r="B13" s="280">
        <v>5</v>
      </c>
      <c r="C13" s="275" t="s">
        <v>0</v>
      </c>
      <c r="D13" s="194">
        <f>B13</f>
        <v>5</v>
      </c>
      <c r="E13" s="277"/>
      <c r="F13" s="266"/>
      <c r="G13" s="266"/>
      <c r="H13" s="170">
        <v>7</v>
      </c>
      <c r="I13" s="456">
        <f t="shared" si="0"/>
        <v>4.2000000000000003E-2</v>
      </c>
      <c r="J13" s="217"/>
      <c r="K13" s="217"/>
      <c r="L13" s="217"/>
      <c r="M13" s="217"/>
      <c r="N13" s="267"/>
      <c r="O13" s="172"/>
      <c r="P13" s="217"/>
      <c r="Q13" s="443"/>
      <c r="S13" s="268"/>
      <c r="T13" s="268"/>
      <c r="U13" s="268"/>
      <c r="AJ13" s="443"/>
      <c r="AZ13" s="269"/>
      <c r="BJ13" s="219"/>
      <c r="BK13" s="219"/>
      <c r="BL13" s="219"/>
      <c r="BO13" s="172"/>
      <c r="BP13" s="219"/>
      <c r="BQ13" s="270"/>
      <c r="BR13" s="271"/>
      <c r="BS13" s="219"/>
      <c r="BT13" s="272"/>
      <c r="BX13" s="219"/>
      <c r="BY13" s="219"/>
      <c r="BZ13" s="172"/>
      <c r="CA13" s="172"/>
      <c r="CB13" s="172"/>
      <c r="CC13" s="172"/>
    </row>
    <row r="14" spans="1:81" ht="13">
      <c r="F14" s="266"/>
      <c r="G14" s="266"/>
      <c r="H14" s="170">
        <v>8</v>
      </c>
      <c r="I14" s="456">
        <f t="shared" si="0"/>
        <v>4.8000000000000001E-2</v>
      </c>
      <c r="J14" s="217"/>
      <c r="K14" s="217"/>
      <c r="L14" s="217"/>
      <c r="M14" s="217"/>
      <c r="N14" s="267"/>
      <c r="O14" s="172"/>
      <c r="P14" s="217"/>
      <c r="Q14" s="443"/>
      <c r="S14" s="268"/>
      <c r="T14" s="268"/>
      <c r="U14" s="268"/>
      <c r="AJ14" s="443"/>
      <c r="AZ14" s="269"/>
      <c r="BJ14" s="219"/>
      <c r="BK14" s="219"/>
      <c r="BL14" s="219"/>
      <c r="BO14" s="172"/>
      <c r="BP14" s="219"/>
      <c r="BQ14" s="270"/>
      <c r="BR14" s="271"/>
      <c r="BS14" s="219"/>
      <c r="BT14" s="272"/>
      <c r="BX14" s="219"/>
      <c r="BY14" s="219"/>
      <c r="BZ14" s="172"/>
      <c r="CA14" s="172"/>
      <c r="CB14" s="172"/>
      <c r="CC14" s="172"/>
    </row>
    <row r="15" spans="1:81" ht="13">
      <c r="A15" s="281" t="s">
        <v>34</v>
      </c>
      <c r="B15" s="239"/>
      <c r="C15" s="239"/>
      <c r="D15" s="239"/>
      <c r="E15" s="240"/>
      <c r="F15" s="266"/>
      <c r="G15" s="266"/>
      <c r="H15" s="170">
        <v>9</v>
      </c>
      <c r="I15" s="456">
        <f t="shared" si="0"/>
        <v>5.3999999999999999E-2</v>
      </c>
      <c r="J15" s="217"/>
      <c r="K15" s="217"/>
      <c r="L15" s="217"/>
      <c r="M15" s="217"/>
      <c r="N15" s="267"/>
      <c r="O15" s="172"/>
      <c r="P15" s="217"/>
      <c r="Q15" s="443"/>
      <c r="S15" s="268"/>
      <c r="T15" s="268"/>
      <c r="U15" s="268"/>
      <c r="AJ15" s="443"/>
      <c r="AZ15" s="269"/>
      <c r="BJ15" s="219"/>
      <c r="BK15" s="219"/>
      <c r="BL15" s="219"/>
      <c r="BO15" s="172"/>
      <c r="BP15" s="219"/>
      <c r="BQ15" s="270"/>
      <c r="BR15" s="271"/>
      <c r="BS15" s="219"/>
      <c r="BT15" s="272"/>
      <c r="BX15" s="219"/>
      <c r="BY15" s="219"/>
      <c r="BZ15" s="172"/>
      <c r="CA15" s="172"/>
      <c r="CB15" s="172"/>
      <c r="CC15" s="172"/>
    </row>
    <row r="16" spans="1:81" ht="13">
      <c r="A16" s="282" t="s">
        <v>26</v>
      </c>
      <c r="B16" s="262" t="s">
        <v>6</v>
      </c>
      <c r="C16" s="283" t="s">
        <v>33</v>
      </c>
      <c r="D16" s="284" t="s">
        <v>90</v>
      </c>
      <c r="E16" s="265" t="s">
        <v>41</v>
      </c>
      <c r="F16" s="266"/>
      <c r="G16" s="266"/>
      <c r="H16" s="170">
        <v>10</v>
      </c>
      <c r="I16" s="456">
        <f t="shared" si="0"/>
        <v>0.06</v>
      </c>
      <c r="J16" s="217"/>
      <c r="K16" s="217"/>
      <c r="L16" s="217"/>
      <c r="M16" s="217"/>
      <c r="N16" s="267"/>
      <c r="O16" s="172"/>
      <c r="P16" s="217"/>
      <c r="Q16" s="443"/>
      <c r="S16" s="268"/>
      <c r="T16" s="268"/>
      <c r="U16" s="268"/>
      <c r="AJ16" s="443"/>
      <c r="AZ16" s="269"/>
      <c r="BJ16" s="219"/>
      <c r="BK16" s="219"/>
      <c r="BL16" s="219"/>
      <c r="BO16" s="172"/>
      <c r="BP16" s="219"/>
      <c r="BQ16" s="270"/>
      <c r="BR16" s="271"/>
      <c r="BS16" s="219"/>
      <c r="BT16" s="272"/>
      <c r="BX16" s="219"/>
      <c r="BY16" s="219"/>
      <c r="BZ16" s="172"/>
      <c r="CA16" s="172"/>
      <c r="CB16" s="172"/>
      <c r="CC16" s="172"/>
    </row>
    <row r="17" spans="1:81" ht="13">
      <c r="A17" s="285" t="s">
        <v>246</v>
      </c>
      <c r="B17" s="286">
        <f>Vout/Vin/Fsw*1000000</f>
        <v>1133.3333333333333</v>
      </c>
      <c r="C17" s="287" t="s">
        <v>247</v>
      </c>
      <c r="D17" s="288">
        <f>B17/1000000</f>
        <v>1.1333333333333332E-3</v>
      </c>
      <c r="E17" s="277" t="s">
        <v>248</v>
      </c>
      <c r="F17" s="266"/>
      <c r="G17" s="266"/>
      <c r="H17" s="170">
        <v>11</v>
      </c>
      <c r="I17" s="456">
        <f t="shared" si="0"/>
        <v>6.6000000000000003E-2</v>
      </c>
      <c r="J17" s="217"/>
      <c r="K17" s="217"/>
      <c r="L17" s="217"/>
      <c r="M17" s="217"/>
      <c r="N17" s="267"/>
      <c r="O17" s="172"/>
      <c r="P17" s="217"/>
      <c r="Q17" s="443"/>
      <c r="S17" s="268"/>
      <c r="T17" s="268"/>
      <c r="U17" s="268"/>
      <c r="AJ17" s="443"/>
      <c r="AZ17" s="269"/>
      <c r="BJ17" s="219"/>
      <c r="BK17" s="219"/>
      <c r="BL17" s="219"/>
      <c r="BO17" s="172"/>
      <c r="BP17" s="219"/>
      <c r="BQ17" s="270"/>
      <c r="BR17" s="271"/>
      <c r="BS17" s="219"/>
      <c r="BT17" s="272"/>
      <c r="BX17" s="219"/>
      <c r="BY17" s="219"/>
      <c r="BZ17" s="172"/>
      <c r="CA17" s="172"/>
      <c r="CB17" s="172"/>
      <c r="CC17" s="172"/>
    </row>
    <row r="18" spans="1:81" ht="13">
      <c r="A18" s="285" t="s">
        <v>249</v>
      </c>
      <c r="B18" s="286"/>
      <c r="C18" s="287" t="s">
        <v>247</v>
      </c>
      <c r="D18" s="289">
        <f>B18/1000000</f>
        <v>0</v>
      </c>
      <c r="E18" s="275" t="s">
        <v>250</v>
      </c>
      <c r="F18" s="266"/>
      <c r="G18" s="266"/>
      <c r="H18" s="170">
        <v>12</v>
      </c>
      <c r="I18" s="456">
        <f t="shared" si="0"/>
        <v>7.1999999999999995E-2</v>
      </c>
      <c r="J18" s="217"/>
      <c r="K18" s="217"/>
      <c r="L18" s="217"/>
      <c r="M18" s="217"/>
      <c r="N18" s="267"/>
      <c r="O18" s="172"/>
      <c r="P18" s="217"/>
      <c r="Q18" s="443"/>
      <c r="S18" s="268"/>
      <c r="T18" s="268"/>
      <c r="U18" s="268"/>
      <c r="AJ18" s="443"/>
      <c r="AZ18" s="269"/>
      <c r="BJ18" s="219"/>
      <c r="BK18" s="219"/>
      <c r="BL18" s="219"/>
      <c r="BO18" s="172"/>
      <c r="BP18" s="219"/>
      <c r="BQ18" s="270"/>
      <c r="BR18" s="271"/>
      <c r="BS18" s="219"/>
      <c r="BT18" s="272"/>
      <c r="BX18" s="219"/>
      <c r="BY18" s="219"/>
      <c r="BZ18" s="172"/>
      <c r="CA18" s="172"/>
      <c r="CB18" s="172"/>
      <c r="CC18" s="172"/>
    </row>
    <row r="19" spans="1:81" ht="15.5">
      <c r="A19" s="279" t="s">
        <v>251</v>
      </c>
      <c r="B19" s="290">
        <f>(Vin-Vout-(Rdcr_pri+Rdson)*Iout)/L*OnTime*1000</f>
        <v>-357095199.99999994</v>
      </c>
      <c r="C19" s="277" t="s">
        <v>30</v>
      </c>
      <c r="D19" s="190">
        <f>B19/1000</f>
        <v>-357095.19999999995</v>
      </c>
      <c r="E19" s="275" t="s">
        <v>252</v>
      </c>
      <c r="F19" s="266"/>
      <c r="G19" s="266"/>
      <c r="H19" s="170">
        <v>13</v>
      </c>
      <c r="I19" s="456">
        <f t="shared" si="0"/>
        <v>7.8E-2</v>
      </c>
      <c r="J19" s="217"/>
      <c r="K19" s="217"/>
      <c r="L19" s="217"/>
      <c r="M19" s="217"/>
      <c r="N19" s="267"/>
      <c r="O19" s="172"/>
      <c r="P19" s="217"/>
      <c r="Q19" s="443"/>
      <c r="S19" s="268"/>
      <c r="T19" s="268"/>
      <c r="U19" s="268"/>
      <c r="AJ19" s="443"/>
      <c r="AZ19" s="269"/>
      <c r="BJ19" s="219"/>
      <c r="BK19" s="219"/>
      <c r="BL19" s="219"/>
      <c r="BO19" s="172"/>
      <c r="BP19" s="219"/>
      <c r="BQ19" s="270"/>
      <c r="BR19" s="271"/>
      <c r="BS19" s="219"/>
      <c r="BT19" s="272"/>
      <c r="BX19" s="219"/>
      <c r="BY19" s="219"/>
      <c r="BZ19" s="172"/>
      <c r="CA19" s="172"/>
      <c r="CB19" s="172"/>
      <c r="CC19" s="172"/>
    </row>
    <row r="20" spans="1:81" ht="13">
      <c r="A20" s="285" t="s">
        <v>253</v>
      </c>
      <c r="B20" s="291">
        <v>12</v>
      </c>
      <c r="C20" s="275" t="s">
        <v>2</v>
      </c>
      <c r="D20" s="292">
        <f>B20*1000</f>
        <v>12000</v>
      </c>
      <c r="E20" s="277" t="s">
        <v>254</v>
      </c>
      <c r="F20" s="359"/>
      <c r="G20" s="266"/>
      <c r="H20" s="170">
        <v>14</v>
      </c>
      <c r="I20" s="456">
        <f t="shared" si="0"/>
        <v>8.4000000000000005E-2</v>
      </c>
      <c r="J20" s="217"/>
      <c r="K20" s="217"/>
      <c r="L20" s="217"/>
      <c r="M20" s="217"/>
      <c r="N20" s="267"/>
      <c r="O20" s="172"/>
      <c r="P20" s="217"/>
      <c r="Q20" s="443"/>
      <c r="S20" s="268"/>
      <c r="T20" s="268"/>
      <c r="U20" s="268"/>
      <c r="AJ20" s="443"/>
      <c r="AZ20" s="269"/>
      <c r="BJ20" s="219"/>
      <c r="BK20" s="219"/>
      <c r="BL20" s="219"/>
      <c r="BO20" s="172"/>
      <c r="BP20" s="219"/>
      <c r="BQ20" s="270"/>
      <c r="BR20" s="271"/>
      <c r="BS20" s="219"/>
      <c r="BT20" s="272"/>
      <c r="BX20" s="219"/>
      <c r="BY20" s="219"/>
      <c r="BZ20" s="172"/>
      <c r="CA20" s="172"/>
      <c r="CB20" s="172"/>
      <c r="CC20" s="172"/>
    </row>
    <row r="21" spans="1:81" ht="13">
      <c r="A21" s="285" t="s">
        <v>410</v>
      </c>
      <c r="B21" s="290">
        <v>350</v>
      </c>
      <c r="C21" s="277" t="s">
        <v>2</v>
      </c>
      <c r="D21" s="292">
        <f>B21*1000</f>
        <v>350000</v>
      </c>
      <c r="E21" s="277" t="s">
        <v>411</v>
      </c>
      <c r="F21" s="266"/>
      <c r="G21" s="266"/>
      <c r="H21" s="170">
        <v>15</v>
      </c>
      <c r="I21" s="456">
        <f t="shared" si="0"/>
        <v>0.09</v>
      </c>
      <c r="J21" s="217"/>
      <c r="K21" s="217"/>
      <c r="L21" s="217"/>
      <c r="M21" s="217"/>
      <c r="N21" s="267"/>
      <c r="O21" s="172"/>
      <c r="P21" s="217"/>
      <c r="Q21" s="443"/>
      <c r="S21" s="268"/>
      <c r="T21" s="268"/>
      <c r="U21" s="268"/>
      <c r="AJ21" s="443"/>
      <c r="AZ21" s="269"/>
      <c r="BJ21" s="219"/>
      <c r="BK21" s="219"/>
      <c r="BL21" s="219"/>
      <c r="BO21" s="172"/>
      <c r="BP21" s="219"/>
      <c r="BQ21" s="270"/>
      <c r="BR21" s="271"/>
      <c r="BS21" s="219"/>
      <c r="BT21" s="272"/>
      <c r="BX21" s="219"/>
      <c r="BY21" s="219"/>
      <c r="BZ21" s="172"/>
      <c r="CA21" s="172"/>
      <c r="CB21" s="172"/>
      <c r="CC21" s="172"/>
    </row>
    <row r="22" spans="1:81" ht="13">
      <c r="A22" s="293" t="s">
        <v>38</v>
      </c>
      <c r="B22" s="294">
        <f>B44+15</f>
        <v>55</v>
      </c>
      <c r="C22" s="275" t="s">
        <v>32</v>
      </c>
      <c r="D22" s="295">
        <f>B22/1000000000</f>
        <v>5.5000000000000003E-8</v>
      </c>
      <c r="E22" s="188" t="s">
        <v>255</v>
      </c>
      <c r="F22" s="266"/>
      <c r="G22" s="266"/>
      <c r="H22" s="170">
        <v>16</v>
      </c>
      <c r="I22" s="456">
        <f t="shared" si="0"/>
        <v>9.6000000000000002E-2</v>
      </c>
      <c r="J22" s="217"/>
      <c r="K22" s="217"/>
      <c r="L22" s="217"/>
      <c r="M22" s="217"/>
      <c r="N22" s="267"/>
      <c r="O22" s="172"/>
      <c r="P22" s="217"/>
      <c r="Q22" s="443"/>
      <c r="S22" s="268"/>
      <c r="T22" s="268"/>
      <c r="U22" s="268"/>
      <c r="AJ22" s="443"/>
      <c r="AZ22" s="269"/>
      <c r="BJ22" s="219"/>
      <c r="BK22" s="219"/>
      <c r="BL22" s="219"/>
      <c r="BO22" s="172"/>
      <c r="BP22" s="219"/>
      <c r="BQ22" s="270"/>
      <c r="BR22" s="271"/>
      <c r="BS22" s="219"/>
      <c r="BT22" s="272"/>
      <c r="BX22" s="219"/>
      <c r="BY22" s="219"/>
      <c r="BZ22" s="172"/>
      <c r="CA22" s="172"/>
      <c r="CB22" s="172"/>
      <c r="CC22" s="172"/>
    </row>
    <row r="23" spans="1:81" ht="13">
      <c r="A23" s="293" t="s">
        <v>39</v>
      </c>
      <c r="B23" s="294">
        <f>B44/2+25</f>
        <v>45</v>
      </c>
      <c r="C23" s="275" t="s">
        <v>32</v>
      </c>
      <c r="D23" s="295">
        <f>B23/1000000000</f>
        <v>4.4999999999999999E-8</v>
      </c>
      <c r="E23" s="188" t="s">
        <v>256</v>
      </c>
      <c r="F23" s="266"/>
      <c r="G23" s="266"/>
      <c r="H23" s="170">
        <v>17</v>
      </c>
      <c r="I23" s="456">
        <f t="shared" si="0"/>
        <v>0.10200000000000001</v>
      </c>
      <c r="J23" s="217"/>
      <c r="K23" s="217"/>
      <c r="L23" s="217"/>
      <c r="M23" s="217"/>
      <c r="N23" s="267"/>
      <c r="O23" s="172"/>
      <c r="P23" s="217"/>
      <c r="Q23" s="443"/>
      <c r="S23" s="268"/>
      <c r="T23" s="268"/>
      <c r="U23" s="268"/>
      <c r="AJ23" s="443"/>
      <c r="AZ23" s="269"/>
      <c r="BJ23" s="219"/>
      <c r="BK23" s="219"/>
      <c r="BL23" s="219"/>
      <c r="BO23" s="172"/>
      <c r="BP23" s="219"/>
      <c r="BQ23" s="270"/>
      <c r="BR23" s="271"/>
      <c r="BS23" s="219"/>
      <c r="BT23" s="272"/>
      <c r="BX23" s="219"/>
      <c r="BY23" s="219"/>
      <c r="BZ23" s="172"/>
      <c r="CA23" s="172"/>
      <c r="CB23" s="172"/>
      <c r="CC23" s="172"/>
    </row>
    <row r="24" spans="1:81" ht="13">
      <c r="A24" s="240"/>
      <c r="B24" s="240"/>
      <c r="C24" s="240"/>
      <c r="D24" s="240"/>
      <c r="E24" s="240"/>
      <c r="F24" s="266"/>
      <c r="G24" s="266"/>
      <c r="H24" s="170">
        <v>18</v>
      </c>
      <c r="I24" s="456">
        <f t="shared" si="0"/>
        <v>0.108</v>
      </c>
      <c r="J24" s="217"/>
      <c r="K24" s="217"/>
      <c r="L24" s="217"/>
      <c r="M24" s="217"/>
      <c r="N24" s="267"/>
      <c r="O24" s="172"/>
      <c r="P24" s="217"/>
      <c r="Q24" s="443"/>
      <c r="S24" s="268"/>
      <c r="T24" s="268"/>
      <c r="U24" s="268"/>
      <c r="AJ24" s="443"/>
      <c r="AZ24" s="269"/>
      <c r="BJ24" s="219"/>
      <c r="BK24" s="219"/>
      <c r="BL24" s="219"/>
      <c r="BO24" s="172"/>
      <c r="BP24" s="219"/>
      <c r="BQ24" s="270"/>
      <c r="BR24" s="271"/>
      <c r="BS24" s="219"/>
      <c r="BT24" s="272"/>
      <c r="BX24" s="219"/>
      <c r="BY24" s="219"/>
      <c r="BZ24" s="172"/>
      <c r="CA24" s="172"/>
      <c r="CB24" s="172"/>
      <c r="CC24" s="172"/>
    </row>
    <row r="25" spans="1:81" ht="13">
      <c r="A25" s="282" t="s">
        <v>29</v>
      </c>
      <c r="B25" s="263" t="s">
        <v>43</v>
      </c>
      <c r="C25" s="283" t="s">
        <v>33</v>
      </c>
      <c r="D25" s="284" t="s">
        <v>90</v>
      </c>
      <c r="E25" s="265" t="s">
        <v>41</v>
      </c>
      <c r="F25" s="266"/>
      <c r="G25" s="266"/>
      <c r="H25" s="170">
        <v>19</v>
      </c>
      <c r="I25" s="456">
        <f t="shared" si="0"/>
        <v>0.11399999999999999</v>
      </c>
      <c r="J25" s="217"/>
      <c r="K25" s="217"/>
      <c r="L25" s="217"/>
      <c r="M25" s="217"/>
      <c r="N25" s="267"/>
      <c r="O25" s="172"/>
      <c r="P25" s="217"/>
      <c r="Q25" s="443"/>
      <c r="S25" s="268"/>
      <c r="T25" s="268"/>
      <c r="U25" s="268"/>
      <c r="AJ25" s="443"/>
      <c r="AZ25" s="269"/>
      <c r="BJ25" s="219"/>
      <c r="BK25" s="219"/>
      <c r="BL25" s="219"/>
      <c r="BO25" s="172"/>
      <c r="BP25" s="219"/>
      <c r="BQ25" s="270"/>
      <c r="BR25" s="271"/>
      <c r="BS25" s="219"/>
      <c r="BT25" s="272"/>
      <c r="BX25" s="219"/>
      <c r="BY25" s="219"/>
      <c r="BZ25" s="172"/>
      <c r="CA25" s="172"/>
      <c r="CB25" s="172"/>
      <c r="CC25" s="172"/>
    </row>
    <row r="26" spans="1:81" ht="13.5" thickBot="1">
      <c r="A26" s="296" t="s">
        <v>27</v>
      </c>
      <c r="B26" s="277">
        <f>'Design Converter'!L7</f>
        <v>0.5</v>
      </c>
      <c r="C26" s="287" t="s">
        <v>96</v>
      </c>
      <c r="D26" s="194">
        <f>B26/1000000</f>
        <v>4.9999999999999998E-7</v>
      </c>
      <c r="E26" s="277" t="s">
        <v>257</v>
      </c>
      <c r="F26" s="297"/>
      <c r="G26" s="266"/>
      <c r="H26" s="170">
        <v>20</v>
      </c>
      <c r="I26" s="456">
        <f t="shared" si="0"/>
        <v>0.12</v>
      </c>
      <c r="J26" s="217"/>
      <c r="K26" s="217"/>
      <c r="L26" s="217"/>
      <c r="M26" s="217"/>
      <c r="N26" s="267"/>
      <c r="O26" s="172"/>
      <c r="P26" s="217"/>
      <c r="Q26" s="443"/>
      <c r="S26" s="268"/>
      <c r="T26" s="268"/>
      <c r="U26" s="268"/>
      <c r="AJ26" s="443"/>
      <c r="AZ26" s="269"/>
      <c r="BJ26" s="219"/>
      <c r="BK26" s="219"/>
      <c r="BL26" s="219"/>
      <c r="BO26" s="172"/>
      <c r="BP26" s="219"/>
      <c r="BQ26" s="270"/>
      <c r="BR26" s="271"/>
      <c r="BS26" s="219"/>
      <c r="BT26" s="272"/>
      <c r="BX26" s="219"/>
      <c r="BY26" s="219"/>
      <c r="BZ26" s="172"/>
      <c r="CA26" s="172"/>
      <c r="CB26" s="172"/>
      <c r="CC26" s="172"/>
    </row>
    <row r="27" spans="1:81" ht="13.5" thickBot="1">
      <c r="A27" s="298" t="s">
        <v>385</v>
      </c>
      <c r="B27" s="299">
        <f>'Design Converter'!L8</f>
        <v>30</v>
      </c>
      <c r="C27" s="300" t="s">
        <v>258</v>
      </c>
      <c r="D27" s="194">
        <f>B27/1000</f>
        <v>0.03</v>
      </c>
      <c r="E27" s="277" t="s">
        <v>480</v>
      </c>
      <c r="F27" s="266"/>
      <c r="G27" s="266"/>
      <c r="H27" s="170">
        <v>21</v>
      </c>
      <c r="I27" s="456">
        <f t="shared" si="0"/>
        <v>0.126</v>
      </c>
      <c r="J27" s="217"/>
      <c r="K27" s="217"/>
      <c r="L27" s="217"/>
      <c r="M27" s="217"/>
      <c r="N27" s="267"/>
      <c r="O27" s="172"/>
      <c r="P27" s="217"/>
      <c r="Q27" s="443"/>
      <c r="S27" s="268"/>
      <c r="T27" s="268"/>
      <c r="U27" s="268"/>
      <c r="AJ27" s="443"/>
      <c r="AZ27" s="269"/>
      <c r="BJ27" s="219"/>
      <c r="BK27" s="219"/>
      <c r="BL27" s="219"/>
      <c r="BO27" s="172"/>
      <c r="BP27" s="219"/>
      <c r="BQ27" s="270"/>
      <c r="BR27" s="271"/>
      <c r="BS27" s="219"/>
      <c r="BT27" s="272"/>
      <c r="BX27" s="219"/>
      <c r="BY27" s="219"/>
      <c r="BZ27" s="172"/>
      <c r="CA27" s="172"/>
      <c r="CB27" s="172"/>
      <c r="CC27" s="172"/>
    </row>
    <row r="28" spans="1:81" ht="13.5" thickBot="1">
      <c r="A28" s="298" t="s">
        <v>448</v>
      </c>
      <c r="B28" s="299">
        <f>'Design Converter'!L9</f>
        <v>30</v>
      </c>
      <c r="C28" s="300" t="s">
        <v>258</v>
      </c>
      <c r="D28" s="194">
        <f>B28/1000</f>
        <v>0.03</v>
      </c>
      <c r="E28" s="277" t="s">
        <v>646</v>
      </c>
      <c r="F28" s="266"/>
      <c r="G28" s="266"/>
      <c r="H28" s="170">
        <v>22</v>
      </c>
      <c r="I28" s="456">
        <f t="shared" si="0"/>
        <v>0.13200000000000001</v>
      </c>
      <c r="J28" s="217"/>
      <c r="K28" s="217"/>
      <c r="L28" s="217"/>
      <c r="M28" s="217"/>
      <c r="N28" s="267"/>
      <c r="O28" s="172"/>
      <c r="P28" s="217"/>
      <c r="Q28" s="443"/>
      <c r="S28" s="268"/>
      <c r="T28" s="268"/>
      <c r="U28" s="268"/>
      <c r="AJ28" s="443"/>
      <c r="AZ28" s="269"/>
      <c r="BJ28" s="219"/>
      <c r="BK28" s="219"/>
      <c r="BL28" s="219"/>
      <c r="BO28" s="172"/>
      <c r="BP28" s="219"/>
      <c r="BQ28" s="270"/>
      <c r="BR28" s="271"/>
      <c r="BS28" s="219"/>
      <c r="BT28" s="272"/>
      <c r="BX28" s="219"/>
      <c r="BY28" s="219"/>
      <c r="BZ28" s="172"/>
      <c r="CA28" s="172"/>
      <c r="CB28" s="172"/>
      <c r="CC28" s="172"/>
    </row>
    <row r="29" spans="1:81" ht="13.5" thickBot="1">
      <c r="A29" s="301" t="s">
        <v>259</v>
      </c>
      <c r="B29" s="302">
        <f>0.00000005</f>
        <v>4.9999999999999998E-8</v>
      </c>
      <c r="C29" s="300"/>
      <c r="D29" s="303">
        <f>B29</f>
        <v>4.9999999999999998E-8</v>
      </c>
      <c r="E29" s="304" t="s">
        <v>479</v>
      </c>
      <c r="F29" s="266"/>
      <c r="G29" s="266"/>
      <c r="H29" s="170">
        <v>23</v>
      </c>
      <c r="I29" s="456">
        <f t="shared" si="0"/>
        <v>0.13800000000000001</v>
      </c>
      <c r="J29" s="217"/>
      <c r="K29" s="217"/>
      <c r="L29" s="217"/>
      <c r="M29" s="217"/>
      <c r="N29" s="267"/>
      <c r="O29" s="172"/>
      <c r="P29" s="217"/>
      <c r="Q29" s="443"/>
      <c r="S29" s="268"/>
      <c r="T29" s="268"/>
      <c r="U29" s="268"/>
      <c r="AJ29" s="443"/>
      <c r="AZ29" s="269"/>
      <c r="BJ29" s="219"/>
      <c r="BK29" s="219"/>
      <c r="BL29" s="219"/>
      <c r="BO29" s="172"/>
      <c r="BP29" s="219"/>
      <c r="BQ29" s="270"/>
      <c r="BR29" s="271"/>
      <c r="BS29" s="219"/>
      <c r="BT29" s="272"/>
      <c r="BX29" s="219"/>
      <c r="BY29" s="219"/>
      <c r="BZ29" s="172"/>
      <c r="CA29" s="172"/>
      <c r="CB29" s="172"/>
      <c r="CC29" s="172"/>
    </row>
    <row r="30" spans="1:81" ht="13.5" thickBot="1">
      <c r="A30" s="305" t="s">
        <v>28</v>
      </c>
      <c r="B30" s="299">
        <f>'Design Converter'!E30</f>
        <v>40</v>
      </c>
      <c r="C30" s="306" t="s">
        <v>97</v>
      </c>
      <c r="D30" s="307">
        <f>B30/1000000</f>
        <v>4.0000000000000003E-5</v>
      </c>
      <c r="E30" s="308" t="s">
        <v>60</v>
      </c>
      <c r="F30" s="266"/>
      <c r="G30" s="266"/>
      <c r="H30" s="170">
        <v>24</v>
      </c>
      <c r="I30" s="456">
        <f t="shared" si="0"/>
        <v>0.14399999999999999</v>
      </c>
      <c r="J30" s="217"/>
      <c r="K30" s="217"/>
      <c r="L30" s="217"/>
      <c r="M30" s="217"/>
      <c r="N30" s="267"/>
      <c r="O30" s="172"/>
      <c r="P30" s="217"/>
      <c r="Q30" s="443"/>
      <c r="S30" s="268"/>
      <c r="T30" s="268"/>
      <c r="U30" s="268"/>
      <c r="AJ30" s="443"/>
      <c r="AZ30" s="269"/>
      <c r="BJ30" s="219"/>
      <c r="BK30" s="219"/>
      <c r="BL30" s="219"/>
      <c r="BO30" s="172"/>
      <c r="BP30" s="219"/>
      <c r="BQ30" s="270"/>
      <c r="BR30" s="271"/>
      <c r="BS30" s="219"/>
      <c r="BT30" s="272"/>
      <c r="BX30" s="219"/>
      <c r="BY30" s="219"/>
      <c r="BZ30" s="172"/>
      <c r="CA30" s="172"/>
      <c r="CB30" s="172"/>
      <c r="CC30" s="172"/>
    </row>
    <row r="31" spans="1:81" ht="13.5" thickBot="1">
      <c r="A31" s="301" t="s">
        <v>260</v>
      </c>
      <c r="B31" s="299">
        <f>'Design Converter'!E31</f>
        <v>3</v>
      </c>
      <c r="C31" s="300" t="s">
        <v>258</v>
      </c>
      <c r="D31" s="194">
        <f>B31/1000</f>
        <v>3.0000000000000001E-3</v>
      </c>
      <c r="E31" s="277" t="s">
        <v>261</v>
      </c>
      <c r="F31" s="266"/>
      <c r="G31" s="266"/>
      <c r="H31" s="170">
        <v>25</v>
      </c>
      <c r="I31" s="456">
        <f t="shared" si="0"/>
        <v>0.15</v>
      </c>
      <c r="J31" s="217"/>
      <c r="K31" s="217"/>
      <c r="L31" s="217"/>
      <c r="M31" s="217"/>
      <c r="N31" s="267"/>
      <c r="O31" s="172"/>
      <c r="P31" s="217"/>
      <c r="Q31" s="443"/>
      <c r="S31" s="268"/>
      <c r="T31" s="268"/>
      <c r="U31" s="268"/>
      <c r="AJ31" s="443"/>
      <c r="AZ31" s="269"/>
      <c r="BJ31" s="219"/>
      <c r="BK31" s="219"/>
      <c r="BL31" s="219"/>
      <c r="BO31" s="172"/>
      <c r="BP31" s="219"/>
      <c r="BQ31" s="270"/>
      <c r="BR31" s="271"/>
      <c r="BS31" s="219"/>
      <c r="BT31" s="272"/>
      <c r="BX31" s="219"/>
      <c r="BY31" s="219"/>
      <c r="BZ31" s="172"/>
      <c r="CA31" s="172"/>
      <c r="CB31" s="172"/>
      <c r="CC31" s="172"/>
    </row>
    <row r="32" spans="1:81" ht="13.5" thickBot="1">
      <c r="A32" s="296" t="s">
        <v>14</v>
      </c>
      <c r="B32" s="358">
        <f>'Design Converter'!E34</f>
        <v>10</v>
      </c>
      <c r="C32" s="287" t="s">
        <v>97</v>
      </c>
      <c r="D32" s="288">
        <f>B32/1000000</f>
        <v>1.0000000000000001E-5</v>
      </c>
      <c r="E32" s="277" t="s">
        <v>262</v>
      </c>
      <c r="F32" s="266"/>
      <c r="G32" s="266"/>
      <c r="H32" s="170">
        <v>26</v>
      </c>
      <c r="I32" s="456">
        <f t="shared" si="0"/>
        <v>0.156</v>
      </c>
      <c r="J32" s="217"/>
      <c r="K32" s="217"/>
      <c r="L32" s="217"/>
      <c r="M32" s="217"/>
      <c r="N32" s="267"/>
      <c r="O32" s="172"/>
      <c r="P32" s="217"/>
      <c r="Q32" s="443"/>
      <c r="S32" s="268"/>
      <c r="T32" s="268"/>
      <c r="U32" s="268"/>
      <c r="AJ32" s="443"/>
      <c r="AZ32" s="269"/>
      <c r="BJ32" s="219"/>
      <c r="BK32" s="219"/>
      <c r="BL32" s="219"/>
      <c r="BO32" s="172"/>
      <c r="BP32" s="219"/>
      <c r="BQ32" s="270"/>
      <c r="BR32" s="271"/>
      <c r="BS32" s="219"/>
      <c r="BT32" s="272"/>
      <c r="BX32" s="219"/>
      <c r="BY32" s="219"/>
      <c r="BZ32" s="172"/>
      <c r="CA32" s="172"/>
      <c r="CB32" s="172"/>
      <c r="CC32" s="172"/>
    </row>
    <row r="33" spans="1:81" ht="13">
      <c r="A33" s="301" t="s">
        <v>263</v>
      </c>
      <c r="B33" s="358">
        <f>'Design Converter'!E35</f>
        <v>2</v>
      </c>
      <c r="C33" s="300" t="s">
        <v>258</v>
      </c>
      <c r="D33" s="194">
        <f>B33/1000</f>
        <v>2E-3</v>
      </c>
      <c r="E33" s="277" t="s">
        <v>264</v>
      </c>
      <c r="F33" s="266"/>
      <c r="G33" s="266"/>
      <c r="H33" s="170">
        <v>27</v>
      </c>
      <c r="I33" s="456">
        <f t="shared" si="0"/>
        <v>0.16200000000000001</v>
      </c>
      <c r="J33" s="217"/>
      <c r="K33" s="217"/>
      <c r="L33" s="217"/>
      <c r="M33" s="217"/>
      <c r="N33" s="267"/>
      <c r="O33" s="172"/>
      <c r="P33" s="217"/>
      <c r="Q33" s="443"/>
      <c r="S33" s="268"/>
      <c r="T33" s="268"/>
      <c r="U33" s="268"/>
      <c r="AJ33" s="443"/>
      <c r="AZ33" s="269"/>
      <c r="BJ33" s="219"/>
      <c r="BK33" s="219"/>
      <c r="BL33" s="219"/>
      <c r="BO33" s="172"/>
      <c r="BP33" s="219"/>
      <c r="BQ33" s="270"/>
      <c r="BR33" s="271"/>
      <c r="BS33" s="219"/>
      <c r="BT33" s="272"/>
      <c r="BX33" s="219"/>
      <c r="BY33" s="219"/>
      <c r="BZ33" s="172"/>
      <c r="CA33" s="172"/>
      <c r="CB33" s="172"/>
      <c r="CC33" s="172"/>
    </row>
    <row r="34" spans="1:81" ht="13">
      <c r="A34" s="309" t="s">
        <v>394</v>
      </c>
      <c r="B34" s="263"/>
      <c r="C34" s="309" t="s">
        <v>33</v>
      </c>
      <c r="D34" s="310" t="s">
        <v>90</v>
      </c>
      <c r="E34" s="311" t="s">
        <v>41</v>
      </c>
      <c r="F34" s="266"/>
      <c r="G34" s="266"/>
      <c r="H34" s="170">
        <v>28</v>
      </c>
      <c r="I34" s="456">
        <f t="shared" si="0"/>
        <v>0.16800000000000001</v>
      </c>
      <c r="J34" s="217"/>
      <c r="K34" s="217"/>
      <c r="L34" s="217"/>
      <c r="M34" s="217"/>
      <c r="N34" s="267"/>
      <c r="O34" s="172"/>
      <c r="P34" s="217"/>
      <c r="Q34" s="443"/>
      <c r="S34" s="268"/>
      <c r="T34" s="268"/>
      <c r="U34" s="268"/>
      <c r="AJ34" s="443"/>
      <c r="AZ34" s="269"/>
      <c r="BJ34" s="219"/>
      <c r="BK34" s="219"/>
      <c r="BL34" s="219"/>
      <c r="BO34" s="172"/>
      <c r="BP34" s="219"/>
      <c r="BQ34" s="270"/>
      <c r="BR34" s="271"/>
      <c r="BS34" s="219"/>
      <c r="BT34" s="272"/>
      <c r="BX34" s="219"/>
      <c r="BY34" s="219"/>
      <c r="BZ34" s="172"/>
      <c r="CA34" s="172"/>
      <c r="CB34" s="172"/>
      <c r="CC34" s="172"/>
    </row>
    <row r="35" spans="1:81" ht="13">
      <c r="A35" s="298" t="s">
        <v>399</v>
      </c>
      <c r="B35" s="312">
        <f>100/RCS</f>
        <v>66.666666666666671</v>
      </c>
      <c r="C35" s="287" t="s">
        <v>1</v>
      </c>
      <c r="D35" s="269">
        <f>B35</f>
        <v>66.666666666666671</v>
      </c>
      <c r="E35" s="188" t="s">
        <v>398</v>
      </c>
      <c r="F35" s="266"/>
      <c r="G35" s="266"/>
      <c r="H35" s="170">
        <v>29</v>
      </c>
      <c r="I35" s="456">
        <f t="shared" si="0"/>
        <v>0.17399999999999999</v>
      </c>
      <c r="J35" s="217"/>
      <c r="K35" s="217"/>
      <c r="L35" s="217"/>
      <c r="M35" s="217"/>
      <c r="N35" s="267"/>
      <c r="O35" s="172"/>
      <c r="P35" s="217"/>
      <c r="Q35" s="443"/>
      <c r="S35" s="268"/>
      <c r="T35" s="268"/>
      <c r="U35" s="268"/>
      <c r="AJ35" s="443"/>
      <c r="AZ35" s="269"/>
      <c r="BJ35" s="219"/>
      <c r="BK35" s="219"/>
      <c r="BL35" s="219"/>
      <c r="BO35" s="172"/>
      <c r="BP35" s="219"/>
      <c r="BQ35" s="270"/>
      <c r="BR35" s="271"/>
      <c r="BS35" s="219"/>
      <c r="BT35" s="272"/>
      <c r="BX35" s="219"/>
      <c r="BY35" s="219"/>
      <c r="BZ35" s="172"/>
      <c r="CA35" s="172"/>
      <c r="CB35" s="172"/>
      <c r="CC35" s="172"/>
    </row>
    <row r="36" spans="1:81" ht="13">
      <c r="A36" s="298" t="s">
        <v>407</v>
      </c>
      <c r="B36" s="312">
        <f>B35/5</f>
        <v>13.333333333333334</v>
      </c>
      <c r="C36" s="287" t="s">
        <v>1</v>
      </c>
      <c r="D36" s="269">
        <f>B36</f>
        <v>13.333333333333334</v>
      </c>
      <c r="E36" s="188" t="s">
        <v>408</v>
      </c>
      <c r="F36" s="266"/>
      <c r="G36" s="266"/>
      <c r="H36" s="170">
        <v>30</v>
      </c>
      <c r="I36" s="456">
        <f t="shared" si="0"/>
        <v>0.18</v>
      </c>
      <c r="J36" s="217"/>
      <c r="K36" s="217"/>
      <c r="L36" s="217"/>
      <c r="M36" s="217"/>
      <c r="N36" s="267"/>
      <c r="O36" s="172"/>
      <c r="P36" s="217"/>
      <c r="Q36" s="443"/>
      <c r="S36" s="268"/>
      <c r="T36" s="268"/>
      <c r="U36" s="268"/>
      <c r="AJ36" s="443"/>
      <c r="AZ36" s="269"/>
      <c r="BJ36" s="219"/>
      <c r="BK36" s="219"/>
      <c r="BL36" s="219"/>
      <c r="BO36" s="172"/>
      <c r="BP36" s="219"/>
      <c r="BQ36" s="270"/>
      <c r="BR36" s="271"/>
      <c r="BS36" s="219"/>
      <c r="BT36" s="272"/>
      <c r="BX36" s="219"/>
      <c r="BY36" s="219"/>
      <c r="BZ36" s="172"/>
      <c r="CA36" s="172"/>
      <c r="CB36" s="172"/>
      <c r="CC36" s="172"/>
    </row>
    <row r="37" spans="1:81" ht="13.5" thickBot="1">
      <c r="A37" s="298" t="s">
        <v>678</v>
      </c>
      <c r="B37" s="635">
        <v>30</v>
      </c>
      <c r="C37" s="170" t="s">
        <v>32</v>
      </c>
      <c r="D37" s="170">
        <f>B37*0.000000001</f>
        <v>3.0000000000000004E-8</v>
      </c>
      <c r="E37" s="170" t="s">
        <v>679</v>
      </c>
      <c r="F37" s="266"/>
      <c r="G37" s="266"/>
      <c r="H37" s="170">
        <v>31</v>
      </c>
      <c r="I37" s="456">
        <f t="shared" si="0"/>
        <v>0.186</v>
      </c>
      <c r="J37" s="217"/>
      <c r="K37" s="217"/>
      <c r="L37" s="217"/>
      <c r="M37" s="217"/>
      <c r="N37" s="267"/>
      <c r="O37" s="172"/>
      <c r="P37" s="217"/>
      <c r="Q37" s="443"/>
      <c r="S37" s="268"/>
      <c r="T37" s="268"/>
      <c r="U37" s="268"/>
      <c r="AJ37" s="443"/>
      <c r="AZ37" s="269"/>
      <c r="BJ37" s="219"/>
      <c r="BK37" s="219"/>
      <c r="BL37" s="219"/>
      <c r="BO37" s="172"/>
      <c r="BP37" s="219"/>
      <c r="BQ37" s="270"/>
      <c r="BR37" s="271"/>
      <c r="BS37" s="219"/>
      <c r="BT37" s="272"/>
      <c r="BX37" s="219"/>
      <c r="BY37" s="219"/>
      <c r="BZ37" s="172"/>
      <c r="CA37" s="172"/>
      <c r="CB37" s="172"/>
      <c r="CC37" s="172"/>
    </row>
    <row r="38" spans="1:81" ht="13" thickBot="1">
      <c r="A38" s="313" t="s">
        <v>47</v>
      </c>
      <c r="B38" s="526">
        <v>1</v>
      </c>
      <c r="C38" s="287"/>
      <c r="D38" s="269">
        <f>B38</f>
        <v>1</v>
      </c>
      <c r="E38" s="188" t="s">
        <v>409</v>
      </c>
      <c r="H38" s="170">
        <v>32</v>
      </c>
      <c r="I38" s="456">
        <f t="shared" ref="I38:I69" si="2">IF(PLOT_TYPE=1, H38/100*Iout_max, min_I*EXP(H38*rr/100))</f>
        <v>0.192</v>
      </c>
      <c r="J38" s="217"/>
      <c r="K38" s="217"/>
      <c r="L38" s="217"/>
      <c r="M38" s="217"/>
      <c r="N38" s="267"/>
      <c r="O38" s="172"/>
      <c r="P38" s="217"/>
      <c r="Q38" s="443"/>
      <c r="S38" s="268"/>
      <c r="T38" s="268"/>
      <c r="U38" s="268"/>
      <c r="AJ38" s="443"/>
      <c r="AZ38" s="269"/>
      <c r="BJ38" s="219"/>
      <c r="BK38" s="219"/>
      <c r="BL38" s="219"/>
      <c r="BO38" s="172"/>
      <c r="BP38" s="219"/>
      <c r="BQ38" s="270"/>
      <c r="BR38" s="271"/>
      <c r="BS38" s="219"/>
      <c r="BT38" s="272"/>
      <c r="BX38" s="219"/>
      <c r="BY38" s="219"/>
      <c r="BZ38" s="172"/>
      <c r="CA38" s="172"/>
      <c r="CB38" s="172"/>
      <c r="CC38" s="172"/>
    </row>
    <row r="39" spans="1:81">
      <c r="A39" s="298" t="s">
        <v>24</v>
      </c>
      <c r="B39" s="314">
        <v>450</v>
      </c>
      <c r="C39" s="287" t="s">
        <v>265</v>
      </c>
      <c r="D39" s="289">
        <f>B39/1000000</f>
        <v>4.4999999999999999E-4</v>
      </c>
      <c r="E39" s="277" t="s">
        <v>775</v>
      </c>
      <c r="H39" s="170">
        <v>33</v>
      </c>
      <c r="I39" s="456">
        <f t="shared" si="2"/>
        <v>0.19800000000000001</v>
      </c>
      <c r="J39" s="217"/>
      <c r="K39" s="217"/>
      <c r="L39" s="217"/>
      <c r="M39" s="217"/>
      <c r="N39" s="267"/>
      <c r="O39" s="172"/>
      <c r="P39" s="217"/>
      <c r="Q39" s="443"/>
      <c r="S39" s="268"/>
      <c r="T39" s="268"/>
      <c r="U39" s="268"/>
      <c r="AJ39" s="443"/>
      <c r="AZ39" s="269"/>
      <c r="BJ39" s="219"/>
      <c r="BK39" s="219"/>
      <c r="BL39" s="219"/>
      <c r="BO39" s="172"/>
      <c r="BP39" s="219"/>
      <c r="BQ39" s="270"/>
      <c r="BR39" s="271"/>
      <c r="BS39" s="219"/>
      <c r="BT39" s="272"/>
      <c r="BX39" s="219"/>
      <c r="BY39" s="219"/>
      <c r="BZ39" s="172"/>
      <c r="CA39" s="172"/>
      <c r="CB39" s="172"/>
      <c r="CC39" s="172"/>
    </row>
    <row r="40" spans="1:81" ht="13.5" thickBot="1">
      <c r="A40" s="309" t="s">
        <v>391</v>
      </c>
      <c r="B40" s="315"/>
      <c r="C40" s="309" t="s">
        <v>33</v>
      </c>
      <c r="D40" s="310" t="s">
        <v>90</v>
      </c>
      <c r="E40" s="316" t="s">
        <v>41</v>
      </c>
      <c r="H40" s="170">
        <v>34</v>
      </c>
      <c r="I40" s="456">
        <f t="shared" si="2"/>
        <v>0.20400000000000001</v>
      </c>
      <c r="J40" s="217"/>
      <c r="K40" s="217"/>
      <c r="L40" s="217"/>
      <c r="M40" s="217"/>
      <c r="N40" s="267"/>
      <c r="O40" s="172"/>
      <c r="P40" s="217"/>
      <c r="Q40" s="443"/>
      <c r="S40" s="268"/>
      <c r="T40" s="268"/>
      <c r="U40" s="268"/>
      <c r="AJ40" s="443"/>
      <c r="AZ40" s="269"/>
      <c r="BJ40" s="219"/>
      <c r="BK40" s="219"/>
      <c r="BL40" s="219"/>
      <c r="BO40" s="172"/>
      <c r="BP40" s="219"/>
      <c r="BQ40" s="270"/>
      <c r="BR40" s="271"/>
      <c r="BS40" s="219"/>
      <c r="BT40" s="272"/>
      <c r="BX40" s="219"/>
      <c r="BY40" s="219"/>
      <c r="BZ40" s="172"/>
      <c r="CA40" s="172"/>
      <c r="CB40" s="172"/>
      <c r="CC40" s="172"/>
    </row>
    <row r="41" spans="1:81">
      <c r="A41" s="317" t="s">
        <v>392</v>
      </c>
      <c r="B41" s="318">
        <f>RON</f>
        <v>40</v>
      </c>
      <c r="C41" s="278" t="s">
        <v>258</v>
      </c>
      <c r="D41" s="171">
        <f>B41/1000</f>
        <v>0.04</v>
      </c>
      <c r="E41" s="277" t="s">
        <v>396</v>
      </c>
      <c r="H41" s="170">
        <v>35</v>
      </c>
      <c r="I41" s="456">
        <f t="shared" si="2"/>
        <v>0.21</v>
      </c>
      <c r="J41" s="217"/>
      <c r="K41" s="217"/>
      <c r="L41" s="217"/>
      <c r="M41" s="217"/>
      <c r="N41" s="267"/>
      <c r="O41" s="172"/>
      <c r="P41" s="217"/>
      <c r="Q41" s="443"/>
      <c r="S41" s="268"/>
      <c r="T41" s="268"/>
      <c r="U41" s="268"/>
      <c r="AJ41" s="443"/>
      <c r="AZ41" s="269"/>
      <c r="BJ41" s="219"/>
      <c r="BK41" s="219"/>
      <c r="BL41" s="219"/>
      <c r="BO41" s="172"/>
      <c r="BP41" s="219"/>
      <c r="BQ41" s="270"/>
      <c r="BR41" s="271"/>
      <c r="BS41" s="219"/>
      <c r="BT41" s="272"/>
      <c r="BX41" s="219"/>
      <c r="BY41" s="219"/>
      <c r="BZ41" s="172"/>
      <c r="CA41" s="172"/>
      <c r="CB41" s="172"/>
      <c r="CC41" s="172"/>
    </row>
    <row r="42" spans="1:81" ht="13" thickBot="1">
      <c r="A42" s="170" t="s">
        <v>668</v>
      </c>
      <c r="B42" s="170">
        <v>4500</v>
      </c>
      <c r="C42" s="631" t="s">
        <v>669</v>
      </c>
      <c r="D42" s="171">
        <f>B42/1000000</f>
        <v>4.4999999999999997E-3</v>
      </c>
      <c r="E42" s="632" t="s">
        <v>670</v>
      </c>
      <c r="H42" s="170">
        <v>36</v>
      </c>
      <c r="I42" s="456">
        <f t="shared" si="2"/>
        <v>0.216</v>
      </c>
      <c r="J42" s="217"/>
      <c r="K42" s="217"/>
      <c r="L42" s="217"/>
      <c r="M42" s="217"/>
      <c r="N42" s="267"/>
      <c r="O42" s="172"/>
      <c r="P42" s="217"/>
      <c r="Q42" s="443"/>
      <c r="S42" s="268"/>
      <c r="T42" s="268"/>
      <c r="U42" s="268"/>
      <c r="AJ42" s="443"/>
      <c r="AZ42" s="269"/>
      <c r="BJ42" s="219"/>
      <c r="BK42" s="219"/>
      <c r="BL42" s="219"/>
      <c r="BO42" s="172"/>
      <c r="BP42" s="219"/>
      <c r="BQ42" s="270"/>
      <c r="BR42" s="271"/>
      <c r="BS42" s="219"/>
      <c r="BT42" s="272"/>
      <c r="BX42" s="219"/>
      <c r="BY42" s="219"/>
      <c r="BZ42" s="172"/>
      <c r="CA42" s="172"/>
      <c r="CB42" s="172"/>
      <c r="CC42" s="172"/>
    </row>
    <row r="43" spans="1:81" ht="13.5" thickBot="1">
      <c r="A43" s="298" t="s">
        <v>266</v>
      </c>
      <c r="B43" s="319"/>
      <c r="C43" s="320" t="s">
        <v>267</v>
      </c>
      <c r="D43" s="171"/>
      <c r="E43" s="277" t="s">
        <v>266</v>
      </c>
      <c r="H43" s="170">
        <v>37</v>
      </c>
      <c r="I43" s="456">
        <f t="shared" si="2"/>
        <v>0.222</v>
      </c>
      <c r="J43" s="217"/>
      <c r="K43" s="217"/>
      <c r="L43" s="217"/>
      <c r="M43" s="217"/>
      <c r="N43" s="267"/>
      <c r="O43" s="172"/>
      <c r="P43" s="217"/>
      <c r="Q43" s="443"/>
      <c r="S43" s="268"/>
      <c r="T43" s="268"/>
      <c r="U43" s="268"/>
      <c r="AJ43" s="443"/>
      <c r="AZ43" s="269"/>
      <c r="BJ43" s="219"/>
      <c r="BK43" s="219"/>
      <c r="BL43" s="219"/>
      <c r="BO43" s="172"/>
      <c r="BP43" s="219"/>
      <c r="BQ43" s="270"/>
      <c r="BR43" s="271"/>
      <c r="BS43" s="219"/>
      <c r="BT43" s="272"/>
      <c r="BX43" s="219"/>
      <c r="BY43" s="219"/>
      <c r="BZ43" s="172"/>
      <c r="CA43" s="172"/>
      <c r="CB43" s="172"/>
      <c r="CC43" s="172"/>
    </row>
    <row r="44" spans="1:81" ht="13" thickBot="1">
      <c r="A44" s="298" t="s">
        <v>393</v>
      </c>
      <c r="B44" s="318">
        <f>'Design Converter'!L24</f>
        <v>40</v>
      </c>
      <c r="C44" s="287" t="s">
        <v>31</v>
      </c>
      <c r="D44" s="171">
        <f>B44/1000000000</f>
        <v>4.0000000000000001E-8</v>
      </c>
      <c r="E44" s="277" t="s">
        <v>395</v>
      </c>
      <c r="H44" s="170">
        <v>38</v>
      </c>
      <c r="I44" s="456">
        <f t="shared" si="2"/>
        <v>0.22799999999999998</v>
      </c>
      <c r="J44" s="217"/>
      <c r="K44" s="217"/>
      <c r="L44" s="217"/>
      <c r="M44" s="217"/>
      <c r="N44" s="267"/>
      <c r="O44" s="172"/>
      <c r="P44" s="217"/>
      <c r="Q44" s="443"/>
      <c r="S44" s="268"/>
      <c r="T44" s="268"/>
      <c r="U44" s="268"/>
      <c r="AJ44" s="443"/>
      <c r="AZ44" s="269"/>
      <c r="BJ44" s="219"/>
      <c r="BK44" s="219"/>
      <c r="BL44" s="219"/>
      <c r="BO44" s="172"/>
      <c r="BP44" s="219"/>
      <c r="BQ44" s="270"/>
      <c r="BR44" s="271"/>
      <c r="BS44" s="219"/>
      <c r="BT44" s="272"/>
      <c r="BX44" s="219"/>
      <c r="BY44" s="219"/>
      <c r="BZ44" s="172"/>
      <c r="CA44" s="172"/>
      <c r="CB44" s="172"/>
      <c r="CC44" s="172"/>
    </row>
    <row r="45" spans="1:81" ht="13" thickBot="1">
      <c r="A45" s="301" t="s">
        <v>240</v>
      </c>
      <c r="B45" s="318">
        <f>'Design Converter'!L25</f>
        <v>300</v>
      </c>
      <c r="C45" s="287" t="s">
        <v>15</v>
      </c>
      <c r="D45" s="321">
        <f>B45/1000000000000</f>
        <v>3E-10</v>
      </c>
      <c r="E45" s="277" t="s">
        <v>326</v>
      </c>
      <c r="H45" s="170">
        <v>39</v>
      </c>
      <c r="I45" s="456">
        <f t="shared" si="2"/>
        <v>0.23399999999999999</v>
      </c>
      <c r="J45" s="217"/>
      <c r="K45" s="217"/>
      <c r="L45" s="217"/>
      <c r="M45" s="217"/>
      <c r="N45" s="267"/>
      <c r="O45" s="172"/>
      <c r="P45" s="217"/>
      <c r="Q45" s="443"/>
      <c r="S45" s="268"/>
      <c r="T45" s="268"/>
      <c r="U45" s="268"/>
      <c r="AJ45" s="443"/>
      <c r="AZ45" s="269"/>
      <c r="BJ45" s="219"/>
      <c r="BK45" s="219"/>
      <c r="BL45" s="219"/>
      <c r="BO45" s="172"/>
      <c r="BP45" s="219"/>
      <c r="BQ45" s="270"/>
      <c r="BR45" s="271"/>
      <c r="BS45" s="219"/>
      <c r="BT45" s="272"/>
      <c r="BX45" s="219"/>
      <c r="BY45" s="219"/>
      <c r="BZ45" s="172"/>
      <c r="CA45" s="172"/>
      <c r="CB45" s="172"/>
      <c r="CC45" s="172"/>
    </row>
    <row r="46" spans="1:81">
      <c r="A46" s="324" t="s">
        <v>325</v>
      </c>
      <c r="B46" s="318">
        <f>CHOOSE(MODE, 50, 100)</f>
        <v>100</v>
      </c>
      <c r="C46" s="287" t="s">
        <v>15</v>
      </c>
      <c r="D46" s="289">
        <f>B46/1000000000000</f>
        <v>1E-10</v>
      </c>
      <c r="E46" s="277" t="s">
        <v>472</v>
      </c>
      <c r="H46" s="170">
        <v>40</v>
      </c>
      <c r="I46" s="456">
        <f t="shared" si="2"/>
        <v>0.24</v>
      </c>
      <c r="J46" s="217"/>
      <c r="K46" s="217"/>
      <c r="L46" s="217"/>
      <c r="M46" s="217"/>
      <c r="N46" s="267"/>
      <c r="O46" s="172"/>
      <c r="P46" s="217"/>
      <c r="Q46" s="443"/>
      <c r="S46" s="268"/>
      <c r="T46" s="268"/>
      <c r="U46" s="268"/>
      <c r="AJ46" s="443"/>
      <c r="AZ46" s="269"/>
      <c r="BJ46" s="219"/>
      <c r="BK46" s="219"/>
      <c r="BL46" s="219"/>
      <c r="BO46" s="172"/>
      <c r="BP46" s="219"/>
      <c r="BQ46" s="270"/>
      <c r="BR46" s="271"/>
      <c r="BS46" s="219"/>
      <c r="BT46" s="272"/>
      <c r="BX46" s="219"/>
      <c r="BY46" s="219"/>
      <c r="BZ46" s="172"/>
      <c r="CA46" s="172"/>
      <c r="CB46" s="172"/>
      <c r="CC46" s="172"/>
    </row>
    <row r="47" spans="1:81" ht="13.5" thickBot="1">
      <c r="A47" s="309" t="s">
        <v>397</v>
      </c>
      <c r="B47" s="322"/>
      <c r="C47" s="309" t="s">
        <v>33</v>
      </c>
      <c r="D47" s="310" t="s">
        <v>90</v>
      </c>
      <c r="E47" s="323" t="s">
        <v>41</v>
      </c>
      <c r="H47" s="170">
        <v>41</v>
      </c>
      <c r="I47" s="456">
        <f t="shared" si="2"/>
        <v>0.24599999999999997</v>
      </c>
      <c r="J47" s="217"/>
      <c r="K47" s="217"/>
      <c r="L47" s="217"/>
      <c r="M47" s="217"/>
      <c r="N47" s="267"/>
      <c r="O47" s="172"/>
      <c r="P47" s="217"/>
      <c r="Q47" s="443"/>
      <c r="S47" s="268"/>
      <c r="T47" s="268"/>
      <c r="U47" s="268"/>
      <c r="AJ47" s="443"/>
      <c r="AZ47" s="269"/>
      <c r="BJ47" s="219"/>
      <c r="BK47" s="219"/>
      <c r="BL47" s="219"/>
      <c r="BO47" s="172"/>
      <c r="BP47" s="219"/>
      <c r="BQ47" s="270"/>
      <c r="BR47" s="271"/>
      <c r="BS47" s="219"/>
      <c r="BT47" s="272"/>
      <c r="BX47" s="219"/>
      <c r="BY47" s="219"/>
      <c r="BZ47" s="172"/>
      <c r="CA47" s="172"/>
      <c r="CB47" s="172"/>
      <c r="CC47" s="172"/>
    </row>
    <row r="48" spans="1:81" ht="13" thickBot="1">
      <c r="A48" s="317" t="s">
        <v>644</v>
      </c>
      <c r="B48" s="318">
        <f>'Design Converter'!E80</f>
        <v>0.5</v>
      </c>
      <c r="C48" s="275" t="s">
        <v>0</v>
      </c>
      <c r="D48" s="171">
        <f>B48</f>
        <v>0.5</v>
      </c>
      <c r="E48" s="277" t="s">
        <v>643</v>
      </c>
      <c r="H48" s="170">
        <v>42</v>
      </c>
      <c r="I48" s="456">
        <f t="shared" si="2"/>
        <v>0.252</v>
      </c>
      <c r="J48" s="217"/>
      <c r="K48" s="217"/>
      <c r="L48" s="217"/>
      <c r="M48" s="217"/>
      <c r="N48" s="267"/>
      <c r="O48" s="172"/>
      <c r="P48" s="217"/>
      <c r="Q48" s="443"/>
      <c r="S48" s="268"/>
      <c r="T48" s="268"/>
      <c r="U48" s="268"/>
      <c r="AJ48" s="443"/>
      <c r="AZ48" s="269"/>
      <c r="BJ48" s="219"/>
      <c r="BK48" s="219"/>
      <c r="BL48" s="219"/>
      <c r="BO48" s="172"/>
      <c r="BP48" s="219"/>
      <c r="BQ48" s="270"/>
      <c r="BR48" s="271"/>
      <c r="BS48" s="219"/>
      <c r="BT48" s="272"/>
      <c r="BX48" s="219"/>
      <c r="BY48" s="219"/>
      <c r="BZ48" s="172"/>
      <c r="CA48" s="172"/>
      <c r="CB48" s="172"/>
      <c r="CC48" s="172"/>
    </row>
    <row r="49" spans="1:81" ht="13" thickBot="1">
      <c r="A49" s="317" t="s">
        <v>645</v>
      </c>
      <c r="B49" s="318">
        <f>'Design Converter'!E81</f>
        <v>0.7</v>
      </c>
      <c r="C49" s="275" t="s">
        <v>0</v>
      </c>
      <c r="D49" s="171">
        <f>B49</f>
        <v>0.7</v>
      </c>
      <c r="E49" s="277" t="s">
        <v>642</v>
      </c>
      <c r="H49" s="170">
        <v>43</v>
      </c>
      <c r="I49" s="456">
        <f t="shared" si="2"/>
        <v>0.25800000000000001</v>
      </c>
      <c r="J49" s="217"/>
      <c r="K49" s="217"/>
      <c r="L49" s="217"/>
      <c r="M49" s="217"/>
      <c r="N49" s="267"/>
      <c r="O49" s="172"/>
      <c r="P49" s="217"/>
      <c r="Q49" s="443"/>
      <c r="S49" s="268"/>
      <c r="T49" s="268"/>
      <c r="U49" s="268"/>
      <c r="AJ49" s="443"/>
      <c r="AZ49" s="269"/>
      <c r="BJ49" s="219"/>
      <c r="BK49" s="219"/>
      <c r="BL49" s="219"/>
      <c r="BO49" s="172"/>
      <c r="BP49" s="219"/>
      <c r="BQ49" s="270"/>
      <c r="BR49" s="271"/>
      <c r="BS49" s="219"/>
      <c r="BT49" s="272"/>
      <c r="BX49" s="219"/>
      <c r="BY49" s="219"/>
      <c r="BZ49" s="172"/>
      <c r="CA49" s="172"/>
      <c r="CB49" s="172"/>
      <c r="CC49" s="172"/>
    </row>
    <row r="50" spans="1:81" ht="13" thickBot="1">
      <c r="A50" s="317" t="s">
        <v>268</v>
      </c>
      <c r="B50" s="318">
        <v>100</v>
      </c>
      <c r="C50" s="278" t="s">
        <v>258</v>
      </c>
      <c r="D50" s="171">
        <f>B50*0.001</f>
        <v>0.1</v>
      </c>
      <c r="E50" s="277" t="s">
        <v>269</v>
      </c>
      <c r="H50" s="170">
        <v>44</v>
      </c>
      <c r="I50" s="456">
        <f t="shared" si="2"/>
        <v>0.26400000000000001</v>
      </c>
      <c r="J50" s="217"/>
      <c r="K50" s="217"/>
      <c r="L50" s="217"/>
      <c r="M50" s="217"/>
      <c r="N50" s="267"/>
      <c r="O50" s="172"/>
      <c r="P50" s="217"/>
      <c r="Q50" s="443"/>
      <c r="S50" s="268"/>
      <c r="T50" s="268"/>
      <c r="U50" s="268"/>
      <c r="AJ50" s="443"/>
      <c r="AZ50" s="269"/>
      <c r="BJ50" s="219"/>
      <c r="BK50" s="219"/>
      <c r="BL50" s="219"/>
      <c r="BO50" s="172"/>
      <c r="BP50" s="219"/>
      <c r="BQ50" s="270"/>
      <c r="BR50" s="271"/>
      <c r="BS50" s="219"/>
      <c r="BT50" s="272"/>
      <c r="BX50" s="219"/>
      <c r="BY50" s="219"/>
      <c r="BZ50" s="172"/>
      <c r="CA50" s="172"/>
      <c r="CB50" s="172"/>
      <c r="CC50" s="172"/>
    </row>
    <row r="51" spans="1:81" ht="13" thickBot="1">
      <c r="A51" s="298" t="s">
        <v>400</v>
      </c>
      <c r="B51" s="318">
        <v>2</v>
      </c>
      <c r="C51" s="287" t="s">
        <v>31</v>
      </c>
      <c r="D51" s="289">
        <f>B51*0.000000001</f>
        <v>2.0000000000000001E-9</v>
      </c>
      <c r="E51" s="277" t="s">
        <v>270</v>
      </c>
      <c r="H51" s="170">
        <v>45</v>
      </c>
      <c r="I51" s="456">
        <f t="shared" si="2"/>
        <v>0.27</v>
      </c>
      <c r="J51" s="217"/>
      <c r="K51" s="217"/>
      <c r="L51" s="217"/>
      <c r="M51" s="217"/>
      <c r="N51" s="267"/>
      <c r="O51" s="172"/>
      <c r="P51" s="217"/>
      <c r="Q51" s="443"/>
      <c r="S51" s="268"/>
      <c r="T51" s="268"/>
      <c r="U51" s="268"/>
      <c r="AJ51" s="443"/>
      <c r="AZ51" s="269"/>
      <c r="BJ51" s="219"/>
      <c r="BK51" s="219"/>
      <c r="BL51" s="219"/>
      <c r="BO51" s="172"/>
      <c r="BP51" s="219"/>
      <c r="BQ51" s="270"/>
      <c r="BR51" s="271"/>
      <c r="BS51" s="219"/>
      <c r="BT51" s="272"/>
      <c r="BX51" s="219"/>
      <c r="BY51" s="219"/>
      <c r="BZ51" s="172"/>
      <c r="CA51" s="172"/>
      <c r="CB51" s="172"/>
      <c r="CC51" s="172"/>
    </row>
    <row r="52" spans="1:81" ht="13" thickBot="1">
      <c r="A52" s="298" t="s">
        <v>401</v>
      </c>
      <c r="B52" s="318">
        <v>10</v>
      </c>
      <c r="C52" s="287" t="s">
        <v>32</v>
      </c>
      <c r="D52" s="289">
        <f>B52*0.000000001</f>
        <v>1E-8</v>
      </c>
      <c r="E52" s="277" t="s">
        <v>271</v>
      </c>
      <c r="H52" s="170">
        <v>46</v>
      </c>
      <c r="I52" s="456">
        <f t="shared" si="2"/>
        <v>0.27600000000000002</v>
      </c>
      <c r="J52" s="217"/>
      <c r="K52" s="217"/>
      <c r="L52" s="217"/>
      <c r="M52" s="217"/>
      <c r="N52" s="267"/>
      <c r="O52" s="172"/>
      <c r="P52" s="217"/>
      <c r="Q52" s="443"/>
      <c r="S52" s="268"/>
      <c r="T52" s="268"/>
      <c r="U52" s="268"/>
      <c r="AJ52" s="443"/>
      <c r="AZ52" s="269"/>
      <c r="BJ52" s="219"/>
      <c r="BK52" s="219"/>
      <c r="BL52" s="219"/>
      <c r="BO52" s="172"/>
      <c r="BP52" s="219"/>
      <c r="BQ52" s="270"/>
      <c r="BR52" s="271"/>
      <c r="BS52" s="219"/>
      <c r="BT52" s="272"/>
      <c r="BX52" s="219"/>
      <c r="BY52" s="219"/>
      <c r="BZ52" s="172"/>
      <c r="CA52" s="172"/>
      <c r="CB52" s="172"/>
      <c r="CC52" s="172"/>
    </row>
    <row r="53" spans="1:81">
      <c r="A53" s="324" t="s">
        <v>488</v>
      </c>
      <c r="B53" s="318">
        <v>0</v>
      </c>
      <c r="C53" s="275" t="s">
        <v>272</v>
      </c>
      <c r="D53" s="289">
        <f>B53/1000000</f>
        <v>0</v>
      </c>
      <c r="E53" s="277" t="s">
        <v>273</v>
      </c>
      <c r="H53" s="170">
        <v>47</v>
      </c>
      <c r="I53" s="456">
        <f t="shared" si="2"/>
        <v>0.28199999999999997</v>
      </c>
      <c r="J53" s="217"/>
      <c r="K53" s="217"/>
      <c r="L53" s="217"/>
      <c r="M53" s="217"/>
      <c r="N53" s="267"/>
      <c r="O53" s="172"/>
      <c r="P53" s="217"/>
      <c r="Q53" s="443"/>
      <c r="S53" s="268"/>
      <c r="T53" s="268"/>
      <c r="U53" s="268"/>
      <c r="AJ53" s="443"/>
      <c r="AZ53" s="269"/>
      <c r="BJ53" s="219"/>
      <c r="BK53" s="219"/>
      <c r="BL53" s="219"/>
      <c r="BO53" s="172"/>
      <c r="BP53" s="219"/>
      <c r="BQ53" s="270"/>
      <c r="BR53" s="271"/>
      <c r="BS53" s="219"/>
      <c r="BT53" s="272"/>
      <c r="BX53" s="219"/>
      <c r="BY53" s="219"/>
      <c r="BZ53" s="172"/>
      <c r="CA53" s="172"/>
      <c r="CB53" s="172"/>
      <c r="CC53" s="172"/>
    </row>
    <row r="54" spans="1:81">
      <c r="A54" s="170" t="s">
        <v>672</v>
      </c>
      <c r="B54" s="197">
        <f>'Design Converter'!E82</f>
        <v>52.8</v>
      </c>
      <c r="C54" s="631" t="s">
        <v>84</v>
      </c>
      <c r="D54" s="197">
        <f>B54</f>
        <v>52.8</v>
      </c>
      <c r="E54" s="170" t="s">
        <v>671</v>
      </c>
      <c r="H54" s="170">
        <v>48</v>
      </c>
      <c r="I54" s="456">
        <f t="shared" si="2"/>
        <v>0.28799999999999998</v>
      </c>
      <c r="J54" s="217"/>
      <c r="K54" s="217"/>
      <c r="L54" s="217"/>
      <c r="M54" s="217"/>
      <c r="N54" s="267"/>
      <c r="O54" s="172"/>
      <c r="P54" s="217"/>
      <c r="Q54" s="443"/>
      <c r="S54" s="268"/>
      <c r="T54" s="268"/>
      <c r="U54" s="268"/>
      <c r="AJ54" s="443"/>
      <c r="AZ54" s="269"/>
      <c r="BJ54" s="219"/>
      <c r="BK54" s="219"/>
      <c r="BL54" s="219"/>
      <c r="BO54" s="172"/>
      <c r="BP54" s="219"/>
      <c r="BQ54" s="270"/>
      <c r="BR54" s="271"/>
      <c r="BS54" s="219"/>
      <c r="BT54" s="272"/>
      <c r="BX54" s="219"/>
      <c r="BY54" s="219"/>
      <c r="BZ54" s="172"/>
      <c r="CA54" s="172"/>
      <c r="CB54" s="172"/>
      <c r="CC54" s="172"/>
    </row>
    <row r="55" spans="1:81">
      <c r="H55" s="170">
        <v>49</v>
      </c>
      <c r="I55" s="456">
        <f t="shared" si="2"/>
        <v>0.29399999999999998</v>
      </c>
      <c r="J55" s="217"/>
      <c r="K55" s="217"/>
      <c r="L55" s="217"/>
      <c r="M55" s="217"/>
      <c r="N55" s="267"/>
      <c r="O55" s="172"/>
      <c r="P55" s="217"/>
      <c r="Q55" s="443"/>
      <c r="S55" s="268"/>
      <c r="T55" s="268"/>
      <c r="U55" s="268"/>
      <c r="AJ55" s="443"/>
      <c r="AZ55" s="269"/>
      <c r="BJ55" s="219"/>
      <c r="BK55" s="219"/>
      <c r="BL55" s="219"/>
      <c r="BO55" s="172"/>
      <c r="BP55" s="219"/>
      <c r="BQ55" s="270"/>
      <c r="BR55" s="271"/>
      <c r="BS55" s="219"/>
      <c r="BT55" s="272"/>
      <c r="BX55" s="219"/>
      <c r="BY55" s="219"/>
      <c r="BZ55" s="172"/>
      <c r="CA55" s="172"/>
      <c r="CB55" s="172"/>
      <c r="CC55" s="172"/>
    </row>
    <row r="56" spans="1:81">
      <c r="H56" s="170">
        <v>50</v>
      </c>
      <c r="I56" s="456">
        <f t="shared" si="2"/>
        <v>0.3</v>
      </c>
      <c r="J56" s="217"/>
      <c r="K56" s="217"/>
      <c r="L56" s="217"/>
      <c r="M56" s="217"/>
      <c r="N56" s="267"/>
      <c r="O56" s="172"/>
      <c r="P56" s="217"/>
      <c r="Q56" s="443"/>
      <c r="S56" s="268"/>
      <c r="T56" s="268"/>
      <c r="U56" s="268"/>
      <c r="AJ56" s="443"/>
      <c r="AZ56" s="269"/>
      <c r="BJ56" s="219"/>
      <c r="BK56" s="219"/>
      <c r="BL56" s="219"/>
      <c r="BO56" s="172"/>
      <c r="BP56" s="219"/>
      <c r="BQ56" s="270"/>
      <c r="BR56" s="271"/>
      <c r="BS56" s="219"/>
      <c r="BT56" s="272"/>
      <c r="BX56" s="219"/>
      <c r="BY56" s="219"/>
      <c r="BZ56" s="172"/>
      <c r="CA56" s="172"/>
      <c r="CB56" s="172"/>
      <c r="CC56" s="172"/>
    </row>
    <row r="57" spans="1:81">
      <c r="H57" s="170">
        <v>51</v>
      </c>
      <c r="I57" s="456">
        <f t="shared" si="2"/>
        <v>0.30599999999999999</v>
      </c>
      <c r="J57" s="217"/>
      <c r="K57" s="217"/>
      <c r="L57" s="217"/>
      <c r="M57" s="217"/>
      <c r="N57" s="267"/>
      <c r="O57" s="172"/>
      <c r="P57" s="217"/>
      <c r="Q57" s="443"/>
      <c r="S57" s="268"/>
      <c r="T57" s="268"/>
      <c r="U57" s="268"/>
      <c r="AJ57" s="443"/>
      <c r="AZ57" s="269"/>
      <c r="BJ57" s="219"/>
      <c r="BK57" s="219"/>
      <c r="BL57" s="219"/>
      <c r="BO57" s="172"/>
      <c r="BP57" s="219"/>
      <c r="BQ57" s="270"/>
      <c r="BR57" s="271"/>
      <c r="BS57" s="219"/>
      <c r="BT57" s="272"/>
      <c r="BX57" s="219"/>
      <c r="BY57" s="219"/>
      <c r="BZ57" s="172"/>
      <c r="CA57" s="172"/>
      <c r="CB57" s="172"/>
      <c r="CC57" s="172"/>
    </row>
    <row r="58" spans="1:81">
      <c r="H58" s="170">
        <v>52</v>
      </c>
      <c r="I58" s="456">
        <f t="shared" si="2"/>
        <v>0.312</v>
      </c>
      <c r="J58" s="217"/>
      <c r="K58" s="217"/>
      <c r="L58" s="217"/>
      <c r="M58" s="217"/>
      <c r="N58" s="267"/>
      <c r="O58" s="172"/>
      <c r="P58" s="217"/>
      <c r="Q58" s="443"/>
      <c r="S58" s="268"/>
      <c r="T58" s="268"/>
      <c r="U58" s="268"/>
      <c r="AJ58" s="443"/>
      <c r="AZ58" s="269"/>
      <c r="BJ58" s="219"/>
      <c r="BK58" s="219"/>
      <c r="BL58" s="219"/>
      <c r="BO58" s="172"/>
      <c r="BP58" s="219"/>
      <c r="BQ58" s="270"/>
      <c r="BR58" s="271"/>
      <c r="BS58" s="219"/>
      <c r="BT58" s="272"/>
      <c r="BX58" s="219"/>
      <c r="BY58" s="219"/>
      <c r="BZ58" s="172"/>
      <c r="CA58" s="172"/>
      <c r="CB58" s="172"/>
      <c r="CC58" s="172"/>
    </row>
    <row r="59" spans="1:81">
      <c r="H59" s="170">
        <v>53</v>
      </c>
      <c r="I59" s="456">
        <f t="shared" si="2"/>
        <v>0.318</v>
      </c>
      <c r="J59" s="217"/>
      <c r="K59" s="217"/>
      <c r="L59" s="217"/>
      <c r="M59" s="217"/>
      <c r="N59" s="267"/>
      <c r="O59" s="172"/>
      <c r="P59" s="217"/>
      <c r="Q59" s="443"/>
      <c r="S59" s="268"/>
      <c r="T59" s="268"/>
      <c r="U59" s="268"/>
      <c r="AJ59" s="443"/>
      <c r="AZ59" s="269"/>
      <c r="BJ59" s="219"/>
      <c r="BK59" s="219"/>
      <c r="BL59" s="219"/>
      <c r="BO59" s="172"/>
      <c r="BP59" s="219"/>
      <c r="BQ59" s="270"/>
      <c r="BR59" s="271"/>
      <c r="BS59" s="219"/>
      <c r="BT59" s="272"/>
      <c r="BX59" s="219"/>
      <c r="BY59" s="219"/>
      <c r="BZ59" s="172"/>
      <c r="CA59" s="172"/>
      <c r="CB59" s="172"/>
      <c r="CC59" s="172"/>
    </row>
    <row r="60" spans="1:81">
      <c r="H60" s="170">
        <v>54</v>
      </c>
      <c r="I60" s="456">
        <f t="shared" si="2"/>
        <v>0.32400000000000001</v>
      </c>
      <c r="J60" s="217"/>
      <c r="K60" s="217"/>
      <c r="L60" s="217"/>
      <c r="M60" s="217"/>
      <c r="N60" s="267"/>
      <c r="O60" s="172"/>
      <c r="P60" s="217"/>
      <c r="Q60" s="443"/>
      <c r="S60" s="268"/>
      <c r="T60" s="268"/>
      <c r="U60" s="268"/>
      <c r="AJ60" s="443"/>
      <c r="AZ60" s="269"/>
      <c r="BJ60" s="219"/>
      <c r="BK60" s="219"/>
      <c r="BL60" s="219"/>
      <c r="BO60" s="172"/>
      <c r="BP60" s="219"/>
      <c r="BQ60" s="270"/>
      <c r="BR60" s="271"/>
      <c r="BS60" s="219"/>
      <c r="BT60" s="272"/>
      <c r="BX60" s="219"/>
      <c r="BY60" s="219"/>
      <c r="BZ60" s="172"/>
      <c r="CA60" s="172"/>
      <c r="CB60" s="172"/>
      <c r="CC60" s="172"/>
    </row>
    <row r="61" spans="1:81">
      <c r="H61" s="170">
        <v>55</v>
      </c>
      <c r="I61" s="456">
        <f t="shared" si="2"/>
        <v>0.33</v>
      </c>
      <c r="J61" s="217"/>
      <c r="K61" s="217"/>
      <c r="L61" s="217"/>
      <c r="M61" s="217"/>
      <c r="N61" s="267"/>
      <c r="O61" s="172"/>
      <c r="P61" s="217"/>
      <c r="Q61" s="443"/>
      <c r="S61" s="268"/>
      <c r="T61" s="268"/>
      <c r="U61" s="268"/>
      <c r="AJ61" s="443"/>
      <c r="AZ61" s="269"/>
      <c r="BJ61" s="219"/>
      <c r="BK61" s="219"/>
      <c r="BL61" s="219"/>
      <c r="BO61" s="172"/>
      <c r="BP61" s="219"/>
      <c r="BQ61" s="270"/>
      <c r="BR61" s="271"/>
      <c r="BS61" s="219"/>
      <c r="BT61" s="272"/>
      <c r="BX61" s="219"/>
      <c r="BY61" s="219"/>
      <c r="BZ61" s="172"/>
      <c r="CA61" s="172"/>
      <c r="CB61" s="172"/>
      <c r="CC61" s="172"/>
    </row>
    <row r="62" spans="1:81">
      <c r="H62" s="170">
        <v>56</v>
      </c>
      <c r="I62" s="456">
        <f t="shared" si="2"/>
        <v>0.33600000000000002</v>
      </c>
      <c r="J62" s="217"/>
      <c r="K62" s="217"/>
      <c r="L62" s="217"/>
      <c r="M62" s="217"/>
      <c r="N62" s="267"/>
      <c r="O62" s="172"/>
      <c r="P62" s="217"/>
      <c r="Q62" s="443"/>
      <c r="S62" s="268"/>
      <c r="T62" s="268"/>
      <c r="U62" s="268"/>
      <c r="AJ62" s="443"/>
      <c r="AZ62" s="269"/>
      <c r="BJ62" s="219"/>
      <c r="BK62" s="219"/>
      <c r="BL62" s="219"/>
      <c r="BO62" s="172"/>
      <c r="BP62" s="219"/>
      <c r="BQ62" s="270"/>
      <c r="BR62" s="271"/>
      <c r="BS62" s="219"/>
      <c r="BT62" s="272"/>
      <c r="BX62" s="219"/>
      <c r="BY62" s="219"/>
      <c r="BZ62" s="172"/>
      <c r="CA62" s="172"/>
      <c r="CB62" s="172"/>
      <c r="CC62" s="172"/>
    </row>
    <row r="63" spans="1:81" ht="13">
      <c r="F63" s="325" t="s">
        <v>274</v>
      </c>
      <c r="G63" s="325" t="s">
        <v>275</v>
      </c>
      <c r="H63" s="170">
        <v>57</v>
      </c>
      <c r="I63" s="456">
        <f t="shared" si="2"/>
        <v>0.34199999999999997</v>
      </c>
      <c r="J63" s="217"/>
      <c r="K63" s="217"/>
      <c r="L63" s="217"/>
      <c r="M63" s="217"/>
      <c r="N63" s="267"/>
      <c r="O63" s="172"/>
      <c r="P63" s="217"/>
      <c r="Q63" s="443"/>
      <c r="S63" s="268"/>
      <c r="T63" s="268"/>
      <c r="U63" s="268"/>
      <c r="AJ63" s="443"/>
      <c r="AZ63" s="269"/>
      <c r="BJ63" s="219"/>
      <c r="BK63" s="219"/>
      <c r="BL63" s="219"/>
      <c r="BO63" s="172"/>
      <c r="BP63" s="219"/>
      <c r="BQ63" s="270"/>
      <c r="BR63" s="271"/>
      <c r="BS63" s="219"/>
      <c r="BT63" s="272"/>
      <c r="BX63" s="219"/>
      <c r="BY63" s="219"/>
      <c r="BZ63" s="172"/>
      <c r="CA63" s="172"/>
      <c r="CB63" s="172"/>
      <c r="CC63" s="172"/>
    </row>
    <row r="64" spans="1:81">
      <c r="F64" s="326">
        <f>BM56</f>
        <v>0</v>
      </c>
      <c r="G64" s="327">
        <f>I56*1000</f>
        <v>300</v>
      </c>
      <c r="H64" s="170">
        <v>58</v>
      </c>
      <c r="I64" s="456">
        <f t="shared" si="2"/>
        <v>0.34799999999999998</v>
      </c>
      <c r="J64" s="217"/>
      <c r="K64" s="217"/>
      <c r="L64" s="217"/>
      <c r="M64" s="217"/>
      <c r="N64" s="267"/>
      <c r="O64" s="172"/>
      <c r="P64" s="217"/>
      <c r="Q64" s="443"/>
      <c r="S64" s="268"/>
      <c r="T64" s="268"/>
      <c r="U64" s="268"/>
      <c r="AJ64" s="443"/>
      <c r="AZ64" s="269"/>
      <c r="BJ64" s="219"/>
      <c r="BK64" s="219"/>
      <c r="BL64" s="219"/>
      <c r="BO64" s="172"/>
      <c r="BP64" s="219"/>
      <c r="BQ64" s="270"/>
      <c r="BR64" s="271"/>
      <c r="BS64" s="219"/>
      <c r="BT64" s="272"/>
      <c r="BX64" s="219"/>
      <c r="BY64" s="219"/>
      <c r="BZ64" s="172"/>
      <c r="CA64" s="172"/>
      <c r="CB64" s="172"/>
      <c r="CC64" s="172"/>
    </row>
    <row r="65" spans="6:81">
      <c r="F65" s="326">
        <f>BM81</f>
        <v>0</v>
      </c>
      <c r="G65" s="327">
        <f>I81*1000</f>
        <v>449.99999999999994</v>
      </c>
      <c r="H65" s="170">
        <v>59</v>
      </c>
      <c r="I65" s="456">
        <f t="shared" si="2"/>
        <v>0.35399999999999998</v>
      </c>
      <c r="J65" s="217"/>
      <c r="K65" s="217"/>
      <c r="L65" s="217"/>
      <c r="M65" s="217"/>
      <c r="N65" s="267"/>
      <c r="O65" s="172"/>
      <c r="P65" s="217"/>
      <c r="Q65" s="443"/>
      <c r="S65" s="268"/>
      <c r="T65" s="268"/>
      <c r="U65" s="268"/>
      <c r="AJ65" s="443"/>
      <c r="AZ65" s="269"/>
      <c r="BJ65" s="219"/>
      <c r="BK65" s="219"/>
      <c r="BL65" s="219"/>
      <c r="BO65" s="172"/>
      <c r="BP65" s="219"/>
      <c r="BQ65" s="270"/>
      <c r="BR65" s="271"/>
      <c r="BS65" s="219"/>
      <c r="BT65" s="272"/>
      <c r="BX65" s="219"/>
      <c r="BY65" s="219"/>
      <c r="BZ65" s="172"/>
      <c r="CA65" s="172"/>
      <c r="CB65" s="172"/>
      <c r="CC65" s="172"/>
    </row>
    <row r="66" spans="6:81">
      <c r="F66" s="326">
        <f>BM106</f>
        <v>100</v>
      </c>
      <c r="G66" s="327">
        <f>I106*1000</f>
        <v>600</v>
      </c>
      <c r="H66" s="170">
        <v>60</v>
      </c>
      <c r="I66" s="456">
        <f t="shared" si="2"/>
        <v>0.36</v>
      </c>
      <c r="J66" s="217"/>
      <c r="K66" s="217"/>
      <c r="L66" s="217"/>
      <c r="M66" s="217"/>
      <c r="N66" s="267"/>
      <c r="O66" s="172"/>
      <c r="P66" s="217"/>
      <c r="Q66" s="443"/>
      <c r="S66" s="268"/>
      <c r="T66" s="268"/>
      <c r="U66" s="268"/>
      <c r="AJ66" s="443"/>
      <c r="AZ66" s="269"/>
      <c r="BJ66" s="219"/>
      <c r="BK66" s="219"/>
      <c r="BL66" s="219"/>
      <c r="BO66" s="172"/>
      <c r="BP66" s="219"/>
      <c r="BQ66" s="270"/>
      <c r="BR66" s="271"/>
      <c r="BS66" s="219"/>
      <c r="BT66" s="272"/>
      <c r="BX66" s="219"/>
      <c r="BY66" s="219"/>
      <c r="BZ66" s="172"/>
      <c r="CA66" s="172"/>
      <c r="CB66" s="172"/>
      <c r="CC66" s="172"/>
    </row>
    <row r="67" spans="6:81">
      <c r="H67" s="170">
        <v>61</v>
      </c>
      <c r="I67" s="456">
        <f t="shared" si="2"/>
        <v>0.36599999999999999</v>
      </c>
      <c r="J67" s="217"/>
      <c r="K67" s="217"/>
      <c r="L67" s="217"/>
      <c r="M67" s="217"/>
      <c r="N67" s="267"/>
      <c r="O67" s="172"/>
      <c r="P67" s="217"/>
      <c r="Q67" s="443"/>
      <c r="S67" s="268"/>
      <c r="T67" s="268"/>
      <c r="U67" s="268"/>
      <c r="AJ67" s="443"/>
      <c r="AZ67" s="269"/>
      <c r="BJ67" s="219"/>
      <c r="BK67" s="219"/>
      <c r="BL67" s="219"/>
      <c r="BO67" s="172"/>
      <c r="BP67" s="219"/>
      <c r="BQ67" s="270"/>
      <c r="BR67" s="271"/>
      <c r="BS67" s="219"/>
      <c r="BT67" s="272"/>
      <c r="BX67" s="219"/>
      <c r="BY67" s="219"/>
      <c r="BZ67" s="172"/>
      <c r="CA67" s="172"/>
      <c r="CB67" s="172"/>
      <c r="CC67" s="172"/>
    </row>
    <row r="68" spans="6:81">
      <c r="H68" s="170">
        <v>62</v>
      </c>
      <c r="I68" s="456">
        <f t="shared" si="2"/>
        <v>0.372</v>
      </c>
      <c r="J68" s="217"/>
      <c r="K68" s="217"/>
      <c r="L68" s="217"/>
      <c r="M68" s="217"/>
      <c r="N68" s="267"/>
      <c r="O68" s="172"/>
      <c r="P68" s="217"/>
      <c r="Q68" s="443"/>
      <c r="S68" s="268"/>
      <c r="T68" s="268"/>
      <c r="U68" s="268"/>
      <c r="AJ68" s="443"/>
      <c r="AZ68" s="269"/>
      <c r="BJ68" s="219"/>
      <c r="BK68" s="219"/>
      <c r="BL68" s="219"/>
      <c r="BO68" s="172"/>
      <c r="BP68" s="219"/>
      <c r="BQ68" s="270"/>
      <c r="BR68" s="271"/>
      <c r="BS68" s="219"/>
      <c r="BT68" s="272"/>
      <c r="BX68" s="219"/>
      <c r="BY68" s="219"/>
      <c r="BZ68" s="172"/>
      <c r="CA68" s="172"/>
      <c r="CB68" s="172"/>
      <c r="CC68" s="172"/>
    </row>
    <row r="69" spans="6:81">
      <c r="H69" s="170">
        <v>63</v>
      </c>
      <c r="I69" s="456">
        <f t="shared" si="2"/>
        <v>0.378</v>
      </c>
      <c r="J69" s="217"/>
      <c r="K69" s="217"/>
      <c r="L69" s="217"/>
      <c r="M69" s="217"/>
      <c r="N69" s="267"/>
      <c r="O69" s="172"/>
      <c r="P69" s="217"/>
      <c r="Q69" s="443"/>
      <c r="S69" s="268"/>
      <c r="T69" s="268"/>
      <c r="U69" s="268"/>
      <c r="AJ69" s="443"/>
      <c r="AZ69" s="269"/>
      <c r="BJ69" s="219"/>
      <c r="BK69" s="219"/>
      <c r="BL69" s="219"/>
      <c r="BO69" s="172"/>
      <c r="BP69" s="219"/>
      <c r="BQ69" s="270"/>
      <c r="BR69" s="271"/>
      <c r="BS69" s="219"/>
      <c r="BT69" s="272"/>
      <c r="BX69" s="219"/>
      <c r="BY69" s="219"/>
      <c r="BZ69" s="172"/>
      <c r="CA69" s="172"/>
      <c r="CB69" s="172"/>
      <c r="CC69" s="172"/>
    </row>
    <row r="70" spans="6:81">
      <c r="H70" s="170">
        <v>64</v>
      </c>
      <c r="I70" s="456">
        <f t="shared" ref="I70:I101" si="3">IF(PLOT_TYPE=1, H70/100*Iout_max, min_I*EXP(H70*rr/100))</f>
        <v>0.38400000000000001</v>
      </c>
      <c r="J70" s="217"/>
      <c r="K70" s="217"/>
      <c r="L70" s="217"/>
      <c r="M70" s="217"/>
      <c r="N70" s="267"/>
      <c r="O70" s="172"/>
      <c r="P70" s="217"/>
      <c r="Q70" s="443"/>
      <c r="S70" s="268"/>
      <c r="T70" s="268"/>
      <c r="U70" s="268"/>
      <c r="AJ70" s="443"/>
      <c r="AZ70" s="269"/>
      <c r="BJ70" s="219"/>
      <c r="BK70" s="219"/>
      <c r="BL70" s="219"/>
      <c r="BO70" s="172"/>
      <c r="BP70" s="219"/>
      <c r="BQ70" s="270"/>
      <c r="BR70" s="271"/>
      <c r="BS70" s="219"/>
      <c r="BT70" s="272"/>
      <c r="BX70" s="219"/>
      <c r="BY70" s="219"/>
      <c r="BZ70" s="172"/>
      <c r="CA70" s="172"/>
      <c r="CB70" s="172"/>
      <c r="CC70" s="172"/>
    </row>
    <row r="71" spans="6:81">
      <c r="H71" s="170">
        <v>65</v>
      </c>
      <c r="I71" s="456">
        <f t="shared" si="3"/>
        <v>0.39</v>
      </c>
      <c r="J71" s="217"/>
      <c r="K71" s="217"/>
      <c r="L71" s="217"/>
      <c r="M71" s="217"/>
      <c r="N71" s="267"/>
      <c r="O71" s="172"/>
      <c r="P71" s="217"/>
      <c r="Q71" s="443"/>
      <c r="S71" s="268"/>
      <c r="T71" s="268"/>
      <c r="U71" s="268"/>
      <c r="AJ71" s="443"/>
      <c r="AZ71" s="269"/>
      <c r="BJ71" s="219"/>
      <c r="BK71" s="219"/>
      <c r="BL71" s="219"/>
      <c r="BO71" s="172"/>
      <c r="BP71" s="219"/>
      <c r="BQ71" s="270"/>
      <c r="BR71" s="271"/>
      <c r="BS71" s="219"/>
      <c r="BT71" s="272"/>
      <c r="BX71" s="219"/>
      <c r="BY71" s="219"/>
      <c r="BZ71" s="172"/>
      <c r="CA71" s="172"/>
      <c r="CB71" s="172"/>
      <c r="CC71" s="172"/>
    </row>
    <row r="72" spans="6:81">
      <c r="H72" s="170">
        <v>66</v>
      </c>
      <c r="I72" s="456">
        <f t="shared" si="3"/>
        <v>0.39600000000000002</v>
      </c>
      <c r="J72" s="217"/>
      <c r="K72" s="217"/>
      <c r="L72" s="217"/>
      <c r="M72" s="217"/>
      <c r="N72" s="267"/>
      <c r="O72" s="172"/>
      <c r="P72" s="217"/>
      <c r="Q72" s="443"/>
      <c r="S72" s="268"/>
      <c r="T72" s="268"/>
      <c r="U72" s="268"/>
      <c r="AJ72" s="443"/>
      <c r="AZ72" s="269"/>
      <c r="BJ72" s="219"/>
      <c r="BK72" s="219"/>
      <c r="BL72" s="219"/>
      <c r="BO72" s="172"/>
      <c r="BP72" s="219"/>
      <c r="BQ72" s="270"/>
      <c r="BR72" s="271"/>
      <c r="BS72" s="219"/>
      <c r="BT72" s="272"/>
      <c r="BX72" s="219"/>
      <c r="BY72" s="219"/>
      <c r="BZ72" s="172"/>
      <c r="CA72" s="172"/>
      <c r="CB72" s="172"/>
      <c r="CC72" s="172"/>
    </row>
    <row r="73" spans="6:81">
      <c r="H73" s="170">
        <v>67</v>
      </c>
      <c r="I73" s="456">
        <f t="shared" si="3"/>
        <v>0.40200000000000002</v>
      </c>
      <c r="J73" s="217"/>
      <c r="K73" s="217"/>
      <c r="L73" s="217"/>
      <c r="M73" s="217"/>
      <c r="N73" s="267"/>
      <c r="O73" s="172"/>
      <c r="P73" s="217"/>
      <c r="Q73" s="443"/>
      <c r="S73" s="268"/>
      <c r="T73" s="268"/>
      <c r="U73" s="268"/>
      <c r="AJ73" s="443"/>
      <c r="AZ73" s="269"/>
      <c r="BJ73" s="219"/>
      <c r="BK73" s="219"/>
      <c r="BL73" s="219"/>
      <c r="BO73" s="172"/>
      <c r="BP73" s="219"/>
      <c r="BQ73" s="270"/>
      <c r="BR73" s="271"/>
      <c r="BS73" s="219"/>
      <c r="BT73" s="272"/>
      <c r="BX73" s="219"/>
      <c r="BY73" s="219"/>
      <c r="BZ73" s="172"/>
      <c r="CA73" s="172"/>
      <c r="CB73" s="172"/>
      <c r="CC73" s="172"/>
    </row>
    <row r="74" spans="6:81">
      <c r="H74" s="170">
        <v>68</v>
      </c>
      <c r="I74" s="456">
        <f t="shared" si="3"/>
        <v>0.40800000000000003</v>
      </c>
      <c r="J74" s="217"/>
      <c r="K74" s="217"/>
      <c r="L74" s="217"/>
      <c r="M74" s="217"/>
      <c r="N74" s="267"/>
      <c r="O74" s="172"/>
      <c r="P74" s="217"/>
      <c r="Q74" s="443"/>
      <c r="S74" s="268"/>
      <c r="T74" s="268"/>
      <c r="U74" s="268"/>
      <c r="AJ74" s="443"/>
      <c r="AZ74" s="269"/>
      <c r="BJ74" s="219"/>
      <c r="BK74" s="219"/>
      <c r="BL74" s="219"/>
      <c r="BO74" s="172"/>
      <c r="BP74" s="219"/>
      <c r="BQ74" s="270"/>
      <c r="BR74" s="271"/>
      <c r="BS74" s="219"/>
      <c r="BT74" s="272"/>
      <c r="BX74" s="219"/>
      <c r="BY74" s="219"/>
      <c r="BZ74" s="172"/>
      <c r="CA74" s="172"/>
      <c r="CB74" s="172"/>
      <c r="CC74" s="172"/>
    </row>
    <row r="75" spans="6:81">
      <c r="H75" s="170">
        <v>69</v>
      </c>
      <c r="I75" s="456">
        <f t="shared" si="3"/>
        <v>0.41399999999999998</v>
      </c>
      <c r="J75" s="217"/>
      <c r="K75" s="217"/>
      <c r="L75" s="217"/>
      <c r="M75" s="217"/>
      <c r="N75" s="267"/>
      <c r="O75" s="172"/>
      <c r="P75" s="217"/>
      <c r="Q75" s="443"/>
      <c r="S75" s="268"/>
      <c r="T75" s="268"/>
      <c r="U75" s="268"/>
      <c r="AJ75" s="443"/>
      <c r="AZ75" s="269"/>
      <c r="BJ75" s="219"/>
      <c r="BK75" s="219"/>
      <c r="BL75" s="219"/>
      <c r="BO75" s="172"/>
      <c r="BP75" s="219"/>
      <c r="BQ75" s="270"/>
      <c r="BR75" s="271"/>
      <c r="BS75" s="219"/>
      <c r="BT75" s="272"/>
      <c r="BX75" s="219"/>
      <c r="BY75" s="219"/>
      <c r="BZ75" s="172"/>
      <c r="CA75" s="172"/>
      <c r="CB75" s="172"/>
      <c r="CC75" s="172"/>
    </row>
    <row r="76" spans="6:81">
      <c r="H76" s="170">
        <v>70</v>
      </c>
      <c r="I76" s="456">
        <f t="shared" si="3"/>
        <v>0.42</v>
      </c>
      <c r="J76" s="217"/>
      <c r="K76" s="217"/>
      <c r="L76" s="217"/>
      <c r="M76" s="217"/>
      <c r="N76" s="267"/>
      <c r="O76" s="172"/>
      <c r="P76" s="217"/>
      <c r="Q76" s="443"/>
      <c r="S76" s="268"/>
      <c r="T76" s="268"/>
      <c r="U76" s="268"/>
      <c r="AJ76" s="443"/>
      <c r="AZ76" s="269"/>
      <c r="BJ76" s="219"/>
      <c r="BK76" s="219"/>
      <c r="BL76" s="219"/>
      <c r="BO76" s="172"/>
      <c r="BP76" s="219"/>
      <c r="BQ76" s="270"/>
      <c r="BR76" s="271"/>
      <c r="BS76" s="219"/>
      <c r="BT76" s="272"/>
      <c r="BX76" s="219"/>
      <c r="BY76" s="219"/>
      <c r="BZ76" s="172"/>
      <c r="CA76" s="172"/>
      <c r="CB76" s="172"/>
      <c r="CC76" s="172"/>
    </row>
    <row r="77" spans="6:81">
      <c r="H77" s="170">
        <v>71</v>
      </c>
      <c r="I77" s="456">
        <f t="shared" si="3"/>
        <v>0.42599999999999999</v>
      </c>
      <c r="J77" s="217"/>
      <c r="K77" s="217"/>
      <c r="L77" s="217"/>
      <c r="M77" s="217"/>
      <c r="N77" s="267"/>
      <c r="O77" s="172"/>
      <c r="P77" s="217"/>
      <c r="Q77" s="443"/>
      <c r="S77" s="268"/>
      <c r="T77" s="268"/>
      <c r="U77" s="268"/>
      <c r="AJ77" s="443"/>
      <c r="AZ77" s="269"/>
      <c r="BJ77" s="219"/>
      <c r="BK77" s="219"/>
      <c r="BL77" s="219"/>
      <c r="BO77" s="172"/>
      <c r="BP77" s="219"/>
      <c r="BQ77" s="270"/>
      <c r="BR77" s="271"/>
      <c r="BS77" s="219"/>
      <c r="BT77" s="272"/>
      <c r="BX77" s="219"/>
      <c r="BY77" s="219"/>
      <c r="BZ77" s="172"/>
      <c r="CA77" s="172"/>
      <c r="CB77" s="172"/>
      <c r="CC77" s="172"/>
    </row>
    <row r="78" spans="6:81">
      <c r="H78" s="170">
        <v>72</v>
      </c>
      <c r="I78" s="456">
        <f t="shared" si="3"/>
        <v>0.432</v>
      </c>
      <c r="J78" s="217"/>
      <c r="K78" s="217"/>
      <c r="L78" s="217"/>
      <c r="M78" s="217"/>
      <c r="N78" s="267"/>
      <c r="O78" s="172"/>
      <c r="P78" s="217"/>
      <c r="Q78" s="443"/>
      <c r="S78" s="268"/>
      <c r="T78" s="268"/>
      <c r="U78" s="268"/>
      <c r="AJ78" s="443"/>
      <c r="AZ78" s="269"/>
      <c r="BJ78" s="219"/>
      <c r="BK78" s="219"/>
      <c r="BL78" s="219"/>
      <c r="BO78" s="172"/>
      <c r="BP78" s="219"/>
      <c r="BQ78" s="270"/>
      <c r="BR78" s="271"/>
      <c r="BS78" s="219"/>
      <c r="BT78" s="272"/>
      <c r="BX78" s="219"/>
      <c r="BY78" s="219"/>
      <c r="BZ78" s="172"/>
      <c r="CA78" s="172"/>
      <c r="CB78" s="172"/>
      <c r="CC78" s="172"/>
    </row>
    <row r="79" spans="6:81">
      <c r="H79" s="170">
        <v>73</v>
      </c>
      <c r="I79" s="456">
        <f t="shared" si="3"/>
        <v>0.438</v>
      </c>
      <c r="J79" s="217"/>
      <c r="K79" s="217"/>
      <c r="L79" s="217"/>
      <c r="M79" s="217"/>
      <c r="N79" s="267"/>
      <c r="O79" s="172"/>
      <c r="P79" s="217"/>
      <c r="Q79" s="443"/>
      <c r="S79" s="268"/>
      <c r="T79" s="268"/>
      <c r="U79" s="268"/>
      <c r="AJ79" s="443"/>
      <c r="AZ79" s="269"/>
      <c r="BJ79" s="219"/>
      <c r="BK79" s="219"/>
      <c r="BL79" s="219"/>
      <c r="BO79" s="172"/>
      <c r="BP79" s="219"/>
      <c r="BQ79" s="270"/>
      <c r="BR79" s="271"/>
      <c r="BS79" s="219"/>
      <c r="BT79" s="272"/>
      <c r="BX79" s="219"/>
      <c r="BY79" s="219"/>
      <c r="BZ79" s="172"/>
      <c r="CA79" s="172"/>
      <c r="CB79" s="172"/>
      <c r="CC79" s="172"/>
    </row>
    <row r="80" spans="6:81">
      <c r="H80" s="170">
        <v>74</v>
      </c>
      <c r="I80" s="456">
        <f t="shared" si="3"/>
        <v>0.44400000000000001</v>
      </c>
      <c r="J80" s="217"/>
      <c r="K80" s="217"/>
      <c r="L80" s="217"/>
      <c r="M80" s="217"/>
      <c r="N80" s="267"/>
      <c r="O80" s="172"/>
      <c r="P80" s="217"/>
      <c r="Q80" s="443"/>
      <c r="S80" s="268"/>
      <c r="T80" s="268"/>
      <c r="U80" s="268"/>
      <c r="AJ80" s="443"/>
      <c r="AZ80" s="269"/>
      <c r="BJ80" s="219"/>
      <c r="BK80" s="219"/>
      <c r="BL80" s="219"/>
      <c r="BO80" s="172"/>
      <c r="BP80" s="219"/>
      <c r="BQ80" s="270"/>
      <c r="BR80" s="271"/>
      <c r="BS80" s="219"/>
      <c r="BT80" s="272"/>
      <c r="BX80" s="219"/>
      <c r="BY80" s="219"/>
      <c r="BZ80" s="172"/>
      <c r="CA80" s="172"/>
      <c r="CB80" s="172"/>
      <c r="CC80" s="172"/>
    </row>
    <row r="81" spans="6:81">
      <c r="H81" s="170">
        <v>75</v>
      </c>
      <c r="I81" s="456">
        <f t="shared" si="3"/>
        <v>0.44999999999999996</v>
      </c>
      <c r="J81" s="217"/>
      <c r="K81" s="217"/>
      <c r="L81" s="217"/>
      <c r="M81" s="217"/>
      <c r="N81" s="267"/>
      <c r="O81" s="172"/>
      <c r="P81" s="217"/>
      <c r="Q81" s="443"/>
      <c r="S81" s="268"/>
      <c r="T81" s="268"/>
      <c r="U81" s="268"/>
      <c r="AJ81" s="443"/>
      <c r="AZ81" s="269"/>
      <c r="BJ81" s="219"/>
      <c r="BK81" s="219"/>
      <c r="BL81" s="219"/>
      <c r="BO81" s="172"/>
      <c r="BP81" s="219"/>
      <c r="BQ81" s="270"/>
      <c r="BR81" s="271"/>
      <c r="BS81" s="219"/>
      <c r="BT81" s="272"/>
      <c r="BX81" s="219"/>
      <c r="BY81" s="219"/>
      <c r="BZ81" s="172"/>
      <c r="CA81" s="172"/>
      <c r="CB81" s="172"/>
      <c r="CC81" s="172"/>
    </row>
    <row r="82" spans="6:81">
      <c r="H82" s="170">
        <v>76</v>
      </c>
      <c r="I82" s="456">
        <f t="shared" si="3"/>
        <v>0.45599999999999996</v>
      </c>
      <c r="J82" s="217"/>
      <c r="K82" s="217"/>
      <c r="L82" s="217"/>
      <c r="M82" s="217"/>
      <c r="N82" s="267"/>
      <c r="O82" s="172"/>
      <c r="P82" s="217"/>
      <c r="Q82" s="443"/>
      <c r="S82" s="268"/>
      <c r="T82" s="268"/>
      <c r="U82" s="268"/>
      <c r="AJ82" s="443"/>
      <c r="AZ82" s="269"/>
      <c r="BJ82" s="219"/>
      <c r="BK82" s="219"/>
      <c r="BL82" s="219"/>
      <c r="BO82" s="172"/>
      <c r="BP82" s="219"/>
      <c r="BQ82" s="270"/>
      <c r="BR82" s="271"/>
      <c r="BS82" s="219"/>
      <c r="BT82" s="272"/>
      <c r="BX82" s="219"/>
      <c r="BY82" s="219"/>
      <c r="BZ82" s="172"/>
      <c r="CA82" s="172"/>
      <c r="CB82" s="172"/>
      <c r="CC82" s="172"/>
    </row>
    <row r="83" spans="6:81">
      <c r="H83" s="170">
        <v>77</v>
      </c>
      <c r="I83" s="456">
        <f t="shared" si="3"/>
        <v>0.46199999999999997</v>
      </c>
      <c r="J83" s="217"/>
      <c r="K83" s="217"/>
      <c r="L83" s="217"/>
      <c r="M83" s="217"/>
      <c r="N83" s="267"/>
      <c r="O83" s="172"/>
      <c r="P83" s="217"/>
      <c r="Q83" s="443"/>
      <c r="S83" s="268"/>
      <c r="T83" s="268"/>
      <c r="U83" s="268"/>
      <c r="AJ83" s="443"/>
      <c r="AZ83" s="269"/>
      <c r="BJ83" s="219"/>
      <c r="BK83" s="219"/>
      <c r="BL83" s="219"/>
      <c r="BO83" s="172"/>
      <c r="BP83" s="219"/>
      <c r="BQ83" s="270"/>
      <c r="BR83" s="271"/>
      <c r="BS83" s="219"/>
      <c r="BT83" s="272"/>
      <c r="BX83" s="219"/>
      <c r="BY83" s="219"/>
      <c r="BZ83" s="172"/>
      <c r="CA83" s="172"/>
      <c r="CB83" s="172"/>
      <c r="CC83" s="172"/>
    </row>
    <row r="84" spans="6:81">
      <c r="H84" s="170">
        <v>78</v>
      </c>
      <c r="I84" s="456">
        <f t="shared" si="3"/>
        <v>0.46799999999999997</v>
      </c>
      <c r="J84" s="217"/>
      <c r="K84" s="217"/>
      <c r="L84" s="217"/>
      <c r="M84" s="217"/>
      <c r="N84" s="267"/>
      <c r="O84" s="172"/>
      <c r="P84" s="217"/>
      <c r="Q84" s="443"/>
      <c r="S84" s="268"/>
      <c r="T84" s="268"/>
      <c r="U84" s="268"/>
      <c r="AJ84" s="443"/>
      <c r="AZ84" s="269"/>
      <c r="BJ84" s="219"/>
      <c r="BK84" s="219"/>
      <c r="BL84" s="219"/>
      <c r="BO84" s="172"/>
      <c r="BP84" s="219"/>
      <c r="BQ84" s="270"/>
      <c r="BR84" s="271"/>
      <c r="BS84" s="219"/>
      <c r="BT84" s="272"/>
      <c r="BX84" s="219"/>
      <c r="BY84" s="219"/>
      <c r="BZ84" s="172"/>
      <c r="CA84" s="172"/>
      <c r="CB84" s="172"/>
      <c r="CC84" s="172"/>
    </row>
    <row r="85" spans="6:81">
      <c r="H85" s="170">
        <v>79</v>
      </c>
      <c r="I85" s="456">
        <f t="shared" si="3"/>
        <v>0.47399999999999998</v>
      </c>
      <c r="J85" s="217"/>
      <c r="K85" s="217"/>
      <c r="L85" s="217"/>
      <c r="M85" s="217"/>
      <c r="N85" s="267"/>
      <c r="O85" s="172"/>
      <c r="P85" s="217"/>
      <c r="Q85" s="443"/>
      <c r="S85" s="268"/>
      <c r="T85" s="268"/>
      <c r="U85" s="268"/>
      <c r="AJ85" s="443"/>
      <c r="AZ85" s="269"/>
      <c r="BJ85" s="219"/>
      <c r="BK85" s="219"/>
      <c r="BL85" s="219"/>
      <c r="BO85" s="172"/>
      <c r="BP85" s="219"/>
      <c r="BQ85" s="270"/>
      <c r="BR85" s="271"/>
      <c r="BS85" s="219"/>
      <c r="BT85" s="272"/>
      <c r="BX85" s="219"/>
      <c r="BY85" s="219"/>
      <c r="BZ85" s="172"/>
      <c r="CA85" s="172"/>
      <c r="CB85" s="172"/>
      <c r="CC85" s="172"/>
    </row>
    <row r="86" spans="6:81">
      <c r="H86" s="170">
        <v>80</v>
      </c>
      <c r="I86" s="456">
        <f t="shared" si="3"/>
        <v>0.48</v>
      </c>
      <c r="J86" s="217"/>
      <c r="K86" s="217"/>
      <c r="L86" s="217"/>
      <c r="M86" s="217"/>
      <c r="N86" s="267"/>
      <c r="O86" s="172"/>
      <c r="P86" s="217"/>
      <c r="Q86" s="443"/>
      <c r="S86" s="268"/>
      <c r="T86" s="268"/>
      <c r="U86" s="268"/>
      <c r="AJ86" s="443"/>
      <c r="AZ86" s="269"/>
      <c r="BJ86" s="219"/>
      <c r="BK86" s="219"/>
      <c r="BL86" s="219"/>
      <c r="BO86" s="172"/>
      <c r="BP86" s="219"/>
      <c r="BQ86" s="270"/>
      <c r="BR86" s="271"/>
      <c r="BS86" s="219"/>
      <c r="BT86" s="272"/>
      <c r="BX86" s="219"/>
      <c r="BY86" s="219"/>
      <c r="BZ86" s="172"/>
      <c r="CA86" s="172"/>
      <c r="CB86" s="172"/>
      <c r="CC86" s="172"/>
    </row>
    <row r="87" spans="6:81">
      <c r="H87" s="170">
        <v>81</v>
      </c>
      <c r="I87" s="456">
        <f t="shared" si="3"/>
        <v>0.48599999999999999</v>
      </c>
      <c r="J87" s="217"/>
      <c r="K87" s="217"/>
      <c r="L87" s="217"/>
      <c r="M87" s="217"/>
      <c r="N87" s="267"/>
      <c r="O87" s="172"/>
      <c r="P87" s="217"/>
      <c r="Q87" s="443"/>
      <c r="S87" s="268"/>
      <c r="T87" s="268"/>
      <c r="U87" s="268"/>
      <c r="AJ87" s="443"/>
      <c r="AZ87" s="269"/>
      <c r="BJ87" s="219"/>
      <c r="BK87" s="219"/>
      <c r="BL87" s="219"/>
      <c r="BO87" s="172"/>
      <c r="BP87" s="219"/>
      <c r="BQ87" s="270"/>
      <c r="BR87" s="271"/>
      <c r="BS87" s="219"/>
      <c r="BT87" s="272"/>
      <c r="BX87" s="219"/>
      <c r="BY87" s="219"/>
      <c r="BZ87" s="172"/>
      <c r="CA87" s="172"/>
      <c r="CB87" s="172"/>
      <c r="CC87" s="172"/>
    </row>
    <row r="88" spans="6:81" ht="13">
      <c r="F88" s="325" t="s">
        <v>274</v>
      </c>
      <c r="G88" s="325" t="s">
        <v>275</v>
      </c>
      <c r="H88" s="170">
        <v>82</v>
      </c>
      <c r="I88" s="456">
        <f t="shared" si="3"/>
        <v>0.49199999999999994</v>
      </c>
      <c r="J88" s="217"/>
      <c r="K88" s="217"/>
      <c r="L88" s="217"/>
      <c r="M88" s="217"/>
      <c r="N88" s="267"/>
      <c r="O88" s="172"/>
      <c r="P88" s="217"/>
      <c r="Q88" s="443"/>
      <c r="S88" s="268"/>
      <c r="T88" s="268"/>
      <c r="U88" s="268"/>
      <c r="AJ88" s="443"/>
      <c r="AZ88" s="269"/>
      <c r="BJ88" s="219"/>
      <c r="BK88" s="219"/>
      <c r="BL88" s="219"/>
      <c r="BO88" s="172"/>
      <c r="BP88" s="219"/>
      <c r="BQ88" s="270"/>
      <c r="BR88" s="271"/>
      <c r="BS88" s="219"/>
      <c r="BT88" s="272"/>
      <c r="BX88" s="219"/>
      <c r="BY88" s="219"/>
      <c r="BZ88" s="172"/>
      <c r="CA88" s="172"/>
      <c r="CB88" s="172"/>
      <c r="CC88" s="172"/>
    </row>
    <row r="89" spans="6:81">
      <c r="F89" s="326">
        <f>BO51</f>
        <v>0</v>
      </c>
      <c r="G89" s="327">
        <f>I56*1000</f>
        <v>300</v>
      </c>
      <c r="H89" s="170">
        <v>83</v>
      </c>
      <c r="I89" s="456">
        <f t="shared" si="3"/>
        <v>0.49799999999999994</v>
      </c>
      <c r="J89" s="217"/>
      <c r="K89" s="217"/>
      <c r="L89" s="217"/>
      <c r="M89" s="217"/>
      <c r="N89" s="267"/>
      <c r="O89" s="172"/>
      <c r="P89" s="217"/>
      <c r="Q89" s="443"/>
      <c r="S89" s="268"/>
      <c r="T89" s="268"/>
      <c r="U89" s="268"/>
      <c r="AJ89" s="443"/>
      <c r="AZ89" s="269"/>
      <c r="BJ89" s="219"/>
      <c r="BK89" s="219"/>
      <c r="BL89" s="219"/>
      <c r="BO89" s="172"/>
      <c r="BP89" s="219"/>
      <c r="BQ89" s="270"/>
      <c r="BR89" s="271"/>
      <c r="BS89" s="219"/>
      <c r="BT89" s="272"/>
      <c r="BX89" s="219"/>
      <c r="BY89" s="219"/>
      <c r="BZ89" s="172"/>
      <c r="CA89" s="172"/>
      <c r="CB89" s="172"/>
      <c r="CC89" s="172"/>
    </row>
    <row r="90" spans="6:81">
      <c r="F90" s="326">
        <f>BO81</f>
        <v>0</v>
      </c>
      <c r="G90" s="327">
        <f>I81*1000</f>
        <v>449.99999999999994</v>
      </c>
      <c r="H90" s="170">
        <v>84</v>
      </c>
      <c r="I90" s="456">
        <f t="shared" si="3"/>
        <v>0.504</v>
      </c>
      <c r="J90" s="217"/>
      <c r="K90" s="217"/>
      <c r="L90" s="217"/>
      <c r="M90" s="217"/>
      <c r="N90" s="267"/>
      <c r="O90" s="172"/>
      <c r="P90" s="217"/>
      <c r="Q90" s="443"/>
      <c r="S90" s="268"/>
      <c r="T90" s="268"/>
      <c r="U90" s="268"/>
      <c r="AJ90" s="443"/>
      <c r="AZ90" s="269"/>
      <c r="BJ90" s="219"/>
      <c r="BK90" s="219"/>
      <c r="BL90" s="219"/>
      <c r="BO90" s="172"/>
      <c r="BP90" s="219"/>
      <c r="BQ90" s="270"/>
      <c r="BR90" s="271"/>
      <c r="BS90" s="219"/>
      <c r="BT90" s="272"/>
      <c r="BX90" s="219"/>
      <c r="BY90" s="219"/>
      <c r="BZ90" s="172"/>
      <c r="CA90" s="172"/>
      <c r="CB90" s="172"/>
      <c r="CC90" s="172"/>
    </row>
    <row r="91" spans="6:81">
      <c r="F91" s="326">
        <f>BO106</f>
        <v>88.698181382326453</v>
      </c>
      <c r="G91" s="327">
        <f>I106*1000</f>
        <v>600</v>
      </c>
      <c r="H91" s="170">
        <v>85</v>
      </c>
      <c r="I91" s="456">
        <f t="shared" si="3"/>
        <v>0.51</v>
      </c>
      <c r="J91" s="217"/>
      <c r="K91" s="217"/>
      <c r="L91" s="217"/>
      <c r="M91" s="217"/>
      <c r="N91" s="267"/>
      <c r="O91" s="172"/>
      <c r="P91" s="217"/>
      <c r="Q91" s="443"/>
      <c r="S91" s="268"/>
      <c r="T91" s="268"/>
      <c r="U91" s="268"/>
      <c r="AJ91" s="443"/>
      <c r="AZ91" s="269"/>
      <c r="BJ91" s="219"/>
      <c r="BK91" s="219"/>
      <c r="BL91" s="219"/>
      <c r="BO91" s="172"/>
      <c r="BP91" s="219"/>
      <c r="BQ91" s="270"/>
      <c r="BR91" s="271"/>
      <c r="BS91" s="219"/>
      <c r="BT91" s="272"/>
      <c r="BX91" s="219"/>
      <c r="BY91" s="219"/>
      <c r="BZ91" s="172"/>
      <c r="CA91" s="172"/>
      <c r="CB91" s="172"/>
      <c r="CC91" s="172"/>
    </row>
    <row r="92" spans="6:81">
      <c r="H92" s="170">
        <v>86</v>
      </c>
      <c r="I92" s="456">
        <f t="shared" si="3"/>
        <v>0.51600000000000001</v>
      </c>
      <c r="J92" s="217"/>
      <c r="K92" s="217"/>
      <c r="L92" s="217"/>
      <c r="M92" s="217"/>
      <c r="N92" s="267"/>
      <c r="O92" s="172"/>
      <c r="P92" s="217"/>
      <c r="Q92" s="443"/>
      <c r="S92" s="268"/>
      <c r="T92" s="268"/>
      <c r="U92" s="268"/>
      <c r="AJ92" s="443"/>
      <c r="AZ92" s="269"/>
      <c r="BJ92" s="219"/>
      <c r="BK92" s="219"/>
      <c r="BL92" s="219"/>
      <c r="BO92" s="172"/>
      <c r="BP92" s="219"/>
      <c r="BQ92" s="270"/>
      <c r="BR92" s="271"/>
      <c r="BS92" s="219"/>
      <c r="BT92" s="272"/>
      <c r="BX92" s="219"/>
      <c r="BY92" s="219"/>
      <c r="BZ92" s="172"/>
      <c r="CA92" s="172"/>
      <c r="CB92" s="172"/>
      <c r="CC92" s="172"/>
    </row>
    <row r="93" spans="6:81">
      <c r="H93" s="170">
        <v>87</v>
      </c>
      <c r="I93" s="456">
        <f t="shared" si="3"/>
        <v>0.52200000000000002</v>
      </c>
      <c r="J93" s="217"/>
      <c r="K93" s="217"/>
      <c r="L93" s="217"/>
      <c r="M93" s="217"/>
      <c r="N93" s="267"/>
      <c r="O93" s="172"/>
      <c r="P93" s="217"/>
      <c r="Q93" s="443"/>
      <c r="S93" s="268"/>
      <c r="T93" s="268"/>
      <c r="U93" s="268"/>
      <c r="AJ93" s="443"/>
      <c r="AZ93" s="269"/>
      <c r="BJ93" s="219"/>
      <c r="BK93" s="219"/>
      <c r="BL93" s="219"/>
      <c r="BO93" s="172"/>
      <c r="BP93" s="219"/>
      <c r="BQ93" s="270"/>
      <c r="BR93" s="271"/>
      <c r="BS93" s="219"/>
      <c r="BT93" s="272"/>
      <c r="BX93" s="219"/>
      <c r="BY93" s="219"/>
      <c r="BZ93" s="172"/>
      <c r="CA93" s="172"/>
      <c r="CB93" s="172"/>
      <c r="CC93" s="172"/>
    </row>
    <row r="94" spans="6:81">
      <c r="H94" s="170">
        <v>88</v>
      </c>
      <c r="I94" s="456">
        <f t="shared" si="3"/>
        <v>0.52800000000000002</v>
      </c>
      <c r="J94" s="217"/>
      <c r="K94" s="217"/>
      <c r="L94" s="217"/>
      <c r="M94" s="217"/>
      <c r="N94" s="267"/>
      <c r="O94" s="172"/>
      <c r="P94" s="217"/>
      <c r="Q94" s="443"/>
      <c r="S94" s="268"/>
      <c r="T94" s="268"/>
      <c r="U94" s="268"/>
      <c r="AJ94" s="443"/>
      <c r="AZ94" s="269"/>
      <c r="BJ94" s="219"/>
      <c r="BK94" s="219"/>
      <c r="BL94" s="219"/>
      <c r="BO94" s="172"/>
      <c r="BP94" s="219"/>
      <c r="BQ94" s="270"/>
      <c r="BR94" s="271"/>
      <c r="BS94" s="219"/>
      <c r="BT94" s="272"/>
      <c r="BX94" s="219"/>
      <c r="BY94" s="219"/>
      <c r="BZ94" s="172"/>
      <c r="CA94" s="172"/>
      <c r="CB94" s="172"/>
      <c r="CC94" s="172"/>
    </row>
    <row r="95" spans="6:81">
      <c r="H95" s="170">
        <v>89</v>
      </c>
      <c r="I95" s="456">
        <f t="shared" si="3"/>
        <v>0.53400000000000003</v>
      </c>
      <c r="J95" s="217"/>
      <c r="K95" s="217"/>
      <c r="L95" s="217"/>
      <c r="M95" s="217"/>
      <c r="N95" s="267"/>
      <c r="O95" s="172"/>
      <c r="P95" s="217"/>
      <c r="Q95" s="443"/>
      <c r="S95" s="268"/>
      <c r="T95" s="268"/>
      <c r="U95" s="268"/>
      <c r="AJ95" s="443"/>
      <c r="AZ95" s="269"/>
      <c r="BJ95" s="219"/>
      <c r="BK95" s="219"/>
      <c r="BL95" s="219"/>
      <c r="BO95" s="172"/>
      <c r="BP95" s="219"/>
      <c r="BQ95" s="270"/>
      <c r="BR95" s="271"/>
      <c r="BS95" s="219"/>
      <c r="BT95" s="272"/>
      <c r="BX95" s="219"/>
      <c r="BY95" s="219"/>
      <c r="BZ95" s="172"/>
      <c r="CA95" s="172"/>
      <c r="CB95" s="172"/>
      <c r="CC95" s="172"/>
    </row>
    <row r="96" spans="6:81">
      <c r="H96" s="170">
        <v>90</v>
      </c>
      <c r="I96" s="456">
        <f t="shared" si="3"/>
        <v>0.54</v>
      </c>
      <c r="J96" s="217"/>
      <c r="K96" s="217"/>
      <c r="L96" s="217"/>
      <c r="M96" s="217"/>
      <c r="N96" s="267"/>
      <c r="O96" s="172"/>
      <c r="P96" s="217"/>
      <c r="Q96" s="443"/>
      <c r="S96" s="268"/>
      <c r="T96" s="268"/>
      <c r="U96" s="268"/>
      <c r="AJ96" s="443"/>
      <c r="AZ96" s="269"/>
      <c r="BJ96" s="219"/>
      <c r="BK96" s="219"/>
      <c r="BL96" s="219"/>
      <c r="BO96" s="172"/>
      <c r="BP96" s="219"/>
      <c r="BQ96" s="270"/>
      <c r="BR96" s="271"/>
      <c r="BS96" s="219"/>
      <c r="BT96" s="272"/>
      <c r="BX96" s="219"/>
      <c r="BY96" s="219"/>
      <c r="BZ96" s="172"/>
      <c r="CA96" s="172"/>
      <c r="CB96" s="172"/>
      <c r="CC96" s="172"/>
    </row>
    <row r="97" spans="8:81">
      <c r="H97" s="170">
        <v>91</v>
      </c>
      <c r="I97" s="456">
        <f t="shared" si="3"/>
        <v>0.54600000000000004</v>
      </c>
      <c r="J97" s="217"/>
      <c r="K97" s="217"/>
      <c r="L97" s="217"/>
      <c r="M97" s="217"/>
      <c r="N97" s="267"/>
      <c r="O97" s="172"/>
      <c r="P97" s="217"/>
      <c r="Q97" s="443"/>
      <c r="S97" s="268"/>
      <c r="T97" s="268"/>
      <c r="U97" s="268"/>
      <c r="AJ97" s="443"/>
      <c r="AZ97" s="269"/>
      <c r="BJ97" s="219"/>
      <c r="BK97" s="219"/>
      <c r="BL97" s="219"/>
      <c r="BO97" s="172"/>
      <c r="BP97" s="219"/>
      <c r="BQ97" s="270"/>
      <c r="BR97" s="271"/>
      <c r="BS97" s="219"/>
      <c r="BT97" s="272"/>
      <c r="BX97" s="219"/>
      <c r="BY97" s="219"/>
      <c r="BZ97" s="172"/>
      <c r="CA97" s="172"/>
      <c r="CB97" s="172"/>
      <c r="CC97" s="172"/>
    </row>
    <row r="98" spans="8:81">
      <c r="H98" s="170">
        <v>92</v>
      </c>
      <c r="I98" s="456">
        <f t="shared" si="3"/>
        <v>0.55200000000000005</v>
      </c>
      <c r="J98" s="217"/>
      <c r="K98" s="217"/>
      <c r="L98" s="217"/>
      <c r="M98" s="217"/>
      <c r="N98" s="267"/>
      <c r="O98" s="172"/>
      <c r="P98" s="217"/>
      <c r="Q98" s="443"/>
      <c r="S98" s="268"/>
      <c r="T98" s="268"/>
      <c r="U98" s="268"/>
      <c r="AJ98" s="443"/>
      <c r="AZ98" s="269"/>
      <c r="BJ98" s="219"/>
      <c r="BK98" s="219"/>
      <c r="BL98" s="219"/>
      <c r="BO98" s="172"/>
      <c r="BP98" s="219"/>
      <c r="BQ98" s="270"/>
      <c r="BR98" s="271"/>
      <c r="BS98" s="219"/>
      <c r="BT98" s="272"/>
      <c r="BX98" s="219"/>
      <c r="BY98" s="219"/>
      <c r="BZ98" s="172"/>
      <c r="CA98" s="172"/>
      <c r="CB98" s="172"/>
      <c r="CC98" s="172"/>
    </row>
    <row r="99" spans="8:81">
      <c r="H99" s="170">
        <v>93</v>
      </c>
      <c r="I99" s="456">
        <f t="shared" si="3"/>
        <v>0.55800000000000005</v>
      </c>
      <c r="J99" s="217"/>
      <c r="K99" s="217"/>
      <c r="L99" s="217"/>
      <c r="M99" s="217"/>
      <c r="N99" s="267"/>
      <c r="O99" s="172"/>
      <c r="P99" s="217"/>
      <c r="Q99" s="443"/>
      <c r="S99" s="268"/>
      <c r="T99" s="268"/>
      <c r="U99" s="268"/>
      <c r="AJ99" s="443"/>
      <c r="AZ99" s="269"/>
      <c r="BJ99" s="219"/>
      <c r="BK99" s="219"/>
      <c r="BL99" s="219"/>
      <c r="BO99" s="172"/>
      <c r="BP99" s="219"/>
      <c r="BQ99" s="270"/>
      <c r="BR99" s="271"/>
      <c r="BS99" s="219"/>
      <c r="BT99" s="272"/>
      <c r="BX99" s="219"/>
      <c r="BY99" s="219"/>
      <c r="BZ99" s="172"/>
      <c r="CA99" s="172"/>
      <c r="CB99" s="172"/>
      <c r="CC99" s="172"/>
    </row>
    <row r="100" spans="8:81">
      <c r="H100" s="170">
        <v>94</v>
      </c>
      <c r="I100" s="456">
        <f t="shared" si="3"/>
        <v>0.56399999999999995</v>
      </c>
      <c r="J100" s="217"/>
      <c r="K100" s="217"/>
      <c r="L100" s="217"/>
      <c r="M100" s="217"/>
      <c r="N100" s="267"/>
      <c r="O100" s="172"/>
      <c r="P100" s="217"/>
      <c r="Q100" s="443"/>
      <c r="S100" s="268"/>
      <c r="T100" s="268"/>
      <c r="U100" s="268"/>
      <c r="AJ100" s="443"/>
      <c r="AZ100" s="269"/>
      <c r="BJ100" s="219"/>
      <c r="BK100" s="219"/>
      <c r="BL100" s="219"/>
      <c r="BO100" s="172"/>
      <c r="BP100" s="219"/>
      <c r="BQ100" s="270"/>
      <c r="BR100" s="271"/>
      <c r="BS100" s="219"/>
      <c r="BT100" s="272"/>
      <c r="BX100" s="219"/>
      <c r="BY100" s="219"/>
      <c r="BZ100" s="172"/>
      <c r="CA100" s="172"/>
      <c r="CB100" s="172"/>
      <c r="CC100" s="172"/>
    </row>
    <row r="101" spans="8:81">
      <c r="H101" s="170">
        <v>95</v>
      </c>
      <c r="I101" s="456">
        <f t="shared" si="3"/>
        <v>0.56999999999999995</v>
      </c>
      <c r="J101" s="217"/>
      <c r="K101" s="217"/>
      <c r="L101" s="217"/>
      <c r="M101" s="217"/>
      <c r="N101" s="267"/>
      <c r="O101" s="172"/>
      <c r="P101" s="217"/>
      <c r="Q101" s="443"/>
      <c r="S101" s="268"/>
      <c r="T101" s="268"/>
      <c r="U101" s="268"/>
      <c r="AJ101" s="443"/>
      <c r="AZ101" s="269"/>
      <c r="BJ101" s="219"/>
      <c r="BK101" s="219"/>
      <c r="BL101" s="219"/>
      <c r="BO101" s="172"/>
      <c r="BP101" s="219"/>
      <c r="BQ101" s="270"/>
      <c r="BR101" s="271"/>
      <c r="BS101" s="219"/>
      <c r="BT101" s="272"/>
      <c r="BX101" s="219"/>
      <c r="BY101" s="219"/>
      <c r="BZ101" s="172"/>
      <c r="CA101" s="172"/>
      <c r="CB101" s="172"/>
      <c r="CC101" s="172"/>
    </row>
    <row r="102" spans="8:81">
      <c r="H102" s="170">
        <v>96</v>
      </c>
      <c r="I102" s="456">
        <f>IF(PLOT_TYPE=1, H102/100*Iout_max, min_I*EXP(H102*rr/100))</f>
        <v>0.57599999999999996</v>
      </c>
      <c r="J102" s="217"/>
      <c r="K102" s="217"/>
      <c r="L102" s="217"/>
      <c r="M102" s="217"/>
      <c r="N102" s="267"/>
      <c r="O102" s="172"/>
      <c r="P102" s="217"/>
      <c r="Q102" s="443"/>
      <c r="S102" s="268"/>
      <c r="T102" s="268"/>
      <c r="U102" s="268"/>
      <c r="AJ102" s="443"/>
      <c r="AZ102" s="269"/>
      <c r="BJ102" s="219"/>
      <c r="BK102" s="219"/>
      <c r="BL102" s="219"/>
      <c r="BO102" s="172"/>
      <c r="BP102" s="219"/>
      <c r="BQ102" s="270"/>
      <c r="BR102" s="271"/>
      <c r="BS102" s="219"/>
      <c r="BT102" s="272"/>
      <c r="BX102" s="219"/>
      <c r="BY102" s="219"/>
      <c r="BZ102" s="172"/>
      <c r="CA102" s="172"/>
      <c r="CB102" s="172"/>
      <c r="CC102" s="172"/>
    </row>
    <row r="103" spans="8:81">
      <c r="H103" s="170">
        <v>97</v>
      </c>
      <c r="I103" s="456">
        <f>IF(PLOT_TYPE=1, H103/100*Iout_max, min_I*EXP(H103*rr/100))</f>
        <v>0.58199999999999996</v>
      </c>
      <c r="J103" s="217"/>
      <c r="K103" s="217"/>
      <c r="L103" s="217"/>
      <c r="M103" s="217"/>
      <c r="N103" s="267"/>
      <c r="O103" s="172"/>
      <c r="P103" s="217"/>
      <c r="Q103" s="443"/>
      <c r="S103" s="268"/>
      <c r="T103" s="268"/>
      <c r="U103" s="268"/>
      <c r="AJ103" s="443"/>
      <c r="AZ103" s="269"/>
      <c r="BJ103" s="219"/>
      <c r="BK103" s="219"/>
      <c r="BL103" s="219"/>
      <c r="BO103" s="172"/>
      <c r="BP103" s="219"/>
      <c r="BQ103" s="270"/>
      <c r="BR103" s="271"/>
      <c r="BS103" s="219"/>
      <c r="BT103" s="272"/>
      <c r="BX103" s="219"/>
      <c r="BY103" s="219"/>
      <c r="BZ103" s="172"/>
      <c r="CA103" s="172"/>
      <c r="CB103" s="172"/>
      <c r="CC103" s="172"/>
    </row>
    <row r="104" spans="8:81">
      <c r="H104" s="170">
        <v>98</v>
      </c>
      <c r="I104" s="456">
        <f>IF(PLOT_TYPE=1, H104/100*Iout_max, min_I*EXP(H104*rr/100))</f>
        <v>0.58799999999999997</v>
      </c>
      <c r="J104" s="217"/>
      <c r="K104" s="217"/>
      <c r="L104" s="217"/>
      <c r="M104" s="217"/>
      <c r="N104" s="267"/>
      <c r="O104" s="172"/>
      <c r="P104" s="217"/>
      <c r="Q104" s="443"/>
      <c r="S104" s="268"/>
      <c r="T104" s="268"/>
      <c r="U104" s="268"/>
      <c r="AJ104" s="443"/>
      <c r="AZ104" s="269"/>
      <c r="BJ104" s="219"/>
      <c r="BK104" s="219"/>
      <c r="BL104" s="219"/>
      <c r="BO104" s="172"/>
      <c r="BP104" s="219"/>
      <c r="BQ104" s="270"/>
      <c r="BR104" s="271"/>
      <c r="BS104" s="219"/>
      <c r="BT104" s="272"/>
      <c r="BX104" s="219"/>
      <c r="BY104" s="219"/>
      <c r="BZ104" s="172"/>
      <c r="CA104" s="172"/>
      <c r="CB104" s="172"/>
      <c r="CC104" s="172"/>
    </row>
    <row r="105" spans="8:81">
      <c r="H105" s="170">
        <v>99</v>
      </c>
      <c r="I105" s="456">
        <f>IF(PLOT_TYPE=1, H105/100*Iout_max, min_I*EXP(H105*rr/100))</f>
        <v>0.59399999999999997</v>
      </c>
      <c r="J105" s="217"/>
      <c r="K105" s="217"/>
      <c r="L105" s="217"/>
      <c r="M105" s="217"/>
      <c r="N105" s="267"/>
      <c r="O105" s="172"/>
      <c r="P105" s="217"/>
      <c r="Q105" s="443"/>
      <c r="S105" s="268"/>
      <c r="T105" s="268"/>
      <c r="U105" s="268"/>
      <c r="AJ105" s="443"/>
      <c r="AZ105" s="269"/>
      <c r="BJ105" s="219"/>
      <c r="BK105" s="219"/>
      <c r="BL105" s="219"/>
      <c r="BO105" s="172"/>
      <c r="BP105" s="219"/>
      <c r="BQ105" s="270"/>
      <c r="BR105" s="271"/>
      <c r="BS105" s="219"/>
      <c r="BT105" s="272"/>
      <c r="BX105" s="219"/>
      <c r="BY105" s="219"/>
      <c r="BZ105" s="172"/>
      <c r="CA105" s="172"/>
      <c r="CB105" s="172"/>
      <c r="CC105" s="172"/>
    </row>
    <row r="106" spans="8:81">
      <c r="H106" s="170">
        <v>100</v>
      </c>
      <c r="I106" s="456">
        <f>IF(PLOT_TYPE=1, H106/100*Iout_max, min_I*EXP(H106*rr/100))</f>
        <v>0.6</v>
      </c>
      <c r="J106" s="217"/>
      <c r="K106" s="217"/>
      <c r="L106" s="217"/>
      <c r="M106" s="217"/>
      <c r="N106" s="267"/>
      <c r="O106" s="172"/>
      <c r="P106" s="217"/>
      <c r="Q106" s="443"/>
      <c r="S106" s="268"/>
      <c r="T106" s="268"/>
      <c r="U106" s="268"/>
      <c r="AJ106" s="443"/>
      <c r="AY106" s="216">
        <f>Vout*I106</f>
        <v>102</v>
      </c>
      <c r="AZ106" s="269">
        <f>AY106/(AY106+AX106)</f>
        <v>1</v>
      </c>
      <c r="BA106" s="345">
        <f>AG106/($AY106+$AX106)</f>
        <v>0</v>
      </c>
      <c r="BB106" s="345">
        <f>AO106/($AY106+$AX106)</f>
        <v>0</v>
      </c>
      <c r="BC106" s="345" t="e">
        <f>Vin*R106*(QgBot+Qg)/($AY106+$AX106)</f>
        <v>#NAME?</v>
      </c>
      <c r="BD106" s="345">
        <f>AK106/($AY106+$AX106)</f>
        <v>0</v>
      </c>
      <c r="BE106" s="345">
        <f>AQ106/(AX106+AY106)</f>
        <v>0</v>
      </c>
      <c r="BF106" s="345">
        <f>AR106/($AY106+$AX106)</f>
        <v>0</v>
      </c>
      <c r="BG106" s="345">
        <f>W106/($AY106+$AX106)</f>
        <v>0</v>
      </c>
      <c r="BH106" s="345">
        <f>X106/($AY106+$AX106)</f>
        <v>0</v>
      </c>
      <c r="BI106" s="345">
        <f>(AB106+AE106)/($AY106+$AX106)</f>
        <v>0</v>
      </c>
      <c r="BJ106" s="219">
        <f>AT106/($AY106+$AX106)</f>
        <v>0</v>
      </c>
      <c r="BK106" s="219">
        <f>AX106/($AY106+$AX106)</f>
        <v>0</v>
      </c>
      <c r="BL106" s="219">
        <f>AZ106</f>
        <v>1</v>
      </c>
      <c r="BM106" s="172">
        <f>100*BL106</f>
        <v>100</v>
      </c>
      <c r="BN106" s="217" t="e">
        <f xml:space="preserve"> CHOOSE(MODE, I106*1000,#REF!)</f>
        <v>#REF!</v>
      </c>
      <c r="BO106" s="172">
        <v>88.698181382326453</v>
      </c>
      <c r="BP106" s="219">
        <f>BO106/100</f>
        <v>0.88698181382326458</v>
      </c>
      <c r="BQ106" s="270">
        <f>R106/1000</f>
        <v>0</v>
      </c>
      <c r="BR106" s="271"/>
      <c r="BS106" s="219">
        <f>AL106/($AY106+$AX106)</f>
        <v>0</v>
      </c>
      <c r="BT106" s="272"/>
      <c r="BU106" s="172">
        <f>1000*AW106</f>
        <v>0</v>
      </c>
      <c r="BV106" s="172">
        <f>1000*AU106</f>
        <v>0</v>
      </c>
      <c r="BW106" s="172">
        <f>1000*Y106</f>
        <v>0</v>
      </c>
      <c r="BX106" s="219"/>
      <c r="BY106" s="219"/>
      <c r="BZ106" s="172" t="e">
        <f xml:space="preserve"> IF(MODE=1, BM106,#REF!)</f>
        <v>#REF!</v>
      </c>
      <c r="CA106" s="172" t="e">
        <f xml:space="preserve"> IF(MODE=1, BU106,#REF!)</f>
        <v>#REF!</v>
      </c>
      <c r="CB106" s="172" t="e">
        <f xml:space="preserve"> IF(MODE=1, BV106,#REF!)</f>
        <v>#REF!</v>
      </c>
      <c r="CC106" s="172" t="e">
        <f xml:space="preserve"> IF(MODE=1, BW106,#REF!)</f>
        <v>#REF!</v>
      </c>
    </row>
    <row r="107" spans="8:81">
      <c r="BQ107" s="270"/>
      <c r="BR107" s="271"/>
      <c r="BS107" s="271"/>
      <c r="BT107" s="272"/>
      <c r="BX107" s="219"/>
      <c r="BY107" s="219"/>
    </row>
    <row r="108" spans="8:81" ht="13">
      <c r="H108" s="328">
        <v>1.0000000000000001E-5</v>
      </c>
      <c r="I108" s="329" t="s">
        <v>1</v>
      </c>
      <c r="J108" s="330" t="s">
        <v>276</v>
      </c>
      <c r="AG108" s="216">
        <v>4.9516878778202269E-3</v>
      </c>
      <c r="AH108" s="216">
        <v>3.7188236700537959E-3</v>
      </c>
      <c r="AI108">
        <v>20</v>
      </c>
      <c r="AJ108" s="216">
        <v>18.943591787921068</v>
      </c>
      <c r="AK108" s="216">
        <v>4.1453367485397245E-3</v>
      </c>
      <c r="AL108" s="216">
        <v>7.1640215182307235E-3</v>
      </c>
      <c r="AN108" s="216">
        <v>9.1940431932401354E-2</v>
      </c>
      <c r="AO108" s="216">
        <v>8.4530430239165271E-3</v>
      </c>
      <c r="AP108" s="216">
        <v>9.3281530185295868E-4</v>
      </c>
      <c r="AQ108" s="216">
        <v>9.1178757202630047E-3</v>
      </c>
      <c r="AR108" s="216">
        <v>1.2140752334887425E-3</v>
      </c>
      <c r="AS108" s="216">
        <v>1.8784993977668273E-2</v>
      </c>
      <c r="AZ108" s="332" t="s">
        <v>280</v>
      </c>
      <c r="BA108" s="352">
        <v>3.6409104085968987E-3</v>
      </c>
      <c r="BB108" s="352">
        <v>6.5692245841190103E-3</v>
      </c>
      <c r="BC108" s="352">
        <v>5.4394694205683519E-2</v>
      </c>
      <c r="BD108" s="352">
        <v>4.5907837520612008E-3</v>
      </c>
      <c r="BE108" s="352">
        <v>0</v>
      </c>
      <c r="BF108" s="352">
        <v>7.3751579484765363E-4</v>
      </c>
      <c r="BG108" s="352">
        <v>7.2151246180390156E-3</v>
      </c>
      <c r="BH108" s="352">
        <v>1.4929120352630757E-2</v>
      </c>
      <c r="BI108" s="352">
        <v>5.5024434421027814E-6</v>
      </c>
      <c r="BJ108" s="352">
        <v>8.2551506228875166E-2</v>
      </c>
    </row>
    <row r="109" spans="8:81" ht="13">
      <c r="H109" s="331">
        <f>Iout_max</f>
        <v>0.6</v>
      </c>
      <c r="I109" s="329" t="s">
        <v>1</v>
      </c>
      <c r="J109" s="330" t="s">
        <v>277</v>
      </c>
      <c r="AZ109" s="332" t="s">
        <v>278</v>
      </c>
      <c r="BA109" s="352">
        <v>8.1000709018000279E-3</v>
      </c>
      <c r="BB109" s="352">
        <v>1.4614802049391215E-2</v>
      </c>
      <c r="BC109" s="352">
        <v>2.4831534664325892E-2</v>
      </c>
      <c r="BD109" s="352">
        <v>9.9057039827182662E-3</v>
      </c>
      <c r="BE109" s="352">
        <v>1.1631608311305648E-2</v>
      </c>
      <c r="BF109" s="352">
        <v>1.6465542803473395E-3</v>
      </c>
      <c r="BG109" s="352">
        <v>1.6051760250250457E-2</v>
      </c>
      <c r="BH109" s="352">
        <v>6.8152413568584669E-3</v>
      </c>
      <c r="BI109" s="352">
        <v>1.7517781122613987E-5</v>
      </c>
      <c r="BJ109" s="352">
        <v>1.2837829865088564E-2</v>
      </c>
    </row>
    <row r="110" spans="8:81" ht="13">
      <c r="H110" s="331">
        <f>LOG(max_I/min_I,EXP(1))</f>
        <v>11.002099841204238</v>
      </c>
      <c r="I110" s="217"/>
      <c r="J110" s="330" t="s">
        <v>279</v>
      </c>
    </row>
    <row r="111" spans="8:81" ht="13">
      <c r="AZ111" s="332"/>
      <c r="BA111" s="352"/>
      <c r="BB111" s="352"/>
      <c r="BC111" s="352"/>
      <c r="BD111" s="352"/>
      <c r="BE111" s="352"/>
      <c r="BF111" s="352"/>
      <c r="BG111" s="352"/>
      <c r="BH111" s="352"/>
      <c r="BI111" s="352"/>
      <c r="BJ111" s="352"/>
    </row>
    <row r="112" spans="8:81" ht="13">
      <c r="J112" s="334"/>
      <c r="R112" s="335"/>
      <c r="S112" s="335"/>
      <c r="T112" s="335"/>
      <c r="U112" s="335"/>
      <c r="V112" s="336"/>
    </row>
    <row r="113" spans="10:22" ht="13">
      <c r="J113" s="334"/>
      <c r="R113" s="335"/>
      <c r="S113" s="335"/>
      <c r="T113" s="335"/>
      <c r="U113" s="335"/>
      <c r="V113" s="336"/>
    </row>
    <row r="114" spans="10:22" ht="13">
      <c r="R114" s="337"/>
      <c r="S114" s="337"/>
      <c r="T114" s="337"/>
      <c r="U114" s="337"/>
      <c r="V114" s="336"/>
    </row>
    <row r="116" spans="10:22" ht="13">
      <c r="R116" s="337"/>
      <c r="S116" s="337"/>
      <c r="T116" s="337"/>
      <c r="U116" s="337"/>
      <c r="V116" s="336"/>
    </row>
    <row r="121" spans="10:22">
      <c r="V121" s="330"/>
    </row>
    <row r="122" spans="10:22">
      <c r="O122" s="330"/>
      <c r="P122" s="330"/>
      <c r="Q122" s="330"/>
    </row>
    <row r="123" spans="10:22">
      <c r="O123" s="330"/>
      <c r="P123" s="330"/>
      <c r="Q123" s="330"/>
    </row>
    <row r="124" spans="10:22">
      <c r="O124" s="330"/>
      <c r="P124" s="330"/>
      <c r="Q124" s="330"/>
    </row>
    <row r="125" spans="10:22">
      <c r="O125" s="330"/>
      <c r="P125" s="330"/>
      <c r="Q125" s="330"/>
    </row>
    <row r="126" spans="10:22">
      <c r="J126" s="338"/>
      <c r="O126" s="330"/>
      <c r="P126" s="330"/>
      <c r="Q126" s="330"/>
    </row>
    <row r="127" spans="10:22">
      <c r="J127" s="338"/>
      <c r="O127" s="330"/>
      <c r="P127" s="330"/>
      <c r="Q127" s="330"/>
    </row>
    <row r="128" spans="10:22">
      <c r="J128" s="338"/>
      <c r="O128" s="330"/>
      <c r="P128" s="330"/>
      <c r="Q128" s="330"/>
    </row>
    <row r="129" spans="10:17">
      <c r="J129" s="329"/>
      <c r="O129" s="330"/>
      <c r="P129" s="330"/>
      <c r="Q129" s="330"/>
    </row>
    <row r="130" spans="10:17">
      <c r="J130" s="329"/>
    </row>
    <row r="131" spans="10:17">
      <c r="J131" s="329"/>
    </row>
    <row r="132" spans="10:17">
      <c r="J132" s="329"/>
    </row>
    <row r="133" spans="10:17">
      <c r="J133" s="329"/>
    </row>
  </sheetData>
  <sheetProtection algorithmName="SHA-512" hashValue="0cUnFa7ufQE2QFQ9eSByCEfmn6EpWCL2i4IB/IyFIfGoQvvqfVNOyvPgZhiw12bINkeNpez8XmCsyRLDVC5XpQ==" saltValue="Wk0yaZAbwsKsRJCgaB8scA==" spinCount="100000" sheet="1" selectLockedCells="1" selectUnlockedCells="1"/>
  <mergeCells count="4">
    <mergeCell ref="A1:E3"/>
    <mergeCell ref="G2:H2"/>
    <mergeCell ref="A4:E4"/>
    <mergeCell ref="K4:U4"/>
  </mergeCells>
  <phoneticPr fontId="83"/>
  <conditionalFormatting sqref="B26:B28">
    <cfRule type="cellIs" dxfId="12" priority="8" stopIfTrue="1" operator="notEqual">
      <formula>G28</formula>
    </cfRule>
  </conditionalFormatting>
  <conditionalFormatting sqref="B30:B33">
    <cfRule type="cellIs" dxfId="11" priority="6" stopIfTrue="1" operator="notEqual">
      <formula>G36</formula>
    </cfRule>
  </conditionalFormatting>
  <conditionalFormatting sqref="B35:B36">
    <cfRule type="cellIs" dxfId="10" priority="5" stopIfTrue="1" operator="notEqual">
      <formula>G42</formula>
    </cfRule>
  </conditionalFormatting>
  <conditionalFormatting sqref="B41">
    <cfRule type="cellIs" dxfId="9" priority="4" stopIfTrue="1" operator="notEqual">
      <formula>G53</formula>
    </cfRule>
  </conditionalFormatting>
  <conditionalFormatting sqref="B50:B53">
    <cfRule type="cellIs" dxfId="8" priority="9" stopIfTrue="1" operator="notEqual">
      <formula>G70</formula>
    </cfRule>
  </conditionalFormatting>
  <conditionalFormatting sqref="B48:B49">
    <cfRule type="cellIs" dxfId="7" priority="12" stopIfTrue="1" operator="notEqual">
      <formula>G68</formula>
    </cfRule>
  </conditionalFormatting>
  <conditionalFormatting sqref="B43:B45">
    <cfRule type="cellIs" dxfId="6" priority="13" stopIfTrue="1" operator="notEqual">
      <formula>G54</formula>
    </cfRule>
  </conditionalFormatting>
  <conditionalFormatting sqref="B46">
    <cfRule type="cellIs" dxfId="5" priority="2" stopIfTrue="1" operator="notEqual">
      <formula>G66</formula>
    </cfRule>
  </conditionalFormatting>
  <conditionalFormatting sqref="B29">
    <cfRule type="cellIs" dxfId="4" priority="145" stopIfTrue="1" operator="notEqual">
      <formula>G30</formula>
    </cfRule>
  </conditionalFormatting>
  <conditionalFormatting sqref="B38:B39">
    <cfRule type="cellIs" dxfId="3" priority="147" stopIfTrue="1" operator="notEqual">
      <formula>G43</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184150</xdr:colOff>
                <xdr:row>111</xdr:row>
                <xdr:rowOff>146050</xdr:rowOff>
              </from>
              <to>
                <xdr:col>36</xdr:col>
                <xdr:colOff>12700</xdr:colOff>
                <xdr:row>125</xdr:row>
                <xdr:rowOff>146050</xdr:rowOff>
              </to>
            </anchor>
          </objectPr>
        </oleObject>
      </mc:Choice>
      <mc:Fallback>
        <oleObject progId="Visio.Drawing.11" shapeId="68300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rgb="FF7030A0"/>
  </sheetPr>
  <dimension ref="B1:FL329"/>
  <sheetViews>
    <sheetView topLeftCell="BF1" zoomScale="70" zoomScaleNormal="70" workbookViewId="0">
      <pane ySplit="3" topLeftCell="A25" activePane="bottomLeft" state="frozen"/>
      <selection pane="bottomLeft" activeCell="BU74" sqref="BU74"/>
    </sheetView>
  </sheetViews>
  <sheetFormatPr defaultRowHeight="12.5"/>
  <cols>
    <col min="1" max="1" width="2.81640625" customWidth="1"/>
    <col min="2" max="2" width="3.54296875" customWidth="1"/>
    <col min="3" max="3" width="2.81640625" customWidth="1"/>
    <col min="4" max="4" width="3.7265625" customWidth="1"/>
    <col min="5" max="5" width="6.1796875" customWidth="1"/>
    <col min="6" max="7" width="7.7265625" customWidth="1"/>
    <col min="8" max="8" width="7.81640625" customWidth="1"/>
    <col min="9" max="9" width="6.26953125" customWidth="1"/>
    <col min="10" max="10" width="9.54296875" customWidth="1"/>
    <col min="11" max="11" width="9.26953125" customWidth="1"/>
    <col min="12" max="12" width="1.81640625" customWidth="1"/>
    <col min="13" max="13" width="8.453125" customWidth="1"/>
    <col min="14" max="15" width="9.54296875" customWidth="1"/>
    <col min="16" max="16" width="8.81640625" customWidth="1"/>
    <col min="17" max="18" width="8.54296875" customWidth="1"/>
    <col min="19" max="19" width="15.453125" customWidth="1"/>
    <col min="20" max="20" width="10.453125" customWidth="1"/>
    <col min="21" max="21" width="7.54296875" customWidth="1"/>
    <col min="22" max="22" width="9" customWidth="1"/>
    <col min="23" max="23" width="8.81640625" customWidth="1"/>
    <col min="24" max="24" width="10" customWidth="1"/>
    <col min="25" max="25" width="9.54296875" customWidth="1"/>
    <col min="26" max="26" width="1.81640625" customWidth="1"/>
    <col min="27" max="27" width="9.81640625" customWidth="1"/>
    <col min="28" max="28" width="10.453125" customWidth="1"/>
    <col min="29" max="29" width="10.1796875" customWidth="1"/>
    <col min="30" max="30" width="2" customWidth="1"/>
    <col min="31" max="31" width="9.1796875" customWidth="1"/>
    <col min="32" max="32" width="9.453125" customWidth="1"/>
    <col min="33" max="33" width="10.453125" customWidth="1"/>
    <col min="34" max="34" width="2.1796875" customWidth="1"/>
    <col min="36" max="36" width="8" customWidth="1"/>
    <col min="38" max="38" width="2.26953125" customWidth="1"/>
    <col min="39" max="39" width="6.54296875" customWidth="1"/>
    <col min="40" max="40" width="7.54296875" customWidth="1"/>
    <col min="41" max="41" width="2" customWidth="1"/>
    <col min="42" max="42" width="6.453125" customWidth="1"/>
    <col min="43" max="43" width="7.54296875" customWidth="1"/>
    <col min="44" max="44" width="2.1796875" customWidth="1"/>
    <col min="45" max="48" width="7" customWidth="1"/>
    <col min="49" max="50" width="8.453125" customWidth="1"/>
    <col min="51" max="52" width="11" customWidth="1"/>
    <col min="53" max="53" width="9.453125" customWidth="1"/>
    <col min="54" max="54" width="9.81640625" customWidth="1"/>
    <col min="55" max="55" width="2" customWidth="1"/>
    <col min="58" max="58" width="2.1796875" customWidth="1"/>
    <col min="59" max="59" width="9" customWidth="1"/>
    <col min="60" max="61" width="8.1796875" customWidth="1"/>
    <col min="62" max="62" width="8.7265625" customWidth="1"/>
    <col min="63" max="64" width="7.54296875" customWidth="1"/>
    <col min="65" max="65" width="10.54296875" customWidth="1"/>
    <col min="66" max="66" width="8.7265625" customWidth="1"/>
    <col min="67" max="68" width="10.26953125" customWidth="1"/>
    <col min="69" max="70" width="10.54296875" customWidth="1"/>
    <col min="71" max="71" width="8.7265625" customWidth="1"/>
    <col min="73" max="73" width="9.81640625" customWidth="1"/>
    <col min="74" max="74" width="11.54296875" customWidth="1"/>
    <col min="75" max="75" width="12.1796875" customWidth="1"/>
    <col min="76" max="76" width="9.1796875" customWidth="1"/>
    <col min="78" max="78" width="7.7265625" customWidth="1"/>
    <col min="79" max="79" width="10.453125" customWidth="1"/>
    <col min="80" max="80" width="12.453125" bestFit="1" customWidth="1"/>
    <col min="81" max="81" width="4.54296875" customWidth="1"/>
    <col min="82" max="82" width="5" customWidth="1"/>
    <col min="83" max="83" width="9.54296875" customWidth="1"/>
    <col min="85" max="85" width="12.54296875" customWidth="1"/>
    <col min="86" max="86" width="11.54296875" customWidth="1"/>
    <col min="87" max="87" width="6.1796875" customWidth="1"/>
    <col min="88" max="89" width="7.7265625" customWidth="1"/>
    <col min="90" max="90" width="7.81640625" customWidth="1"/>
    <col min="91" max="91" width="6.26953125" customWidth="1"/>
    <col min="92" max="92" width="9.54296875" customWidth="1"/>
    <col min="93" max="93" width="9.26953125" customWidth="1"/>
    <col min="94" max="94" width="1.81640625" customWidth="1"/>
    <col min="95" max="95" width="8.453125" customWidth="1"/>
    <col min="96" max="97" width="9.54296875" customWidth="1"/>
    <col min="98" max="98" width="8.81640625" customWidth="1"/>
    <col min="99" max="100" width="8.54296875" customWidth="1"/>
    <col min="101" max="101" width="15.453125" customWidth="1"/>
    <col min="102" max="102" width="10.453125" customWidth="1"/>
    <col min="103" max="103" width="7.54296875" customWidth="1"/>
    <col min="104" max="104" width="9" customWidth="1"/>
    <col min="105" max="105" width="8.81640625" customWidth="1"/>
    <col min="106" max="106" width="10" customWidth="1"/>
    <col min="107" max="107" width="9.54296875" customWidth="1"/>
    <col min="108" max="108" width="1.81640625" customWidth="1"/>
    <col min="109" max="109" width="9.81640625" customWidth="1"/>
    <col min="110" max="110" width="10.453125" customWidth="1"/>
    <col min="111" max="111" width="10.1796875" customWidth="1"/>
    <col min="112" max="112" width="2" customWidth="1"/>
    <col min="113" max="113" width="9.1796875" customWidth="1"/>
    <col min="114" max="114" width="9.453125" customWidth="1"/>
    <col min="115" max="115" width="10.453125" customWidth="1"/>
    <col min="116" max="116" width="2.1796875" customWidth="1"/>
    <col min="118" max="118" width="8" customWidth="1"/>
    <col min="120" max="120" width="2.26953125" customWidth="1"/>
    <col min="121" max="121" width="6.54296875" customWidth="1"/>
    <col min="122" max="122" width="7.54296875" customWidth="1"/>
    <col min="123" max="123" width="2" customWidth="1"/>
    <col min="124" max="124" width="6.453125" customWidth="1"/>
    <col min="125" max="125" width="7.54296875" customWidth="1"/>
    <col min="126" max="126" width="2.1796875" customWidth="1"/>
    <col min="127" max="130" width="7" customWidth="1"/>
    <col min="131" max="132" width="8.453125" customWidth="1"/>
    <col min="133" max="134" width="11" customWidth="1"/>
    <col min="135" max="135" width="9.453125" customWidth="1"/>
    <col min="136" max="136" width="9.81640625" customWidth="1"/>
    <col min="137" max="137" width="2" customWidth="1"/>
    <col min="140" max="140" width="2.1796875" customWidth="1"/>
    <col min="141" max="141" width="9" customWidth="1"/>
    <col min="142" max="143" width="8.1796875" customWidth="1"/>
    <col min="145" max="146" width="7.54296875" customWidth="1"/>
    <col min="147" max="147" width="10.54296875" customWidth="1"/>
    <col min="149" max="150" width="10.26953125" customWidth="1"/>
    <col min="151" max="152" width="10.54296875" customWidth="1"/>
    <col min="155" max="155" width="9.81640625" customWidth="1"/>
    <col min="156" max="156" width="11.54296875" customWidth="1"/>
    <col min="157" max="157" width="12.1796875" customWidth="1"/>
    <col min="158" max="158" width="9.1796875" customWidth="1"/>
    <col min="160" max="160" width="7.7265625" customWidth="1"/>
    <col min="161" max="161" width="10.453125" customWidth="1"/>
    <col min="162" max="162" width="12.453125" bestFit="1" customWidth="1"/>
    <col min="163" max="163" width="4.54296875" customWidth="1"/>
    <col min="164" max="164" width="5" customWidth="1"/>
    <col min="165" max="165" width="9.54296875" customWidth="1"/>
    <col min="168" max="168" width="12.1796875" bestFit="1" customWidth="1"/>
  </cols>
  <sheetData>
    <row r="1" spans="2:168" ht="25">
      <c r="B1" s="445" t="s">
        <v>824</v>
      </c>
      <c r="M1">
        <f>Vfwd2</f>
        <v>0.7</v>
      </c>
      <c r="BB1">
        <f>Ltc</f>
        <v>4.0000000000000001E-3</v>
      </c>
      <c r="BT1">
        <f>Ta</f>
        <v>85</v>
      </c>
      <c r="CI1" s="779" t="s">
        <v>823</v>
      </c>
      <c r="CQ1">
        <f>Vfwd2</f>
        <v>0.7</v>
      </c>
      <c r="EF1">
        <f>Ltc</f>
        <v>4.0000000000000001E-3</v>
      </c>
      <c r="EX1">
        <f>Ta</f>
        <v>85</v>
      </c>
    </row>
    <row r="2" spans="2:168" ht="13" thickBot="1">
      <c r="M2">
        <f>Vfwd1</f>
        <v>0.5</v>
      </c>
      <c r="U2">
        <f>Isw_max</f>
        <v>66.666666666666671</v>
      </c>
      <c r="CQ2">
        <f>Vfwd1</f>
        <v>0.5</v>
      </c>
      <c r="CY2">
        <f>Isw_max</f>
        <v>66.666666666666671</v>
      </c>
    </row>
    <row r="3" spans="2:168" ht="13">
      <c r="E3" s="220" t="s">
        <v>421</v>
      </c>
      <c r="F3" s="540"/>
      <c r="G3" s="540"/>
      <c r="H3" s="540"/>
      <c r="I3" s="221"/>
      <c r="J3" s="222"/>
      <c r="K3" s="524"/>
      <c r="L3" s="524"/>
      <c r="M3" s="947" t="s">
        <v>189</v>
      </c>
      <c r="N3" s="948"/>
      <c r="O3" s="950"/>
      <c r="P3" s="947"/>
      <c r="Q3" s="947"/>
      <c r="R3" s="950"/>
      <c r="S3" s="950"/>
      <c r="T3" s="950"/>
      <c r="U3" s="947"/>
      <c r="V3" s="948"/>
      <c r="W3" s="948"/>
      <c r="X3" s="947"/>
      <c r="Y3" s="948"/>
      <c r="Z3" s="947"/>
      <c r="AA3" s="949"/>
      <c r="AB3" s="533"/>
      <c r="AC3" s="533"/>
      <c r="AD3" s="533"/>
      <c r="AE3" s="533"/>
      <c r="AF3" s="533"/>
      <c r="AG3" s="533"/>
      <c r="AH3" s="533"/>
      <c r="AI3" s="533"/>
      <c r="AJ3" s="533"/>
      <c r="AK3" s="533"/>
      <c r="AL3" s="533"/>
      <c r="AM3" s="533"/>
      <c r="AN3" s="533"/>
      <c r="AO3" s="533"/>
      <c r="AP3" s="533"/>
      <c r="AQ3" s="533"/>
      <c r="AR3" s="533"/>
      <c r="AS3" s="533" t="s">
        <v>460</v>
      </c>
      <c r="AT3" s="533"/>
      <c r="AU3" s="533"/>
      <c r="AV3" s="533"/>
      <c r="AW3" s="533"/>
      <c r="AX3" s="533"/>
      <c r="AY3" s="533"/>
      <c r="AZ3" s="533"/>
      <c r="BA3" s="533" t="s">
        <v>470</v>
      </c>
      <c r="BB3" s="533"/>
      <c r="BC3" s="533"/>
      <c r="BD3" s="558" t="s">
        <v>471</v>
      </c>
      <c r="BE3" s="533"/>
      <c r="BF3" s="533"/>
      <c r="BG3" s="558" t="s">
        <v>888</v>
      </c>
      <c r="BH3" s="533"/>
      <c r="BI3" s="533"/>
      <c r="BJ3" s="533"/>
      <c r="BK3" s="533"/>
      <c r="BL3" s="533"/>
      <c r="BM3" s="533"/>
      <c r="BN3" s="533"/>
      <c r="BO3" s="558" t="s">
        <v>489</v>
      </c>
      <c r="BP3" s="533"/>
      <c r="BQ3" s="533"/>
      <c r="BR3" s="533"/>
      <c r="BS3" s="559" t="s">
        <v>490</v>
      </c>
      <c r="BT3" s="533"/>
      <c r="BU3" s="533"/>
      <c r="BV3" s="533"/>
      <c r="BW3" s="533"/>
      <c r="BX3" s="533"/>
      <c r="BY3" s="558"/>
      <c r="BZ3" s="533"/>
      <c r="CA3" s="533"/>
      <c r="CB3" s="533"/>
      <c r="CC3" s="533"/>
      <c r="CI3" s="220" t="s">
        <v>421</v>
      </c>
      <c r="CJ3" s="540"/>
      <c r="CK3" s="540"/>
      <c r="CL3" s="540"/>
      <c r="CM3" s="221"/>
      <c r="CN3" s="222"/>
      <c r="CO3" s="524"/>
      <c r="CP3" s="524"/>
      <c r="CQ3" s="947" t="s">
        <v>189</v>
      </c>
      <c r="CR3" s="948"/>
      <c r="CS3" s="950"/>
      <c r="CT3" s="947"/>
      <c r="CU3" s="947"/>
      <c r="CV3" s="950"/>
      <c r="CW3" s="950"/>
      <c r="CX3" s="950"/>
      <c r="CY3" s="947"/>
      <c r="CZ3" s="948"/>
      <c r="DA3" s="948"/>
      <c r="DB3" s="947"/>
      <c r="DC3" s="948"/>
      <c r="DD3" s="947"/>
      <c r="DE3" s="949"/>
      <c r="DF3" s="533"/>
      <c r="DG3" s="533"/>
      <c r="DH3" s="533"/>
      <c r="DI3" s="533"/>
      <c r="DJ3" s="533"/>
      <c r="DK3" s="533"/>
      <c r="DL3" s="533"/>
      <c r="DM3" s="533"/>
      <c r="DN3" s="533"/>
      <c r="DO3" s="533"/>
      <c r="DP3" s="533"/>
      <c r="DQ3" s="533"/>
      <c r="DR3" s="533"/>
      <c r="DS3" s="533"/>
      <c r="DT3" s="533"/>
      <c r="DU3" s="533"/>
      <c r="DV3" s="533"/>
      <c r="DW3" s="533" t="s">
        <v>460</v>
      </c>
      <c r="DX3" s="533"/>
      <c r="DY3" s="533"/>
      <c r="DZ3" s="533"/>
      <c r="EA3" s="533"/>
      <c r="EB3" s="533"/>
      <c r="EC3" s="533"/>
      <c r="ED3" s="533"/>
      <c r="EE3" s="533" t="s">
        <v>470</v>
      </c>
      <c r="EF3" s="533"/>
      <c r="EG3" s="533"/>
      <c r="EH3" s="558" t="s">
        <v>471</v>
      </c>
      <c r="EI3" s="533"/>
      <c r="EJ3" s="533"/>
      <c r="EK3" s="558" t="s">
        <v>493</v>
      </c>
      <c r="EL3" s="533"/>
      <c r="EM3" s="533"/>
      <c r="EN3" s="533"/>
      <c r="EO3" s="533"/>
      <c r="EP3" s="533"/>
      <c r="EQ3" s="533"/>
      <c r="ER3" s="533"/>
      <c r="ES3" s="558" t="s">
        <v>489</v>
      </c>
      <c r="ET3" s="533"/>
      <c r="EU3" s="533"/>
      <c r="EV3" s="533"/>
      <c r="EW3" s="559" t="s">
        <v>490</v>
      </c>
      <c r="EX3" s="533"/>
      <c r="EY3" s="533"/>
      <c r="EZ3" s="533"/>
      <c r="FA3" s="533"/>
      <c r="FB3" s="533"/>
      <c r="FC3" s="558"/>
      <c r="FD3" s="533"/>
      <c r="FE3" s="533"/>
      <c r="FF3" s="533"/>
      <c r="FG3" s="533"/>
    </row>
    <row r="4" spans="2:168" ht="45" customHeight="1" thickBot="1">
      <c r="E4" s="241" t="s">
        <v>25</v>
      </c>
      <c r="F4" s="444" t="s">
        <v>194</v>
      </c>
      <c r="G4" s="260"/>
      <c r="H4" s="527" t="s">
        <v>223</v>
      </c>
      <c r="I4" s="242" t="s">
        <v>412</v>
      </c>
      <c r="J4" s="243" t="s">
        <v>418</v>
      </c>
      <c r="K4" s="527" t="s">
        <v>413</v>
      </c>
      <c r="L4" s="527"/>
      <c r="M4" s="244" t="s">
        <v>48</v>
      </c>
      <c r="N4" s="527" t="s">
        <v>402</v>
      </c>
      <c r="O4" s="527" t="s">
        <v>656</v>
      </c>
      <c r="P4" s="527" t="s">
        <v>403</v>
      </c>
      <c r="Q4" s="527" t="s">
        <v>433</v>
      </c>
      <c r="R4" s="527" t="s">
        <v>654</v>
      </c>
      <c r="S4" s="527" t="s">
        <v>657</v>
      </c>
      <c r="T4" s="527" t="s">
        <v>655</v>
      </c>
      <c r="U4" s="527" t="s">
        <v>414</v>
      </c>
      <c r="V4" s="527" t="s">
        <v>466</v>
      </c>
      <c r="W4" s="527" t="s">
        <v>465</v>
      </c>
      <c r="X4" s="546" t="s">
        <v>420</v>
      </c>
      <c r="Y4" s="542" t="s">
        <v>425</v>
      </c>
      <c r="AA4" s="245" t="s">
        <v>417</v>
      </c>
      <c r="AB4" s="245" t="s">
        <v>464</v>
      </c>
      <c r="AC4" s="245" t="s">
        <v>423</v>
      </c>
      <c r="AD4" s="544"/>
      <c r="AE4" s="245" t="s">
        <v>463</v>
      </c>
      <c r="AF4" s="245" t="s">
        <v>681</v>
      </c>
      <c r="AG4" s="245" t="s">
        <v>427</v>
      </c>
      <c r="AH4" s="544"/>
      <c r="AI4" s="245" t="s">
        <v>429</v>
      </c>
      <c r="AJ4" s="547" t="s">
        <v>430</v>
      </c>
      <c r="AK4" s="547" t="s">
        <v>431</v>
      </c>
      <c r="AM4" s="543" t="s">
        <v>275</v>
      </c>
      <c r="AN4" s="543" t="s">
        <v>432</v>
      </c>
      <c r="AP4" s="245" t="s">
        <v>275</v>
      </c>
      <c r="AQ4" s="245" t="s">
        <v>432</v>
      </c>
      <c r="AR4" s="548"/>
      <c r="AS4" s="245" t="s">
        <v>467</v>
      </c>
      <c r="AT4" s="245" t="s">
        <v>461</v>
      </c>
      <c r="AU4" s="245" t="s">
        <v>462</v>
      </c>
      <c r="AV4" s="245" t="s">
        <v>653</v>
      </c>
      <c r="AW4" s="245" t="s">
        <v>48</v>
      </c>
      <c r="AX4" s="548" t="s">
        <v>651</v>
      </c>
      <c r="AY4" s="544" t="s">
        <v>650</v>
      </c>
      <c r="AZ4" s="544" t="s">
        <v>652</v>
      </c>
      <c r="BA4" s="245" t="s">
        <v>481</v>
      </c>
      <c r="BB4" s="245" t="s">
        <v>514</v>
      </c>
      <c r="BC4" s="544"/>
      <c r="BD4" s="557" t="s">
        <v>456</v>
      </c>
      <c r="BE4" s="245" t="s">
        <v>457</v>
      </c>
      <c r="BF4" s="544"/>
      <c r="BG4" s="557" t="s">
        <v>474</v>
      </c>
      <c r="BH4" s="245" t="s">
        <v>475</v>
      </c>
      <c r="BI4" s="245" t="s">
        <v>473</v>
      </c>
      <c r="BJ4" s="245" t="s">
        <v>469</v>
      </c>
      <c r="BK4" s="245" t="s">
        <v>478</v>
      </c>
      <c r="BL4" s="245" t="s">
        <v>777</v>
      </c>
      <c r="BM4" s="245" t="s">
        <v>776</v>
      </c>
      <c r="BN4" s="245" t="s">
        <v>491</v>
      </c>
      <c r="BO4" s="557" t="s">
        <v>476</v>
      </c>
      <c r="BP4" s="245" t="s">
        <v>477</v>
      </c>
      <c r="BQ4" s="245" t="s">
        <v>483</v>
      </c>
      <c r="BR4" s="245" t="s">
        <v>487</v>
      </c>
      <c r="BS4" s="557" t="s">
        <v>458</v>
      </c>
      <c r="BT4" s="245" t="s">
        <v>459</v>
      </c>
      <c r="BU4" s="245" t="s">
        <v>468</v>
      </c>
      <c r="BV4" s="245" t="s">
        <v>666</v>
      </c>
      <c r="BW4" s="245" t="s">
        <v>484</v>
      </c>
      <c r="BX4" s="245" t="s">
        <v>667</v>
      </c>
      <c r="BY4" s="557" t="s">
        <v>482</v>
      </c>
      <c r="BZ4" s="245" t="s">
        <v>223</v>
      </c>
      <c r="CA4" s="245" t="s">
        <v>47</v>
      </c>
      <c r="CB4" s="245" t="s">
        <v>485</v>
      </c>
      <c r="CC4" s="245"/>
      <c r="CE4" s="569" t="s">
        <v>664</v>
      </c>
      <c r="CF4" s="569" t="s">
        <v>665</v>
      </c>
      <c r="CG4" s="781" t="s">
        <v>828</v>
      </c>
      <c r="CI4" s="241" t="s">
        <v>25</v>
      </c>
      <c r="CJ4" s="444" t="s">
        <v>194</v>
      </c>
      <c r="CK4" s="260"/>
      <c r="CL4" s="527" t="s">
        <v>223</v>
      </c>
      <c r="CM4" s="242" t="s">
        <v>412</v>
      </c>
      <c r="CN4" s="243" t="s">
        <v>418</v>
      </c>
      <c r="CO4" s="527" t="s">
        <v>413</v>
      </c>
      <c r="CP4" s="527"/>
      <c r="CQ4" s="244" t="s">
        <v>48</v>
      </c>
      <c r="CR4" s="527" t="s">
        <v>402</v>
      </c>
      <c r="CS4" s="527" t="s">
        <v>656</v>
      </c>
      <c r="CT4" s="527" t="s">
        <v>403</v>
      </c>
      <c r="CU4" s="527" t="s">
        <v>433</v>
      </c>
      <c r="CV4" s="527" t="s">
        <v>654</v>
      </c>
      <c r="CW4" s="527" t="s">
        <v>657</v>
      </c>
      <c r="CX4" s="527" t="s">
        <v>655</v>
      </c>
      <c r="CY4" s="527" t="s">
        <v>414</v>
      </c>
      <c r="CZ4" s="527" t="s">
        <v>466</v>
      </c>
      <c r="DA4" s="527" t="s">
        <v>465</v>
      </c>
      <c r="DB4" s="546" t="s">
        <v>420</v>
      </c>
      <c r="DC4" s="542" t="s">
        <v>425</v>
      </c>
      <c r="DE4" s="245" t="s">
        <v>417</v>
      </c>
      <c r="DF4" s="245" t="s">
        <v>464</v>
      </c>
      <c r="DG4" s="245" t="s">
        <v>423</v>
      </c>
      <c r="DH4" s="544"/>
      <c r="DI4" s="245" t="s">
        <v>463</v>
      </c>
      <c r="DJ4" s="245" t="s">
        <v>681</v>
      </c>
      <c r="DK4" s="245" t="s">
        <v>427</v>
      </c>
      <c r="DL4" s="544"/>
      <c r="DM4" s="245" t="s">
        <v>429</v>
      </c>
      <c r="DN4" s="547" t="s">
        <v>430</v>
      </c>
      <c r="DO4" s="547" t="s">
        <v>431</v>
      </c>
      <c r="DQ4" s="543" t="s">
        <v>275</v>
      </c>
      <c r="DR4" s="543" t="s">
        <v>432</v>
      </c>
      <c r="DT4" s="245" t="s">
        <v>275</v>
      </c>
      <c r="DU4" s="245" t="s">
        <v>432</v>
      </c>
      <c r="DV4" s="548"/>
      <c r="DW4" s="245" t="s">
        <v>467</v>
      </c>
      <c r="DX4" s="245" t="s">
        <v>461</v>
      </c>
      <c r="DY4" s="245" t="s">
        <v>462</v>
      </c>
      <c r="DZ4" s="245" t="s">
        <v>653</v>
      </c>
      <c r="EA4" s="245" t="s">
        <v>48</v>
      </c>
      <c r="EB4" s="548" t="s">
        <v>651</v>
      </c>
      <c r="EC4" s="544" t="s">
        <v>650</v>
      </c>
      <c r="ED4" s="544" t="s">
        <v>652</v>
      </c>
      <c r="EE4" s="245" t="s">
        <v>481</v>
      </c>
      <c r="EF4" s="245" t="s">
        <v>514</v>
      </c>
      <c r="EG4" s="544"/>
      <c r="EH4" s="557" t="s">
        <v>456</v>
      </c>
      <c r="EI4" s="245" t="s">
        <v>457</v>
      </c>
      <c r="EJ4" s="544"/>
      <c r="EK4" s="557" t="s">
        <v>474</v>
      </c>
      <c r="EL4" s="245" t="s">
        <v>475</v>
      </c>
      <c r="EM4" s="245" t="s">
        <v>473</v>
      </c>
      <c r="EN4" s="245" t="s">
        <v>469</v>
      </c>
      <c r="EO4" s="245" t="s">
        <v>478</v>
      </c>
      <c r="EP4" s="245" t="s">
        <v>777</v>
      </c>
      <c r="EQ4" s="245" t="s">
        <v>776</v>
      </c>
      <c r="ER4" s="245" t="s">
        <v>491</v>
      </c>
      <c r="ES4" s="557" t="s">
        <v>476</v>
      </c>
      <c r="ET4" s="245" t="s">
        <v>477</v>
      </c>
      <c r="EU4" s="245" t="s">
        <v>483</v>
      </c>
      <c r="EV4" s="245" t="s">
        <v>487</v>
      </c>
      <c r="EW4" s="557" t="s">
        <v>458</v>
      </c>
      <c r="EX4" s="245" t="s">
        <v>459</v>
      </c>
      <c r="EY4" s="245" t="s">
        <v>468</v>
      </c>
      <c r="EZ4" s="245" t="s">
        <v>666</v>
      </c>
      <c r="FA4" s="245" t="s">
        <v>484</v>
      </c>
      <c r="FB4" s="245" t="s">
        <v>667</v>
      </c>
      <c r="FC4" s="557" t="s">
        <v>482</v>
      </c>
      <c r="FD4" s="245" t="s">
        <v>223</v>
      </c>
      <c r="FE4" s="245" t="s">
        <v>47</v>
      </c>
      <c r="FF4" s="245" t="s">
        <v>485</v>
      </c>
      <c r="FG4" s="245"/>
      <c r="FI4" s="569" t="s">
        <v>664</v>
      </c>
      <c r="FJ4" s="569" t="s">
        <v>665</v>
      </c>
      <c r="FL4" t="s">
        <v>825</v>
      </c>
    </row>
    <row r="5" spans="2:168">
      <c r="E5" s="170">
        <v>0.1</v>
      </c>
      <c r="F5" s="217">
        <v>1.0000000000000001E-9</v>
      </c>
      <c r="G5" s="217"/>
      <c r="H5" s="217">
        <f t="shared" ref="H5:H36" si="0">F5*Vout</f>
        <v>1.7000000000000001E-7</v>
      </c>
      <c r="I5" s="541">
        <f t="shared" ref="I5:I36" si="1">Vin-F5*(Rdcr_pri+RON/1000)/CG5/Nps</f>
        <v>12.499736529571551</v>
      </c>
      <c r="J5" s="172">
        <f t="shared" ref="J5:J36" si="2">(T5+Vfwd1+F5/CG5*Rdcr_sec)*Nps</f>
        <v>8.5250002822897439</v>
      </c>
      <c r="K5" s="172">
        <f t="shared" ref="K5:K36" si="3">(Vout+Vfwd1+F5/CG5*Rdcr_sec)*Nps+VIN_nom</f>
        <v>21.025000282289746</v>
      </c>
      <c r="L5" s="443"/>
      <c r="M5" s="217">
        <f t="shared" ref="M5:M36" si="4">(Vout+Vfwd1+F5/FL5*Rdcr_sec)*Nps/((Vout+Vfwd1+F5/FL5*Rdcr_sec)*Nps+I5)</f>
        <v>0.40547476807067162</v>
      </c>
      <c r="N5" s="172">
        <f t="shared" ref="N5:N36" si="5">M5*I5*(Isw_max+VIN_nom/Lmag*ILIM_delay)*0.5*Efficiency</f>
        <v>170.84488192293642</v>
      </c>
      <c r="O5" s="172">
        <f>T5*F5</f>
        <v>1.7000000000000001E-7</v>
      </c>
      <c r="P5" s="217">
        <f t="shared" ref="P5:P36" si="6">N5/Vout</f>
        <v>1.0049698936643319</v>
      </c>
      <c r="Q5" s="217">
        <f t="shared" ref="Q5:Q36" si="7">MIN(Vout,N5/F5)</f>
        <v>170</v>
      </c>
      <c r="R5" s="217">
        <f t="shared" ref="R5:R36" si="8">Isw_max/2*I5*Nps*(Q5+Vfwd1+F5/FL5*Rdcr_sec)/Q5/(I5+Nps*(Q5+Vfwd1+F5/FL5*Rdcr_sec))</f>
        <v>0.99378975887696597</v>
      </c>
      <c r="S5" s="172">
        <f t="shared" ref="S5:S36" si="9">(SQRT(Isw_max^2*Nps^2*I5^2+4*Isw_max*F5/Efficiency*(Nps^2*Vfwd1*I5-Nps*I5^2)+4*(F5/Efficiency)^2*Nps^2*Vfwd1^2+8*(F5/Efficiency)^2*Nps*Vfwd1*I5+4*(F5/Efficiency)^2*I5^2)-2*F5/Efficiency*I5-2*F5/Efficiency*Nps*Vfwd1+Isw_max*Nps*I5)/(4*F5/Efficiency*Nps)</f>
        <v>416657884069.05701</v>
      </c>
      <c r="T5" s="172">
        <f t="shared" ref="T5:T36" si="10">MIN(Vout, S5)</f>
        <v>170</v>
      </c>
      <c r="U5" s="217">
        <f>MIN(2*(Vout+Vfwd1+F5/FL5*Rdcr_sec)*F5/(I5*M5), Isw_max)</f>
        <v>6.7280575914656589E-8</v>
      </c>
      <c r="V5" s="217">
        <f t="shared" ref="V5:V68" si="11">L*U5/I5*1000000</f>
        <v>2.6912797623968294E-9</v>
      </c>
      <c r="W5" s="217">
        <f t="shared" ref="W5:W36" si="12">L*U5/J5*1000000</f>
        <v>3.9460747030371707E-9</v>
      </c>
      <c r="X5" s="197">
        <f t="shared" ref="X5:X36" si="13">IF(1/((350000*L)*(1/I5+1/J5))&gt;Isw_min, 350, 0.001/((Isw_min*L)*(1/I5+1/J5)))</f>
        <v>350</v>
      </c>
      <c r="Y5" s="443">
        <f t="shared" ref="Y5:Y68" si="14">MIN(1/(V5+W5+0.2)*1000, 350)</f>
        <v>350</v>
      </c>
      <c r="AA5" s="217">
        <f t="shared" ref="AA5:AA36" si="15">1/((X5*1000*L)*(1/I5+1/J5))</f>
        <v>28.961872972148008</v>
      </c>
      <c r="AB5" s="173">
        <f t="shared" ref="AB5:AB36" si="16">L*AA5/J5*1000000</f>
        <v>1.6986435198315963</v>
      </c>
      <c r="AC5" s="173">
        <f t="shared" ref="AC5:AC36" si="17">0.5*AB5*AA5*Nps*X5/1000</f>
        <v>0.43046410615534431</v>
      </c>
      <c r="AD5" s="173"/>
      <c r="AE5" s="173">
        <f t="shared" ref="AE5:AE36" si="18">L*Isw_min/J5*1000000</f>
        <v>0.78201365934454325</v>
      </c>
      <c r="AF5" s="545">
        <f>MAX(12, F5/(0.5*AE5/1000000*Isw_min*Nps)/1000)</f>
        <v>12</v>
      </c>
      <c r="AG5" s="528">
        <f t="shared" ref="AG5:AG36" si="19">0.5*AE5/1000000*Isw_min*Nps*X5*1000</f>
        <v>9.1234926923530066E-2</v>
      </c>
      <c r="AI5" s="173">
        <f t="shared" ref="AI5:AI36" si="20">SQRT(F5/Efficiency/(0.5*L/J5*Fsw_DCM*Nps))</f>
        <v>1.3959124231465235E-3</v>
      </c>
      <c r="AJ5" s="173">
        <f t="shared" ref="AJ5:AJ36" si="21">MAX(IF(F5&gt;AC5,U5,AI5),Isw_min)</f>
        <v>13.333333333333334</v>
      </c>
      <c r="AK5" s="173">
        <f t="shared" ref="AK5:AK36" si="22">IF(F5&gt;AG5, (AJ5-Isw_min)/1.08*0.8+1.2, AF5*0.2/350+1)</f>
        <v>1.0068571428571429</v>
      </c>
      <c r="AM5" s="545">
        <f t="shared" ref="AM5:AM36" si="23">F5*1000</f>
        <v>1.0000000000000002E-6</v>
      </c>
      <c r="AN5" s="460">
        <f t="shared" ref="AN5:AN36" si="24">IF(F5&gt;AG5, Y5, AF5)</f>
        <v>12</v>
      </c>
      <c r="AP5">
        <f t="shared" ref="AP5:AP36" si="25">IF(H5&gt;N5, "",AM5)</f>
        <v>1.0000000000000002E-6</v>
      </c>
      <c r="AQ5" s="460">
        <f t="shared" ref="AQ5:AQ36" si="26">IF(H5&gt;N5, "",AN5)</f>
        <v>12</v>
      </c>
      <c r="AR5" s="460"/>
      <c r="AS5" s="5">
        <f>1/AN5*1000</f>
        <v>83.333333333333329</v>
      </c>
      <c r="AT5" s="5">
        <f t="shared" ref="AT5:AT36" si="27">L*AJ5/I5*1000000</f>
        <v>0.53334457497522769</v>
      </c>
      <c r="AU5" s="5">
        <f>AS5-AT5</f>
        <v>82.799988758358097</v>
      </c>
      <c r="AV5" s="5">
        <f t="shared" ref="AV5:AV36" si="28">L*AJ5/J5*1000000</f>
        <v>0.78201365934454325</v>
      </c>
      <c r="AW5" s="173">
        <f>AT5/AS5</f>
        <v>6.4001348997027325E-3</v>
      </c>
      <c r="AX5" s="173">
        <f t="shared" ref="AX5:AX36" si="29">0.5*L*AJ5^2*AN5*1000</f>
        <v>0.53333333333333333</v>
      </c>
      <c r="AY5" s="173">
        <f t="shared" ref="AY5:AY36" si="30">AJ5*Nps/2*(1-AW5)</f>
        <v>0.33119995503343247</v>
      </c>
      <c r="AZ5" s="173">
        <f>AX5/AY5</f>
        <v>1.6103061767610953</v>
      </c>
      <c r="BA5" s="460">
        <f t="shared" ref="BA5:BA36" si="31">F5*AT5/Vout_ripple*1000</f>
        <v>3.1373210292660457E-10</v>
      </c>
      <c r="BB5" s="5">
        <f t="shared" ref="BB5:BB36" si="32">H5/Efficiency/I5*AU5/Vinripple1</f>
        <v>1.8017657323410295E-6</v>
      </c>
      <c r="BC5" s="5"/>
      <c r="BD5" s="173">
        <f>AJ5*SQRT(AW5/3)</f>
        <v>0.61584677746637395</v>
      </c>
      <c r="BE5" s="173">
        <f t="shared" ref="BE5:BE36" si="33">AJ5*Nps*SQRT((1-AW5)/3)</f>
        <v>0.38366649582007922</v>
      </c>
      <c r="BF5" s="173"/>
      <c r="BG5" s="528">
        <f t="shared" ref="BG5:BG36" si="34">Rdson*BD5^2</f>
        <v>1.5170690132628702E-2</v>
      </c>
      <c r="BH5" s="528">
        <f t="shared" ref="BH5:BH36" si="35">0.5*K5*AJ5*AN5*1000*Tfall</f>
        <v>7.5690001016243097E-2</v>
      </c>
      <c r="BI5" s="528">
        <f t="shared" ref="BI5:BI36" si="36">Qg*Vdd*AN5*1000*0+Qg*I5*AN5*1000</f>
        <v>5.9998735341943452E-3</v>
      </c>
      <c r="BJ5" s="528">
        <f t="shared" ref="BJ5:BJ36" si="37">0.5*(Coss+Csw)*K5^2*AN5*1000</f>
        <v>1.0609215284886812E-3</v>
      </c>
      <c r="BK5">
        <f t="shared" ref="BK5:BK36" si="38">I5*IQ</f>
        <v>5.6248814383071978E-3</v>
      </c>
      <c r="BL5" s="460">
        <f>(BK5+BI5)*1000</f>
        <v>11.624754972501542</v>
      </c>
      <c r="BM5" s="528">
        <f t="shared" ref="BM5:BM36" si="39">(BH5+BI5*0+BJ5+BK5*0+BG5*(1+RdsonTC*(Ta-25)))/(1-BG5*RdsonTC*ThetaJA)</f>
        <v>9.6365052238045451E-2</v>
      </c>
      <c r="BN5" s="460">
        <f>BM5*1000</f>
        <v>96.36505223804545</v>
      </c>
      <c r="BO5" s="528">
        <f>Vfwd2*F5*(1+Diode_TC/1000*(Ta-25))</f>
        <v>8.679999999999999E-10</v>
      </c>
      <c r="BP5" s="528"/>
      <c r="BR5" s="460">
        <f>SUM(BO5:BQ5)*1000</f>
        <v>8.6799999999999988E-7</v>
      </c>
      <c r="BS5" s="528">
        <f t="shared" ref="BS5:BS36" si="40">Rdcr_pri*BD5^2</f>
        <v>1.1378017599471525E-2</v>
      </c>
      <c r="BT5" s="528">
        <f t="shared" ref="BT5:BT36" si="41">Rdcr_sec*BE5^2</f>
        <v>4.4159994004457663E-3</v>
      </c>
      <c r="BU5" s="528">
        <f t="shared" ref="BU5:BU36" si="42">AJ5^2.5*AN5^2.5*k_core*0+BZ5*0.015</f>
        <v>2.5500000000000001E-9</v>
      </c>
      <c r="BV5" s="528">
        <f t="shared" ref="BV5:BV36" si="43">(BU5+(BS5+BT5)*(1+Ltc*(Ta-25)))/(1-(BS5+BT5)*Ltc*ThetaCa)</f>
        <v>1.9609360475714318E-2</v>
      </c>
      <c r="BW5" s="528">
        <f t="shared" ref="BW5:BW36" si="44">0.5*Lleak*0.000000001*AJ5^2*AN5*1000</f>
        <v>5.3333333333333337E-2</v>
      </c>
      <c r="BX5" s="460">
        <f>1000*(BV5+BW5)</f>
        <v>72.942693809047654</v>
      </c>
      <c r="BY5" s="173">
        <f t="shared" ref="BY5:BY68" si="45">SUM(BM5,BO5:BQ5,BV5, BW5)+BK5+BI5</f>
        <v>0.18093250188759466</v>
      </c>
      <c r="BZ5" s="5">
        <f>MIN(H5,O5)</f>
        <v>1.7000000000000001E-7</v>
      </c>
      <c r="CA5" s="173">
        <f>BZ5/(BZ5+BY5)</f>
        <v>9.3957602143637932E-7</v>
      </c>
      <c r="CB5" s="5">
        <f>CA5*100</f>
        <v>9.3957602143637938E-5</v>
      </c>
      <c r="CE5" s="562">
        <f t="shared" ref="CE5:CE36" si="46">IF(ABS(F5-Ioutmax_Vinnom)&lt;Iout/200, AN5, -50)</f>
        <v>-50</v>
      </c>
      <c r="CF5">
        <f t="shared" ref="CF5:CF36" si="47">IF(ABS(F5-Ioutmax_Vinnom)&lt;Iout/200, N5*CA5, -50)</f>
        <v>-50</v>
      </c>
      <c r="CG5" s="173">
        <f t="shared" ref="CG5:CG36" si="48">MIN(SQRT(2*DU5*1000*Ls1_*CL5)/CU5,1-EA5-0.00000005*DU5*1000)</f>
        <v>5.313689313240571E-6</v>
      </c>
      <c r="CI5" s="170">
        <v>0.1</v>
      </c>
      <c r="CJ5" s="217">
        <v>1.0000000000000001E-9</v>
      </c>
      <c r="CK5" s="217"/>
      <c r="CL5" s="217">
        <f t="shared" ref="CL5:CL68" si="49">CJ5*Vout</f>
        <v>1.7000000000000001E-7</v>
      </c>
      <c r="CM5" s="541">
        <f t="shared" ref="CM5:CM68" si="50">Vin</f>
        <v>12.5</v>
      </c>
      <c r="CN5" s="172">
        <f t="shared" ref="CN5:CN68" si="51">(CX5+Vfwd1)*Nps</f>
        <v>8.5250000000000004</v>
      </c>
      <c r="CO5" s="443">
        <f t="shared" ref="CO5:CO68" si="52">(Vout+Vfwd1)*Nps+CM5</f>
        <v>21.024999999999999</v>
      </c>
      <c r="CP5" s="443"/>
      <c r="CQ5" s="217">
        <f t="shared" ref="CQ5:CQ68" si="53">(Vout+Vfwd1)*Nps/((Vout+Vfwd1)*Nps+CM5)</f>
        <v>0.40546967895362668</v>
      </c>
      <c r="CR5" s="172">
        <f t="shared" ref="CR5:CR68" si="54">CQ5*CM5*(Isw_max+VIN_nom/Lmag*ILIM_delay)*0.5*Efficiency</f>
        <v>170.84633868410626</v>
      </c>
      <c r="CS5" s="172">
        <f>CX5*CJ5</f>
        <v>1.7000000000000001E-7</v>
      </c>
      <c r="CT5" s="217">
        <f t="shared" ref="CT5:CT68" si="55">CR5/Vout</f>
        <v>1.0049784628476839</v>
      </c>
      <c r="CU5" s="217">
        <f t="shared" ref="CU5:CU68" si="56">MIN(Vout,CR5/CJ5)</f>
        <v>170</v>
      </c>
      <c r="CV5" s="217">
        <f t="shared" ref="CV5:CV68" si="57">Isw_max/2*CM5*Nps*(CU5+Vfwd1)/CU5/(CM5+Nps*(CU5+Vfwd1))</f>
        <v>0.99379823272947732</v>
      </c>
      <c r="CW5" s="172">
        <f t="shared" ref="CW5:CW68" si="58">(SQRT(Isw_max^2*Nps^2*CM5^2+4*Isw_max*CJ5/Efficiency*(Nps^2*Vfwd1*CM5-Nps*CM5^2)+4*(CJ5/Efficiency)^2*Nps^2*Vfwd1^2+8*(CJ5/Efficiency)^2*Nps*Vfwd1*CM5+4*(CJ5/Efficiency)^2*CM5^2)-2*CJ5/Efficiency*CM5-2*CJ5/Efficiency*Nps*Vfwd1+Isw_max*Nps*CM5)/(4*CJ5/Efficiency*Nps)</f>
        <v>416666666416.66669</v>
      </c>
      <c r="CX5" s="172">
        <f t="shared" ref="CX5:CX68" si="59">MIN(Vout, CW5)</f>
        <v>170</v>
      </c>
      <c r="CY5" s="217">
        <f t="shared" ref="CY5:CY68" si="60">MIN(2*Vout*CJ5/(CM5*CQ5), Isw_max)</f>
        <v>6.7082697947214067E-8</v>
      </c>
      <c r="CZ5" s="217">
        <f t="shared" ref="CZ5:CZ68" si="61">L*CY5/CM5*1000000</f>
        <v>2.6833079178885625E-9</v>
      </c>
      <c r="DA5" s="217">
        <f t="shared" ref="DA5:DA68" si="62">L*CY5/CN5*1000000</f>
        <v>3.9344690878131411E-9</v>
      </c>
      <c r="DB5" s="197">
        <f t="shared" ref="DB5:DB68" si="63">IF(1/((350000*L)*(1/CM5+1/CN5))&gt;Isw_min, 350, 0.001/((Isw_min*L)*(1/CM5+1/CN5)))</f>
        <v>350</v>
      </c>
      <c r="DC5" s="443">
        <f>MIN(1/(CZ5+DA5)*1000, 350)</f>
        <v>350</v>
      </c>
      <c r="DE5" s="217">
        <f t="shared" ref="DE5:DE68" si="64">1/((DB5*1000*L)*(1/CM5+1/CN5))</f>
        <v>28.962119925259049</v>
      </c>
      <c r="DF5" s="173">
        <f t="shared" ref="DF5:DF68" si="65">L*DE5/CN5*1000000</f>
        <v>1.6986580601324954</v>
      </c>
      <c r="DG5" s="173">
        <f t="shared" ref="DG5:DG68" si="66">0.5*DF5*DE5*Nps*DB5/1000</f>
        <v>0.4304714614336958</v>
      </c>
      <c r="DH5" s="173"/>
      <c r="DI5" s="173">
        <f t="shared" ref="DI5:DI68" si="67">L*Isw_min/CN5*1000000</f>
        <v>0.78201368523949166</v>
      </c>
      <c r="DJ5" s="545">
        <f>MAX(12, CJ5/(0.5*DI5/1000000*Isw_min*Nps)/1000)</f>
        <v>12</v>
      </c>
      <c r="DK5" s="528">
        <f t="shared" ref="DK5:DK68" si="68">0.5*DI5/1000000*Isw_min*Nps*DB5*1000</f>
        <v>9.1234929944607357E-2</v>
      </c>
      <c r="DM5" s="173">
        <f t="shared" ref="DM5:DM68" si="69">SQRT(CJ5/Efficiency/(0.5*L/CN5*Fsw_DCM*Nps))</f>
        <v>1.3959124000349839E-3</v>
      </c>
      <c r="DN5" s="173">
        <f t="shared" ref="DN5:DN68" si="70">MAX(IF(CJ5&gt;DG5,CY5,DM5),Isw_min)</f>
        <v>13.333333333333334</v>
      </c>
      <c r="DO5" s="173">
        <f t="shared" ref="DO5:DO68" si="71">IF(CJ5&gt;DK5, (DN5-Isw_min)/1.08*0.8+1.2, DJ5*0.2/350+1)</f>
        <v>1.0068571428571429</v>
      </c>
      <c r="DQ5" s="545">
        <f t="shared" ref="DQ5:DQ68" si="72">CJ5*1000</f>
        <v>1.0000000000000002E-6</v>
      </c>
      <c r="DR5" s="460">
        <f t="shared" ref="DR5:DR68" si="73">IF(CJ5&gt;DK5, DC5, DJ5)</f>
        <v>12</v>
      </c>
      <c r="DT5">
        <f t="shared" ref="DT5:DT68" si="74">IF(CL5&gt;CR5, "",DQ5)</f>
        <v>1.0000000000000002E-6</v>
      </c>
      <c r="DU5" s="460">
        <f t="shared" ref="DU5:DU68" si="75">IF(CL5&gt;CR5, "",DR5)</f>
        <v>12</v>
      </c>
      <c r="DV5" s="460"/>
      <c r="DW5" s="5">
        <f>1/DR5*1000</f>
        <v>83.333333333333329</v>
      </c>
      <c r="DX5" s="5">
        <f t="shared" ref="DX5:DX68" si="76">L*DN5/CM5*1000000</f>
        <v>0.53333333333333333</v>
      </c>
      <c r="DY5" s="5">
        <f>DW5-DX5</f>
        <v>82.8</v>
      </c>
      <c r="DZ5" s="5">
        <f t="shared" ref="DZ5:DZ68" si="77">L*DN5/CN5*1000000</f>
        <v>0.78201368523949166</v>
      </c>
      <c r="EA5" s="173">
        <f>DX5/DW5</f>
        <v>6.4000000000000003E-3</v>
      </c>
      <c r="EB5" s="173">
        <f t="shared" ref="EB5:EB68" si="78">0.5*L*DN5^2*DR5*1000</f>
        <v>0.53333333333333333</v>
      </c>
      <c r="EC5" s="173">
        <f t="shared" ref="EC5:EC68" si="79">DN5*Nps/2*(1-EA5)</f>
        <v>0.33120000000000005</v>
      </c>
      <c r="ED5" s="173">
        <f>EB5/EC5</f>
        <v>1.6103059581320449</v>
      </c>
      <c r="EE5" s="460">
        <f t="shared" ref="EE5:EE68" si="80">CJ5*DX5/Vout_ripple*1000</f>
        <v>3.1372549019607849E-10</v>
      </c>
      <c r="EF5" s="5">
        <f t="shared" ref="EF5:EF68" si="81">CL5/Efficiency/CM5*DY5/Vinripple1</f>
        <v>1.801728E-6</v>
      </c>
      <c r="EG5" s="5"/>
      <c r="EH5" s="173">
        <f>DN5*SQRT(EA5/3)</f>
        <v>0.61584028713560091</v>
      </c>
      <c r="EI5" s="173">
        <f t="shared" ref="EI5:EI68" si="82">DN5*Nps*SQRT((1-EA5)/3)</f>
        <v>0.3836665218650176</v>
      </c>
      <c r="EJ5" s="173"/>
      <c r="EK5" s="528">
        <f t="shared" ref="EK5:EK68" si="83">Rdson*EH5^2</f>
        <v>1.5170370370370374E-2</v>
      </c>
      <c r="EL5" s="528">
        <f t="shared" ref="EL5:EL68" si="84">0.5*CO5*DN5*DR5*1000*Trise</f>
        <v>9.2510000000000009E-2</v>
      </c>
      <c r="EM5" s="528">
        <f t="shared" ref="EM5:EM68" si="85">Qg*Vdd*DR5*1000</f>
        <v>2.3999999999999998E-3</v>
      </c>
      <c r="EN5" s="528">
        <f t="shared" ref="EN5:EN68" si="86">0.5*(Coss+Csw)*CO5^2*DR5*1000</f>
        <v>1.0609215E-3</v>
      </c>
      <c r="EO5">
        <f t="shared" ref="EO5:EO68" si="87">CM5*IQ</f>
        <v>5.6249999999999998E-3</v>
      </c>
      <c r="EP5" s="460">
        <f>(EO5+EM5)*1000</f>
        <v>8.0249999999999986</v>
      </c>
      <c r="EQ5" s="528">
        <f t="shared" ref="EQ5:EQ68" si="88">(EL5+EM5+EN5+EO5+EK5*(1+RdsonTC*(Ta-25)))/(1-EK5*RdsonTC*ThetaJA)</f>
        <v>0.12129951354093844</v>
      </c>
      <c r="ER5" s="460">
        <f>EQ5*1000</f>
        <v>121.29951354093845</v>
      </c>
      <c r="ES5" s="528">
        <f>Vfwd2*CJ5*(1+Diode_TC/1000*(Ta-25))</f>
        <v>8.679999999999999E-10</v>
      </c>
      <c r="ET5" s="528"/>
      <c r="EV5" s="460">
        <f>SUM(ES5:EU5)*1000</f>
        <v>8.6799999999999988E-7</v>
      </c>
      <c r="EW5" s="528">
        <f t="shared" ref="EW5:EW68" si="89">Rdcr_pri*EH5^2</f>
        <v>1.137777777777778E-2</v>
      </c>
      <c r="EX5" s="528">
        <f t="shared" ref="EX5:EX68" si="90">Rdcr_sec*EI5^2</f>
        <v>4.4160000000000007E-3</v>
      </c>
      <c r="EY5" s="528">
        <f t="shared" ref="EY5:EY68" si="91">DN5^2.5*DR5^2.5*k_core</f>
        <v>1.6190861620062107E-2</v>
      </c>
      <c r="EZ5" s="528">
        <f t="shared" ref="EZ5:EZ68" si="92">(EY5+(EW5+EX5)*(1+Ltc*(Ta-25)))/(1-(EW5+EX5)*Ltc*ThetaCa)</f>
        <v>3.5820405226110651E-2</v>
      </c>
      <c r="FA5" s="528">
        <f t="shared" ref="FA5:FA68" si="93">0.5*Lleak*0.000000001*DN5^2*DR5*1000</f>
        <v>5.3333333333333337E-2</v>
      </c>
      <c r="FB5" s="460">
        <f>1000*(EZ5+FA5)</f>
        <v>89.153738559443994</v>
      </c>
      <c r="FC5" s="173">
        <f>SUM(EQ5,ES5:EU5,EZ5, FA5)</f>
        <v>0.21045325296838244</v>
      </c>
      <c r="FD5" s="5">
        <f>MIN(CL5,CS5)</f>
        <v>1.7000000000000001E-7</v>
      </c>
      <c r="FE5" s="173">
        <f>FD5/(FD5+FC5)</f>
        <v>8.0777968636575721E-7</v>
      </c>
      <c r="FF5" s="5">
        <f>FE5*100</f>
        <v>8.0777968636575723E-5</v>
      </c>
      <c r="FI5" s="562">
        <f t="shared" ref="FI5:FI68" si="94">IF(ABS(CJ5-Ioutmax_Vinnom)&lt;Iout/200, DR5, -50)</f>
        <v>-50</v>
      </c>
      <c r="FJ5">
        <f t="shared" ref="FJ5:FJ68" si="95">IF(ABS(CJ5-Ioutmax_Vinnom)&lt;Iout/200, CR5*FE5, -50)</f>
        <v>-50</v>
      </c>
      <c r="FL5">
        <f t="shared" ref="FL5:FL36" si="96">MIN(SQRT(2*L*DR5*1000*CJ5*(CX5+Vfwd1))/(Nps*(CX5+Vfwd1)), 1-EA5)</f>
        <v>5.3058922594245823E-6</v>
      </c>
    </row>
    <row r="6" spans="2:168">
      <c r="E6" s="170">
        <v>1</v>
      </c>
      <c r="F6" s="217">
        <f t="shared" ref="F6:F37" si="97">IF(PLOT_TYPE=1, E6/100*Iout_max, min_I*EXP(N6*rr/100))</f>
        <v>6.0000000000000001E-3</v>
      </c>
      <c r="G6" s="217"/>
      <c r="H6" s="217">
        <f t="shared" si="0"/>
        <v>1.02</v>
      </c>
      <c r="I6" s="541">
        <f t="shared" si="1"/>
        <v>12.034018097703177</v>
      </c>
      <c r="J6" s="172">
        <f t="shared" si="2"/>
        <v>8.5254992663238891</v>
      </c>
      <c r="K6" s="172">
        <f t="shared" si="3"/>
        <v>21.025499266323891</v>
      </c>
      <c r="L6" s="443"/>
      <c r="M6" s="217">
        <f t="shared" si="4"/>
        <v>0.41467411636231066</v>
      </c>
      <c r="N6" s="172">
        <f t="shared" si="5"/>
        <v>168.21118413129474</v>
      </c>
      <c r="O6" s="172">
        <f t="shared" ref="O6:O69" si="98">T6*F6</f>
        <v>1.02</v>
      </c>
      <c r="P6" s="217">
        <f t="shared" si="6"/>
        <v>0.98947755371349844</v>
      </c>
      <c r="Q6" s="217">
        <f t="shared" si="7"/>
        <v>170</v>
      </c>
      <c r="R6" s="217">
        <f t="shared" si="8"/>
        <v>0.97846976881433745</v>
      </c>
      <c r="S6" s="172">
        <f t="shared" si="9"/>
        <v>66614.977542886714</v>
      </c>
      <c r="T6" s="172">
        <f t="shared" si="10"/>
        <v>170</v>
      </c>
      <c r="U6" s="217">
        <f t="shared" ref="U6:U36" si="99">MIN(2*(Vout+Vfwd1+F6/FL6*Rdcr_sec)*F6/(I6*M6), Isw_max)</f>
        <v>0.41002799758050257</v>
      </c>
      <c r="V6" s="217">
        <f t="shared" si="11"/>
        <v>1.7036204958789318E-2</v>
      </c>
      <c r="W6" s="217">
        <f t="shared" si="12"/>
        <v>2.404715458718833E-2</v>
      </c>
      <c r="X6" s="197">
        <f t="shared" si="13"/>
        <v>350</v>
      </c>
      <c r="Y6" s="443">
        <f t="shared" si="14"/>
        <v>350</v>
      </c>
      <c r="AA6" s="217">
        <f t="shared" si="15"/>
        <v>28.515403254805641</v>
      </c>
      <c r="AB6" s="173">
        <f t="shared" si="16"/>
        <v>1.6723597272152015</v>
      </c>
      <c r="AC6" s="173">
        <f t="shared" si="17"/>
        <v>0.41727010507558454</v>
      </c>
      <c r="AD6" s="173"/>
      <c r="AE6" s="173">
        <f t="shared" si="18"/>
        <v>0.78196788931767369</v>
      </c>
      <c r="AF6" s="545">
        <f t="shared" ref="AF6:AF36" si="100">MAX(12, F6/(0.5*AE6/1000000*Isw_min*Nps)/1000)</f>
        <v>23.018848019074497</v>
      </c>
      <c r="AG6" s="528">
        <f t="shared" si="19"/>
        <v>9.1229587087061942E-2</v>
      </c>
      <c r="AI6" s="173">
        <f t="shared" si="20"/>
        <v>3.4193732290479648</v>
      </c>
      <c r="AJ6" s="173">
        <f t="shared" si="21"/>
        <v>13.333333333333334</v>
      </c>
      <c r="AK6" s="173">
        <f t="shared" si="22"/>
        <v>1.0131536274394712</v>
      </c>
      <c r="AM6" s="545">
        <f t="shared" si="23"/>
        <v>6</v>
      </c>
      <c r="AN6" s="460">
        <f t="shared" si="24"/>
        <v>23.018848019074497</v>
      </c>
      <c r="AP6">
        <f t="shared" si="25"/>
        <v>6</v>
      </c>
      <c r="AQ6" s="460">
        <f t="shared" si="26"/>
        <v>23.018848019074497</v>
      </c>
      <c r="AR6" s="460"/>
      <c r="AS6" s="5">
        <f t="shared" ref="AS6:AS69" si="101">1/AN6*1000</f>
        <v>43.442660517648541</v>
      </c>
      <c r="AT6" s="5">
        <f t="shared" si="27"/>
        <v>0.55398509562978582</v>
      </c>
      <c r="AU6" s="5">
        <f t="shared" ref="AU6:AU69" si="102">AS6-AT6</f>
        <v>42.888675422018757</v>
      </c>
      <c r="AV6" s="5">
        <f t="shared" si="28"/>
        <v>0.78196788931767369</v>
      </c>
      <c r="AW6" s="173">
        <f t="shared" ref="AW6:AW69" si="103">AT6/AS6</f>
        <v>1.2752098721134491E-2</v>
      </c>
      <c r="AX6" s="173">
        <f t="shared" si="29"/>
        <v>1.0230599119588666</v>
      </c>
      <c r="AY6" s="173">
        <f t="shared" si="30"/>
        <v>0.32908263375962188</v>
      </c>
      <c r="AZ6" s="173">
        <f t="shared" ref="AZ6:AZ69" si="104">AX6/AY6</f>
        <v>3.108823763414267</v>
      </c>
      <c r="BA6" s="460">
        <f t="shared" si="31"/>
        <v>1.9552415139874797E-3</v>
      </c>
      <c r="BB6" s="5">
        <f t="shared" si="32"/>
        <v>5.816371366608946</v>
      </c>
      <c r="BC6" s="5"/>
      <c r="BD6" s="173">
        <f t="shared" ref="BD6:BD69" si="105">AJ6*SQRT(AW6/3)</f>
        <v>0.86929852422247755</v>
      </c>
      <c r="BE6" s="173">
        <f t="shared" si="33"/>
        <v>0.38243816276309267</v>
      </c>
      <c r="BF6" s="173"/>
      <c r="BG6" s="528">
        <f t="shared" si="34"/>
        <v>3.0227196968615099E-2</v>
      </c>
      <c r="BH6" s="528">
        <f t="shared" si="35"/>
        <v>0.14519483164100161</v>
      </c>
      <c r="BI6" s="528">
        <f t="shared" si="36"/>
        <v>1.1080369345992857E-2</v>
      </c>
      <c r="BJ6" s="528">
        <f t="shared" si="37"/>
        <v>2.0351958840946001E-3</v>
      </c>
      <c r="BK6">
        <f t="shared" si="38"/>
        <v>5.4153081439664297E-3</v>
      </c>
      <c r="BL6" s="460">
        <f t="shared" ref="BL6:BL69" si="106">(BK6+BI6)*1000</f>
        <v>16.495677489959288</v>
      </c>
      <c r="BM6" s="528">
        <f t="shared" si="39"/>
        <v>0.18696132051381578</v>
      </c>
      <c r="BN6" s="460">
        <f t="shared" ref="BN6:BN69" si="107">BM6*1000</f>
        <v>186.96132051381579</v>
      </c>
      <c r="BO6" s="528">
        <f t="shared" ref="BO6:BO36" si="108">Vfwd2*F6*(1+Diode_TC/1000*(Ta-25))</f>
        <v>5.208E-3</v>
      </c>
      <c r="BP6" s="528"/>
      <c r="BR6" s="460">
        <f t="shared" ref="BR6:BR69" si="109">SUM(BO6:BQ6)*1000</f>
        <v>5.2080000000000002</v>
      </c>
      <c r="BS6" s="528">
        <f t="shared" si="40"/>
        <v>2.2670397726461324E-2</v>
      </c>
      <c r="BT6" s="528">
        <f t="shared" si="41"/>
        <v>4.3877684501282934E-3</v>
      </c>
      <c r="BU6" s="528">
        <f t="shared" si="42"/>
        <v>1.5299999999999999E-2</v>
      </c>
      <c r="BV6" s="528">
        <f t="shared" si="43"/>
        <v>4.8958103378724097E-2</v>
      </c>
      <c r="BW6" s="528">
        <f t="shared" si="44"/>
        <v>0.10230599119588667</v>
      </c>
      <c r="BX6" s="460">
        <f t="shared" ref="BX6:BX69" si="110">1000*(BV6+BW6)</f>
        <v>151.26409457461077</v>
      </c>
      <c r="BY6" s="173">
        <f t="shared" si="45"/>
        <v>0.3599290925783859</v>
      </c>
      <c r="BZ6" s="5">
        <f t="shared" ref="BZ6:BZ69" si="111">MIN(H6,O6)</f>
        <v>1.02</v>
      </c>
      <c r="CA6" s="173">
        <f t="shared" ref="CA6:CA69" si="112">BZ6/(BZ6+BY6)</f>
        <v>0.73916841487422991</v>
      </c>
      <c r="CB6" s="5">
        <f t="shared" ref="CB6:CB69" si="113">CA6*100</f>
        <v>73.916841487422985</v>
      </c>
      <c r="CE6" s="562">
        <f t="shared" si="46"/>
        <v>-50</v>
      </c>
      <c r="CF6">
        <f t="shared" si="47"/>
        <v>-50</v>
      </c>
      <c r="CG6" s="173">
        <f t="shared" si="48"/>
        <v>1.8026451153138005E-2</v>
      </c>
      <c r="CI6" s="170">
        <v>1</v>
      </c>
      <c r="CJ6" s="217">
        <f t="shared" ref="CJ6:CJ69" si="114">IF(PLOT_TYPE=1, CI6/100*Iout_max, min_I*EXP(CR6*rr/100))</f>
        <v>6.0000000000000001E-3</v>
      </c>
      <c r="CK6" s="217"/>
      <c r="CL6" s="217">
        <f t="shared" si="49"/>
        <v>1.02</v>
      </c>
      <c r="CM6" s="541">
        <f t="shared" si="50"/>
        <v>12.5</v>
      </c>
      <c r="CN6" s="172">
        <f t="shared" si="51"/>
        <v>8.5250000000000004</v>
      </c>
      <c r="CO6" s="443">
        <f t="shared" si="52"/>
        <v>21.024999999999999</v>
      </c>
      <c r="CP6" s="443"/>
      <c r="CQ6" s="217">
        <f t="shared" si="53"/>
        <v>0.40546967895362668</v>
      </c>
      <c r="CR6" s="172">
        <f t="shared" si="54"/>
        <v>170.84633868410626</v>
      </c>
      <c r="CS6" s="172">
        <f t="shared" ref="CS6:CS69" si="115">CX6*CJ6</f>
        <v>1.02</v>
      </c>
      <c r="CT6" s="217">
        <f t="shared" si="55"/>
        <v>1.0049784628476839</v>
      </c>
      <c r="CU6" s="217">
        <f t="shared" si="56"/>
        <v>170</v>
      </c>
      <c r="CV6" s="217">
        <f t="shared" si="57"/>
        <v>0.99379823272947732</v>
      </c>
      <c r="CW6" s="172">
        <f t="shared" si="58"/>
        <v>69194.44625093475</v>
      </c>
      <c r="CX6" s="172">
        <f t="shared" si="59"/>
        <v>170</v>
      </c>
      <c r="CY6" s="217">
        <f t="shared" si="60"/>
        <v>0.40249618768328438</v>
      </c>
      <c r="CZ6" s="217">
        <f t="shared" si="61"/>
        <v>1.6099847507331375E-2</v>
      </c>
      <c r="DA6" s="217">
        <f t="shared" si="62"/>
        <v>2.3606814526878846E-2</v>
      </c>
      <c r="DB6" s="197">
        <f t="shared" si="63"/>
        <v>350</v>
      </c>
      <c r="DC6" s="443">
        <f t="shared" ref="DC6:DC69" si="116">MIN(1/(CZ6+DA6)*1000, 350)</f>
        <v>350</v>
      </c>
      <c r="DE6" s="217">
        <f t="shared" si="64"/>
        <v>28.962119925259049</v>
      </c>
      <c r="DF6" s="173">
        <f t="shared" si="65"/>
        <v>1.6986580601324954</v>
      </c>
      <c r="DG6" s="173">
        <f t="shared" si="66"/>
        <v>0.4304714614336958</v>
      </c>
      <c r="DH6" s="173"/>
      <c r="DI6" s="173">
        <f t="shared" si="67"/>
        <v>0.78201368523949166</v>
      </c>
      <c r="DJ6" s="545">
        <f t="shared" ref="DJ6:DJ69" si="117">MAX(12, CJ6/(0.5*DI6/1000000*Isw_min*Nps)/1000)</f>
        <v>23.017499999999998</v>
      </c>
      <c r="DK6" s="528">
        <f t="shared" si="68"/>
        <v>9.1234929944607357E-2</v>
      </c>
      <c r="DM6" s="173">
        <f t="shared" si="69"/>
        <v>3.4192731057095411</v>
      </c>
      <c r="DN6" s="173">
        <f t="shared" si="70"/>
        <v>13.333333333333334</v>
      </c>
      <c r="DO6" s="173">
        <f t="shared" si="71"/>
        <v>1.0131528571428572</v>
      </c>
      <c r="DQ6" s="545">
        <f t="shared" si="72"/>
        <v>6</v>
      </c>
      <c r="DR6" s="460">
        <f t="shared" si="73"/>
        <v>23.017499999999998</v>
      </c>
      <c r="DT6">
        <f t="shared" si="74"/>
        <v>6</v>
      </c>
      <c r="DU6" s="460">
        <f t="shared" si="75"/>
        <v>23.017499999999998</v>
      </c>
      <c r="DV6" s="460"/>
      <c r="DW6" s="5">
        <f t="shared" ref="DW6:DW69" si="118">1/DR6*1000</f>
        <v>43.445204735527319</v>
      </c>
      <c r="DX6" s="5">
        <f t="shared" si="76"/>
        <v>0.53333333333333333</v>
      </c>
      <c r="DY6" s="5">
        <f t="shared" ref="DY6:DY69" si="119">DW6-DX6</f>
        <v>42.911871402193988</v>
      </c>
      <c r="DZ6" s="5">
        <f t="shared" si="77"/>
        <v>0.78201368523949166</v>
      </c>
      <c r="EA6" s="173">
        <f t="shared" ref="EA6:EA69" si="120">DX6/DW6</f>
        <v>1.2275999999999999E-2</v>
      </c>
      <c r="EB6" s="173">
        <f t="shared" si="78"/>
        <v>1.0230000000000001</v>
      </c>
      <c r="EC6" s="173">
        <f t="shared" si="79"/>
        <v>0.32924133333333339</v>
      </c>
      <c r="ED6" s="173">
        <f t="shared" ref="ED6:ED69" si="121">EB6/EC6</f>
        <v>3.107143291040817</v>
      </c>
      <c r="EE6" s="460">
        <f t="shared" si="80"/>
        <v>1.8823529411764706E-3</v>
      </c>
      <c r="EF6" s="5">
        <f t="shared" si="81"/>
        <v>5.6025739302704469</v>
      </c>
      <c r="EG6" s="5"/>
      <c r="EH6" s="173">
        <f t="shared" ref="EH6:EH69" si="122">DN6*SQRT(EA6/3)</f>
        <v>0.85291656489170531</v>
      </c>
      <c r="EI6" s="173">
        <f t="shared" si="82"/>
        <v>0.3825303667442384</v>
      </c>
      <c r="EJ6" s="173"/>
      <c r="EK6" s="528">
        <f t="shared" si="83"/>
        <v>2.9098666666666665E-2</v>
      </c>
      <c r="EL6" s="528">
        <f t="shared" si="84"/>
        <v>0.17744574375</v>
      </c>
      <c r="EM6" s="528">
        <f t="shared" si="85"/>
        <v>4.6034999999999991E-3</v>
      </c>
      <c r="EN6" s="528">
        <f t="shared" si="86"/>
        <v>2.0349800521874996E-3</v>
      </c>
      <c r="EO6">
        <f t="shared" si="87"/>
        <v>5.6249999999999998E-3</v>
      </c>
      <c r="EP6" s="460">
        <f t="shared" ref="EP6:EP69" si="123">(EO6+EM6)*1000</f>
        <v>10.228499999999999</v>
      </c>
      <c r="EQ6" s="528">
        <f t="shared" si="88"/>
        <v>0.22824256376630037</v>
      </c>
      <c r="ER6" s="460">
        <f t="shared" ref="ER6:ER69" si="124">EQ6*1000</f>
        <v>228.24256376630038</v>
      </c>
      <c r="ES6" s="528">
        <f t="shared" ref="ES6:ES69" si="125">Vfwd2*CJ6*(1+Diode_TC/1000*(Ta-25))</f>
        <v>5.208E-3</v>
      </c>
      <c r="ET6" s="528"/>
      <c r="EV6" s="460">
        <f t="shared" ref="EV6:EV69" si="126">SUM(ES6:EU6)*1000</f>
        <v>5.2080000000000002</v>
      </c>
      <c r="EW6" s="528">
        <f t="shared" si="89"/>
        <v>2.1823999999999996E-2</v>
      </c>
      <c r="EX6" s="528">
        <f t="shared" si="90"/>
        <v>4.3898844444444458E-3</v>
      </c>
      <c r="EY6" s="528">
        <f t="shared" si="91"/>
        <v>8.2501572315448427E-2</v>
      </c>
      <c r="EZ6" s="528">
        <f t="shared" si="92"/>
        <v>0.11524847784901811</v>
      </c>
      <c r="FA6" s="528">
        <f t="shared" si="93"/>
        <v>0.1023</v>
      </c>
      <c r="FB6" s="460">
        <f t="shared" ref="FB6:FB69" si="127">1000*(EZ6+FA6)</f>
        <v>217.5484778490181</v>
      </c>
      <c r="FC6" s="173">
        <f t="shared" ref="FC6:FC69" si="128">SUM(EQ6,ES6:EU6,EZ6, FA6)</f>
        <v>0.45099904161531845</v>
      </c>
      <c r="FD6" s="5">
        <f t="shared" ref="FD6:FD69" si="129">MIN(CL6,CS6)</f>
        <v>1.02</v>
      </c>
      <c r="FE6" s="173">
        <f t="shared" ref="FE6:FE69" si="130">FD6/(FD6+FC6)</f>
        <v>0.69340629813050592</v>
      </c>
      <c r="FF6" s="5">
        <f t="shared" ref="FF6:FF69" si="131">FE6*100</f>
        <v>69.340629813050597</v>
      </c>
      <c r="FI6" s="562">
        <f t="shared" si="94"/>
        <v>-50</v>
      </c>
      <c r="FJ6">
        <f t="shared" si="95"/>
        <v>-50</v>
      </c>
      <c r="FL6">
        <f t="shared" si="96"/>
        <v>1.7999999999999999E-2</v>
      </c>
    </row>
    <row r="7" spans="2:168">
      <c r="E7" s="170">
        <v>2</v>
      </c>
      <c r="F7" s="217">
        <f t="shared" si="97"/>
        <v>1.2E-2</v>
      </c>
      <c r="G7" s="217"/>
      <c r="H7" s="217">
        <f t="shared" si="0"/>
        <v>2.04</v>
      </c>
      <c r="I7" s="541">
        <f t="shared" si="1"/>
        <v>12.034018097703177</v>
      </c>
      <c r="J7" s="172">
        <f t="shared" si="2"/>
        <v>8.5254992663238891</v>
      </c>
      <c r="K7" s="172">
        <f t="shared" si="3"/>
        <v>21.025499266323891</v>
      </c>
      <c r="L7" s="443"/>
      <c r="M7" s="217">
        <f t="shared" si="4"/>
        <v>0.41467411636231066</v>
      </c>
      <c r="N7" s="172">
        <f t="shared" si="5"/>
        <v>168.21118413129474</v>
      </c>
      <c r="O7" s="172">
        <f t="shared" si="98"/>
        <v>2.04</v>
      </c>
      <c r="P7" s="217">
        <f t="shared" si="6"/>
        <v>0.98947755371349844</v>
      </c>
      <c r="Q7" s="217">
        <f t="shared" si="7"/>
        <v>170</v>
      </c>
      <c r="R7" s="217">
        <f t="shared" si="8"/>
        <v>0.97846976881433745</v>
      </c>
      <c r="S7" s="172">
        <f t="shared" si="9"/>
        <v>33187.151313274386</v>
      </c>
      <c r="T7" s="172">
        <f t="shared" si="10"/>
        <v>170</v>
      </c>
      <c r="U7" s="217">
        <f t="shared" si="99"/>
        <v>0.82005599516100514</v>
      </c>
      <c r="V7" s="217">
        <f t="shared" si="11"/>
        <v>3.4072409917578636E-2</v>
      </c>
      <c r="W7" s="217">
        <f t="shared" si="12"/>
        <v>4.8094309174376661E-2</v>
      </c>
      <c r="X7" s="197">
        <f t="shared" si="13"/>
        <v>350</v>
      </c>
      <c r="Y7" s="443">
        <f t="shared" si="14"/>
        <v>350</v>
      </c>
      <c r="AA7" s="217">
        <f t="shared" si="15"/>
        <v>28.515403254805641</v>
      </c>
      <c r="AB7" s="173">
        <f t="shared" si="16"/>
        <v>1.6723597272152015</v>
      </c>
      <c r="AC7" s="173">
        <f t="shared" si="17"/>
        <v>0.41727010507558454</v>
      </c>
      <c r="AD7" s="173"/>
      <c r="AE7" s="173">
        <f t="shared" si="18"/>
        <v>0.78196788931767369</v>
      </c>
      <c r="AF7" s="545">
        <f t="shared" si="100"/>
        <v>46.037696038148994</v>
      </c>
      <c r="AG7" s="528">
        <f t="shared" si="19"/>
        <v>9.1229587087061942E-2</v>
      </c>
      <c r="AI7" s="173">
        <f t="shared" si="20"/>
        <v>4.8357239953351154</v>
      </c>
      <c r="AJ7" s="173">
        <f t="shared" si="21"/>
        <v>13.333333333333334</v>
      </c>
      <c r="AK7" s="173">
        <f t="shared" si="22"/>
        <v>1.0263072548789423</v>
      </c>
      <c r="AM7" s="545">
        <f t="shared" si="23"/>
        <v>12</v>
      </c>
      <c r="AN7" s="460">
        <f t="shared" si="24"/>
        <v>46.037696038148994</v>
      </c>
      <c r="AP7">
        <f t="shared" si="25"/>
        <v>12</v>
      </c>
      <c r="AQ7" s="460">
        <f t="shared" si="26"/>
        <v>46.037696038148994</v>
      </c>
      <c r="AR7" s="460"/>
      <c r="AS7" s="5">
        <f t="shared" si="101"/>
        <v>21.72133025882427</v>
      </c>
      <c r="AT7" s="5">
        <f t="shared" si="27"/>
        <v>0.55398509562978582</v>
      </c>
      <c r="AU7" s="5">
        <f t="shared" si="102"/>
        <v>21.167345163194483</v>
      </c>
      <c r="AV7" s="5">
        <f t="shared" si="28"/>
        <v>0.78196788931767369</v>
      </c>
      <c r="AW7" s="173">
        <f t="shared" si="103"/>
        <v>2.5504197442268981E-2</v>
      </c>
      <c r="AX7" s="173">
        <f t="shared" si="29"/>
        <v>2.0461198239177332</v>
      </c>
      <c r="AY7" s="173">
        <f t="shared" si="30"/>
        <v>0.32483193418591039</v>
      </c>
      <c r="AZ7" s="173">
        <f t="shared" si="104"/>
        <v>6.2990106839270359</v>
      </c>
      <c r="BA7" s="460">
        <f t="shared" si="31"/>
        <v>3.9104830279749593E-3</v>
      </c>
      <c r="BB7" s="5">
        <f t="shared" si="32"/>
        <v>5.7412423723920947</v>
      </c>
      <c r="BC7" s="5"/>
      <c r="BD7" s="173">
        <f t="shared" si="105"/>
        <v>1.2293737627063441</v>
      </c>
      <c r="BE7" s="173">
        <f t="shared" si="33"/>
        <v>0.37996019334539677</v>
      </c>
      <c r="BF7" s="173"/>
      <c r="BG7" s="528">
        <f t="shared" si="34"/>
        <v>6.0454393937230178E-2</v>
      </c>
      <c r="BH7" s="528">
        <f t="shared" si="35"/>
        <v>0.29038966328200322</v>
      </c>
      <c r="BI7" s="528">
        <f t="shared" si="36"/>
        <v>2.2160738691985715E-2</v>
      </c>
      <c r="BJ7" s="528">
        <f t="shared" si="37"/>
        <v>4.0703917681892002E-3</v>
      </c>
      <c r="BK7">
        <f t="shared" si="38"/>
        <v>5.4153081439664297E-3</v>
      </c>
      <c r="BL7" s="460">
        <f t="shared" si="106"/>
        <v>27.576046835952145</v>
      </c>
      <c r="BM7" s="528">
        <f t="shared" si="39"/>
        <v>0.37664728336929548</v>
      </c>
      <c r="BN7" s="460">
        <f t="shared" si="107"/>
        <v>376.64728336929551</v>
      </c>
      <c r="BO7" s="528">
        <f t="shared" si="108"/>
        <v>1.0416E-2</v>
      </c>
      <c r="BP7" s="528"/>
      <c r="BR7" s="460">
        <f t="shared" si="109"/>
        <v>10.416</v>
      </c>
      <c r="BS7" s="528">
        <f t="shared" si="40"/>
        <v>4.5340795452922633E-2</v>
      </c>
      <c r="BT7" s="528">
        <f t="shared" si="41"/>
        <v>4.3310924558121388E-3</v>
      </c>
      <c r="BU7" s="528">
        <f t="shared" si="42"/>
        <v>3.0599999999999999E-2</v>
      </c>
      <c r="BV7" s="528">
        <f t="shared" si="43"/>
        <v>9.2560955198137299E-2</v>
      </c>
      <c r="BW7" s="528">
        <f t="shared" si="44"/>
        <v>0.20461198239177333</v>
      </c>
      <c r="BX7" s="460">
        <f t="shared" si="110"/>
        <v>297.17293758991065</v>
      </c>
      <c r="BY7" s="173">
        <f t="shared" si="45"/>
        <v>0.71181226779515827</v>
      </c>
      <c r="BZ7" s="5">
        <f t="shared" si="111"/>
        <v>2.04</v>
      </c>
      <c r="CA7" s="173">
        <f t="shared" si="112"/>
        <v>0.74132964078778329</v>
      </c>
      <c r="CB7" s="5">
        <f t="shared" si="113"/>
        <v>74.132964078778329</v>
      </c>
      <c r="CE7" s="562">
        <f t="shared" si="46"/>
        <v>-50</v>
      </c>
      <c r="CF7">
        <f t="shared" si="47"/>
        <v>-50</v>
      </c>
      <c r="CG7" s="173">
        <f t="shared" si="48"/>
        <v>3.6052902306276009E-2</v>
      </c>
      <c r="CI7" s="170">
        <v>2</v>
      </c>
      <c r="CJ7" s="217">
        <f t="shared" si="114"/>
        <v>1.2E-2</v>
      </c>
      <c r="CK7" s="217"/>
      <c r="CL7" s="217">
        <f t="shared" si="49"/>
        <v>2.04</v>
      </c>
      <c r="CM7" s="541">
        <f t="shared" si="50"/>
        <v>12.5</v>
      </c>
      <c r="CN7" s="172">
        <f t="shared" si="51"/>
        <v>8.5250000000000004</v>
      </c>
      <c r="CO7" s="443">
        <f t="shared" si="52"/>
        <v>21.024999999999999</v>
      </c>
      <c r="CP7" s="443"/>
      <c r="CQ7" s="217">
        <f t="shared" si="53"/>
        <v>0.40546967895362668</v>
      </c>
      <c r="CR7" s="172">
        <f t="shared" si="54"/>
        <v>170.84633868410626</v>
      </c>
      <c r="CS7" s="172">
        <f t="shared" si="115"/>
        <v>2.04</v>
      </c>
      <c r="CT7" s="217">
        <f t="shared" si="55"/>
        <v>1.0049784628476839</v>
      </c>
      <c r="CU7" s="217">
        <f t="shared" si="56"/>
        <v>170</v>
      </c>
      <c r="CV7" s="217">
        <f t="shared" si="57"/>
        <v>0.99379823272947732</v>
      </c>
      <c r="CW7" s="172">
        <f t="shared" si="58"/>
        <v>34472.225848277223</v>
      </c>
      <c r="CX7" s="172">
        <f t="shared" si="59"/>
        <v>170</v>
      </c>
      <c r="CY7" s="217">
        <f t="shared" si="60"/>
        <v>0.80499237536656876</v>
      </c>
      <c r="CZ7" s="217">
        <f t="shared" si="61"/>
        <v>3.2199695014662751E-2</v>
      </c>
      <c r="DA7" s="217">
        <f t="shared" si="62"/>
        <v>4.7213629053757693E-2</v>
      </c>
      <c r="DB7" s="197">
        <f t="shared" si="63"/>
        <v>350</v>
      </c>
      <c r="DC7" s="443">
        <f t="shared" si="116"/>
        <v>350</v>
      </c>
      <c r="DE7" s="217">
        <f t="shared" si="64"/>
        <v>28.962119925259049</v>
      </c>
      <c r="DF7" s="173">
        <f t="shared" si="65"/>
        <v>1.6986580601324954</v>
      </c>
      <c r="DG7" s="173">
        <f t="shared" si="66"/>
        <v>0.4304714614336958</v>
      </c>
      <c r="DH7" s="173"/>
      <c r="DI7" s="173">
        <f t="shared" si="67"/>
        <v>0.78201368523949166</v>
      </c>
      <c r="DJ7" s="545">
        <f t="shared" si="117"/>
        <v>46.034999999999997</v>
      </c>
      <c r="DK7" s="528">
        <f t="shared" si="68"/>
        <v>9.1234929944607357E-2</v>
      </c>
      <c r="DM7" s="173">
        <f t="shared" si="69"/>
        <v>4.8355823995520071</v>
      </c>
      <c r="DN7" s="173">
        <f t="shared" si="70"/>
        <v>13.333333333333334</v>
      </c>
      <c r="DO7" s="173">
        <f t="shared" si="71"/>
        <v>1.0263057142857144</v>
      </c>
      <c r="DQ7" s="545">
        <f t="shared" si="72"/>
        <v>12</v>
      </c>
      <c r="DR7" s="460">
        <f t="shared" si="73"/>
        <v>46.034999999999997</v>
      </c>
      <c r="DT7">
        <f t="shared" si="74"/>
        <v>12</v>
      </c>
      <c r="DU7" s="460">
        <f t="shared" si="75"/>
        <v>46.034999999999997</v>
      </c>
      <c r="DV7" s="460"/>
      <c r="DW7" s="5">
        <f t="shared" si="118"/>
        <v>21.72260236776366</v>
      </c>
      <c r="DX7" s="5">
        <f t="shared" si="76"/>
        <v>0.53333333333333333</v>
      </c>
      <c r="DY7" s="5">
        <f t="shared" si="119"/>
        <v>21.189269034430325</v>
      </c>
      <c r="DZ7" s="5">
        <f t="shared" si="77"/>
        <v>0.78201368523949166</v>
      </c>
      <c r="EA7" s="173">
        <f t="shared" si="120"/>
        <v>2.4551999999999997E-2</v>
      </c>
      <c r="EB7" s="173">
        <f t="shared" si="78"/>
        <v>2.0460000000000003</v>
      </c>
      <c r="EC7" s="173">
        <f t="shared" si="79"/>
        <v>0.32514933333333335</v>
      </c>
      <c r="ED7" s="173">
        <f t="shared" si="121"/>
        <v>6.2924932953883763</v>
      </c>
      <c r="EE7" s="460">
        <f t="shared" si="80"/>
        <v>3.7647058823529413E-3</v>
      </c>
      <c r="EF7" s="5">
        <f t="shared" si="81"/>
        <v>5.5329419302704466</v>
      </c>
      <c r="EG7" s="5"/>
      <c r="EH7" s="173">
        <f t="shared" si="122"/>
        <v>1.2062061736425218</v>
      </c>
      <c r="EI7" s="173">
        <f t="shared" si="82"/>
        <v>0.38014578100357083</v>
      </c>
      <c r="EJ7" s="173"/>
      <c r="EK7" s="528">
        <f t="shared" si="83"/>
        <v>5.8197333333333337E-2</v>
      </c>
      <c r="EL7" s="528">
        <f t="shared" si="84"/>
        <v>0.35489148749999999</v>
      </c>
      <c r="EM7" s="528">
        <f t="shared" si="85"/>
        <v>9.2069999999999982E-3</v>
      </c>
      <c r="EN7" s="528">
        <f t="shared" si="86"/>
        <v>4.0699601043749992E-3</v>
      </c>
      <c r="EO7">
        <f t="shared" si="87"/>
        <v>5.6249999999999998E-3</v>
      </c>
      <c r="EP7" s="460">
        <f t="shared" si="123"/>
        <v>14.831999999999997</v>
      </c>
      <c r="EQ7" s="528">
        <f t="shared" si="88"/>
        <v>0.45398157579923798</v>
      </c>
      <c r="ER7" s="460">
        <f t="shared" si="124"/>
        <v>453.98157579923799</v>
      </c>
      <c r="ES7" s="528">
        <f t="shared" si="125"/>
        <v>1.0416E-2</v>
      </c>
      <c r="ET7" s="528"/>
      <c r="EV7" s="460">
        <f t="shared" si="126"/>
        <v>10.416</v>
      </c>
      <c r="EW7" s="528">
        <f t="shared" si="89"/>
        <v>4.3647999999999999E-2</v>
      </c>
      <c r="EX7" s="528">
        <f t="shared" si="90"/>
        <v>4.3353244444444454E-3</v>
      </c>
      <c r="EY7" s="528">
        <f t="shared" si="91"/>
        <v>0.46669936994244704</v>
      </c>
      <c r="EZ7" s="528">
        <f t="shared" si="92"/>
        <v>0.52822637686324958</v>
      </c>
      <c r="FA7" s="528">
        <f t="shared" si="93"/>
        <v>0.2046</v>
      </c>
      <c r="FB7" s="460">
        <f t="shared" si="127"/>
        <v>732.82637686324961</v>
      </c>
      <c r="FC7" s="173">
        <f t="shared" si="128"/>
        <v>1.1972239526624877</v>
      </c>
      <c r="FD7" s="5">
        <f t="shared" si="129"/>
        <v>2.04</v>
      </c>
      <c r="FE7" s="173">
        <f t="shared" si="130"/>
        <v>0.6301695618933566</v>
      </c>
      <c r="FF7" s="5">
        <f t="shared" si="131"/>
        <v>63.016956189335659</v>
      </c>
      <c r="FI7" s="562">
        <f t="shared" si="94"/>
        <v>-50</v>
      </c>
      <c r="FJ7">
        <f t="shared" si="95"/>
        <v>-50</v>
      </c>
      <c r="FL7">
        <f t="shared" si="96"/>
        <v>3.5999999999999997E-2</v>
      </c>
    </row>
    <row r="8" spans="2:168">
      <c r="E8" s="170">
        <v>3</v>
      </c>
      <c r="F8" s="217">
        <f t="shared" si="97"/>
        <v>1.7999999999999999E-2</v>
      </c>
      <c r="G8" s="217"/>
      <c r="H8" s="217">
        <f t="shared" si="0"/>
        <v>3.0599999999999996</v>
      </c>
      <c r="I8" s="541">
        <f t="shared" si="1"/>
        <v>12.034018097703177</v>
      </c>
      <c r="J8" s="172">
        <f t="shared" si="2"/>
        <v>8.5254992663238891</v>
      </c>
      <c r="K8" s="172">
        <f t="shared" si="3"/>
        <v>21.025499266323891</v>
      </c>
      <c r="L8" s="443"/>
      <c r="M8" s="217">
        <f t="shared" si="4"/>
        <v>0.41467411636231066</v>
      </c>
      <c r="N8" s="172">
        <f t="shared" si="5"/>
        <v>168.21118413129474</v>
      </c>
      <c r="O8" s="172">
        <f t="shared" si="98"/>
        <v>3.0599999999999996</v>
      </c>
      <c r="P8" s="217">
        <f t="shared" si="6"/>
        <v>0.98947755371349844</v>
      </c>
      <c r="Q8" s="217">
        <f t="shared" si="7"/>
        <v>170</v>
      </c>
      <c r="R8" s="217">
        <f t="shared" si="8"/>
        <v>0.97846976881433745</v>
      </c>
      <c r="S8" s="172">
        <f t="shared" si="9"/>
        <v>22044.543796327835</v>
      </c>
      <c r="T8" s="172">
        <f t="shared" si="10"/>
        <v>170</v>
      </c>
      <c r="U8" s="217">
        <f t="shared" si="99"/>
        <v>1.2300839927415077</v>
      </c>
      <c r="V8" s="217">
        <f t="shared" si="11"/>
        <v>5.1108614876367961E-2</v>
      </c>
      <c r="W8" s="217">
        <f t="shared" si="12"/>
        <v>7.2141463761565008E-2</v>
      </c>
      <c r="X8" s="197">
        <f t="shared" si="13"/>
        <v>350</v>
      </c>
      <c r="Y8" s="443">
        <f t="shared" si="14"/>
        <v>350</v>
      </c>
      <c r="AA8" s="217">
        <f t="shared" si="15"/>
        <v>28.515403254805641</v>
      </c>
      <c r="AB8" s="173">
        <f t="shared" si="16"/>
        <v>1.6723597272152015</v>
      </c>
      <c r="AC8" s="173">
        <f t="shared" si="17"/>
        <v>0.41727010507558454</v>
      </c>
      <c r="AD8" s="173"/>
      <c r="AE8" s="173">
        <f t="shared" si="18"/>
        <v>0.78196788931767369</v>
      </c>
      <c r="AF8" s="545">
        <f t="shared" si="100"/>
        <v>69.056544057223476</v>
      </c>
      <c r="AG8" s="528">
        <f t="shared" si="19"/>
        <v>9.1229587087061942E-2</v>
      </c>
      <c r="AI8" s="173">
        <f t="shared" si="20"/>
        <v>5.9225281627519273</v>
      </c>
      <c r="AJ8" s="173">
        <f t="shared" si="21"/>
        <v>13.333333333333334</v>
      </c>
      <c r="AK8" s="173">
        <f t="shared" si="22"/>
        <v>1.0394608823184135</v>
      </c>
      <c r="AM8" s="545">
        <f t="shared" si="23"/>
        <v>18</v>
      </c>
      <c r="AN8" s="460">
        <f t="shared" si="24"/>
        <v>69.056544057223476</v>
      </c>
      <c r="AP8">
        <f t="shared" si="25"/>
        <v>18</v>
      </c>
      <c r="AQ8" s="460">
        <f t="shared" si="26"/>
        <v>69.056544057223476</v>
      </c>
      <c r="AR8" s="460"/>
      <c r="AS8" s="5">
        <f t="shared" si="101"/>
        <v>14.480886839216184</v>
      </c>
      <c r="AT8" s="5">
        <f t="shared" si="27"/>
        <v>0.55398509562978582</v>
      </c>
      <c r="AU8" s="5">
        <f t="shared" si="102"/>
        <v>13.926901743586399</v>
      </c>
      <c r="AV8" s="5">
        <f t="shared" si="28"/>
        <v>0.78196788931767369</v>
      </c>
      <c r="AW8" s="173">
        <f t="shared" si="103"/>
        <v>3.825629616340346E-2</v>
      </c>
      <c r="AX8" s="173">
        <f t="shared" si="29"/>
        <v>3.0691797358765993</v>
      </c>
      <c r="AY8" s="173">
        <f t="shared" si="30"/>
        <v>0.3205812346121989</v>
      </c>
      <c r="AZ8" s="173">
        <f t="shared" si="104"/>
        <v>9.573797229863839</v>
      </c>
      <c r="BA8" s="460">
        <f t="shared" si="31"/>
        <v>5.8657245419624386E-3</v>
      </c>
      <c r="BB8" s="5">
        <f t="shared" si="32"/>
        <v>5.666113378175246</v>
      </c>
      <c r="BC8" s="5"/>
      <c r="BD8" s="173">
        <f t="shared" si="105"/>
        <v>1.505669210897975</v>
      </c>
      <c r="BE8" s="173">
        <f t="shared" si="33"/>
        <v>0.37746595702994573</v>
      </c>
      <c r="BF8" s="173"/>
      <c r="BG8" s="528">
        <f t="shared" si="34"/>
        <v>9.0681590905845225E-2</v>
      </c>
      <c r="BH8" s="528">
        <f t="shared" si="35"/>
        <v>0.43558449492300472</v>
      </c>
      <c r="BI8" s="528">
        <f t="shared" si="36"/>
        <v>3.3241108037978563E-2</v>
      </c>
      <c r="BJ8" s="528">
        <f t="shared" si="37"/>
        <v>6.105587652283799E-3</v>
      </c>
      <c r="BK8">
        <f t="shared" si="38"/>
        <v>5.4153081439664297E-3</v>
      </c>
      <c r="BL8" s="460">
        <f t="shared" si="106"/>
        <v>38.656416181944991</v>
      </c>
      <c r="BM8" s="528">
        <f t="shared" si="39"/>
        <v>0.5691178862704912</v>
      </c>
      <c r="BN8" s="460">
        <f t="shared" si="107"/>
        <v>569.11788627049123</v>
      </c>
      <c r="BO8" s="528">
        <f t="shared" si="108"/>
        <v>1.5623999999999997E-2</v>
      </c>
      <c r="BP8" s="528"/>
      <c r="BR8" s="460">
        <f t="shared" si="109"/>
        <v>15.623999999999997</v>
      </c>
      <c r="BS8" s="528">
        <f t="shared" si="40"/>
        <v>6.8011193179383922E-2</v>
      </c>
      <c r="BT8" s="528">
        <f t="shared" si="41"/>
        <v>4.2744164614959852E-3</v>
      </c>
      <c r="BU8" s="528">
        <f t="shared" si="42"/>
        <v>4.5899999999999989E-2</v>
      </c>
      <c r="BV8" s="528">
        <f t="shared" si="43"/>
        <v>0.13632248828858726</v>
      </c>
      <c r="BW8" s="528">
        <f t="shared" si="44"/>
        <v>0.30691797358765993</v>
      </c>
      <c r="BX8" s="460">
        <f t="shared" si="110"/>
        <v>443.2404618762472</v>
      </c>
      <c r="BY8" s="173">
        <f t="shared" si="45"/>
        <v>1.0666387643286834</v>
      </c>
      <c r="BZ8" s="5">
        <f t="shared" si="111"/>
        <v>3.0599999999999996</v>
      </c>
      <c r="CA8" s="173">
        <f t="shared" si="112"/>
        <v>0.74152359214262287</v>
      </c>
      <c r="CB8" s="5">
        <f t="shared" si="113"/>
        <v>74.15235921426229</v>
      </c>
      <c r="CE8" s="562">
        <f t="shared" si="46"/>
        <v>-50</v>
      </c>
      <c r="CF8">
        <f t="shared" si="47"/>
        <v>-50</v>
      </c>
      <c r="CG8" s="173">
        <f t="shared" si="48"/>
        <v>5.4079353459414017E-2</v>
      </c>
      <c r="CI8" s="170">
        <v>3</v>
      </c>
      <c r="CJ8" s="217">
        <f t="shared" si="114"/>
        <v>1.7999999999999999E-2</v>
      </c>
      <c r="CK8" s="217"/>
      <c r="CL8" s="217">
        <f t="shared" si="49"/>
        <v>3.0599999999999996</v>
      </c>
      <c r="CM8" s="541">
        <f t="shared" si="50"/>
        <v>12.5</v>
      </c>
      <c r="CN8" s="172">
        <f t="shared" si="51"/>
        <v>8.5250000000000004</v>
      </c>
      <c r="CO8" s="443">
        <f t="shared" si="52"/>
        <v>21.024999999999999</v>
      </c>
      <c r="CP8" s="443"/>
      <c r="CQ8" s="217">
        <f t="shared" si="53"/>
        <v>0.40546967895362668</v>
      </c>
      <c r="CR8" s="172">
        <f t="shared" si="54"/>
        <v>170.84633868410626</v>
      </c>
      <c r="CS8" s="172">
        <f t="shared" si="115"/>
        <v>3.0599999999999996</v>
      </c>
      <c r="CT8" s="217">
        <f t="shared" si="55"/>
        <v>1.0049784628476839</v>
      </c>
      <c r="CU8" s="217">
        <f t="shared" si="56"/>
        <v>170</v>
      </c>
      <c r="CV8" s="217">
        <f t="shared" si="57"/>
        <v>0.99379823272947732</v>
      </c>
      <c r="CW8" s="172">
        <f t="shared" si="58"/>
        <v>22898.153606984386</v>
      </c>
      <c r="CX8" s="172">
        <f t="shared" si="59"/>
        <v>170</v>
      </c>
      <c r="CY8" s="217">
        <f t="shared" si="60"/>
        <v>1.2074885630498531</v>
      </c>
      <c r="CZ8" s="217">
        <f t="shared" si="61"/>
        <v>4.8299542521994122E-2</v>
      </c>
      <c r="DA8" s="217">
        <f t="shared" si="62"/>
        <v>7.0820443580636536E-2</v>
      </c>
      <c r="DB8" s="197">
        <f t="shared" si="63"/>
        <v>350</v>
      </c>
      <c r="DC8" s="443">
        <f t="shared" si="116"/>
        <v>350</v>
      </c>
      <c r="DE8" s="217">
        <f t="shared" si="64"/>
        <v>28.962119925259049</v>
      </c>
      <c r="DF8" s="173">
        <f t="shared" si="65"/>
        <v>1.6986580601324954</v>
      </c>
      <c r="DG8" s="173">
        <f t="shared" si="66"/>
        <v>0.4304714614336958</v>
      </c>
      <c r="DH8" s="173"/>
      <c r="DI8" s="173">
        <f t="shared" si="67"/>
        <v>0.78201368523949166</v>
      </c>
      <c r="DJ8" s="545">
        <f t="shared" si="117"/>
        <v>69.052499999999995</v>
      </c>
      <c r="DK8" s="528">
        <f t="shared" si="68"/>
        <v>9.1234929944607357E-2</v>
      </c>
      <c r="DM8" s="173">
        <f t="shared" si="69"/>
        <v>5.922354744042754</v>
      </c>
      <c r="DN8" s="173">
        <f t="shared" si="70"/>
        <v>13.333333333333334</v>
      </c>
      <c r="DO8" s="173">
        <f t="shared" si="71"/>
        <v>1.0394585714285713</v>
      </c>
      <c r="DQ8" s="545">
        <f t="shared" si="72"/>
        <v>18</v>
      </c>
      <c r="DR8" s="460">
        <f t="shared" si="73"/>
        <v>69.052499999999995</v>
      </c>
      <c r="DT8">
        <f t="shared" si="74"/>
        <v>18</v>
      </c>
      <c r="DU8" s="460">
        <f t="shared" si="75"/>
        <v>69.052499999999995</v>
      </c>
      <c r="DV8" s="460"/>
      <c r="DW8" s="5">
        <f t="shared" si="118"/>
        <v>14.481734911842439</v>
      </c>
      <c r="DX8" s="5">
        <f t="shared" si="76"/>
        <v>0.53333333333333333</v>
      </c>
      <c r="DY8" s="5">
        <f t="shared" si="119"/>
        <v>13.948401578509106</v>
      </c>
      <c r="DZ8" s="5">
        <f t="shared" si="77"/>
        <v>0.78201368523949166</v>
      </c>
      <c r="EA8" s="173">
        <f t="shared" si="120"/>
        <v>3.6828E-2</v>
      </c>
      <c r="EB8" s="173">
        <f t="shared" si="78"/>
        <v>3.069</v>
      </c>
      <c r="EC8" s="173">
        <f t="shared" si="79"/>
        <v>0.32105733333333336</v>
      </c>
      <c r="ED8" s="173">
        <f t="shared" si="121"/>
        <v>9.5590403375513393</v>
      </c>
      <c r="EE8" s="460">
        <f t="shared" si="80"/>
        <v>5.6470588235294113E-3</v>
      </c>
      <c r="EF8" s="5">
        <f t="shared" si="81"/>
        <v>5.4633099302704462</v>
      </c>
      <c r="EG8" s="5"/>
      <c r="EH8" s="173">
        <f t="shared" si="122"/>
        <v>1.477294825009551</v>
      </c>
      <c r="EI8" s="173">
        <f t="shared" si="82"/>
        <v>0.37774614246627081</v>
      </c>
      <c r="EJ8" s="173"/>
      <c r="EK8" s="528">
        <f t="shared" si="83"/>
        <v>8.7295999999999999E-2</v>
      </c>
      <c r="EL8" s="528">
        <f t="shared" si="84"/>
        <v>0.53233723124999999</v>
      </c>
      <c r="EM8" s="528">
        <f t="shared" si="85"/>
        <v>1.3810499999999998E-2</v>
      </c>
      <c r="EN8" s="528">
        <f t="shared" si="86"/>
        <v>6.1049401565624996E-3</v>
      </c>
      <c r="EO8">
        <f t="shared" si="87"/>
        <v>5.6249999999999998E-3</v>
      </c>
      <c r="EP8" s="460">
        <f t="shared" si="123"/>
        <v>19.435499999999998</v>
      </c>
      <c r="EQ8" s="528">
        <f t="shared" si="88"/>
        <v>0.6829081510353433</v>
      </c>
      <c r="ER8" s="460">
        <f t="shared" si="124"/>
        <v>682.90815103534328</v>
      </c>
      <c r="ES8" s="528">
        <f t="shared" si="125"/>
        <v>1.5623999999999997E-2</v>
      </c>
      <c r="ET8" s="528"/>
      <c r="EV8" s="460">
        <f t="shared" si="126"/>
        <v>15.623999999999997</v>
      </c>
      <c r="EW8" s="528">
        <f t="shared" si="89"/>
        <v>6.5471999999999989E-2</v>
      </c>
      <c r="EX8" s="528">
        <f t="shared" si="90"/>
        <v>4.2807644444444442E-3</v>
      </c>
      <c r="EY8" s="528">
        <f t="shared" si="91"/>
        <v>1.2860722345920703</v>
      </c>
      <c r="EZ8" s="528">
        <f t="shared" si="92"/>
        <v>1.3802678624294438</v>
      </c>
      <c r="FA8" s="528">
        <f t="shared" si="93"/>
        <v>0.30690000000000001</v>
      </c>
      <c r="FB8" s="460">
        <f t="shared" si="127"/>
        <v>1687.1678624294436</v>
      </c>
      <c r="FC8" s="173">
        <f t="shared" si="128"/>
        <v>2.385700013464787</v>
      </c>
      <c r="FD8" s="5">
        <f t="shared" si="129"/>
        <v>3.0599999999999996</v>
      </c>
      <c r="FE8" s="173">
        <f t="shared" si="130"/>
        <v>0.56191123132636478</v>
      </c>
      <c r="FF8" s="5">
        <f t="shared" si="131"/>
        <v>56.191123132636477</v>
      </c>
      <c r="FI8" s="562">
        <f t="shared" si="94"/>
        <v>-50</v>
      </c>
      <c r="FJ8">
        <f t="shared" si="95"/>
        <v>-50</v>
      </c>
      <c r="FL8">
        <f t="shared" si="96"/>
        <v>5.3999999999999992E-2</v>
      </c>
    </row>
    <row r="9" spans="2:168">
      <c r="E9" s="170">
        <v>4</v>
      </c>
      <c r="F9" s="217">
        <f t="shared" si="97"/>
        <v>2.4E-2</v>
      </c>
      <c r="G9" s="217"/>
      <c r="H9" s="217">
        <f t="shared" si="0"/>
        <v>4.08</v>
      </c>
      <c r="I9" s="541">
        <f t="shared" si="1"/>
        <v>12.034018097703177</v>
      </c>
      <c r="J9" s="172">
        <f t="shared" si="2"/>
        <v>8.5254992663238891</v>
      </c>
      <c r="K9" s="172">
        <f t="shared" si="3"/>
        <v>21.025499266323891</v>
      </c>
      <c r="L9" s="443"/>
      <c r="M9" s="217">
        <f t="shared" si="4"/>
        <v>0.41467411636231066</v>
      </c>
      <c r="N9" s="172">
        <f t="shared" si="5"/>
        <v>168.21118413129474</v>
      </c>
      <c r="O9" s="172">
        <f t="shared" si="98"/>
        <v>4.08</v>
      </c>
      <c r="P9" s="217">
        <f t="shared" si="6"/>
        <v>0.98947755371349844</v>
      </c>
      <c r="Q9" s="217">
        <f t="shared" si="7"/>
        <v>170</v>
      </c>
      <c r="R9" s="217">
        <f t="shared" si="8"/>
        <v>0.97846976881433745</v>
      </c>
      <c r="S9" s="172">
        <f t="shared" si="9"/>
        <v>16473.240967603531</v>
      </c>
      <c r="T9" s="172">
        <f t="shared" si="10"/>
        <v>170</v>
      </c>
      <c r="U9" s="217">
        <f t="shared" si="99"/>
        <v>1.6401119903220103</v>
      </c>
      <c r="V9" s="217">
        <f t="shared" si="11"/>
        <v>6.8144819835157272E-2</v>
      </c>
      <c r="W9" s="217">
        <f t="shared" si="12"/>
        <v>9.6188618348753321E-2</v>
      </c>
      <c r="X9" s="197">
        <f t="shared" si="13"/>
        <v>350</v>
      </c>
      <c r="Y9" s="443">
        <f t="shared" si="14"/>
        <v>350</v>
      </c>
      <c r="AA9" s="217">
        <f t="shared" si="15"/>
        <v>28.515403254805641</v>
      </c>
      <c r="AB9" s="173">
        <f t="shared" si="16"/>
        <v>1.6723597272152015</v>
      </c>
      <c r="AC9" s="173">
        <f t="shared" si="17"/>
        <v>0.41727010507558454</v>
      </c>
      <c r="AD9" s="173"/>
      <c r="AE9" s="173">
        <f t="shared" si="18"/>
        <v>0.78196788931767369</v>
      </c>
      <c r="AF9" s="545">
        <f t="shared" si="100"/>
        <v>92.075392076297987</v>
      </c>
      <c r="AG9" s="528">
        <f t="shared" si="19"/>
        <v>9.1229587087061942E-2</v>
      </c>
      <c r="AI9" s="173">
        <f t="shared" si="20"/>
        <v>6.8387464580959296</v>
      </c>
      <c r="AJ9" s="173">
        <f t="shared" si="21"/>
        <v>13.333333333333334</v>
      </c>
      <c r="AK9" s="173">
        <f t="shared" si="22"/>
        <v>1.0526145097578845</v>
      </c>
      <c r="AM9" s="545">
        <f t="shared" si="23"/>
        <v>24</v>
      </c>
      <c r="AN9" s="460">
        <f t="shared" si="24"/>
        <v>92.075392076297987</v>
      </c>
      <c r="AP9">
        <f t="shared" si="25"/>
        <v>24</v>
      </c>
      <c r="AQ9" s="460">
        <f t="shared" si="26"/>
        <v>92.075392076297987</v>
      </c>
      <c r="AR9" s="460"/>
      <c r="AS9" s="5">
        <f t="shared" si="101"/>
        <v>10.860665129412135</v>
      </c>
      <c r="AT9" s="5">
        <f t="shared" si="27"/>
        <v>0.55398509562978582</v>
      </c>
      <c r="AU9" s="5">
        <f t="shared" si="102"/>
        <v>10.306680033782349</v>
      </c>
      <c r="AV9" s="5">
        <f t="shared" si="28"/>
        <v>0.78196788931767369</v>
      </c>
      <c r="AW9" s="173">
        <f t="shared" si="103"/>
        <v>5.1008394884537962E-2</v>
      </c>
      <c r="AX9" s="173">
        <f t="shared" si="29"/>
        <v>4.0922396478354663</v>
      </c>
      <c r="AY9" s="173">
        <f t="shared" si="30"/>
        <v>0.31633053503848735</v>
      </c>
      <c r="AZ9" s="173">
        <f t="shared" si="104"/>
        <v>12.936593830050493</v>
      </c>
      <c r="BA9" s="460">
        <f t="shared" si="31"/>
        <v>7.8209660559499187E-3</v>
      </c>
      <c r="BB9" s="5">
        <f t="shared" si="32"/>
        <v>5.5909843839583946</v>
      </c>
      <c r="BC9" s="5"/>
      <c r="BD9" s="173">
        <f t="shared" si="105"/>
        <v>1.7385970484449551</v>
      </c>
      <c r="BE9" s="173">
        <f t="shared" si="33"/>
        <v>0.37495512919013974</v>
      </c>
      <c r="BF9" s="173"/>
      <c r="BG9" s="528">
        <f t="shared" si="34"/>
        <v>0.1209087878744604</v>
      </c>
      <c r="BH9" s="528">
        <f t="shared" si="35"/>
        <v>0.58077932656400644</v>
      </c>
      <c r="BI9" s="528">
        <f t="shared" si="36"/>
        <v>4.4321477383971429E-2</v>
      </c>
      <c r="BJ9" s="528">
        <f t="shared" si="37"/>
        <v>8.1407835363784004E-3</v>
      </c>
      <c r="BK9">
        <f t="shared" si="38"/>
        <v>5.4153081439664297E-3</v>
      </c>
      <c r="BL9" s="460">
        <f t="shared" si="106"/>
        <v>49.736785527937862</v>
      </c>
      <c r="BM9" s="528">
        <f t="shared" si="39"/>
        <v>0.7644349015114722</v>
      </c>
      <c r="BN9" s="460">
        <f t="shared" si="107"/>
        <v>764.43490151147216</v>
      </c>
      <c r="BO9" s="528">
        <f t="shared" si="108"/>
        <v>2.0832E-2</v>
      </c>
      <c r="BP9" s="528"/>
      <c r="BR9" s="460">
        <f t="shared" si="109"/>
        <v>20.832000000000001</v>
      </c>
      <c r="BS9" s="528">
        <f t="shared" si="40"/>
        <v>9.0681590905845294E-2</v>
      </c>
      <c r="BT9" s="528">
        <f t="shared" si="41"/>
        <v>4.2177404671798306E-3</v>
      </c>
      <c r="BU9" s="528">
        <f t="shared" si="42"/>
        <v>6.1199999999999997E-2</v>
      </c>
      <c r="BV9" s="528">
        <f t="shared" si="43"/>
        <v>0.18024357044813633</v>
      </c>
      <c r="BW9" s="528">
        <f t="shared" si="44"/>
        <v>0.40922396478354667</v>
      </c>
      <c r="BX9" s="460">
        <f t="shared" si="110"/>
        <v>589.46753523168297</v>
      </c>
      <c r="BY9" s="173">
        <f t="shared" si="45"/>
        <v>1.4244712222710931</v>
      </c>
      <c r="BZ9" s="5">
        <f t="shared" si="111"/>
        <v>4.08</v>
      </c>
      <c r="CA9" s="173">
        <f t="shared" si="112"/>
        <v>0.7412156109550212</v>
      </c>
      <c r="CB9" s="5">
        <f t="shared" si="113"/>
        <v>74.121561095502116</v>
      </c>
      <c r="CE9" s="562">
        <f t="shared" si="46"/>
        <v>-50</v>
      </c>
      <c r="CF9">
        <f t="shared" si="47"/>
        <v>-50</v>
      </c>
      <c r="CG9" s="173">
        <f t="shared" si="48"/>
        <v>7.2105804612552019E-2</v>
      </c>
      <c r="CI9" s="170">
        <v>4</v>
      </c>
      <c r="CJ9" s="217">
        <f t="shared" si="114"/>
        <v>2.4E-2</v>
      </c>
      <c r="CK9" s="217"/>
      <c r="CL9" s="217">
        <f t="shared" si="49"/>
        <v>4.08</v>
      </c>
      <c r="CM9" s="541">
        <f t="shared" si="50"/>
        <v>12.5</v>
      </c>
      <c r="CN9" s="172">
        <f t="shared" si="51"/>
        <v>8.5250000000000004</v>
      </c>
      <c r="CO9" s="443">
        <f t="shared" si="52"/>
        <v>21.024999999999999</v>
      </c>
      <c r="CP9" s="443"/>
      <c r="CQ9" s="217">
        <f t="shared" si="53"/>
        <v>0.40546967895362668</v>
      </c>
      <c r="CR9" s="172">
        <f t="shared" si="54"/>
        <v>170.84633868410626</v>
      </c>
      <c r="CS9" s="172">
        <f t="shared" si="115"/>
        <v>4.08</v>
      </c>
      <c r="CT9" s="217">
        <f t="shared" si="55"/>
        <v>1.0049784628476839</v>
      </c>
      <c r="CU9" s="217">
        <f t="shared" si="56"/>
        <v>170</v>
      </c>
      <c r="CV9" s="217">
        <f t="shared" si="57"/>
        <v>0.99379823272947732</v>
      </c>
      <c r="CW9" s="172">
        <f t="shared" si="58"/>
        <v>17111.118416089343</v>
      </c>
      <c r="CX9" s="172">
        <f t="shared" si="59"/>
        <v>170</v>
      </c>
      <c r="CY9" s="217">
        <f t="shared" si="60"/>
        <v>1.6099847507331375</v>
      </c>
      <c r="CZ9" s="217">
        <f t="shared" si="61"/>
        <v>6.4399390029325501E-2</v>
      </c>
      <c r="DA9" s="217">
        <f t="shared" si="62"/>
        <v>9.4427258107515386E-2</v>
      </c>
      <c r="DB9" s="197">
        <f t="shared" si="63"/>
        <v>350</v>
      </c>
      <c r="DC9" s="443">
        <f t="shared" si="116"/>
        <v>350</v>
      </c>
      <c r="DE9" s="217">
        <f t="shared" si="64"/>
        <v>28.962119925259049</v>
      </c>
      <c r="DF9" s="173">
        <f t="shared" si="65"/>
        <v>1.6986580601324954</v>
      </c>
      <c r="DG9" s="173">
        <f t="shared" si="66"/>
        <v>0.4304714614336958</v>
      </c>
      <c r="DH9" s="173"/>
      <c r="DI9" s="173">
        <f t="shared" si="67"/>
        <v>0.78201368523949166</v>
      </c>
      <c r="DJ9" s="545">
        <f t="shared" si="117"/>
        <v>92.07</v>
      </c>
      <c r="DK9" s="528">
        <f t="shared" si="68"/>
        <v>9.1234929944607357E-2</v>
      </c>
      <c r="DM9" s="173">
        <f t="shared" si="69"/>
        <v>6.8385462114190823</v>
      </c>
      <c r="DN9" s="173">
        <f t="shared" si="70"/>
        <v>13.333333333333334</v>
      </c>
      <c r="DO9" s="173">
        <f t="shared" si="71"/>
        <v>1.0526114285714285</v>
      </c>
      <c r="DQ9" s="545">
        <f t="shared" si="72"/>
        <v>24</v>
      </c>
      <c r="DR9" s="460">
        <f t="shared" si="73"/>
        <v>92.07</v>
      </c>
      <c r="DT9">
        <f t="shared" si="74"/>
        <v>24</v>
      </c>
      <c r="DU9" s="460">
        <f t="shared" si="75"/>
        <v>92.07</v>
      </c>
      <c r="DV9" s="460"/>
      <c r="DW9" s="5">
        <f t="shared" si="118"/>
        <v>10.86130118388183</v>
      </c>
      <c r="DX9" s="5">
        <f t="shared" si="76"/>
        <v>0.53333333333333333</v>
      </c>
      <c r="DY9" s="5">
        <f t="shared" si="119"/>
        <v>10.327967850548497</v>
      </c>
      <c r="DZ9" s="5">
        <f t="shared" si="77"/>
        <v>0.78201368523949166</v>
      </c>
      <c r="EA9" s="173">
        <f t="shared" si="120"/>
        <v>4.9103999999999995E-2</v>
      </c>
      <c r="EB9" s="173">
        <f t="shared" si="78"/>
        <v>4.0920000000000005</v>
      </c>
      <c r="EC9" s="173">
        <f t="shared" si="79"/>
        <v>0.31696533333333338</v>
      </c>
      <c r="ED9" s="173">
        <f t="shared" si="121"/>
        <v>12.909929161548687</v>
      </c>
      <c r="EE9" s="460">
        <f t="shared" si="80"/>
        <v>7.5294117647058826E-3</v>
      </c>
      <c r="EF9" s="5">
        <f t="shared" si="81"/>
        <v>5.3936779302704476</v>
      </c>
      <c r="EG9" s="5"/>
      <c r="EH9" s="173">
        <f t="shared" si="122"/>
        <v>1.7058331297834106</v>
      </c>
      <c r="EI9" s="173">
        <f t="shared" si="82"/>
        <v>0.37533116241724651</v>
      </c>
      <c r="EJ9" s="173"/>
      <c r="EK9" s="528">
        <f t="shared" si="83"/>
        <v>0.11639466666666666</v>
      </c>
      <c r="EL9" s="528">
        <f t="shared" si="84"/>
        <v>0.70978297499999998</v>
      </c>
      <c r="EM9" s="528">
        <f t="shared" si="85"/>
        <v>1.8413999999999996E-2</v>
      </c>
      <c r="EN9" s="528">
        <f t="shared" si="86"/>
        <v>8.1399202087499983E-3</v>
      </c>
      <c r="EO9">
        <f t="shared" si="87"/>
        <v>5.6249999999999998E-3</v>
      </c>
      <c r="EP9" s="460">
        <f t="shared" si="123"/>
        <v>24.038999999999998</v>
      </c>
      <c r="EQ9" s="528">
        <f t="shared" si="88"/>
        <v>0.91509028484856181</v>
      </c>
      <c r="ER9" s="460">
        <f t="shared" si="124"/>
        <v>915.09028484856185</v>
      </c>
      <c r="ES9" s="528">
        <f t="shared" si="125"/>
        <v>2.0832E-2</v>
      </c>
      <c r="ET9" s="528"/>
      <c r="EV9" s="460">
        <f t="shared" si="126"/>
        <v>20.832000000000001</v>
      </c>
      <c r="EW9" s="528">
        <f t="shared" si="89"/>
        <v>8.7295999999999985E-2</v>
      </c>
      <c r="EX9" s="528">
        <f t="shared" si="90"/>
        <v>4.2262044444444447E-3</v>
      </c>
      <c r="EY9" s="528">
        <f t="shared" si="91"/>
        <v>2.6400503140943461</v>
      </c>
      <c r="EZ9" s="528">
        <f t="shared" si="92"/>
        <v>2.7738473374547539</v>
      </c>
      <c r="FA9" s="528">
        <f t="shared" si="93"/>
        <v>0.40920000000000001</v>
      </c>
      <c r="FB9" s="460">
        <f t="shared" si="127"/>
        <v>3183.0473374547541</v>
      </c>
      <c r="FC9" s="173">
        <f t="shared" si="128"/>
        <v>4.1189696223033154</v>
      </c>
      <c r="FD9" s="5">
        <f t="shared" si="129"/>
        <v>4.08</v>
      </c>
      <c r="FE9" s="173">
        <f t="shared" si="130"/>
        <v>0.49762350489765755</v>
      </c>
      <c r="FF9" s="5">
        <f t="shared" si="131"/>
        <v>49.762350489765758</v>
      </c>
      <c r="FI9" s="562">
        <f t="shared" si="94"/>
        <v>-50</v>
      </c>
      <c r="FJ9">
        <f t="shared" si="95"/>
        <v>-50</v>
      </c>
      <c r="FL9">
        <f t="shared" si="96"/>
        <v>7.1999999999999995E-2</v>
      </c>
    </row>
    <row r="10" spans="2:168">
      <c r="E10" s="170">
        <v>5</v>
      </c>
      <c r="F10" s="217">
        <f t="shared" si="97"/>
        <v>0.03</v>
      </c>
      <c r="G10" s="217"/>
      <c r="H10" s="217">
        <f t="shared" si="0"/>
        <v>5.0999999999999996</v>
      </c>
      <c r="I10" s="541">
        <f t="shared" si="1"/>
        <v>12.034018097703177</v>
      </c>
      <c r="J10" s="172">
        <f t="shared" si="2"/>
        <v>8.5254992663238891</v>
      </c>
      <c r="K10" s="172">
        <f t="shared" si="3"/>
        <v>21.025499266323891</v>
      </c>
      <c r="L10" s="443"/>
      <c r="M10" s="217">
        <f t="shared" si="4"/>
        <v>0.41467411636231066</v>
      </c>
      <c r="N10" s="172">
        <f t="shared" si="5"/>
        <v>168.21118413129474</v>
      </c>
      <c r="O10" s="172">
        <f t="shared" si="98"/>
        <v>5.0999999999999996</v>
      </c>
      <c r="P10" s="217">
        <f t="shared" si="6"/>
        <v>0.98947755371349844</v>
      </c>
      <c r="Q10" s="217">
        <f t="shared" si="7"/>
        <v>170</v>
      </c>
      <c r="R10" s="217">
        <f t="shared" si="8"/>
        <v>0.97846976881433745</v>
      </c>
      <c r="S10" s="172">
        <f t="shared" si="9"/>
        <v>13130.460022330206</v>
      </c>
      <c r="T10" s="172">
        <f t="shared" si="10"/>
        <v>170</v>
      </c>
      <c r="U10" s="217">
        <f t="shared" si="99"/>
        <v>2.0501399879025128</v>
      </c>
      <c r="V10" s="217">
        <f t="shared" si="11"/>
        <v>8.5181024793946597E-2</v>
      </c>
      <c r="W10" s="217">
        <f t="shared" si="12"/>
        <v>0.12023577293594166</v>
      </c>
      <c r="X10" s="197">
        <f t="shared" si="13"/>
        <v>350</v>
      </c>
      <c r="Y10" s="443">
        <f t="shared" si="14"/>
        <v>350</v>
      </c>
      <c r="AA10" s="217">
        <f t="shared" si="15"/>
        <v>28.515403254805641</v>
      </c>
      <c r="AB10" s="173">
        <f t="shared" si="16"/>
        <v>1.6723597272152015</v>
      </c>
      <c r="AC10" s="173">
        <f t="shared" si="17"/>
        <v>0.41727010507558454</v>
      </c>
      <c r="AD10" s="173"/>
      <c r="AE10" s="173">
        <f t="shared" si="18"/>
        <v>0.78196788931767369</v>
      </c>
      <c r="AF10" s="545">
        <f t="shared" si="100"/>
        <v>115.09424009537247</v>
      </c>
      <c r="AG10" s="528">
        <f t="shared" si="19"/>
        <v>9.1229587087061942E-2</v>
      </c>
      <c r="AI10" s="173">
        <f t="shared" si="20"/>
        <v>7.6459509805942076</v>
      </c>
      <c r="AJ10" s="173">
        <f t="shared" si="21"/>
        <v>13.333333333333334</v>
      </c>
      <c r="AK10" s="173">
        <f t="shared" si="22"/>
        <v>1.0657681371973557</v>
      </c>
      <c r="AM10" s="545">
        <f t="shared" si="23"/>
        <v>30</v>
      </c>
      <c r="AN10" s="460">
        <f t="shared" si="24"/>
        <v>115.09424009537247</v>
      </c>
      <c r="AP10">
        <f t="shared" si="25"/>
        <v>30</v>
      </c>
      <c r="AQ10" s="460">
        <f t="shared" si="26"/>
        <v>115.09424009537247</v>
      </c>
      <c r="AR10" s="460"/>
      <c r="AS10" s="5">
        <f t="shared" si="101"/>
        <v>8.6885321035297096</v>
      </c>
      <c r="AT10" s="5">
        <f t="shared" si="27"/>
        <v>0.55398509562978582</v>
      </c>
      <c r="AU10" s="5">
        <f t="shared" si="102"/>
        <v>8.1345470078999238</v>
      </c>
      <c r="AV10" s="5">
        <f t="shared" si="28"/>
        <v>0.78196788931767369</v>
      </c>
      <c r="AW10" s="173">
        <f t="shared" si="103"/>
        <v>6.3760493605672444E-2</v>
      </c>
      <c r="AX10" s="173">
        <f t="shared" si="29"/>
        <v>5.1152995597943329</v>
      </c>
      <c r="AY10" s="173">
        <f t="shared" si="30"/>
        <v>0.31207983546477586</v>
      </c>
      <c r="AZ10" s="173">
        <f t="shared" si="104"/>
        <v>16.390996721003116</v>
      </c>
      <c r="BA10" s="460">
        <f t="shared" si="31"/>
        <v>9.7762075699373962E-3</v>
      </c>
      <c r="BB10" s="5">
        <f t="shared" si="32"/>
        <v>5.5158553897415459</v>
      </c>
      <c r="BC10" s="5"/>
      <c r="BD10" s="173">
        <f t="shared" si="105"/>
        <v>1.9438105929017069</v>
      </c>
      <c r="BE10" s="173">
        <f t="shared" si="33"/>
        <v>0.37242737425631856</v>
      </c>
      <c r="BF10" s="173"/>
      <c r="BG10" s="528">
        <f t="shared" si="34"/>
        <v>0.15113598484307542</v>
      </c>
      <c r="BH10" s="528">
        <f t="shared" si="35"/>
        <v>0.72597415820500788</v>
      </c>
      <c r="BI10" s="528">
        <f t="shared" si="36"/>
        <v>5.5401846729964281E-2</v>
      </c>
      <c r="BJ10" s="528">
        <f t="shared" si="37"/>
        <v>1.0175979420473E-2</v>
      </c>
      <c r="BK10">
        <f t="shared" si="38"/>
        <v>5.4153081439664297E-3</v>
      </c>
      <c r="BL10" s="460">
        <f t="shared" si="106"/>
        <v>60.817154873930711</v>
      </c>
      <c r="BM10" s="528">
        <f t="shared" si="39"/>
        <v>0.96266194207529843</v>
      </c>
      <c r="BN10" s="460">
        <f t="shared" si="107"/>
        <v>962.66194207529838</v>
      </c>
      <c r="BO10" s="528">
        <f t="shared" si="108"/>
        <v>2.6039999999999997E-2</v>
      </c>
      <c r="BP10" s="528"/>
      <c r="BR10" s="460">
        <f t="shared" si="109"/>
        <v>26.039999999999996</v>
      </c>
      <c r="BS10" s="528">
        <f t="shared" si="40"/>
        <v>0.11335198863230656</v>
      </c>
      <c r="BT10" s="528">
        <f t="shared" si="41"/>
        <v>4.1610644728636787E-3</v>
      </c>
      <c r="BU10" s="528">
        <f t="shared" si="42"/>
        <v>7.6499999999999999E-2</v>
      </c>
      <c r="BV10" s="528">
        <f t="shared" si="43"/>
        <v>0.22432507581416883</v>
      </c>
      <c r="BW10" s="528">
        <f t="shared" si="44"/>
        <v>0.51152995597943329</v>
      </c>
      <c r="BX10" s="460">
        <f t="shared" si="110"/>
        <v>735.85503179360217</v>
      </c>
      <c r="BY10" s="173">
        <f t="shared" si="45"/>
        <v>1.7853741287428311</v>
      </c>
      <c r="BZ10" s="5">
        <f t="shared" si="111"/>
        <v>5.0999999999999996</v>
      </c>
      <c r="CA10" s="173">
        <f t="shared" si="112"/>
        <v>0.74070049130811511</v>
      </c>
      <c r="CB10" s="5">
        <f t="shared" si="113"/>
        <v>74.070049130811512</v>
      </c>
      <c r="CE10" s="562">
        <f t="shared" si="46"/>
        <v>-50</v>
      </c>
      <c r="CF10">
        <f t="shared" si="47"/>
        <v>-50</v>
      </c>
      <c r="CG10" s="173">
        <f t="shared" si="48"/>
        <v>9.013225576569002E-2</v>
      </c>
      <c r="CI10" s="170">
        <v>5</v>
      </c>
      <c r="CJ10" s="217">
        <f t="shared" si="114"/>
        <v>0.03</v>
      </c>
      <c r="CK10" s="217"/>
      <c r="CL10" s="217">
        <f t="shared" si="49"/>
        <v>5.0999999999999996</v>
      </c>
      <c r="CM10" s="541">
        <f t="shared" si="50"/>
        <v>12.5</v>
      </c>
      <c r="CN10" s="172">
        <f t="shared" si="51"/>
        <v>8.5250000000000004</v>
      </c>
      <c r="CO10" s="443">
        <f t="shared" si="52"/>
        <v>21.024999999999999</v>
      </c>
      <c r="CP10" s="443"/>
      <c r="CQ10" s="217">
        <f t="shared" si="53"/>
        <v>0.40546967895362668</v>
      </c>
      <c r="CR10" s="172">
        <f t="shared" si="54"/>
        <v>170.84633868410626</v>
      </c>
      <c r="CS10" s="172">
        <f t="shared" si="115"/>
        <v>5.0999999999999996</v>
      </c>
      <c r="CT10" s="217">
        <f t="shared" si="55"/>
        <v>1.0049784628476839</v>
      </c>
      <c r="CU10" s="217">
        <f t="shared" si="56"/>
        <v>170</v>
      </c>
      <c r="CV10" s="217">
        <f t="shared" si="57"/>
        <v>0.99379823272947732</v>
      </c>
      <c r="CW10" s="172">
        <f t="shared" si="58"/>
        <v>13638.89805351621</v>
      </c>
      <c r="CX10" s="172">
        <f t="shared" si="59"/>
        <v>170</v>
      </c>
      <c r="CY10" s="217">
        <f t="shared" si="60"/>
        <v>2.0124809384164219</v>
      </c>
      <c r="CZ10" s="217">
        <f t="shared" si="61"/>
        <v>8.0499237536656887E-2</v>
      </c>
      <c r="DA10" s="217">
        <f t="shared" si="62"/>
        <v>0.11803407263439425</v>
      </c>
      <c r="DB10" s="197">
        <f t="shared" si="63"/>
        <v>350</v>
      </c>
      <c r="DC10" s="443">
        <f t="shared" si="116"/>
        <v>350</v>
      </c>
      <c r="DE10" s="217">
        <f t="shared" si="64"/>
        <v>28.962119925259049</v>
      </c>
      <c r="DF10" s="173">
        <f t="shared" si="65"/>
        <v>1.6986580601324954</v>
      </c>
      <c r="DG10" s="173">
        <f t="shared" si="66"/>
        <v>0.4304714614336958</v>
      </c>
      <c r="DH10" s="173"/>
      <c r="DI10" s="173">
        <f t="shared" si="67"/>
        <v>0.78201368523949166</v>
      </c>
      <c r="DJ10" s="545">
        <f t="shared" si="117"/>
        <v>115.08750000000001</v>
      </c>
      <c r="DK10" s="528">
        <f t="shared" si="68"/>
        <v>9.1234929944607357E-2</v>
      </c>
      <c r="DM10" s="173">
        <f t="shared" si="69"/>
        <v>7.6457270980033583</v>
      </c>
      <c r="DN10" s="173">
        <f t="shared" si="70"/>
        <v>13.333333333333334</v>
      </c>
      <c r="DO10" s="173">
        <f t="shared" si="71"/>
        <v>1.0657642857142857</v>
      </c>
      <c r="DQ10" s="545">
        <f t="shared" si="72"/>
        <v>30</v>
      </c>
      <c r="DR10" s="460">
        <f t="shared" si="73"/>
        <v>115.08750000000001</v>
      </c>
      <c r="DT10">
        <f t="shared" si="74"/>
        <v>30</v>
      </c>
      <c r="DU10" s="460">
        <f t="shared" si="75"/>
        <v>115.08750000000001</v>
      </c>
      <c r="DV10" s="460"/>
      <c r="DW10" s="5">
        <f t="shared" si="118"/>
        <v>8.6890409471054628</v>
      </c>
      <c r="DX10" s="5">
        <f t="shared" si="76"/>
        <v>0.53333333333333333</v>
      </c>
      <c r="DY10" s="5">
        <f t="shared" si="119"/>
        <v>8.1557076137721296</v>
      </c>
      <c r="DZ10" s="5">
        <f t="shared" si="77"/>
        <v>0.78201368523949166</v>
      </c>
      <c r="EA10" s="173">
        <f t="shared" si="120"/>
        <v>6.1380000000000004E-2</v>
      </c>
      <c r="EB10" s="173">
        <f t="shared" si="78"/>
        <v>5.1150000000000002</v>
      </c>
      <c r="EC10" s="173">
        <f t="shared" si="79"/>
        <v>0.31287333333333339</v>
      </c>
      <c r="ED10" s="173">
        <f t="shared" si="121"/>
        <v>16.348469029000018</v>
      </c>
      <c r="EE10" s="460">
        <f t="shared" si="80"/>
        <v>9.4117647058823539E-3</v>
      </c>
      <c r="EF10" s="5">
        <f t="shared" si="81"/>
        <v>5.3240459302704455</v>
      </c>
      <c r="EG10" s="5"/>
      <c r="EH10" s="173">
        <f t="shared" si="122"/>
        <v>1.9071794182334638</v>
      </c>
      <c r="EI10" s="173">
        <f t="shared" si="82"/>
        <v>0.3729005427923307</v>
      </c>
      <c r="EJ10" s="173"/>
      <c r="EK10" s="528">
        <f t="shared" si="83"/>
        <v>0.14549333333333334</v>
      </c>
      <c r="EL10" s="528">
        <f t="shared" si="84"/>
        <v>0.88722871875000009</v>
      </c>
      <c r="EM10" s="528">
        <f t="shared" si="85"/>
        <v>2.30175E-2</v>
      </c>
      <c r="EN10" s="528">
        <f t="shared" si="86"/>
        <v>1.01749002609375E-2</v>
      </c>
      <c r="EO10">
        <f t="shared" si="87"/>
        <v>5.6249999999999998E-3</v>
      </c>
      <c r="EP10" s="460">
        <f t="shared" si="123"/>
        <v>28.642500000000002</v>
      </c>
      <c r="EQ10" s="528">
        <f t="shared" si="88"/>
        <v>1.1505979203831465</v>
      </c>
      <c r="ER10" s="460">
        <f t="shared" si="124"/>
        <v>1150.5979203831464</v>
      </c>
      <c r="ES10" s="528">
        <f t="shared" si="125"/>
        <v>2.6039999999999997E-2</v>
      </c>
      <c r="ET10" s="528"/>
      <c r="EV10" s="460">
        <f t="shared" si="126"/>
        <v>26.039999999999996</v>
      </c>
      <c r="EW10" s="528">
        <f t="shared" si="89"/>
        <v>0.10911999999999999</v>
      </c>
      <c r="EX10" s="528">
        <f t="shared" si="90"/>
        <v>4.1716444444444452E-3</v>
      </c>
      <c r="EY10" s="528">
        <f t="shared" si="91"/>
        <v>4.6119780986989349</v>
      </c>
      <c r="EZ10" s="528">
        <f t="shared" si="92"/>
        <v>4.7959268126290819</v>
      </c>
      <c r="FA10" s="528">
        <f t="shared" si="93"/>
        <v>0.51150000000000018</v>
      </c>
      <c r="FB10" s="460">
        <f t="shared" si="127"/>
        <v>5307.4268126290817</v>
      </c>
      <c r="FC10" s="173">
        <f t="shared" si="128"/>
        <v>6.4840647330122287</v>
      </c>
      <c r="FD10" s="5">
        <f t="shared" si="129"/>
        <v>5.0999999999999996</v>
      </c>
      <c r="FE10" s="173">
        <f t="shared" si="130"/>
        <v>0.440259970704932</v>
      </c>
      <c r="FF10" s="5">
        <f t="shared" si="131"/>
        <v>44.025997070493197</v>
      </c>
      <c r="FI10" s="562">
        <f t="shared" si="94"/>
        <v>-50</v>
      </c>
      <c r="FJ10">
        <f t="shared" si="95"/>
        <v>-50</v>
      </c>
      <c r="FL10">
        <f t="shared" si="96"/>
        <v>8.9999999999999983E-2</v>
      </c>
    </row>
    <row r="11" spans="2:168">
      <c r="E11" s="170">
        <v>6</v>
      </c>
      <c r="F11" s="217">
        <f t="shared" si="97"/>
        <v>3.5999999999999997E-2</v>
      </c>
      <c r="G11" s="217"/>
      <c r="H11" s="217">
        <f t="shared" si="0"/>
        <v>6.1199999999999992</v>
      </c>
      <c r="I11" s="541">
        <f t="shared" si="1"/>
        <v>12.034018097703177</v>
      </c>
      <c r="J11" s="172">
        <f t="shared" si="2"/>
        <v>8.5254992663238891</v>
      </c>
      <c r="K11" s="172">
        <f t="shared" si="3"/>
        <v>21.025499266323891</v>
      </c>
      <c r="L11" s="443"/>
      <c r="M11" s="217">
        <f t="shared" si="4"/>
        <v>0.41467411636231066</v>
      </c>
      <c r="N11" s="172">
        <f t="shared" si="5"/>
        <v>168.21118413129474</v>
      </c>
      <c r="O11" s="172">
        <f t="shared" si="98"/>
        <v>6.1199999999999992</v>
      </c>
      <c r="P11" s="217">
        <f t="shared" si="6"/>
        <v>0.98947755371349844</v>
      </c>
      <c r="Q11" s="217">
        <f t="shared" si="7"/>
        <v>170</v>
      </c>
      <c r="R11" s="217">
        <f t="shared" si="8"/>
        <v>0.97846976881433745</v>
      </c>
      <c r="S11" s="172">
        <f t="shared" si="9"/>
        <v>10901.94002568378</v>
      </c>
      <c r="T11" s="172">
        <f t="shared" si="10"/>
        <v>170</v>
      </c>
      <c r="U11" s="217">
        <f t="shared" si="99"/>
        <v>2.4601679854830154</v>
      </c>
      <c r="V11" s="217">
        <f t="shared" si="11"/>
        <v>0.10221722975273592</v>
      </c>
      <c r="W11" s="217">
        <f t="shared" si="12"/>
        <v>0.14428292752313002</v>
      </c>
      <c r="X11" s="197">
        <f t="shared" si="13"/>
        <v>350</v>
      </c>
      <c r="Y11" s="443">
        <f t="shared" si="14"/>
        <v>350</v>
      </c>
      <c r="AA11" s="217">
        <f t="shared" si="15"/>
        <v>28.515403254805641</v>
      </c>
      <c r="AB11" s="173">
        <f t="shared" si="16"/>
        <v>1.6723597272152015</v>
      </c>
      <c r="AC11" s="173">
        <f t="shared" si="17"/>
        <v>0.41727010507558454</v>
      </c>
      <c r="AD11" s="173"/>
      <c r="AE11" s="173">
        <f t="shared" si="18"/>
        <v>0.78196788931767369</v>
      </c>
      <c r="AF11" s="545">
        <f t="shared" si="100"/>
        <v>138.11308811444695</v>
      </c>
      <c r="AG11" s="528">
        <f t="shared" si="19"/>
        <v>9.1229587087061942E-2</v>
      </c>
      <c r="AI11" s="173">
        <f t="shared" si="20"/>
        <v>8.3757196513003844</v>
      </c>
      <c r="AJ11" s="173">
        <f t="shared" si="21"/>
        <v>13.333333333333334</v>
      </c>
      <c r="AK11" s="173">
        <f t="shared" si="22"/>
        <v>1.0789217646368268</v>
      </c>
      <c r="AM11" s="545">
        <f t="shared" si="23"/>
        <v>36</v>
      </c>
      <c r="AN11" s="460">
        <f t="shared" si="24"/>
        <v>138.11308811444695</v>
      </c>
      <c r="AP11">
        <f t="shared" si="25"/>
        <v>36</v>
      </c>
      <c r="AQ11" s="460">
        <f t="shared" si="26"/>
        <v>138.11308811444695</v>
      </c>
      <c r="AR11" s="460"/>
      <c r="AS11" s="5">
        <f t="shared" si="101"/>
        <v>7.2404434196080922</v>
      </c>
      <c r="AT11" s="5">
        <f t="shared" si="27"/>
        <v>0.55398509562978582</v>
      </c>
      <c r="AU11" s="5">
        <f t="shared" si="102"/>
        <v>6.6864583239783064</v>
      </c>
      <c r="AV11" s="5">
        <f t="shared" si="28"/>
        <v>0.78196788931767369</v>
      </c>
      <c r="AW11" s="173">
        <f t="shared" si="103"/>
        <v>7.6512592326806919E-2</v>
      </c>
      <c r="AX11" s="173">
        <f t="shared" si="29"/>
        <v>6.1383594717531986</v>
      </c>
      <c r="AY11" s="173">
        <f t="shared" si="30"/>
        <v>0.30782913589106436</v>
      </c>
      <c r="AZ11" s="173">
        <f t="shared" si="104"/>
        <v>19.940800775679214</v>
      </c>
      <c r="BA11" s="460">
        <f t="shared" si="31"/>
        <v>1.1731449083924877E-2</v>
      </c>
      <c r="BB11" s="5">
        <f t="shared" si="32"/>
        <v>5.4407263955246963</v>
      </c>
      <c r="BC11" s="5"/>
      <c r="BD11" s="173">
        <f t="shared" si="105"/>
        <v>2.1293378184995122</v>
      </c>
      <c r="BE11" s="173">
        <f t="shared" si="33"/>
        <v>0.36988234519224827</v>
      </c>
      <c r="BF11" s="173"/>
      <c r="BG11" s="528">
        <f t="shared" si="34"/>
        <v>0.18136318181169045</v>
      </c>
      <c r="BH11" s="528">
        <f t="shared" si="35"/>
        <v>0.87116898984600943</v>
      </c>
      <c r="BI11" s="528">
        <f t="shared" si="36"/>
        <v>6.6482216075957126E-2</v>
      </c>
      <c r="BJ11" s="528">
        <f t="shared" si="37"/>
        <v>1.2211175304567598E-2</v>
      </c>
      <c r="BK11">
        <f t="shared" si="38"/>
        <v>5.4153081439664297E-3</v>
      </c>
      <c r="BL11" s="460">
        <f t="shared" si="106"/>
        <v>71.897524219923554</v>
      </c>
      <c r="BM11" s="528">
        <f t="shared" si="39"/>
        <v>1.1638645307095974</v>
      </c>
      <c r="BN11" s="460">
        <f t="shared" si="107"/>
        <v>1163.8645307095974</v>
      </c>
      <c r="BO11" s="528">
        <f t="shared" si="108"/>
        <v>3.1247999999999995E-2</v>
      </c>
      <c r="BP11" s="528"/>
      <c r="BR11" s="460">
        <f t="shared" si="109"/>
        <v>31.247999999999994</v>
      </c>
      <c r="BS11" s="528">
        <f t="shared" si="40"/>
        <v>0.13602238635876784</v>
      </c>
      <c r="BT11" s="528">
        <f t="shared" si="41"/>
        <v>4.1043884785475259E-3</v>
      </c>
      <c r="BU11" s="528">
        <f t="shared" si="42"/>
        <v>9.1799999999999979E-2</v>
      </c>
      <c r="BV11" s="528">
        <f t="shared" si="43"/>
        <v>0.26856788492138406</v>
      </c>
      <c r="BW11" s="528">
        <f t="shared" si="44"/>
        <v>0.61383594717531986</v>
      </c>
      <c r="BX11" s="460">
        <f t="shared" si="110"/>
        <v>882.40383209670392</v>
      </c>
      <c r="BY11" s="173">
        <f t="shared" si="45"/>
        <v>2.1494138870262249</v>
      </c>
      <c r="BZ11" s="5">
        <f t="shared" si="111"/>
        <v>6.1199999999999992</v>
      </c>
      <c r="CA11" s="173">
        <f t="shared" si="112"/>
        <v>0.74007663464536311</v>
      </c>
      <c r="CB11" s="5">
        <f t="shared" si="113"/>
        <v>74.007663464536307</v>
      </c>
      <c r="CE11" s="562">
        <f t="shared" si="46"/>
        <v>-50</v>
      </c>
      <c r="CF11">
        <f t="shared" si="47"/>
        <v>-50</v>
      </c>
      <c r="CG11" s="173">
        <f t="shared" si="48"/>
        <v>0.10815870691882803</v>
      </c>
      <c r="CI11" s="170">
        <v>6</v>
      </c>
      <c r="CJ11" s="217">
        <f t="shared" si="114"/>
        <v>3.5999999999999997E-2</v>
      </c>
      <c r="CK11" s="217"/>
      <c r="CL11" s="217">
        <f t="shared" si="49"/>
        <v>6.1199999999999992</v>
      </c>
      <c r="CM11" s="541">
        <f t="shared" si="50"/>
        <v>12.5</v>
      </c>
      <c r="CN11" s="172">
        <f t="shared" si="51"/>
        <v>8.5250000000000004</v>
      </c>
      <c r="CO11" s="443">
        <f t="shared" si="52"/>
        <v>21.024999999999999</v>
      </c>
      <c r="CP11" s="443"/>
      <c r="CQ11" s="217">
        <f t="shared" si="53"/>
        <v>0.40546967895362668</v>
      </c>
      <c r="CR11" s="172">
        <f t="shared" si="54"/>
        <v>170.84633868410626</v>
      </c>
      <c r="CS11" s="172">
        <f t="shared" si="115"/>
        <v>6.1199999999999992</v>
      </c>
      <c r="CT11" s="217">
        <f t="shared" si="55"/>
        <v>1.0049784628476839</v>
      </c>
      <c r="CU11" s="217">
        <f t="shared" si="56"/>
        <v>170</v>
      </c>
      <c r="CV11" s="217">
        <f t="shared" si="57"/>
        <v>0.99379823272947732</v>
      </c>
      <c r="CW11" s="172">
        <f t="shared" si="58"/>
        <v>11324.085112006042</v>
      </c>
      <c r="CX11" s="172">
        <f t="shared" si="59"/>
        <v>170</v>
      </c>
      <c r="CY11" s="217">
        <f t="shared" si="60"/>
        <v>2.4149771260997062</v>
      </c>
      <c r="CZ11" s="217">
        <f t="shared" si="61"/>
        <v>9.6599085043988245E-2</v>
      </c>
      <c r="DA11" s="217">
        <f t="shared" si="62"/>
        <v>0.14164088716127307</v>
      </c>
      <c r="DB11" s="197">
        <f t="shared" si="63"/>
        <v>350</v>
      </c>
      <c r="DC11" s="443">
        <f t="shared" si="116"/>
        <v>350</v>
      </c>
      <c r="DE11" s="217">
        <f t="shared" si="64"/>
        <v>28.962119925259049</v>
      </c>
      <c r="DF11" s="173">
        <f t="shared" si="65"/>
        <v>1.6986580601324954</v>
      </c>
      <c r="DG11" s="173">
        <f t="shared" si="66"/>
        <v>0.4304714614336958</v>
      </c>
      <c r="DH11" s="173"/>
      <c r="DI11" s="173">
        <f t="shared" si="67"/>
        <v>0.78201368523949166</v>
      </c>
      <c r="DJ11" s="545">
        <f t="shared" si="117"/>
        <v>138.10499999999999</v>
      </c>
      <c r="DK11" s="528">
        <f t="shared" si="68"/>
        <v>9.1234929944607357E-2</v>
      </c>
      <c r="DM11" s="173">
        <f t="shared" si="69"/>
        <v>8.3754744002099031</v>
      </c>
      <c r="DN11" s="173">
        <f t="shared" si="70"/>
        <v>13.333333333333334</v>
      </c>
      <c r="DO11" s="173">
        <f t="shared" si="71"/>
        <v>1.0789171428571429</v>
      </c>
      <c r="DQ11" s="545">
        <f t="shared" si="72"/>
        <v>36</v>
      </c>
      <c r="DR11" s="460">
        <f t="shared" si="73"/>
        <v>138.10499999999999</v>
      </c>
      <c r="DT11">
        <f t="shared" si="74"/>
        <v>36</v>
      </c>
      <c r="DU11" s="460">
        <f t="shared" si="75"/>
        <v>138.10499999999999</v>
      </c>
      <c r="DV11" s="460"/>
      <c r="DW11" s="5">
        <f t="shared" si="118"/>
        <v>7.2408674559212196</v>
      </c>
      <c r="DX11" s="5">
        <f t="shared" si="76"/>
        <v>0.53333333333333333</v>
      </c>
      <c r="DY11" s="5">
        <f t="shared" si="119"/>
        <v>6.7075341225878864</v>
      </c>
      <c r="DZ11" s="5">
        <f t="shared" si="77"/>
        <v>0.78201368523949166</v>
      </c>
      <c r="EA11" s="173">
        <f t="shared" si="120"/>
        <v>7.3655999999999999E-2</v>
      </c>
      <c r="EB11" s="173">
        <f t="shared" si="78"/>
        <v>6.1379999999999999</v>
      </c>
      <c r="EC11" s="173">
        <f t="shared" si="79"/>
        <v>0.30878133333333341</v>
      </c>
      <c r="ED11" s="173">
        <f t="shared" si="121"/>
        <v>19.878144620141107</v>
      </c>
      <c r="EE11" s="460">
        <f t="shared" si="80"/>
        <v>1.1294117647058823E-2</v>
      </c>
      <c r="EF11" s="5">
        <f t="shared" si="81"/>
        <v>5.254413930270446</v>
      </c>
      <c r="EG11" s="5"/>
      <c r="EH11" s="173">
        <f t="shared" si="122"/>
        <v>2.0892103771520953</v>
      </c>
      <c r="EI11" s="173">
        <f t="shared" si="82"/>
        <v>0.37045397574887512</v>
      </c>
      <c r="EJ11" s="173"/>
      <c r="EK11" s="528">
        <f t="shared" si="83"/>
        <v>0.17459200000000002</v>
      </c>
      <c r="EL11" s="528">
        <f t="shared" si="84"/>
        <v>1.0646744625</v>
      </c>
      <c r="EM11" s="528">
        <f t="shared" si="85"/>
        <v>2.7620999999999996E-2</v>
      </c>
      <c r="EN11" s="528">
        <f t="shared" si="86"/>
        <v>1.2209880313124999E-2</v>
      </c>
      <c r="EO11">
        <f t="shared" si="87"/>
        <v>5.6249999999999998E-3</v>
      </c>
      <c r="EP11" s="460">
        <f t="shared" si="123"/>
        <v>33.245999999999995</v>
      </c>
      <c r="EQ11" s="528">
        <f t="shared" si="88"/>
        <v>1.3895030188006092</v>
      </c>
      <c r="ER11" s="460">
        <f t="shared" si="124"/>
        <v>1389.5030188006092</v>
      </c>
      <c r="ES11" s="528">
        <f t="shared" si="125"/>
        <v>3.1247999999999995E-2</v>
      </c>
      <c r="ET11" s="528"/>
      <c r="EV11" s="460">
        <f t="shared" si="126"/>
        <v>31.247999999999994</v>
      </c>
      <c r="EW11" s="528">
        <f t="shared" si="89"/>
        <v>0.130944</v>
      </c>
      <c r="EX11" s="528">
        <f t="shared" si="90"/>
        <v>4.1170844444444448E-3</v>
      </c>
      <c r="EY11" s="528">
        <f t="shared" si="91"/>
        <v>7.2751231854063105</v>
      </c>
      <c r="EZ11" s="528">
        <f t="shared" si="92"/>
        <v>7.5238937500475176</v>
      </c>
      <c r="FA11" s="528">
        <f t="shared" si="93"/>
        <v>0.61380000000000001</v>
      </c>
      <c r="FB11" s="460">
        <f t="shared" si="127"/>
        <v>8137.6937500475178</v>
      </c>
      <c r="FC11" s="173">
        <f t="shared" si="128"/>
        <v>9.5584447688481262</v>
      </c>
      <c r="FD11" s="5">
        <f t="shared" si="129"/>
        <v>6.1199999999999992</v>
      </c>
      <c r="FE11" s="173">
        <f t="shared" si="130"/>
        <v>0.39034483905954581</v>
      </c>
      <c r="FF11" s="5">
        <f t="shared" si="131"/>
        <v>39.034483905954581</v>
      </c>
      <c r="FI11" s="562">
        <f t="shared" si="94"/>
        <v>-50</v>
      </c>
      <c r="FJ11">
        <f t="shared" si="95"/>
        <v>-50</v>
      </c>
      <c r="FL11">
        <f t="shared" si="96"/>
        <v>0.10799999999999998</v>
      </c>
    </row>
    <row r="12" spans="2:168">
      <c r="E12" s="170">
        <v>7</v>
      </c>
      <c r="F12" s="217">
        <f t="shared" si="97"/>
        <v>4.2000000000000003E-2</v>
      </c>
      <c r="G12" s="217"/>
      <c r="H12" s="217">
        <f t="shared" si="0"/>
        <v>7.1400000000000006</v>
      </c>
      <c r="I12" s="541">
        <f t="shared" si="1"/>
        <v>12.034018097703177</v>
      </c>
      <c r="J12" s="172">
        <f t="shared" si="2"/>
        <v>8.5254992663238891</v>
      </c>
      <c r="K12" s="172">
        <f t="shared" si="3"/>
        <v>21.025499266323891</v>
      </c>
      <c r="L12" s="443"/>
      <c r="M12" s="217">
        <f t="shared" si="4"/>
        <v>0.41467411636231066</v>
      </c>
      <c r="N12" s="172">
        <f t="shared" si="5"/>
        <v>168.21118413129474</v>
      </c>
      <c r="O12" s="172">
        <f t="shared" si="98"/>
        <v>7.1400000000000006</v>
      </c>
      <c r="P12" s="217">
        <f t="shared" si="6"/>
        <v>0.98947755371349844</v>
      </c>
      <c r="Q12" s="217">
        <f t="shared" si="7"/>
        <v>170</v>
      </c>
      <c r="R12" s="217">
        <f t="shared" si="8"/>
        <v>0.97846976881433745</v>
      </c>
      <c r="S12" s="172">
        <f t="shared" si="9"/>
        <v>9310.1405771123518</v>
      </c>
      <c r="T12" s="172">
        <f t="shared" si="10"/>
        <v>170</v>
      </c>
      <c r="U12" s="217">
        <f t="shared" si="99"/>
        <v>2.870195983063518</v>
      </c>
      <c r="V12" s="217">
        <f t="shared" si="11"/>
        <v>0.11925343471152523</v>
      </c>
      <c r="W12" s="217">
        <f t="shared" si="12"/>
        <v>0.16833008211031833</v>
      </c>
      <c r="X12" s="197">
        <f t="shared" si="13"/>
        <v>350</v>
      </c>
      <c r="Y12" s="443">
        <f t="shared" si="14"/>
        <v>350</v>
      </c>
      <c r="AA12" s="217">
        <f t="shared" si="15"/>
        <v>28.515403254805641</v>
      </c>
      <c r="AB12" s="173">
        <f t="shared" si="16"/>
        <v>1.6723597272152015</v>
      </c>
      <c r="AC12" s="173">
        <f t="shared" si="17"/>
        <v>0.41727010507558454</v>
      </c>
      <c r="AD12" s="173"/>
      <c r="AE12" s="173">
        <f t="shared" si="18"/>
        <v>0.78196788931767369</v>
      </c>
      <c r="AF12" s="545">
        <f t="shared" si="100"/>
        <v>161.13193613352149</v>
      </c>
      <c r="AG12" s="528">
        <f t="shared" si="19"/>
        <v>9.1229587087061942E-2</v>
      </c>
      <c r="AI12" s="173">
        <f t="shared" si="20"/>
        <v>9.0468112037728172</v>
      </c>
      <c r="AJ12" s="173">
        <f t="shared" si="21"/>
        <v>13.333333333333334</v>
      </c>
      <c r="AK12" s="173">
        <f t="shared" si="22"/>
        <v>1.092075392076298</v>
      </c>
      <c r="AM12" s="545">
        <f t="shared" si="23"/>
        <v>42</v>
      </c>
      <c r="AN12" s="460">
        <f t="shared" si="24"/>
        <v>161.13193613352149</v>
      </c>
      <c r="AP12">
        <f t="shared" si="25"/>
        <v>42</v>
      </c>
      <c r="AQ12" s="460">
        <f t="shared" si="26"/>
        <v>161.13193613352149</v>
      </c>
      <c r="AR12" s="460"/>
      <c r="AS12" s="5">
        <f t="shared" si="101"/>
        <v>6.2060943596640765</v>
      </c>
      <c r="AT12" s="5">
        <f t="shared" si="27"/>
        <v>0.55398509562978582</v>
      </c>
      <c r="AU12" s="5">
        <f t="shared" si="102"/>
        <v>5.6521092640342907</v>
      </c>
      <c r="AV12" s="5">
        <f t="shared" si="28"/>
        <v>0.78196788931767369</v>
      </c>
      <c r="AW12" s="173">
        <f t="shared" si="103"/>
        <v>8.926469104794145E-2</v>
      </c>
      <c r="AX12" s="173">
        <f t="shared" si="29"/>
        <v>7.161419383712067</v>
      </c>
      <c r="AY12" s="173">
        <f t="shared" si="30"/>
        <v>0.30357843631735287</v>
      </c>
      <c r="AZ12" s="173">
        <f t="shared" si="104"/>
        <v>23.590013409996317</v>
      </c>
      <c r="BA12" s="460">
        <f t="shared" si="31"/>
        <v>1.3686690597912355E-2</v>
      </c>
      <c r="BB12" s="5">
        <f t="shared" si="32"/>
        <v>5.3655974013078458</v>
      </c>
      <c r="BC12" s="5"/>
      <c r="BD12" s="173">
        <f t="shared" si="105"/>
        <v>2.2999477101681336</v>
      </c>
      <c r="BE12" s="173">
        <f t="shared" si="33"/>
        <v>0.36731968293896128</v>
      </c>
      <c r="BF12" s="173"/>
      <c r="BG12" s="528">
        <f t="shared" si="34"/>
        <v>0.21159037878030565</v>
      </c>
      <c r="BH12" s="528">
        <f t="shared" si="35"/>
        <v>1.0163638214870114</v>
      </c>
      <c r="BI12" s="528">
        <f t="shared" si="36"/>
        <v>7.7562585421950006E-2</v>
      </c>
      <c r="BJ12" s="528">
        <f t="shared" si="37"/>
        <v>1.4246371188662201E-2</v>
      </c>
      <c r="BK12">
        <f t="shared" si="38"/>
        <v>5.4153081439664297E-3</v>
      </c>
      <c r="BL12" s="460">
        <f t="shared" si="106"/>
        <v>82.977893565916432</v>
      </c>
      <c r="BM12" s="528">
        <f t="shared" si="39"/>
        <v>1.3681101721362987</v>
      </c>
      <c r="BN12" s="460">
        <f t="shared" si="107"/>
        <v>1368.1101721362986</v>
      </c>
      <c r="BO12" s="528">
        <f t="shared" si="108"/>
        <v>3.6455999999999995E-2</v>
      </c>
      <c r="BP12" s="528"/>
      <c r="BR12" s="460">
        <f t="shared" si="109"/>
        <v>36.455999999999996</v>
      </c>
      <c r="BS12" s="528">
        <f t="shared" si="40"/>
        <v>0.15869278408522922</v>
      </c>
      <c r="BT12" s="528">
        <f t="shared" si="41"/>
        <v>4.0477124842313713E-3</v>
      </c>
      <c r="BU12" s="528">
        <f t="shared" si="42"/>
        <v>0.1071</v>
      </c>
      <c r="BV12" s="528">
        <f t="shared" si="43"/>
        <v>0.31297288476042612</v>
      </c>
      <c r="BW12" s="528">
        <f t="shared" si="44"/>
        <v>0.71614193837120665</v>
      </c>
      <c r="BX12" s="460">
        <f t="shared" si="110"/>
        <v>1029.1148231316326</v>
      </c>
      <c r="BY12" s="173">
        <f t="shared" si="45"/>
        <v>2.5166588888338479</v>
      </c>
      <c r="BZ12" s="5">
        <f t="shared" si="111"/>
        <v>7.1400000000000006</v>
      </c>
      <c r="CA12" s="173">
        <f t="shared" si="112"/>
        <v>0.73938616680931935</v>
      </c>
      <c r="CB12" s="5">
        <f t="shared" si="113"/>
        <v>73.938616680931929</v>
      </c>
      <c r="CE12" s="562">
        <f t="shared" si="46"/>
        <v>-50</v>
      </c>
      <c r="CF12">
        <f t="shared" si="47"/>
        <v>-50</v>
      </c>
      <c r="CG12" s="173">
        <f t="shared" si="48"/>
        <v>0.12618515807196604</v>
      </c>
      <c r="CI12" s="170">
        <v>7</v>
      </c>
      <c r="CJ12" s="217">
        <f t="shared" si="114"/>
        <v>4.2000000000000003E-2</v>
      </c>
      <c r="CK12" s="217"/>
      <c r="CL12" s="217">
        <f t="shared" si="49"/>
        <v>7.1400000000000006</v>
      </c>
      <c r="CM12" s="541">
        <f t="shared" si="50"/>
        <v>12.5</v>
      </c>
      <c r="CN12" s="172">
        <f t="shared" si="51"/>
        <v>8.5250000000000004</v>
      </c>
      <c r="CO12" s="443">
        <f t="shared" si="52"/>
        <v>21.024999999999999</v>
      </c>
      <c r="CP12" s="443"/>
      <c r="CQ12" s="217">
        <f t="shared" si="53"/>
        <v>0.40546967895362668</v>
      </c>
      <c r="CR12" s="172">
        <f t="shared" si="54"/>
        <v>170.84633868410626</v>
      </c>
      <c r="CS12" s="172">
        <f t="shared" si="115"/>
        <v>7.1400000000000006</v>
      </c>
      <c r="CT12" s="217">
        <f t="shared" si="55"/>
        <v>1.0049784628476839</v>
      </c>
      <c r="CU12" s="217">
        <f t="shared" si="56"/>
        <v>170</v>
      </c>
      <c r="CV12" s="217">
        <f t="shared" si="57"/>
        <v>0.99379823272947732</v>
      </c>
      <c r="CW12" s="172">
        <f t="shared" si="58"/>
        <v>9670.6478456777386</v>
      </c>
      <c r="CX12" s="172">
        <f t="shared" si="59"/>
        <v>170</v>
      </c>
      <c r="CY12" s="217">
        <f t="shared" si="60"/>
        <v>2.8174733137829908</v>
      </c>
      <c r="CZ12" s="217">
        <f t="shared" si="61"/>
        <v>0.11269893255131963</v>
      </c>
      <c r="DA12" s="217">
        <f t="shared" si="62"/>
        <v>0.16524770168815192</v>
      </c>
      <c r="DB12" s="197">
        <f t="shared" si="63"/>
        <v>350</v>
      </c>
      <c r="DC12" s="443">
        <f t="shared" si="116"/>
        <v>350</v>
      </c>
      <c r="DE12" s="217">
        <f t="shared" si="64"/>
        <v>28.962119925259049</v>
      </c>
      <c r="DF12" s="173">
        <f t="shared" si="65"/>
        <v>1.6986580601324954</v>
      </c>
      <c r="DG12" s="173">
        <f t="shared" si="66"/>
        <v>0.4304714614336958</v>
      </c>
      <c r="DH12" s="173"/>
      <c r="DI12" s="173">
        <f t="shared" si="67"/>
        <v>0.78201368523949166</v>
      </c>
      <c r="DJ12" s="545">
        <f t="shared" si="117"/>
        <v>161.1225</v>
      </c>
      <c r="DK12" s="528">
        <f t="shared" si="68"/>
        <v>9.1234929944607357E-2</v>
      </c>
      <c r="DM12" s="173">
        <f t="shared" si="69"/>
        <v>9.0465463023189141</v>
      </c>
      <c r="DN12" s="173">
        <f t="shared" si="70"/>
        <v>13.333333333333334</v>
      </c>
      <c r="DO12" s="173">
        <f t="shared" si="71"/>
        <v>1.0920700000000001</v>
      </c>
      <c r="DQ12" s="545">
        <f t="shared" si="72"/>
        <v>42</v>
      </c>
      <c r="DR12" s="460">
        <f t="shared" si="73"/>
        <v>161.1225</v>
      </c>
      <c r="DT12">
        <f t="shared" si="74"/>
        <v>42</v>
      </c>
      <c r="DU12" s="460">
        <f t="shared" si="75"/>
        <v>161.1225</v>
      </c>
      <c r="DV12" s="460"/>
      <c r="DW12" s="5">
        <f t="shared" si="118"/>
        <v>6.2064578193610451</v>
      </c>
      <c r="DX12" s="5">
        <f t="shared" si="76"/>
        <v>0.53333333333333333</v>
      </c>
      <c r="DY12" s="5">
        <f t="shared" si="119"/>
        <v>5.6731244860277119</v>
      </c>
      <c r="DZ12" s="5">
        <f t="shared" si="77"/>
        <v>0.78201368523949166</v>
      </c>
      <c r="EA12" s="173">
        <f t="shared" si="120"/>
        <v>8.5931999999999994E-2</v>
      </c>
      <c r="EB12" s="173">
        <f t="shared" si="78"/>
        <v>7.1610000000000005</v>
      </c>
      <c r="EC12" s="173">
        <f t="shared" si="79"/>
        <v>0.30468933333333337</v>
      </c>
      <c r="ED12" s="173">
        <f t="shared" si="121"/>
        <v>23.502627813248029</v>
      </c>
      <c r="EE12" s="460">
        <f t="shared" si="80"/>
        <v>1.3176470588235295E-2</v>
      </c>
      <c r="EF12" s="5">
        <f t="shared" si="81"/>
        <v>5.1847819302704465</v>
      </c>
      <c r="EG12" s="5"/>
      <c r="EH12" s="173">
        <f t="shared" si="122"/>
        <v>2.2566051197909367</v>
      </c>
      <c r="EI12" s="173">
        <f t="shared" si="82"/>
        <v>0.36799114321065052</v>
      </c>
      <c r="EJ12" s="173"/>
      <c r="EK12" s="528">
        <f t="shared" si="83"/>
        <v>0.20369066666666671</v>
      </c>
      <c r="EL12" s="528">
        <f t="shared" si="84"/>
        <v>1.2421202062500001</v>
      </c>
      <c r="EM12" s="528">
        <f t="shared" si="85"/>
        <v>3.2224499999999996E-2</v>
      </c>
      <c r="EN12" s="528">
        <f t="shared" si="86"/>
        <v>1.4244860365312501E-2</v>
      </c>
      <c r="EO12">
        <f t="shared" si="87"/>
        <v>5.6249999999999998E-3</v>
      </c>
      <c r="EP12" s="460">
        <f t="shared" si="123"/>
        <v>37.849499999999992</v>
      </c>
      <c r="EQ12" s="528">
        <f t="shared" si="88"/>
        <v>1.631879632588934</v>
      </c>
      <c r="ER12" s="460">
        <f t="shared" si="124"/>
        <v>1631.8796325889339</v>
      </c>
      <c r="ES12" s="528">
        <f t="shared" si="125"/>
        <v>3.6455999999999995E-2</v>
      </c>
      <c r="ET12" s="528"/>
      <c r="EV12" s="460">
        <f t="shared" si="126"/>
        <v>36.455999999999996</v>
      </c>
      <c r="EW12" s="528">
        <f t="shared" si="89"/>
        <v>0.15276800000000004</v>
      </c>
      <c r="EX12" s="528">
        <f t="shared" si="90"/>
        <v>4.0625244444444444E-3</v>
      </c>
      <c r="EY12" s="528">
        <f t="shared" si="91"/>
        <v>10.695653512805897</v>
      </c>
      <c r="EZ12" s="528">
        <f t="shared" si="92"/>
        <v>11.028491694013272</v>
      </c>
      <c r="FA12" s="528">
        <f t="shared" si="93"/>
        <v>0.71610000000000007</v>
      </c>
      <c r="FB12" s="460">
        <f t="shared" si="127"/>
        <v>11744.591694013274</v>
      </c>
      <c r="FC12" s="173">
        <f t="shared" si="128"/>
        <v>13.412927326602208</v>
      </c>
      <c r="FD12" s="5">
        <f t="shared" si="129"/>
        <v>7.1400000000000006</v>
      </c>
      <c r="FE12" s="173">
        <f t="shared" si="130"/>
        <v>0.3473957693003909</v>
      </c>
      <c r="FF12" s="5">
        <f t="shared" si="131"/>
        <v>34.739576930039092</v>
      </c>
      <c r="FI12" s="562">
        <f t="shared" si="94"/>
        <v>-50</v>
      </c>
      <c r="FJ12">
        <f t="shared" si="95"/>
        <v>-50</v>
      </c>
      <c r="FL12">
        <f t="shared" si="96"/>
        <v>0.126</v>
      </c>
    </row>
    <row r="13" spans="2:168" s="76" customFormat="1">
      <c r="E13" s="189">
        <v>8</v>
      </c>
      <c r="F13" s="217">
        <f t="shared" si="97"/>
        <v>4.8000000000000001E-2</v>
      </c>
      <c r="G13" s="217"/>
      <c r="H13" s="217">
        <f t="shared" si="0"/>
        <v>8.16</v>
      </c>
      <c r="I13" s="541">
        <f t="shared" si="1"/>
        <v>12.034018097703177</v>
      </c>
      <c r="J13" s="172">
        <f t="shared" si="2"/>
        <v>8.5254992663238891</v>
      </c>
      <c r="K13" s="172">
        <f t="shared" si="3"/>
        <v>21.025499266323891</v>
      </c>
      <c r="L13" s="535"/>
      <c r="M13" s="217">
        <f t="shared" si="4"/>
        <v>0.41467411636231066</v>
      </c>
      <c r="N13" s="172">
        <f t="shared" si="5"/>
        <v>168.21118413129474</v>
      </c>
      <c r="O13" s="172">
        <f t="shared" si="98"/>
        <v>8.16</v>
      </c>
      <c r="P13" s="329">
        <f t="shared" si="6"/>
        <v>0.98947755371349844</v>
      </c>
      <c r="Q13" s="217">
        <f t="shared" si="7"/>
        <v>170</v>
      </c>
      <c r="R13" s="217">
        <f t="shared" si="8"/>
        <v>0.97846976881433745</v>
      </c>
      <c r="S13" s="172">
        <f t="shared" si="9"/>
        <v>8116.2914764174939</v>
      </c>
      <c r="T13" s="172">
        <f t="shared" si="10"/>
        <v>170</v>
      </c>
      <c r="U13" s="217">
        <f t="shared" si="99"/>
        <v>3.2802239806440205</v>
      </c>
      <c r="V13" s="217">
        <f t="shared" si="11"/>
        <v>0.13628963967031454</v>
      </c>
      <c r="W13" s="217">
        <f t="shared" si="12"/>
        <v>0.19237723669750664</v>
      </c>
      <c r="X13" s="537">
        <f t="shared" si="13"/>
        <v>350</v>
      </c>
      <c r="Y13" s="443">
        <f t="shared" si="14"/>
        <v>350</v>
      </c>
      <c r="AA13" s="329">
        <f t="shared" si="15"/>
        <v>28.515403254805641</v>
      </c>
      <c r="AB13" s="173">
        <f t="shared" si="16"/>
        <v>1.6723597272152015</v>
      </c>
      <c r="AC13" s="538">
        <f t="shared" si="17"/>
        <v>0.41727010507558454</v>
      </c>
      <c r="AD13" s="538"/>
      <c r="AE13" s="173">
        <f t="shared" si="18"/>
        <v>0.78196788931767369</v>
      </c>
      <c r="AF13" s="545">
        <f t="shared" si="100"/>
        <v>184.15078415259597</v>
      </c>
      <c r="AG13" s="528">
        <f t="shared" si="19"/>
        <v>9.1229587087061942E-2</v>
      </c>
      <c r="AH13"/>
      <c r="AI13" s="173">
        <f t="shared" si="20"/>
        <v>9.6714479906702309</v>
      </c>
      <c r="AJ13" s="173">
        <f t="shared" si="21"/>
        <v>13.333333333333334</v>
      </c>
      <c r="AK13" s="173">
        <f t="shared" si="22"/>
        <v>1.105229019515769</v>
      </c>
      <c r="AM13" s="545">
        <f t="shared" si="23"/>
        <v>48</v>
      </c>
      <c r="AN13" s="460">
        <f t="shared" si="24"/>
        <v>184.15078415259597</v>
      </c>
      <c r="AP13">
        <f t="shared" si="25"/>
        <v>48</v>
      </c>
      <c r="AQ13" s="460">
        <f t="shared" si="26"/>
        <v>184.15078415259597</v>
      </c>
      <c r="AR13" s="460"/>
      <c r="AS13" s="5">
        <f t="shared" si="101"/>
        <v>5.4303325647060676</v>
      </c>
      <c r="AT13" s="5">
        <f t="shared" si="27"/>
        <v>0.55398509562978582</v>
      </c>
      <c r="AU13" s="5">
        <f t="shared" si="102"/>
        <v>4.8763474690762818</v>
      </c>
      <c r="AV13" s="5">
        <f t="shared" si="28"/>
        <v>0.78196788931767369</v>
      </c>
      <c r="AW13" s="173">
        <f t="shared" si="103"/>
        <v>0.10201678976907592</v>
      </c>
      <c r="AX13" s="173">
        <f t="shared" si="29"/>
        <v>8.1844792956709327</v>
      </c>
      <c r="AY13" s="173">
        <f t="shared" si="30"/>
        <v>0.29932773674364138</v>
      </c>
      <c r="AZ13" s="173">
        <f t="shared" si="104"/>
        <v>27.342869674254455</v>
      </c>
      <c r="BA13" s="460">
        <f t="shared" si="31"/>
        <v>1.5641932111899837E-2</v>
      </c>
      <c r="BB13" s="5">
        <f t="shared" si="32"/>
        <v>5.2904684070909953</v>
      </c>
      <c r="BC13" s="5"/>
      <c r="BD13" s="173">
        <f t="shared" si="105"/>
        <v>2.4587475254126883</v>
      </c>
      <c r="BE13" s="173">
        <f t="shared" si="33"/>
        <v>0.36473901582342499</v>
      </c>
      <c r="BF13" s="173"/>
      <c r="BG13" s="528">
        <f t="shared" si="34"/>
        <v>0.24181757574892071</v>
      </c>
      <c r="BH13" s="528">
        <f t="shared" si="35"/>
        <v>1.1615586531280129</v>
      </c>
      <c r="BI13" s="528">
        <f t="shared" si="36"/>
        <v>8.8642954767942858E-2</v>
      </c>
      <c r="BJ13" s="528">
        <f t="shared" si="37"/>
        <v>1.6281567072756801E-2</v>
      </c>
      <c r="BK13">
        <f t="shared" si="38"/>
        <v>5.4153081439664297E-3</v>
      </c>
      <c r="BL13" s="460">
        <f t="shared" si="106"/>
        <v>94.058262911909281</v>
      </c>
      <c r="BM13" s="528">
        <f t="shared" si="39"/>
        <v>1.5754684285627041</v>
      </c>
      <c r="BN13" s="460">
        <f t="shared" si="107"/>
        <v>1575.468428562704</v>
      </c>
      <c r="BO13" s="528">
        <f t="shared" si="108"/>
        <v>4.1664E-2</v>
      </c>
      <c r="BP13" s="528"/>
      <c r="BR13" s="460">
        <f t="shared" si="109"/>
        <v>41.664000000000001</v>
      </c>
      <c r="BS13" s="528">
        <f t="shared" si="40"/>
        <v>0.18136318181169053</v>
      </c>
      <c r="BT13" s="528">
        <f t="shared" si="41"/>
        <v>3.9910364899152203E-3</v>
      </c>
      <c r="BU13" s="528">
        <f t="shared" si="42"/>
        <v>0.12239999999999999</v>
      </c>
      <c r="BV13" s="528">
        <f t="shared" si="43"/>
        <v>0.35754096883716002</v>
      </c>
      <c r="BW13" s="528">
        <f t="shared" si="44"/>
        <v>0.81844792956709334</v>
      </c>
      <c r="BX13" s="460">
        <f t="shared" si="110"/>
        <v>1175.9888984042534</v>
      </c>
      <c r="BY13" s="173">
        <f t="shared" si="45"/>
        <v>2.8871795898788668</v>
      </c>
      <c r="BZ13" s="5">
        <f t="shared" si="111"/>
        <v>8.16</v>
      </c>
      <c r="CA13" s="173">
        <f t="shared" si="112"/>
        <v>0.73865007204879474</v>
      </c>
      <c r="CB13" s="5">
        <f t="shared" si="113"/>
        <v>73.865007204879475</v>
      </c>
      <c r="CE13" s="562">
        <f t="shared" si="46"/>
        <v>-50</v>
      </c>
      <c r="CF13">
        <f t="shared" si="47"/>
        <v>-50</v>
      </c>
      <c r="CG13" s="173">
        <f t="shared" si="48"/>
        <v>0.14421160922510404</v>
      </c>
      <c r="CH13"/>
      <c r="CI13" s="189">
        <v>8</v>
      </c>
      <c r="CJ13" s="217">
        <f t="shared" si="114"/>
        <v>4.8000000000000001E-2</v>
      </c>
      <c r="CK13" s="217"/>
      <c r="CL13" s="217">
        <f t="shared" si="49"/>
        <v>8.16</v>
      </c>
      <c r="CM13" s="541">
        <f t="shared" si="50"/>
        <v>12.5</v>
      </c>
      <c r="CN13" s="172">
        <f t="shared" si="51"/>
        <v>8.5250000000000004</v>
      </c>
      <c r="CO13" s="535">
        <f t="shared" si="52"/>
        <v>21.024999999999999</v>
      </c>
      <c r="CP13" s="535"/>
      <c r="CQ13" s="329">
        <f t="shared" si="53"/>
        <v>0.40546967895362668</v>
      </c>
      <c r="CR13" s="172">
        <f t="shared" si="54"/>
        <v>170.84633868410626</v>
      </c>
      <c r="CS13" s="172">
        <f t="shared" si="115"/>
        <v>8.16</v>
      </c>
      <c r="CT13" s="329">
        <f t="shared" si="55"/>
        <v>1.0049784628476839</v>
      </c>
      <c r="CU13" s="217">
        <f t="shared" si="56"/>
        <v>170</v>
      </c>
      <c r="CV13" s="217">
        <f t="shared" si="57"/>
        <v>0.99379823272947732</v>
      </c>
      <c r="CW13" s="172">
        <f t="shared" si="58"/>
        <v>8430.5703816682962</v>
      </c>
      <c r="CX13" s="172">
        <f t="shared" si="59"/>
        <v>170</v>
      </c>
      <c r="CY13" s="217">
        <f t="shared" si="60"/>
        <v>3.219969501466275</v>
      </c>
      <c r="CZ13" s="329">
        <f t="shared" si="61"/>
        <v>0.128798780058651</v>
      </c>
      <c r="DA13" s="217">
        <f t="shared" si="62"/>
        <v>0.18885451621503077</v>
      </c>
      <c r="DB13" s="537">
        <f t="shared" si="63"/>
        <v>350</v>
      </c>
      <c r="DC13" s="535">
        <f t="shared" si="116"/>
        <v>350</v>
      </c>
      <c r="DE13" s="329">
        <f t="shared" si="64"/>
        <v>28.962119925259049</v>
      </c>
      <c r="DF13" s="173">
        <f t="shared" si="65"/>
        <v>1.6986580601324954</v>
      </c>
      <c r="DG13" s="538">
        <f t="shared" si="66"/>
        <v>0.4304714614336958</v>
      </c>
      <c r="DH13" s="538"/>
      <c r="DI13" s="173">
        <f t="shared" si="67"/>
        <v>0.78201368523949166</v>
      </c>
      <c r="DJ13" s="545">
        <f t="shared" si="117"/>
        <v>184.14</v>
      </c>
      <c r="DK13" s="528">
        <f t="shared" si="68"/>
        <v>9.1234929944607357E-2</v>
      </c>
      <c r="DL13"/>
      <c r="DM13" s="173">
        <f t="shared" si="69"/>
        <v>9.6711647991040142</v>
      </c>
      <c r="DN13" s="173">
        <f t="shared" si="70"/>
        <v>13.333333333333334</v>
      </c>
      <c r="DO13" s="173">
        <f t="shared" si="71"/>
        <v>1.1052228571428571</v>
      </c>
      <c r="DQ13" s="545">
        <f t="shared" si="72"/>
        <v>48</v>
      </c>
      <c r="DR13" s="460">
        <f t="shared" si="73"/>
        <v>184.14</v>
      </c>
      <c r="DT13">
        <f t="shared" si="74"/>
        <v>48</v>
      </c>
      <c r="DU13" s="460">
        <f t="shared" si="75"/>
        <v>184.14</v>
      </c>
      <c r="DV13" s="460"/>
      <c r="DW13" s="5">
        <f t="shared" si="118"/>
        <v>5.4306505919409149</v>
      </c>
      <c r="DX13" s="5">
        <f t="shared" si="76"/>
        <v>0.53333333333333333</v>
      </c>
      <c r="DY13" s="5">
        <f t="shared" si="119"/>
        <v>4.8973172586075817</v>
      </c>
      <c r="DZ13" s="5">
        <f t="shared" si="77"/>
        <v>0.78201368523949166</v>
      </c>
      <c r="EA13" s="173">
        <f t="shared" si="120"/>
        <v>9.820799999999999E-2</v>
      </c>
      <c r="EB13" s="173">
        <f t="shared" si="78"/>
        <v>8.1840000000000011</v>
      </c>
      <c r="EC13" s="173">
        <f t="shared" si="79"/>
        <v>0.30059733333333338</v>
      </c>
      <c r="ED13" s="173">
        <f t="shared" si="121"/>
        <v>27.225790426173663</v>
      </c>
      <c r="EE13" s="460">
        <f t="shared" si="80"/>
        <v>1.5058823529411765E-2</v>
      </c>
      <c r="EF13" s="5">
        <f t="shared" si="81"/>
        <v>5.1151499302704471</v>
      </c>
      <c r="EG13" s="5"/>
      <c r="EH13" s="173">
        <f t="shared" si="122"/>
        <v>2.4124123472850436</v>
      </c>
      <c r="EI13" s="173">
        <f t="shared" si="82"/>
        <v>0.36551171638514524</v>
      </c>
      <c r="EJ13" s="173"/>
      <c r="EK13" s="528">
        <f t="shared" si="83"/>
        <v>0.23278933333333335</v>
      </c>
      <c r="EL13" s="528">
        <f t="shared" si="84"/>
        <v>1.41956595</v>
      </c>
      <c r="EM13" s="528">
        <f t="shared" si="85"/>
        <v>3.6827999999999993E-2</v>
      </c>
      <c r="EN13" s="528">
        <f t="shared" si="86"/>
        <v>1.6279840417499997E-2</v>
      </c>
      <c r="EO13">
        <f t="shared" si="87"/>
        <v>5.6249999999999998E-3</v>
      </c>
      <c r="EP13" s="460">
        <f t="shared" si="123"/>
        <v>42.452999999999989</v>
      </c>
      <c r="EQ13" s="528">
        <f t="shared" si="88"/>
        <v>1.8778039820909318</v>
      </c>
      <c r="ER13" s="460">
        <f t="shared" si="124"/>
        <v>1877.8039820909319</v>
      </c>
      <c r="ES13" s="528">
        <f t="shared" si="125"/>
        <v>4.1664E-2</v>
      </c>
      <c r="ET13" s="528"/>
      <c r="EV13" s="460">
        <f t="shared" si="126"/>
        <v>41.664000000000001</v>
      </c>
      <c r="EW13" s="528">
        <f t="shared" si="89"/>
        <v>0.174592</v>
      </c>
      <c r="EX13" s="528">
        <f t="shared" si="90"/>
        <v>4.0079644444444449E-3</v>
      </c>
      <c r="EY13" s="528">
        <f t="shared" si="91"/>
        <v>14.934379838158312</v>
      </c>
      <c r="EZ13" s="528">
        <f t="shared" si="92"/>
        <v>15.375529313161028</v>
      </c>
      <c r="FA13" s="528">
        <f t="shared" si="93"/>
        <v>0.81840000000000002</v>
      </c>
      <c r="FB13" s="460">
        <f t="shared" si="127"/>
        <v>16193.929313161028</v>
      </c>
      <c r="FC13" s="173">
        <f t="shared" si="128"/>
        <v>18.113397295251961</v>
      </c>
      <c r="FD13" s="5">
        <f t="shared" si="129"/>
        <v>8.16</v>
      </c>
      <c r="FE13" s="173">
        <f t="shared" si="130"/>
        <v>0.31058031469248354</v>
      </c>
      <c r="FF13" s="5">
        <f t="shared" si="131"/>
        <v>31.058031469248355</v>
      </c>
      <c r="FI13" s="562">
        <f t="shared" si="94"/>
        <v>-50</v>
      </c>
      <c r="FJ13">
        <f t="shared" si="95"/>
        <v>-50</v>
      </c>
      <c r="FL13">
        <f t="shared" si="96"/>
        <v>0.14399999999999999</v>
      </c>
    </row>
    <row r="14" spans="2:168">
      <c r="E14" s="170">
        <v>9</v>
      </c>
      <c r="F14" s="217">
        <f t="shared" si="97"/>
        <v>5.3999999999999999E-2</v>
      </c>
      <c r="G14" s="217"/>
      <c r="H14" s="217">
        <f t="shared" si="0"/>
        <v>9.18</v>
      </c>
      <c r="I14" s="541">
        <f t="shared" si="1"/>
        <v>12.034018097703177</v>
      </c>
      <c r="J14" s="172">
        <f t="shared" si="2"/>
        <v>8.5254992663238891</v>
      </c>
      <c r="K14" s="172">
        <f t="shared" si="3"/>
        <v>21.025499266323891</v>
      </c>
      <c r="L14" s="443"/>
      <c r="M14" s="217">
        <f t="shared" si="4"/>
        <v>0.41467411636231066</v>
      </c>
      <c r="N14" s="172">
        <f t="shared" si="5"/>
        <v>168.21118413129474</v>
      </c>
      <c r="O14" s="172">
        <f t="shared" si="98"/>
        <v>9.18</v>
      </c>
      <c r="P14" s="217">
        <f t="shared" si="6"/>
        <v>0.98947755371349844</v>
      </c>
      <c r="Q14" s="217">
        <f t="shared" si="7"/>
        <v>170</v>
      </c>
      <c r="R14" s="217">
        <f t="shared" si="8"/>
        <v>0.97846976881433745</v>
      </c>
      <c r="S14" s="172">
        <f t="shared" si="9"/>
        <v>7187.7426124480426</v>
      </c>
      <c r="T14" s="172">
        <f t="shared" si="10"/>
        <v>170</v>
      </c>
      <c r="U14" s="217">
        <f t="shared" si="99"/>
        <v>3.6902519782245236</v>
      </c>
      <c r="V14" s="217">
        <f t="shared" si="11"/>
        <v>0.15332584462910392</v>
      </c>
      <c r="W14" s="217">
        <f t="shared" si="12"/>
        <v>0.21642439128469501</v>
      </c>
      <c r="X14" s="197">
        <f t="shared" si="13"/>
        <v>350</v>
      </c>
      <c r="Y14" s="443">
        <f t="shared" si="14"/>
        <v>350</v>
      </c>
      <c r="AA14" s="217">
        <f t="shared" si="15"/>
        <v>28.515403254805641</v>
      </c>
      <c r="AB14" s="173">
        <f t="shared" si="16"/>
        <v>1.6723597272152015</v>
      </c>
      <c r="AC14" s="173">
        <f t="shared" si="17"/>
        <v>0.41727010507558454</v>
      </c>
      <c r="AD14" s="173"/>
      <c r="AE14" s="173">
        <f t="shared" si="18"/>
        <v>0.78196788931767369</v>
      </c>
      <c r="AF14" s="545">
        <f t="shared" si="100"/>
        <v>207.16963217167046</v>
      </c>
      <c r="AG14" s="528">
        <f t="shared" si="19"/>
        <v>9.1229587087061942E-2</v>
      </c>
      <c r="AI14" s="173">
        <f t="shared" si="20"/>
        <v>10.258119687143894</v>
      </c>
      <c r="AJ14" s="173">
        <f t="shared" si="21"/>
        <v>13.333333333333334</v>
      </c>
      <c r="AK14" s="173">
        <f t="shared" si="22"/>
        <v>1.1183826469552403</v>
      </c>
      <c r="AM14" s="545">
        <f t="shared" si="23"/>
        <v>54</v>
      </c>
      <c r="AN14" s="460">
        <f t="shared" si="24"/>
        <v>207.16963217167046</v>
      </c>
      <c r="AP14">
        <f t="shared" si="25"/>
        <v>54</v>
      </c>
      <c r="AQ14" s="460">
        <f t="shared" si="26"/>
        <v>207.16963217167046</v>
      </c>
      <c r="AR14" s="460"/>
      <c r="AS14" s="5">
        <f t="shared" si="101"/>
        <v>4.8269622797387273</v>
      </c>
      <c r="AT14" s="5">
        <f t="shared" si="27"/>
        <v>0.55398509562978582</v>
      </c>
      <c r="AU14" s="5">
        <f t="shared" si="102"/>
        <v>4.2729771841089415</v>
      </c>
      <c r="AV14" s="5">
        <f t="shared" si="28"/>
        <v>0.78196788931767369</v>
      </c>
      <c r="AW14" s="173">
        <f t="shared" si="103"/>
        <v>0.11476888849021041</v>
      </c>
      <c r="AX14" s="173">
        <f t="shared" si="29"/>
        <v>9.2075392076297984</v>
      </c>
      <c r="AY14" s="173">
        <f t="shared" si="30"/>
        <v>0.29507703716992989</v>
      </c>
      <c r="AZ14" s="173">
        <f t="shared" si="104"/>
        <v>31.203848648945637</v>
      </c>
      <c r="BA14" s="460">
        <f t="shared" si="31"/>
        <v>1.7597173625887311E-2</v>
      </c>
      <c r="BB14" s="5">
        <f t="shared" si="32"/>
        <v>5.2153394128741457</v>
      </c>
      <c r="BC14" s="5"/>
      <c r="BD14" s="173">
        <f t="shared" si="105"/>
        <v>2.6078955726674327</v>
      </c>
      <c r="BE14" s="173">
        <f t="shared" si="33"/>
        <v>0.36213995892928225</v>
      </c>
      <c r="BF14" s="173"/>
      <c r="BG14" s="528">
        <f t="shared" si="34"/>
        <v>0.27204477271753585</v>
      </c>
      <c r="BH14" s="528">
        <f t="shared" si="35"/>
        <v>1.3067534847690145</v>
      </c>
      <c r="BI14" s="528">
        <f t="shared" si="36"/>
        <v>9.9723324113935696E-2</v>
      </c>
      <c r="BJ14" s="528">
        <f t="shared" si="37"/>
        <v>1.8316762956851401E-2</v>
      </c>
      <c r="BK14">
        <f t="shared" si="38"/>
        <v>5.4153081439664297E-3</v>
      </c>
      <c r="BL14" s="460">
        <f t="shared" si="106"/>
        <v>105.13863225790213</v>
      </c>
      <c r="BM14" s="528">
        <f t="shared" si="39"/>
        <v>1.7860109986713411</v>
      </c>
      <c r="BN14" s="460">
        <f t="shared" si="107"/>
        <v>1786.010998671341</v>
      </c>
      <c r="BO14" s="528">
        <f t="shared" si="108"/>
        <v>4.6871999999999997E-2</v>
      </c>
      <c r="BP14" s="528"/>
      <c r="BR14" s="460">
        <f t="shared" si="109"/>
        <v>46.872</v>
      </c>
      <c r="BS14" s="528">
        <f t="shared" si="40"/>
        <v>0.20403357953815188</v>
      </c>
      <c r="BT14" s="528">
        <f t="shared" si="41"/>
        <v>3.9343604955990666E-3</v>
      </c>
      <c r="BU14" s="528">
        <f t="shared" si="42"/>
        <v>0.13769999999999999</v>
      </c>
      <c r="BV14" s="528">
        <f t="shared" si="43"/>
        <v>0.40227303723260188</v>
      </c>
      <c r="BW14" s="528">
        <f t="shared" si="44"/>
        <v>0.9207539207629799</v>
      </c>
      <c r="BX14" s="460">
        <f t="shared" si="110"/>
        <v>1323.0269579955818</v>
      </c>
      <c r="BY14" s="173">
        <f t="shared" si="45"/>
        <v>3.2610485889248251</v>
      </c>
      <c r="BZ14" s="5">
        <f t="shared" si="111"/>
        <v>9.18</v>
      </c>
      <c r="CA14" s="173">
        <f t="shared" si="112"/>
        <v>0.7378799250227307</v>
      </c>
      <c r="CB14" s="5">
        <f t="shared" si="113"/>
        <v>73.78799250227307</v>
      </c>
      <c r="CE14" s="562">
        <f t="shared" si="46"/>
        <v>-50</v>
      </c>
      <c r="CF14">
        <f t="shared" si="47"/>
        <v>-50</v>
      </c>
      <c r="CG14" s="173">
        <f t="shared" si="48"/>
        <v>0.16223806037824204</v>
      </c>
      <c r="CI14" s="170">
        <v>9</v>
      </c>
      <c r="CJ14" s="217">
        <f t="shared" si="114"/>
        <v>5.3999999999999999E-2</v>
      </c>
      <c r="CK14" s="217"/>
      <c r="CL14" s="217">
        <f t="shared" si="49"/>
        <v>9.18</v>
      </c>
      <c r="CM14" s="541">
        <f t="shared" si="50"/>
        <v>12.5</v>
      </c>
      <c r="CN14" s="172">
        <f t="shared" si="51"/>
        <v>8.5250000000000004</v>
      </c>
      <c r="CO14" s="443">
        <f t="shared" si="52"/>
        <v>21.024999999999999</v>
      </c>
      <c r="CP14" s="443"/>
      <c r="CQ14" s="217">
        <f t="shared" si="53"/>
        <v>0.40546967895362668</v>
      </c>
      <c r="CR14" s="172">
        <f t="shared" si="54"/>
        <v>170.84633868410626</v>
      </c>
      <c r="CS14" s="172">
        <f t="shared" si="115"/>
        <v>9.18</v>
      </c>
      <c r="CT14" s="217">
        <f t="shared" si="55"/>
        <v>1.0049784628476839</v>
      </c>
      <c r="CU14" s="217">
        <f t="shared" si="56"/>
        <v>170</v>
      </c>
      <c r="CV14" s="217">
        <f t="shared" si="57"/>
        <v>0.99379823272947732</v>
      </c>
      <c r="CW14" s="172">
        <f t="shared" si="58"/>
        <v>7466.0661240129093</v>
      </c>
      <c r="CX14" s="172">
        <f t="shared" si="59"/>
        <v>170</v>
      </c>
      <c r="CY14" s="217">
        <f t="shared" si="60"/>
        <v>3.6224656891495592</v>
      </c>
      <c r="CZ14" s="217">
        <f t="shared" si="61"/>
        <v>0.14489862756598237</v>
      </c>
      <c r="DA14" s="217">
        <f t="shared" si="62"/>
        <v>0.21246133074190962</v>
      </c>
      <c r="DB14" s="197">
        <f t="shared" si="63"/>
        <v>350</v>
      </c>
      <c r="DC14" s="443">
        <f t="shared" si="116"/>
        <v>350</v>
      </c>
      <c r="DE14" s="217">
        <f t="shared" si="64"/>
        <v>28.962119925259049</v>
      </c>
      <c r="DF14" s="173">
        <f t="shared" si="65"/>
        <v>1.6986580601324954</v>
      </c>
      <c r="DG14" s="173">
        <f t="shared" si="66"/>
        <v>0.4304714614336958</v>
      </c>
      <c r="DH14" s="173"/>
      <c r="DI14" s="173">
        <f t="shared" si="67"/>
        <v>0.78201368523949166</v>
      </c>
      <c r="DJ14" s="545">
        <f t="shared" si="117"/>
        <v>207.1575</v>
      </c>
      <c r="DK14" s="528">
        <f t="shared" si="68"/>
        <v>9.1234929944607357E-2</v>
      </c>
      <c r="DM14" s="173">
        <f t="shared" si="69"/>
        <v>10.257819317128623</v>
      </c>
      <c r="DN14" s="173">
        <f t="shared" si="70"/>
        <v>13.333333333333334</v>
      </c>
      <c r="DO14" s="173">
        <f t="shared" si="71"/>
        <v>1.1183757142857143</v>
      </c>
      <c r="DQ14" s="545">
        <f t="shared" si="72"/>
        <v>54</v>
      </c>
      <c r="DR14" s="460">
        <f t="shared" si="73"/>
        <v>207.1575</v>
      </c>
      <c r="DT14">
        <f t="shared" si="74"/>
        <v>54</v>
      </c>
      <c r="DU14" s="460">
        <f t="shared" si="75"/>
        <v>207.1575</v>
      </c>
      <c r="DV14" s="460"/>
      <c r="DW14" s="5">
        <f t="shared" si="118"/>
        <v>4.8272449706141458</v>
      </c>
      <c r="DX14" s="5">
        <f t="shared" si="76"/>
        <v>0.53333333333333333</v>
      </c>
      <c r="DY14" s="5">
        <f t="shared" si="119"/>
        <v>4.2939116372808126</v>
      </c>
      <c r="DZ14" s="5">
        <f t="shared" si="77"/>
        <v>0.78201368523949166</v>
      </c>
      <c r="EA14" s="173">
        <f t="shared" si="120"/>
        <v>0.11048400000000001</v>
      </c>
      <c r="EB14" s="173">
        <f t="shared" si="78"/>
        <v>9.2070000000000007</v>
      </c>
      <c r="EC14" s="173">
        <f t="shared" si="79"/>
        <v>0.29650533333333334</v>
      </c>
      <c r="ED14" s="173">
        <f t="shared" si="121"/>
        <v>31.051718012941873</v>
      </c>
      <c r="EE14" s="460">
        <f t="shared" si="80"/>
        <v>1.6941176470588237E-2</v>
      </c>
      <c r="EF14" s="5">
        <f t="shared" si="81"/>
        <v>5.0455179302704458</v>
      </c>
      <c r="EG14" s="5"/>
      <c r="EH14" s="173">
        <f t="shared" si="122"/>
        <v>2.5587496946751167</v>
      </c>
      <c r="EI14" s="173">
        <f t="shared" si="82"/>
        <v>0.36301535525119066</v>
      </c>
      <c r="EJ14" s="173"/>
      <c r="EK14" s="528">
        <f t="shared" si="83"/>
        <v>0.26188800000000012</v>
      </c>
      <c r="EL14" s="528">
        <f t="shared" si="84"/>
        <v>1.5970116937500001</v>
      </c>
      <c r="EM14" s="528">
        <f t="shared" si="85"/>
        <v>4.1431499999999996E-2</v>
      </c>
      <c r="EN14" s="528">
        <f t="shared" si="86"/>
        <v>1.83148204696875E-2</v>
      </c>
      <c r="EO14">
        <f t="shared" si="87"/>
        <v>5.6249999999999998E-3</v>
      </c>
      <c r="EP14" s="460">
        <f t="shared" si="123"/>
        <v>47.056499999999993</v>
      </c>
      <c r="EQ14" s="528">
        <f t="shared" si="88"/>
        <v>2.1273545354178802</v>
      </c>
      <c r="ER14" s="460">
        <f t="shared" si="124"/>
        <v>2127.35453541788</v>
      </c>
      <c r="ES14" s="528">
        <f t="shared" si="125"/>
        <v>4.6871999999999997E-2</v>
      </c>
      <c r="ET14" s="528"/>
      <c r="EV14" s="460">
        <f t="shared" si="126"/>
        <v>46.872</v>
      </c>
      <c r="EW14" s="528">
        <f t="shared" si="89"/>
        <v>0.19641600000000006</v>
      </c>
      <c r="EX14" s="528">
        <f t="shared" si="90"/>
        <v>3.9534044444444454E-3</v>
      </c>
      <c r="EY14" s="528">
        <f t="shared" si="91"/>
        <v>20.04788207265398</v>
      </c>
      <c r="EZ14" s="528">
        <f t="shared" si="92"/>
        <v>20.626981412656338</v>
      </c>
      <c r="FA14" s="528">
        <f t="shared" si="93"/>
        <v>0.92070000000000007</v>
      </c>
      <c r="FB14" s="460">
        <f t="shared" si="127"/>
        <v>21547.681412656337</v>
      </c>
      <c r="FC14" s="173">
        <f t="shared" si="128"/>
        <v>23.721907948074218</v>
      </c>
      <c r="FD14" s="5">
        <f t="shared" si="129"/>
        <v>9.18</v>
      </c>
      <c r="FE14" s="173">
        <f t="shared" si="130"/>
        <v>0.27901117511142132</v>
      </c>
      <c r="FF14" s="5">
        <f t="shared" si="131"/>
        <v>27.901117511142132</v>
      </c>
      <c r="FI14" s="562">
        <f t="shared" si="94"/>
        <v>-50</v>
      </c>
      <c r="FJ14">
        <f t="shared" si="95"/>
        <v>-50</v>
      </c>
      <c r="FL14">
        <f t="shared" si="96"/>
        <v>0.16199999999999998</v>
      </c>
    </row>
    <row r="15" spans="2:168">
      <c r="E15" s="170">
        <v>10</v>
      </c>
      <c r="F15" s="217">
        <f t="shared" si="97"/>
        <v>0.06</v>
      </c>
      <c r="G15" s="217"/>
      <c r="H15" s="217">
        <f t="shared" si="0"/>
        <v>10.199999999999999</v>
      </c>
      <c r="I15" s="541">
        <f t="shared" si="1"/>
        <v>12.034018097703177</v>
      </c>
      <c r="J15" s="172">
        <f t="shared" si="2"/>
        <v>8.5254992663238891</v>
      </c>
      <c r="K15" s="172">
        <f t="shared" si="3"/>
        <v>21.025499266323891</v>
      </c>
      <c r="L15" s="443"/>
      <c r="M15" s="217">
        <f t="shared" si="4"/>
        <v>0.41467411636231066</v>
      </c>
      <c r="N15" s="172">
        <f t="shared" si="5"/>
        <v>168.21118413129474</v>
      </c>
      <c r="O15" s="172">
        <f t="shared" si="98"/>
        <v>10.199999999999999</v>
      </c>
      <c r="P15" s="217">
        <f t="shared" si="6"/>
        <v>0.98947755371349844</v>
      </c>
      <c r="Q15" s="217">
        <f t="shared" si="7"/>
        <v>170</v>
      </c>
      <c r="R15" s="217">
        <f t="shared" si="8"/>
        <v>0.97846976881433745</v>
      </c>
      <c r="S15" s="172">
        <f t="shared" si="9"/>
        <v>6444.9039185776273</v>
      </c>
      <c r="T15" s="172">
        <f t="shared" si="10"/>
        <v>170</v>
      </c>
      <c r="U15" s="217">
        <f t="shared" si="99"/>
        <v>4.1002799758050257</v>
      </c>
      <c r="V15" s="217">
        <f t="shared" si="11"/>
        <v>0.17036204958789319</v>
      </c>
      <c r="W15" s="217">
        <f t="shared" si="12"/>
        <v>0.24047154587188332</v>
      </c>
      <c r="X15" s="197">
        <f t="shared" si="13"/>
        <v>350</v>
      </c>
      <c r="Y15" s="443">
        <f t="shared" si="14"/>
        <v>350</v>
      </c>
      <c r="AA15" s="217">
        <f t="shared" si="15"/>
        <v>28.515403254805641</v>
      </c>
      <c r="AB15" s="173">
        <f t="shared" si="16"/>
        <v>1.6723597272152015</v>
      </c>
      <c r="AC15" s="173">
        <f t="shared" si="17"/>
        <v>0.41727010507558454</v>
      </c>
      <c r="AD15" s="173"/>
      <c r="AE15" s="173">
        <f t="shared" si="18"/>
        <v>0.78196788931767369</v>
      </c>
      <c r="AF15" s="545">
        <f t="shared" si="100"/>
        <v>230.18848019074494</v>
      </c>
      <c r="AG15" s="528">
        <f t="shared" si="19"/>
        <v>9.1229587087061942E-2</v>
      </c>
      <c r="AI15" s="173">
        <f t="shared" si="20"/>
        <v>10.813007573996193</v>
      </c>
      <c r="AJ15" s="173">
        <f t="shared" si="21"/>
        <v>13.333333333333334</v>
      </c>
      <c r="AK15" s="173">
        <f t="shared" si="22"/>
        <v>1.1315362743947115</v>
      </c>
      <c r="AM15" s="545">
        <f t="shared" si="23"/>
        <v>60</v>
      </c>
      <c r="AN15" s="460">
        <f t="shared" si="24"/>
        <v>230.18848019074494</v>
      </c>
      <c r="AP15">
        <f t="shared" si="25"/>
        <v>60</v>
      </c>
      <c r="AQ15" s="460">
        <f t="shared" si="26"/>
        <v>230.18848019074494</v>
      </c>
      <c r="AR15" s="460"/>
      <c r="AS15" s="5">
        <f t="shared" si="101"/>
        <v>4.3442660517648548</v>
      </c>
      <c r="AT15" s="5">
        <f t="shared" si="27"/>
        <v>0.55398509562978582</v>
      </c>
      <c r="AU15" s="5">
        <f t="shared" si="102"/>
        <v>3.790280956135069</v>
      </c>
      <c r="AV15" s="5">
        <f t="shared" si="28"/>
        <v>0.78196788931767369</v>
      </c>
      <c r="AW15" s="173">
        <f t="shared" si="103"/>
        <v>0.12752098721134489</v>
      </c>
      <c r="AX15" s="173">
        <f t="shared" si="29"/>
        <v>10.230599119588666</v>
      </c>
      <c r="AY15" s="173">
        <f t="shared" si="30"/>
        <v>0.2908263375962184</v>
      </c>
      <c r="AZ15" s="173">
        <f t="shared" si="104"/>
        <v>35.177691278403991</v>
      </c>
      <c r="BA15" s="460">
        <f t="shared" si="31"/>
        <v>1.9552415139874792E-2</v>
      </c>
      <c r="BB15" s="5">
        <f t="shared" si="32"/>
        <v>5.1402104186572952</v>
      </c>
      <c r="BC15" s="5"/>
      <c r="BD15" s="173">
        <f t="shared" si="105"/>
        <v>2.748963303166081</v>
      </c>
      <c r="BE15" s="173">
        <f t="shared" si="33"/>
        <v>0.3595221134266483</v>
      </c>
      <c r="BF15" s="173"/>
      <c r="BG15" s="528">
        <f t="shared" si="34"/>
        <v>0.30227196968615083</v>
      </c>
      <c r="BH15" s="528">
        <f t="shared" si="35"/>
        <v>1.4519483164100158</v>
      </c>
      <c r="BI15" s="528">
        <f t="shared" si="36"/>
        <v>0.11080369345992856</v>
      </c>
      <c r="BJ15" s="528">
        <f t="shared" si="37"/>
        <v>2.0351958840946E-2</v>
      </c>
      <c r="BK15">
        <f t="shared" si="38"/>
        <v>5.4153081439664297E-3</v>
      </c>
      <c r="BL15" s="460">
        <f t="shared" si="106"/>
        <v>116.21900160389499</v>
      </c>
      <c r="BM15" s="528">
        <f t="shared" si="39"/>
        <v>1.9998118002770027</v>
      </c>
      <c r="BN15" s="460">
        <f t="shared" si="107"/>
        <v>1999.8118002770027</v>
      </c>
      <c r="BO15" s="528">
        <f t="shared" si="108"/>
        <v>5.2079999999999994E-2</v>
      </c>
      <c r="BP15" s="528"/>
      <c r="BR15" s="460">
        <f t="shared" si="109"/>
        <v>52.079999999999991</v>
      </c>
      <c r="BS15" s="528">
        <f t="shared" si="40"/>
        <v>0.22670397726461311</v>
      </c>
      <c r="BT15" s="528">
        <f t="shared" si="41"/>
        <v>3.8776845012829133E-3</v>
      </c>
      <c r="BU15" s="528">
        <f t="shared" si="42"/>
        <v>0.153</v>
      </c>
      <c r="BV15" s="528">
        <f t="shared" si="43"/>
        <v>0.44716999666351287</v>
      </c>
      <c r="BW15" s="528">
        <f t="shared" si="44"/>
        <v>1.0230599119588666</v>
      </c>
      <c r="BX15" s="460">
        <f t="shared" si="110"/>
        <v>1470.2299086223793</v>
      </c>
      <c r="BY15" s="173">
        <f t="shared" si="45"/>
        <v>3.638340710503277</v>
      </c>
      <c r="BZ15" s="5">
        <f t="shared" si="111"/>
        <v>10.199999999999999</v>
      </c>
      <c r="CA15" s="173">
        <f t="shared" si="112"/>
        <v>0.73708258911837732</v>
      </c>
      <c r="CB15" s="5">
        <f t="shared" si="113"/>
        <v>73.708258911837731</v>
      </c>
      <c r="CE15" s="562">
        <f t="shared" si="46"/>
        <v>-50</v>
      </c>
      <c r="CF15">
        <f t="shared" si="47"/>
        <v>-50</v>
      </c>
      <c r="CG15" s="173">
        <f t="shared" si="48"/>
        <v>0.18026451153138004</v>
      </c>
      <c r="CI15" s="170">
        <v>10</v>
      </c>
      <c r="CJ15" s="217">
        <f t="shared" si="114"/>
        <v>0.06</v>
      </c>
      <c r="CK15" s="217"/>
      <c r="CL15" s="217">
        <f t="shared" si="49"/>
        <v>10.199999999999999</v>
      </c>
      <c r="CM15" s="541">
        <f t="shared" si="50"/>
        <v>12.5</v>
      </c>
      <c r="CN15" s="172">
        <f t="shared" si="51"/>
        <v>8.5250000000000004</v>
      </c>
      <c r="CO15" s="443">
        <f t="shared" si="52"/>
        <v>21.024999999999999</v>
      </c>
      <c r="CP15" s="443"/>
      <c r="CQ15" s="217">
        <f t="shared" si="53"/>
        <v>0.40546967895362668</v>
      </c>
      <c r="CR15" s="172">
        <f t="shared" si="54"/>
        <v>170.84633868410626</v>
      </c>
      <c r="CS15" s="172">
        <f t="shared" si="115"/>
        <v>10.199999999999999</v>
      </c>
      <c r="CT15" s="217">
        <f t="shared" si="55"/>
        <v>1.0049784628476839</v>
      </c>
      <c r="CU15" s="217">
        <f t="shared" si="56"/>
        <v>170</v>
      </c>
      <c r="CV15" s="217">
        <f t="shared" si="57"/>
        <v>0.99379823272947732</v>
      </c>
      <c r="CW15" s="172">
        <f t="shared" si="58"/>
        <v>6694.463115197048</v>
      </c>
      <c r="CX15" s="172">
        <f t="shared" si="59"/>
        <v>170</v>
      </c>
      <c r="CY15" s="217">
        <f t="shared" si="60"/>
        <v>4.0249618768328439</v>
      </c>
      <c r="CZ15" s="217">
        <f t="shared" si="61"/>
        <v>0.16099847507331377</v>
      </c>
      <c r="DA15" s="217">
        <f t="shared" si="62"/>
        <v>0.2360681452687885</v>
      </c>
      <c r="DB15" s="197">
        <f t="shared" si="63"/>
        <v>350</v>
      </c>
      <c r="DC15" s="443">
        <f t="shared" si="116"/>
        <v>350</v>
      </c>
      <c r="DE15" s="217">
        <f t="shared" si="64"/>
        <v>28.962119925259049</v>
      </c>
      <c r="DF15" s="173">
        <f t="shared" si="65"/>
        <v>1.6986580601324954</v>
      </c>
      <c r="DG15" s="173">
        <f t="shared" si="66"/>
        <v>0.4304714614336958</v>
      </c>
      <c r="DH15" s="173"/>
      <c r="DI15" s="173">
        <f t="shared" si="67"/>
        <v>0.78201368523949166</v>
      </c>
      <c r="DJ15" s="545">
        <f t="shared" si="117"/>
        <v>230.17500000000001</v>
      </c>
      <c r="DK15" s="528">
        <f t="shared" si="68"/>
        <v>9.1234929944607357E-2</v>
      </c>
      <c r="DM15" s="173">
        <f t="shared" si="69"/>
        <v>10.812690956199836</v>
      </c>
      <c r="DN15" s="173">
        <f t="shared" si="70"/>
        <v>13.333333333333334</v>
      </c>
      <c r="DO15" s="173">
        <f t="shared" si="71"/>
        <v>1.1315285714285714</v>
      </c>
      <c r="DQ15" s="545">
        <f t="shared" si="72"/>
        <v>60</v>
      </c>
      <c r="DR15" s="460">
        <f t="shared" si="73"/>
        <v>230.17500000000001</v>
      </c>
      <c r="DT15">
        <f t="shared" si="74"/>
        <v>60</v>
      </c>
      <c r="DU15" s="460">
        <f t="shared" si="75"/>
        <v>230.17500000000001</v>
      </c>
      <c r="DV15" s="460"/>
      <c r="DW15" s="5">
        <f t="shared" si="118"/>
        <v>4.3445204735527314</v>
      </c>
      <c r="DX15" s="5">
        <f t="shared" si="76"/>
        <v>0.53333333333333333</v>
      </c>
      <c r="DY15" s="5">
        <f t="shared" si="119"/>
        <v>3.8111871402193982</v>
      </c>
      <c r="DZ15" s="5">
        <f t="shared" si="77"/>
        <v>0.78201368523949166</v>
      </c>
      <c r="EA15" s="173">
        <f t="shared" si="120"/>
        <v>0.12276000000000001</v>
      </c>
      <c r="EB15" s="173">
        <f t="shared" si="78"/>
        <v>10.23</v>
      </c>
      <c r="EC15" s="173">
        <f t="shared" si="79"/>
        <v>0.29241333333333336</v>
      </c>
      <c r="ED15" s="173">
        <f t="shared" si="121"/>
        <v>34.984724818749712</v>
      </c>
      <c r="EE15" s="460">
        <f t="shared" si="80"/>
        <v>1.8823529411764708E-2</v>
      </c>
      <c r="EF15" s="5">
        <f t="shared" si="81"/>
        <v>4.9758859302704455</v>
      </c>
      <c r="EG15" s="5"/>
      <c r="EH15" s="173">
        <f t="shared" si="122"/>
        <v>2.6971589991445941</v>
      </c>
      <c r="EI15" s="173">
        <f t="shared" si="82"/>
        <v>0.36050170801465214</v>
      </c>
      <c r="EJ15" s="173"/>
      <c r="EK15" s="528">
        <f t="shared" si="83"/>
        <v>0.29098666666666673</v>
      </c>
      <c r="EL15" s="528">
        <f t="shared" si="84"/>
        <v>1.7744574375000002</v>
      </c>
      <c r="EM15" s="528">
        <f t="shared" si="85"/>
        <v>4.6035E-2</v>
      </c>
      <c r="EN15" s="528">
        <f t="shared" si="86"/>
        <v>2.0349800521874999E-2</v>
      </c>
      <c r="EO15">
        <f t="shared" si="87"/>
        <v>5.6249999999999998E-3</v>
      </c>
      <c r="EP15" s="460">
        <f t="shared" si="123"/>
        <v>51.66</v>
      </c>
      <c r="EQ15" s="528">
        <f t="shared" si="88"/>
        <v>2.3806120919244376</v>
      </c>
      <c r="ER15" s="460">
        <f t="shared" si="124"/>
        <v>2380.6120919244377</v>
      </c>
      <c r="ES15" s="528">
        <f t="shared" si="125"/>
        <v>5.2079999999999994E-2</v>
      </c>
      <c r="ET15" s="528"/>
      <c r="EV15" s="460">
        <f t="shared" si="126"/>
        <v>52.079999999999991</v>
      </c>
      <c r="EW15" s="528">
        <f t="shared" si="89"/>
        <v>0.21824000000000005</v>
      </c>
      <c r="EX15" s="528">
        <f t="shared" si="90"/>
        <v>3.8988444444444451E-3</v>
      </c>
      <c r="EY15" s="528">
        <f t="shared" si="91"/>
        <v>26.089287906190837</v>
      </c>
      <c r="EZ15" s="528">
        <f t="shared" si="92"/>
        <v>26.841747657909742</v>
      </c>
      <c r="FA15" s="528">
        <f t="shared" si="93"/>
        <v>1.0230000000000004</v>
      </c>
      <c r="FB15" s="460">
        <f t="shared" si="127"/>
        <v>27864.747657909742</v>
      </c>
      <c r="FC15" s="173">
        <f t="shared" si="128"/>
        <v>30.297439749834179</v>
      </c>
      <c r="FD15" s="5">
        <f t="shared" si="129"/>
        <v>10.199999999999999</v>
      </c>
      <c r="FE15" s="173">
        <f t="shared" si="130"/>
        <v>0.25186777393851828</v>
      </c>
      <c r="FF15" s="5">
        <f t="shared" si="131"/>
        <v>25.186777393851827</v>
      </c>
      <c r="FI15" s="562">
        <f t="shared" si="94"/>
        <v>-50</v>
      </c>
      <c r="FJ15">
        <f t="shared" si="95"/>
        <v>-50</v>
      </c>
      <c r="FL15">
        <f t="shared" si="96"/>
        <v>0.17999999999999997</v>
      </c>
    </row>
    <row r="16" spans="2:168">
      <c r="E16" s="170">
        <v>11</v>
      </c>
      <c r="F16" s="217">
        <f t="shared" si="97"/>
        <v>6.6000000000000003E-2</v>
      </c>
      <c r="G16" s="217"/>
      <c r="H16" s="217">
        <f t="shared" si="0"/>
        <v>11.22</v>
      </c>
      <c r="I16" s="541">
        <f t="shared" si="1"/>
        <v>12.034018097703177</v>
      </c>
      <c r="J16" s="172">
        <f t="shared" si="2"/>
        <v>8.5254992663238891</v>
      </c>
      <c r="K16" s="172">
        <f t="shared" si="3"/>
        <v>21.025499266323891</v>
      </c>
      <c r="L16" s="443"/>
      <c r="M16" s="217">
        <f t="shared" si="4"/>
        <v>0.41467411636231066</v>
      </c>
      <c r="N16" s="172">
        <f t="shared" si="5"/>
        <v>168.21118413129474</v>
      </c>
      <c r="O16" s="172">
        <f t="shared" si="98"/>
        <v>11.22</v>
      </c>
      <c r="P16" s="217">
        <f t="shared" si="6"/>
        <v>0.98947755371349844</v>
      </c>
      <c r="Q16" s="217">
        <f t="shared" si="7"/>
        <v>170</v>
      </c>
      <c r="R16" s="217">
        <f t="shared" si="8"/>
        <v>0.97846976881433745</v>
      </c>
      <c r="S16" s="172">
        <f t="shared" si="9"/>
        <v>5837.1271706490497</v>
      </c>
      <c r="T16" s="172">
        <f t="shared" si="10"/>
        <v>170</v>
      </c>
      <c r="U16" s="217">
        <f t="shared" si="99"/>
        <v>4.5103079733855287</v>
      </c>
      <c r="V16" s="217">
        <f t="shared" si="11"/>
        <v>0.18739825454668255</v>
      </c>
      <c r="W16" s="217">
        <f t="shared" si="12"/>
        <v>0.26451870045907167</v>
      </c>
      <c r="X16" s="197">
        <f t="shared" si="13"/>
        <v>350</v>
      </c>
      <c r="Y16" s="443">
        <f t="shared" si="14"/>
        <v>350</v>
      </c>
      <c r="AA16" s="217">
        <f t="shared" si="15"/>
        <v>28.515403254805641</v>
      </c>
      <c r="AB16" s="173">
        <f t="shared" si="16"/>
        <v>1.6723597272152015</v>
      </c>
      <c r="AC16" s="173">
        <f t="shared" si="17"/>
        <v>0.41727010507558454</v>
      </c>
      <c r="AD16" s="173"/>
      <c r="AE16" s="173">
        <f t="shared" si="18"/>
        <v>0.78196788931767369</v>
      </c>
      <c r="AF16" s="545">
        <f t="shared" si="100"/>
        <v>253.20732820981948</v>
      </c>
      <c r="AG16" s="528">
        <f t="shared" si="19"/>
        <v>9.1229587087061942E-2</v>
      </c>
      <c r="AI16" s="173">
        <f t="shared" si="20"/>
        <v>11.340778018938073</v>
      </c>
      <c r="AJ16" s="173">
        <f t="shared" si="21"/>
        <v>13.333333333333334</v>
      </c>
      <c r="AK16" s="173">
        <f t="shared" si="22"/>
        <v>1.1446899018341825</v>
      </c>
      <c r="AM16" s="545">
        <f t="shared" si="23"/>
        <v>66</v>
      </c>
      <c r="AN16" s="460">
        <f t="shared" si="24"/>
        <v>253.20732820981948</v>
      </c>
      <c r="AP16">
        <f t="shared" si="25"/>
        <v>66</v>
      </c>
      <c r="AQ16" s="460">
        <f t="shared" si="26"/>
        <v>253.20732820981948</v>
      </c>
      <c r="AR16" s="460"/>
      <c r="AS16" s="5">
        <f t="shared" si="101"/>
        <v>3.9493327743316855</v>
      </c>
      <c r="AT16" s="5">
        <f t="shared" si="27"/>
        <v>0.55398509562978582</v>
      </c>
      <c r="AU16" s="5">
        <f t="shared" si="102"/>
        <v>3.3953476787018997</v>
      </c>
      <c r="AV16" s="5">
        <f t="shared" si="28"/>
        <v>0.78196788931767369</v>
      </c>
      <c r="AW16" s="173">
        <f t="shared" si="103"/>
        <v>0.14027308593247942</v>
      </c>
      <c r="AX16" s="173">
        <f t="shared" si="29"/>
        <v>11.253659031547533</v>
      </c>
      <c r="AY16" s="173">
        <f t="shared" si="30"/>
        <v>0.28657563802250691</v>
      </c>
      <c r="AZ16" s="173">
        <f t="shared" si="104"/>
        <v>39.269419791586401</v>
      </c>
      <c r="BA16" s="460">
        <f t="shared" si="31"/>
        <v>2.1507656653862277E-2</v>
      </c>
      <c r="BB16" s="5">
        <f t="shared" si="32"/>
        <v>5.0650814244404447</v>
      </c>
      <c r="BC16" s="5"/>
      <c r="BD16" s="173">
        <f t="shared" si="105"/>
        <v>2.8831370356556332</v>
      </c>
      <c r="BE16" s="173">
        <f t="shared" si="33"/>
        <v>0.35688506585765861</v>
      </c>
      <c r="BF16" s="173"/>
      <c r="BG16" s="528">
        <f t="shared" si="34"/>
        <v>0.33249916665476603</v>
      </c>
      <c r="BH16" s="528">
        <f t="shared" si="35"/>
        <v>1.5971431480510181</v>
      </c>
      <c r="BI16" s="528">
        <f t="shared" si="36"/>
        <v>0.12188406280592143</v>
      </c>
      <c r="BJ16" s="528">
        <f t="shared" si="37"/>
        <v>2.23871547250406E-2</v>
      </c>
      <c r="BK16">
        <f t="shared" si="38"/>
        <v>5.4153081439664297E-3</v>
      </c>
      <c r="BL16" s="460">
        <f t="shared" si="106"/>
        <v>127.29937094988786</v>
      </c>
      <c r="BM16" s="528">
        <f t="shared" si="39"/>
        <v>2.2169470568511827</v>
      </c>
      <c r="BN16" s="460">
        <f t="shared" si="107"/>
        <v>2216.9470568511824</v>
      </c>
      <c r="BO16" s="528">
        <f t="shared" si="108"/>
        <v>5.7287999999999999E-2</v>
      </c>
      <c r="BP16" s="528"/>
      <c r="BR16" s="460">
        <f t="shared" si="109"/>
        <v>57.287999999999997</v>
      </c>
      <c r="BS16" s="528">
        <f t="shared" si="40"/>
        <v>0.24937437499107451</v>
      </c>
      <c r="BT16" s="528">
        <f t="shared" si="41"/>
        <v>3.8210085069667597E-3</v>
      </c>
      <c r="BU16" s="528">
        <f t="shared" si="42"/>
        <v>0.16830000000000001</v>
      </c>
      <c r="BV16" s="528">
        <f t="shared" si="43"/>
        <v>0.49223276054366333</v>
      </c>
      <c r="BW16" s="528">
        <f t="shared" si="44"/>
        <v>1.1253659031547534</v>
      </c>
      <c r="BX16" s="460">
        <f t="shared" si="110"/>
        <v>1617.5986636984167</v>
      </c>
      <c r="BY16" s="173">
        <f t="shared" si="45"/>
        <v>4.0191330914994863</v>
      </c>
      <c r="BZ16" s="5">
        <f t="shared" si="111"/>
        <v>11.22</v>
      </c>
      <c r="CA16" s="173">
        <f t="shared" si="112"/>
        <v>0.7362623538118851</v>
      </c>
      <c r="CB16" s="5">
        <f t="shared" si="113"/>
        <v>73.626235381188508</v>
      </c>
      <c r="CE16" s="562">
        <f t="shared" si="46"/>
        <v>-50</v>
      </c>
      <c r="CF16">
        <f t="shared" si="47"/>
        <v>-50</v>
      </c>
      <c r="CG16" s="173">
        <f t="shared" si="48"/>
        <v>0.19829096268451804</v>
      </c>
      <c r="CI16" s="170">
        <v>11</v>
      </c>
      <c r="CJ16" s="217">
        <f t="shared" si="114"/>
        <v>6.6000000000000003E-2</v>
      </c>
      <c r="CK16" s="217"/>
      <c r="CL16" s="217">
        <f t="shared" si="49"/>
        <v>11.22</v>
      </c>
      <c r="CM16" s="541">
        <f t="shared" si="50"/>
        <v>12.5</v>
      </c>
      <c r="CN16" s="172">
        <f t="shared" si="51"/>
        <v>8.5250000000000004</v>
      </c>
      <c r="CO16" s="443">
        <f t="shared" si="52"/>
        <v>21.024999999999999</v>
      </c>
      <c r="CP16" s="443"/>
      <c r="CQ16" s="217">
        <f t="shared" si="53"/>
        <v>0.40546967895362668</v>
      </c>
      <c r="CR16" s="172">
        <f t="shared" si="54"/>
        <v>170.84633868410626</v>
      </c>
      <c r="CS16" s="172">
        <f t="shared" si="115"/>
        <v>11.22</v>
      </c>
      <c r="CT16" s="217">
        <f t="shared" si="55"/>
        <v>1.0049784628476839</v>
      </c>
      <c r="CU16" s="217">
        <f t="shared" si="56"/>
        <v>170</v>
      </c>
      <c r="CV16" s="217">
        <f t="shared" si="57"/>
        <v>0.99379823272947732</v>
      </c>
      <c r="CW16" s="172">
        <f t="shared" si="58"/>
        <v>6063.151927771054</v>
      </c>
      <c r="CX16" s="172">
        <f t="shared" si="59"/>
        <v>170</v>
      </c>
      <c r="CY16" s="217">
        <f t="shared" si="60"/>
        <v>4.427458064516129</v>
      </c>
      <c r="CZ16" s="217">
        <f t="shared" si="61"/>
        <v>0.17709832258064512</v>
      </c>
      <c r="DA16" s="217">
        <f t="shared" si="62"/>
        <v>0.25967495979566729</v>
      </c>
      <c r="DB16" s="197">
        <f t="shared" si="63"/>
        <v>350</v>
      </c>
      <c r="DC16" s="443">
        <f t="shared" si="116"/>
        <v>350</v>
      </c>
      <c r="DE16" s="217">
        <f t="shared" si="64"/>
        <v>28.962119925259049</v>
      </c>
      <c r="DF16" s="173">
        <f t="shared" si="65"/>
        <v>1.6986580601324954</v>
      </c>
      <c r="DG16" s="173">
        <f t="shared" si="66"/>
        <v>0.4304714614336958</v>
      </c>
      <c r="DH16" s="173"/>
      <c r="DI16" s="173">
        <f t="shared" si="67"/>
        <v>0.78201368523949166</v>
      </c>
      <c r="DJ16" s="545">
        <f t="shared" si="117"/>
        <v>253.1925</v>
      </c>
      <c r="DK16" s="528">
        <f t="shared" si="68"/>
        <v>9.1234929944607357E-2</v>
      </c>
      <c r="DM16" s="173">
        <f t="shared" si="69"/>
        <v>11.340445947391764</v>
      </c>
      <c r="DN16" s="173">
        <f t="shared" si="70"/>
        <v>13.333333333333334</v>
      </c>
      <c r="DO16" s="173">
        <f t="shared" si="71"/>
        <v>1.1446814285714286</v>
      </c>
      <c r="DQ16" s="545">
        <f t="shared" si="72"/>
        <v>66</v>
      </c>
      <c r="DR16" s="460">
        <f t="shared" si="73"/>
        <v>253.1925</v>
      </c>
      <c r="DT16">
        <f t="shared" si="74"/>
        <v>66</v>
      </c>
      <c r="DU16" s="460">
        <f t="shared" si="75"/>
        <v>253.1925</v>
      </c>
      <c r="DV16" s="460"/>
      <c r="DW16" s="5">
        <f t="shared" si="118"/>
        <v>3.9495640668661194</v>
      </c>
      <c r="DX16" s="5">
        <f t="shared" si="76"/>
        <v>0.53333333333333333</v>
      </c>
      <c r="DY16" s="5">
        <f t="shared" si="119"/>
        <v>3.4162307335327862</v>
      </c>
      <c r="DZ16" s="5">
        <f t="shared" si="77"/>
        <v>0.78201368523949166</v>
      </c>
      <c r="EA16" s="173">
        <f t="shared" si="120"/>
        <v>0.13503600000000002</v>
      </c>
      <c r="EB16" s="173">
        <f t="shared" si="78"/>
        <v>11.253</v>
      </c>
      <c r="EC16" s="173">
        <f t="shared" si="79"/>
        <v>0.28832133333333337</v>
      </c>
      <c r="ED16" s="173">
        <f t="shared" si="121"/>
        <v>39.029370008462777</v>
      </c>
      <c r="EE16" s="460">
        <f t="shared" si="80"/>
        <v>2.0705882352941178E-2</v>
      </c>
      <c r="EF16" s="5">
        <f t="shared" si="81"/>
        <v>4.9062539302704469</v>
      </c>
      <c r="EG16" s="5"/>
      <c r="EH16" s="173">
        <f t="shared" si="122"/>
        <v>2.8288042232246005</v>
      </c>
      <c r="EI16" s="173">
        <f t="shared" si="82"/>
        <v>0.35797041052971801</v>
      </c>
      <c r="EJ16" s="173"/>
      <c r="EK16" s="528">
        <f t="shared" si="83"/>
        <v>0.32008533333333339</v>
      </c>
      <c r="EL16" s="528">
        <f t="shared" si="84"/>
        <v>1.9519031812500001</v>
      </c>
      <c r="EM16" s="528">
        <f t="shared" si="85"/>
        <v>5.0638500000000003E-2</v>
      </c>
      <c r="EN16" s="528">
        <f t="shared" si="86"/>
        <v>2.2384780574062499E-2</v>
      </c>
      <c r="EO16">
        <f t="shared" si="87"/>
        <v>5.6249999999999998E-3</v>
      </c>
      <c r="EP16" s="460">
        <f t="shared" si="123"/>
        <v>56.263500000000001</v>
      </c>
      <c r="EQ16" s="528">
        <f t="shared" si="88"/>
        <v>2.637659869431388</v>
      </c>
      <c r="ER16" s="460">
        <f t="shared" si="124"/>
        <v>2637.659869431388</v>
      </c>
      <c r="ES16" s="528">
        <f t="shared" si="125"/>
        <v>5.7287999999999999E-2</v>
      </c>
      <c r="ET16" s="528"/>
      <c r="EV16" s="460">
        <f t="shared" si="126"/>
        <v>57.287999999999997</v>
      </c>
      <c r="EW16" s="528">
        <f t="shared" si="89"/>
        <v>0.24006400000000003</v>
      </c>
      <c r="EX16" s="528">
        <f t="shared" si="90"/>
        <v>3.8442844444444451E-3</v>
      </c>
      <c r="EY16" s="528">
        <f t="shared" si="91"/>
        <v>33.108837958150495</v>
      </c>
      <c r="EZ16" s="528">
        <f t="shared" si="92"/>
        <v>34.07620166188017</v>
      </c>
      <c r="FA16" s="528">
        <f t="shared" si="93"/>
        <v>1.1253000000000002</v>
      </c>
      <c r="FB16" s="460">
        <f t="shared" si="127"/>
        <v>35201.501661880175</v>
      </c>
      <c r="FC16" s="173">
        <f t="shared" si="128"/>
        <v>37.896449531311561</v>
      </c>
      <c r="FD16" s="5">
        <f t="shared" si="129"/>
        <v>11.22</v>
      </c>
      <c r="FE16" s="173">
        <f t="shared" si="130"/>
        <v>0.22843670719414055</v>
      </c>
      <c r="FF16" s="5">
        <f t="shared" si="131"/>
        <v>22.843670719414057</v>
      </c>
      <c r="FI16" s="562">
        <f t="shared" si="94"/>
        <v>-50</v>
      </c>
      <c r="FJ16">
        <f t="shared" si="95"/>
        <v>-50</v>
      </c>
      <c r="FL16">
        <f t="shared" si="96"/>
        <v>0.19799999999999998</v>
      </c>
    </row>
    <row r="17" spans="5:168">
      <c r="E17" s="170">
        <v>12</v>
      </c>
      <c r="F17" s="217">
        <f t="shared" si="97"/>
        <v>7.1999999999999995E-2</v>
      </c>
      <c r="G17" s="217"/>
      <c r="H17" s="217">
        <f t="shared" si="0"/>
        <v>12.239999999999998</v>
      </c>
      <c r="I17" s="541">
        <f t="shared" si="1"/>
        <v>12.034018097703177</v>
      </c>
      <c r="J17" s="172">
        <f t="shared" si="2"/>
        <v>8.5254992663238891</v>
      </c>
      <c r="K17" s="172">
        <f t="shared" si="3"/>
        <v>21.025499266323891</v>
      </c>
      <c r="L17" s="443"/>
      <c r="M17" s="217">
        <f t="shared" si="4"/>
        <v>0.41467411636231066</v>
      </c>
      <c r="N17" s="172">
        <f t="shared" si="5"/>
        <v>168.21118413129474</v>
      </c>
      <c r="O17" s="172">
        <f t="shared" si="98"/>
        <v>12.239999999999998</v>
      </c>
      <c r="P17" s="217">
        <f t="shared" si="6"/>
        <v>0.98947755371349844</v>
      </c>
      <c r="Q17" s="217">
        <f t="shared" si="7"/>
        <v>170</v>
      </c>
      <c r="R17" s="217">
        <f t="shared" si="8"/>
        <v>0.97846976881433745</v>
      </c>
      <c r="S17" s="172">
        <f t="shared" si="9"/>
        <v>5330.6468859464712</v>
      </c>
      <c r="T17" s="172">
        <f t="shared" si="10"/>
        <v>170</v>
      </c>
      <c r="U17" s="217">
        <f t="shared" si="99"/>
        <v>4.9203359709660308</v>
      </c>
      <c r="V17" s="217">
        <f t="shared" si="11"/>
        <v>0.20443445950547184</v>
      </c>
      <c r="W17" s="217">
        <f t="shared" si="12"/>
        <v>0.28856585504626003</v>
      </c>
      <c r="X17" s="197">
        <f t="shared" si="13"/>
        <v>350</v>
      </c>
      <c r="Y17" s="443">
        <f t="shared" si="14"/>
        <v>350</v>
      </c>
      <c r="AA17" s="217">
        <f t="shared" si="15"/>
        <v>28.515403254805641</v>
      </c>
      <c r="AB17" s="173">
        <f t="shared" si="16"/>
        <v>1.6723597272152015</v>
      </c>
      <c r="AC17" s="173">
        <f t="shared" si="17"/>
        <v>0.41727010507558454</v>
      </c>
      <c r="AD17" s="173"/>
      <c r="AE17" s="173">
        <f t="shared" si="18"/>
        <v>0.78196788931767369</v>
      </c>
      <c r="AF17" s="545">
        <f t="shared" si="100"/>
        <v>276.22617622889391</v>
      </c>
      <c r="AG17" s="528">
        <f t="shared" si="19"/>
        <v>9.1229587087061942E-2</v>
      </c>
      <c r="AI17" s="173">
        <f t="shared" si="20"/>
        <v>11.845056325503855</v>
      </c>
      <c r="AJ17" s="173">
        <f t="shared" si="21"/>
        <v>13.333333333333334</v>
      </c>
      <c r="AK17" s="173">
        <f t="shared" si="22"/>
        <v>1.1578435292736537</v>
      </c>
      <c r="AM17" s="545">
        <f t="shared" si="23"/>
        <v>72</v>
      </c>
      <c r="AN17" s="460">
        <f t="shared" si="24"/>
        <v>276.22617622889391</v>
      </c>
      <c r="AP17">
        <f t="shared" si="25"/>
        <v>72</v>
      </c>
      <c r="AQ17" s="460">
        <f t="shared" si="26"/>
        <v>276.22617622889391</v>
      </c>
      <c r="AR17" s="460"/>
      <c r="AS17" s="5">
        <f t="shared" si="101"/>
        <v>3.6202217098040461</v>
      </c>
      <c r="AT17" s="5">
        <f t="shared" si="27"/>
        <v>0.55398509562978582</v>
      </c>
      <c r="AU17" s="5">
        <f t="shared" si="102"/>
        <v>3.0662366141742603</v>
      </c>
      <c r="AV17" s="5">
        <f t="shared" si="28"/>
        <v>0.78196788931767369</v>
      </c>
      <c r="AW17" s="173">
        <f t="shared" si="103"/>
        <v>0.15302518465361384</v>
      </c>
      <c r="AX17" s="173">
        <f t="shared" si="29"/>
        <v>12.276718943506397</v>
      </c>
      <c r="AY17" s="173">
        <f t="shared" si="30"/>
        <v>0.28232493844879542</v>
      </c>
      <c r="AZ17" s="173">
        <f t="shared" si="104"/>
        <v>43.484358877255175</v>
      </c>
      <c r="BA17" s="460">
        <f t="shared" si="31"/>
        <v>2.3462898167849754E-2</v>
      </c>
      <c r="BB17" s="5">
        <f t="shared" si="32"/>
        <v>4.989952430223596</v>
      </c>
      <c r="BC17" s="5"/>
      <c r="BD17" s="173">
        <f t="shared" si="105"/>
        <v>3.01133842179595</v>
      </c>
      <c r="BE17" s="173">
        <f t="shared" si="33"/>
        <v>0.35422838737414436</v>
      </c>
      <c r="BF17" s="173"/>
      <c r="BG17" s="528">
        <f t="shared" si="34"/>
        <v>0.3627263636233809</v>
      </c>
      <c r="BH17" s="528">
        <f t="shared" si="35"/>
        <v>1.7423379796920189</v>
      </c>
      <c r="BI17" s="528">
        <f t="shared" si="36"/>
        <v>0.13296443215191425</v>
      </c>
      <c r="BJ17" s="528">
        <f t="shared" si="37"/>
        <v>2.4422350609135196E-2</v>
      </c>
      <c r="BK17">
        <f t="shared" si="38"/>
        <v>5.4153081439664297E-3</v>
      </c>
      <c r="BL17" s="460">
        <f t="shared" si="106"/>
        <v>138.37974029588068</v>
      </c>
      <c r="BM17" s="528">
        <f t="shared" si="39"/>
        <v>2.4374953881266306</v>
      </c>
      <c r="BN17" s="460">
        <f t="shared" si="107"/>
        <v>2437.4953881266306</v>
      </c>
      <c r="BO17" s="528">
        <f t="shared" si="108"/>
        <v>6.2495999999999989E-2</v>
      </c>
      <c r="BP17" s="528"/>
      <c r="BR17" s="460">
        <f t="shared" si="109"/>
        <v>62.495999999999988</v>
      </c>
      <c r="BS17" s="528">
        <f t="shared" si="40"/>
        <v>0.27204477271753569</v>
      </c>
      <c r="BT17" s="528">
        <f t="shared" si="41"/>
        <v>3.7643325126506064E-3</v>
      </c>
      <c r="BU17" s="528">
        <f t="shared" si="42"/>
        <v>0.18359999999999996</v>
      </c>
      <c r="BV17" s="528">
        <f t="shared" si="43"/>
        <v>0.53746224904577655</v>
      </c>
      <c r="BW17" s="528">
        <f t="shared" si="44"/>
        <v>1.2276718943506397</v>
      </c>
      <c r="BX17" s="460">
        <f t="shared" si="110"/>
        <v>1765.1341433964162</v>
      </c>
      <c r="BY17" s="173">
        <f t="shared" si="45"/>
        <v>4.4035052718189283</v>
      </c>
      <c r="BZ17" s="5">
        <f t="shared" si="111"/>
        <v>12.239999999999998</v>
      </c>
      <c r="CA17" s="173">
        <f t="shared" si="112"/>
        <v>0.73542200396481261</v>
      </c>
      <c r="CB17" s="5">
        <f t="shared" si="113"/>
        <v>73.542200396481263</v>
      </c>
      <c r="CE17" s="562">
        <f t="shared" si="46"/>
        <v>-50</v>
      </c>
      <c r="CF17">
        <f t="shared" si="47"/>
        <v>-50</v>
      </c>
      <c r="CG17" s="173">
        <f t="shared" si="48"/>
        <v>0.21631741383765607</v>
      </c>
      <c r="CI17" s="170">
        <v>12</v>
      </c>
      <c r="CJ17" s="217">
        <f t="shared" si="114"/>
        <v>7.1999999999999995E-2</v>
      </c>
      <c r="CK17" s="217"/>
      <c r="CL17" s="217">
        <f t="shared" si="49"/>
        <v>12.239999999999998</v>
      </c>
      <c r="CM17" s="541">
        <f t="shared" si="50"/>
        <v>12.5</v>
      </c>
      <c r="CN17" s="172">
        <f t="shared" si="51"/>
        <v>8.5250000000000004</v>
      </c>
      <c r="CO17" s="443">
        <f t="shared" si="52"/>
        <v>21.024999999999999</v>
      </c>
      <c r="CP17" s="443"/>
      <c r="CQ17" s="217">
        <f t="shared" si="53"/>
        <v>0.40546967895362668</v>
      </c>
      <c r="CR17" s="172">
        <f t="shared" si="54"/>
        <v>170.84633868410626</v>
      </c>
      <c r="CS17" s="172">
        <f t="shared" si="115"/>
        <v>12.239999999999998</v>
      </c>
      <c r="CT17" s="217">
        <f t="shared" si="55"/>
        <v>1.0049784628476839</v>
      </c>
      <c r="CU17" s="217">
        <f t="shared" si="56"/>
        <v>170</v>
      </c>
      <c r="CV17" s="217">
        <f t="shared" si="57"/>
        <v>0.99379823272947732</v>
      </c>
      <c r="CW17" s="172">
        <f t="shared" si="58"/>
        <v>5537.0596101574738</v>
      </c>
      <c r="CX17" s="172">
        <f t="shared" si="59"/>
        <v>170</v>
      </c>
      <c r="CY17" s="217">
        <f t="shared" si="60"/>
        <v>4.8299542521994123</v>
      </c>
      <c r="CZ17" s="217">
        <f t="shared" si="61"/>
        <v>0.19319817008797649</v>
      </c>
      <c r="DA17" s="217">
        <f t="shared" si="62"/>
        <v>0.28328177432254614</v>
      </c>
      <c r="DB17" s="197">
        <f t="shared" si="63"/>
        <v>350</v>
      </c>
      <c r="DC17" s="443">
        <f t="shared" si="116"/>
        <v>350</v>
      </c>
      <c r="DE17" s="217">
        <f t="shared" si="64"/>
        <v>28.962119925259049</v>
      </c>
      <c r="DF17" s="173">
        <f t="shared" si="65"/>
        <v>1.6986580601324954</v>
      </c>
      <c r="DG17" s="173">
        <f t="shared" si="66"/>
        <v>0.4304714614336958</v>
      </c>
      <c r="DH17" s="173"/>
      <c r="DI17" s="173">
        <f t="shared" si="67"/>
        <v>0.78201368523949166</v>
      </c>
      <c r="DJ17" s="545">
        <f t="shared" si="117"/>
        <v>276.20999999999998</v>
      </c>
      <c r="DK17" s="528">
        <f t="shared" si="68"/>
        <v>9.1234929944607357E-2</v>
      </c>
      <c r="DM17" s="173">
        <f t="shared" si="69"/>
        <v>11.844709488085508</v>
      </c>
      <c r="DN17" s="173">
        <f t="shared" si="70"/>
        <v>13.333333333333334</v>
      </c>
      <c r="DO17" s="173">
        <f t="shared" si="71"/>
        <v>1.1578342857142858</v>
      </c>
      <c r="DQ17" s="545">
        <f t="shared" si="72"/>
        <v>72</v>
      </c>
      <c r="DR17" s="460">
        <f t="shared" si="73"/>
        <v>276.20999999999998</v>
      </c>
      <c r="DT17">
        <f t="shared" si="74"/>
        <v>72</v>
      </c>
      <c r="DU17" s="460">
        <f t="shared" si="75"/>
        <v>276.20999999999998</v>
      </c>
      <c r="DV17" s="460"/>
      <c r="DW17" s="5">
        <f t="shared" si="118"/>
        <v>3.6204337279606098</v>
      </c>
      <c r="DX17" s="5">
        <f t="shared" si="76"/>
        <v>0.53333333333333333</v>
      </c>
      <c r="DY17" s="5">
        <f t="shared" si="119"/>
        <v>3.0871003946272766</v>
      </c>
      <c r="DZ17" s="5">
        <f t="shared" si="77"/>
        <v>0.78201368523949166</v>
      </c>
      <c r="EA17" s="173">
        <f t="shared" si="120"/>
        <v>0.147312</v>
      </c>
      <c r="EB17" s="173">
        <f t="shared" si="78"/>
        <v>12.276</v>
      </c>
      <c r="EC17" s="173">
        <f t="shared" si="79"/>
        <v>0.28422933333333339</v>
      </c>
      <c r="ED17" s="173">
        <f t="shared" si="121"/>
        <v>43.190475296943305</v>
      </c>
      <c r="EE17" s="460">
        <f t="shared" si="80"/>
        <v>2.2588235294117645E-2</v>
      </c>
      <c r="EF17" s="5">
        <f t="shared" si="81"/>
        <v>4.8366219302704456</v>
      </c>
      <c r="EG17" s="5"/>
      <c r="EH17" s="173">
        <f t="shared" si="122"/>
        <v>2.954589650019102</v>
      </c>
      <c r="EI17" s="173">
        <f t="shared" si="82"/>
        <v>0.3554210856830925</v>
      </c>
      <c r="EJ17" s="173"/>
      <c r="EK17" s="528">
        <f t="shared" si="83"/>
        <v>0.34918399999999999</v>
      </c>
      <c r="EL17" s="528">
        <f t="shared" si="84"/>
        <v>2.1293489249999999</v>
      </c>
      <c r="EM17" s="528">
        <f t="shared" si="85"/>
        <v>5.5241999999999992E-2</v>
      </c>
      <c r="EN17" s="528">
        <f t="shared" si="86"/>
        <v>2.4419760626249998E-2</v>
      </c>
      <c r="EO17">
        <f t="shared" si="87"/>
        <v>5.6249999999999998E-3</v>
      </c>
      <c r="EP17" s="460">
        <f t="shared" si="123"/>
        <v>60.86699999999999</v>
      </c>
      <c r="EQ17" s="528">
        <f t="shared" si="88"/>
        <v>2.8985835953940069</v>
      </c>
      <c r="ER17" s="460">
        <f t="shared" si="124"/>
        <v>2898.5835953940068</v>
      </c>
      <c r="ES17" s="528">
        <f t="shared" si="125"/>
        <v>6.2495999999999989E-2</v>
      </c>
      <c r="ET17" s="528"/>
      <c r="EV17" s="460">
        <f t="shared" si="126"/>
        <v>62.495999999999988</v>
      </c>
      <c r="EW17" s="528">
        <f t="shared" si="89"/>
        <v>0.26188799999999995</v>
      </c>
      <c r="EX17" s="528">
        <f t="shared" si="90"/>
        <v>3.7897244444444456E-3</v>
      </c>
      <c r="EY17" s="528">
        <f t="shared" si="91"/>
        <v>41.154311506946279</v>
      </c>
      <c r="EZ17" s="528">
        <f t="shared" si="92"/>
        <v>42.384603485702307</v>
      </c>
      <c r="FA17" s="528">
        <f t="shared" si="93"/>
        <v>1.2276</v>
      </c>
      <c r="FB17" s="460">
        <f t="shared" si="127"/>
        <v>43612.20348570231</v>
      </c>
      <c r="FC17" s="173">
        <f t="shared" si="128"/>
        <v>46.573283081096314</v>
      </c>
      <c r="FD17" s="5">
        <f t="shared" si="129"/>
        <v>12.239999999999998</v>
      </c>
      <c r="FE17" s="173">
        <f t="shared" si="130"/>
        <v>0.20811625127477643</v>
      </c>
      <c r="FF17" s="5">
        <f t="shared" si="131"/>
        <v>20.811625127477644</v>
      </c>
      <c r="FI17" s="562">
        <f t="shared" si="94"/>
        <v>-50</v>
      </c>
      <c r="FJ17">
        <f t="shared" si="95"/>
        <v>-50</v>
      </c>
      <c r="FL17">
        <f t="shared" si="96"/>
        <v>0.21599999999999997</v>
      </c>
    </row>
    <row r="18" spans="5:168">
      <c r="E18" s="170">
        <v>13</v>
      </c>
      <c r="F18" s="217">
        <f t="shared" si="97"/>
        <v>7.8E-2</v>
      </c>
      <c r="G18" s="217"/>
      <c r="H18" s="217">
        <f t="shared" si="0"/>
        <v>13.26</v>
      </c>
      <c r="I18" s="541">
        <f t="shared" si="1"/>
        <v>12.034018097703177</v>
      </c>
      <c r="J18" s="172">
        <f t="shared" si="2"/>
        <v>8.5254992663238891</v>
      </c>
      <c r="K18" s="172">
        <f t="shared" si="3"/>
        <v>21.025499266323891</v>
      </c>
      <c r="L18" s="443"/>
      <c r="M18" s="217">
        <f t="shared" si="4"/>
        <v>0.41467411636231066</v>
      </c>
      <c r="N18" s="172">
        <f t="shared" si="5"/>
        <v>168.21118413129474</v>
      </c>
      <c r="O18" s="172">
        <f t="shared" si="98"/>
        <v>13.26</v>
      </c>
      <c r="P18" s="217">
        <f t="shared" si="6"/>
        <v>0.98947755371349844</v>
      </c>
      <c r="Q18" s="217">
        <f t="shared" si="7"/>
        <v>170</v>
      </c>
      <c r="R18" s="217">
        <f t="shared" si="8"/>
        <v>0.97846976881433745</v>
      </c>
      <c r="S18" s="172">
        <f t="shared" si="9"/>
        <v>4902.086961103545</v>
      </c>
      <c r="T18" s="172">
        <f t="shared" si="10"/>
        <v>170</v>
      </c>
      <c r="U18" s="217">
        <f t="shared" si="99"/>
        <v>5.3303639685465338</v>
      </c>
      <c r="V18" s="217">
        <f t="shared" si="11"/>
        <v>0.22147066446426114</v>
      </c>
      <c r="W18" s="217">
        <f t="shared" si="12"/>
        <v>0.31261300963344835</v>
      </c>
      <c r="X18" s="197">
        <f t="shared" si="13"/>
        <v>350</v>
      </c>
      <c r="Y18" s="443">
        <f t="shared" si="14"/>
        <v>350</v>
      </c>
      <c r="AA18" s="217">
        <f t="shared" si="15"/>
        <v>28.515403254805641</v>
      </c>
      <c r="AB18" s="173">
        <f t="shared" si="16"/>
        <v>1.6723597272152015</v>
      </c>
      <c r="AC18" s="173">
        <f t="shared" si="17"/>
        <v>0.41727010507558454</v>
      </c>
      <c r="AD18" s="173"/>
      <c r="AE18" s="173">
        <f t="shared" si="18"/>
        <v>0.78196788931767369</v>
      </c>
      <c r="AF18" s="545">
        <f t="shared" si="100"/>
        <v>299.24502424796844</v>
      </c>
      <c r="AG18" s="528">
        <f t="shared" si="19"/>
        <v>9.1229587087061942E-2</v>
      </c>
      <c r="AI18" s="173">
        <f t="shared" si="20"/>
        <v>12.328725507281309</v>
      </c>
      <c r="AJ18" s="173">
        <f t="shared" si="21"/>
        <v>13.333333333333334</v>
      </c>
      <c r="AK18" s="173">
        <f t="shared" si="22"/>
        <v>1.1709971567131248</v>
      </c>
      <c r="AM18" s="545">
        <f t="shared" si="23"/>
        <v>78</v>
      </c>
      <c r="AN18" s="460">
        <f t="shared" si="24"/>
        <v>299.24502424796844</v>
      </c>
      <c r="AP18">
        <f t="shared" si="25"/>
        <v>78</v>
      </c>
      <c r="AQ18" s="460">
        <f t="shared" si="26"/>
        <v>299.24502424796844</v>
      </c>
      <c r="AR18" s="460"/>
      <c r="AS18" s="5">
        <f t="shared" si="101"/>
        <v>3.3417431167421956</v>
      </c>
      <c r="AT18" s="5">
        <f t="shared" si="27"/>
        <v>0.55398509562978582</v>
      </c>
      <c r="AU18" s="5">
        <f t="shared" si="102"/>
        <v>2.7877580211124098</v>
      </c>
      <c r="AV18" s="5">
        <f t="shared" si="28"/>
        <v>0.78196788931767369</v>
      </c>
      <c r="AW18" s="173">
        <f t="shared" si="103"/>
        <v>0.16577728337474837</v>
      </c>
      <c r="AX18" s="173">
        <f t="shared" si="29"/>
        <v>13.299778855465265</v>
      </c>
      <c r="AY18" s="173">
        <f t="shared" si="30"/>
        <v>0.27807423887508392</v>
      </c>
      <c r="AZ18" s="173">
        <f t="shared" si="104"/>
        <v>47.828158801289646</v>
      </c>
      <c r="BA18" s="460">
        <f t="shared" si="31"/>
        <v>2.5418139681837232E-2</v>
      </c>
      <c r="BB18" s="5">
        <f t="shared" si="32"/>
        <v>4.9148234360067455</v>
      </c>
      <c r="BC18" s="5"/>
      <c r="BD18" s="173">
        <f t="shared" si="105"/>
        <v>3.1343004027693171</v>
      </c>
      <c r="BE18" s="173">
        <f t="shared" si="33"/>
        <v>0.35155163292345609</v>
      </c>
      <c r="BF18" s="173"/>
      <c r="BG18" s="528">
        <f t="shared" si="34"/>
        <v>0.39295356059199615</v>
      </c>
      <c r="BH18" s="528">
        <f t="shared" si="35"/>
        <v>1.8875328113330208</v>
      </c>
      <c r="BI18" s="528">
        <f t="shared" si="36"/>
        <v>0.14404480149790713</v>
      </c>
      <c r="BJ18" s="528">
        <f t="shared" si="37"/>
        <v>2.6457546493229799E-2</v>
      </c>
      <c r="BK18">
        <f t="shared" si="38"/>
        <v>5.4153081439664297E-3</v>
      </c>
      <c r="BL18" s="460">
        <f t="shared" si="106"/>
        <v>149.46010964187357</v>
      </c>
      <c r="BM18" s="528">
        <f t="shared" si="39"/>
        <v>2.6615379050083292</v>
      </c>
      <c r="BN18" s="460">
        <f t="shared" si="107"/>
        <v>2661.5379050083293</v>
      </c>
      <c r="BO18" s="528">
        <f t="shared" si="108"/>
        <v>6.7704E-2</v>
      </c>
      <c r="BP18" s="528"/>
      <c r="BR18" s="460">
        <f t="shared" si="109"/>
        <v>67.703999999999994</v>
      </c>
      <c r="BS18" s="528">
        <f t="shared" si="40"/>
        <v>0.29471517044399709</v>
      </c>
      <c r="BT18" s="528">
        <f t="shared" si="41"/>
        <v>3.7076565183344523E-3</v>
      </c>
      <c r="BU18" s="528">
        <f t="shared" si="42"/>
        <v>0.19889999999999999</v>
      </c>
      <c r="BV18" s="528">
        <f t="shared" si="43"/>
        <v>0.58285938916416369</v>
      </c>
      <c r="BW18" s="528">
        <f t="shared" si="44"/>
        <v>1.3299778855465265</v>
      </c>
      <c r="BX18" s="460">
        <f t="shared" si="110"/>
        <v>1912.8372747106903</v>
      </c>
      <c r="BY18" s="173">
        <f t="shared" si="45"/>
        <v>4.7915392893608928</v>
      </c>
      <c r="BZ18" s="5">
        <f t="shared" si="111"/>
        <v>13.26</v>
      </c>
      <c r="CA18" s="173">
        <f t="shared" si="112"/>
        <v>0.73456339581052232</v>
      </c>
      <c r="CB18" s="5">
        <f t="shared" si="113"/>
        <v>73.456339581052234</v>
      </c>
      <c r="CE18" s="562">
        <f t="shared" si="46"/>
        <v>-50</v>
      </c>
      <c r="CF18">
        <f t="shared" si="47"/>
        <v>-50</v>
      </c>
      <c r="CG18" s="173">
        <f t="shared" si="48"/>
        <v>0.23434386499079404</v>
      </c>
      <c r="CI18" s="170">
        <v>13</v>
      </c>
      <c r="CJ18" s="217">
        <f t="shared" si="114"/>
        <v>7.8E-2</v>
      </c>
      <c r="CK18" s="217"/>
      <c r="CL18" s="217">
        <f t="shared" si="49"/>
        <v>13.26</v>
      </c>
      <c r="CM18" s="541">
        <f t="shared" si="50"/>
        <v>12.5</v>
      </c>
      <c r="CN18" s="172">
        <f t="shared" si="51"/>
        <v>8.5250000000000004</v>
      </c>
      <c r="CO18" s="443">
        <f t="shared" si="52"/>
        <v>21.024999999999999</v>
      </c>
      <c r="CP18" s="443"/>
      <c r="CQ18" s="217">
        <f t="shared" si="53"/>
        <v>0.40546967895362668</v>
      </c>
      <c r="CR18" s="172">
        <f t="shared" si="54"/>
        <v>170.84633868410626</v>
      </c>
      <c r="CS18" s="172">
        <f t="shared" si="115"/>
        <v>13.26</v>
      </c>
      <c r="CT18" s="217">
        <f t="shared" si="55"/>
        <v>1.0049784628476839</v>
      </c>
      <c r="CU18" s="217">
        <f t="shared" si="56"/>
        <v>170</v>
      </c>
      <c r="CV18" s="217">
        <f t="shared" si="57"/>
        <v>0.99379823272947732</v>
      </c>
      <c r="CW18" s="172">
        <f t="shared" si="58"/>
        <v>5091.9048882396255</v>
      </c>
      <c r="CX18" s="172">
        <f t="shared" si="59"/>
        <v>170</v>
      </c>
      <c r="CY18" s="217">
        <f t="shared" si="60"/>
        <v>5.2324504398826974</v>
      </c>
      <c r="CZ18" s="217">
        <f t="shared" si="61"/>
        <v>0.20929801759530789</v>
      </c>
      <c r="DA18" s="217">
        <f t="shared" si="62"/>
        <v>0.30688858884942505</v>
      </c>
      <c r="DB18" s="197">
        <f t="shared" si="63"/>
        <v>350</v>
      </c>
      <c r="DC18" s="443">
        <f t="shared" si="116"/>
        <v>350</v>
      </c>
      <c r="DE18" s="217">
        <f t="shared" si="64"/>
        <v>28.962119925259049</v>
      </c>
      <c r="DF18" s="173">
        <f t="shared" si="65"/>
        <v>1.6986580601324954</v>
      </c>
      <c r="DG18" s="173">
        <f t="shared" si="66"/>
        <v>0.4304714614336958</v>
      </c>
      <c r="DH18" s="173"/>
      <c r="DI18" s="173">
        <f t="shared" si="67"/>
        <v>0.78201368523949166</v>
      </c>
      <c r="DJ18" s="545">
        <f t="shared" si="117"/>
        <v>299.22750000000002</v>
      </c>
      <c r="DK18" s="528">
        <f t="shared" si="68"/>
        <v>9.1234929944607357E-2</v>
      </c>
      <c r="DM18" s="173">
        <f t="shared" si="69"/>
        <v>12.328364507450752</v>
      </c>
      <c r="DN18" s="173">
        <f t="shared" si="70"/>
        <v>13.333333333333334</v>
      </c>
      <c r="DO18" s="173">
        <f t="shared" si="71"/>
        <v>1.1709871428571428</v>
      </c>
      <c r="DQ18" s="545">
        <f t="shared" si="72"/>
        <v>78</v>
      </c>
      <c r="DR18" s="460">
        <f t="shared" si="73"/>
        <v>299.22750000000002</v>
      </c>
      <c r="DT18">
        <f t="shared" si="74"/>
        <v>78</v>
      </c>
      <c r="DU18" s="460">
        <f t="shared" si="75"/>
        <v>299.22750000000002</v>
      </c>
      <c r="DV18" s="460"/>
      <c r="DW18" s="5">
        <f t="shared" si="118"/>
        <v>3.3419388258097933</v>
      </c>
      <c r="DX18" s="5">
        <f t="shared" si="76"/>
        <v>0.53333333333333333</v>
      </c>
      <c r="DY18" s="5">
        <f t="shared" si="119"/>
        <v>2.8086054924764601</v>
      </c>
      <c r="DZ18" s="5">
        <f t="shared" si="77"/>
        <v>0.78201368523949166</v>
      </c>
      <c r="EA18" s="173">
        <f t="shared" si="120"/>
        <v>0.15958800000000001</v>
      </c>
      <c r="EB18" s="173">
        <f t="shared" si="78"/>
        <v>13.299000000000001</v>
      </c>
      <c r="EC18" s="173">
        <f t="shared" si="79"/>
        <v>0.28013733333333335</v>
      </c>
      <c r="ED18" s="173">
        <f t="shared" si="121"/>
        <v>47.47314412454844</v>
      </c>
      <c r="EE18" s="460">
        <f t="shared" si="80"/>
        <v>2.4470588235294119E-2</v>
      </c>
      <c r="EF18" s="5">
        <f t="shared" si="81"/>
        <v>4.7669899302704462</v>
      </c>
      <c r="EG18" s="5"/>
      <c r="EH18" s="173">
        <f t="shared" si="122"/>
        <v>3.0752344084096528</v>
      </c>
      <c r="EI18" s="173">
        <f t="shared" si="82"/>
        <v>0.35285334273814312</v>
      </c>
      <c r="EJ18" s="173"/>
      <c r="EK18" s="528">
        <f t="shared" si="83"/>
        <v>0.37828266666666671</v>
      </c>
      <c r="EL18" s="528">
        <f t="shared" si="84"/>
        <v>2.3067946687500003</v>
      </c>
      <c r="EM18" s="528">
        <f t="shared" si="85"/>
        <v>5.9845500000000003E-2</v>
      </c>
      <c r="EN18" s="528">
        <f t="shared" si="86"/>
        <v>2.6454740678437502E-2</v>
      </c>
      <c r="EO18">
        <f t="shared" si="87"/>
        <v>5.6249999999999998E-3</v>
      </c>
      <c r="EP18" s="460">
        <f t="shared" si="123"/>
        <v>65.470500000000001</v>
      </c>
      <c r="EQ18" s="528">
        <f t="shared" si="88"/>
        <v>3.1634716022258553</v>
      </c>
      <c r="ER18" s="460">
        <f t="shared" si="124"/>
        <v>3163.4716022258553</v>
      </c>
      <c r="ES18" s="528">
        <f t="shared" si="125"/>
        <v>6.7704E-2</v>
      </c>
      <c r="ET18" s="528"/>
      <c r="EV18" s="460">
        <f t="shared" si="126"/>
        <v>67.703999999999994</v>
      </c>
      <c r="EW18" s="528">
        <f t="shared" si="89"/>
        <v>0.28371200000000002</v>
      </c>
      <c r="EX18" s="528">
        <f t="shared" si="90"/>
        <v>3.7351644444444448E-3</v>
      </c>
      <c r="EY18" s="528">
        <f t="shared" si="91"/>
        <v>50.271356729967628</v>
      </c>
      <c r="EZ18" s="528">
        <f t="shared" si="92"/>
        <v>51.819418813977698</v>
      </c>
      <c r="FA18" s="528">
        <f t="shared" si="93"/>
        <v>1.3299000000000001</v>
      </c>
      <c r="FB18" s="460">
        <f t="shared" si="127"/>
        <v>53149.318813977698</v>
      </c>
      <c r="FC18" s="173">
        <f t="shared" si="128"/>
        <v>56.380494416203554</v>
      </c>
      <c r="FD18" s="5">
        <f t="shared" si="129"/>
        <v>13.26</v>
      </c>
      <c r="FE18" s="173">
        <f t="shared" si="130"/>
        <v>0.19040645979266252</v>
      </c>
      <c r="FF18" s="5">
        <f t="shared" si="131"/>
        <v>19.040645979266252</v>
      </c>
      <c r="FI18" s="562">
        <f t="shared" si="94"/>
        <v>-50</v>
      </c>
      <c r="FJ18">
        <f t="shared" si="95"/>
        <v>-50</v>
      </c>
      <c r="FL18">
        <f t="shared" si="96"/>
        <v>0.23399999999999999</v>
      </c>
    </row>
    <row r="19" spans="5:168">
      <c r="E19" s="170">
        <v>14</v>
      </c>
      <c r="F19" s="217">
        <f t="shared" si="97"/>
        <v>8.4000000000000005E-2</v>
      </c>
      <c r="G19" s="217"/>
      <c r="H19" s="217">
        <f t="shared" si="0"/>
        <v>14.280000000000001</v>
      </c>
      <c r="I19" s="541">
        <f t="shared" si="1"/>
        <v>12.034018097703177</v>
      </c>
      <c r="J19" s="172">
        <f t="shared" si="2"/>
        <v>8.5254992663238891</v>
      </c>
      <c r="K19" s="172">
        <f t="shared" si="3"/>
        <v>21.025499266323891</v>
      </c>
      <c r="L19" s="443"/>
      <c r="M19" s="217">
        <f t="shared" si="4"/>
        <v>0.41467411636231066</v>
      </c>
      <c r="N19" s="172">
        <f t="shared" si="5"/>
        <v>168.21118413129474</v>
      </c>
      <c r="O19" s="172">
        <f t="shared" si="98"/>
        <v>14.280000000000001</v>
      </c>
      <c r="P19" s="217">
        <f t="shared" si="6"/>
        <v>0.98947755371349844</v>
      </c>
      <c r="Q19" s="217">
        <f t="shared" si="7"/>
        <v>170</v>
      </c>
      <c r="R19" s="217">
        <f t="shared" si="8"/>
        <v>0.97846976881433745</v>
      </c>
      <c r="S19" s="172">
        <f t="shared" si="9"/>
        <v>4534.7501794795207</v>
      </c>
      <c r="T19" s="172">
        <f t="shared" si="10"/>
        <v>170</v>
      </c>
      <c r="U19" s="217">
        <f t="shared" si="99"/>
        <v>5.7403919661270359</v>
      </c>
      <c r="V19" s="217">
        <f t="shared" si="11"/>
        <v>0.23850686942305047</v>
      </c>
      <c r="W19" s="217">
        <f t="shared" si="12"/>
        <v>0.33666016422063666</v>
      </c>
      <c r="X19" s="197">
        <f t="shared" si="13"/>
        <v>350</v>
      </c>
      <c r="Y19" s="443">
        <f t="shared" si="14"/>
        <v>350</v>
      </c>
      <c r="AA19" s="217">
        <f t="shared" si="15"/>
        <v>28.515403254805641</v>
      </c>
      <c r="AB19" s="173">
        <f t="shared" si="16"/>
        <v>1.6723597272152015</v>
      </c>
      <c r="AC19" s="173">
        <f t="shared" si="17"/>
        <v>0.41727010507558454</v>
      </c>
      <c r="AD19" s="173"/>
      <c r="AE19" s="173">
        <f t="shared" si="18"/>
        <v>0.78196788931767369</v>
      </c>
      <c r="AF19" s="545">
        <f t="shared" si="100"/>
        <v>322.26387226704298</v>
      </c>
      <c r="AG19" s="528">
        <f t="shared" si="19"/>
        <v>9.1229587087061942E-2</v>
      </c>
      <c r="AI19" s="173">
        <f t="shared" si="20"/>
        <v>12.794123100604383</v>
      </c>
      <c r="AJ19" s="173">
        <f t="shared" si="21"/>
        <v>13.333333333333334</v>
      </c>
      <c r="AK19" s="173">
        <f t="shared" si="22"/>
        <v>1.184150784152596</v>
      </c>
      <c r="AM19" s="545">
        <f t="shared" si="23"/>
        <v>84</v>
      </c>
      <c r="AN19" s="460">
        <f t="shared" si="24"/>
        <v>322.26387226704298</v>
      </c>
      <c r="AP19">
        <f t="shared" si="25"/>
        <v>84</v>
      </c>
      <c r="AQ19" s="460">
        <f t="shared" si="26"/>
        <v>322.26387226704298</v>
      </c>
      <c r="AR19" s="460"/>
      <c r="AS19" s="5">
        <f t="shared" si="101"/>
        <v>3.1030471798320383</v>
      </c>
      <c r="AT19" s="5">
        <f t="shared" si="27"/>
        <v>0.55398509562978582</v>
      </c>
      <c r="AU19" s="5">
        <f t="shared" si="102"/>
        <v>2.5490620842022524</v>
      </c>
      <c r="AV19" s="5">
        <f t="shared" si="28"/>
        <v>0.78196788931767369</v>
      </c>
      <c r="AW19" s="173">
        <f t="shared" si="103"/>
        <v>0.1785293820958829</v>
      </c>
      <c r="AX19" s="173">
        <f t="shared" si="29"/>
        <v>14.322838767424134</v>
      </c>
      <c r="AY19" s="173">
        <f t="shared" si="30"/>
        <v>0.27382353930137243</v>
      </c>
      <c r="AZ19" s="173">
        <f t="shared" si="104"/>
        <v>52.306820677167202</v>
      </c>
      <c r="BA19" s="460">
        <f t="shared" si="31"/>
        <v>2.7373381195824709E-2</v>
      </c>
      <c r="BB19" s="5">
        <f t="shared" si="32"/>
        <v>4.8396944417898951</v>
      </c>
      <c r="BC19" s="5"/>
      <c r="BD19" s="173">
        <f t="shared" si="105"/>
        <v>3.2526172444687194</v>
      </c>
      <c r="BE19" s="173">
        <f t="shared" si="33"/>
        <v>0.34885434037805801</v>
      </c>
      <c r="BF19" s="173"/>
      <c r="BG19" s="528">
        <f t="shared" si="34"/>
        <v>0.42318075756061141</v>
      </c>
      <c r="BH19" s="528">
        <f t="shared" si="35"/>
        <v>2.0327276429740229</v>
      </c>
      <c r="BI19" s="528">
        <f t="shared" si="36"/>
        <v>0.15512517084390001</v>
      </c>
      <c r="BJ19" s="528">
        <f t="shared" si="37"/>
        <v>2.8492742377324402E-2</v>
      </c>
      <c r="BK19">
        <f t="shared" si="38"/>
        <v>5.4153081439664297E-3</v>
      </c>
      <c r="BL19" s="460">
        <f t="shared" si="106"/>
        <v>160.54047898786644</v>
      </c>
      <c r="BM19" s="528">
        <f t="shared" si="39"/>
        <v>2.8891583090315351</v>
      </c>
      <c r="BN19" s="460">
        <f t="shared" si="107"/>
        <v>2889.1583090315353</v>
      </c>
      <c r="BO19" s="528">
        <f t="shared" si="108"/>
        <v>7.2911999999999991E-2</v>
      </c>
      <c r="BP19" s="528"/>
      <c r="BR19" s="460">
        <f t="shared" si="109"/>
        <v>72.911999999999992</v>
      </c>
      <c r="BS19" s="528">
        <f t="shared" si="40"/>
        <v>0.31738556817045854</v>
      </c>
      <c r="BT19" s="528">
        <f t="shared" si="41"/>
        <v>3.6509805240182987E-3</v>
      </c>
      <c r="BU19" s="528">
        <f t="shared" si="42"/>
        <v>0.2142</v>
      </c>
      <c r="BV19" s="528">
        <f t="shared" si="43"/>
        <v>0.62842511477805352</v>
      </c>
      <c r="BW19" s="528">
        <f t="shared" si="44"/>
        <v>1.4322838767424133</v>
      </c>
      <c r="BX19" s="460">
        <f t="shared" si="110"/>
        <v>2060.7089915204665</v>
      </c>
      <c r="BY19" s="173">
        <f t="shared" si="45"/>
        <v>5.1833197795398691</v>
      </c>
      <c r="BZ19" s="5">
        <f t="shared" si="111"/>
        <v>14.280000000000001</v>
      </c>
      <c r="CA19" s="173">
        <f t="shared" si="112"/>
        <v>0.73368778614074615</v>
      </c>
      <c r="CB19" s="5">
        <f t="shared" si="113"/>
        <v>73.368778614074614</v>
      </c>
      <c r="CE19" s="562">
        <f t="shared" si="46"/>
        <v>-50</v>
      </c>
      <c r="CF19">
        <f t="shared" si="47"/>
        <v>-50</v>
      </c>
      <c r="CG19" s="173">
        <f t="shared" si="48"/>
        <v>0.25237031614393207</v>
      </c>
      <c r="CI19" s="170">
        <v>14</v>
      </c>
      <c r="CJ19" s="217">
        <f t="shared" si="114"/>
        <v>8.4000000000000005E-2</v>
      </c>
      <c r="CK19" s="217"/>
      <c r="CL19" s="217">
        <f t="shared" si="49"/>
        <v>14.280000000000001</v>
      </c>
      <c r="CM19" s="541">
        <f t="shared" si="50"/>
        <v>12.5</v>
      </c>
      <c r="CN19" s="172">
        <f t="shared" si="51"/>
        <v>8.5250000000000004</v>
      </c>
      <c r="CO19" s="443">
        <f t="shared" si="52"/>
        <v>21.024999999999999</v>
      </c>
      <c r="CP19" s="443"/>
      <c r="CQ19" s="217">
        <f t="shared" si="53"/>
        <v>0.40546967895362668</v>
      </c>
      <c r="CR19" s="172">
        <f t="shared" si="54"/>
        <v>170.84633868410626</v>
      </c>
      <c r="CS19" s="172">
        <f t="shared" si="115"/>
        <v>14.280000000000001</v>
      </c>
      <c r="CT19" s="217">
        <f t="shared" si="55"/>
        <v>1.0049784628476839</v>
      </c>
      <c r="CU19" s="217">
        <f t="shared" si="56"/>
        <v>170</v>
      </c>
      <c r="CV19" s="217">
        <f t="shared" si="57"/>
        <v>0.99379823272947732</v>
      </c>
      <c r="CW19" s="172">
        <f t="shared" si="58"/>
        <v>4710.343994840815</v>
      </c>
      <c r="CX19" s="172">
        <f t="shared" si="59"/>
        <v>170</v>
      </c>
      <c r="CY19" s="217">
        <f t="shared" si="60"/>
        <v>5.6349466275659816</v>
      </c>
      <c r="CZ19" s="217">
        <f t="shared" si="61"/>
        <v>0.22539786510263926</v>
      </c>
      <c r="DA19" s="217">
        <f t="shared" si="62"/>
        <v>0.33049540337630384</v>
      </c>
      <c r="DB19" s="197">
        <f t="shared" si="63"/>
        <v>350</v>
      </c>
      <c r="DC19" s="443">
        <f t="shared" si="116"/>
        <v>350</v>
      </c>
      <c r="DE19" s="217">
        <f t="shared" si="64"/>
        <v>28.962119925259049</v>
      </c>
      <c r="DF19" s="173">
        <f t="shared" si="65"/>
        <v>1.6986580601324954</v>
      </c>
      <c r="DG19" s="173">
        <f t="shared" si="66"/>
        <v>0.4304714614336958</v>
      </c>
      <c r="DH19" s="173"/>
      <c r="DI19" s="173">
        <f t="shared" si="67"/>
        <v>0.78201368523949166</v>
      </c>
      <c r="DJ19" s="545">
        <f t="shared" si="117"/>
        <v>322.245</v>
      </c>
      <c r="DK19" s="528">
        <f t="shared" si="68"/>
        <v>9.1234929944607357E-2</v>
      </c>
      <c r="DM19" s="173">
        <f t="shared" si="69"/>
        <v>12.793748473375581</v>
      </c>
      <c r="DN19" s="173">
        <f t="shared" si="70"/>
        <v>13.333333333333334</v>
      </c>
      <c r="DO19" s="173">
        <f t="shared" si="71"/>
        <v>1.18414</v>
      </c>
      <c r="DQ19" s="545">
        <f t="shared" si="72"/>
        <v>84</v>
      </c>
      <c r="DR19" s="460">
        <f t="shared" si="73"/>
        <v>322.245</v>
      </c>
      <c r="DT19">
        <f t="shared" si="74"/>
        <v>84</v>
      </c>
      <c r="DU19" s="460">
        <f t="shared" si="75"/>
        <v>322.245</v>
      </c>
      <c r="DV19" s="460"/>
      <c r="DW19" s="5">
        <f t="shared" si="118"/>
        <v>3.1032289096805226</v>
      </c>
      <c r="DX19" s="5">
        <f t="shared" si="76"/>
        <v>0.53333333333333333</v>
      </c>
      <c r="DY19" s="5">
        <f t="shared" si="119"/>
        <v>2.5698955763471893</v>
      </c>
      <c r="DZ19" s="5">
        <f t="shared" si="77"/>
        <v>0.78201368523949166</v>
      </c>
      <c r="EA19" s="173">
        <f t="shared" si="120"/>
        <v>0.17186399999999999</v>
      </c>
      <c r="EB19" s="173">
        <f t="shared" si="78"/>
        <v>14.322000000000001</v>
      </c>
      <c r="EC19" s="173">
        <f t="shared" si="79"/>
        <v>0.27604533333333336</v>
      </c>
      <c r="ED19" s="173">
        <f t="shared" si="121"/>
        <v>51.882782538133831</v>
      </c>
      <c r="EE19" s="460">
        <f t="shared" si="80"/>
        <v>2.6352941176470589E-2</v>
      </c>
      <c r="EF19" s="5">
        <f t="shared" si="81"/>
        <v>4.6973579302704476</v>
      </c>
      <c r="EG19" s="5"/>
      <c r="EH19" s="173">
        <f t="shared" si="122"/>
        <v>3.1913215653289053</v>
      </c>
      <c r="EI19" s="173">
        <f t="shared" si="82"/>
        <v>0.35026677663577349</v>
      </c>
      <c r="EJ19" s="173"/>
      <c r="EK19" s="528">
        <f t="shared" si="83"/>
        <v>0.40738133333333337</v>
      </c>
      <c r="EL19" s="528">
        <f t="shared" si="84"/>
        <v>2.4842404125000002</v>
      </c>
      <c r="EM19" s="528">
        <f t="shared" si="85"/>
        <v>6.4448999999999992E-2</v>
      </c>
      <c r="EN19" s="528">
        <f t="shared" si="86"/>
        <v>2.8489720730625001E-2</v>
      </c>
      <c r="EO19">
        <f t="shared" si="87"/>
        <v>5.6249999999999998E-3</v>
      </c>
      <c r="EP19" s="460">
        <f t="shared" si="123"/>
        <v>70.073999999999998</v>
      </c>
      <c r="EQ19" s="528">
        <f t="shared" si="88"/>
        <v>3.4324149270006679</v>
      </c>
      <c r="ER19" s="460">
        <f t="shared" si="124"/>
        <v>3432.4149270006678</v>
      </c>
      <c r="ES19" s="528">
        <f t="shared" si="125"/>
        <v>7.2911999999999991E-2</v>
      </c>
      <c r="ET19" s="528"/>
      <c r="EV19" s="460">
        <f t="shared" si="126"/>
        <v>72.911999999999992</v>
      </c>
      <c r="EW19" s="528">
        <f t="shared" si="89"/>
        <v>0.30553600000000003</v>
      </c>
      <c r="EX19" s="528">
        <f t="shared" si="90"/>
        <v>3.6806044444444449E-3</v>
      </c>
      <c r="EY19" s="528">
        <f t="shared" si="91"/>
        <v>60.503753025014099</v>
      </c>
      <c r="EZ19" s="528">
        <f t="shared" si="92"/>
        <v>62.431571908581262</v>
      </c>
      <c r="FA19" s="528">
        <f t="shared" si="93"/>
        <v>1.4322000000000001</v>
      </c>
      <c r="FB19" s="460">
        <f t="shared" si="127"/>
        <v>63863.771908581264</v>
      </c>
      <c r="FC19" s="173">
        <f t="shared" si="128"/>
        <v>67.369098835581923</v>
      </c>
      <c r="FD19" s="5">
        <f t="shared" si="129"/>
        <v>14.280000000000001</v>
      </c>
      <c r="FE19" s="173">
        <f t="shared" si="130"/>
        <v>0.17489476557182659</v>
      </c>
      <c r="FF19" s="5">
        <f t="shared" si="131"/>
        <v>17.489476557182659</v>
      </c>
      <c r="FI19" s="562">
        <f t="shared" si="94"/>
        <v>-50</v>
      </c>
      <c r="FJ19">
        <f t="shared" si="95"/>
        <v>-50</v>
      </c>
      <c r="FL19">
        <f t="shared" si="96"/>
        <v>0.252</v>
      </c>
    </row>
    <row r="20" spans="5:168">
      <c r="E20" s="170">
        <v>15</v>
      </c>
      <c r="F20" s="217">
        <f t="shared" si="97"/>
        <v>0.09</v>
      </c>
      <c r="G20" s="217"/>
      <c r="H20" s="217">
        <f t="shared" si="0"/>
        <v>15.299999999999999</v>
      </c>
      <c r="I20" s="541">
        <f t="shared" si="1"/>
        <v>12.034018097703177</v>
      </c>
      <c r="J20" s="172">
        <f t="shared" si="2"/>
        <v>8.5254992663238891</v>
      </c>
      <c r="K20" s="172">
        <f t="shared" si="3"/>
        <v>21.025499266323891</v>
      </c>
      <c r="L20" s="443"/>
      <c r="M20" s="217">
        <f t="shared" si="4"/>
        <v>0.41467411636231066</v>
      </c>
      <c r="N20" s="172">
        <f t="shared" si="5"/>
        <v>168.21118413129474</v>
      </c>
      <c r="O20" s="172">
        <f t="shared" si="98"/>
        <v>15.299999999999999</v>
      </c>
      <c r="P20" s="217">
        <f t="shared" si="6"/>
        <v>0.98947755371349844</v>
      </c>
      <c r="Q20" s="217">
        <f t="shared" si="7"/>
        <v>170</v>
      </c>
      <c r="R20" s="217">
        <f t="shared" si="8"/>
        <v>0.97846976881433745</v>
      </c>
      <c r="S20" s="172">
        <f t="shared" si="9"/>
        <v>4216.3919155849135</v>
      </c>
      <c r="T20" s="172">
        <f t="shared" si="10"/>
        <v>170</v>
      </c>
      <c r="U20" s="217">
        <f t="shared" si="99"/>
        <v>6.150419963707539</v>
      </c>
      <c r="V20" s="217">
        <f t="shared" si="11"/>
        <v>0.25554307438183982</v>
      </c>
      <c r="W20" s="217">
        <f t="shared" si="12"/>
        <v>0.36070731880782503</v>
      </c>
      <c r="X20" s="197">
        <f t="shared" si="13"/>
        <v>350</v>
      </c>
      <c r="Y20" s="443">
        <f t="shared" si="14"/>
        <v>350</v>
      </c>
      <c r="AA20" s="217">
        <f t="shared" si="15"/>
        <v>28.515403254805641</v>
      </c>
      <c r="AB20" s="173">
        <f t="shared" si="16"/>
        <v>1.6723597272152015</v>
      </c>
      <c r="AC20" s="173">
        <f t="shared" si="17"/>
        <v>0.41727010507558454</v>
      </c>
      <c r="AD20" s="173"/>
      <c r="AE20" s="173">
        <f t="shared" si="18"/>
        <v>0.78196788931767369</v>
      </c>
      <c r="AF20" s="545">
        <f t="shared" si="100"/>
        <v>345.28272028611741</v>
      </c>
      <c r="AG20" s="528">
        <f t="shared" si="19"/>
        <v>9.1229587087061942E-2</v>
      </c>
      <c r="AI20" s="173">
        <f t="shared" si="20"/>
        <v>13.243175570570248</v>
      </c>
      <c r="AJ20" s="173">
        <f t="shared" si="21"/>
        <v>13.333333333333334</v>
      </c>
      <c r="AK20" s="173">
        <f t="shared" si="22"/>
        <v>1.197304411592067</v>
      </c>
      <c r="AM20" s="545">
        <f t="shared" si="23"/>
        <v>90</v>
      </c>
      <c r="AN20" s="460">
        <f t="shared" si="24"/>
        <v>345.28272028611741</v>
      </c>
      <c r="AP20">
        <f t="shared" si="25"/>
        <v>90</v>
      </c>
      <c r="AQ20" s="460">
        <f t="shared" si="26"/>
        <v>345.28272028611741</v>
      </c>
      <c r="AR20" s="460"/>
      <c r="AS20" s="5">
        <f t="shared" si="101"/>
        <v>2.8961773678432365</v>
      </c>
      <c r="AT20" s="5">
        <f t="shared" si="27"/>
        <v>0.55398509562978582</v>
      </c>
      <c r="AU20" s="5">
        <f t="shared" si="102"/>
        <v>2.3421922722134507</v>
      </c>
      <c r="AV20" s="5">
        <f t="shared" si="28"/>
        <v>0.78196788931767369</v>
      </c>
      <c r="AW20" s="173">
        <f t="shared" si="103"/>
        <v>0.19128148081701735</v>
      </c>
      <c r="AX20" s="173">
        <f t="shared" si="29"/>
        <v>15.345898679382996</v>
      </c>
      <c r="AY20" s="173">
        <f t="shared" si="30"/>
        <v>0.26957283972766094</v>
      </c>
      <c r="AZ20" s="173">
        <f t="shared" si="104"/>
        <v>56.926724127276202</v>
      </c>
      <c r="BA20" s="460">
        <f t="shared" si="31"/>
        <v>2.932862270981219E-2</v>
      </c>
      <c r="BB20" s="5">
        <f t="shared" si="32"/>
        <v>4.7645654475730463</v>
      </c>
      <c r="BC20" s="5"/>
      <c r="BD20" s="173">
        <f t="shared" si="105"/>
        <v>3.3667787071963402</v>
      </c>
      <c r="BE20" s="173">
        <f t="shared" si="33"/>
        <v>0.3461360296040728</v>
      </c>
      <c r="BF20" s="173"/>
      <c r="BG20" s="528">
        <f t="shared" si="34"/>
        <v>0.45340795452922644</v>
      </c>
      <c r="BH20" s="528">
        <f t="shared" si="35"/>
        <v>2.1779224746150239</v>
      </c>
      <c r="BI20" s="528">
        <f t="shared" si="36"/>
        <v>0.16620554018989284</v>
      </c>
      <c r="BJ20" s="528">
        <f t="shared" si="37"/>
        <v>3.0527938261418999E-2</v>
      </c>
      <c r="BK20">
        <f t="shared" si="38"/>
        <v>5.4153081439664297E-3</v>
      </c>
      <c r="BL20" s="460">
        <f t="shared" si="106"/>
        <v>171.62084833385927</v>
      </c>
      <c r="BM20" s="528">
        <f t="shared" si="39"/>
        <v>3.1204429966231291</v>
      </c>
      <c r="BN20" s="460">
        <f t="shared" si="107"/>
        <v>3120.4429966231291</v>
      </c>
      <c r="BO20" s="528">
        <f t="shared" si="108"/>
        <v>7.8119999999999995E-2</v>
      </c>
      <c r="BP20" s="528"/>
      <c r="BR20" s="460">
        <f t="shared" si="109"/>
        <v>78.11999999999999</v>
      </c>
      <c r="BS20" s="528">
        <f t="shared" si="40"/>
        <v>0.34005596589691978</v>
      </c>
      <c r="BT20" s="528">
        <f t="shared" si="41"/>
        <v>3.5943045297021472E-3</v>
      </c>
      <c r="BU20" s="528">
        <f t="shared" si="42"/>
        <v>0.22949999999999998</v>
      </c>
      <c r="BV20" s="528">
        <f t="shared" si="43"/>
        <v>0.67416036671563029</v>
      </c>
      <c r="BW20" s="528">
        <f t="shared" si="44"/>
        <v>1.5345898679382999</v>
      </c>
      <c r="BX20" s="460">
        <f t="shared" si="110"/>
        <v>2208.7502346539304</v>
      </c>
      <c r="BY20" s="173">
        <f t="shared" si="45"/>
        <v>5.578934079610919</v>
      </c>
      <c r="BZ20" s="5">
        <f t="shared" si="111"/>
        <v>15.299999999999999</v>
      </c>
      <c r="CA20" s="173">
        <f t="shared" si="112"/>
        <v>0.73279602980024916</v>
      </c>
      <c r="CB20" s="5">
        <f t="shared" si="113"/>
        <v>73.279602980024919</v>
      </c>
      <c r="CE20" s="562">
        <f t="shared" si="46"/>
        <v>-50</v>
      </c>
      <c r="CF20">
        <f t="shared" si="47"/>
        <v>-50</v>
      </c>
      <c r="CG20" s="173">
        <f t="shared" si="48"/>
        <v>0.27039676729707002</v>
      </c>
      <c r="CI20" s="170">
        <v>15</v>
      </c>
      <c r="CJ20" s="217">
        <f t="shared" si="114"/>
        <v>0.09</v>
      </c>
      <c r="CK20" s="217"/>
      <c r="CL20" s="217">
        <f t="shared" si="49"/>
        <v>15.299999999999999</v>
      </c>
      <c r="CM20" s="541">
        <f t="shared" si="50"/>
        <v>12.5</v>
      </c>
      <c r="CN20" s="172">
        <f t="shared" si="51"/>
        <v>8.5250000000000004</v>
      </c>
      <c r="CO20" s="443">
        <f t="shared" si="52"/>
        <v>21.024999999999999</v>
      </c>
      <c r="CP20" s="443"/>
      <c r="CQ20" s="217">
        <f t="shared" si="53"/>
        <v>0.40546967895362668</v>
      </c>
      <c r="CR20" s="172">
        <f t="shared" si="54"/>
        <v>170.84633868410626</v>
      </c>
      <c r="CS20" s="172">
        <f t="shared" si="115"/>
        <v>15.299999999999999</v>
      </c>
      <c r="CT20" s="217">
        <f t="shared" si="55"/>
        <v>1.0049784628476839</v>
      </c>
      <c r="CU20" s="217">
        <f t="shared" si="56"/>
        <v>170</v>
      </c>
      <c r="CV20" s="217">
        <f t="shared" si="57"/>
        <v>0.99379823272947732</v>
      </c>
      <c r="CW20" s="172">
        <f t="shared" si="58"/>
        <v>4379.6581674118806</v>
      </c>
      <c r="CX20" s="172">
        <f t="shared" si="59"/>
        <v>170</v>
      </c>
      <c r="CY20" s="217">
        <f t="shared" si="60"/>
        <v>6.0374428152492658</v>
      </c>
      <c r="CZ20" s="217">
        <f t="shared" si="61"/>
        <v>0.24149771260997061</v>
      </c>
      <c r="DA20" s="217">
        <f t="shared" si="62"/>
        <v>0.35410221790318275</v>
      </c>
      <c r="DB20" s="197">
        <f t="shared" si="63"/>
        <v>350</v>
      </c>
      <c r="DC20" s="443">
        <f t="shared" si="116"/>
        <v>350</v>
      </c>
      <c r="DE20" s="217">
        <f t="shared" si="64"/>
        <v>28.962119925259049</v>
      </c>
      <c r="DF20" s="173">
        <f t="shared" si="65"/>
        <v>1.6986580601324954</v>
      </c>
      <c r="DG20" s="173">
        <f t="shared" si="66"/>
        <v>0.4304714614336958</v>
      </c>
      <c r="DH20" s="173"/>
      <c r="DI20" s="173">
        <f t="shared" si="67"/>
        <v>0.78201368523949166</v>
      </c>
      <c r="DJ20" s="545">
        <f t="shared" si="117"/>
        <v>345.26249999999999</v>
      </c>
      <c r="DK20" s="528">
        <f t="shared" si="68"/>
        <v>9.1234929944607357E-2</v>
      </c>
      <c r="DM20" s="173">
        <f t="shared" si="69"/>
        <v>13.242787794547965</v>
      </c>
      <c r="DN20" s="173">
        <f t="shared" si="70"/>
        <v>13.333333333333334</v>
      </c>
      <c r="DO20" s="173">
        <f t="shared" si="71"/>
        <v>1.1972928571428572</v>
      </c>
      <c r="DQ20" s="545">
        <f t="shared" si="72"/>
        <v>90</v>
      </c>
      <c r="DR20" s="460">
        <f t="shared" si="73"/>
        <v>345.26249999999999</v>
      </c>
      <c r="DT20">
        <f t="shared" si="74"/>
        <v>90</v>
      </c>
      <c r="DU20" s="460">
        <f t="shared" si="75"/>
        <v>345.26249999999999</v>
      </c>
      <c r="DV20" s="460"/>
      <c r="DW20" s="5">
        <f t="shared" si="118"/>
        <v>2.8963469823684878</v>
      </c>
      <c r="DX20" s="5">
        <f t="shared" si="76"/>
        <v>0.53333333333333333</v>
      </c>
      <c r="DY20" s="5">
        <f t="shared" si="119"/>
        <v>2.3630136490351545</v>
      </c>
      <c r="DZ20" s="5">
        <f t="shared" si="77"/>
        <v>0.78201368523949166</v>
      </c>
      <c r="EA20" s="173">
        <f t="shared" si="120"/>
        <v>0.18414</v>
      </c>
      <c r="EB20" s="173">
        <f t="shared" si="78"/>
        <v>15.345000000000001</v>
      </c>
      <c r="EC20" s="173">
        <f t="shared" si="79"/>
        <v>0.27195333333333338</v>
      </c>
      <c r="ED20" s="173">
        <f t="shared" si="121"/>
        <v>56.425121957198535</v>
      </c>
      <c r="EE20" s="460">
        <f t="shared" si="80"/>
        <v>2.823529411764706E-2</v>
      </c>
      <c r="EF20" s="5">
        <f t="shared" si="81"/>
        <v>4.6277259302704463</v>
      </c>
      <c r="EG20" s="5"/>
      <c r="EH20" s="173">
        <f t="shared" si="122"/>
        <v>3.3033316515300122</v>
      </c>
      <c r="EI20" s="173">
        <f t="shared" si="82"/>
        <v>0.34766096724847928</v>
      </c>
      <c r="EJ20" s="173"/>
      <c r="EK20" s="528">
        <f t="shared" si="83"/>
        <v>0.43647999999999992</v>
      </c>
      <c r="EL20" s="528">
        <f t="shared" si="84"/>
        <v>2.66168615625</v>
      </c>
      <c r="EM20" s="528">
        <f t="shared" si="85"/>
        <v>6.9052500000000003E-2</v>
      </c>
      <c r="EN20" s="528">
        <f t="shared" si="86"/>
        <v>3.0524700782812497E-2</v>
      </c>
      <c r="EO20">
        <f t="shared" si="87"/>
        <v>5.6249999999999998E-3</v>
      </c>
      <c r="EP20" s="460">
        <f t="shared" si="123"/>
        <v>74.677500000000009</v>
      </c>
      <c r="EQ20" s="528">
        <f t="shared" si="88"/>
        <v>3.7055074157687478</v>
      </c>
      <c r="ER20" s="460">
        <f t="shared" si="124"/>
        <v>3705.5074157687477</v>
      </c>
      <c r="ES20" s="528">
        <f t="shared" si="125"/>
        <v>7.8119999999999995E-2</v>
      </c>
      <c r="ET20" s="528"/>
      <c r="EV20" s="460">
        <f t="shared" si="126"/>
        <v>78.11999999999999</v>
      </c>
      <c r="EW20" s="528">
        <f t="shared" si="89"/>
        <v>0.32735999999999993</v>
      </c>
      <c r="EX20" s="528">
        <f t="shared" si="90"/>
        <v>3.6260444444444454E-3</v>
      </c>
      <c r="EY20" s="528">
        <f t="shared" si="91"/>
        <v>71.893623513073138</v>
      </c>
      <c r="EZ20" s="528">
        <f t="shared" si="92"/>
        <v>74.2706501038803</v>
      </c>
      <c r="FA20" s="528">
        <f t="shared" si="93"/>
        <v>1.5345</v>
      </c>
      <c r="FB20" s="460">
        <f t="shared" si="127"/>
        <v>75805.150103880296</v>
      </c>
      <c r="FC20" s="173">
        <f t="shared" si="128"/>
        <v>79.588777519649042</v>
      </c>
      <c r="FD20" s="5">
        <f t="shared" si="129"/>
        <v>15.299999999999999</v>
      </c>
      <c r="FE20" s="173">
        <f t="shared" si="130"/>
        <v>0.16124140704449227</v>
      </c>
      <c r="FF20" s="5">
        <f t="shared" si="131"/>
        <v>16.124140704449228</v>
      </c>
      <c r="FI20" s="562">
        <f t="shared" si="94"/>
        <v>-50</v>
      </c>
      <c r="FJ20">
        <f t="shared" si="95"/>
        <v>-50</v>
      </c>
      <c r="FL20">
        <f t="shared" si="96"/>
        <v>0.26999999999999996</v>
      </c>
    </row>
    <row r="21" spans="5:168" s="76" customFormat="1">
      <c r="E21" s="189">
        <v>16</v>
      </c>
      <c r="F21" s="329">
        <f t="shared" si="97"/>
        <v>9.6000000000000002E-2</v>
      </c>
      <c r="G21" s="217"/>
      <c r="H21" s="217">
        <f t="shared" si="0"/>
        <v>16.32</v>
      </c>
      <c r="I21" s="541">
        <f t="shared" si="1"/>
        <v>12.022004184118732</v>
      </c>
      <c r="J21" s="172">
        <f t="shared" si="2"/>
        <v>8.5255121383741592</v>
      </c>
      <c r="K21" s="172">
        <f t="shared" si="3"/>
        <v>21.025512138374161</v>
      </c>
      <c r="L21" s="535"/>
      <c r="M21" s="217">
        <f t="shared" si="4"/>
        <v>0.41491693910324973</v>
      </c>
      <c r="N21" s="172">
        <f t="shared" si="5"/>
        <v>168.14165587376891</v>
      </c>
      <c r="O21" s="172">
        <f t="shared" si="98"/>
        <v>16.32</v>
      </c>
      <c r="P21" s="329">
        <f t="shared" si="6"/>
        <v>0.98906856396334653</v>
      </c>
      <c r="Q21" s="217">
        <f t="shared" si="7"/>
        <v>170</v>
      </c>
      <c r="R21" s="217">
        <f t="shared" si="8"/>
        <v>0.97806532901196208</v>
      </c>
      <c r="S21" s="172">
        <f t="shared" si="9"/>
        <v>3933.8974808427588</v>
      </c>
      <c r="T21" s="172">
        <f t="shared" si="10"/>
        <v>170</v>
      </c>
      <c r="U21" s="217">
        <f t="shared" si="99"/>
        <v>6.5631706959939589</v>
      </c>
      <c r="V21" s="217">
        <f t="shared" si="11"/>
        <v>0.27296491481279039</v>
      </c>
      <c r="W21" s="217">
        <f t="shared" si="12"/>
        <v>0.38491357407448223</v>
      </c>
      <c r="X21" s="537">
        <f t="shared" si="13"/>
        <v>350</v>
      </c>
      <c r="Y21" s="443">
        <f t="shared" si="14"/>
        <v>350</v>
      </c>
      <c r="AA21" s="329">
        <f t="shared" si="15"/>
        <v>28.503616687612336</v>
      </c>
      <c r="AB21" s="173">
        <f t="shared" si="16"/>
        <v>1.6716659495043578</v>
      </c>
      <c r="AC21" s="538">
        <f t="shared" si="17"/>
        <v>0.41692459772605017</v>
      </c>
      <c r="AD21" s="538"/>
      <c r="AE21" s="173">
        <f t="shared" si="18"/>
        <v>0.78196670868127105</v>
      </c>
      <c r="AF21" s="545">
        <f t="shared" si="100"/>
        <v>368.30212437776368</v>
      </c>
      <c r="AG21" s="528">
        <f t="shared" si="19"/>
        <v>9.1229449346148295E-2</v>
      </c>
      <c r="AH21"/>
      <c r="AI21" s="173">
        <f t="shared" si="20"/>
        <v>13.677503241529088</v>
      </c>
      <c r="AJ21" s="173">
        <f t="shared" si="21"/>
        <v>13.677503241529088</v>
      </c>
      <c r="AK21" s="173">
        <f t="shared" si="22"/>
        <v>1.4549406727375955</v>
      </c>
      <c r="AM21" s="545">
        <f t="shared" si="23"/>
        <v>96</v>
      </c>
      <c r="AN21" s="460">
        <f t="shared" si="24"/>
        <v>350</v>
      </c>
      <c r="AP21">
        <f t="shared" si="25"/>
        <v>96</v>
      </c>
      <c r="AQ21" s="460">
        <f t="shared" si="26"/>
        <v>350</v>
      </c>
      <c r="AR21" s="460"/>
      <c r="AS21" s="5">
        <f t="shared" si="101"/>
        <v>2.8571428571428572</v>
      </c>
      <c r="AT21" s="5">
        <f t="shared" si="27"/>
        <v>0.56885287311733335</v>
      </c>
      <c r="AU21" s="5">
        <f t="shared" si="102"/>
        <v>2.288289984025524</v>
      </c>
      <c r="AV21" s="5">
        <f t="shared" si="28"/>
        <v>0.8021514144566938</v>
      </c>
      <c r="AW21" s="173">
        <f t="shared" si="103"/>
        <v>0.19909850559106668</v>
      </c>
      <c r="AX21" s="173">
        <f t="shared" si="29"/>
        <v>16.368983305678384</v>
      </c>
      <c r="AY21" s="173">
        <f t="shared" si="30"/>
        <v>0.27385831964809193</v>
      </c>
      <c r="AZ21" s="173">
        <f t="shared" si="104"/>
        <v>59.77172184037547</v>
      </c>
      <c r="BA21" s="460">
        <f t="shared" si="31"/>
        <v>3.212345636427294E-2</v>
      </c>
      <c r="BB21" s="5">
        <f t="shared" si="32"/>
        <v>4.9702052293250443</v>
      </c>
      <c r="BC21" s="5"/>
      <c r="BD21" s="173">
        <f t="shared" si="105"/>
        <v>3.5235480571803977</v>
      </c>
      <c r="BE21" s="173">
        <f t="shared" si="33"/>
        <v>0.35335053675288164</v>
      </c>
      <c r="BF21" s="173"/>
      <c r="BG21" s="528">
        <f t="shared" si="34"/>
        <v>0.4966156364503902</v>
      </c>
      <c r="BH21" s="528">
        <f t="shared" si="35"/>
        <v>2.2646650196159466</v>
      </c>
      <c r="BI21" s="528">
        <f t="shared" si="36"/>
        <v>0.16830805857766226</v>
      </c>
      <c r="BJ21" s="528">
        <f t="shared" si="37"/>
        <v>3.0945051247664345E-2</v>
      </c>
      <c r="BK21">
        <f t="shared" si="38"/>
        <v>5.4099018828534292E-3</v>
      </c>
      <c r="BL21" s="460">
        <f t="shared" si="106"/>
        <v>173.71796046051568</v>
      </c>
      <c r="BM21" s="528">
        <f t="shared" si="39"/>
        <v>3.3177984625497698</v>
      </c>
      <c r="BN21" s="460">
        <f t="shared" si="107"/>
        <v>3317.7984625497697</v>
      </c>
      <c r="BO21" s="528">
        <f t="shared" si="108"/>
        <v>8.3327999999999999E-2</v>
      </c>
      <c r="BP21" s="528"/>
      <c r="BR21" s="460">
        <f t="shared" si="109"/>
        <v>83.328000000000003</v>
      </c>
      <c r="BS21" s="528">
        <f t="shared" si="40"/>
        <v>0.37246172733779259</v>
      </c>
      <c r="BT21" s="528">
        <f t="shared" si="41"/>
        <v>3.7456980547064867E-3</v>
      </c>
      <c r="BU21" s="528">
        <f t="shared" si="42"/>
        <v>0.24479999999999999</v>
      </c>
      <c r="BV21" s="528">
        <f t="shared" si="43"/>
        <v>0.73336912017167066</v>
      </c>
      <c r="BW21" s="528">
        <f t="shared" si="44"/>
        <v>1.6368983305678391</v>
      </c>
      <c r="BX21" s="460">
        <f t="shared" si="110"/>
        <v>2370.26745073951</v>
      </c>
      <c r="BY21" s="173">
        <f t="shared" si="45"/>
        <v>5.945111873749795</v>
      </c>
      <c r="BZ21" s="5">
        <f t="shared" si="111"/>
        <v>16.32</v>
      </c>
      <c r="CA21" s="173">
        <f t="shared" si="112"/>
        <v>0.7329853131904096</v>
      </c>
      <c r="CB21" s="5">
        <f t="shared" si="113"/>
        <v>73.298531319040961</v>
      </c>
      <c r="CE21" s="562">
        <f t="shared" si="46"/>
        <v>-50</v>
      </c>
      <c r="CF21">
        <f t="shared" si="47"/>
        <v>-50</v>
      </c>
      <c r="CG21" s="173">
        <f t="shared" si="48"/>
        <v>0.28117400934192294</v>
      </c>
      <c r="CH21"/>
      <c r="CI21" s="189">
        <v>16</v>
      </c>
      <c r="CJ21" s="329">
        <f t="shared" si="114"/>
        <v>9.6000000000000002E-2</v>
      </c>
      <c r="CK21" s="217"/>
      <c r="CL21" s="217">
        <f t="shared" si="49"/>
        <v>16.32</v>
      </c>
      <c r="CM21" s="541">
        <f t="shared" si="50"/>
        <v>12.5</v>
      </c>
      <c r="CN21" s="172">
        <f t="shared" si="51"/>
        <v>8.5250000000000004</v>
      </c>
      <c r="CO21" s="535">
        <f t="shared" si="52"/>
        <v>21.024999999999999</v>
      </c>
      <c r="CP21" s="535"/>
      <c r="CQ21" s="329">
        <f t="shared" si="53"/>
        <v>0.40546967895362668</v>
      </c>
      <c r="CR21" s="172">
        <f t="shared" si="54"/>
        <v>170.84633868410626</v>
      </c>
      <c r="CS21" s="172">
        <f t="shared" si="115"/>
        <v>16.32</v>
      </c>
      <c r="CT21" s="329">
        <f t="shared" si="55"/>
        <v>1.0049784628476839</v>
      </c>
      <c r="CU21" s="217">
        <f t="shared" si="56"/>
        <v>170</v>
      </c>
      <c r="CV21" s="217">
        <f t="shared" si="57"/>
        <v>0.99379823272947732</v>
      </c>
      <c r="CW21" s="172">
        <f t="shared" si="58"/>
        <v>4090.3083340859189</v>
      </c>
      <c r="CX21" s="172">
        <f t="shared" si="59"/>
        <v>170</v>
      </c>
      <c r="CY21" s="217">
        <f t="shared" si="60"/>
        <v>6.4399390029325501</v>
      </c>
      <c r="CZ21" s="329">
        <f t="shared" si="61"/>
        <v>0.257597560117302</v>
      </c>
      <c r="DA21" s="217">
        <f t="shared" si="62"/>
        <v>0.37770903243006154</v>
      </c>
      <c r="DB21" s="537">
        <f t="shared" si="63"/>
        <v>350</v>
      </c>
      <c r="DC21" s="535">
        <f t="shared" si="116"/>
        <v>350</v>
      </c>
      <c r="DE21" s="329">
        <f t="shared" si="64"/>
        <v>28.962119925259049</v>
      </c>
      <c r="DF21" s="173">
        <f t="shared" si="65"/>
        <v>1.6986580601324954</v>
      </c>
      <c r="DG21" s="538">
        <f t="shared" si="66"/>
        <v>0.4304714614336958</v>
      </c>
      <c r="DH21" s="538"/>
      <c r="DI21" s="173">
        <f t="shared" si="67"/>
        <v>0.78201368523949166</v>
      </c>
      <c r="DJ21" s="545">
        <f t="shared" si="117"/>
        <v>368.28</v>
      </c>
      <c r="DK21" s="528">
        <f t="shared" si="68"/>
        <v>9.1234929944607357E-2</v>
      </c>
      <c r="DL21"/>
      <c r="DM21" s="173">
        <f t="shared" si="69"/>
        <v>13.677092422838165</v>
      </c>
      <c r="DN21" s="173">
        <f t="shared" si="70"/>
        <v>13.677092422838165</v>
      </c>
      <c r="DO21" s="173">
        <f t="shared" si="71"/>
        <v>1.4546363625961707</v>
      </c>
      <c r="DQ21" s="545">
        <f t="shared" si="72"/>
        <v>96</v>
      </c>
      <c r="DR21" s="460">
        <f t="shared" si="73"/>
        <v>350</v>
      </c>
      <c r="DT21">
        <f t="shared" si="74"/>
        <v>96</v>
      </c>
      <c r="DU21" s="460">
        <f t="shared" si="75"/>
        <v>350</v>
      </c>
      <c r="DV21" s="460"/>
      <c r="DW21" s="5">
        <f t="shared" si="118"/>
        <v>2.8571428571428572</v>
      </c>
      <c r="DX21" s="5">
        <f t="shared" si="76"/>
        <v>0.54708369691352654</v>
      </c>
      <c r="DY21" s="5">
        <f t="shared" si="119"/>
        <v>2.3100591602293306</v>
      </c>
      <c r="DZ21" s="5">
        <f t="shared" si="77"/>
        <v>0.80217550867086007</v>
      </c>
      <c r="EA21" s="173">
        <f t="shared" si="120"/>
        <v>0.19147929391973428</v>
      </c>
      <c r="EB21" s="173">
        <f t="shared" si="78"/>
        <v>16.367999999999999</v>
      </c>
      <c r="EC21" s="173">
        <f t="shared" si="79"/>
        <v>0.27645531057095418</v>
      </c>
      <c r="ED21" s="173">
        <f t="shared" si="121"/>
        <v>59.206675994741062</v>
      </c>
      <c r="EE21" s="460">
        <f t="shared" si="80"/>
        <v>3.0894138178646204E-2</v>
      </c>
      <c r="EF21" s="5">
        <f t="shared" si="81"/>
        <v>4.8256211833526628</v>
      </c>
      <c r="EG21" s="5"/>
      <c r="EH21" s="173">
        <f t="shared" si="122"/>
        <v>3.4553660589640578</v>
      </c>
      <c r="EI21" s="173">
        <f t="shared" si="82"/>
        <v>0.35501665845719454</v>
      </c>
      <c r="EJ21" s="173"/>
      <c r="EK21" s="528">
        <f t="shared" si="83"/>
        <v>0.4775821840576322</v>
      </c>
      <c r="EL21" s="528">
        <f t="shared" si="84"/>
        <v>2.7677733563304097</v>
      </c>
      <c r="EM21" s="528">
        <f t="shared" si="85"/>
        <v>6.9999999999999993E-2</v>
      </c>
      <c r="EN21" s="528">
        <f t="shared" si="86"/>
        <v>3.094354375E-2</v>
      </c>
      <c r="EO21">
        <f t="shared" si="87"/>
        <v>5.6249999999999998E-3</v>
      </c>
      <c r="EP21" s="460">
        <f t="shared" si="123"/>
        <v>75.625</v>
      </c>
      <c r="EQ21" s="528">
        <f t="shared" si="88"/>
        <v>3.9264154873883537</v>
      </c>
      <c r="ER21" s="460">
        <f t="shared" si="124"/>
        <v>3926.4154873883535</v>
      </c>
      <c r="ES21" s="528">
        <f t="shared" si="125"/>
        <v>8.3327999999999999E-2</v>
      </c>
      <c r="ET21" s="528"/>
      <c r="EV21" s="460">
        <f t="shared" si="126"/>
        <v>83.328000000000003</v>
      </c>
      <c r="EW21" s="528">
        <f t="shared" si="89"/>
        <v>0.35818663804322409</v>
      </c>
      <c r="EX21" s="528">
        <f t="shared" si="90"/>
        <v>3.781104833463369E-3</v>
      </c>
      <c r="EY21" s="528">
        <f t="shared" si="91"/>
        <v>79.272867753206839</v>
      </c>
      <c r="EZ21" s="528">
        <f t="shared" si="92"/>
        <v>82.099085405285251</v>
      </c>
      <c r="FA21" s="528">
        <f t="shared" si="93"/>
        <v>1.6367999999999998</v>
      </c>
      <c r="FB21" s="460">
        <f t="shared" si="127"/>
        <v>83735.88540528524</v>
      </c>
      <c r="FC21" s="173">
        <f t="shared" si="128"/>
        <v>87.745628892673594</v>
      </c>
      <c r="FD21" s="5">
        <f t="shared" si="129"/>
        <v>16.32</v>
      </c>
      <c r="FE21" s="173">
        <f t="shared" si="130"/>
        <v>0.15682411352965894</v>
      </c>
      <c r="FF21" s="5">
        <f t="shared" si="131"/>
        <v>15.682411352965895</v>
      </c>
      <c r="FI21" s="562">
        <f t="shared" si="94"/>
        <v>-50</v>
      </c>
      <c r="FJ21">
        <f t="shared" si="95"/>
        <v>-50</v>
      </c>
      <c r="FL21">
        <f t="shared" si="96"/>
        <v>0.28076142803480103</v>
      </c>
    </row>
    <row r="22" spans="5:168">
      <c r="E22" s="170">
        <v>17</v>
      </c>
      <c r="F22" s="217">
        <f t="shared" si="97"/>
        <v>0.10200000000000001</v>
      </c>
      <c r="G22" s="217"/>
      <c r="H22" s="217">
        <f t="shared" si="0"/>
        <v>17.34</v>
      </c>
      <c r="I22" s="541">
        <f t="shared" si="1"/>
        <v>12.007293190629559</v>
      </c>
      <c r="J22" s="172">
        <f t="shared" si="2"/>
        <v>8.5255279001528983</v>
      </c>
      <c r="K22" s="172">
        <f t="shared" si="3"/>
        <v>21.025527900152898</v>
      </c>
      <c r="L22" s="443"/>
      <c r="M22" s="217">
        <f t="shared" si="4"/>
        <v>0.4152146612541997</v>
      </c>
      <c r="N22" s="172">
        <f t="shared" si="5"/>
        <v>168.05640738975973</v>
      </c>
      <c r="O22" s="172">
        <f t="shared" si="98"/>
        <v>17.34</v>
      </c>
      <c r="P22" s="217">
        <f t="shared" si="6"/>
        <v>0.98856710229270428</v>
      </c>
      <c r="Q22" s="217">
        <f t="shared" si="7"/>
        <v>170</v>
      </c>
      <c r="R22" s="217">
        <f t="shared" si="8"/>
        <v>0.97756944602492413</v>
      </c>
      <c r="S22" s="172">
        <f t="shared" si="9"/>
        <v>3683.838749359094</v>
      </c>
      <c r="T22" s="172">
        <f t="shared" si="10"/>
        <v>170</v>
      </c>
      <c r="U22" s="217">
        <f t="shared" si="99"/>
        <v>6.9769191012046416</v>
      </c>
      <c r="V22" s="217">
        <f t="shared" si="11"/>
        <v>0.29052838930631758</v>
      </c>
      <c r="W22" s="217">
        <f t="shared" si="12"/>
        <v>0.40917812849334029</v>
      </c>
      <c r="X22" s="197">
        <f t="shared" si="13"/>
        <v>350</v>
      </c>
      <c r="Y22" s="443">
        <f t="shared" si="14"/>
        <v>350</v>
      </c>
      <c r="AA22" s="217">
        <f t="shared" si="15"/>
        <v>28.489165196797529</v>
      </c>
      <c r="AB22" s="173">
        <f t="shared" si="16"/>
        <v>1.670815316684765</v>
      </c>
      <c r="AC22" s="173">
        <f t="shared" si="17"/>
        <v>0.41650116874075371</v>
      </c>
      <c r="AD22" s="173"/>
      <c r="AE22" s="173">
        <f t="shared" si="18"/>
        <v>0.78196526300114566</v>
      </c>
      <c r="AF22" s="545">
        <f t="shared" si="100"/>
        <v>391.32173061701809</v>
      </c>
      <c r="AG22" s="528">
        <f t="shared" si="19"/>
        <v>9.1229280683467001E-2</v>
      </c>
      <c r="AI22" s="173">
        <f t="shared" si="20"/>
        <v>14.098460672331537</v>
      </c>
      <c r="AJ22" s="173">
        <f t="shared" si="21"/>
        <v>14.098460672331537</v>
      </c>
      <c r="AK22" s="173">
        <f t="shared" si="22"/>
        <v>1.7667609918505209</v>
      </c>
      <c r="AM22" s="545">
        <f t="shared" si="23"/>
        <v>102.00000000000001</v>
      </c>
      <c r="AN22" s="460">
        <f t="shared" si="24"/>
        <v>350</v>
      </c>
      <c r="AP22">
        <f t="shared" si="25"/>
        <v>102.00000000000001</v>
      </c>
      <c r="AQ22" s="460">
        <f t="shared" si="26"/>
        <v>350</v>
      </c>
      <c r="AR22" s="460"/>
      <c r="AS22" s="5">
        <f t="shared" si="101"/>
        <v>2.8571428571428572</v>
      </c>
      <c r="AT22" s="5">
        <f t="shared" si="27"/>
        <v>0.58707905472541955</v>
      </c>
      <c r="AU22" s="5">
        <f t="shared" si="102"/>
        <v>2.2700638024174378</v>
      </c>
      <c r="AV22" s="5">
        <f t="shared" si="28"/>
        <v>0.82683798806632802</v>
      </c>
      <c r="AW22" s="173">
        <f t="shared" si="103"/>
        <v>0.20547766915389684</v>
      </c>
      <c r="AX22" s="173">
        <f t="shared" si="29"/>
        <v>17.392076916311915</v>
      </c>
      <c r="AY22" s="173">
        <f t="shared" si="30"/>
        <v>0.28003854586807431</v>
      </c>
      <c r="AZ22" s="173">
        <f t="shared" si="104"/>
        <v>62.106010665064993</v>
      </c>
      <c r="BA22" s="460">
        <f t="shared" si="31"/>
        <v>3.5224743283525178E-2</v>
      </c>
      <c r="BB22" s="5">
        <f t="shared" si="32"/>
        <v>5.2451996577729307</v>
      </c>
      <c r="BC22" s="5"/>
      <c r="BD22" s="173">
        <f t="shared" si="105"/>
        <v>3.6897197862421636</v>
      </c>
      <c r="BE22" s="173">
        <f t="shared" si="33"/>
        <v>0.36277230809687211</v>
      </c>
      <c r="BF22" s="173"/>
      <c r="BG22" s="528">
        <f t="shared" si="34"/>
        <v>0.54456128403947668</v>
      </c>
      <c r="BH22" s="528">
        <f t="shared" si="35"/>
        <v>2.3343671784456066</v>
      </c>
      <c r="BI22" s="528">
        <f t="shared" si="36"/>
        <v>0.16810210466881381</v>
      </c>
      <c r="BJ22" s="528">
        <f t="shared" si="37"/>
        <v>3.0945097643607557E-2</v>
      </c>
      <c r="BK22">
        <f t="shared" si="38"/>
        <v>5.4032819357833018E-3</v>
      </c>
      <c r="BL22" s="460">
        <f t="shared" si="106"/>
        <v>173.50538660459711</v>
      </c>
      <c r="BM22" s="528">
        <f t="shared" si="39"/>
        <v>3.5112131097981982</v>
      </c>
      <c r="BN22" s="460">
        <f t="shared" si="107"/>
        <v>3511.2131097981983</v>
      </c>
      <c r="BO22" s="528">
        <f t="shared" si="108"/>
        <v>8.8536000000000004E-2</v>
      </c>
      <c r="BP22" s="528"/>
      <c r="BR22" s="460">
        <f t="shared" si="109"/>
        <v>88.536000000000001</v>
      </c>
      <c r="BS22" s="528">
        <f t="shared" si="40"/>
        <v>0.40842096302960745</v>
      </c>
      <c r="BT22" s="528">
        <f t="shared" si="41"/>
        <v>3.9481124256579569E-3</v>
      </c>
      <c r="BU22" s="528">
        <f t="shared" si="42"/>
        <v>0.2601</v>
      </c>
      <c r="BV22" s="528">
        <f t="shared" si="43"/>
        <v>0.79775522017105305</v>
      </c>
      <c r="BW22" s="528">
        <f t="shared" si="44"/>
        <v>1.7392076916311918</v>
      </c>
      <c r="BX22" s="460">
        <f t="shared" si="110"/>
        <v>2536.9629118022449</v>
      </c>
      <c r="BY22" s="173">
        <f t="shared" si="45"/>
        <v>6.3102174082050411</v>
      </c>
      <c r="BZ22" s="5">
        <f t="shared" si="111"/>
        <v>17.34</v>
      </c>
      <c r="CA22" s="173">
        <f t="shared" si="112"/>
        <v>0.73318564902427419</v>
      </c>
      <c r="CB22" s="5">
        <f t="shared" si="113"/>
        <v>73.318564902427426</v>
      </c>
      <c r="CE22" s="562">
        <f t="shared" si="46"/>
        <v>-50</v>
      </c>
      <c r="CF22">
        <f t="shared" si="47"/>
        <v>-50</v>
      </c>
      <c r="CG22" s="173">
        <f t="shared" si="48"/>
        <v>0.28982753492378871</v>
      </c>
      <c r="CI22" s="170">
        <v>17</v>
      </c>
      <c r="CJ22" s="217">
        <f t="shared" si="114"/>
        <v>0.10200000000000001</v>
      </c>
      <c r="CK22" s="217"/>
      <c r="CL22" s="217">
        <f t="shared" si="49"/>
        <v>17.34</v>
      </c>
      <c r="CM22" s="541">
        <f t="shared" si="50"/>
        <v>12.5</v>
      </c>
      <c r="CN22" s="172">
        <f t="shared" si="51"/>
        <v>8.5250000000000004</v>
      </c>
      <c r="CO22" s="443">
        <f t="shared" si="52"/>
        <v>21.024999999999999</v>
      </c>
      <c r="CP22" s="443"/>
      <c r="CQ22" s="217">
        <f t="shared" si="53"/>
        <v>0.40546967895362668</v>
      </c>
      <c r="CR22" s="172">
        <f t="shared" si="54"/>
        <v>170.84633868410626</v>
      </c>
      <c r="CS22" s="172">
        <f t="shared" si="115"/>
        <v>17.34</v>
      </c>
      <c r="CT22" s="217">
        <f t="shared" si="55"/>
        <v>1.0049784628476839</v>
      </c>
      <c r="CU22" s="217">
        <f t="shared" si="56"/>
        <v>170</v>
      </c>
      <c r="CV22" s="217">
        <f t="shared" si="57"/>
        <v>0.99379823272947732</v>
      </c>
      <c r="CW22" s="172">
        <f t="shared" si="58"/>
        <v>3834.9999105372613</v>
      </c>
      <c r="CX22" s="172">
        <f t="shared" si="59"/>
        <v>170</v>
      </c>
      <c r="CY22" s="217">
        <f t="shared" si="60"/>
        <v>6.8424351906158343</v>
      </c>
      <c r="CZ22" s="217">
        <f t="shared" si="61"/>
        <v>0.27369740762463335</v>
      </c>
      <c r="DA22" s="217">
        <f t="shared" si="62"/>
        <v>0.40131584695694039</v>
      </c>
      <c r="DB22" s="197">
        <f t="shared" si="63"/>
        <v>350</v>
      </c>
      <c r="DC22" s="443">
        <f t="shared" si="116"/>
        <v>350</v>
      </c>
      <c r="DE22" s="217">
        <f t="shared" si="64"/>
        <v>28.962119925259049</v>
      </c>
      <c r="DF22" s="173">
        <f t="shared" si="65"/>
        <v>1.6986580601324954</v>
      </c>
      <c r="DG22" s="173">
        <f t="shared" si="66"/>
        <v>0.4304714614336958</v>
      </c>
      <c r="DH22" s="173"/>
      <c r="DI22" s="173">
        <f t="shared" si="67"/>
        <v>0.78201368523949166</v>
      </c>
      <c r="DJ22" s="545">
        <f t="shared" si="117"/>
        <v>391.29750000000001</v>
      </c>
      <c r="DK22" s="528">
        <f t="shared" si="68"/>
        <v>9.1234929944607357E-2</v>
      </c>
      <c r="DM22" s="173">
        <f t="shared" si="69"/>
        <v>14.09802417767418</v>
      </c>
      <c r="DN22" s="173">
        <f t="shared" si="70"/>
        <v>14.09802417767418</v>
      </c>
      <c r="DO22" s="173">
        <f t="shared" si="71"/>
        <v>1.7664376624747007</v>
      </c>
      <c r="DQ22" s="545">
        <f t="shared" si="72"/>
        <v>102.00000000000001</v>
      </c>
      <c r="DR22" s="460">
        <f t="shared" si="73"/>
        <v>350</v>
      </c>
      <c r="DT22">
        <f t="shared" si="74"/>
        <v>102.00000000000001</v>
      </c>
      <c r="DU22" s="460">
        <f t="shared" si="75"/>
        <v>350</v>
      </c>
      <c r="DV22" s="460"/>
      <c r="DW22" s="5">
        <f t="shared" si="118"/>
        <v>2.8571428571428572</v>
      </c>
      <c r="DX22" s="5">
        <f t="shared" si="76"/>
        <v>0.56392096710696715</v>
      </c>
      <c r="DY22" s="5">
        <f t="shared" si="119"/>
        <v>2.2932218900358903</v>
      </c>
      <c r="DZ22" s="5">
        <f t="shared" si="77"/>
        <v>0.8268635881333829</v>
      </c>
      <c r="EA22" s="173">
        <f t="shared" si="120"/>
        <v>0.19737233848743849</v>
      </c>
      <c r="EB22" s="173">
        <f t="shared" si="78"/>
        <v>17.391000000000005</v>
      </c>
      <c r="EC22" s="173">
        <f t="shared" si="79"/>
        <v>0.28288660444185448</v>
      </c>
      <c r="ED22" s="173">
        <f t="shared" si="121"/>
        <v>61.476930073493861</v>
      </c>
      <c r="EE22" s="460">
        <f t="shared" si="80"/>
        <v>3.3835258026418034E-2</v>
      </c>
      <c r="EF22" s="5">
        <f t="shared" si="81"/>
        <v>5.0898518493724598</v>
      </c>
      <c r="EG22" s="5"/>
      <c r="EH22" s="173">
        <f t="shared" si="122"/>
        <v>3.616102789644724</v>
      </c>
      <c r="EI22" s="173">
        <f t="shared" si="82"/>
        <v>0.36460673741084459</v>
      </c>
      <c r="EJ22" s="173"/>
      <c r="EK22" s="528">
        <f t="shared" si="83"/>
        <v>0.52304797541105419</v>
      </c>
      <c r="EL22" s="528">
        <f t="shared" si="84"/>
        <v>2.8529554739801464</v>
      </c>
      <c r="EM22" s="528">
        <f t="shared" si="85"/>
        <v>6.9999999999999993E-2</v>
      </c>
      <c r="EN22" s="528">
        <f t="shared" si="86"/>
        <v>3.094354375E-2</v>
      </c>
      <c r="EO22">
        <f t="shared" si="87"/>
        <v>5.6249999999999998E-3</v>
      </c>
      <c r="EP22" s="460">
        <f t="shared" si="123"/>
        <v>75.625</v>
      </c>
      <c r="EQ22" s="528">
        <f t="shared" si="88"/>
        <v>4.1380569332350561</v>
      </c>
      <c r="ER22" s="460">
        <f t="shared" si="124"/>
        <v>4138.056933235056</v>
      </c>
      <c r="ES22" s="528">
        <f t="shared" si="125"/>
        <v>8.8536000000000004E-2</v>
      </c>
      <c r="ET22" s="528"/>
      <c r="EV22" s="460">
        <f t="shared" si="126"/>
        <v>88.536000000000001</v>
      </c>
      <c r="EW22" s="528">
        <f t="shared" si="89"/>
        <v>0.39228598155829064</v>
      </c>
      <c r="EX22" s="528">
        <f t="shared" si="90"/>
        <v>3.9881421889614169E-3</v>
      </c>
      <c r="EY22" s="528">
        <f t="shared" si="91"/>
        <v>85.513708848185431</v>
      </c>
      <c r="EZ22" s="528">
        <f t="shared" si="92"/>
        <v>88.820882140899457</v>
      </c>
      <c r="FA22" s="528">
        <f t="shared" si="93"/>
        <v>1.7391000000000003</v>
      </c>
      <c r="FB22" s="460">
        <f t="shared" si="127"/>
        <v>90559.982140899447</v>
      </c>
      <c r="FC22" s="173">
        <f t="shared" si="128"/>
        <v>94.786575074134504</v>
      </c>
      <c r="FD22" s="5">
        <f t="shared" si="129"/>
        <v>17.34</v>
      </c>
      <c r="FE22" s="173">
        <f t="shared" si="130"/>
        <v>0.15464665703501018</v>
      </c>
      <c r="FF22" s="5">
        <f t="shared" si="131"/>
        <v>15.464665703501018</v>
      </c>
      <c r="FI22" s="562">
        <f t="shared" si="94"/>
        <v>-50</v>
      </c>
      <c r="FJ22">
        <f t="shared" si="95"/>
        <v>-50</v>
      </c>
      <c r="FL22">
        <f t="shared" si="96"/>
        <v>0.28940225584668405</v>
      </c>
    </row>
    <row r="23" spans="5:168">
      <c r="E23" s="170">
        <v>18</v>
      </c>
      <c r="F23" s="217">
        <f t="shared" si="97"/>
        <v>0.108</v>
      </c>
      <c r="G23" s="217"/>
      <c r="H23" s="217">
        <f t="shared" si="0"/>
        <v>18.36</v>
      </c>
      <c r="I23" s="541">
        <f t="shared" si="1"/>
        <v>11.993008875817337</v>
      </c>
      <c r="J23" s="172">
        <f t="shared" si="2"/>
        <v>8.5255432047759108</v>
      </c>
      <c r="K23" s="172">
        <f t="shared" si="3"/>
        <v>21.025543204775911</v>
      </c>
      <c r="L23" s="443"/>
      <c r="M23" s="217">
        <f t="shared" si="4"/>
        <v>0.41550415632932602</v>
      </c>
      <c r="N23" s="172">
        <f t="shared" si="5"/>
        <v>167.97351388126879</v>
      </c>
      <c r="O23" s="172">
        <f t="shared" si="98"/>
        <v>18.36</v>
      </c>
      <c r="P23" s="217">
        <f t="shared" si="6"/>
        <v>0.98807949341922818</v>
      </c>
      <c r="Q23" s="217">
        <f t="shared" si="7"/>
        <v>170</v>
      </c>
      <c r="R23" s="217">
        <f t="shared" si="8"/>
        <v>0.97708726172482374</v>
      </c>
      <c r="S23" s="172">
        <f t="shared" si="9"/>
        <v>3461.720411455799</v>
      </c>
      <c r="T23" s="172">
        <f t="shared" si="10"/>
        <v>170</v>
      </c>
      <c r="U23" s="217">
        <f t="shared" si="99"/>
        <v>7.3909849775322654</v>
      </c>
      <c r="V23" s="217">
        <f t="shared" si="11"/>
        <v>0.30813722619831557</v>
      </c>
      <c r="W23" s="217">
        <f t="shared" si="12"/>
        <v>0.4334612352554803</v>
      </c>
      <c r="X23" s="197">
        <f t="shared" si="13"/>
        <v>350</v>
      </c>
      <c r="Y23" s="443">
        <f t="shared" si="14"/>
        <v>350</v>
      </c>
      <c r="AA23" s="217">
        <f t="shared" si="15"/>
        <v>28.475112926218149</v>
      </c>
      <c r="AB23" s="173">
        <f t="shared" si="16"/>
        <v>1.6699881897417821</v>
      </c>
      <c r="AC23" s="173">
        <f t="shared" si="17"/>
        <v>0.41608964502304385</v>
      </c>
      <c r="AD23" s="173"/>
      <c r="AE23" s="173">
        <f t="shared" si="18"/>
        <v>0.78196385925674239</v>
      </c>
      <c r="AF23" s="545">
        <f t="shared" si="100"/>
        <v>414.34139975210917</v>
      </c>
      <c r="AG23" s="528">
        <f t="shared" si="19"/>
        <v>9.1229116913286612E-2</v>
      </c>
      <c r="AI23" s="173">
        <f t="shared" si="20"/>
        <v>14.507209369262272</v>
      </c>
      <c r="AJ23" s="173">
        <f t="shared" si="21"/>
        <v>14.507209369262272</v>
      </c>
      <c r="AK23" s="173">
        <f t="shared" si="22"/>
        <v>2.069537804391806</v>
      </c>
      <c r="AM23" s="545">
        <f t="shared" si="23"/>
        <v>108</v>
      </c>
      <c r="AN23" s="460">
        <f t="shared" si="24"/>
        <v>350</v>
      </c>
      <c r="AP23">
        <f t="shared" si="25"/>
        <v>108</v>
      </c>
      <c r="AQ23" s="460">
        <f t="shared" si="26"/>
        <v>350</v>
      </c>
      <c r="AR23" s="460"/>
      <c r="AS23" s="5">
        <f t="shared" si="101"/>
        <v>2.8571428571428572</v>
      </c>
      <c r="AT23" s="5">
        <f t="shared" si="27"/>
        <v>0.60481942102596786</v>
      </c>
      <c r="AU23" s="5">
        <f t="shared" si="102"/>
        <v>2.2523234361168893</v>
      </c>
      <c r="AV23" s="5">
        <f t="shared" si="28"/>
        <v>0.85080850690754228</v>
      </c>
      <c r="AW23" s="173">
        <f t="shared" si="103"/>
        <v>0.21168679735908874</v>
      </c>
      <c r="AX23" s="173">
        <f t="shared" si="29"/>
        <v>18.415173322315965</v>
      </c>
      <c r="AY23" s="173">
        <f t="shared" si="30"/>
        <v>0.28590561698163441</v>
      </c>
      <c r="AZ23" s="173">
        <f t="shared" si="104"/>
        <v>64.409973881341728</v>
      </c>
      <c r="BA23" s="460">
        <f t="shared" si="31"/>
        <v>3.8423822041649715E-2</v>
      </c>
      <c r="BB23" s="5">
        <f t="shared" si="32"/>
        <v>5.516901883795243</v>
      </c>
      <c r="BC23" s="5"/>
      <c r="BD23" s="173">
        <f t="shared" si="105"/>
        <v>3.8536310958014637</v>
      </c>
      <c r="BE23" s="173">
        <f t="shared" si="33"/>
        <v>0.37182848399948581</v>
      </c>
      <c r="BF23" s="173"/>
      <c r="BG23" s="528">
        <f t="shared" si="34"/>
        <v>0.59401890490111964</v>
      </c>
      <c r="BH23" s="528">
        <f t="shared" si="35"/>
        <v>2.4020479143214608</v>
      </c>
      <c r="BI23" s="528">
        <f t="shared" si="36"/>
        <v>0.16790212426144271</v>
      </c>
      <c r="BJ23" s="528">
        <f t="shared" si="37"/>
        <v>3.0945142693912894E-2</v>
      </c>
      <c r="BK23">
        <f t="shared" si="38"/>
        <v>5.3968539941178012E-3</v>
      </c>
      <c r="BL23" s="460">
        <f t="shared" si="106"/>
        <v>173.29897825556051</v>
      </c>
      <c r="BM23" s="528">
        <f t="shared" si="39"/>
        <v>3.711190361077894</v>
      </c>
      <c r="BN23" s="460">
        <f t="shared" si="107"/>
        <v>3711.1903610778941</v>
      </c>
      <c r="BO23" s="528">
        <f t="shared" si="108"/>
        <v>9.3743999999999994E-2</v>
      </c>
      <c r="BP23" s="528"/>
      <c r="BR23" s="460">
        <f t="shared" si="109"/>
        <v>93.744</v>
      </c>
      <c r="BS23" s="528">
        <f t="shared" si="40"/>
        <v>0.4455141786758397</v>
      </c>
      <c r="BT23" s="528">
        <f t="shared" si="41"/>
        <v>4.1476926454006762E-3</v>
      </c>
      <c r="BU23" s="528">
        <f t="shared" si="42"/>
        <v>0.27539999999999998</v>
      </c>
      <c r="BV23" s="528">
        <f t="shared" si="43"/>
        <v>0.8640636382392417</v>
      </c>
      <c r="BW23" s="528">
        <f t="shared" si="44"/>
        <v>1.8415173322315967</v>
      </c>
      <c r="BX23" s="460">
        <f t="shared" si="110"/>
        <v>2705.5809704708381</v>
      </c>
      <c r="BY23" s="173">
        <f t="shared" si="45"/>
        <v>6.6838143098042924</v>
      </c>
      <c r="BZ23" s="5">
        <f t="shared" si="111"/>
        <v>18.36</v>
      </c>
      <c r="CA23" s="173">
        <f t="shared" si="112"/>
        <v>0.73311516260573473</v>
      </c>
      <c r="CB23" s="5">
        <f t="shared" si="113"/>
        <v>73.31151626057347</v>
      </c>
      <c r="CE23" s="562">
        <f t="shared" si="46"/>
        <v>-50</v>
      </c>
      <c r="CF23">
        <f t="shared" si="47"/>
        <v>-50</v>
      </c>
      <c r="CG23" s="173">
        <f t="shared" si="48"/>
        <v>0.29823007304862503</v>
      </c>
      <c r="CI23" s="170">
        <v>18</v>
      </c>
      <c r="CJ23" s="217">
        <f t="shared" si="114"/>
        <v>0.108</v>
      </c>
      <c r="CK23" s="217"/>
      <c r="CL23" s="217">
        <f t="shared" si="49"/>
        <v>18.36</v>
      </c>
      <c r="CM23" s="541">
        <f t="shared" si="50"/>
        <v>12.5</v>
      </c>
      <c r="CN23" s="172">
        <f t="shared" si="51"/>
        <v>8.5250000000000004</v>
      </c>
      <c r="CO23" s="443">
        <f t="shared" si="52"/>
        <v>21.024999999999999</v>
      </c>
      <c r="CP23" s="443"/>
      <c r="CQ23" s="217">
        <f t="shared" si="53"/>
        <v>0.40546967895362668</v>
      </c>
      <c r="CR23" s="172">
        <f t="shared" si="54"/>
        <v>170.84633868410626</v>
      </c>
      <c r="CS23" s="172">
        <f t="shared" si="115"/>
        <v>18.36</v>
      </c>
      <c r="CT23" s="217">
        <f t="shared" si="55"/>
        <v>1.0049784628476839</v>
      </c>
      <c r="CU23" s="217">
        <f t="shared" si="56"/>
        <v>170</v>
      </c>
      <c r="CV23" s="217">
        <f t="shared" si="57"/>
        <v>0.99379823272947732</v>
      </c>
      <c r="CW23" s="172">
        <f t="shared" si="58"/>
        <v>3608.0593312207861</v>
      </c>
      <c r="CX23" s="172">
        <f t="shared" si="59"/>
        <v>170</v>
      </c>
      <c r="CY23" s="217">
        <f t="shared" si="60"/>
        <v>7.2449313782991185</v>
      </c>
      <c r="CZ23" s="217">
        <f t="shared" si="61"/>
        <v>0.28979725513196475</v>
      </c>
      <c r="DA23" s="217">
        <f t="shared" si="62"/>
        <v>0.42492266148381924</v>
      </c>
      <c r="DB23" s="197">
        <f t="shared" si="63"/>
        <v>350</v>
      </c>
      <c r="DC23" s="443">
        <f t="shared" si="116"/>
        <v>350</v>
      </c>
      <c r="DE23" s="217">
        <f t="shared" si="64"/>
        <v>28.962119925259049</v>
      </c>
      <c r="DF23" s="173">
        <f t="shared" si="65"/>
        <v>1.6986580601324954</v>
      </c>
      <c r="DG23" s="173">
        <f t="shared" si="66"/>
        <v>0.4304714614336958</v>
      </c>
      <c r="DH23" s="173"/>
      <c r="DI23" s="173">
        <f t="shared" si="67"/>
        <v>0.78201368523949166</v>
      </c>
      <c r="DJ23" s="545">
        <f t="shared" si="117"/>
        <v>414.315</v>
      </c>
      <c r="DK23" s="528">
        <f t="shared" si="68"/>
        <v>9.1234929944607357E-2</v>
      </c>
      <c r="DM23" s="173">
        <f t="shared" si="69"/>
        <v>14.50674719865602</v>
      </c>
      <c r="DN23" s="173">
        <f t="shared" si="70"/>
        <v>14.50674719865602</v>
      </c>
      <c r="DO23" s="173">
        <f t="shared" si="71"/>
        <v>2.0691954557945826</v>
      </c>
      <c r="DQ23" s="545">
        <f t="shared" si="72"/>
        <v>108</v>
      </c>
      <c r="DR23" s="460">
        <f t="shared" si="73"/>
        <v>350</v>
      </c>
      <c r="DT23">
        <f t="shared" si="74"/>
        <v>108</v>
      </c>
      <c r="DU23" s="460">
        <f t="shared" si="75"/>
        <v>350</v>
      </c>
      <c r="DV23" s="460"/>
      <c r="DW23" s="5">
        <f t="shared" si="118"/>
        <v>2.8571428571428572</v>
      </c>
      <c r="DX23" s="5">
        <f t="shared" si="76"/>
        <v>0.58026988794624068</v>
      </c>
      <c r="DY23" s="5">
        <f t="shared" si="119"/>
        <v>2.2768729691966163</v>
      </c>
      <c r="DZ23" s="5">
        <f t="shared" si="77"/>
        <v>0.8508356128243999</v>
      </c>
      <c r="EA23" s="173">
        <f t="shared" si="120"/>
        <v>0.20309446078118423</v>
      </c>
      <c r="EB23" s="173">
        <f t="shared" si="78"/>
        <v>18.414000000000001</v>
      </c>
      <c r="EC23" s="173">
        <f t="shared" si="79"/>
        <v>0.28901267996640051</v>
      </c>
      <c r="ED23" s="173">
        <f t="shared" si="121"/>
        <v>63.713467527240468</v>
      </c>
      <c r="EE23" s="460">
        <f t="shared" si="80"/>
        <v>3.6864204645996469E-2</v>
      </c>
      <c r="EF23" s="5">
        <f t="shared" si="81"/>
        <v>5.3508336274495836</v>
      </c>
      <c r="EG23" s="5"/>
      <c r="EH23" s="173">
        <f t="shared" si="122"/>
        <v>3.7744915271935771</v>
      </c>
      <c r="EI23" s="173">
        <f t="shared" si="82"/>
        <v>0.37383748186784094</v>
      </c>
      <c r="EJ23" s="173"/>
      <c r="EK23" s="528">
        <f t="shared" si="83"/>
        <v>0.56987145155424412</v>
      </c>
      <c r="EL23" s="528">
        <f t="shared" si="84"/>
        <v>2.9356669635730253</v>
      </c>
      <c r="EM23" s="528">
        <f t="shared" si="85"/>
        <v>6.9999999999999993E-2</v>
      </c>
      <c r="EN23" s="528">
        <f t="shared" si="86"/>
        <v>3.094354375E-2</v>
      </c>
      <c r="EO23">
        <f t="shared" si="87"/>
        <v>5.6249999999999998E-3</v>
      </c>
      <c r="EP23" s="460">
        <f t="shared" si="123"/>
        <v>75.625</v>
      </c>
      <c r="EQ23" s="528">
        <f t="shared" si="88"/>
        <v>4.3557466997890648</v>
      </c>
      <c r="ER23" s="460">
        <f t="shared" si="124"/>
        <v>4355.7466997890651</v>
      </c>
      <c r="ES23" s="528">
        <f t="shared" si="125"/>
        <v>9.3743999999999994E-2</v>
      </c>
      <c r="ET23" s="528"/>
      <c r="EV23" s="460">
        <f t="shared" si="126"/>
        <v>93.744</v>
      </c>
      <c r="EW23" s="528">
        <f t="shared" si="89"/>
        <v>0.42740358866568307</v>
      </c>
      <c r="EX23" s="528">
        <f t="shared" si="90"/>
        <v>4.192633885478649E-3</v>
      </c>
      <c r="EY23" s="528">
        <f t="shared" si="91"/>
        <v>91.847052225759143</v>
      </c>
      <c r="EZ23" s="528">
        <f t="shared" si="92"/>
        <v>95.686050580223707</v>
      </c>
      <c r="FA23" s="528">
        <f t="shared" si="93"/>
        <v>1.8414000000000004</v>
      </c>
      <c r="FB23" s="460">
        <f t="shared" si="127"/>
        <v>97527.450580223711</v>
      </c>
      <c r="FC23" s="173">
        <f t="shared" si="128"/>
        <v>101.97694128001278</v>
      </c>
      <c r="FD23" s="5">
        <f t="shared" si="129"/>
        <v>18.36</v>
      </c>
      <c r="FE23" s="173">
        <f t="shared" si="130"/>
        <v>0.15257160274065801</v>
      </c>
      <c r="FF23" s="5">
        <f t="shared" si="131"/>
        <v>15.2571602740658</v>
      </c>
      <c r="FI23" s="562">
        <f t="shared" si="94"/>
        <v>-50</v>
      </c>
      <c r="FJ23">
        <f t="shared" si="95"/>
        <v>-50</v>
      </c>
      <c r="FL23">
        <f t="shared" si="96"/>
        <v>0.29779246448853997</v>
      </c>
    </row>
    <row r="24" spans="5:168">
      <c r="E24" s="170">
        <v>19</v>
      </c>
      <c r="F24" s="217">
        <f t="shared" si="97"/>
        <v>0.11399999999999999</v>
      </c>
      <c r="G24" s="217"/>
      <c r="H24" s="217">
        <f t="shared" si="0"/>
        <v>19.38</v>
      </c>
      <c r="I24" s="541">
        <f t="shared" si="1"/>
        <v>11.979116135784569</v>
      </c>
      <c r="J24" s="172">
        <f t="shared" si="2"/>
        <v>8.5255580898545169</v>
      </c>
      <c r="K24" s="172">
        <f t="shared" si="3"/>
        <v>21.025558089854517</v>
      </c>
      <c r="L24" s="443"/>
      <c r="M24" s="217">
        <f t="shared" si="4"/>
        <v>0.4157861019961171</v>
      </c>
      <c r="N24" s="172">
        <f t="shared" si="5"/>
        <v>167.89278136651808</v>
      </c>
      <c r="O24" s="172">
        <f t="shared" si="98"/>
        <v>19.38</v>
      </c>
      <c r="P24" s="217">
        <f t="shared" si="6"/>
        <v>0.98760459627363573</v>
      </c>
      <c r="Q24" s="217">
        <f t="shared" si="7"/>
        <v>170</v>
      </c>
      <c r="R24" s="217">
        <f t="shared" si="8"/>
        <v>0.97661764773659909</v>
      </c>
      <c r="S24" s="172">
        <f t="shared" si="9"/>
        <v>3263.1199190610423</v>
      </c>
      <c r="T24" s="172">
        <f t="shared" si="10"/>
        <v>170</v>
      </c>
      <c r="U24" s="217">
        <f t="shared" si="99"/>
        <v>7.805360357876479</v>
      </c>
      <c r="V24" s="217">
        <f t="shared" si="11"/>
        <v>0.32579032832647586</v>
      </c>
      <c r="W24" s="217">
        <f t="shared" si="12"/>
        <v>0.45776242889981134</v>
      </c>
      <c r="X24" s="197">
        <f t="shared" si="13"/>
        <v>350</v>
      </c>
      <c r="Y24" s="443">
        <f t="shared" si="14"/>
        <v>350</v>
      </c>
      <c r="AA24" s="217">
        <f t="shared" si="15"/>
        <v>28.461426991689272</v>
      </c>
      <c r="AB24" s="173">
        <f t="shared" si="16"/>
        <v>1.6691826324870509</v>
      </c>
      <c r="AC24" s="173">
        <f t="shared" si="17"/>
        <v>0.41568904676535168</v>
      </c>
      <c r="AD24" s="173"/>
      <c r="AE24" s="173">
        <f t="shared" si="18"/>
        <v>0.78196249399790652</v>
      </c>
      <c r="AF24" s="545">
        <f t="shared" si="100"/>
        <v>437.36113000953668</v>
      </c>
      <c r="AG24" s="528">
        <f t="shared" si="19"/>
        <v>9.1228957633089108E-2</v>
      </c>
      <c r="AI24" s="173">
        <f t="shared" si="20"/>
        <v>14.904753774692461</v>
      </c>
      <c r="AJ24" s="173">
        <f t="shared" si="21"/>
        <v>14.904753774692461</v>
      </c>
      <c r="AK24" s="173">
        <f t="shared" si="22"/>
        <v>2.364015141747501</v>
      </c>
      <c r="AM24" s="545">
        <f t="shared" si="23"/>
        <v>113.99999999999999</v>
      </c>
      <c r="AN24" s="460">
        <f t="shared" si="24"/>
        <v>350</v>
      </c>
      <c r="AP24">
        <f t="shared" si="25"/>
        <v>113.99999999999999</v>
      </c>
      <c r="AQ24" s="460">
        <f t="shared" si="26"/>
        <v>350</v>
      </c>
      <c r="AR24" s="460"/>
      <c r="AS24" s="5">
        <f t="shared" si="101"/>
        <v>2.8571428571428572</v>
      </c>
      <c r="AT24" s="5">
        <f t="shared" si="27"/>
        <v>0.6221140861206067</v>
      </c>
      <c r="AU24" s="5">
        <f t="shared" si="102"/>
        <v>2.2350287710222503</v>
      </c>
      <c r="AV24" s="5">
        <f t="shared" si="28"/>
        <v>0.87412188255624224</v>
      </c>
      <c r="AW24" s="173">
        <f t="shared" si="103"/>
        <v>0.21773993014221235</v>
      </c>
      <c r="AX24" s="173">
        <f t="shared" si="29"/>
        <v>19.4382724448683</v>
      </c>
      <c r="AY24" s="173">
        <f t="shared" si="30"/>
        <v>0.29148484322510121</v>
      </c>
      <c r="AZ24" s="173">
        <f t="shared" si="104"/>
        <v>66.687077893298749</v>
      </c>
      <c r="BA24" s="460">
        <f t="shared" si="31"/>
        <v>4.1718238716323033E-2</v>
      </c>
      <c r="BB24" s="5">
        <f t="shared" si="32"/>
        <v>5.7853827733442298</v>
      </c>
      <c r="BC24" s="5"/>
      <c r="BD24" s="173">
        <f t="shared" si="105"/>
        <v>4.0154407143430078</v>
      </c>
      <c r="BE24" s="173">
        <f t="shared" si="33"/>
        <v>0.38054828065678109</v>
      </c>
      <c r="BF24" s="173"/>
      <c r="BG24" s="528">
        <f t="shared" si="34"/>
        <v>0.64495056521613936</v>
      </c>
      <c r="BH24" s="528">
        <f t="shared" si="35"/>
        <v>2.4678735346501011</v>
      </c>
      <c r="BI24" s="528">
        <f t="shared" si="36"/>
        <v>0.16770762590098398</v>
      </c>
      <c r="BJ24" s="528">
        <f t="shared" si="37"/>
        <v>3.0945186509289277E-2</v>
      </c>
      <c r="BK24">
        <f t="shared" si="38"/>
        <v>5.3906022611030554E-3</v>
      </c>
      <c r="BL24" s="460">
        <f t="shared" si="106"/>
        <v>173.09822816208703</v>
      </c>
      <c r="BM24" s="528">
        <f t="shared" si="39"/>
        <v>3.9183557742495618</v>
      </c>
      <c r="BN24" s="460">
        <f t="shared" si="107"/>
        <v>3918.3557742495618</v>
      </c>
      <c r="BO24" s="528">
        <f t="shared" si="108"/>
        <v>9.8951999999999971E-2</v>
      </c>
      <c r="BP24" s="528"/>
      <c r="BR24" s="460">
        <f t="shared" si="109"/>
        <v>98.95199999999997</v>
      </c>
      <c r="BS24" s="528">
        <f t="shared" si="40"/>
        <v>0.48371292391210446</v>
      </c>
      <c r="BT24" s="528">
        <f t="shared" si="41"/>
        <v>4.3445098173249663E-3</v>
      </c>
      <c r="BU24" s="528">
        <f t="shared" si="42"/>
        <v>0.29069999999999996</v>
      </c>
      <c r="BV24" s="528">
        <f t="shared" si="43"/>
        <v>0.93229218846349116</v>
      </c>
      <c r="BW24" s="528">
        <f t="shared" si="44"/>
        <v>1.9438272444868303</v>
      </c>
      <c r="BX24" s="460">
        <f t="shared" si="110"/>
        <v>2876.1194329503214</v>
      </c>
      <c r="BY24" s="173">
        <f t="shared" si="45"/>
        <v>7.0665254353619709</v>
      </c>
      <c r="BZ24" s="5">
        <f t="shared" si="111"/>
        <v>19.38</v>
      </c>
      <c r="CA24" s="173">
        <f t="shared" si="112"/>
        <v>0.7327994767163919</v>
      </c>
      <c r="CB24" s="5">
        <f t="shared" si="113"/>
        <v>73.279947671639192</v>
      </c>
      <c r="CE24" s="562">
        <f t="shared" si="46"/>
        <v>-50</v>
      </c>
      <c r="CF24">
        <f t="shared" si="47"/>
        <v>-50</v>
      </c>
      <c r="CG24" s="173">
        <f t="shared" si="48"/>
        <v>0.3064022730679008</v>
      </c>
      <c r="CI24" s="170">
        <v>19</v>
      </c>
      <c r="CJ24" s="217">
        <f t="shared" si="114"/>
        <v>0.11399999999999999</v>
      </c>
      <c r="CK24" s="217"/>
      <c r="CL24" s="217">
        <f t="shared" si="49"/>
        <v>19.38</v>
      </c>
      <c r="CM24" s="541">
        <f t="shared" si="50"/>
        <v>12.5</v>
      </c>
      <c r="CN24" s="172">
        <f t="shared" si="51"/>
        <v>8.5250000000000004</v>
      </c>
      <c r="CO24" s="443">
        <f t="shared" si="52"/>
        <v>21.024999999999999</v>
      </c>
      <c r="CP24" s="443"/>
      <c r="CQ24" s="217">
        <f t="shared" si="53"/>
        <v>0.40546967895362668</v>
      </c>
      <c r="CR24" s="172">
        <f t="shared" si="54"/>
        <v>170.84633868410626</v>
      </c>
      <c r="CS24" s="172">
        <f t="shared" si="115"/>
        <v>19.38</v>
      </c>
      <c r="CT24" s="217">
        <f t="shared" si="55"/>
        <v>1.0049784628476839</v>
      </c>
      <c r="CU24" s="217">
        <f t="shared" si="56"/>
        <v>170</v>
      </c>
      <c r="CV24" s="217">
        <f t="shared" si="57"/>
        <v>0.99379823272947732</v>
      </c>
      <c r="CW24" s="172">
        <f t="shared" si="58"/>
        <v>3405.0074654830682</v>
      </c>
      <c r="CX24" s="172">
        <f t="shared" si="59"/>
        <v>170</v>
      </c>
      <c r="CY24" s="217">
        <f t="shared" si="60"/>
        <v>7.6474275659824027</v>
      </c>
      <c r="CZ24" s="217">
        <f t="shared" si="61"/>
        <v>0.30589710263929609</v>
      </c>
      <c r="DA24" s="217">
        <f t="shared" si="62"/>
        <v>0.44852947601069804</v>
      </c>
      <c r="DB24" s="197">
        <f t="shared" si="63"/>
        <v>350</v>
      </c>
      <c r="DC24" s="443">
        <f t="shared" si="116"/>
        <v>350</v>
      </c>
      <c r="DE24" s="217">
        <f t="shared" si="64"/>
        <v>28.962119925259049</v>
      </c>
      <c r="DF24" s="173">
        <f t="shared" si="65"/>
        <v>1.6986580601324954</v>
      </c>
      <c r="DG24" s="173">
        <f t="shared" si="66"/>
        <v>0.4304714614336958</v>
      </c>
      <c r="DH24" s="173"/>
      <c r="DI24" s="173">
        <f t="shared" si="67"/>
        <v>0.78201368523949166</v>
      </c>
      <c r="DJ24" s="545">
        <f t="shared" si="117"/>
        <v>437.33249999999992</v>
      </c>
      <c r="DK24" s="528">
        <f t="shared" si="68"/>
        <v>9.1234929944607357E-2</v>
      </c>
      <c r="DM24" s="173">
        <f t="shared" si="69"/>
        <v>14.904265928154356</v>
      </c>
      <c r="DN24" s="173">
        <f t="shared" si="70"/>
        <v>14.904265928154356</v>
      </c>
      <c r="DO24" s="173">
        <f t="shared" si="71"/>
        <v>2.3636537739414978</v>
      </c>
      <c r="DQ24" s="545">
        <f t="shared" si="72"/>
        <v>113.99999999999999</v>
      </c>
      <c r="DR24" s="460">
        <f t="shared" si="73"/>
        <v>350</v>
      </c>
      <c r="DT24">
        <f t="shared" si="74"/>
        <v>113.99999999999999</v>
      </c>
      <c r="DU24" s="460">
        <f t="shared" si="75"/>
        <v>350</v>
      </c>
      <c r="DV24" s="460"/>
      <c r="DW24" s="5">
        <f t="shared" si="118"/>
        <v>2.8571428571428572</v>
      </c>
      <c r="DX24" s="5">
        <f t="shared" si="76"/>
        <v>0.59617063712617413</v>
      </c>
      <c r="DY24" s="5">
        <f t="shared" si="119"/>
        <v>2.2609722200166829</v>
      </c>
      <c r="DZ24" s="5">
        <f t="shared" si="77"/>
        <v>0.87415049431990355</v>
      </c>
      <c r="EA24" s="173">
        <f t="shared" si="120"/>
        <v>0.20865972299416094</v>
      </c>
      <c r="EB24" s="173">
        <f t="shared" si="78"/>
        <v>19.436999999999998</v>
      </c>
      <c r="EC24" s="173">
        <f t="shared" si="79"/>
        <v>0.29485864820385893</v>
      </c>
      <c r="ED24" s="173">
        <f t="shared" si="121"/>
        <v>65.919721596775659</v>
      </c>
      <c r="EE24" s="460">
        <f t="shared" si="80"/>
        <v>3.9978501548461082E-2</v>
      </c>
      <c r="EF24" s="5">
        <f t="shared" si="81"/>
        <v>5.6086581278621841</v>
      </c>
      <c r="EG24" s="5"/>
      <c r="EH24" s="173">
        <f t="shared" si="122"/>
        <v>3.9306943701796406</v>
      </c>
      <c r="EI24" s="173">
        <f t="shared" si="82"/>
        <v>0.38273801762417187</v>
      </c>
      <c r="EJ24" s="173"/>
      <c r="EK24" s="528">
        <f t="shared" si="83"/>
        <v>0.61801432927047684</v>
      </c>
      <c r="EL24" s="528">
        <f t="shared" si="84"/>
        <v>3.0161110897171612</v>
      </c>
      <c r="EM24" s="528">
        <f t="shared" si="85"/>
        <v>6.9999999999999993E-2</v>
      </c>
      <c r="EN24" s="528">
        <f t="shared" si="86"/>
        <v>3.094354375E-2</v>
      </c>
      <c r="EO24">
        <f t="shared" si="87"/>
        <v>5.6249999999999998E-3</v>
      </c>
      <c r="EP24" s="460">
        <f t="shared" si="123"/>
        <v>75.625</v>
      </c>
      <c r="EQ24" s="528">
        <f t="shared" si="88"/>
        <v>4.5801007652586314</v>
      </c>
      <c r="ER24" s="460">
        <f t="shared" si="124"/>
        <v>4580.1007652586313</v>
      </c>
      <c r="ES24" s="528">
        <f t="shared" si="125"/>
        <v>9.8951999999999971E-2</v>
      </c>
      <c r="ET24" s="528"/>
      <c r="EV24" s="460">
        <f t="shared" si="126"/>
        <v>98.95199999999997</v>
      </c>
      <c r="EW24" s="528">
        <f t="shared" si="89"/>
        <v>0.4635107469528576</v>
      </c>
      <c r="EX24" s="528">
        <f t="shared" si="90"/>
        <v>4.3946517040464273E-3</v>
      </c>
      <c r="EY24" s="528">
        <f t="shared" si="91"/>
        <v>98.269012588901745</v>
      </c>
      <c r="EZ24" s="528">
        <f t="shared" si="92"/>
        <v>102.69327427848904</v>
      </c>
      <c r="FA24" s="528">
        <f t="shared" si="93"/>
        <v>1.9436999999999995</v>
      </c>
      <c r="FB24" s="460">
        <f t="shared" si="127"/>
        <v>104636.97427848904</v>
      </c>
      <c r="FC24" s="173">
        <f t="shared" si="128"/>
        <v>109.31602704374767</v>
      </c>
      <c r="FD24" s="5">
        <f t="shared" si="129"/>
        <v>19.38</v>
      </c>
      <c r="FE24" s="173">
        <f t="shared" si="130"/>
        <v>0.15058739920084829</v>
      </c>
      <c r="FF24" s="5">
        <f t="shared" si="131"/>
        <v>15.058739920084829</v>
      </c>
      <c r="FI24" s="562">
        <f t="shared" si="94"/>
        <v>-50</v>
      </c>
      <c r="FJ24">
        <f t="shared" si="95"/>
        <v>-50</v>
      </c>
      <c r="FL24">
        <f t="shared" si="96"/>
        <v>0.30595267301196621</v>
      </c>
    </row>
    <row r="25" spans="5:168">
      <c r="E25" s="170">
        <v>20</v>
      </c>
      <c r="F25" s="217">
        <f t="shared" si="97"/>
        <v>0.12</v>
      </c>
      <c r="G25" s="217"/>
      <c r="H25" s="217">
        <f t="shared" si="0"/>
        <v>20.399999999999999</v>
      </c>
      <c r="I25" s="541">
        <f t="shared" si="1"/>
        <v>11.965584431364505</v>
      </c>
      <c r="J25" s="172">
        <f t="shared" si="2"/>
        <v>8.5255725881092523</v>
      </c>
      <c r="K25" s="172">
        <f t="shared" si="3"/>
        <v>21.025572588109252</v>
      </c>
      <c r="L25" s="443"/>
      <c r="M25" s="217">
        <f t="shared" si="4"/>
        <v>0.41606108778272832</v>
      </c>
      <c r="N25" s="172">
        <f t="shared" si="5"/>
        <v>167.81404109357928</v>
      </c>
      <c r="O25" s="172">
        <f t="shared" si="98"/>
        <v>20.399999999999999</v>
      </c>
      <c r="P25" s="217">
        <f t="shared" si="6"/>
        <v>0.98714141819752521</v>
      </c>
      <c r="Q25" s="217">
        <f t="shared" si="7"/>
        <v>170</v>
      </c>
      <c r="R25" s="217">
        <f t="shared" si="8"/>
        <v>0.97615962244501875</v>
      </c>
      <c r="S25" s="172">
        <f t="shared" si="9"/>
        <v>3084.5005508578633</v>
      </c>
      <c r="T25" s="172">
        <f t="shared" si="10"/>
        <v>170</v>
      </c>
      <c r="U25" s="217">
        <f t="shared" si="99"/>
        <v>8.220037917620429</v>
      </c>
      <c r="V25" s="217">
        <f t="shared" si="11"/>
        <v>0.34348668737290627</v>
      </c>
      <c r="W25" s="217">
        <f t="shared" si="12"/>
        <v>0.48208128150155233</v>
      </c>
      <c r="X25" s="197">
        <f t="shared" si="13"/>
        <v>350</v>
      </c>
      <c r="Y25" s="443">
        <f t="shared" si="14"/>
        <v>350</v>
      </c>
      <c r="AA25" s="217">
        <f t="shared" si="15"/>
        <v>28.448078786041254</v>
      </c>
      <c r="AB25" s="173">
        <f t="shared" si="16"/>
        <v>1.6683969605582989</v>
      </c>
      <c r="AC25" s="173">
        <f t="shared" si="17"/>
        <v>0.41529852157809966</v>
      </c>
      <c r="AD25" s="173"/>
      <c r="AE25" s="173">
        <f t="shared" si="18"/>
        <v>0.78196116422312445</v>
      </c>
      <c r="AF25" s="545">
        <f t="shared" si="100"/>
        <v>460.38091975789956</v>
      </c>
      <c r="AG25" s="528">
        <f t="shared" si="19"/>
        <v>9.1228802492697866E-2</v>
      </c>
      <c r="AI25" s="173">
        <f t="shared" si="20"/>
        <v>15.29196771846008</v>
      </c>
      <c r="AJ25" s="173">
        <f t="shared" si="21"/>
        <v>15.29196771846008</v>
      </c>
      <c r="AK25" s="173">
        <f t="shared" si="22"/>
        <v>2.6508402852790711</v>
      </c>
      <c r="AM25" s="545">
        <f t="shared" si="23"/>
        <v>120</v>
      </c>
      <c r="AN25" s="460">
        <f t="shared" si="24"/>
        <v>350</v>
      </c>
      <c r="AP25">
        <f t="shared" si="25"/>
        <v>120</v>
      </c>
      <c r="AQ25" s="460">
        <f t="shared" si="26"/>
        <v>350</v>
      </c>
      <c r="AR25" s="460"/>
      <c r="AS25" s="5">
        <f t="shared" si="101"/>
        <v>2.8571428571428572</v>
      </c>
      <c r="AT25" s="5">
        <f t="shared" si="27"/>
        <v>0.6389979447379257</v>
      </c>
      <c r="AU25" s="5">
        <f t="shared" si="102"/>
        <v>2.2181449124049317</v>
      </c>
      <c r="AV25" s="5">
        <f t="shared" si="28"/>
        <v>0.89682936602921093</v>
      </c>
      <c r="AW25" s="173">
        <f t="shared" si="103"/>
        <v>0.223649280658274</v>
      </c>
      <c r="AX25" s="173">
        <f t="shared" si="29"/>
        <v>20.461374211462203</v>
      </c>
      <c r="AY25" s="173">
        <f t="shared" si="30"/>
        <v>0.29679825345942346</v>
      </c>
      <c r="AZ25" s="173">
        <f t="shared" si="104"/>
        <v>68.940345749910435</v>
      </c>
      <c r="BA25" s="460">
        <f t="shared" si="31"/>
        <v>4.5105737275618285E-2</v>
      </c>
      <c r="BB25" s="5">
        <f t="shared" si="32"/>
        <v>6.0507073729820942</v>
      </c>
      <c r="BC25" s="5"/>
      <c r="BD25" s="173">
        <f t="shared" si="105"/>
        <v>4.1752885836610858</v>
      </c>
      <c r="BE25" s="173">
        <f t="shared" si="33"/>
        <v>0.38895712320669473</v>
      </c>
      <c r="BF25" s="173"/>
      <c r="BG25" s="528">
        <f t="shared" si="34"/>
        <v>0.69732139027402384</v>
      </c>
      <c r="BH25" s="528">
        <f t="shared" si="35"/>
        <v>2.5319887210761087</v>
      </c>
      <c r="BI25" s="528">
        <f t="shared" si="36"/>
        <v>0.1675181820391031</v>
      </c>
      <c r="BJ25" s="528">
        <f t="shared" si="37"/>
        <v>3.094522918604959E-2</v>
      </c>
      <c r="BK25">
        <f t="shared" si="38"/>
        <v>5.3845129941140274E-3</v>
      </c>
      <c r="BL25" s="460">
        <f t="shared" si="106"/>
        <v>172.90269503321713</v>
      </c>
      <c r="BM25" s="528">
        <f t="shared" si="39"/>
        <v>4.1333623073964789</v>
      </c>
      <c r="BN25" s="460">
        <f t="shared" si="107"/>
        <v>4133.3623073964791</v>
      </c>
      <c r="BO25" s="528">
        <f t="shared" si="108"/>
        <v>0.10415999999999999</v>
      </c>
      <c r="BP25" s="528"/>
      <c r="BR25" s="460">
        <f t="shared" si="109"/>
        <v>104.15999999999998</v>
      </c>
      <c r="BS25" s="528">
        <f t="shared" si="40"/>
        <v>0.52299104270551788</v>
      </c>
      <c r="BT25" s="528">
        <f t="shared" si="41"/>
        <v>4.5386293107968377E-3</v>
      </c>
      <c r="BU25" s="528">
        <f t="shared" si="42"/>
        <v>0.30599999999999999</v>
      </c>
      <c r="BV25" s="528">
        <f t="shared" si="43"/>
        <v>1.0024422351835653</v>
      </c>
      <c r="BW25" s="528">
        <f t="shared" si="44"/>
        <v>2.0461374211462209</v>
      </c>
      <c r="BX25" s="460">
        <f t="shared" si="110"/>
        <v>3048.5796563297863</v>
      </c>
      <c r="BY25" s="173">
        <f t="shared" si="45"/>
        <v>7.4590046587594827</v>
      </c>
      <c r="BZ25" s="5">
        <f t="shared" si="111"/>
        <v>20.399999999999999</v>
      </c>
      <c r="CA25" s="173">
        <f t="shared" si="112"/>
        <v>0.73225875259638151</v>
      </c>
      <c r="CB25" s="5">
        <f t="shared" si="113"/>
        <v>73.225875259638144</v>
      </c>
      <c r="CE25" s="562">
        <f t="shared" si="46"/>
        <v>-50</v>
      </c>
      <c r="CF25">
        <f t="shared" si="47"/>
        <v>-50</v>
      </c>
      <c r="CG25" s="173">
        <f t="shared" si="48"/>
        <v>0.31436209919735025</v>
      </c>
      <c r="CI25" s="170">
        <v>20</v>
      </c>
      <c r="CJ25" s="217">
        <f t="shared" si="114"/>
        <v>0.12</v>
      </c>
      <c r="CK25" s="217"/>
      <c r="CL25" s="217">
        <f t="shared" si="49"/>
        <v>20.399999999999999</v>
      </c>
      <c r="CM25" s="541">
        <f t="shared" si="50"/>
        <v>12.5</v>
      </c>
      <c r="CN25" s="172">
        <f t="shared" si="51"/>
        <v>8.5250000000000004</v>
      </c>
      <c r="CO25" s="443">
        <f t="shared" si="52"/>
        <v>21.024999999999999</v>
      </c>
      <c r="CP25" s="443"/>
      <c r="CQ25" s="217">
        <f t="shared" si="53"/>
        <v>0.40546967895362668</v>
      </c>
      <c r="CR25" s="172">
        <f t="shared" si="54"/>
        <v>170.84633868410626</v>
      </c>
      <c r="CS25" s="172">
        <f t="shared" si="115"/>
        <v>20.399999999999999</v>
      </c>
      <c r="CT25" s="217">
        <f t="shared" si="55"/>
        <v>1.0049784628476839</v>
      </c>
      <c r="CU25" s="217">
        <f t="shared" si="56"/>
        <v>170</v>
      </c>
      <c r="CV25" s="217">
        <f t="shared" si="57"/>
        <v>0.99379823272947732</v>
      </c>
      <c r="CW25" s="172">
        <f t="shared" si="58"/>
        <v>3222.2610088401743</v>
      </c>
      <c r="CX25" s="172">
        <f t="shared" si="59"/>
        <v>170</v>
      </c>
      <c r="CY25" s="217">
        <f t="shared" si="60"/>
        <v>8.0499237536656878</v>
      </c>
      <c r="CZ25" s="217">
        <f t="shared" si="61"/>
        <v>0.32199695014662755</v>
      </c>
      <c r="DA25" s="217">
        <f t="shared" si="62"/>
        <v>0.472136290537577</v>
      </c>
      <c r="DB25" s="197">
        <f t="shared" si="63"/>
        <v>350</v>
      </c>
      <c r="DC25" s="443">
        <f t="shared" si="116"/>
        <v>350</v>
      </c>
      <c r="DE25" s="217">
        <f t="shared" si="64"/>
        <v>28.962119925259049</v>
      </c>
      <c r="DF25" s="173">
        <f t="shared" si="65"/>
        <v>1.6986580601324954</v>
      </c>
      <c r="DG25" s="173">
        <f t="shared" si="66"/>
        <v>0.4304714614336958</v>
      </c>
      <c r="DH25" s="173"/>
      <c r="DI25" s="173">
        <f t="shared" si="67"/>
        <v>0.78201368523949166</v>
      </c>
      <c r="DJ25" s="545">
        <f t="shared" si="117"/>
        <v>460.35</v>
      </c>
      <c r="DK25" s="528">
        <f t="shared" si="68"/>
        <v>9.1234929944607357E-2</v>
      </c>
      <c r="DM25" s="173">
        <f t="shared" si="69"/>
        <v>15.291454196006717</v>
      </c>
      <c r="DN25" s="173">
        <f t="shared" si="70"/>
        <v>15.291454196006717</v>
      </c>
      <c r="DO25" s="173">
        <f t="shared" si="71"/>
        <v>2.6504598982765799</v>
      </c>
      <c r="DQ25" s="545">
        <f t="shared" si="72"/>
        <v>120</v>
      </c>
      <c r="DR25" s="460">
        <f t="shared" si="73"/>
        <v>350</v>
      </c>
      <c r="DT25">
        <f t="shared" si="74"/>
        <v>120</v>
      </c>
      <c r="DU25" s="460">
        <f t="shared" si="75"/>
        <v>350</v>
      </c>
      <c r="DV25" s="460"/>
      <c r="DW25" s="5">
        <f t="shared" si="118"/>
        <v>2.8571428571428572</v>
      </c>
      <c r="DX25" s="5">
        <f t="shared" si="76"/>
        <v>0.61165816784026861</v>
      </c>
      <c r="DY25" s="5">
        <f t="shared" si="119"/>
        <v>2.2454846893025886</v>
      </c>
      <c r="DZ25" s="5">
        <f t="shared" si="77"/>
        <v>0.89685948363675749</v>
      </c>
      <c r="EA25" s="173">
        <f t="shared" si="120"/>
        <v>0.21408035874409401</v>
      </c>
      <c r="EB25" s="173">
        <f t="shared" si="78"/>
        <v>20.459999999999997</v>
      </c>
      <c r="EC25" s="173">
        <f t="shared" si="79"/>
        <v>0.30044635490016791</v>
      </c>
      <c r="ED25" s="173">
        <f t="shared" si="121"/>
        <v>68.098679402512403</v>
      </c>
      <c r="EE25" s="460">
        <f t="shared" si="80"/>
        <v>4.3175870671077775E-2</v>
      </c>
      <c r="EF25" s="5">
        <f t="shared" si="81"/>
        <v>5.8634096207069195</v>
      </c>
      <c r="EG25" s="5"/>
      <c r="EH25" s="173">
        <f t="shared" si="122"/>
        <v>4.0848543203745376</v>
      </c>
      <c r="EI25" s="173">
        <f t="shared" si="82"/>
        <v>0.39133368857081108</v>
      </c>
      <c r="EJ25" s="173"/>
      <c r="EK25" s="528">
        <f t="shared" si="83"/>
        <v>0.66744139274730108</v>
      </c>
      <c r="EL25" s="528">
        <f t="shared" si="84"/>
        <v>3.0944646855337719</v>
      </c>
      <c r="EM25" s="528">
        <f t="shared" si="85"/>
        <v>6.9999999999999993E-2</v>
      </c>
      <c r="EN25" s="528">
        <f t="shared" si="86"/>
        <v>3.094354375E-2</v>
      </c>
      <c r="EO25">
        <f t="shared" si="87"/>
        <v>5.6249999999999998E-3</v>
      </c>
      <c r="EP25" s="460">
        <f t="shared" si="123"/>
        <v>75.625</v>
      </c>
      <c r="EQ25" s="528">
        <f t="shared" si="88"/>
        <v>4.8117508563583549</v>
      </c>
      <c r="ER25" s="460">
        <f t="shared" si="124"/>
        <v>4811.7508563583551</v>
      </c>
      <c r="ES25" s="528">
        <f t="shared" si="125"/>
        <v>0.10415999999999999</v>
      </c>
      <c r="ET25" s="528"/>
      <c r="EV25" s="460">
        <f t="shared" si="126"/>
        <v>104.15999999999998</v>
      </c>
      <c r="EW25" s="528">
        <f t="shared" si="89"/>
        <v>0.5005810445604757</v>
      </c>
      <c r="EX25" s="528">
        <f t="shared" si="90"/>
        <v>4.5942616743130963E-3</v>
      </c>
      <c r="EY25" s="528">
        <f t="shared" si="91"/>
        <v>104.7760654159563</v>
      </c>
      <c r="EZ25" s="528">
        <f t="shared" si="92"/>
        <v>109.84162491603001</v>
      </c>
      <c r="FA25" s="528">
        <f t="shared" si="93"/>
        <v>2.0460000000000003</v>
      </c>
      <c r="FB25" s="460">
        <f t="shared" si="127"/>
        <v>111887.62491603002</v>
      </c>
      <c r="FC25" s="173">
        <f t="shared" si="128"/>
        <v>116.80353577238837</v>
      </c>
      <c r="FD25" s="5">
        <f t="shared" si="129"/>
        <v>20.399999999999999</v>
      </c>
      <c r="FE25" s="173">
        <f t="shared" si="130"/>
        <v>0.14868421491587691</v>
      </c>
      <c r="FF25" s="5">
        <f t="shared" si="131"/>
        <v>14.868421491587691</v>
      </c>
      <c r="FI25" s="562">
        <f t="shared" si="94"/>
        <v>-50</v>
      </c>
      <c r="FJ25">
        <f t="shared" si="95"/>
        <v>-50</v>
      </c>
      <c r="FL25">
        <f t="shared" si="96"/>
        <v>0.31390081927286512</v>
      </c>
    </row>
    <row r="26" spans="5:168">
      <c r="E26" s="170">
        <v>21</v>
      </c>
      <c r="F26" s="217">
        <f t="shared" si="97"/>
        <v>0.126</v>
      </c>
      <c r="G26" s="217"/>
      <c r="H26" s="217">
        <f t="shared" si="0"/>
        <v>21.42</v>
      </c>
      <c r="I26" s="541">
        <f t="shared" si="1"/>
        <v>11.952386997962977</v>
      </c>
      <c r="J26" s="172">
        <f t="shared" si="2"/>
        <v>8.525586728216469</v>
      </c>
      <c r="K26" s="172">
        <f t="shared" si="3"/>
        <v>21.025586728216467</v>
      </c>
      <c r="L26" s="443"/>
      <c r="M26" s="217">
        <f t="shared" si="4"/>
        <v>0.41632963033637516</v>
      </c>
      <c r="N26" s="172">
        <f t="shared" si="5"/>
        <v>167.73714517266131</v>
      </c>
      <c r="O26" s="172">
        <f t="shared" si="98"/>
        <v>21.42</v>
      </c>
      <c r="P26" s="217">
        <f t="shared" si="6"/>
        <v>0.98668908925094889</v>
      </c>
      <c r="Q26" s="217">
        <f t="shared" si="7"/>
        <v>170</v>
      </c>
      <c r="R26" s="217">
        <f t="shared" si="8"/>
        <v>0.97571232558808296</v>
      </c>
      <c r="S26" s="172">
        <f t="shared" si="9"/>
        <v>2923.0002861825833</v>
      </c>
      <c r="T26" s="172">
        <f t="shared" si="10"/>
        <v>170</v>
      </c>
      <c r="U26" s="217">
        <f t="shared" si="99"/>
        <v>8.6350108930569878</v>
      </c>
      <c r="V26" s="217">
        <f t="shared" si="11"/>
        <v>0.36122537257740384</v>
      </c>
      <c r="W26" s="217">
        <f t="shared" si="12"/>
        <v>0.50641739790637319</v>
      </c>
      <c r="X26" s="197">
        <f t="shared" si="13"/>
        <v>350</v>
      </c>
      <c r="Y26" s="443">
        <f t="shared" si="14"/>
        <v>350</v>
      </c>
      <c r="AA26" s="217">
        <f t="shared" si="15"/>
        <v>28.435043238696402</v>
      </c>
      <c r="AB26" s="173">
        <f t="shared" si="16"/>
        <v>1.667629697824031</v>
      </c>
      <c r="AC26" s="173">
        <f t="shared" si="17"/>
        <v>0.41491732243290469</v>
      </c>
      <c r="AD26" s="173"/>
      <c r="AE26" s="173">
        <f t="shared" si="18"/>
        <v>0.78195986730186207</v>
      </c>
      <c r="AF26" s="545">
        <f t="shared" si="100"/>
        <v>483.40076748987383</v>
      </c>
      <c r="AG26" s="528">
        <f t="shared" si="19"/>
        <v>9.1228651185217238E-2</v>
      </c>
      <c r="AI26" s="173">
        <f t="shared" si="20"/>
        <v>15.669617026993173</v>
      </c>
      <c r="AJ26" s="173">
        <f t="shared" si="21"/>
        <v>15.669617026993173</v>
      </c>
      <c r="AK26" s="173">
        <f t="shared" si="22"/>
        <v>2.9305805138221026</v>
      </c>
      <c r="AM26" s="545">
        <f t="shared" si="23"/>
        <v>126</v>
      </c>
      <c r="AN26" s="460">
        <f t="shared" si="24"/>
        <v>350</v>
      </c>
      <c r="AP26">
        <f t="shared" si="25"/>
        <v>126</v>
      </c>
      <c r="AQ26" s="460">
        <f t="shared" si="26"/>
        <v>350</v>
      </c>
      <c r="AR26" s="460"/>
      <c r="AS26" s="5">
        <f t="shared" si="101"/>
        <v>2.8571428571428572</v>
      </c>
      <c r="AT26" s="5">
        <f t="shared" si="27"/>
        <v>0.65550157594728631</v>
      </c>
      <c r="AU26" s="5">
        <f t="shared" si="102"/>
        <v>2.2016412811955708</v>
      </c>
      <c r="AV26" s="5">
        <f t="shared" si="28"/>
        <v>0.91897587383239343</v>
      </c>
      <c r="AW26" s="173">
        <f t="shared" si="103"/>
        <v>0.2294255515815502</v>
      </c>
      <c r="AX26" s="173">
        <f t="shared" si="29"/>
        <v>21.4844785551055</v>
      </c>
      <c r="AY26" s="173">
        <f t="shared" si="30"/>
        <v>0.30186516243759037</v>
      </c>
      <c r="AZ26" s="173">
        <f t="shared" si="104"/>
        <v>71.172434677841778</v>
      </c>
      <c r="BA26" s="460">
        <f t="shared" si="31"/>
        <v>4.8584234452563581E-2</v>
      </c>
      <c r="BB26" s="5">
        <f t="shared" si="32"/>
        <v>6.3129356505938272</v>
      </c>
      <c r="BC26" s="5"/>
      <c r="BD26" s="173">
        <f t="shared" si="105"/>
        <v>4.3332989051879531</v>
      </c>
      <c r="BE26" s="173">
        <f t="shared" si="33"/>
        <v>0.39707730100439831</v>
      </c>
      <c r="BF26" s="173"/>
      <c r="BG26" s="528">
        <f t="shared" si="34"/>
        <v>0.7510991760681246</v>
      </c>
      <c r="BH26" s="528">
        <f t="shared" si="35"/>
        <v>2.5945202729169865</v>
      </c>
      <c r="BI26" s="528">
        <f t="shared" si="36"/>
        <v>0.16733341797148168</v>
      </c>
      <c r="BJ26" s="528">
        <f t="shared" si="37"/>
        <v>3.0945270808602671E-2</v>
      </c>
      <c r="BK26">
        <f t="shared" si="38"/>
        <v>5.3785741490833391E-3</v>
      </c>
      <c r="BL26" s="460">
        <f t="shared" si="106"/>
        <v>172.71199212056501</v>
      </c>
      <c r="BM26" s="528">
        <f t="shared" si="39"/>
        <v>4.3568987143423259</v>
      </c>
      <c r="BN26" s="460">
        <f t="shared" si="107"/>
        <v>4356.8987143423255</v>
      </c>
      <c r="BO26" s="528">
        <f t="shared" si="108"/>
        <v>0.10936800000000001</v>
      </c>
      <c r="BP26" s="528"/>
      <c r="BR26" s="460">
        <f t="shared" si="109"/>
        <v>109.36800000000001</v>
      </c>
      <c r="BS26" s="528">
        <f t="shared" si="40"/>
        <v>0.56332438205109348</v>
      </c>
      <c r="BT26" s="528">
        <f t="shared" si="41"/>
        <v>4.7301114891881262E-3</v>
      </c>
      <c r="BU26" s="528">
        <f t="shared" si="42"/>
        <v>0.32130000000000003</v>
      </c>
      <c r="BV26" s="528">
        <f t="shared" si="43"/>
        <v>1.0745183711183797</v>
      </c>
      <c r="BW26" s="528">
        <f t="shared" si="44"/>
        <v>2.1484478555105508</v>
      </c>
      <c r="BX26" s="460">
        <f t="shared" si="110"/>
        <v>3222.9662266289301</v>
      </c>
      <c r="BY26" s="173">
        <f t="shared" si="45"/>
        <v>7.8619449330918219</v>
      </c>
      <c r="BZ26" s="5">
        <f t="shared" si="111"/>
        <v>21.42</v>
      </c>
      <c r="CA26" s="173">
        <f t="shared" si="112"/>
        <v>0.73150878635090399</v>
      </c>
      <c r="CB26" s="5">
        <f t="shared" si="113"/>
        <v>73.150878635090393</v>
      </c>
      <c r="CE26" s="562">
        <f t="shared" si="46"/>
        <v>-50</v>
      </c>
      <c r="CF26">
        <f t="shared" si="47"/>
        <v>-50</v>
      </c>
      <c r="CG26" s="173">
        <f t="shared" si="48"/>
        <v>0.32212529531589557</v>
      </c>
      <c r="CI26" s="170">
        <v>21</v>
      </c>
      <c r="CJ26" s="217">
        <f t="shared" si="114"/>
        <v>0.126</v>
      </c>
      <c r="CK26" s="217"/>
      <c r="CL26" s="217">
        <f t="shared" si="49"/>
        <v>21.42</v>
      </c>
      <c r="CM26" s="541">
        <f t="shared" si="50"/>
        <v>12.5</v>
      </c>
      <c r="CN26" s="172">
        <f t="shared" si="51"/>
        <v>8.5250000000000004</v>
      </c>
      <c r="CO26" s="443">
        <f t="shared" si="52"/>
        <v>21.024999999999999</v>
      </c>
      <c r="CP26" s="443"/>
      <c r="CQ26" s="217">
        <f t="shared" si="53"/>
        <v>0.40546967895362668</v>
      </c>
      <c r="CR26" s="172">
        <f t="shared" si="54"/>
        <v>170.84633868410626</v>
      </c>
      <c r="CS26" s="172">
        <f t="shared" si="115"/>
        <v>21.42</v>
      </c>
      <c r="CT26" s="217">
        <f t="shared" si="55"/>
        <v>1.0049784628476839</v>
      </c>
      <c r="CU26" s="217">
        <f t="shared" si="56"/>
        <v>170</v>
      </c>
      <c r="CV26" s="217">
        <f t="shared" si="57"/>
        <v>0.99379823272947732</v>
      </c>
      <c r="CW26" s="172">
        <f t="shared" si="58"/>
        <v>3056.9191910332725</v>
      </c>
      <c r="CX26" s="172">
        <f t="shared" si="59"/>
        <v>170</v>
      </c>
      <c r="CY26" s="217">
        <f t="shared" si="60"/>
        <v>8.4524199413489729</v>
      </c>
      <c r="CZ26" s="217">
        <f t="shared" si="61"/>
        <v>0.33809679765395889</v>
      </c>
      <c r="DA26" s="217">
        <f t="shared" si="62"/>
        <v>0.4957431050644559</v>
      </c>
      <c r="DB26" s="197">
        <f t="shared" si="63"/>
        <v>350</v>
      </c>
      <c r="DC26" s="443">
        <f t="shared" si="116"/>
        <v>350</v>
      </c>
      <c r="DE26" s="217">
        <f t="shared" si="64"/>
        <v>28.962119925259049</v>
      </c>
      <c r="DF26" s="173">
        <f t="shared" si="65"/>
        <v>1.6986580601324954</v>
      </c>
      <c r="DG26" s="173">
        <f t="shared" si="66"/>
        <v>0.4304714614336958</v>
      </c>
      <c r="DH26" s="173"/>
      <c r="DI26" s="173">
        <f t="shared" si="67"/>
        <v>0.78201368523949166</v>
      </c>
      <c r="DJ26" s="545">
        <f t="shared" si="117"/>
        <v>483.36750000000001</v>
      </c>
      <c r="DK26" s="528">
        <f t="shared" si="68"/>
        <v>9.1234929944607357E-2</v>
      </c>
      <c r="DM26" s="173">
        <f t="shared" si="69"/>
        <v>15.669077828640715</v>
      </c>
      <c r="DN26" s="173">
        <f t="shared" si="70"/>
        <v>15.669077828640715</v>
      </c>
      <c r="DO26" s="173">
        <f t="shared" si="71"/>
        <v>2.930181107635097</v>
      </c>
      <c r="DQ26" s="545">
        <f t="shared" si="72"/>
        <v>126</v>
      </c>
      <c r="DR26" s="460">
        <f t="shared" si="73"/>
        <v>350</v>
      </c>
      <c r="DT26">
        <f t="shared" si="74"/>
        <v>126</v>
      </c>
      <c r="DU26" s="460">
        <f t="shared" si="75"/>
        <v>350</v>
      </c>
      <c r="DV26" s="460"/>
      <c r="DW26" s="5">
        <f t="shared" si="118"/>
        <v>2.8571428571428572</v>
      </c>
      <c r="DX26" s="5">
        <f t="shared" si="76"/>
        <v>0.6267631131456286</v>
      </c>
      <c r="DY26" s="5">
        <f t="shared" si="119"/>
        <v>2.2303797439972284</v>
      </c>
      <c r="DZ26" s="5">
        <f t="shared" si="77"/>
        <v>0.91900749728098019</v>
      </c>
      <c r="EA26" s="173">
        <f t="shared" si="120"/>
        <v>0.21936708960097001</v>
      </c>
      <c r="EB26" s="173">
        <f t="shared" si="78"/>
        <v>21.482999999999997</v>
      </c>
      <c r="EC26" s="173">
        <f t="shared" si="79"/>
        <v>0.30579494571601784</v>
      </c>
      <c r="ED26" s="173">
        <f t="shared" si="121"/>
        <v>70.252959707027287</v>
      </c>
      <c r="EE26" s="460">
        <f t="shared" si="80"/>
        <v>4.6454207209617182E-2</v>
      </c>
      <c r="EF26" s="5">
        <f t="shared" si="81"/>
        <v>6.1151659669018414</v>
      </c>
      <c r="EG26" s="5"/>
      <c r="EH26" s="173">
        <f t="shared" si="122"/>
        <v>4.2370983718747182</v>
      </c>
      <c r="EI26" s="173">
        <f t="shared" si="82"/>
        <v>0.3996467108179943</v>
      </c>
      <c r="EJ26" s="173"/>
      <c r="EK26" s="528">
        <f t="shared" si="83"/>
        <v>0.71812010451773545</v>
      </c>
      <c r="EL26" s="528">
        <f t="shared" si="84"/>
        <v>3.170882727966521</v>
      </c>
      <c r="EM26" s="528">
        <f t="shared" si="85"/>
        <v>6.9999999999999993E-2</v>
      </c>
      <c r="EN26" s="528">
        <f t="shared" si="86"/>
        <v>3.094354375E-2</v>
      </c>
      <c r="EO26">
        <f t="shared" si="87"/>
        <v>5.6249999999999998E-3</v>
      </c>
      <c r="EP26" s="460">
        <f t="shared" si="123"/>
        <v>75.625</v>
      </c>
      <c r="EQ26" s="528">
        <f t="shared" si="88"/>
        <v>5.0513525316272645</v>
      </c>
      <c r="ER26" s="460">
        <f t="shared" si="124"/>
        <v>5051.3525316272644</v>
      </c>
      <c r="ES26" s="528">
        <f t="shared" si="125"/>
        <v>0.10936800000000001</v>
      </c>
      <c r="ET26" s="528"/>
      <c r="EV26" s="460">
        <f t="shared" si="126"/>
        <v>109.36800000000001</v>
      </c>
      <c r="EW26" s="528">
        <f t="shared" si="89"/>
        <v>0.53859007838830153</v>
      </c>
      <c r="EX26" s="528">
        <f t="shared" si="90"/>
        <v>4.7915248040292461E-3</v>
      </c>
      <c r="EY26" s="528">
        <f t="shared" si="91"/>
        <v>111.36499694595797</v>
      </c>
      <c r="EZ26" s="528">
        <f t="shared" si="92"/>
        <v>117.13051551832373</v>
      </c>
      <c r="FA26" s="528">
        <f t="shared" si="93"/>
        <v>2.1483000000000008</v>
      </c>
      <c r="FB26" s="460">
        <f t="shared" si="127"/>
        <v>119278.81551832374</v>
      </c>
      <c r="FC26" s="173">
        <f t="shared" si="128"/>
        <v>124.439536049951</v>
      </c>
      <c r="FD26" s="5">
        <f t="shared" si="129"/>
        <v>21.42</v>
      </c>
      <c r="FE26" s="173">
        <f t="shared" si="130"/>
        <v>0.14685361396367336</v>
      </c>
      <c r="FF26" s="5">
        <f t="shared" si="131"/>
        <v>14.685361396367336</v>
      </c>
      <c r="FI26" s="562">
        <f t="shared" si="94"/>
        <v>-50</v>
      </c>
      <c r="FJ26">
        <f t="shared" si="95"/>
        <v>-50</v>
      </c>
      <c r="FL26">
        <f t="shared" si="96"/>
        <v>0.32165262404834311</v>
      </c>
    </row>
    <row r="27" spans="5:168">
      <c r="E27" s="170">
        <v>22</v>
      </c>
      <c r="F27" s="217">
        <f t="shared" si="97"/>
        <v>0.13200000000000001</v>
      </c>
      <c r="G27" s="217"/>
      <c r="H27" s="217">
        <f t="shared" si="0"/>
        <v>22.44</v>
      </c>
      <c r="I27" s="541">
        <f t="shared" si="1"/>
        <v>11.939500223015209</v>
      </c>
      <c r="J27" s="172">
        <f t="shared" si="2"/>
        <v>8.5256005354753412</v>
      </c>
      <c r="K27" s="172">
        <f t="shared" si="3"/>
        <v>21.025600535475341</v>
      </c>
      <c r="L27" s="443"/>
      <c r="M27" s="217">
        <f t="shared" si="4"/>
        <v>0.41659218544482213</v>
      </c>
      <c r="N27" s="172">
        <f t="shared" si="5"/>
        <v>167.66196313496258</v>
      </c>
      <c r="O27" s="172">
        <f t="shared" si="98"/>
        <v>22.44</v>
      </c>
      <c r="P27" s="217">
        <f t="shared" si="6"/>
        <v>0.98624684197036805</v>
      </c>
      <c r="Q27" s="217">
        <f t="shared" si="7"/>
        <v>170</v>
      </c>
      <c r="R27" s="217">
        <f t="shared" si="8"/>
        <v>0.97527499824016617</v>
      </c>
      <c r="S27" s="172">
        <f t="shared" si="9"/>
        <v>2776.2783020537699</v>
      </c>
      <c r="T27" s="172">
        <f t="shared" si="10"/>
        <v>170</v>
      </c>
      <c r="U27" s="217">
        <f t="shared" si="99"/>
        <v>9.0502730136135749</v>
      </c>
      <c r="V27" s="217">
        <f t="shared" si="11"/>
        <v>0.37900552136042481</v>
      </c>
      <c r="W27" s="217">
        <f t="shared" si="12"/>
        <v>0.53077041177070472</v>
      </c>
      <c r="X27" s="197">
        <f t="shared" si="13"/>
        <v>350</v>
      </c>
      <c r="Y27" s="443">
        <f t="shared" si="14"/>
        <v>350</v>
      </c>
      <c r="AA27" s="217">
        <f t="shared" si="15"/>
        <v>28.422298232318468</v>
      </c>
      <c r="AB27" s="173">
        <f t="shared" si="16"/>
        <v>1.666879542036495</v>
      </c>
      <c r="AC27" s="173">
        <f t="shared" si="17"/>
        <v>0.41454479028472729</v>
      </c>
      <c r="AD27" s="173"/>
      <c r="AE27" s="173">
        <f t="shared" si="18"/>
        <v>0.78195860091338065</v>
      </c>
      <c r="AF27" s="545">
        <f t="shared" si="100"/>
        <v>506.42067180723529</v>
      </c>
      <c r="AG27" s="528">
        <f t="shared" si="19"/>
        <v>9.1228503439894415E-2</v>
      </c>
      <c r="AI27" s="173">
        <f t="shared" si="20"/>
        <v>16.038377336396206</v>
      </c>
      <c r="AJ27" s="173">
        <f t="shared" si="21"/>
        <v>16.038377336396206</v>
      </c>
      <c r="AK27" s="173">
        <f t="shared" si="22"/>
        <v>3.2037362985650901</v>
      </c>
      <c r="AM27" s="545">
        <f t="shared" si="23"/>
        <v>132</v>
      </c>
      <c r="AN27" s="460">
        <f t="shared" si="24"/>
        <v>350</v>
      </c>
      <c r="AP27">
        <f t="shared" si="25"/>
        <v>132</v>
      </c>
      <c r="AQ27" s="460">
        <f t="shared" si="26"/>
        <v>350</v>
      </c>
      <c r="AR27" s="460"/>
      <c r="AS27" s="5">
        <f t="shared" si="101"/>
        <v>2.8571428571428572</v>
      </c>
      <c r="AT27" s="5">
        <f t="shared" si="27"/>
        <v>0.67165195514129572</v>
      </c>
      <c r="AU27" s="5">
        <f t="shared" si="102"/>
        <v>2.1854909020015616</v>
      </c>
      <c r="AV27" s="5">
        <f t="shared" si="28"/>
        <v>0.9406010327166936</v>
      </c>
      <c r="AW27" s="173">
        <f t="shared" si="103"/>
        <v>0.23507818429945349</v>
      </c>
      <c r="AX27" s="173">
        <f t="shared" si="29"/>
        <v>22.507585413654898</v>
      </c>
      <c r="AY27" s="173">
        <f t="shared" si="30"/>
        <v>0.30670261782616703</v>
      </c>
      <c r="AZ27" s="173">
        <f t="shared" si="104"/>
        <v>73.385697106803804</v>
      </c>
      <c r="BA27" s="460">
        <f t="shared" si="31"/>
        <v>5.2151798869794735E-2</v>
      </c>
      <c r="BB27" s="5">
        <f t="shared" si="32"/>
        <v>6.5721231106646556</v>
      </c>
      <c r="BC27" s="5"/>
      <c r="BD27" s="173">
        <f t="shared" si="105"/>
        <v>4.4895825713297697</v>
      </c>
      <c r="BE27" s="173">
        <f t="shared" si="33"/>
        <v>0.40492848400495707</v>
      </c>
      <c r="BF27" s="173"/>
      <c r="BG27" s="528">
        <f t="shared" si="34"/>
        <v>0.8062540665915211</v>
      </c>
      <c r="BH27" s="528">
        <f t="shared" si="35"/>
        <v>2.6555800565092653</v>
      </c>
      <c r="BI27" s="528">
        <f t="shared" si="36"/>
        <v>0.16715300312221293</v>
      </c>
      <c r="BJ27" s="528">
        <f t="shared" si="37"/>
        <v>3.0945311451416668E-2</v>
      </c>
      <c r="BK27">
        <f t="shared" si="38"/>
        <v>5.3727751003568441E-3</v>
      </c>
      <c r="BL27" s="460">
        <f t="shared" si="106"/>
        <v>172.52577822256976</v>
      </c>
      <c r="BM27" s="528">
        <f t="shared" si="39"/>
        <v>4.5896979561742377</v>
      </c>
      <c r="BN27" s="460">
        <f t="shared" si="107"/>
        <v>4589.6979561742373</v>
      </c>
      <c r="BO27" s="528">
        <f t="shared" si="108"/>
        <v>0.114576</v>
      </c>
      <c r="BP27" s="528"/>
      <c r="BR27" s="460">
        <f t="shared" si="109"/>
        <v>114.57599999999999</v>
      </c>
      <c r="BS27" s="528">
        <f t="shared" si="40"/>
        <v>0.6046905499436408</v>
      </c>
      <c r="BT27" s="528">
        <f t="shared" si="41"/>
        <v>4.9190123147565832E-3</v>
      </c>
      <c r="BU27" s="528">
        <f t="shared" si="42"/>
        <v>0.33660000000000001</v>
      </c>
      <c r="BV27" s="528">
        <f t="shared" si="43"/>
        <v>1.1485281569609243</v>
      </c>
      <c r="BW27" s="528">
        <f t="shared" si="44"/>
        <v>2.25075854136549</v>
      </c>
      <c r="BX27" s="460">
        <f t="shared" si="110"/>
        <v>3399.2866983264144</v>
      </c>
      <c r="BY27" s="173">
        <f>SUM(BM27,BO27:BQ27,BV27, BW27)+BK27+BI27</f>
        <v>8.2760864327232202</v>
      </c>
      <c r="BZ27" s="5">
        <f t="shared" si="111"/>
        <v>22.44</v>
      </c>
      <c r="CA27" s="173">
        <f t="shared" si="112"/>
        <v>0.73056181975362799</v>
      </c>
      <c r="CB27" s="5">
        <f t="shared" si="113"/>
        <v>73.056181975362804</v>
      </c>
      <c r="CE27" s="562">
        <f t="shared" si="46"/>
        <v>-50</v>
      </c>
      <c r="CF27">
        <f t="shared" si="47"/>
        <v>-50</v>
      </c>
      <c r="CG27" s="173">
        <f t="shared" si="48"/>
        <v>0.32970575116752388</v>
      </c>
      <c r="CI27" s="170">
        <v>22</v>
      </c>
      <c r="CJ27" s="217">
        <f t="shared" si="114"/>
        <v>0.13200000000000001</v>
      </c>
      <c r="CK27" s="217"/>
      <c r="CL27" s="217">
        <f t="shared" si="49"/>
        <v>22.44</v>
      </c>
      <c r="CM27" s="541">
        <f t="shared" si="50"/>
        <v>12.5</v>
      </c>
      <c r="CN27" s="172">
        <f t="shared" si="51"/>
        <v>8.5250000000000004</v>
      </c>
      <c r="CO27" s="443">
        <f t="shared" si="52"/>
        <v>21.024999999999999</v>
      </c>
      <c r="CP27" s="443"/>
      <c r="CQ27" s="217">
        <f t="shared" si="53"/>
        <v>0.40546967895362668</v>
      </c>
      <c r="CR27" s="172">
        <f t="shared" si="54"/>
        <v>170.84633868410626</v>
      </c>
      <c r="CS27" s="172">
        <f t="shared" si="115"/>
        <v>22.44</v>
      </c>
      <c r="CT27" s="217">
        <f t="shared" si="55"/>
        <v>1.0049784628476839</v>
      </c>
      <c r="CU27" s="217">
        <f t="shared" si="56"/>
        <v>170</v>
      </c>
      <c r="CV27" s="217">
        <f t="shared" si="57"/>
        <v>0.99379823272947732</v>
      </c>
      <c r="CW27" s="172">
        <f t="shared" si="58"/>
        <v>2906.6086546145266</v>
      </c>
      <c r="CX27" s="172">
        <f t="shared" si="59"/>
        <v>170</v>
      </c>
      <c r="CY27" s="217">
        <f t="shared" si="60"/>
        <v>8.854916129032258</v>
      </c>
      <c r="CZ27" s="217">
        <f t="shared" si="61"/>
        <v>0.35419664516129024</v>
      </c>
      <c r="DA27" s="217">
        <f t="shared" si="62"/>
        <v>0.51934991959133459</v>
      </c>
      <c r="DB27" s="197">
        <f t="shared" si="63"/>
        <v>350</v>
      </c>
      <c r="DC27" s="443">
        <f t="shared" si="116"/>
        <v>350</v>
      </c>
      <c r="DE27" s="217">
        <f t="shared" si="64"/>
        <v>28.962119925259049</v>
      </c>
      <c r="DF27" s="173">
        <f t="shared" si="65"/>
        <v>1.6986580601324954</v>
      </c>
      <c r="DG27" s="173">
        <f t="shared" si="66"/>
        <v>0.4304714614336958</v>
      </c>
      <c r="DH27" s="173"/>
      <c r="DI27" s="173">
        <f t="shared" si="67"/>
        <v>0.78201368523949166</v>
      </c>
      <c r="DJ27" s="545">
        <f t="shared" si="117"/>
        <v>506.38499999999999</v>
      </c>
      <c r="DK27" s="528">
        <f t="shared" si="68"/>
        <v>9.1234929944607357E-2</v>
      </c>
      <c r="DM27" s="173">
        <f t="shared" si="69"/>
        <v>16.037812462160435</v>
      </c>
      <c r="DN27" s="173">
        <f t="shared" si="70"/>
        <v>16.037812462160435</v>
      </c>
      <c r="DO27" s="173">
        <f t="shared" si="71"/>
        <v>3.2033178732052594</v>
      </c>
      <c r="DQ27" s="545">
        <f t="shared" si="72"/>
        <v>132</v>
      </c>
      <c r="DR27" s="460">
        <f t="shared" si="73"/>
        <v>350</v>
      </c>
      <c r="DT27">
        <f t="shared" si="74"/>
        <v>132</v>
      </c>
      <c r="DU27" s="460">
        <f t="shared" si="75"/>
        <v>350</v>
      </c>
      <c r="DV27" s="460"/>
      <c r="DW27" s="5">
        <f t="shared" si="118"/>
        <v>2.8571428571428572</v>
      </c>
      <c r="DX27" s="5">
        <f t="shared" si="76"/>
        <v>0.64151249848641734</v>
      </c>
      <c r="DY27" s="5">
        <f t="shared" si="119"/>
        <v>2.2156303586564396</v>
      </c>
      <c r="DZ27" s="5">
        <f t="shared" si="77"/>
        <v>0.94063416200354455</v>
      </c>
      <c r="EA27" s="173">
        <f t="shared" si="120"/>
        <v>0.22452937447024607</v>
      </c>
      <c r="EB27" s="173">
        <f t="shared" si="78"/>
        <v>22.505999999999997</v>
      </c>
      <c r="EC27" s="173">
        <f t="shared" si="79"/>
        <v>0.31092131155401093</v>
      </c>
      <c r="ED27" s="173">
        <f t="shared" si="121"/>
        <v>72.38487412623185</v>
      </c>
      <c r="EE27" s="460">
        <f t="shared" si="80"/>
        <v>4.9811558706004171E-2</v>
      </c>
      <c r="EF27" s="5">
        <f t="shared" si="81"/>
        <v>6.3639993917760647</v>
      </c>
      <c r="EG27" s="5"/>
      <c r="EH27" s="173">
        <f t="shared" si="122"/>
        <v>4.3875399775478297</v>
      </c>
      <c r="EI27" s="173">
        <f t="shared" si="82"/>
        <v>0.40769668812293058</v>
      </c>
      <c r="EJ27" s="173"/>
      <c r="EK27" s="528">
        <f t="shared" si="83"/>
        <v>0.77002028218321639</v>
      </c>
      <c r="EL27" s="528">
        <f t="shared" si="84"/>
        <v>3.2455019425378855</v>
      </c>
      <c r="EM27" s="528">
        <f t="shared" si="85"/>
        <v>6.9999999999999993E-2</v>
      </c>
      <c r="EN27" s="528">
        <f t="shared" si="86"/>
        <v>3.094354375E-2</v>
      </c>
      <c r="EO27">
        <f t="shared" si="87"/>
        <v>5.6249999999999998E-3</v>
      </c>
      <c r="EP27" s="460">
        <f t="shared" si="123"/>
        <v>75.625</v>
      </c>
      <c r="EQ27" s="528">
        <f t="shared" si="88"/>
        <v>5.2995929047576649</v>
      </c>
      <c r="ER27" s="460">
        <f t="shared" si="124"/>
        <v>5299.5929047576647</v>
      </c>
      <c r="ES27" s="528">
        <f t="shared" si="125"/>
        <v>0.114576</v>
      </c>
      <c r="ET27" s="528"/>
      <c r="EV27" s="460">
        <f t="shared" si="126"/>
        <v>114.57599999999999</v>
      </c>
      <c r="EW27" s="528">
        <f t="shared" si="89"/>
        <v>0.57751521163741226</v>
      </c>
      <c r="EX27" s="528">
        <f t="shared" si="90"/>
        <v>4.9864976851921837E-3</v>
      </c>
      <c r="EY27" s="528">
        <f t="shared" si="91"/>
        <v>118.03286316897709</v>
      </c>
      <c r="EZ27" s="528">
        <f t="shared" si="92"/>
        <v>124.55966259864576</v>
      </c>
      <c r="FA27" s="528">
        <f t="shared" si="93"/>
        <v>2.2505999999999999</v>
      </c>
      <c r="FB27" s="460">
        <f t="shared" si="127"/>
        <v>126810.26259864576</v>
      </c>
      <c r="FC27" s="173">
        <f t="shared" si="128"/>
        <v>132.22443150340342</v>
      </c>
      <c r="FD27" s="5">
        <f t="shared" si="129"/>
        <v>22.44</v>
      </c>
      <c r="FE27" s="173">
        <f t="shared" si="130"/>
        <v>0.14508830363822986</v>
      </c>
      <c r="FF27" s="5">
        <f t="shared" si="131"/>
        <v>14.508830363822986</v>
      </c>
      <c r="FI27" s="562">
        <f t="shared" si="94"/>
        <v>-50</v>
      </c>
      <c r="FJ27">
        <f t="shared" si="95"/>
        <v>-50</v>
      </c>
      <c r="FL27">
        <f t="shared" si="96"/>
        <v>0.3292219567012406</v>
      </c>
    </row>
    <row r="28" spans="5:168">
      <c r="E28" s="170">
        <v>23</v>
      </c>
      <c r="F28" s="217">
        <f t="shared" si="97"/>
        <v>0.13800000000000001</v>
      </c>
      <c r="G28" s="217"/>
      <c r="H28" s="217">
        <f t="shared" si="0"/>
        <v>23.46</v>
      </c>
      <c r="I28" s="541">
        <f t="shared" si="1"/>
        <v>11.926903149546257</v>
      </c>
      <c r="J28" s="172">
        <f t="shared" si="2"/>
        <v>8.5256140323397727</v>
      </c>
      <c r="K28" s="172">
        <f t="shared" si="3"/>
        <v>21.025614032339774</v>
      </c>
      <c r="L28" s="443"/>
      <c r="M28" s="217">
        <f t="shared" si="4"/>
        <v>0.41684915762264146</v>
      </c>
      <c r="N28" s="172">
        <f t="shared" si="5"/>
        <v>167.58837918860692</v>
      </c>
      <c r="O28" s="172">
        <f t="shared" si="98"/>
        <v>23.46</v>
      </c>
      <c r="P28" s="217">
        <f t="shared" si="6"/>
        <v>0.98581399522709956</v>
      </c>
      <c r="Q28" s="217">
        <f t="shared" si="7"/>
        <v>170</v>
      </c>
      <c r="R28" s="217">
        <f t="shared" si="8"/>
        <v>0.97484696685003669</v>
      </c>
      <c r="S28" s="172">
        <f t="shared" si="9"/>
        <v>2642.4015456403331</v>
      </c>
      <c r="T28" s="172">
        <f t="shared" si="10"/>
        <v>170</v>
      </c>
      <c r="U28" s="217">
        <f t="shared" si="99"/>
        <v>9.4658184450121947</v>
      </c>
      <c r="V28" s="217">
        <f t="shared" si="11"/>
        <v>0.39682633145940771</v>
      </c>
      <c r="W28" s="217">
        <f t="shared" si="12"/>
        <v>0.55513998224092675</v>
      </c>
      <c r="X28" s="197">
        <f t="shared" si="13"/>
        <v>350</v>
      </c>
      <c r="Y28" s="443">
        <f t="shared" si="14"/>
        <v>350</v>
      </c>
      <c r="AA28" s="217">
        <f t="shared" si="15"/>
        <v>28.409824137633446</v>
      </c>
      <c r="AB28" s="173">
        <f t="shared" si="16"/>
        <v>1.6661453374424364</v>
      </c>
      <c r="AC28" s="173">
        <f t="shared" si="17"/>
        <v>0.4141803402141786</v>
      </c>
      <c r="AD28" s="173"/>
      <c r="AE28" s="173">
        <f t="shared" si="18"/>
        <v>0.78195736299794283</v>
      </c>
      <c r="AF28" s="545">
        <f t="shared" si="100"/>
        <v>529.44063140829996</v>
      </c>
      <c r="AG28" s="528">
        <f t="shared" si="19"/>
        <v>9.1228359016426661E-2</v>
      </c>
      <c r="AI28" s="173">
        <f t="shared" si="20"/>
        <v>16.398848297280871</v>
      </c>
      <c r="AJ28" s="173">
        <f t="shared" si="21"/>
        <v>16.398848297280871</v>
      </c>
      <c r="AK28" s="173">
        <f t="shared" si="22"/>
        <v>3.4707518251463236</v>
      </c>
      <c r="AM28" s="545">
        <f t="shared" si="23"/>
        <v>138</v>
      </c>
      <c r="AN28" s="460">
        <f t="shared" si="24"/>
        <v>350</v>
      </c>
      <c r="AP28">
        <f t="shared" si="25"/>
        <v>138</v>
      </c>
      <c r="AQ28" s="460">
        <f t="shared" si="26"/>
        <v>350</v>
      </c>
      <c r="AR28" s="460"/>
      <c r="AS28" s="5">
        <f t="shared" si="101"/>
        <v>2.8571428571428572</v>
      </c>
      <c r="AT28" s="5">
        <f t="shared" si="27"/>
        <v>0.6874730217753442</v>
      </c>
      <c r="AU28" s="5">
        <f t="shared" si="102"/>
        <v>2.1696698353675128</v>
      </c>
      <c r="AV28" s="5">
        <f t="shared" si="28"/>
        <v>0.96174001280587917</v>
      </c>
      <c r="AW28" s="173">
        <f t="shared" si="103"/>
        <v>0.24061555762137046</v>
      </c>
      <c r="AX28" s="173">
        <f t="shared" si="29"/>
        <v>23.530694729257778</v>
      </c>
      <c r="AY28" s="173">
        <f t="shared" si="30"/>
        <v>0.31132575674705937</v>
      </c>
      <c r="AZ28" s="173">
        <f t="shared" si="104"/>
        <v>75.582229286527024</v>
      </c>
      <c r="BA28" s="460">
        <f t="shared" si="31"/>
        <v>5.580663353235147E-2</v>
      </c>
      <c r="BB28" s="5">
        <f t="shared" si="32"/>
        <v>6.8283213101678673</v>
      </c>
      <c r="BC28" s="5"/>
      <c r="BD28" s="173">
        <f t="shared" si="105"/>
        <v>4.6442391282097732</v>
      </c>
      <c r="BE28" s="173">
        <f t="shared" si="33"/>
        <v>0.41252813463371574</v>
      </c>
      <c r="BF28" s="173"/>
      <c r="BG28" s="528">
        <f t="shared" si="34"/>
        <v>0.86275828319978698</v>
      </c>
      <c r="BH28" s="528">
        <f t="shared" si="35"/>
        <v>2.7152673571289689</v>
      </c>
      <c r="BI28" s="528">
        <f t="shared" si="36"/>
        <v>0.16697664409364757</v>
      </c>
      <c r="BJ28" s="528">
        <f t="shared" si="37"/>
        <v>3.094535118058463E-2</v>
      </c>
      <c r="BK28">
        <f t="shared" si="38"/>
        <v>5.3671064172958159E-3</v>
      </c>
      <c r="BL28" s="460">
        <f t="shared" si="106"/>
        <v>172.34375051094338</v>
      </c>
      <c r="BM28" s="528">
        <f t="shared" si="39"/>
        <v>4.8325459293879067</v>
      </c>
      <c r="BN28" s="460">
        <f t="shared" si="107"/>
        <v>4832.5459293879067</v>
      </c>
      <c r="BO28" s="528">
        <f t="shared" si="108"/>
        <v>0.119784</v>
      </c>
      <c r="BP28" s="528"/>
      <c r="BR28" s="460">
        <f t="shared" si="109"/>
        <v>119.78400000000001</v>
      </c>
      <c r="BS28" s="528">
        <f t="shared" si="40"/>
        <v>0.64706871239984021</v>
      </c>
      <c r="BT28" s="528">
        <f t="shared" si="41"/>
        <v>5.1053838559311929E-3</v>
      </c>
      <c r="BU28" s="528">
        <f t="shared" si="42"/>
        <v>0.35189999999999999</v>
      </c>
      <c r="BV28" s="528">
        <f t="shared" si="43"/>
        <v>1.2244819100000208</v>
      </c>
      <c r="BW28" s="528">
        <f t="shared" si="44"/>
        <v>2.3530694729257777</v>
      </c>
      <c r="BX28" s="460">
        <f t="shared" si="110"/>
        <v>3577.5513829257984</v>
      </c>
      <c r="BY28" s="173">
        <f t="shared" si="45"/>
        <v>8.7022250628246489</v>
      </c>
      <c r="BZ28" s="5">
        <f t="shared" si="111"/>
        <v>23.46</v>
      </c>
      <c r="CA28" s="173">
        <f t="shared" si="112"/>
        <v>0.72942714486245896</v>
      </c>
      <c r="CB28" s="5">
        <f t="shared" si="113"/>
        <v>72.94271448624589</v>
      </c>
      <c r="CE28" s="562">
        <f t="shared" si="46"/>
        <v>-50</v>
      </c>
      <c r="CF28">
        <f t="shared" si="47"/>
        <v>-50</v>
      </c>
      <c r="CG28" s="173">
        <f t="shared" si="48"/>
        <v>0.33711579438455475</v>
      </c>
      <c r="CI28" s="170">
        <v>23</v>
      </c>
      <c r="CJ28" s="217">
        <f t="shared" si="114"/>
        <v>0.13800000000000001</v>
      </c>
      <c r="CK28" s="217"/>
      <c r="CL28" s="217">
        <f t="shared" si="49"/>
        <v>23.46</v>
      </c>
      <c r="CM28" s="541">
        <f t="shared" si="50"/>
        <v>12.5</v>
      </c>
      <c r="CN28" s="172">
        <f t="shared" si="51"/>
        <v>8.5250000000000004</v>
      </c>
      <c r="CO28" s="443">
        <f t="shared" si="52"/>
        <v>21.024999999999999</v>
      </c>
      <c r="CP28" s="443"/>
      <c r="CQ28" s="217">
        <f t="shared" si="53"/>
        <v>0.40546967895362668</v>
      </c>
      <c r="CR28" s="172">
        <f t="shared" si="54"/>
        <v>170.84633868410626</v>
      </c>
      <c r="CS28" s="172">
        <f t="shared" si="115"/>
        <v>23.46</v>
      </c>
      <c r="CT28" s="217">
        <f t="shared" si="55"/>
        <v>1.0049784628476839</v>
      </c>
      <c r="CU28" s="217">
        <f t="shared" si="56"/>
        <v>170</v>
      </c>
      <c r="CV28" s="217">
        <f t="shared" si="57"/>
        <v>0.99379823272947732</v>
      </c>
      <c r="CW28" s="172">
        <f t="shared" si="58"/>
        <v>2769.3687999888689</v>
      </c>
      <c r="CX28" s="172">
        <f t="shared" si="59"/>
        <v>170</v>
      </c>
      <c r="CY28" s="217">
        <f t="shared" si="60"/>
        <v>9.2574123167155413</v>
      </c>
      <c r="CZ28" s="217">
        <f t="shared" si="61"/>
        <v>0.37029649266862169</v>
      </c>
      <c r="DA28" s="217">
        <f t="shared" si="62"/>
        <v>0.54295673411821355</v>
      </c>
      <c r="DB28" s="197">
        <f t="shared" si="63"/>
        <v>350</v>
      </c>
      <c r="DC28" s="443">
        <f t="shared" si="116"/>
        <v>350</v>
      </c>
      <c r="DE28" s="217">
        <f t="shared" si="64"/>
        <v>28.962119925259049</v>
      </c>
      <c r="DF28" s="173">
        <f t="shared" si="65"/>
        <v>1.6986580601324954</v>
      </c>
      <c r="DG28" s="173">
        <f t="shared" si="66"/>
        <v>0.4304714614336958</v>
      </c>
      <c r="DH28" s="173"/>
      <c r="DI28" s="173">
        <f t="shared" si="67"/>
        <v>0.78201368523949166</v>
      </c>
      <c r="DJ28" s="545">
        <f t="shared" si="117"/>
        <v>529.40250000000003</v>
      </c>
      <c r="DK28" s="528">
        <f t="shared" si="68"/>
        <v>9.1234929944607357E-2</v>
      </c>
      <c r="DM28" s="173">
        <f t="shared" si="69"/>
        <v>16.398257747177205</v>
      </c>
      <c r="DN28" s="173">
        <f t="shared" si="70"/>
        <v>16.398257747177205</v>
      </c>
      <c r="DO28" s="173">
        <f t="shared" si="71"/>
        <v>3.4703143806250889</v>
      </c>
      <c r="DQ28" s="545">
        <f t="shared" si="72"/>
        <v>138</v>
      </c>
      <c r="DR28" s="460">
        <f t="shared" si="73"/>
        <v>350</v>
      </c>
      <c r="DT28">
        <f t="shared" si="74"/>
        <v>138</v>
      </c>
      <c r="DU28" s="460">
        <f t="shared" si="75"/>
        <v>350</v>
      </c>
      <c r="DV28" s="460"/>
      <c r="DW28" s="5">
        <f t="shared" si="118"/>
        <v>2.8571428571428572</v>
      </c>
      <c r="DX28" s="5">
        <f t="shared" si="76"/>
        <v>0.65593030988708811</v>
      </c>
      <c r="DY28" s="5">
        <f t="shared" si="119"/>
        <v>2.2012125472557691</v>
      </c>
      <c r="DZ28" s="5">
        <f t="shared" si="77"/>
        <v>0.96177464792828171</v>
      </c>
      <c r="EA28" s="173">
        <f t="shared" si="120"/>
        <v>0.22957560846048083</v>
      </c>
      <c r="EB28" s="173">
        <f t="shared" si="78"/>
        <v>23.529000000000003</v>
      </c>
      <c r="EC28" s="173">
        <f t="shared" si="79"/>
        <v>0.31584044367943009</v>
      </c>
      <c r="ED28" s="173">
        <f t="shared" si="121"/>
        <v>74.496475897435516</v>
      </c>
      <c r="EE28" s="460">
        <f t="shared" si="80"/>
        <v>5.3246107508481272E-2</v>
      </c>
      <c r="EF28" s="5">
        <f t="shared" si="81"/>
        <v>6.6099771339034037</v>
      </c>
      <c r="EG28" s="5"/>
      <c r="EH28" s="173">
        <f t="shared" si="122"/>
        <v>4.5362810408723284</v>
      </c>
      <c r="EI28" s="173">
        <f t="shared" si="82"/>
        <v>0.4155010229605578</v>
      </c>
      <c r="EJ28" s="173"/>
      <c r="EK28" s="528">
        <f t="shared" si="83"/>
        <v>0.82311382727110938</v>
      </c>
      <c r="EL28" s="528">
        <f t="shared" si="84"/>
        <v>3.3184436779186068</v>
      </c>
      <c r="EM28" s="528">
        <f t="shared" si="85"/>
        <v>6.9999999999999993E-2</v>
      </c>
      <c r="EN28" s="528">
        <f t="shared" si="86"/>
        <v>3.094354375E-2</v>
      </c>
      <c r="EO28">
        <f t="shared" si="87"/>
        <v>5.6249999999999998E-3</v>
      </c>
      <c r="EP28" s="460">
        <f t="shared" si="123"/>
        <v>75.625</v>
      </c>
      <c r="EQ28" s="528">
        <f t="shared" si="88"/>
        <v>5.5571983110180563</v>
      </c>
      <c r="ER28" s="460">
        <f t="shared" si="124"/>
        <v>5557.1983110180563</v>
      </c>
      <c r="ES28" s="528">
        <f t="shared" si="125"/>
        <v>0.119784</v>
      </c>
      <c r="ET28" s="528"/>
      <c r="EV28" s="460">
        <f t="shared" si="126"/>
        <v>119.78400000000001</v>
      </c>
      <c r="EW28" s="528">
        <f t="shared" si="89"/>
        <v>0.61733537045333198</v>
      </c>
      <c r="EX28" s="528">
        <f t="shared" si="90"/>
        <v>5.1792330024380993E-3</v>
      </c>
      <c r="EY28" s="528">
        <f t="shared" si="91"/>
        <v>124.77695586111049</v>
      </c>
      <c r="EZ28" s="528">
        <f t="shared" si="92"/>
        <v>132.12905528589857</v>
      </c>
      <c r="FA28" s="528">
        <f t="shared" si="93"/>
        <v>2.3529000000000009</v>
      </c>
      <c r="FB28" s="460">
        <f t="shared" si="127"/>
        <v>134481.95528589858</v>
      </c>
      <c r="FC28" s="173">
        <f t="shared" si="128"/>
        <v>140.15893759691664</v>
      </c>
      <c r="FD28" s="5">
        <f t="shared" si="129"/>
        <v>23.46</v>
      </c>
      <c r="FE28" s="173">
        <f t="shared" si="130"/>
        <v>0.14338193576219688</v>
      </c>
      <c r="FF28" s="5">
        <f t="shared" si="131"/>
        <v>14.338193576219687</v>
      </c>
      <c r="FI28" s="562">
        <f t="shared" si="94"/>
        <v>-50</v>
      </c>
      <c r="FJ28">
        <f t="shared" si="95"/>
        <v>-50</v>
      </c>
      <c r="FL28">
        <f t="shared" si="96"/>
        <v>0.33662112677489858</v>
      </c>
    </row>
    <row r="29" spans="5:168">
      <c r="E29" s="170">
        <v>24</v>
      </c>
      <c r="F29" s="217">
        <f t="shared" si="97"/>
        <v>0.14399999999999999</v>
      </c>
      <c r="G29" s="217"/>
      <c r="H29" s="217">
        <f t="shared" si="0"/>
        <v>24.479999999999997</v>
      </c>
      <c r="I29" s="541">
        <f t="shared" si="1"/>
        <v>11.914577075952778</v>
      </c>
      <c r="J29" s="172">
        <f t="shared" si="2"/>
        <v>8.5256272388471928</v>
      </c>
      <c r="K29" s="172">
        <f t="shared" si="3"/>
        <v>21.025627238847193</v>
      </c>
      <c r="L29" s="443"/>
      <c r="M29" s="217">
        <f t="shared" si="4"/>
        <v>0.41710090783932807</v>
      </c>
      <c r="N29" s="172">
        <f t="shared" si="5"/>
        <v>167.51629000647313</v>
      </c>
      <c r="O29" s="172">
        <f t="shared" si="98"/>
        <v>24.479999999999997</v>
      </c>
      <c r="P29" s="217">
        <f t="shared" si="6"/>
        <v>0.98538994121454782</v>
      </c>
      <c r="Q29" s="217">
        <f t="shared" si="7"/>
        <v>170</v>
      </c>
      <c r="R29" s="217">
        <f t="shared" si="8"/>
        <v>0.97442763037285318</v>
      </c>
      <c r="S29" s="172">
        <f t="shared" si="9"/>
        <v>2519.759686443836</v>
      </c>
      <c r="T29" s="172">
        <f t="shared" si="10"/>
        <v>170</v>
      </c>
      <c r="U29" s="217">
        <f t="shared" si="99"/>
        <v>9.8816417411957413</v>
      </c>
      <c r="V29" s="217">
        <f t="shared" si="11"/>
        <v>0.41468705427823721</v>
      </c>
      <c r="W29" s="217">
        <f t="shared" si="12"/>
        <v>0.57952579114471725</v>
      </c>
      <c r="X29" s="197">
        <f t="shared" si="13"/>
        <v>350</v>
      </c>
      <c r="Y29" s="443">
        <f t="shared" si="14"/>
        <v>350</v>
      </c>
      <c r="AA29" s="217">
        <f t="shared" si="15"/>
        <v>28.397603438417882</v>
      </c>
      <c r="AB29" s="173">
        <f t="shared" si="16"/>
        <v>1.665426052702822</v>
      </c>
      <c r="AC29" s="173">
        <f t="shared" si="17"/>
        <v>0.41382345025581335</v>
      </c>
      <c r="AD29" s="173"/>
      <c r="AE29" s="173">
        <f t="shared" si="18"/>
        <v>0.78195615171747901</v>
      </c>
      <c r="AF29" s="545">
        <f t="shared" si="100"/>
        <v>552.46064507729795</v>
      </c>
      <c r="AG29" s="528">
        <f t="shared" si="19"/>
        <v>9.1228217700372552E-2</v>
      </c>
      <c r="AI29" s="173">
        <f t="shared" si="20"/>
        <v>16.751565026376291</v>
      </c>
      <c r="AJ29" s="173">
        <f t="shared" si="21"/>
        <v>16.751565026376291</v>
      </c>
      <c r="AK29" s="173">
        <f t="shared" si="22"/>
        <v>3.7320234763281164</v>
      </c>
      <c r="AM29" s="545">
        <f t="shared" si="23"/>
        <v>144</v>
      </c>
      <c r="AN29" s="460">
        <f t="shared" si="24"/>
        <v>350</v>
      </c>
      <c r="AP29">
        <f t="shared" si="25"/>
        <v>144</v>
      </c>
      <c r="AQ29" s="460">
        <f t="shared" si="26"/>
        <v>350</v>
      </c>
      <c r="AR29" s="460"/>
      <c r="AS29" s="5">
        <f t="shared" si="101"/>
        <v>2.8571428571428572</v>
      </c>
      <c r="AT29" s="5">
        <f t="shared" si="27"/>
        <v>0.70298613704828927</v>
      </c>
      <c r="AU29" s="5">
        <f t="shared" si="102"/>
        <v>2.1541567200945679</v>
      </c>
      <c r="AV29" s="5">
        <f t="shared" si="28"/>
        <v>0.98242419924527336</v>
      </c>
      <c r="AW29" s="173">
        <f t="shared" si="103"/>
        <v>0.24604514796690125</v>
      </c>
      <c r="AX29" s="173">
        <f t="shared" si="29"/>
        <v>24.553806447879907</v>
      </c>
      <c r="AY29" s="173">
        <f t="shared" si="30"/>
        <v>0.31574809326960923</v>
      </c>
      <c r="AZ29" s="173">
        <f t="shared" si="104"/>
        <v>77.763910443994476</v>
      </c>
      <c r="BA29" s="460">
        <f t="shared" si="31"/>
        <v>5.9547061020560968E-2</v>
      </c>
      <c r="BB29" s="5">
        <f t="shared" si="32"/>
        <v>7.0815782947895247</v>
      </c>
      <c r="BC29" s="5"/>
      <c r="BD29" s="173">
        <f t="shared" si="105"/>
        <v>4.7973583765271597</v>
      </c>
      <c r="BE29" s="173">
        <f t="shared" si="33"/>
        <v>0.41989183989690271</v>
      </c>
      <c r="BF29" s="173"/>
      <c r="BG29" s="528">
        <f t="shared" si="34"/>
        <v>0.92058589571341221</v>
      </c>
      <c r="BH29" s="528">
        <f t="shared" si="35"/>
        <v>2.7736707750561913</v>
      </c>
      <c r="BI29" s="528">
        <f t="shared" si="36"/>
        <v>0.16680407906333891</v>
      </c>
      <c r="BJ29" s="528">
        <f t="shared" si="37"/>
        <v>3.0945390055086709E-2</v>
      </c>
      <c r="BK29">
        <f t="shared" si="38"/>
        <v>5.3615596841787502E-3</v>
      </c>
      <c r="BL29" s="460">
        <f t="shared" si="106"/>
        <v>172.16563874751768</v>
      </c>
      <c r="BM29" s="528">
        <f t="shared" si="39"/>
        <v>5.0862907843447225</v>
      </c>
      <c r="BN29" s="460">
        <f t="shared" si="107"/>
        <v>5086.2907843447229</v>
      </c>
      <c r="BO29" s="528">
        <f t="shared" si="108"/>
        <v>0.12499199999999998</v>
      </c>
      <c r="BP29" s="528"/>
      <c r="BR29" s="460">
        <f t="shared" si="109"/>
        <v>124.99199999999998</v>
      </c>
      <c r="BS29" s="528">
        <f t="shared" si="40"/>
        <v>0.69043942178505913</v>
      </c>
      <c r="BT29" s="528">
        <f t="shared" si="41"/>
        <v>5.2892747163601856E-3</v>
      </c>
      <c r="BU29" s="528">
        <f t="shared" si="42"/>
        <v>0.36719999999999992</v>
      </c>
      <c r="BV29" s="528">
        <f t="shared" si="43"/>
        <v>1.3023925323721992</v>
      </c>
      <c r="BW29" s="528">
        <f t="shared" si="44"/>
        <v>2.4553806447879913</v>
      </c>
      <c r="BX29" s="460">
        <f t="shared" si="110"/>
        <v>3757.7731771601907</v>
      </c>
      <c r="BY29" s="173">
        <f t="shared" si="45"/>
        <v>9.1412216002524289</v>
      </c>
      <c r="BZ29" s="5">
        <f t="shared" si="111"/>
        <v>24.479999999999997</v>
      </c>
      <c r="CA29" s="173">
        <f t="shared" si="112"/>
        <v>0.72811155677389794</v>
      </c>
      <c r="CB29" s="5">
        <f t="shared" si="113"/>
        <v>72.811155677389792</v>
      </c>
      <c r="CE29" s="562">
        <f t="shared" si="46"/>
        <v>-50</v>
      </c>
      <c r="CF29">
        <f t="shared" si="47"/>
        <v>-50</v>
      </c>
      <c r="CG29" s="173">
        <f t="shared" si="48"/>
        <v>0.34436642591013084</v>
      </c>
      <c r="CI29" s="170">
        <v>24</v>
      </c>
      <c r="CJ29" s="217">
        <f t="shared" si="114"/>
        <v>0.14399999999999999</v>
      </c>
      <c r="CK29" s="217"/>
      <c r="CL29" s="217">
        <f t="shared" si="49"/>
        <v>24.479999999999997</v>
      </c>
      <c r="CM29" s="541">
        <f t="shared" si="50"/>
        <v>12.5</v>
      </c>
      <c r="CN29" s="172">
        <f t="shared" si="51"/>
        <v>8.5250000000000004</v>
      </c>
      <c r="CO29" s="443">
        <f t="shared" si="52"/>
        <v>21.024999999999999</v>
      </c>
      <c r="CP29" s="443"/>
      <c r="CQ29" s="217">
        <f t="shared" si="53"/>
        <v>0.40546967895362668</v>
      </c>
      <c r="CR29" s="172">
        <f t="shared" si="54"/>
        <v>170.84633868410626</v>
      </c>
      <c r="CS29" s="172">
        <f t="shared" si="115"/>
        <v>24.479999999999997</v>
      </c>
      <c r="CT29" s="217">
        <f t="shared" si="55"/>
        <v>1.0049784628476839</v>
      </c>
      <c r="CU29" s="217">
        <f t="shared" si="56"/>
        <v>170</v>
      </c>
      <c r="CV29" s="217">
        <f t="shared" si="57"/>
        <v>0.99379823272947732</v>
      </c>
      <c r="CW29" s="172">
        <f t="shared" si="58"/>
        <v>2643.5657941953477</v>
      </c>
      <c r="CX29" s="172">
        <f t="shared" si="59"/>
        <v>170</v>
      </c>
      <c r="CY29" s="217">
        <f t="shared" si="60"/>
        <v>9.6599085043988246</v>
      </c>
      <c r="CZ29" s="217">
        <f t="shared" si="61"/>
        <v>0.38639634017595298</v>
      </c>
      <c r="DA29" s="217">
        <f t="shared" si="62"/>
        <v>0.56656354864509229</v>
      </c>
      <c r="DB29" s="197">
        <f t="shared" si="63"/>
        <v>350</v>
      </c>
      <c r="DC29" s="443">
        <f t="shared" si="116"/>
        <v>350</v>
      </c>
      <c r="DE29" s="217">
        <f t="shared" si="64"/>
        <v>28.962119925259049</v>
      </c>
      <c r="DF29" s="173">
        <f t="shared" si="65"/>
        <v>1.6986580601324954</v>
      </c>
      <c r="DG29" s="173">
        <f t="shared" si="66"/>
        <v>0.4304714614336958</v>
      </c>
      <c r="DH29" s="173"/>
      <c r="DI29" s="173">
        <f t="shared" si="67"/>
        <v>0.78201368523949166</v>
      </c>
      <c r="DJ29" s="545">
        <f t="shared" si="117"/>
        <v>552.41999999999996</v>
      </c>
      <c r="DK29" s="528">
        <f t="shared" si="68"/>
        <v>9.1234929944607357E-2</v>
      </c>
      <c r="DM29" s="173">
        <f t="shared" si="69"/>
        <v>16.750948800419806</v>
      </c>
      <c r="DN29" s="173">
        <f t="shared" si="70"/>
        <v>16.750948800419806</v>
      </c>
      <c r="DO29" s="173">
        <f t="shared" si="71"/>
        <v>3.7315670126566465</v>
      </c>
      <c r="DQ29" s="545">
        <f t="shared" si="72"/>
        <v>144</v>
      </c>
      <c r="DR29" s="460">
        <f t="shared" si="73"/>
        <v>350</v>
      </c>
      <c r="DT29">
        <f t="shared" si="74"/>
        <v>144</v>
      </c>
      <c r="DU29" s="460">
        <f t="shared" si="75"/>
        <v>350</v>
      </c>
      <c r="DV29" s="460"/>
      <c r="DW29" s="5">
        <f t="shared" si="118"/>
        <v>2.8571428571428572</v>
      </c>
      <c r="DX29" s="5">
        <f t="shared" si="76"/>
        <v>0.67003795201679228</v>
      </c>
      <c r="DY29" s="5">
        <f t="shared" si="119"/>
        <v>2.1871049051260649</v>
      </c>
      <c r="DZ29" s="5">
        <f t="shared" si="77"/>
        <v>0.98246034020057516</v>
      </c>
      <c r="EA29" s="173">
        <f t="shared" si="120"/>
        <v>0.2345132832058773</v>
      </c>
      <c r="EB29" s="173">
        <f t="shared" si="78"/>
        <v>24.552</v>
      </c>
      <c r="EC29" s="173">
        <f t="shared" si="79"/>
        <v>0.32056572001049516</v>
      </c>
      <c r="ED29" s="173">
        <f t="shared" si="121"/>
        <v>76.589599159873302</v>
      </c>
      <c r="EE29" s="460">
        <f t="shared" si="80"/>
        <v>5.6756155935540051E-2</v>
      </c>
      <c r="EF29" s="5">
        <f t="shared" si="81"/>
        <v>6.8531619939182162</v>
      </c>
      <c r="EG29" s="5"/>
      <c r="EH29" s="173">
        <f t="shared" si="122"/>
        <v>4.6834135411280648</v>
      </c>
      <c r="EI29" s="173">
        <f t="shared" si="82"/>
        <v>0.42307524795893836</v>
      </c>
      <c r="EJ29" s="173"/>
      <c r="EK29" s="528">
        <f t="shared" si="83"/>
        <v>0.87737449588886873</v>
      </c>
      <c r="EL29" s="528">
        <f t="shared" si="84"/>
        <v>3.3898162233399547</v>
      </c>
      <c r="EM29" s="528">
        <f t="shared" si="85"/>
        <v>6.9999999999999993E-2</v>
      </c>
      <c r="EN29" s="528">
        <f t="shared" si="86"/>
        <v>3.094354375E-2</v>
      </c>
      <c r="EO29">
        <f t="shared" si="87"/>
        <v>5.6249999999999998E-3</v>
      </c>
      <c r="EP29" s="460">
        <f t="shared" si="123"/>
        <v>75.625</v>
      </c>
      <c r="EQ29" s="528">
        <f t="shared" si="88"/>
        <v>5.8249421714975789</v>
      </c>
      <c r="ER29" s="460">
        <f t="shared" si="124"/>
        <v>5824.9421714975788</v>
      </c>
      <c r="ES29" s="528">
        <f t="shared" si="125"/>
        <v>0.12499199999999998</v>
      </c>
      <c r="ET29" s="528"/>
      <c r="EV29" s="460">
        <f t="shared" si="126"/>
        <v>124.99199999999998</v>
      </c>
      <c r="EW29" s="528">
        <f t="shared" si="89"/>
        <v>0.65803087191665155</v>
      </c>
      <c r="EX29" s="528">
        <f t="shared" si="90"/>
        <v>5.3697799630655152E-3</v>
      </c>
      <c r="EY29" s="528">
        <f t="shared" si="91"/>
        <v>131.59477419790298</v>
      </c>
      <c r="EZ29" s="528">
        <f t="shared" si="92"/>
        <v>139.83892999138985</v>
      </c>
      <c r="FA29" s="528">
        <f t="shared" si="93"/>
        <v>2.4552</v>
      </c>
      <c r="FB29" s="460">
        <f t="shared" si="127"/>
        <v>142294.12999138984</v>
      </c>
      <c r="FC29" s="173">
        <f t="shared" si="128"/>
        <v>148.24406416288741</v>
      </c>
      <c r="FD29" s="5">
        <f t="shared" si="129"/>
        <v>24.479999999999997</v>
      </c>
      <c r="FE29" s="173">
        <f t="shared" si="130"/>
        <v>0.14172894853211732</v>
      </c>
      <c r="FF29" s="5">
        <f t="shared" si="131"/>
        <v>14.172894853211732</v>
      </c>
      <c r="FI29" s="562">
        <f t="shared" si="94"/>
        <v>-50</v>
      </c>
      <c r="FJ29">
        <f t="shared" si="95"/>
        <v>-50</v>
      </c>
      <c r="FL29">
        <f t="shared" si="96"/>
        <v>0.34386111907020128</v>
      </c>
    </row>
    <row r="30" spans="5:168">
      <c r="E30" s="170">
        <v>25</v>
      </c>
      <c r="F30" s="217">
        <f t="shared" si="97"/>
        <v>0.15</v>
      </c>
      <c r="G30" s="217"/>
      <c r="H30" s="217">
        <f t="shared" si="0"/>
        <v>25.5</v>
      </c>
      <c r="I30" s="541">
        <f t="shared" si="1"/>
        <v>11.902505230148414</v>
      </c>
      <c r="J30" s="172">
        <f t="shared" si="2"/>
        <v>8.525640172967698</v>
      </c>
      <c r="K30" s="172">
        <f t="shared" si="3"/>
        <v>21.025640172967698</v>
      </c>
      <c r="L30" s="443"/>
      <c r="M30" s="217">
        <f t="shared" si="4"/>
        <v>0.41734775981138472</v>
      </c>
      <c r="N30" s="172">
        <f t="shared" si="5"/>
        <v>167.44560292508734</v>
      </c>
      <c r="O30" s="172">
        <f t="shared" si="98"/>
        <v>25.5</v>
      </c>
      <c r="P30" s="217">
        <f t="shared" si="6"/>
        <v>0.98497413485345497</v>
      </c>
      <c r="Q30" s="217">
        <f t="shared" si="7"/>
        <v>170</v>
      </c>
      <c r="R30" s="217">
        <f t="shared" si="8"/>
        <v>0.97401644979328061</v>
      </c>
      <c r="S30" s="172">
        <f t="shared" si="9"/>
        <v>2407.0004969160918</v>
      </c>
      <c r="T30" s="172">
        <f t="shared" si="10"/>
        <v>170</v>
      </c>
      <c r="U30" s="217">
        <f t="shared" si="99"/>
        <v>10.297737803355377</v>
      </c>
      <c r="V30" s="217">
        <f t="shared" si="11"/>
        <v>0.43258698921936845</v>
      </c>
      <c r="W30" s="217">
        <f t="shared" si="12"/>
        <v>0.60392754059727261</v>
      </c>
      <c r="X30" s="197">
        <f t="shared" si="13"/>
        <v>350</v>
      </c>
      <c r="Y30" s="443">
        <f t="shared" si="14"/>
        <v>350</v>
      </c>
      <c r="AA30" s="217">
        <f t="shared" si="15"/>
        <v>28.385620426171496</v>
      </c>
      <c r="AB30" s="173">
        <f t="shared" si="16"/>
        <v>1.6647207629154912</v>
      </c>
      <c r="AC30" s="173">
        <f t="shared" si="17"/>
        <v>0.41347365230225047</v>
      </c>
      <c r="AD30" s="173"/>
      <c r="AE30" s="173">
        <f t="shared" si="18"/>
        <v>0.78195496542355958</v>
      </c>
      <c r="AF30" s="545">
        <f t="shared" si="100"/>
        <v>575.48071167531964</v>
      </c>
      <c r="AG30" s="528">
        <f t="shared" si="19"/>
        <v>9.1228079299415288E-2</v>
      </c>
      <c r="AI30" s="173">
        <f t="shared" si="20"/>
        <v>17.097007430342252</v>
      </c>
      <c r="AJ30" s="173">
        <f t="shared" si="21"/>
        <v>17.097007430342252</v>
      </c>
      <c r="AK30" s="173">
        <f t="shared" si="22"/>
        <v>3.9879067385251243</v>
      </c>
      <c r="AM30" s="545">
        <f t="shared" si="23"/>
        <v>150</v>
      </c>
      <c r="AN30" s="460">
        <f t="shared" si="24"/>
        <v>350</v>
      </c>
      <c r="AP30">
        <f t="shared" si="25"/>
        <v>150</v>
      </c>
      <c r="AQ30" s="460">
        <f t="shared" si="26"/>
        <v>350</v>
      </c>
      <c r="AR30" s="460"/>
      <c r="AS30" s="5">
        <f t="shared" si="101"/>
        <v>2.8571428571428572</v>
      </c>
      <c r="AT30" s="5">
        <f t="shared" si="27"/>
        <v>0.71821045652794346</v>
      </c>
      <c r="AU30" s="5">
        <f t="shared" si="102"/>
        <v>2.1389324006149137</v>
      </c>
      <c r="AV30" s="5">
        <f t="shared" si="28"/>
        <v>1.0026817390529712</v>
      </c>
      <c r="AW30" s="173">
        <f t="shared" si="103"/>
        <v>0.25137365978478021</v>
      </c>
      <c r="AX30" s="173">
        <f t="shared" si="29"/>
        <v>25.576920518903087</v>
      </c>
      <c r="AY30" s="173">
        <f t="shared" si="30"/>
        <v>0.31998175253023847</v>
      </c>
      <c r="AZ30" s="173">
        <f t="shared" si="104"/>
        <v>79.932434636209621</v>
      </c>
      <c r="BA30" s="460">
        <f t="shared" si="31"/>
        <v>6.3371510870112654E-2</v>
      </c>
      <c r="BB30" s="5">
        <f t="shared" si="32"/>
        <v>7.3319389706330185</v>
      </c>
      <c r="BC30" s="5"/>
      <c r="BD30" s="173">
        <f t="shared" si="105"/>
        <v>4.9490216895140415</v>
      </c>
      <c r="BE30" s="173">
        <f t="shared" si="33"/>
        <v>0.42703358184040685</v>
      </c>
      <c r="BF30" s="173"/>
      <c r="BG30" s="528">
        <f t="shared" si="34"/>
        <v>0.97971262733121678</v>
      </c>
      <c r="BH30" s="528">
        <f t="shared" si="35"/>
        <v>2.8308697693363336</v>
      </c>
      <c r="BI30" s="528">
        <f t="shared" si="36"/>
        <v>0.1666350732220778</v>
      </c>
      <c r="BJ30" s="528">
        <f t="shared" si="37"/>
        <v>3.0945428127817916E-2</v>
      </c>
      <c r="BK30">
        <f t="shared" si="38"/>
        <v>5.3561273535667857E-3</v>
      </c>
      <c r="BL30" s="460">
        <f t="shared" si="106"/>
        <v>171.99120057564457</v>
      </c>
      <c r="BM30" s="528">
        <f t="shared" si="39"/>
        <v>5.3518531021281346</v>
      </c>
      <c r="BN30" s="460">
        <f t="shared" si="107"/>
        <v>5351.8531021281342</v>
      </c>
      <c r="BO30" s="528">
        <f t="shared" si="108"/>
        <v>0.13019999999999998</v>
      </c>
      <c r="BP30" s="528"/>
      <c r="BR30" s="460">
        <f t="shared" si="109"/>
        <v>130.19999999999999</v>
      </c>
      <c r="BS30" s="528">
        <f t="shared" si="40"/>
        <v>0.73478447049841256</v>
      </c>
      <c r="BT30" s="528">
        <f t="shared" si="41"/>
        <v>5.4707304005834241E-3</v>
      </c>
      <c r="BU30" s="528">
        <f t="shared" si="42"/>
        <v>0.38250000000000001</v>
      </c>
      <c r="BV30" s="528">
        <f t="shared" si="43"/>
        <v>1.3822753717561198</v>
      </c>
      <c r="BW30" s="528">
        <f t="shared" si="44"/>
        <v>2.5576920518903092</v>
      </c>
      <c r="BX30" s="460">
        <f t="shared" si="110"/>
        <v>3939.9674236464293</v>
      </c>
      <c r="BY30" s="173">
        <f t="shared" si="45"/>
        <v>9.5940117263502085</v>
      </c>
      <c r="BZ30" s="5">
        <f t="shared" si="111"/>
        <v>25.5</v>
      </c>
      <c r="CA30" s="173">
        <f t="shared" si="112"/>
        <v>0.72661969223807543</v>
      </c>
      <c r="CB30" s="5">
        <f t="shared" si="113"/>
        <v>72.661969223807546</v>
      </c>
      <c r="CE30" s="562">
        <f t="shared" si="46"/>
        <v>-50</v>
      </c>
      <c r="CF30">
        <f t="shared" si="47"/>
        <v>-50</v>
      </c>
      <c r="CG30" s="173">
        <f t="shared" si="48"/>
        <v>0.35146751167740364</v>
      </c>
      <c r="CI30" s="170">
        <v>25</v>
      </c>
      <c r="CJ30" s="217">
        <f t="shared" si="114"/>
        <v>0.15</v>
      </c>
      <c r="CK30" s="217"/>
      <c r="CL30" s="217">
        <f t="shared" si="49"/>
        <v>25.5</v>
      </c>
      <c r="CM30" s="541">
        <f t="shared" si="50"/>
        <v>12.5</v>
      </c>
      <c r="CN30" s="172">
        <f t="shared" si="51"/>
        <v>8.5250000000000004</v>
      </c>
      <c r="CO30" s="443">
        <f t="shared" si="52"/>
        <v>21.024999999999999</v>
      </c>
      <c r="CP30" s="443"/>
      <c r="CQ30" s="217">
        <f t="shared" si="53"/>
        <v>0.40546967895362668</v>
      </c>
      <c r="CR30" s="172">
        <f t="shared" si="54"/>
        <v>170.84633868410626</v>
      </c>
      <c r="CS30" s="172">
        <f t="shared" si="115"/>
        <v>25.5</v>
      </c>
      <c r="CT30" s="217">
        <f t="shared" si="55"/>
        <v>1.0049784628476839</v>
      </c>
      <c r="CU30" s="217">
        <f t="shared" si="56"/>
        <v>170</v>
      </c>
      <c r="CV30" s="217">
        <f t="shared" si="57"/>
        <v>0.99379823272947732</v>
      </c>
      <c r="CW30" s="172">
        <f t="shared" si="58"/>
        <v>2527.8272175809539</v>
      </c>
      <c r="CX30" s="172">
        <f t="shared" si="59"/>
        <v>170</v>
      </c>
      <c r="CY30" s="217">
        <f t="shared" si="60"/>
        <v>10.06240469208211</v>
      </c>
      <c r="CZ30" s="217">
        <f t="shared" si="61"/>
        <v>0.40249618768328438</v>
      </c>
      <c r="DA30" s="217">
        <f t="shared" si="62"/>
        <v>0.59017036317197125</v>
      </c>
      <c r="DB30" s="197">
        <f t="shared" si="63"/>
        <v>350</v>
      </c>
      <c r="DC30" s="443">
        <f t="shared" si="116"/>
        <v>350</v>
      </c>
      <c r="DE30" s="217">
        <f t="shared" si="64"/>
        <v>28.962119925259049</v>
      </c>
      <c r="DF30" s="173">
        <f t="shared" si="65"/>
        <v>1.6986580601324954</v>
      </c>
      <c r="DG30" s="173">
        <f t="shared" si="66"/>
        <v>0.4304714614336958</v>
      </c>
      <c r="DH30" s="173"/>
      <c r="DI30" s="173">
        <f t="shared" si="67"/>
        <v>0.78201368523949166</v>
      </c>
      <c r="DJ30" s="545">
        <f t="shared" si="117"/>
        <v>575.4375</v>
      </c>
      <c r="DK30" s="528">
        <f t="shared" si="68"/>
        <v>9.1234929944607357E-2</v>
      </c>
      <c r="DM30" s="173">
        <f t="shared" si="69"/>
        <v>17.096365528547707</v>
      </c>
      <c r="DN30" s="173">
        <f t="shared" si="70"/>
        <v>17.096365528547707</v>
      </c>
      <c r="DO30" s="173">
        <f t="shared" si="71"/>
        <v>3.987431255714351</v>
      </c>
      <c r="DQ30" s="545">
        <f t="shared" si="72"/>
        <v>150</v>
      </c>
      <c r="DR30" s="460">
        <f t="shared" si="73"/>
        <v>350</v>
      </c>
      <c r="DT30">
        <f t="shared" si="74"/>
        <v>150</v>
      </c>
      <c r="DU30" s="460">
        <f t="shared" si="75"/>
        <v>350</v>
      </c>
      <c r="DV30" s="460"/>
      <c r="DW30" s="5">
        <f t="shared" si="118"/>
        <v>2.8571428571428572</v>
      </c>
      <c r="DX30" s="5">
        <f t="shared" si="76"/>
        <v>0.6838546211419082</v>
      </c>
      <c r="DY30" s="5">
        <f t="shared" si="119"/>
        <v>2.1732882360009489</v>
      </c>
      <c r="DZ30" s="5">
        <f t="shared" si="77"/>
        <v>1.0027193858385752</v>
      </c>
      <c r="EA30" s="173">
        <f t="shared" si="120"/>
        <v>0.23934911739966785</v>
      </c>
      <c r="EB30" s="173">
        <f t="shared" si="78"/>
        <v>25.575000000000003</v>
      </c>
      <c r="EC30" s="173">
        <f t="shared" si="79"/>
        <v>0.32510913821369275</v>
      </c>
      <c r="ED30" s="173">
        <f t="shared" si="121"/>
        <v>78.66589090826993</v>
      </c>
      <c r="EE30" s="460">
        <f t="shared" si="80"/>
        <v>6.034011363016837E-2</v>
      </c>
      <c r="EF30" s="5">
        <f t="shared" si="81"/>
        <v>7.0936128023070975</v>
      </c>
      <c r="EG30" s="5"/>
      <c r="EH30" s="173">
        <f t="shared" si="122"/>
        <v>4.829020871868237</v>
      </c>
      <c r="EI30" s="173">
        <f t="shared" si="82"/>
        <v>0.43043329578354056</v>
      </c>
      <c r="EJ30" s="173"/>
      <c r="EK30" s="528">
        <f t="shared" si="83"/>
        <v>0.93277770323756271</v>
      </c>
      <c r="EL30" s="528">
        <f t="shared" si="84"/>
        <v>3.4597166954130123</v>
      </c>
      <c r="EM30" s="528">
        <f t="shared" si="85"/>
        <v>6.9999999999999993E-2</v>
      </c>
      <c r="EN30" s="528">
        <f t="shared" si="86"/>
        <v>3.094354375E-2</v>
      </c>
      <c r="EO30">
        <f t="shared" si="87"/>
        <v>5.6249999999999998E-3</v>
      </c>
      <c r="EP30" s="460">
        <f t="shared" si="123"/>
        <v>75.625</v>
      </c>
      <c r="EQ30" s="528">
        <f t="shared" si="88"/>
        <v>6.1036532842579225</v>
      </c>
      <c r="ER30" s="460">
        <f t="shared" si="124"/>
        <v>6103.6532842579227</v>
      </c>
      <c r="ES30" s="528">
        <f t="shared" si="125"/>
        <v>0.13019999999999998</v>
      </c>
      <c r="ET30" s="528"/>
      <c r="EV30" s="460">
        <f t="shared" si="126"/>
        <v>130.19999999999999</v>
      </c>
      <c r="EW30" s="528">
        <f t="shared" si="89"/>
        <v>0.69958327742817206</v>
      </c>
      <c r="EX30" s="528">
        <f t="shared" si="90"/>
        <v>5.5581846635724269E-3</v>
      </c>
      <c r="EY30" s="528">
        <f t="shared" si="91"/>
        <v>138.48400083400134</v>
      </c>
      <c r="EZ30" s="528">
        <f t="shared" si="92"/>
        <v>147.68974951999451</v>
      </c>
      <c r="FA30" s="528">
        <f t="shared" si="93"/>
        <v>2.5575000000000006</v>
      </c>
      <c r="FB30" s="460">
        <f t="shared" si="127"/>
        <v>150247.24951999451</v>
      </c>
      <c r="FC30" s="173">
        <f t="shared" si="128"/>
        <v>156.48110280425243</v>
      </c>
      <c r="FD30" s="5">
        <f t="shared" si="129"/>
        <v>25.5</v>
      </c>
      <c r="FE30" s="173">
        <f t="shared" si="130"/>
        <v>0.14012443933494029</v>
      </c>
      <c r="FF30" s="5">
        <f t="shared" si="131"/>
        <v>14.012443933494028</v>
      </c>
      <c r="FI30" s="562">
        <f t="shared" si="94"/>
        <v>-50</v>
      </c>
      <c r="FJ30">
        <f t="shared" si="95"/>
        <v>-50</v>
      </c>
      <c r="FL30">
        <f t="shared" si="96"/>
        <v>0.35095178504350127</v>
      </c>
    </row>
    <row r="31" spans="5:168">
      <c r="E31" s="170">
        <v>26</v>
      </c>
      <c r="F31" s="217">
        <f t="shared" si="97"/>
        <v>0.156</v>
      </c>
      <c r="G31" s="217"/>
      <c r="H31" s="217">
        <f t="shared" si="0"/>
        <v>26.52</v>
      </c>
      <c r="I31" s="541">
        <f t="shared" si="1"/>
        <v>11.890672501851427</v>
      </c>
      <c r="J31" s="172">
        <f t="shared" si="2"/>
        <v>8.5256528508908733</v>
      </c>
      <c r="K31" s="172">
        <f t="shared" si="3"/>
        <v>21.025652850890872</v>
      </c>
      <c r="L31" s="443"/>
      <c r="M31" s="217">
        <f t="shared" si="4"/>
        <v>0.41759000517163858</v>
      </c>
      <c r="N31" s="172">
        <f t="shared" si="5"/>
        <v>167.37623446490835</v>
      </c>
      <c r="O31" s="172">
        <f t="shared" si="98"/>
        <v>26.52</v>
      </c>
      <c r="P31" s="217">
        <f t="shared" si="6"/>
        <v>0.98456608508769616</v>
      </c>
      <c r="Q31" s="217">
        <f t="shared" si="7"/>
        <v>170</v>
      </c>
      <c r="R31" s="217">
        <f t="shared" si="8"/>
        <v>0.97361293951811723</v>
      </c>
      <c r="S31" s="172">
        <f t="shared" si="9"/>
        <v>2302.9801580065987</v>
      </c>
      <c r="T31" s="172">
        <f t="shared" si="10"/>
        <v>170</v>
      </c>
      <c r="U31" s="217">
        <f t="shared" si="99"/>
        <v>10.714101844764794</v>
      </c>
      <c r="V31" s="217">
        <f t="shared" si="11"/>
        <v>0.4505254788194934</v>
      </c>
      <c r="W31" s="217">
        <f t="shared" si="12"/>
        <v>0.62834495094679133</v>
      </c>
      <c r="X31" s="197">
        <f t="shared" si="13"/>
        <v>350</v>
      </c>
      <c r="Y31" s="443">
        <f t="shared" si="14"/>
        <v>350</v>
      </c>
      <c r="AA31" s="217">
        <f t="shared" si="15"/>
        <v>28.373860949272888</v>
      </c>
      <c r="AB31" s="173">
        <f t="shared" si="16"/>
        <v>1.6640286348457178</v>
      </c>
      <c r="AC31" s="173">
        <f t="shared" si="17"/>
        <v>0.41313052463130689</v>
      </c>
      <c r="AD31" s="173"/>
      <c r="AE31" s="173">
        <f t="shared" si="18"/>
        <v>0.78195380263108472</v>
      </c>
      <c r="AF31" s="545">
        <f t="shared" si="100"/>
        <v>598.50083013253914</v>
      </c>
      <c r="AG31" s="528">
        <f t="shared" si="19"/>
        <v>9.1227943640293241E-2</v>
      </c>
      <c r="AI31" s="173">
        <f t="shared" si="20"/>
        <v>17.435607865934102</v>
      </c>
      <c r="AJ31" s="173">
        <f t="shared" si="21"/>
        <v>17.435607865934102</v>
      </c>
      <c r="AK31" s="173">
        <f t="shared" si="22"/>
        <v>4.2387218760005689</v>
      </c>
      <c r="AM31" s="545">
        <f t="shared" si="23"/>
        <v>156</v>
      </c>
      <c r="AN31" s="460">
        <f t="shared" si="24"/>
        <v>350</v>
      </c>
      <c r="AP31">
        <f t="shared" si="25"/>
        <v>156</v>
      </c>
      <c r="AQ31" s="460">
        <f t="shared" si="26"/>
        <v>350</v>
      </c>
      <c r="AR31" s="460"/>
      <c r="AS31" s="5">
        <f t="shared" si="101"/>
        <v>2.8571428571428572</v>
      </c>
      <c r="AT31" s="5">
        <f t="shared" si="27"/>
        <v>0.73316323627697699</v>
      </c>
      <c r="AU31" s="5">
        <f t="shared" si="102"/>
        <v>2.1239796208658803</v>
      </c>
      <c r="AV31" s="5">
        <f t="shared" si="28"/>
        <v>1.0225379903963716</v>
      </c>
      <c r="AW31" s="173">
        <f t="shared" si="103"/>
        <v>0.25660713269694196</v>
      </c>
      <c r="AX31" s="173">
        <f t="shared" si="29"/>
        <v>26.600036894779521</v>
      </c>
      <c r="AY31" s="173">
        <f t="shared" si="30"/>
        <v>0.32403766311571269</v>
      </c>
      <c r="AZ31" s="173">
        <f t="shared" si="104"/>
        <v>82.089336896867891</v>
      </c>
      <c r="BA31" s="460">
        <f t="shared" si="31"/>
        <v>6.7278508740710827E-2</v>
      </c>
      <c r="BB31" s="5">
        <f t="shared" si="32"/>
        <v>7.5794454231708297</v>
      </c>
      <c r="BC31" s="5"/>
      <c r="BD31" s="173">
        <f t="shared" si="105"/>
        <v>5.0993031072704493</v>
      </c>
      <c r="BE31" s="173">
        <f t="shared" si="33"/>
        <v>0.43396595979712604</v>
      </c>
      <c r="BF31" s="173"/>
      <c r="BG31" s="528">
        <f t="shared" si="34"/>
        <v>1.0401156871927224</v>
      </c>
      <c r="BH31" s="528">
        <f t="shared" si="35"/>
        <v>2.886935926087967</v>
      </c>
      <c r="BI31" s="528">
        <f t="shared" si="36"/>
        <v>0.16646941502591997</v>
      </c>
      <c r="BJ31" s="528">
        <f t="shared" si="37"/>
        <v>3.0945465446432282E-2</v>
      </c>
      <c r="BK31">
        <f t="shared" si="38"/>
        <v>5.3508026258331414E-3</v>
      </c>
      <c r="BL31" s="460">
        <f t="shared" si="106"/>
        <v>171.82021765175313</v>
      </c>
      <c r="BM31" s="528">
        <f t="shared" si="39"/>
        <v>5.6302372095998123</v>
      </c>
      <c r="BN31" s="460">
        <f t="shared" si="107"/>
        <v>5630.2372095998126</v>
      </c>
      <c r="BO31" s="528">
        <f t="shared" si="108"/>
        <v>0.135408</v>
      </c>
      <c r="BP31" s="528"/>
      <c r="BR31" s="460">
        <f t="shared" si="109"/>
        <v>135.40799999999999</v>
      </c>
      <c r="BS31" s="528">
        <f t="shared" si="40"/>
        <v>0.78008676539454169</v>
      </c>
      <c r="BT31" s="528">
        <f t="shared" si="41"/>
        <v>5.6497936278792245E-3</v>
      </c>
      <c r="BU31" s="528">
        <f t="shared" si="42"/>
        <v>0.39779999999999999</v>
      </c>
      <c r="BV31" s="528">
        <f t="shared" si="43"/>
        <v>1.4641481089498363</v>
      </c>
      <c r="BW31" s="528">
        <f t="shared" si="44"/>
        <v>2.6600036894779526</v>
      </c>
      <c r="BX31" s="460">
        <f t="shared" si="110"/>
        <v>4124.1517984277889</v>
      </c>
      <c r="BY31" s="173">
        <f t="shared" si="45"/>
        <v>10.061617225679354</v>
      </c>
      <c r="BZ31" s="5">
        <f t="shared" si="111"/>
        <v>26.52</v>
      </c>
      <c r="CA31" s="173">
        <f t="shared" si="112"/>
        <v>0.72495428062659961</v>
      </c>
      <c r="CB31" s="5">
        <f t="shared" si="113"/>
        <v>72.495428062659954</v>
      </c>
      <c r="CE31" s="562">
        <f t="shared" si="46"/>
        <v>-50</v>
      </c>
      <c r="CF31">
        <f t="shared" si="47"/>
        <v>-50</v>
      </c>
      <c r="CG31" s="173">
        <f t="shared" si="48"/>
        <v>0.35842794008739626</v>
      </c>
      <c r="CI31" s="170">
        <v>26</v>
      </c>
      <c r="CJ31" s="217">
        <f t="shared" si="114"/>
        <v>0.156</v>
      </c>
      <c r="CK31" s="217"/>
      <c r="CL31" s="217">
        <f t="shared" si="49"/>
        <v>26.52</v>
      </c>
      <c r="CM31" s="541">
        <f t="shared" si="50"/>
        <v>12.5</v>
      </c>
      <c r="CN31" s="172">
        <f t="shared" si="51"/>
        <v>8.5250000000000004</v>
      </c>
      <c r="CO31" s="443">
        <f t="shared" si="52"/>
        <v>21.024999999999999</v>
      </c>
      <c r="CP31" s="443"/>
      <c r="CQ31" s="217">
        <f t="shared" si="53"/>
        <v>0.40546967895362668</v>
      </c>
      <c r="CR31" s="172">
        <f t="shared" si="54"/>
        <v>170.84633868410626</v>
      </c>
      <c r="CS31" s="172">
        <f t="shared" si="115"/>
        <v>26.52</v>
      </c>
      <c r="CT31" s="217">
        <f t="shared" si="55"/>
        <v>1.0049784628476839</v>
      </c>
      <c r="CU31" s="217">
        <f t="shared" si="56"/>
        <v>170</v>
      </c>
      <c r="CV31" s="217">
        <f t="shared" si="57"/>
        <v>0.99379823272947732</v>
      </c>
      <c r="CW31" s="172">
        <f t="shared" si="58"/>
        <v>2420.9917920112862</v>
      </c>
      <c r="CX31" s="172">
        <f t="shared" si="59"/>
        <v>170</v>
      </c>
      <c r="CY31" s="217">
        <f t="shared" si="60"/>
        <v>10.464900879765395</v>
      </c>
      <c r="CZ31" s="217">
        <f t="shared" si="61"/>
        <v>0.41859603519061578</v>
      </c>
      <c r="DA31" s="217">
        <f t="shared" si="62"/>
        <v>0.6137771776988501</v>
      </c>
      <c r="DB31" s="197">
        <f t="shared" si="63"/>
        <v>350</v>
      </c>
      <c r="DC31" s="443">
        <f t="shared" si="116"/>
        <v>350</v>
      </c>
      <c r="DE31" s="217">
        <f t="shared" si="64"/>
        <v>28.962119925259049</v>
      </c>
      <c r="DF31" s="173">
        <f t="shared" si="65"/>
        <v>1.6986580601324954</v>
      </c>
      <c r="DG31" s="173">
        <f t="shared" si="66"/>
        <v>0.4304714614336958</v>
      </c>
      <c r="DH31" s="173"/>
      <c r="DI31" s="173">
        <f t="shared" si="67"/>
        <v>0.78201368523949166</v>
      </c>
      <c r="DJ31" s="545">
        <f t="shared" si="117"/>
        <v>598.45500000000004</v>
      </c>
      <c r="DK31" s="528">
        <f t="shared" si="68"/>
        <v>9.1234929944607357E-2</v>
      </c>
      <c r="DM31" s="173">
        <f t="shared" si="69"/>
        <v>17.434940288315953</v>
      </c>
      <c r="DN31" s="173">
        <f t="shared" si="70"/>
        <v>17.434940288315953</v>
      </c>
      <c r="DO31" s="173">
        <f t="shared" si="71"/>
        <v>4.2382273740611991</v>
      </c>
      <c r="DQ31" s="545">
        <f t="shared" si="72"/>
        <v>156</v>
      </c>
      <c r="DR31" s="460">
        <f t="shared" si="73"/>
        <v>350</v>
      </c>
      <c r="DT31">
        <f t="shared" si="74"/>
        <v>156</v>
      </c>
      <c r="DU31" s="460">
        <f t="shared" si="75"/>
        <v>350</v>
      </c>
      <c r="DV31" s="460"/>
      <c r="DW31" s="5">
        <f t="shared" si="118"/>
        <v>2.8571428571428572</v>
      </c>
      <c r="DX31" s="5">
        <f t="shared" si="76"/>
        <v>0.69739761153263802</v>
      </c>
      <c r="DY31" s="5">
        <f t="shared" si="119"/>
        <v>2.1597452456102193</v>
      </c>
      <c r="DZ31" s="5">
        <f t="shared" si="77"/>
        <v>1.0225771430097332</v>
      </c>
      <c r="EA31" s="173">
        <f t="shared" si="120"/>
        <v>0.24408916403642331</v>
      </c>
      <c r="EB31" s="173">
        <f t="shared" si="78"/>
        <v>26.597999999999992</v>
      </c>
      <c r="EC31" s="173">
        <f t="shared" si="79"/>
        <v>0.32948150720789887</v>
      </c>
      <c r="ED31" s="173">
        <f t="shared" si="121"/>
        <v>80.726837221905058</v>
      </c>
      <c r="EE31" s="460">
        <f t="shared" si="80"/>
        <v>6.3996486705347952E-2</v>
      </c>
      <c r="EF31" s="5">
        <f t="shared" si="81"/>
        <v>7.3313848209386263</v>
      </c>
      <c r="EG31" s="5"/>
      <c r="EH31" s="173">
        <f t="shared" si="122"/>
        <v>4.9731789526814199</v>
      </c>
      <c r="EI31" s="173">
        <f t="shared" si="82"/>
        <v>0.43758772089239661</v>
      </c>
      <c r="EJ31" s="173"/>
      <c r="EK31" s="528">
        <f t="shared" si="83"/>
        <v>0.98930035581573861</v>
      </c>
      <c r="EL31" s="528">
        <f t="shared" si="84"/>
        <v>3.5282325882827381</v>
      </c>
      <c r="EM31" s="528">
        <f t="shared" si="85"/>
        <v>6.9999999999999993E-2</v>
      </c>
      <c r="EN31" s="528">
        <f t="shared" si="86"/>
        <v>3.094354375E-2</v>
      </c>
      <c r="EO31">
        <f t="shared" si="87"/>
        <v>5.6249999999999998E-3</v>
      </c>
      <c r="EP31" s="460">
        <f t="shared" si="123"/>
        <v>75.625</v>
      </c>
      <c r="EQ31" s="528">
        <f t="shared" si="88"/>
        <v>6.394224762591409</v>
      </c>
      <c r="ER31" s="460">
        <f t="shared" si="124"/>
        <v>6394.2247625914088</v>
      </c>
      <c r="ES31" s="528">
        <f t="shared" si="125"/>
        <v>0.135408</v>
      </c>
      <c r="ET31" s="528"/>
      <c r="EV31" s="460">
        <f t="shared" si="126"/>
        <v>135.40799999999999</v>
      </c>
      <c r="EW31" s="528">
        <f t="shared" si="89"/>
        <v>0.74197526686180393</v>
      </c>
      <c r="EX31" s="528">
        <f t="shared" si="90"/>
        <v>5.7444904042740592E-3</v>
      </c>
      <c r="EY31" s="528">
        <f t="shared" si="91"/>
        <v>145.44248159453613</v>
      </c>
      <c r="EZ31" s="528">
        <f t="shared" si="92"/>
        <v>155.68218578692631</v>
      </c>
      <c r="FA31" s="528">
        <f t="shared" si="93"/>
        <v>2.6597999999999993</v>
      </c>
      <c r="FB31" s="460">
        <f t="shared" si="127"/>
        <v>158341.98578692629</v>
      </c>
      <c r="FC31" s="173">
        <f t="shared" si="128"/>
        <v>164.87161854951771</v>
      </c>
      <c r="FD31" s="5">
        <f t="shared" si="129"/>
        <v>26.52</v>
      </c>
      <c r="FE31" s="173">
        <f t="shared" si="130"/>
        <v>0.13856406148286282</v>
      </c>
      <c r="FF31" s="5">
        <f t="shared" si="131"/>
        <v>13.856406148286283</v>
      </c>
      <c r="FI31" s="562">
        <f t="shared" si="94"/>
        <v>-50</v>
      </c>
      <c r="FJ31">
        <f t="shared" si="95"/>
        <v>-50</v>
      </c>
      <c r="FL31">
        <f t="shared" si="96"/>
        <v>0.35790200005340667</v>
      </c>
    </row>
    <row r="32" spans="5:168">
      <c r="E32" s="170">
        <v>27</v>
      </c>
      <c r="F32" s="217">
        <f t="shared" si="97"/>
        <v>0.16200000000000001</v>
      </c>
      <c r="G32" s="217"/>
      <c r="H32" s="217">
        <f t="shared" si="0"/>
        <v>27.54</v>
      </c>
      <c r="I32" s="541">
        <f t="shared" si="1"/>
        <v>11.879065220816228</v>
      </c>
      <c r="J32" s="172">
        <f t="shared" si="2"/>
        <v>8.5256652872634113</v>
      </c>
      <c r="K32" s="172">
        <f t="shared" si="3"/>
        <v>21.025665287263411</v>
      </c>
      <c r="L32" s="443"/>
      <c r="M32" s="217">
        <f t="shared" si="4"/>
        <v>0.41782790775135792</v>
      </c>
      <c r="N32" s="172">
        <f t="shared" si="5"/>
        <v>167.30810910457308</v>
      </c>
      <c r="O32" s="172">
        <f t="shared" si="98"/>
        <v>27.54</v>
      </c>
      <c r="P32" s="217">
        <f t="shared" si="6"/>
        <v>0.98416534767395925</v>
      </c>
      <c r="Q32" s="217">
        <f t="shared" si="7"/>
        <v>170</v>
      </c>
      <c r="R32" s="217">
        <f t="shared" si="8"/>
        <v>0.97321666024618958</v>
      </c>
      <c r="S32" s="172">
        <f t="shared" si="9"/>
        <v>2206.7246176461053</v>
      </c>
      <c r="T32" s="172">
        <f t="shared" si="10"/>
        <v>170</v>
      </c>
      <c r="U32" s="217">
        <f t="shared" si="99"/>
        <v>11.130729360404366</v>
      </c>
      <c r="V32" s="217">
        <f t="shared" si="11"/>
        <v>0.46850190454798923</v>
      </c>
      <c r="W32" s="217">
        <f t="shared" si="12"/>
        <v>0.65277775899979851</v>
      </c>
      <c r="X32" s="197">
        <f t="shared" si="13"/>
        <v>350</v>
      </c>
      <c r="Y32" s="443">
        <f t="shared" si="14"/>
        <v>350</v>
      </c>
      <c r="AA32" s="217">
        <f t="shared" si="15"/>
        <v>28.362312205187205</v>
      </c>
      <c r="AB32" s="173">
        <f t="shared" si="16"/>
        <v>1.6633489146916185</v>
      </c>
      <c r="AC32" s="173">
        <f t="shared" si="17"/>
        <v>0.41279368571562608</v>
      </c>
      <c r="AD32" s="173"/>
      <c r="AE32" s="173">
        <f t="shared" si="18"/>
        <v>0.78195266199648683</v>
      </c>
      <c r="AF32" s="545">
        <f t="shared" si="100"/>
        <v>621.52099944150257</v>
      </c>
      <c r="AG32" s="528">
        <f t="shared" si="19"/>
        <v>9.1227810566256812E-2</v>
      </c>
      <c r="AI32" s="173">
        <f t="shared" si="20"/>
        <v>17.767757485555826</v>
      </c>
      <c r="AJ32" s="173">
        <f t="shared" si="21"/>
        <v>17.767757485555826</v>
      </c>
      <c r="AK32" s="173">
        <f t="shared" si="22"/>
        <v>4.4847586312759198</v>
      </c>
      <c r="AM32" s="545">
        <f t="shared" si="23"/>
        <v>162</v>
      </c>
      <c r="AN32" s="460">
        <f t="shared" si="24"/>
        <v>350</v>
      </c>
      <c r="AP32">
        <f t="shared" si="25"/>
        <v>162</v>
      </c>
      <c r="AQ32" s="460">
        <f t="shared" si="26"/>
        <v>350</v>
      </c>
      <c r="AR32" s="460"/>
      <c r="AS32" s="5">
        <f t="shared" si="101"/>
        <v>2.8571428571428572</v>
      </c>
      <c r="AT32" s="5">
        <f t="shared" si="27"/>
        <v>0.74786008643258284</v>
      </c>
      <c r="AU32" s="5">
        <f t="shared" si="102"/>
        <v>2.1092827707102746</v>
      </c>
      <c r="AV32" s="5">
        <f t="shared" si="28"/>
        <v>1.0420158947653786</v>
      </c>
      <c r="AW32" s="173">
        <f t="shared" si="103"/>
        <v>0.261751030251404</v>
      </c>
      <c r="AX32" s="173">
        <f t="shared" si="29"/>
        <v>27.623155530733442</v>
      </c>
      <c r="AY32" s="173">
        <f t="shared" si="30"/>
        <v>0.32792571646136232</v>
      </c>
      <c r="AZ32" s="173">
        <f t="shared" si="104"/>
        <v>84.236014878046703</v>
      </c>
      <c r="BA32" s="460">
        <f t="shared" si="31"/>
        <v>7.126666706004614E-2</v>
      </c>
      <c r="BB32" s="5">
        <f t="shared" si="32"/>
        <v>7.8241371926899195</v>
      </c>
      <c r="BC32" s="5"/>
      <c r="BD32" s="173">
        <f t="shared" si="105"/>
        <v>5.2482702525378135</v>
      </c>
      <c r="BE32" s="173">
        <f t="shared" si="33"/>
        <v>0.44070037453136751</v>
      </c>
      <c r="BF32" s="173"/>
      <c r="BG32" s="528">
        <f t="shared" si="34"/>
        <v>1.101773625746933</v>
      </c>
      <c r="BH32" s="528">
        <f t="shared" si="35"/>
        <v>2.9419340091479556</v>
      </c>
      <c r="BI32" s="528">
        <f t="shared" si="36"/>
        <v>0.1663069130914272</v>
      </c>
      <c r="BJ32" s="528">
        <f t="shared" si="37"/>
        <v>3.094550205404235E-2</v>
      </c>
      <c r="BK32">
        <f t="shared" si="38"/>
        <v>5.3455793493673029E-3</v>
      </c>
      <c r="BL32" s="460">
        <f t="shared" si="106"/>
        <v>171.6524924407945</v>
      </c>
      <c r="BM32" s="528">
        <f t="shared" si="39"/>
        <v>5.9225439398594384</v>
      </c>
      <c r="BN32" s="460">
        <f t="shared" si="107"/>
        <v>5922.5439398594381</v>
      </c>
      <c r="BO32" s="528">
        <f t="shared" si="108"/>
        <v>0.14061599999999999</v>
      </c>
      <c r="BP32" s="528"/>
      <c r="BR32" s="460">
        <f t="shared" si="109"/>
        <v>140.61599999999999</v>
      </c>
      <c r="BS32" s="528">
        <f t="shared" si="40"/>
        <v>0.82633021931019979</v>
      </c>
      <c r="BT32" s="528">
        <f t="shared" si="41"/>
        <v>5.8265046033626278E-3</v>
      </c>
      <c r="BU32" s="528">
        <f t="shared" si="42"/>
        <v>0.41309999999999997</v>
      </c>
      <c r="BV32" s="528">
        <f t="shared" si="43"/>
        <v>1.5480306679880718</v>
      </c>
      <c r="BW32" s="528">
        <f t="shared" si="44"/>
        <v>2.762315553073345</v>
      </c>
      <c r="BX32" s="460">
        <f t="shared" si="110"/>
        <v>4310.3462210614171</v>
      </c>
      <c r="BY32" s="173">
        <f t="shared" si="45"/>
        <v>10.545158653361648</v>
      </c>
      <c r="BZ32" s="5">
        <f t="shared" si="111"/>
        <v>27.54</v>
      </c>
      <c r="CA32" s="173">
        <f t="shared" si="112"/>
        <v>0.72311632598566422</v>
      </c>
      <c r="CB32" s="5">
        <f t="shared" si="113"/>
        <v>72.311632598566419</v>
      </c>
      <c r="CE32" s="562">
        <f t="shared" si="46"/>
        <v>-50</v>
      </c>
      <c r="CF32">
        <f t="shared" si="47"/>
        <v>-50</v>
      </c>
      <c r="CG32" s="173">
        <f t="shared" si="48"/>
        <v>0.36525575246104247</v>
      </c>
      <c r="CI32" s="170">
        <v>27</v>
      </c>
      <c r="CJ32" s="217">
        <f t="shared" si="114"/>
        <v>0.16200000000000001</v>
      </c>
      <c r="CK32" s="217"/>
      <c r="CL32" s="217">
        <f t="shared" si="49"/>
        <v>27.54</v>
      </c>
      <c r="CM32" s="541">
        <f t="shared" si="50"/>
        <v>12.5</v>
      </c>
      <c r="CN32" s="172">
        <f t="shared" si="51"/>
        <v>8.5250000000000004</v>
      </c>
      <c r="CO32" s="443">
        <f t="shared" si="52"/>
        <v>21.024999999999999</v>
      </c>
      <c r="CP32" s="443"/>
      <c r="CQ32" s="217">
        <f t="shared" si="53"/>
        <v>0.40546967895362668</v>
      </c>
      <c r="CR32" s="172">
        <f t="shared" si="54"/>
        <v>170.84633868410626</v>
      </c>
      <c r="CS32" s="172">
        <f t="shared" si="115"/>
        <v>27.54</v>
      </c>
      <c r="CT32" s="217">
        <f t="shared" si="55"/>
        <v>1.0049784628476839</v>
      </c>
      <c r="CU32" s="217">
        <f t="shared" si="56"/>
        <v>170</v>
      </c>
      <c r="CV32" s="217">
        <f t="shared" si="57"/>
        <v>0.99379823272947732</v>
      </c>
      <c r="CW32" s="172">
        <f t="shared" si="58"/>
        <v>2322.0702805899664</v>
      </c>
      <c r="CX32" s="172">
        <f t="shared" si="59"/>
        <v>170</v>
      </c>
      <c r="CY32" s="217">
        <f t="shared" si="60"/>
        <v>10.867397067448678</v>
      </c>
      <c r="CZ32" s="217">
        <f t="shared" si="61"/>
        <v>0.43469588269794712</v>
      </c>
      <c r="DA32" s="217">
        <f t="shared" si="62"/>
        <v>0.63738399222572883</v>
      </c>
      <c r="DB32" s="197">
        <f t="shared" si="63"/>
        <v>350</v>
      </c>
      <c r="DC32" s="443">
        <f t="shared" si="116"/>
        <v>350</v>
      </c>
      <c r="DE32" s="217">
        <f t="shared" si="64"/>
        <v>28.962119925259049</v>
      </c>
      <c r="DF32" s="173">
        <f t="shared" si="65"/>
        <v>1.6986580601324954</v>
      </c>
      <c r="DG32" s="173">
        <f t="shared" si="66"/>
        <v>0.4304714614336958</v>
      </c>
      <c r="DH32" s="173"/>
      <c r="DI32" s="173">
        <f t="shared" si="67"/>
        <v>0.78201368523949166</v>
      </c>
      <c r="DJ32" s="545">
        <f t="shared" si="117"/>
        <v>621.47249999999997</v>
      </c>
      <c r="DK32" s="528">
        <f t="shared" si="68"/>
        <v>9.1234929944607357E-2</v>
      </c>
      <c r="DM32" s="173">
        <f t="shared" si="69"/>
        <v>17.767064232128263</v>
      </c>
      <c r="DN32" s="173">
        <f t="shared" si="70"/>
        <v>17.767064232128263</v>
      </c>
      <c r="DO32" s="173">
        <f t="shared" si="71"/>
        <v>4.4842451102184659</v>
      </c>
      <c r="DQ32" s="545">
        <f t="shared" si="72"/>
        <v>162</v>
      </c>
      <c r="DR32" s="460">
        <f t="shared" si="73"/>
        <v>350</v>
      </c>
      <c r="DT32">
        <f t="shared" si="74"/>
        <v>162</v>
      </c>
      <c r="DU32" s="460">
        <f t="shared" si="75"/>
        <v>350</v>
      </c>
      <c r="DV32" s="460"/>
      <c r="DW32" s="5">
        <f t="shared" si="118"/>
        <v>2.8571428571428572</v>
      </c>
      <c r="DX32" s="5">
        <f t="shared" si="76"/>
        <v>0.71068256928513052</v>
      </c>
      <c r="DY32" s="5">
        <f t="shared" si="119"/>
        <v>2.1464602878577268</v>
      </c>
      <c r="DZ32" s="5">
        <f t="shared" si="77"/>
        <v>1.0420565532040034</v>
      </c>
      <c r="EA32" s="173">
        <f t="shared" si="120"/>
        <v>0.24873889924979567</v>
      </c>
      <c r="EB32" s="173">
        <f t="shared" si="78"/>
        <v>27.620999999999999</v>
      </c>
      <c r="EC32" s="173">
        <f t="shared" si="79"/>
        <v>0.33369260580320659</v>
      </c>
      <c r="ED32" s="173">
        <f t="shared" si="121"/>
        <v>82.773784973495438</v>
      </c>
      <c r="EE32" s="460">
        <f t="shared" si="80"/>
        <v>6.7723868367171258E-2</v>
      </c>
      <c r="EF32" s="5">
        <f t="shared" si="81"/>
        <v>7.5665300899330292</v>
      </c>
      <c r="EG32" s="5"/>
      <c r="EH32" s="173">
        <f t="shared" si="122"/>
        <v>5.1159571598707503</v>
      </c>
      <c r="EI32" s="173">
        <f t="shared" si="82"/>
        <v>0.44454988325615491</v>
      </c>
      <c r="EJ32" s="173"/>
      <c r="EK32" s="528">
        <f t="shared" si="83"/>
        <v>1.0469207064653119</v>
      </c>
      <c r="EL32" s="528">
        <f t="shared" si="84"/>
        <v>3.5954430577497809</v>
      </c>
      <c r="EM32" s="528">
        <f t="shared" si="85"/>
        <v>6.9999999999999993E-2</v>
      </c>
      <c r="EN32" s="528">
        <f t="shared" si="86"/>
        <v>3.094354375E-2</v>
      </c>
      <c r="EO32">
        <f t="shared" si="87"/>
        <v>5.6249999999999998E-3</v>
      </c>
      <c r="EP32" s="460">
        <f t="shared" si="123"/>
        <v>75.625</v>
      </c>
      <c r="EQ32" s="528">
        <f t="shared" si="88"/>
        <v>6.6976238451171008</v>
      </c>
      <c r="ER32" s="460">
        <f t="shared" si="124"/>
        <v>6697.6238451171012</v>
      </c>
      <c r="ES32" s="528">
        <f t="shared" si="125"/>
        <v>0.14061599999999999</v>
      </c>
      <c r="ET32" s="528"/>
      <c r="EV32" s="460">
        <f t="shared" si="126"/>
        <v>140.61599999999999</v>
      </c>
      <c r="EW32" s="528">
        <f t="shared" si="89"/>
        <v>0.78519052984898385</v>
      </c>
      <c r="EX32" s="528">
        <f t="shared" si="90"/>
        <v>5.9287379610918284E-3</v>
      </c>
      <c r="EY32" s="528">
        <f t="shared" si="91"/>
        <v>152.46820811402824</v>
      </c>
      <c r="EZ32" s="528">
        <f t="shared" si="92"/>
        <v>163.81710549012161</v>
      </c>
      <c r="FA32" s="528">
        <f t="shared" si="93"/>
        <v>2.7621000000000002</v>
      </c>
      <c r="FB32" s="460">
        <f t="shared" si="127"/>
        <v>166579.20549012162</v>
      </c>
      <c r="FC32" s="173">
        <f t="shared" si="128"/>
        <v>173.41744533523871</v>
      </c>
      <c r="FD32" s="5">
        <f t="shared" si="129"/>
        <v>27.54</v>
      </c>
      <c r="FE32" s="173">
        <f t="shared" si="130"/>
        <v>0.13704393959655273</v>
      </c>
      <c r="FF32" s="5">
        <f t="shared" si="131"/>
        <v>13.704393959655272</v>
      </c>
      <c r="FI32" s="562">
        <f t="shared" si="94"/>
        <v>-50</v>
      </c>
      <c r="FJ32">
        <f t="shared" si="95"/>
        <v>-50</v>
      </c>
      <c r="FL32">
        <f t="shared" si="96"/>
        <v>0.36471979362140128</v>
      </c>
    </row>
    <row r="33" spans="5:168">
      <c r="E33" s="170">
        <v>28</v>
      </c>
      <c r="F33" s="217">
        <f t="shared" si="97"/>
        <v>0.16800000000000001</v>
      </c>
      <c r="G33" s="217"/>
      <c r="H33" s="217">
        <f t="shared" si="0"/>
        <v>28.560000000000002</v>
      </c>
      <c r="I33" s="541">
        <f t="shared" si="1"/>
        <v>11.867670971724372</v>
      </c>
      <c r="J33" s="172">
        <f t="shared" si="2"/>
        <v>8.5256774953874395</v>
      </c>
      <c r="K33" s="172">
        <f t="shared" si="3"/>
        <v>21.025677495387441</v>
      </c>
      <c r="L33" s="443"/>
      <c r="M33" s="217">
        <f t="shared" si="4"/>
        <v>0.41806170715446278</v>
      </c>
      <c r="N33" s="172">
        <f t="shared" si="5"/>
        <v>167.24115825778009</v>
      </c>
      <c r="O33" s="172">
        <f t="shared" si="98"/>
        <v>28.560000000000002</v>
      </c>
      <c r="P33" s="217">
        <f t="shared" si="6"/>
        <v>0.98377151916341232</v>
      </c>
      <c r="Q33" s="217">
        <f t="shared" si="7"/>
        <v>170</v>
      </c>
      <c r="R33" s="217">
        <f t="shared" si="8"/>
        <v>0.97282721301697139</v>
      </c>
      <c r="S33" s="172">
        <f t="shared" si="9"/>
        <v>2117.399237046091</v>
      </c>
      <c r="T33" s="172">
        <f t="shared" si="10"/>
        <v>170</v>
      </c>
      <c r="U33" s="217">
        <f t="shared" si="99"/>
        <v>11.547616100567689</v>
      </c>
      <c r="V33" s="217">
        <f t="shared" si="11"/>
        <v>0.48651568315639865</v>
      </c>
      <c r="W33" s="217">
        <f t="shared" si="12"/>
        <v>0.67722571647914065</v>
      </c>
      <c r="X33" s="197">
        <f t="shared" si="13"/>
        <v>350</v>
      </c>
      <c r="Y33" s="443">
        <f t="shared" si="14"/>
        <v>350</v>
      </c>
      <c r="AA33" s="217">
        <f t="shared" si="15"/>
        <v>28.35096256702532</v>
      </c>
      <c r="AB33" s="173">
        <f t="shared" si="16"/>
        <v>1.6626809178721427</v>
      </c>
      <c r="AC33" s="173">
        <f t="shared" si="17"/>
        <v>0.41246278905562866</v>
      </c>
      <c r="AD33" s="173"/>
      <c r="AE33" s="173">
        <f t="shared" si="18"/>
        <v>0.78195154229953745</v>
      </c>
      <c r="AF33" s="545">
        <f t="shared" si="100"/>
        <v>644.54121865129048</v>
      </c>
      <c r="AG33" s="528">
        <f t="shared" si="19"/>
        <v>9.1227679934946029E-2</v>
      </c>
      <c r="AI33" s="173">
        <f t="shared" si="20"/>
        <v>18.093811533860897</v>
      </c>
      <c r="AJ33" s="173">
        <f t="shared" si="21"/>
        <v>18.093811533860897</v>
      </c>
      <c r="AK33" s="173">
        <f t="shared" si="22"/>
        <v>4.7262801485389359</v>
      </c>
      <c r="AM33" s="545">
        <f t="shared" si="23"/>
        <v>168</v>
      </c>
      <c r="AN33" s="460">
        <f t="shared" si="24"/>
        <v>350</v>
      </c>
      <c r="AP33">
        <f t="shared" si="25"/>
        <v>168</v>
      </c>
      <c r="AQ33" s="460">
        <f t="shared" si="26"/>
        <v>350</v>
      </c>
      <c r="AR33" s="460"/>
      <c r="AS33" s="5">
        <f t="shared" si="101"/>
        <v>2.8571428571428572</v>
      </c>
      <c r="AT33" s="5">
        <f t="shared" si="27"/>
        <v>0.76231518285983724</v>
      </c>
      <c r="AU33" s="5">
        <f t="shared" si="102"/>
        <v>2.0948276742830201</v>
      </c>
      <c r="AV33" s="5">
        <f t="shared" si="28"/>
        <v>1.0611362876234764</v>
      </c>
      <c r="AW33" s="173">
        <f t="shared" si="103"/>
        <v>0.26681031400094302</v>
      </c>
      <c r="AX33" s="173">
        <f t="shared" si="29"/>
        <v>28.646276384501796</v>
      </c>
      <c r="AY33" s="173">
        <f t="shared" si="30"/>
        <v>0.33165489992593966</v>
      </c>
      <c r="AZ33" s="173">
        <f t="shared" si="104"/>
        <v>86.3737469004639</v>
      </c>
      <c r="BA33" s="460">
        <f t="shared" si="31"/>
        <v>7.5334676894383917E-2</v>
      </c>
      <c r="BB33" s="5">
        <f t="shared" si="32"/>
        <v>8.0660515135707378</v>
      </c>
      <c r="BC33" s="5"/>
      <c r="BD33" s="173">
        <f t="shared" si="105"/>
        <v>5.3959851025622028</v>
      </c>
      <c r="BE33" s="173">
        <f t="shared" si="33"/>
        <v>0.44724718197515229</v>
      </c>
      <c r="BF33" s="173"/>
      <c r="BG33" s="528">
        <f t="shared" si="34"/>
        <v>1.1646662090829292</v>
      </c>
      <c r="BH33" s="528">
        <f t="shared" si="35"/>
        <v>2.9959228370395858</v>
      </c>
      <c r="BI33" s="528">
        <f t="shared" si="36"/>
        <v>0.16614739360414124</v>
      </c>
      <c r="BJ33" s="528">
        <f t="shared" si="37"/>
        <v>3.0945537989802929E-2</v>
      </c>
      <c r="BK33">
        <f t="shared" si="38"/>
        <v>5.3404519372759673E-3</v>
      </c>
      <c r="BL33" s="460">
        <f t="shared" si="106"/>
        <v>171.48784554141722</v>
      </c>
      <c r="BM33" s="528">
        <f t="shared" si="39"/>
        <v>6.2299851885270048</v>
      </c>
      <c r="BN33" s="460">
        <f t="shared" si="107"/>
        <v>6229.9851885270045</v>
      </c>
      <c r="BO33" s="528">
        <f t="shared" si="108"/>
        <v>0.14582399999999998</v>
      </c>
      <c r="BP33" s="528"/>
      <c r="BR33" s="460">
        <f t="shared" si="109"/>
        <v>145.82399999999998</v>
      </c>
      <c r="BS33" s="528">
        <f t="shared" si="40"/>
        <v>0.87349965681219677</v>
      </c>
      <c r="BT33" s="528">
        <f t="shared" si="41"/>
        <v>6.0009012535414494E-3</v>
      </c>
      <c r="BU33" s="528">
        <f t="shared" si="42"/>
        <v>0.4284</v>
      </c>
      <c r="BV33" s="528">
        <f t="shared" si="43"/>
        <v>1.6339451453782319</v>
      </c>
      <c r="BW33" s="528">
        <f t="shared" si="44"/>
        <v>2.8646276384501799</v>
      </c>
      <c r="BX33" s="460">
        <f t="shared" si="110"/>
        <v>4498.572783828411</v>
      </c>
      <c r="BY33" s="173">
        <f t="shared" si="45"/>
        <v>11.045869817896834</v>
      </c>
      <c r="BZ33" s="5">
        <f t="shared" si="111"/>
        <v>28.560000000000002</v>
      </c>
      <c r="CA33" s="173">
        <f t="shared" si="112"/>
        <v>0.72110523342412491</v>
      </c>
      <c r="CB33" s="5">
        <f t="shared" si="113"/>
        <v>72.110523342412492</v>
      </c>
      <c r="CE33" s="562">
        <f t="shared" si="46"/>
        <v>-50</v>
      </c>
      <c r="CF33">
        <f t="shared" si="47"/>
        <v>-50</v>
      </c>
      <c r="CG33" s="173">
        <f t="shared" si="48"/>
        <v>0.37195825192684001</v>
      </c>
      <c r="CI33" s="170">
        <v>28</v>
      </c>
      <c r="CJ33" s="217">
        <f t="shared" si="114"/>
        <v>0.16800000000000001</v>
      </c>
      <c r="CK33" s="217"/>
      <c r="CL33" s="217">
        <f t="shared" si="49"/>
        <v>28.560000000000002</v>
      </c>
      <c r="CM33" s="541">
        <f t="shared" si="50"/>
        <v>12.5</v>
      </c>
      <c r="CN33" s="172">
        <f t="shared" si="51"/>
        <v>8.5250000000000004</v>
      </c>
      <c r="CO33" s="443">
        <f t="shared" si="52"/>
        <v>21.024999999999999</v>
      </c>
      <c r="CP33" s="443"/>
      <c r="CQ33" s="217">
        <f t="shared" si="53"/>
        <v>0.40546967895362668</v>
      </c>
      <c r="CR33" s="172">
        <f t="shared" si="54"/>
        <v>170.84633868410626</v>
      </c>
      <c r="CS33" s="172">
        <f t="shared" si="115"/>
        <v>28.560000000000002</v>
      </c>
      <c r="CT33" s="217">
        <f t="shared" si="55"/>
        <v>1.0049784628476839</v>
      </c>
      <c r="CU33" s="217">
        <f t="shared" si="56"/>
        <v>170</v>
      </c>
      <c r="CV33" s="217">
        <f t="shared" si="57"/>
        <v>0.99379823272947732</v>
      </c>
      <c r="CW33" s="172">
        <f t="shared" si="58"/>
        <v>2230.2147660096175</v>
      </c>
      <c r="CX33" s="172">
        <f t="shared" si="59"/>
        <v>170</v>
      </c>
      <c r="CY33" s="217">
        <f t="shared" si="60"/>
        <v>11.269893255131963</v>
      </c>
      <c r="CZ33" s="217">
        <f t="shared" si="61"/>
        <v>0.45079573020527852</v>
      </c>
      <c r="DA33" s="217">
        <f t="shared" si="62"/>
        <v>0.66099080675260768</v>
      </c>
      <c r="DB33" s="197">
        <f t="shared" si="63"/>
        <v>350</v>
      </c>
      <c r="DC33" s="443">
        <f t="shared" si="116"/>
        <v>350</v>
      </c>
      <c r="DE33" s="217">
        <f t="shared" si="64"/>
        <v>28.962119925259049</v>
      </c>
      <c r="DF33" s="173">
        <f t="shared" si="65"/>
        <v>1.6986580601324954</v>
      </c>
      <c r="DG33" s="173">
        <f t="shared" si="66"/>
        <v>0.4304714614336958</v>
      </c>
      <c r="DH33" s="173"/>
      <c r="DI33" s="173">
        <f t="shared" si="67"/>
        <v>0.78201368523949166</v>
      </c>
      <c r="DJ33" s="545">
        <f t="shared" si="117"/>
        <v>644.49</v>
      </c>
      <c r="DK33" s="528">
        <f t="shared" si="68"/>
        <v>9.1234929944607357E-2</v>
      </c>
      <c r="DM33" s="173">
        <f t="shared" si="69"/>
        <v>18.093092604637828</v>
      </c>
      <c r="DN33" s="173">
        <f t="shared" si="70"/>
        <v>18.093092604637828</v>
      </c>
      <c r="DO33" s="173">
        <f t="shared" si="71"/>
        <v>4.7257476083736991</v>
      </c>
      <c r="DQ33" s="545">
        <f t="shared" si="72"/>
        <v>168</v>
      </c>
      <c r="DR33" s="460">
        <f t="shared" si="73"/>
        <v>350</v>
      </c>
      <c r="DT33">
        <f t="shared" si="74"/>
        <v>168</v>
      </c>
      <c r="DU33" s="460">
        <f t="shared" si="75"/>
        <v>350</v>
      </c>
      <c r="DV33" s="460"/>
      <c r="DW33" s="5">
        <f t="shared" si="118"/>
        <v>2.8571428571428572</v>
      </c>
      <c r="DX33" s="5">
        <f t="shared" si="76"/>
        <v>0.72372370418551313</v>
      </c>
      <c r="DY33" s="5">
        <f t="shared" si="119"/>
        <v>2.1334191529573441</v>
      </c>
      <c r="DZ33" s="5">
        <f t="shared" si="77"/>
        <v>1.0611784518849166</v>
      </c>
      <c r="EA33" s="173">
        <f t="shared" si="120"/>
        <v>0.25330329646492961</v>
      </c>
      <c r="EB33" s="173">
        <f t="shared" si="78"/>
        <v>28.644000000000005</v>
      </c>
      <c r="EC33" s="173">
        <f t="shared" si="79"/>
        <v>0.33775131511594569</v>
      </c>
      <c r="ED33" s="173">
        <f t="shared" si="121"/>
        <v>84.807959933973578</v>
      </c>
      <c r="EE33" s="460">
        <f t="shared" si="80"/>
        <v>7.1520930766568361E-2</v>
      </c>
      <c r="EF33" s="5">
        <f t="shared" si="81"/>
        <v>7.7990977290831038</v>
      </c>
      <c r="EG33" s="5"/>
      <c r="EH33" s="173">
        <f t="shared" si="122"/>
        <v>5.2574191111469446</v>
      </c>
      <c r="EI33" s="173">
        <f t="shared" si="82"/>
        <v>0.4513301017264052</v>
      </c>
      <c r="EJ33" s="173"/>
      <c r="EK33" s="528">
        <f t="shared" si="83"/>
        <v>1.1056182284101252</v>
      </c>
      <c r="EL33" s="528">
        <f t="shared" si="84"/>
        <v>3.6614199931204117</v>
      </c>
      <c r="EM33" s="528">
        <f t="shared" si="85"/>
        <v>6.9999999999999993E-2</v>
      </c>
      <c r="EN33" s="528">
        <f t="shared" si="86"/>
        <v>3.094354375E-2</v>
      </c>
      <c r="EO33">
        <f t="shared" si="87"/>
        <v>5.6249999999999998E-3</v>
      </c>
      <c r="EP33" s="460">
        <f t="shared" si="123"/>
        <v>75.625</v>
      </c>
      <c r="EQ33" s="528">
        <f t="shared" si="88"/>
        <v>7.0149028188058269</v>
      </c>
      <c r="ER33" s="460">
        <f t="shared" si="124"/>
        <v>7014.9028188058273</v>
      </c>
      <c r="ES33" s="528">
        <f t="shared" si="125"/>
        <v>0.14582399999999998</v>
      </c>
      <c r="ET33" s="528"/>
      <c r="EV33" s="460">
        <f t="shared" si="126"/>
        <v>145.82399999999998</v>
      </c>
      <c r="EW33" s="528">
        <f t="shared" si="89"/>
        <v>0.82921367130759382</v>
      </c>
      <c r="EX33" s="528">
        <f t="shared" si="90"/>
        <v>6.1109658217310178E-3</v>
      </c>
      <c r="EY33" s="528">
        <f t="shared" si="91"/>
        <v>159.55930290099622</v>
      </c>
      <c r="EZ33" s="528">
        <f t="shared" si="92"/>
        <v>172.09555822939996</v>
      </c>
      <c r="FA33" s="528">
        <f t="shared" si="93"/>
        <v>2.8644000000000012</v>
      </c>
      <c r="FB33" s="460">
        <f t="shared" si="127"/>
        <v>174959.95822939996</v>
      </c>
      <c r="FC33" s="173">
        <f t="shared" si="128"/>
        <v>182.12068504820576</v>
      </c>
      <c r="FD33" s="5">
        <f t="shared" si="129"/>
        <v>28.560000000000002</v>
      </c>
      <c r="FE33" s="173">
        <f t="shared" si="130"/>
        <v>0.13556059965091341</v>
      </c>
      <c r="FF33" s="5">
        <f t="shared" si="131"/>
        <v>13.556059965091341</v>
      </c>
      <c r="FI33" s="562">
        <f t="shared" si="94"/>
        <v>-50</v>
      </c>
      <c r="FJ33">
        <f t="shared" si="95"/>
        <v>-50</v>
      </c>
      <c r="FL33">
        <f t="shared" si="96"/>
        <v>0.37141245815972074</v>
      </c>
    </row>
    <row r="34" spans="5:168">
      <c r="E34" s="170">
        <v>29</v>
      </c>
      <c r="F34" s="217">
        <f t="shared" si="97"/>
        <v>0.17399999999999999</v>
      </c>
      <c r="G34" s="217"/>
      <c r="H34" s="217">
        <f t="shared" si="0"/>
        <v>29.58</v>
      </c>
      <c r="I34" s="541">
        <f t="shared" si="1"/>
        <v>11.856478438589662</v>
      </c>
      <c r="J34" s="172">
        <f t="shared" si="2"/>
        <v>8.5256894873872255</v>
      </c>
      <c r="K34" s="172">
        <f t="shared" si="3"/>
        <v>21.025689487387226</v>
      </c>
      <c r="L34" s="443"/>
      <c r="M34" s="217">
        <f t="shared" si="4"/>
        <v>0.41829162176181717</v>
      </c>
      <c r="N34" s="172">
        <f t="shared" si="5"/>
        <v>167.17531941331274</v>
      </c>
      <c r="O34" s="172">
        <f t="shared" si="98"/>
        <v>29.58</v>
      </c>
      <c r="P34" s="217">
        <f t="shared" si="6"/>
        <v>0.98338423184301604</v>
      </c>
      <c r="Q34" s="217">
        <f t="shared" si="7"/>
        <v>170</v>
      </c>
      <c r="R34" s="217">
        <f t="shared" si="8"/>
        <v>0.97244423420817416</v>
      </c>
      <c r="S34" s="172">
        <f t="shared" si="9"/>
        <v>2034.2847229039576</v>
      </c>
      <c r="T34" s="172">
        <f t="shared" si="10"/>
        <v>170</v>
      </c>
      <c r="U34" s="217">
        <f t="shared" si="99"/>
        <v>11.964758047803461</v>
      </c>
      <c r="V34" s="217">
        <f t="shared" si="11"/>
        <v>0.50456626348939226</v>
      </c>
      <c r="W34" s="217">
        <f t="shared" si="12"/>
        <v>0.70168858867684192</v>
      </c>
      <c r="X34" s="197">
        <f t="shared" si="13"/>
        <v>350</v>
      </c>
      <c r="Y34" s="443">
        <f t="shared" si="14"/>
        <v>350</v>
      </c>
      <c r="AA34" s="217">
        <f t="shared" si="15"/>
        <v>28.339801437758798</v>
      </c>
      <c r="AB34" s="173">
        <f t="shared" si="16"/>
        <v>1.662024020443406</v>
      </c>
      <c r="AC34" s="173">
        <f t="shared" si="17"/>
        <v>0.41213751883632738</v>
      </c>
      <c r="AD34" s="173"/>
      <c r="AE34" s="173">
        <f t="shared" si="18"/>
        <v>0.78195044242805589</v>
      </c>
      <c r="AF34" s="545">
        <f t="shared" si="100"/>
        <v>667.56148686241966</v>
      </c>
      <c r="AG34" s="528">
        <f t="shared" si="19"/>
        <v>9.1227551616606548E-2</v>
      </c>
      <c r="AI34" s="173">
        <f t="shared" si="20"/>
        <v>18.414093799853429</v>
      </c>
      <c r="AJ34" s="173">
        <f t="shared" si="21"/>
        <v>18.414093799853429</v>
      </c>
      <c r="AK34" s="173">
        <f t="shared" si="22"/>
        <v>4.9635262714963666</v>
      </c>
      <c r="AM34" s="545">
        <f t="shared" si="23"/>
        <v>174</v>
      </c>
      <c r="AN34" s="460">
        <f t="shared" si="24"/>
        <v>350</v>
      </c>
      <c r="AP34">
        <f t="shared" si="25"/>
        <v>174</v>
      </c>
      <c r="AQ34" s="460">
        <f t="shared" si="26"/>
        <v>350</v>
      </c>
      <c r="AR34" s="460"/>
      <c r="AS34" s="5">
        <f t="shared" si="101"/>
        <v>2.8571428571428572</v>
      </c>
      <c r="AT34" s="5">
        <f t="shared" si="27"/>
        <v>0.77654144505169775</v>
      </c>
      <c r="AU34" s="5">
        <f t="shared" si="102"/>
        <v>2.0806014120911596</v>
      </c>
      <c r="AV34" s="5">
        <f t="shared" si="28"/>
        <v>1.0799181595280334</v>
      </c>
      <c r="AW34" s="173">
        <f t="shared" si="103"/>
        <v>0.27178950576809419</v>
      </c>
      <c r="AX34" s="173">
        <f t="shared" si="29"/>
        <v>29.669399416107542</v>
      </c>
      <c r="AY34" s="173">
        <f t="shared" si="30"/>
        <v>0.33523340867059848</v>
      </c>
      <c r="AZ34" s="173">
        <f t="shared" si="104"/>
        <v>88.503707114886026</v>
      </c>
      <c r="BA34" s="460">
        <f t="shared" si="31"/>
        <v>7.9481300846467887E-2</v>
      </c>
      <c r="BB34" s="5">
        <f t="shared" si="32"/>
        <v>8.305223523281132</v>
      </c>
      <c r="BC34" s="5"/>
      <c r="BD34" s="173">
        <f t="shared" si="105"/>
        <v>5.542504643979429</v>
      </c>
      <c r="BE34" s="173">
        <f t="shared" si="33"/>
        <v>0.45361582247922078</v>
      </c>
      <c r="BF34" s="173"/>
      <c r="BG34" s="528">
        <f t="shared" si="34"/>
        <v>1.2287743091413414</v>
      </c>
      <c r="BH34" s="528">
        <f t="shared" si="35"/>
        <v>3.0489560201153068</v>
      </c>
      <c r="BI34" s="528">
        <f t="shared" si="36"/>
        <v>0.16599069814025527</v>
      </c>
      <c r="BJ34" s="528">
        <f t="shared" si="37"/>
        <v>3.0945573289401802E-2</v>
      </c>
      <c r="BK34">
        <f t="shared" si="38"/>
        <v>5.3354152973653472E-3</v>
      </c>
      <c r="BL34" s="460">
        <f t="shared" si="106"/>
        <v>171.32611343762062</v>
      </c>
      <c r="BM34" s="528">
        <f t="shared" si="39"/>
        <v>6.5539006768944406</v>
      </c>
      <c r="BN34" s="460">
        <f t="shared" si="107"/>
        <v>6553.9006768944409</v>
      </c>
      <c r="BO34" s="528">
        <f t="shared" si="108"/>
        <v>0.15103199999999997</v>
      </c>
      <c r="BP34" s="528"/>
      <c r="BR34" s="460">
        <f t="shared" si="109"/>
        <v>151.03199999999998</v>
      </c>
      <c r="BS34" s="528">
        <f t="shared" si="40"/>
        <v>0.92158073185600609</v>
      </c>
      <c r="BT34" s="528">
        <f t="shared" si="41"/>
        <v>6.1730194321049977E-3</v>
      </c>
      <c r="BU34" s="528">
        <f t="shared" si="42"/>
        <v>0.44369999999999998</v>
      </c>
      <c r="BV34" s="528">
        <f t="shared" si="43"/>
        <v>1.7219157557404847</v>
      </c>
      <c r="BW34" s="528">
        <f t="shared" si="44"/>
        <v>2.9669399416107547</v>
      </c>
      <c r="BX34" s="460">
        <f t="shared" si="110"/>
        <v>4688.8556973512395</v>
      </c>
      <c r="BY34" s="173">
        <f t="shared" si="45"/>
        <v>11.565114487683301</v>
      </c>
      <c r="BZ34" s="5">
        <f t="shared" si="111"/>
        <v>29.58</v>
      </c>
      <c r="CA34" s="173">
        <f t="shared" si="112"/>
        <v>0.71891888911512702</v>
      </c>
      <c r="CB34" s="5">
        <f t="shared" si="113"/>
        <v>71.891888911512709</v>
      </c>
      <c r="CE34" s="562">
        <f t="shared" si="46"/>
        <v>-50</v>
      </c>
      <c r="CF34">
        <f t="shared" si="47"/>
        <v>-50</v>
      </c>
      <c r="CG34" s="173">
        <f t="shared" si="48"/>
        <v>0.37854209494725782</v>
      </c>
      <c r="CI34" s="170">
        <v>29</v>
      </c>
      <c r="CJ34" s="217">
        <f t="shared" si="114"/>
        <v>0.17399999999999999</v>
      </c>
      <c r="CK34" s="217"/>
      <c r="CL34" s="217">
        <f t="shared" si="49"/>
        <v>29.58</v>
      </c>
      <c r="CM34" s="541">
        <f t="shared" si="50"/>
        <v>12.5</v>
      </c>
      <c r="CN34" s="172">
        <f t="shared" si="51"/>
        <v>8.5250000000000004</v>
      </c>
      <c r="CO34" s="443">
        <f t="shared" si="52"/>
        <v>21.024999999999999</v>
      </c>
      <c r="CP34" s="443"/>
      <c r="CQ34" s="217">
        <f t="shared" si="53"/>
        <v>0.40546967895362668</v>
      </c>
      <c r="CR34" s="172">
        <f t="shared" si="54"/>
        <v>170.84633868410626</v>
      </c>
      <c r="CS34" s="172">
        <f t="shared" si="115"/>
        <v>29.58</v>
      </c>
      <c r="CT34" s="217">
        <f t="shared" si="55"/>
        <v>1.0049784628476839</v>
      </c>
      <c r="CU34" s="217">
        <f t="shared" si="56"/>
        <v>170</v>
      </c>
      <c r="CV34" s="217">
        <f t="shared" si="57"/>
        <v>0.99379823272947732</v>
      </c>
      <c r="CW34" s="172">
        <f t="shared" si="58"/>
        <v>2144.694285106114</v>
      </c>
      <c r="CX34" s="172">
        <f t="shared" si="59"/>
        <v>170</v>
      </c>
      <c r="CY34" s="217">
        <f t="shared" si="60"/>
        <v>11.672389442815247</v>
      </c>
      <c r="CZ34" s="217">
        <f t="shared" si="61"/>
        <v>0.46689557771260981</v>
      </c>
      <c r="DA34" s="217">
        <f t="shared" si="62"/>
        <v>0.68459762127948653</v>
      </c>
      <c r="DB34" s="197">
        <f t="shared" si="63"/>
        <v>350</v>
      </c>
      <c r="DC34" s="443">
        <f t="shared" si="116"/>
        <v>350</v>
      </c>
      <c r="DE34" s="217">
        <f t="shared" si="64"/>
        <v>28.962119925259049</v>
      </c>
      <c r="DF34" s="173">
        <f t="shared" si="65"/>
        <v>1.6986580601324954</v>
      </c>
      <c r="DG34" s="173">
        <f t="shared" si="66"/>
        <v>0.4304714614336958</v>
      </c>
      <c r="DH34" s="173"/>
      <c r="DI34" s="173">
        <f t="shared" si="67"/>
        <v>0.78201368523949166</v>
      </c>
      <c r="DJ34" s="545">
        <f t="shared" si="117"/>
        <v>667.50749999999994</v>
      </c>
      <c r="DK34" s="528">
        <f t="shared" si="68"/>
        <v>9.1234929944607357E-2</v>
      </c>
      <c r="DM34" s="173">
        <f t="shared" si="69"/>
        <v>18.413349194848518</v>
      </c>
      <c r="DN34" s="173">
        <f t="shared" si="70"/>
        <v>18.413349194848518</v>
      </c>
      <c r="DO34" s="173">
        <f t="shared" si="71"/>
        <v>4.9629747122334695</v>
      </c>
      <c r="DQ34" s="545">
        <f t="shared" si="72"/>
        <v>174</v>
      </c>
      <c r="DR34" s="460">
        <f t="shared" si="73"/>
        <v>350</v>
      </c>
      <c r="DT34">
        <f t="shared" si="74"/>
        <v>174</v>
      </c>
      <c r="DU34" s="460">
        <f t="shared" si="75"/>
        <v>350</v>
      </c>
      <c r="DV34" s="460"/>
      <c r="DW34" s="5">
        <f t="shared" si="118"/>
        <v>2.8571428571428572</v>
      </c>
      <c r="DX34" s="5">
        <f t="shared" si="76"/>
        <v>0.73653396779394076</v>
      </c>
      <c r="DY34" s="5">
        <f t="shared" si="119"/>
        <v>2.1206088893489166</v>
      </c>
      <c r="DZ34" s="5">
        <f t="shared" si="77"/>
        <v>1.0799618296098838</v>
      </c>
      <c r="EA34" s="173">
        <f t="shared" si="120"/>
        <v>0.25778688872787925</v>
      </c>
      <c r="EB34" s="173">
        <f t="shared" si="78"/>
        <v>29.666999999999998</v>
      </c>
      <c r="EC34" s="173">
        <f t="shared" si="79"/>
        <v>0.34166572987121296</v>
      </c>
      <c r="ED34" s="173">
        <f t="shared" si="121"/>
        <v>86.830481977758311</v>
      </c>
      <c r="EE34" s="460">
        <f t="shared" si="80"/>
        <v>7.5386417880085696E-2</v>
      </c>
      <c r="EF34" s="5">
        <f t="shared" si="81"/>
        <v>8.029134201208441</v>
      </c>
      <c r="EG34" s="5"/>
      <c r="EH34" s="173">
        <f t="shared" si="122"/>
        <v>5.3976233316207898</v>
      </c>
      <c r="EI34" s="173">
        <f t="shared" si="82"/>
        <v>0.45793778296588977</v>
      </c>
      <c r="EJ34" s="173"/>
      <c r="EK34" s="528">
        <f t="shared" si="83"/>
        <v>1.1653735052022847</v>
      </c>
      <c r="EL34" s="528">
        <f t="shared" si="84"/>
        <v>3.7262289181587667</v>
      </c>
      <c r="EM34" s="528">
        <f t="shared" si="85"/>
        <v>6.9999999999999993E-2</v>
      </c>
      <c r="EN34" s="528">
        <f t="shared" si="86"/>
        <v>3.094354375E-2</v>
      </c>
      <c r="EO34">
        <f t="shared" si="87"/>
        <v>5.6249999999999998E-3</v>
      </c>
      <c r="EP34" s="460">
        <f t="shared" si="123"/>
        <v>75.625</v>
      </c>
      <c r="EQ34" s="528">
        <f t="shared" si="88"/>
        <v>7.3472113238736441</v>
      </c>
      <c r="ER34" s="460">
        <f t="shared" si="124"/>
        <v>7347.2113238736438</v>
      </c>
      <c r="ES34" s="528">
        <f t="shared" si="125"/>
        <v>0.15103199999999997</v>
      </c>
      <c r="ET34" s="528"/>
      <c r="EV34" s="460">
        <f t="shared" si="126"/>
        <v>151.03199999999998</v>
      </c>
      <c r="EW34" s="528">
        <f t="shared" si="89"/>
        <v>0.87403012890171339</v>
      </c>
      <c r="EX34" s="528">
        <f t="shared" si="90"/>
        <v>6.291210392031431E-3</v>
      </c>
      <c r="EY34" s="528">
        <f t="shared" si="91"/>
        <v>166.71400641429301</v>
      </c>
      <c r="EZ34" s="528">
        <f t="shared" si="92"/>
        <v>180.51876667045656</v>
      </c>
      <c r="FA34" s="528">
        <f t="shared" si="93"/>
        <v>2.9666999999999999</v>
      </c>
      <c r="FB34" s="460">
        <f t="shared" si="127"/>
        <v>183485.46667045655</v>
      </c>
      <c r="FC34" s="173">
        <f t="shared" si="128"/>
        <v>190.98370999433021</v>
      </c>
      <c r="FD34" s="5">
        <f t="shared" si="129"/>
        <v>29.58</v>
      </c>
      <c r="FE34" s="173">
        <f t="shared" si="130"/>
        <v>0.1341109106333058</v>
      </c>
      <c r="FF34" s="5">
        <f t="shared" si="131"/>
        <v>13.411091063330579</v>
      </c>
      <c r="FI34" s="562">
        <f t="shared" si="94"/>
        <v>-50</v>
      </c>
      <c r="FJ34">
        <f t="shared" si="95"/>
        <v>-50</v>
      </c>
      <c r="FL34">
        <f t="shared" si="96"/>
        <v>0.3779866403634593</v>
      </c>
    </row>
    <row r="35" spans="5:168">
      <c r="E35" s="170">
        <v>30</v>
      </c>
      <c r="F35" s="217">
        <f t="shared" si="97"/>
        <v>0.18</v>
      </c>
      <c r="G35" s="217"/>
      <c r="H35" s="217">
        <f t="shared" si="0"/>
        <v>30.599999999999998</v>
      </c>
      <c r="I35" s="541">
        <f t="shared" si="1"/>
        <v>11.845477273121856</v>
      </c>
      <c r="J35" s="172">
        <f t="shared" si="2"/>
        <v>8.5257012743502276</v>
      </c>
      <c r="K35" s="172">
        <f t="shared" si="3"/>
        <v>21.025701274350226</v>
      </c>
      <c r="L35" s="443"/>
      <c r="M35" s="217">
        <f t="shared" si="4"/>
        <v>0.41851785127288105</v>
      </c>
      <c r="N35" s="172">
        <f t="shared" si="5"/>
        <v>167.11053540749182</v>
      </c>
      <c r="O35" s="172">
        <f t="shared" si="98"/>
        <v>30.599999999999998</v>
      </c>
      <c r="P35" s="217">
        <f t="shared" si="6"/>
        <v>0.98300314945583422</v>
      </c>
      <c r="Q35" s="217">
        <f t="shared" si="7"/>
        <v>170</v>
      </c>
      <c r="R35" s="217">
        <f t="shared" si="8"/>
        <v>0.97206739130366793</v>
      </c>
      <c r="S35" s="172">
        <f t="shared" si="9"/>
        <v>1956.7578777471836</v>
      </c>
      <c r="T35" s="172">
        <f t="shared" si="10"/>
        <v>170</v>
      </c>
      <c r="U35" s="217">
        <f t="shared" si="99"/>
        <v>12.382151396669707</v>
      </c>
      <c r="V35" s="217">
        <f t="shared" si="11"/>
        <v>0.52265312368483441</v>
      </c>
      <c r="W35" s="217">
        <f t="shared" si="12"/>
        <v>0.7261661532712681</v>
      </c>
      <c r="X35" s="197">
        <f t="shared" si="13"/>
        <v>350</v>
      </c>
      <c r="Y35" s="443">
        <f t="shared" si="14"/>
        <v>350</v>
      </c>
      <c r="AA35" s="217">
        <f t="shared" si="15"/>
        <v>28.328819126884657</v>
      </c>
      <c r="AB35" s="173">
        <f t="shared" si="16"/>
        <v>1.6613776518368391</v>
      </c>
      <c r="AC35" s="173">
        <f t="shared" si="17"/>
        <v>0.41181758625292386</v>
      </c>
      <c r="AD35" s="173"/>
      <c r="AE35" s="173">
        <f t="shared" si="18"/>
        <v>0.7819493613649694</v>
      </c>
      <c r="AF35" s="545">
        <f t="shared" si="100"/>
        <v>690.58180322236831</v>
      </c>
      <c r="AG35" s="528">
        <f t="shared" si="19"/>
        <v>9.1227425492579783E-2</v>
      </c>
      <c r="AI35" s="173">
        <f t="shared" si="20"/>
        <v>18.728900383451947</v>
      </c>
      <c r="AJ35" s="173">
        <f t="shared" si="21"/>
        <v>18.728900383451947</v>
      </c>
      <c r="AK35" s="173">
        <f t="shared" si="22"/>
        <v>5.196716333421195</v>
      </c>
      <c r="AM35" s="545">
        <f t="shared" si="23"/>
        <v>180</v>
      </c>
      <c r="AN35" s="460">
        <f t="shared" si="24"/>
        <v>350</v>
      </c>
      <c r="AP35">
        <f t="shared" si="25"/>
        <v>180</v>
      </c>
      <c r="AQ35" s="460">
        <f t="shared" si="26"/>
        <v>350</v>
      </c>
      <c r="AR35" s="460"/>
      <c r="AS35" s="5">
        <f t="shared" si="101"/>
        <v>2.8571428571428572</v>
      </c>
      <c r="AT35" s="5">
        <f t="shared" si="27"/>
        <v>0.79055068662995187</v>
      </c>
      <c r="AU35" s="5">
        <f t="shared" si="102"/>
        <v>2.0665921705129051</v>
      </c>
      <c r="AV35" s="5">
        <f t="shared" si="28"/>
        <v>1.0983788770431286</v>
      </c>
      <c r="AW35" s="173">
        <f t="shared" si="103"/>
        <v>0.27669274032048313</v>
      </c>
      <c r="AX35" s="173">
        <f t="shared" si="29"/>
        <v>30.692524587660813</v>
      </c>
      <c r="AY35" s="173">
        <f t="shared" si="30"/>
        <v>0.33866874032913202</v>
      </c>
      <c r="AZ35" s="173">
        <f t="shared" si="104"/>
        <v>90.626978320563552</v>
      </c>
      <c r="BA35" s="460">
        <f t="shared" si="31"/>
        <v>8.3705366819641969E-2</v>
      </c>
      <c r="BB35" s="5">
        <f t="shared" si="32"/>
        <v>8.5416864458384048</v>
      </c>
      <c r="BC35" s="5"/>
      <c r="BD35" s="173">
        <f t="shared" si="105"/>
        <v>5.6878814318610091</v>
      </c>
      <c r="BE35" s="173">
        <f t="shared" si="33"/>
        <v>0.4598149301843612</v>
      </c>
      <c r="BF35" s="173"/>
      <c r="BG35" s="528">
        <f t="shared" si="34"/>
        <v>1.2940798073163697</v>
      </c>
      <c r="BH35" s="528">
        <f t="shared" si="35"/>
        <v>3.1010825841937519</v>
      </c>
      <c r="BI35" s="528">
        <f t="shared" si="36"/>
        <v>0.16583668182370598</v>
      </c>
      <c r="BJ35" s="528">
        <f t="shared" si="37"/>
        <v>3.0945607985474889E-2</v>
      </c>
      <c r="BK35">
        <f t="shared" si="38"/>
        <v>5.3304647729048357E-3</v>
      </c>
      <c r="BL35" s="460">
        <f t="shared" si="106"/>
        <v>171.16714659661082</v>
      </c>
      <c r="BM35" s="528">
        <f t="shared" si="39"/>
        <v>6.8957774140910999</v>
      </c>
      <c r="BN35" s="460">
        <f t="shared" si="107"/>
        <v>6895.7774140910997</v>
      </c>
      <c r="BO35" s="528">
        <f t="shared" si="108"/>
        <v>0.15623999999999999</v>
      </c>
      <c r="BP35" s="528"/>
      <c r="BR35" s="460">
        <f t="shared" si="109"/>
        <v>156.23999999999998</v>
      </c>
      <c r="BS35" s="528">
        <f t="shared" si="40"/>
        <v>0.97055985548727719</v>
      </c>
      <c r="BT35" s="528">
        <f t="shared" si="41"/>
        <v>6.3428931006134686E-3</v>
      </c>
      <c r="BU35" s="528">
        <f t="shared" si="42"/>
        <v>0.45899999999999996</v>
      </c>
      <c r="BV35" s="528">
        <f t="shared" si="43"/>
        <v>1.8119687916852047</v>
      </c>
      <c r="BW35" s="528">
        <f t="shared" si="44"/>
        <v>3.0692524587660821</v>
      </c>
      <c r="BX35" s="460">
        <f t="shared" si="110"/>
        <v>4881.2212504512863</v>
      </c>
      <c r="BY35" s="173">
        <f t="shared" si="45"/>
        <v>12.104405811138998</v>
      </c>
      <c r="BZ35" s="5">
        <f t="shared" si="111"/>
        <v>30.599999999999998</v>
      </c>
      <c r="CA35" s="173">
        <f t="shared" si="112"/>
        <v>0.71655370022777154</v>
      </c>
      <c r="CB35" s="5">
        <f t="shared" si="113"/>
        <v>71.655370022777149</v>
      </c>
      <c r="CE35" s="562">
        <f t="shared" si="46"/>
        <v>-50</v>
      </c>
      <c r="CF35">
        <f t="shared" si="47"/>
        <v>-50</v>
      </c>
      <c r="CG35" s="173">
        <f t="shared" si="48"/>
        <v>0.38501336875184872</v>
      </c>
      <c r="CI35" s="170">
        <v>30</v>
      </c>
      <c r="CJ35" s="217">
        <f t="shared" si="114"/>
        <v>0.18</v>
      </c>
      <c r="CK35" s="217"/>
      <c r="CL35" s="217">
        <f t="shared" si="49"/>
        <v>30.599999999999998</v>
      </c>
      <c r="CM35" s="541">
        <f t="shared" si="50"/>
        <v>12.5</v>
      </c>
      <c r="CN35" s="172">
        <f t="shared" si="51"/>
        <v>8.5250000000000004</v>
      </c>
      <c r="CO35" s="443">
        <f t="shared" si="52"/>
        <v>21.024999999999999</v>
      </c>
      <c r="CP35" s="443"/>
      <c r="CQ35" s="217">
        <f t="shared" si="53"/>
        <v>0.40546967895362668</v>
      </c>
      <c r="CR35" s="172">
        <f t="shared" si="54"/>
        <v>170.84633868410626</v>
      </c>
      <c r="CS35" s="172">
        <f t="shared" si="115"/>
        <v>30.599999999999998</v>
      </c>
      <c r="CT35" s="217">
        <f t="shared" si="55"/>
        <v>1.0049784628476839</v>
      </c>
      <c r="CU35" s="217">
        <f t="shared" si="56"/>
        <v>170</v>
      </c>
      <c r="CV35" s="217">
        <f t="shared" si="57"/>
        <v>0.99379823272947732</v>
      </c>
      <c r="CW35" s="172">
        <f t="shared" si="58"/>
        <v>2064.8753365019834</v>
      </c>
      <c r="CX35" s="172">
        <f t="shared" si="59"/>
        <v>170</v>
      </c>
      <c r="CY35" s="217">
        <f t="shared" si="60"/>
        <v>12.074885630498532</v>
      </c>
      <c r="CZ35" s="217">
        <f t="shared" si="61"/>
        <v>0.48299542521994121</v>
      </c>
      <c r="DA35" s="217">
        <f t="shared" si="62"/>
        <v>0.7082044358063655</v>
      </c>
      <c r="DB35" s="197">
        <f t="shared" si="63"/>
        <v>350</v>
      </c>
      <c r="DC35" s="443">
        <f t="shared" si="116"/>
        <v>350</v>
      </c>
      <c r="DE35" s="217">
        <f t="shared" si="64"/>
        <v>28.962119925259049</v>
      </c>
      <c r="DF35" s="173">
        <f t="shared" si="65"/>
        <v>1.6986580601324954</v>
      </c>
      <c r="DG35" s="173">
        <f t="shared" si="66"/>
        <v>0.4304714614336958</v>
      </c>
      <c r="DH35" s="173"/>
      <c r="DI35" s="173">
        <f t="shared" si="67"/>
        <v>0.78201368523949166</v>
      </c>
      <c r="DJ35" s="545">
        <f t="shared" si="117"/>
        <v>690.52499999999998</v>
      </c>
      <c r="DK35" s="528">
        <f t="shared" si="68"/>
        <v>9.1234929944607357E-2</v>
      </c>
      <c r="DM35" s="173">
        <f t="shared" si="69"/>
        <v>18.72813010267862</v>
      </c>
      <c r="DN35" s="173">
        <f t="shared" si="70"/>
        <v>18.72813010267862</v>
      </c>
      <c r="DO35" s="173">
        <f t="shared" si="71"/>
        <v>5.1961457550705816</v>
      </c>
      <c r="DQ35" s="545">
        <f t="shared" si="72"/>
        <v>180</v>
      </c>
      <c r="DR35" s="460">
        <f t="shared" si="73"/>
        <v>350</v>
      </c>
      <c r="DT35">
        <f t="shared" si="74"/>
        <v>180</v>
      </c>
      <c r="DU35" s="460">
        <f t="shared" si="75"/>
        <v>350</v>
      </c>
      <c r="DV35" s="460"/>
      <c r="DW35" s="5">
        <f t="shared" si="118"/>
        <v>2.8571428571428572</v>
      </c>
      <c r="DX35" s="5">
        <f t="shared" si="76"/>
        <v>0.74912520410714467</v>
      </c>
      <c r="DY35" s="5">
        <f t="shared" si="119"/>
        <v>2.1080176530357124</v>
      </c>
      <c r="DZ35" s="5">
        <f t="shared" si="77"/>
        <v>1.0984240529430274</v>
      </c>
      <c r="EA35" s="173">
        <f t="shared" si="120"/>
        <v>0.26219382143750064</v>
      </c>
      <c r="EB35" s="173">
        <f t="shared" si="78"/>
        <v>30.689999999999991</v>
      </c>
      <c r="EC35" s="173">
        <f t="shared" si="79"/>
        <v>0.34544325256696556</v>
      </c>
      <c r="ED35" s="173">
        <f t="shared" si="121"/>
        <v>88.842377936013122</v>
      </c>
      <c r="EE35" s="460">
        <f t="shared" si="80"/>
        <v>7.9319139258403545E-2</v>
      </c>
      <c r="EF35" s="5">
        <f t="shared" si="81"/>
        <v>8.2566835434102792</v>
      </c>
      <c r="EG35" s="5"/>
      <c r="EH35" s="173">
        <f t="shared" si="122"/>
        <v>5.5366238225171447</v>
      </c>
      <c r="EI35" s="173">
        <f t="shared" si="82"/>
        <v>0.46438153053879455</v>
      </c>
      <c r="EJ35" s="173"/>
      <c r="EK35" s="528">
        <f t="shared" si="83"/>
        <v>1.2261681340825745</v>
      </c>
      <c r="EL35" s="528">
        <f t="shared" si="84"/>
        <v>3.7899297533098721</v>
      </c>
      <c r="EM35" s="528">
        <f t="shared" si="85"/>
        <v>6.9999999999999993E-2</v>
      </c>
      <c r="EN35" s="528">
        <f t="shared" si="86"/>
        <v>3.094354375E-2</v>
      </c>
      <c r="EO35">
        <f t="shared" si="87"/>
        <v>5.6249999999999998E-3</v>
      </c>
      <c r="EP35" s="460">
        <f t="shared" si="123"/>
        <v>75.625</v>
      </c>
      <c r="EQ35" s="528">
        <f t="shared" si="88"/>
        <v>7.6958103495071812</v>
      </c>
      <c r="ER35" s="460">
        <f t="shared" si="124"/>
        <v>7695.8103495071809</v>
      </c>
      <c r="ES35" s="528">
        <f t="shared" si="125"/>
        <v>0.15623999999999999</v>
      </c>
      <c r="ET35" s="528"/>
      <c r="EV35" s="460">
        <f t="shared" si="126"/>
        <v>156.23999999999998</v>
      </c>
      <c r="EW35" s="528">
        <f t="shared" si="89"/>
        <v>0.91962610056193084</v>
      </c>
      <c r="EX35" s="528">
        <f t="shared" si="90"/>
        <v>6.4695061771666007E-3</v>
      </c>
      <c r="EY35" s="528">
        <f t="shared" si="91"/>
        <v>173.93066581976552</v>
      </c>
      <c r="EZ35" s="528">
        <f t="shared" si="92"/>
        <v>189.08811843355195</v>
      </c>
      <c r="FA35" s="528">
        <f t="shared" si="93"/>
        <v>3.0689999999999995</v>
      </c>
      <c r="FB35" s="460">
        <f t="shared" si="127"/>
        <v>192157.11843355195</v>
      </c>
      <c r="FC35" s="173">
        <f t="shared" si="128"/>
        <v>200.00916878305912</v>
      </c>
      <c r="FD35" s="5">
        <f t="shared" si="129"/>
        <v>30.599999999999998</v>
      </c>
      <c r="FE35" s="173">
        <f t="shared" si="130"/>
        <v>0.13269203545322314</v>
      </c>
      <c r="FF35" s="5">
        <f t="shared" si="131"/>
        <v>13.269203545322314</v>
      </c>
      <c r="FI35" s="562">
        <f t="shared" si="94"/>
        <v>-50</v>
      </c>
      <c r="FJ35">
        <f t="shared" si="95"/>
        <v>-50</v>
      </c>
      <c r="FL35">
        <f t="shared" si="96"/>
        <v>0.38444841853005968</v>
      </c>
    </row>
    <row r="36" spans="5:168">
      <c r="E36" s="170">
        <v>31</v>
      </c>
      <c r="F36" s="217">
        <f t="shared" si="97"/>
        <v>0.186</v>
      </c>
      <c r="G36" s="217"/>
      <c r="H36" s="217">
        <f t="shared" si="0"/>
        <v>31.62</v>
      </c>
      <c r="I36" s="541">
        <f t="shared" si="1"/>
        <v>11.834657982688602</v>
      </c>
      <c r="J36" s="172">
        <f t="shared" si="2"/>
        <v>8.5257128664471207</v>
      </c>
      <c r="K36" s="172">
        <f t="shared" si="3"/>
        <v>21.025712866447122</v>
      </c>
      <c r="L36" s="443"/>
      <c r="M36" s="217">
        <f t="shared" si="4"/>
        <v>0.41874057886892913</v>
      </c>
      <c r="N36" s="172">
        <f t="shared" si="5"/>
        <v>167.0467538049557</v>
      </c>
      <c r="O36" s="172">
        <f t="shared" si="98"/>
        <v>31.62</v>
      </c>
      <c r="P36" s="217">
        <f t="shared" si="6"/>
        <v>0.98262796355856297</v>
      </c>
      <c r="Q36" s="217">
        <f t="shared" si="7"/>
        <v>170</v>
      </c>
      <c r="R36" s="217">
        <f t="shared" si="8"/>
        <v>0.97169637929153296</v>
      </c>
      <c r="S36" s="172">
        <f t="shared" si="9"/>
        <v>1884.2760796471616</v>
      </c>
      <c r="T36" s="172">
        <f t="shared" si="10"/>
        <v>170</v>
      </c>
      <c r="U36" s="217">
        <f t="shared" si="99"/>
        <v>12.799792535874131</v>
      </c>
      <c r="V36" s="217">
        <f t="shared" si="11"/>
        <v>0.54077576870397515</v>
      </c>
      <c r="W36" s="217">
        <f t="shared" si="12"/>
        <v>0.7506581992836997</v>
      </c>
      <c r="X36" s="197">
        <f t="shared" si="13"/>
        <v>350</v>
      </c>
      <c r="Y36" s="443">
        <f t="shared" si="14"/>
        <v>350</v>
      </c>
      <c r="AA36" s="217">
        <f t="shared" si="15"/>
        <v>28.318006745453868</v>
      </c>
      <c r="AB36" s="173">
        <f t="shared" si="16"/>
        <v>1.6607412886785791</v>
      </c>
      <c r="AC36" s="173">
        <f t="shared" si="17"/>
        <v>0.41150272638347041</v>
      </c>
      <c r="AD36" s="173"/>
      <c r="AE36" s="173">
        <f t="shared" si="18"/>
        <v>0.78194829817730349</v>
      </c>
      <c r="AF36" s="545">
        <f t="shared" si="100"/>
        <v>713.60216692162385</v>
      </c>
      <c r="AG36" s="528">
        <f t="shared" si="19"/>
        <v>9.1227301454018764E-2</v>
      </c>
      <c r="AI36" s="173">
        <f t="shared" si="20"/>
        <v>19.038502901281255</v>
      </c>
      <c r="AJ36" s="173">
        <f t="shared" si="21"/>
        <v>19.038502901281255</v>
      </c>
      <c r="AK36" s="173">
        <f t="shared" si="22"/>
        <v>5.4260515318132754</v>
      </c>
      <c r="AM36" s="545">
        <f t="shared" si="23"/>
        <v>186</v>
      </c>
      <c r="AN36" s="460">
        <f t="shared" si="24"/>
        <v>350</v>
      </c>
      <c r="AP36">
        <f t="shared" si="25"/>
        <v>186</v>
      </c>
      <c r="AQ36" s="460">
        <f t="shared" si="26"/>
        <v>350</v>
      </c>
      <c r="AR36" s="460"/>
      <c r="AS36" s="5">
        <f t="shared" si="101"/>
        <v>2.8571428571428572</v>
      </c>
      <c r="AT36" s="5">
        <f t="shared" si="27"/>
        <v>0.80435374343433619</v>
      </c>
      <c r="AU36" s="5">
        <f t="shared" si="102"/>
        <v>2.052789113708521</v>
      </c>
      <c r="AV36" s="5">
        <f t="shared" si="28"/>
        <v>1.1165343707625399</v>
      </c>
      <c r="AW36" s="173">
        <f t="shared" si="103"/>
        <v>0.28152381020201767</v>
      </c>
      <c r="AX36" s="173">
        <f t="shared" si="29"/>
        <v>31.715651863183293</v>
      </c>
      <c r="AY36" s="173">
        <f t="shared" si="30"/>
        <v>0.34196777559925973</v>
      </c>
      <c r="AZ36" s="173">
        <f t="shared" si="104"/>
        <v>92.744562868841115</v>
      </c>
      <c r="BA36" s="460">
        <f t="shared" si="31"/>
        <v>8.8005762516933261E-2</v>
      </c>
      <c r="BB36" s="5">
        <f t="shared" si="32"/>
        <v>8.7754717536119067</v>
      </c>
      <c r="BC36" s="5"/>
      <c r="BD36" s="173">
        <f t="shared" si="105"/>
        <v>5.832164069664211</v>
      </c>
      <c r="BE36" s="173">
        <f t="shared" si="33"/>
        <v>0.46585242612838967</v>
      </c>
      <c r="BF36" s="173"/>
      <c r="BG36" s="528">
        <f t="shared" si="34"/>
        <v>1.3605655094192883</v>
      </c>
      <c r="BH36" s="528">
        <f t="shared" si="35"/>
        <v>3.1523475013487112</v>
      </c>
      <c r="BI36" s="528">
        <f t="shared" si="36"/>
        <v>0.16568521175764045</v>
      </c>
      <c r="BJ36" s="528">
        <f t="shared" si="37"/>
        <v>3.0945642107959605E-2</v>
      </c>
      <c r="BK36">
        <f t="shared" si="38"/>
        <v>5.325596092209871E-3</v>
      </c>
      <c r="BL36" s="460">
        <f t="shared" si="106"/>
        <v>171.01080784985032</v>
      </c>
      <c r="BM36" s="528">
        <f t="shared" si="39"/>
        <v>7.2572724566659614</v>
      </c>
      <c r="BN36" s="460">
        <f t="shared" si="107"/>
        <v>7257.2724566659617</v>
      </c>
      <c r="BO36" s="528">
        <f t="shared" si="108"/>
        <v>0.16144799999999998</v>
      </c>
      <c r="BP36" s="528"/>
      <c r="BR36" s="460">
        <f t="shared" si="109"/>
        <v>161.44799999999998</v>
      </c>
      <c r="BS36" s="528">
        <f t="shared" si="40"/>
        <v>1.0204241320644662</v>
      </c>
      <c r="BT36" s="528">
        <f t="shared" si="41"/>
        <v>6.5105544878912031E-3</v>
      </c>
      <c r="BU36" s="528">
        <f t="shared" si="42"/>
        <v>0.4743</v>
      </c>
      <c r="BV36" s="528">
        <f t="shared" si="43"/>
        <v>1.9041325961907882</v>
      </c>
      <c r="BW36" s="528">
        <f t="shared" si="44"/>
        <v>3.1715651863183294</v>
      </c>
      <c r="BX36" s="460">
        <f t="shared" si="110"/>
        <v>5075.697782509118</v>
      </c>
      <c r="BY36" s="173">
        <f t="shared" si="45"/>
        <v>12.665429047024929</v>
      </c>
      <c r="BZ36" s="5">
        <f t="shared" si="111"/>
        <v>31.62</v>
      </c>
      <c r="CA36" s="173">
        <f t="shared" si="112"/>
        <v>0.71400459881339262</v>
      </c>
      <c r="CB36" s="5">
        <f t="shared" si="113"/>
        <v>71.400459881339259</v>
      </c>
      <c r="CE36" s="562">
        <f t="shared" si="46"/>
        <v>-50</v>
      </c>
      <c r="CF36">
        <f t="shared" si="47"/>
        <v>-50</v>
      </c>
      <c r="CG36" s="173">
        <f t="shared" si="48"/>
        <v>0.39137765724199852</v>
      </c>
      <c r="CI36" s="170">
        <v>31</v>
      </c>
      <c r="CJ36" s="217">
        <f t="shared" si="114"/>
        <v>0.186</v>
      </c>
      <c r="CK36" s="217"/>
      <c r="CL36" s="217">
        <f t="shared" si="49"/>
        <v>31.62</v>
      </c>
      <c r="CM36" s="541">
        <f t="shared" si="50"/>
        <v>12.5</v>
      </c>
      <c r="CN36" s="172">
        <f t="shared" si="51"/>
        <v>8.5250000000000004</v>
      </c>
      <c r="CO36" s="443">
        <f t="shared" si="52"/>
        <v>21.024999999999999</v>
      </c>
      <c r="CP36" s="443"/>
      <c r="CQ36" s="217">
        <f t="shared" si="53"/>
        <v>0.40546967895362668</v>
      </c>
      <c r="CR36" s="172">
        <f t="shared" si="54"/>
        <v>170.84633868410626</v>
      </c>
      <c r="CS36" s="172">
        <f t="shared" si="115"/>
        <v>31.62</v>
      </c>
      <c r="CT36" s="217">
        <f t="shared" si="55"/>
        <v>1.0049784628476839</v>
      </c>
      <c r="CU36" s="217">
        <f t="shared" si="56"/>
        <v>170</v>
      </c>
      <c r="CV36" s="217">
        <f t="shared" si="57"/>
        <v>0.99379823272947732</v>
      </c>
      <c r="CW36" s="172">
        <f t="shared" si="58"/>
        <v>1990.2061609640145</v>
      </c>
      <c r="CX36" s="172">
        <f t="shared" si="59"/>
        <v>170</v>
      </c>
      <c r="CY36" s="217">
        <f t="shared" si="60"/>
        <v>12.477381818181817</v>
      </c>
      <c r="CZ36" s="217">
        <f t="shared" si="61"/>
        <v>0.49909527272727267</v>
      </c>
      <c r="DA36" s="217">
        <f t="shared" si="62"/>
        <v>0.73181125033324435</v>
      </c>
      <c r="DB36" s="197">
        <f t="shared" si="63"/>
        <v>350</v>
      </c>
      <c r="DC36" s="443">
        <f t="shared" si="116"/>
        <v>350</v>
      </c>
      <c r="DE36" s="217">
        <f t="shared" si="64"/>
        <v>28.962119925259049</v>
      </c>
      <c r="DF36" s="173">
        <f t="shared" si="65"/>
        <v>1.6986580601324954</v>
      </c>
      <c r="DG36" s="173">
        <f t="shared" si="66"/>
        <v>0.4304714614336958</v>
      </c>
      <c r="DH36" s="173"/>
      <c r="DI36" s="173">
        <f t="shared" si="67"/>
        <v>0.78201368523949166</v>
      </c>
      <c r="DJ36" s="545">
        <f t="shared" si="117"/>
        <v>713.54250000000002</v>
      </c>
      <c r="DK36" s="528">
        <f t="shared" si="68"/>
        <v>9.1234929944607357E-2</v>
      </c>
      <c r="DM36" s="173">
        <f t="shared" si="69"/>
        <v>19.037706944752713</v>
      </c>
      <c r="DN36" s="173">
        <f t="shared" si="70"/>
        <v>19.037706944752713</v>
      </c>
      <c r="DO36" s="173">
        <f t="shared" si="71"/>
        <v>5.4254619343847255</v>
      </c>
      <c r="DQ36" s="545">
        <f t="shared" si="72"/>
        <v>186</v>
      </c>
      <c r="DR36" s="460">
        <f t="shared" si="73"/>
        <v>350</v>
      </c>
      <c r="DT36">
        <f t="shared" si="74"/>
        <v>186</v>
      </c>
      <c r="DU36" s="460">
        <f t="shared" si="75"/>
        <v>350</v>
      </c>
      <c r="DV36" s="460"/>
      <c r="DW36" s="5">
        <f t="shared" si="118"/>
        <v>2.8571428571428572</v>
      </c>
      <c r="DX36" s="5">
        <f t="shared" si="76"/>
        <v>0.76150827779010843</v>
      </c>
      <c r="DY36" s="5">
        <f t="shared" si="119"/>
        <v>2.0956345793527489</v>
      </c>
      <c r="DZ36" s="5">
        <f t="shared" si="77"/>
        <v>1.1165810524781647</v>
      </c>
      <c r="EA36" s="173">
        <f t="shared" si="120"/>
        <v>0.26652789722653797</v>
      </c>
      <c r="EB36" s="173">
        <f t="shared" si="78"/>
        <v>31.712999999999997</v>
      </c>
      <c r="EC36" s="173">
        <f t="shared" si="79"/>
        <v>0.3490906736188179</v>
      </c>
      <c r="ED36" s="173">
        <f t="shared" si="121"/>
        <v>90.844592527351011</v>
      </c>
      <c r="EE36" s="460">
        <f t="shared" si="80"/>
        <v>8.3317964511153045E-2</v>
      </c>
      <c r="EF36" s="5">
        <f t="shared" si="81"/>
        <v>8.4817875710891428</v>
      </c>
      <c r="EG36" s="5"/>
      <c r="EH36" s="173">
        <f t="shared" si="122"/>
        <v>5.6744705495823089</v>
      </c>
      <c r="EI36" s="173">
        <f t="shared" si="82"/>
        <v>0.47066923777041036</v>
      </c>
      <c r="EJ36" s="173"/>
      <c r="EK36" s="528">
        <f t="shared" si="83"/>
        <v>1.2879846407230782</v>
      </c>
      <c r="EL36" s="528">
        <f t="shared" si="84"/>
        <v>3.852577464441723</v>
      </c>
      <c r="EM36" s="528">
        <f t="shared" si="85"/>
        <v>6.9999999999999993E-2</v>
      </c>
      <c r="EN36" s="528">
        <f t="shared" si="86"/>
        <v>3.094354375E-2</v>
      </c>
      <c r="EO36">
        <f t="shared" si="87"/>
        <v>5.6249999999999998E-3</v>
      </c>
      <c r="EP36" s="460">
        <f t="shared" si="123"/>
        <v>75.625</v>
      </c>
      <c r="EQ36" s="528">
        <f t="shared" si="88"/>
        <v>8.0620882832222751</v>
      </c>
      <c r="ER36" s="460">
        <f t="shared" si="124"/>
        <v>8062.0882832222751</v>
      </c>
      <c r="ES36" s="528">
        <f t="shared" si="125"/>
        <v>0.16144799999999998</v>
      </c>
      <c r="ET36" s="528"/>
      <c r="EV36" s="460">
        <f t="shared" si="126"/>
        <v>161.44799999999998</v>
      </c>
      <c r="EW36" s="528">
        <f t="shared" si="89"/>
        <v>0.96598848054230857</v>
      </c>
      <c r="EX36" s="528">
        <f t="shared" si="90"/>
        <v>6.6458859415013723E-3</v>
      </c>
      <c r="EY36" s="528">
        <f t="shared" si="91"/>
        <v>181.20772515971896</v>
      </c>
      <c r="EZ36" s="528">
        <f t="shared" si="92"/>
        <v>197.80515945007511</v>
      </c>
      <c r="FA36" s="528">
        <f t="shared" si="93"/>
        <v>3.1713</v>
      </c>
      <c r="FB36" s="460">
        <f t="shared" si="127"/>
        <v>200976.45945007511</v>
      </c>
      <c r="FC36" s="173">
        <f t="shared" si="128"/>
        <v>209.19999573329738</v>
      </c>
      <c r="FD36" s="5">
        <f t="shared" si="129"/>
        <v>31.62</v>
      </c>
      <c r="FE36" s="173">
        <f t="shared" si="130"/>
        <v>0.13130138925431434</v>
      </c>
      <c r="FF36" s="5">
        <f t="shared" si="131"/>
        <v>13.130138925431433</v>
      </c>
      <c r="FI36" s="562">
        <f t="shared" si="94"/>
        <v>-50</v>
      </c>
      <c r="FJ36">
        <f t="shared" si="95"/>
        <v>-50</v>
      </c>
      <c r="FL36">
        <f t="shared" si="96"/>
        <v>0.39080336836735768</v>
      </c>
    </row>
    <row r="37" spans="5:168">
      <c r="E37" s="170">
        <v>32</v>
      </c>
      <c r="F37" s="217">
        <f t="shared" si="97"/>
        <v>0.192</v>
      </c>
      <c r="G37" s="217"/>
      <c r="H37" s="217">
        <f t="shared" ref="H37:H68" si="132">F37*Vout</f>
        <v>32.64</v>
      </c>
      <c r="I37" s="541">
        <f t="shared" ref="I37:I68" si="133">Vin-F37*(Rdcr_pri+RON/1000)/CG37/Nps</f>
        <v>11.824011834423116</v>
      </c>
      <c r="J37" s="172">
        <f t="shared" ref="J37:J68" si="134">(T37+Vfwd1+F37/CG37*Rdcr_sec)*Nps</f>
        <v>8.5257242730345464</v>
      </c>
      <c r="K37" s="172">
        <f t="shared" ref="K37:K68" si="135">(Vout+Vfwd1+F37/CG37*Rdcr_sec)*Nps+VIN_nom</f>
        <v>21.025724273034548</v>
      </c>
      <c r="L37" s="443"/>
      <c r="M37" s="217">
        <f t="shared" ref="M37:M68" si="136">(Vout+Vfwd1+F37/FL37*Rdcr_sec)*Nps/((Vout+Vfwd1+F37/FL37*Rdcr_sec)*Nps+I37)</f>
        <v>0.41895997306450261</v>
      </c>
      <c r="N37" s="172">
        <f t="shared" ref="N37:N68" si="137">M37*I37*(Isw_max+VIN_nom/Lmag*ILIM_delay)*0.5*Efficiency</f>
        <v>166.98392636868309</v>
      </c>
      <c r="O37" s="172">
        <f t="shared" si="98"/>
        <v>32.64</v>
      </c>
      <c r="P37" s="217">
        <f t="shared" ref="P37:P68" si="138">N37/Vout</f>
        <v>0.98225839040401819</v>
      </c>
      <c r="Q37" s="217">
        <f t="shared" ref="Q37:Q68" si="139">MIN(Vout,N37/F37)</f>
        <v>170</v>
      </c>
      <c r="R37" s="217">
        <f t="shared" ref="R37:R68" si="140">Isw_max/2*I37*Nps*(Q37+Vfwd1+F37/FL37*Rdcr_sec)/Q37/(I37+Nps*(Q37+Vfwd1+F37/FL37*Rdcr_sec))</f>
        <v>0.97133091758122925</v>
      </c>
      <c r="S37" s="172">
        <f t="shared" ref="S37:S68" si="141">(SQRT(Isw_max^2*Nps^2*I37^2+4*Isw_max*F37/Efficiency*(Nps^2*Vfwd1*I37-Nps*I37^2)+4*(F37/Efficiency)^2*Nps^2*Vfwd1^2+8*(F37/Efficiency)^2*Nps*Vfwd1*I37+4*(F37/Efficiency)^2*I37^2)-2*F37/Efficiency*I37-2*F37/Efficiency*Nps*Vfwd1+Isw_max*Nps*I37)/(4*F37/Efficiency*Nps)</f>
        <v>1816.3646748870065</v>
      </c>
      <c r="T37" s="172">
        <f t="shared" ref="T37:T68" si="142">MIN(Vout, S37)</f>
        <v>170</v>
      </c>
      <c r="U37" s="217">
        <f t="shared" ref="U37:U68" si="143">MIN(2*(Vout+Vfwd1+F37/FL37*Rdcr_sec)*F37/(I37*M37), Isw_max)</f>
        <v>13.217678032450893</v>
      </c>
      <c r="V37" s="217">
        <f t="shared" si="11"/>
        <v>0.55893372814337061</v>
      </c>
      <c r="W37" s="217">
        <f t="shared" ref="W37:W68" si="144">L*U37/J37*1000000</f>
        <v>0.77516452615387876</v>
      </c>
      <c r="X37" s="197">
        <f t="shared" ref="X37:X68" si="145">IF(1/((350000*L)*(1/I37+1/J37))&gt;Isw_min, 350, 0.001/((Isw_min*L)*(1/I37+1/J37)))</f>
        <v>350</v>
      </c>
      <c r="Y37" s="443">
        <f t="shared" si="14"/>
        <v>350</v>
      </c>
      <c r="AA37" s="217">
        <f t="shared" ref="AA37:AA68" si="146">1/((X37*1000*L)*(1/I37+1/J37))</f>
        <v>28.30735611622859</v>
      </c>
      <c r="AB37" s="173">
        <f t="shared" ref="AB37:AB68" si="147">L*AA37/J37*1000000</f>
        <v>1.6601144494996201</v>
      </c>
      <c r="AC37" s="173">
        <f t="shared" ref="AC37:AC68" si="148">0.5*AB37*AA37*Nps*X37/1000</f>
        <v>0.41119269551222221</v>
      </c>
      <c r="AD37" s="173"/>
      <c r="AE37" s="173">
        <f t="shared" ref="AE37:AE68" si="149">L*Isw_min/J37*1000000</f>
        <v>0.78194725200675663</v>
      </c>
      <c r="AF37" s="545">
        <f t="shared" ref="AF37:AF68" si="150">MAX(12, F37/(0.5*AE37/1000000*Isw_min*Nps)/1000)</f>
        <v>736.62257719018476</v>
      </c>
      <c r="AG37" s="528">
        <f t="shared" ref="AG37:AG68" si="151">0.5*AE37/1000000*Isw_min*Nps*X37*1000</f>
        <v>9.1227179400788297E-2</v>
      </c>
      <c r="AI37" s="173">
        <f t="shared" ref="AI37:AI68" si="152">SQRT(F37/Efficiency/(0.5*L/J37*Fsw_DCM*Nps))</f>
        <v>19.343151230478792</v>
      </c>
      <c r="AJ37" s="173">
        <f t="shared" ref="AJ37:AJ71" si="153">MAX(IF(F37&gt;AC37,U37,AI37),Isw_min)</f>
        <v>19.343151230478792</v>
      </c>
      <c r="AK37" s="173">
        <f t="shared" ref="AK37:AK68" si="154">IF(F37&gt;AG37, (AJ37-Isw_min)/1.08*0.8+1.2, AF37*0.2/350+1)</f>
        <v>5.6517169608484874</v>
      </c>
      <c r="AM37" s="545">
        <f t="shared" ref="AM37:AM68" si="155">F37*1000</f>
        <v>192</v>
      </c>
      <c r="AN37" s="460">
        <f t="shared" ref="AN37:AN68" si="156">IF(F37&gt;AG37, Y37, AF37)</f>
        <v>350</v>
      </c>
      <c r="AP37">
        <f t="shared" ref="AP37:AP68" si="157">IF(H37&gt;N37, "",AM37)</f>
        <v>192</v>
      </c>
      <c r="AQ37" s="460">
        <f t="shared" ref="AQ37:AQ68" si="158">IF(H37&gt;N37, "",AN37)</f>
        <v>350</v>
      </c>
      <c r="AR37" s="460"/>
      <c r="AS37" s="5">
        <f t="shared" si="101"/>
        <v>2.8571428571428572</v>
      </c>
      <c r="AT37" s="5">
        <f t="shared" ref="AT37:AT68" si="159">L*AJ37/I37*1000000</f>
        <v>0.81796058314849129</v>
      </c>
      <c r="AU37" s="5">
        <f t="shared" si="102"/>
        <v>2.0391822739943661</v>
      </c>
      <c r="AV37" s="5">
        <f t="shared" ref="AV37:AV68" si="160">L*AJ37/J37*1000000</f>
        <v>1.1343992962368001</v>
      </c>
      <c r="AW37" s="173">
        <f t="shared" si="103"/>
        <v>0.28628620410197192</v>
      </c>
      <c r="AX37" s="173">
        <f t="shared" ref="AX37:AX68" si="161">0.5*L*AJ37^2*AN37*1000</f>
        <v>32.73878120845265</v>
      </c>
      <c r="AY37" s="173">
        <f t="shared" ref="AY37:AY68" si="162">AJ37*Nps/2*(1-AW37)</f>
        <v>0.3451368472333658</v>
      </c>
      <c r="AZ37" s="173">
        <f t="shared" si="104"/>
        <v>94.857391990708479</v>
      </c>
      <c r="BA37" s="460">
        <f t="shared" ref="BA37:BA68" si="163">F37*AT37/Vout_ripple*1000</f>
        <v>9.2381430567359007E-2</v>
      </c>
      <c r="BB37" s="5">
        <f t="shared" ref="BB37:BB68" si="164">H37/Efficiency/I37*AU37/Vinripple1</f>
        <v>9.0066093106441425</v>
      </c>
      <c r="BC37" s="5"/>
      <c r="BD37" s="173">
        <f t="shared" si="105"/>
        <v>5.9753976234598039</v>
      </c>
      <c r="BE37" s="173">
        <f t="shared" ref="BE37:BE68" si="165">AJ37*Nps*SQRT((1-AW37)/3)</f>
        <v>0.4717355979517075</v>
      </c>
      <c r="BF37" s="173"/>
      <c r="BG37" s="528">
        <f t="shared" ref="BG37:BG68" si="166">Rdson*BD37^2</f>
        <v>1.4282150703379628</v>
      </c>
      <c r="BH37" s="528">
        <f t="shared" ref="BH37:BH68" si="167">0.5*K37*AJ37*AN37*1000*Tfall</f>
        <v>3.2027921442062914</v>
      </c>
      <c r="BI37" s="528">
        <f t="shared" ref="BI37:BI68" si="168">Qg*Vdd*AN37*1000*0+Qg*I37*AN37*1000</f>
        <v>0.16553616568192364</v>
      </c>
      <c r="BJ37" s="528">
        <f t="shared" ref="BJ37:BJ68" si="169">0.5*(Coss+Csw)*K37^2*AN37*1000</f>
        <v>3.0945675684397198E-2</v>
      </c>
      <c r="BK37">
        <f t="shared" ref="BK37:BK68" si="170">I37*IQ</f>
        <v>5.3208053254904016E-3</v>
      </c>
      <c r="BL37" s="460">
        <f t="shared" si="106"/>
        <v>170.85697100741405</v>
      </c>
      <c r="BM37" s="528">
        <f t="shared" ref="BM37:BM68" si="171">(BH37+BI37*0+BJ37+BK37*0+BG37*(1+RdsonTC*(Ta-25)))/(1-BG37*RdsonTC*ThetaJA)</f>
        <v>7.6402397021113471</v>
      </c>
      <c r="BN37" s="460">
        <f t="shared" si="107"/>
        <v>7640.2397021113475</v>
      </c>
      <c r="BO37" s="528">
        <f t="shared" ref="BO37:BO68" si="172">Vfwd2*F37*(1+Diode_TC/1000*(Ta-25))</f>
        <v>0.166656</v>
      </c>
      <c r="BP37" s="528"/>
      <c r="BR37" s="460">
        <f t="shared" si="109"/>
        <v>166.65600000000001</v>
      </c>
      <c r="BS37" s="528">
        <f t="shared" ref="BS37:BS68" si="173">Rdcr_pri*BD37^2</f>
        <v>1.0711613027534721</v>
      </c>
      <c r="BT37" s="528">
        <f t="shared" ref="BT37:BT68" si="174">Rdcr_sec*BE37^2</f>
        <v>6.6760342312456502E-3</v>
      </c>
      <c r="BU37" s="528">
        <f t="shared" ref="BU37:BU68" si="175">AJ37^2.5*AN37^2.5*k_core*0+BZ37*0.015</f>
        <v>0.48959999999999998</v>
      </c>
      <c r="BV37" s="528">
        <f t="shared" ref="BV37:BV68" si="176">(BU37+(BS37+BT37)*(1+Ltc*(Ta-25)))/(1-(BS37+BT37)*Ltc*ThetaCa)</f>
        <v>1.9984375460852764</v>
      </c>
      <c r="BW37" s="528">
        <f t="shared" ref="BW37:BW68" si="177">0.5*Lleak*0.000000001*AJ37^2*AN37*1000</f>
        <v>3.2738781208452656</v>
      </c>
      <c r="BX37" s="460">
        <f t="shared" si="110"/>
        <v>5272.3156669305417</v>
      </c>
      <c r="BY37" s="173">
        <f t="shared" si="45"/>
        <v>13.250068340049303</v>
      </c>
      <c r="BZ37" s="5">
        <f t="shared" si="111"/>
        <v>32.64</v>
      </c>
      <c r="CA37" s="173">
        <f t="shared" si="112"/>
        <v>0.71126501181333679</v>
      </c>
      <c r="CB37" s="5">
        <f t="shared" si="113"/>
        <v>71.12650118133368</v>
      </c>
      <c r="CE37" s="562">
        <f t="shared" ref="CE37:CE68" si="178">IF(ABS(F37-Ioutmax_Vinnom)&lt;Iout/200, AN37, -50)</f>
        <v>-50</v>
      </c>
      <c r="CF37">
        <f t="shared" ref="CF37:CF68" si="179">IF(ABS(F37-Ioutmax_Vinnom)&lt;Iout/200, N37*CA37, -50)</f>
        <v>-50</v>
      </c>
      <c r="CG37" s="173">
        <f t="shared" ref="CG37:CG68" si="180">MIN(SQRT(2*DU37*1000*Ls1_*CL37)/CU37,1-EA37-0.00000005*DU37*1000)</f>
        <v>0.39764009739816669</v>
      </c>
      <c r="CI37" s="170">
        <v>32</v>
      </c>
      <c r="CJ37" s="217">
        <f t="shared" si="114"/>
        <v>0.192</v>
      </c>
      <c r="CK37" s="217"/>
      <c r="CL37" s="217">
        <f t="shared" si="49"/>
        <v>32.64</v>
      </c>
      <c r="CM37" s="541">
        <f t="shared" si="50"/>
        <v>12.5</v>
      </c>
      <c r="CN37" s="172">
        <f t="shared" si="51"/>
        <v>8.5250000000000004</v>
      </c>
      <c r="CO37" s="443">
        <f t="shared" si="52"/>
        <v>21.024999999999999</v>
      </c>
      <c r="CP37" s="443"/>
      <c r="CQ37" s="217">
        <f t="shared" si="53"/>
        <v>0.40546967895362668</v>
      </c>
      <c r="CR37" s="172">
        <f t="shared" si="54"/>
        <v>170.84633868410626</v>
      </c>
      <c r="CS37" s="172">
        <f t="shared" si="115"/>
        <v>32.64</v>
      </c>
      <c r="CT37" s="217">
        <f t="shared" si="55"/>
        <v>1.0049784628476839</v>
      </c>
      <c r="CU37" s="217">
        <f t="shared" si="56"/>
        <v>170</v>
      </c>
      <c r="CV37" s="217">
        <f t="shared" si="57"/>
        <v>0.99379823272947732</v>
      </c>
      <c r="CW37" s="172">
        <f t="shared" si="58"/>
        <v>1920.2039691938216</v>
      </c>
      <c r="CX37" s="172">
        <f t="shared" si="59"/>
        <v>170</v>
      </c>
      <c r="CY37" s="217">
        <f t="shared" si="60"/>
        <v>12.8798780058651</v>
      </c>
      <c r="CZ37" s="217">
        <f t="shared" si="61"/>
        <v>0.51519512023460401</v>
      </c>
      <c r="DA37" s="217">
        <f t="shared" si="62"/>
        <v>0.75541806486012308</v>
      </c>
      <c r="DB37" s="197">
        <f t="shared" si="63"/>
        <v>350</v>
      </c>
      <c r="DC37" s="443">
        <f t="shared" si="116"/>
        <v>350</v>
      </c>
      <c r="DE37" s="217">
        <f t="shared" si="64"/>
        <v>28.962119925259049</v>
      </c>
      <c r="DF37" s="173">
        <f t="shared" si="65"/>
        <v>1.6986580601324954</v>
      </c>
      <c r="DG37" s="173">
        <f t="shared" si="66"/>
        <v>0.4304714614336958</v>
      </c>
      <c r="DH37" s="173"/>
      <c r="DI37" s="173">
        <f t="shared" si="67"/>
        <v>0.78201368523949166</v>
      </c>
      <c r="DJ37" s="545">
        <f t="shared" si="117"/>
        <v>736.56</v>
      </c>
      <c r="DK37" s="528">
        <f t="shared" si="68"/>
        <v>9.1234929944607357E-2</v>
      </c>
      <c r="DM37" s="173">
        <f t="shared" si="69"/>
        <v>19.342329598208028</v>
      </c>
      <c r="DN37" s="173">
        <f t="shared" si="70"/>
        <v>19.342329598208028</v>
      </c>
      <c r="DO37" s="173">
        <f t="shared" si="71"/>
        <v>5.6511083443516252</v>
      </c>
      <c r="DQ37" s="545">
        <f t="shared" si="72"/>
        <v>192</v>
      </c>
      <c r="DR37" s="460">
        <f t="shared" si="73"/>
        <v>350</v>
      </c>
      <c r="DT37">
        <f t="shared" si="74"/>
        <v>192</v>
      </c>
      <c r="DU37" s="460">
        <f t="shared" si="75"/>
        <v>350</v>
      </c>
      <c r="DV37" s="460"/>
      <c r="DW37" s="5">
        <f t="shared" si="118"/>
        <v>2.8571428571428572</v>
      </c>
      <c r="DX37" s="5">
        <f t="shared" si="76"/>
        <v>0.7736931839283212</v>
      </c>
      <c r="DY37" s="5">
        <f t="shared" si="119"/>
        <v>2.083449673214536</v>
      </c>
      <c r="DZ37" s="5">
        <f t="shared" si="77"/>
        <v>1.1344474837658667</v>
      </c>
      <c r="EA37" s="173">
        <f t="shared" si="120"/>
        <v>0.27079261437491242</v>
      </c>
      <c r="EB37" s="173">
        <f t="shared" si="78"/>
        <v>32.736000000000011</v>
      </c>
      <c r="EC37" s="173">
        <f t="shared" si="79"/>
        <v>0.35261423995520069</v>
      </c>
      <c r="ED37" s="173">
        <f t="shared" si="121"/>
        <v>92.837997705818935</v>
      </c>
      <c r="EE37" s="460">
        <f t="shared" si="80"/>
        <v>8.7381818420139812E-2</v>
      </c>
      <c r="EF37" s="5">
        <f t="shared" si="81"/>
        <v>8.7044860587164745</v>
      </c>
      <c r="EG37" s="5"/>
      <c r="EH37" s="173">
        <f t="shared" si="122"/>
        <v>5.8112098647444643</v>
      </c>
      <c r="EI37" s="173">
        <f t="shared" si="82"/>
        <v>0.47680816723413016</v>
      </c>
      <c r="EJ37" s="173"/>
      <c r="EK37" s="528">
        <f t="shared" si="83"/>
        <v>1.350806403684135</v>
      </c>
      <c r="EL37" s="528">
        <f t="shared" si="84"/>
        <v>3.9142226180973663</v>
      </c>
      <c r="EM37" s="528">
        <f t="shared" si="85"/>
        <v>6.9999999999999993E-2</v>
      </c>
      <c r="EN37" s="528">
        <f t="shared" si="86"/>
        <v>3.094354375E-2</v>
      </c>
      <c r="EO37">
        <f t="shared" si="87"/>
        <v>5.6249999999999998E-3</v>
      </c>
      <c r="EP37" s="460">
        <f t="shared" si="123"/>
        <v>75.625</v>
      </c>
      <c r="EQ37" s="528">
        <f t="shared" si="88"/>
        <v>8.4475794469543857</v>
      </c>
      <c r="ER37" s="460">
        <f t="shared" si="124"/>
        <v>8447.5794469543853</v>
      </c>
      <c r="ES37" s="528">
        <f t="shared" si="125"/>
        <v>0.166656</v>
      </c>
      <c r="ET37" s="528"/>
      <c r="EV37" s="460">
        <f t="shared" si="126"/>
        <v>166.65600000000001</v>
      </c>
      <c r="EW37" s="528">
        <f t="shared" si="89"/>
        <v>1.0131048027631011</v>
      </c>
      <c r="EX37" s="528">
        <f t="shared" si="90"/>
        <v>6.8203808502351072E-3</v>
      </c>
      <c r="EY37" s="528">
        <f t="shared" si="91"/>
        <v>188.54371671756678</v>
      </c>
      <c r="EZ37" s="528">
        <f t="shared" si="92"/>
        <v>206.67158857962613</v>
      </c>
      <c r="FA37" s="528">
        <f t="shared" si="93"/>
        <v>3.273600000000001</v>
      </c>
      <c r="FB37" s="460">
        <f t="shared" si="127"/>
        <v>209945.18857962612</v>
      </c>
      <c r="FC37" s="173">
        <f t="shared" si="128"/>
        <v>218.5594240265805</v>
      </c>
      <c r="FD37" s="5">
        <f t="shared" si="129"/>
        <v>32.64</v>
      </c>
      <c r="FE37" s="173">
        <f t="shared" si="130"/>
        <v>0.12993660366253953</v>
      </c>
      <c r="FF37" s="5">
        <f t="shared" si="131"/>
        <v>12.993660366253954</v>
      </c>
      <c r="FI37" s="562">
        <f t="shared" si="94"/>
        <v>-50</v>
      </c>
      <c r="FJ37">
        <f t="shared" si="95"/>
        <v>-50</v>
      </c>
      <c r="FL37">
        <f t="shared" ref="FL37:FL68" si="181">MIN(SQRT(2*L*DR37*1000*CJ37*(CX37+Vfwd1))/(Nps*(CX37+Vfwd1)), 1-EA37)</f>
        <v>0.39705661931805331</v>
      </c>
    </row>
    <row r="38" spans="5:168">
      <c r="E38" s="170">
        <v>33</v>
      </c>
      <c r="F38" s="217">
        <f t="shared" ref="F38:F69" si="182">IF(PLOT_TYPE=1, E38/100*Iout_max, min_I*EXP(N38*rr/100))</f>
        <v>0.19800000000000001</v>
      </c>
      <c r="G38" s="217"/>
      <c r="H38" s="217">
        <f t="shared" si="132"/>
        <v>33.660000000000004</v>
      </c>
      <c r="I38" s="541">
        <f t="shared" si="133"/>
        <v>11.813530772721748</v>
      </c>
      <c r="J38" s="172">
        <f t="shared" si="134"/>
        <v>8.5257355027435135</v>
      </c>
      <c r="K38" s="172">
        <f t="shared" si="135"/>
        <v>21.025735502743515</v>
      </c>
      <c r="L38" s="443"/>
      <c r="M38" s="217">
        <f t="shared" si="136"/>
        <v>0.4191761893003122</v>
      </c>
      <c r="N38" s="172">
        <f t="shared" si="137"/>
        <v>166.92200860402514</v>
      </c>
      <c r="O38" s="172">
        <f t="shared" si="98"/>
        <v>33.660000000000004</v>
      </c>
      <c r="P38" s="217">
        <f t="shared" si="138"/>
        <v>0.98189416825897136</v>
      </c>
      <c r="Q38" s="217">
        <f t="shared" si="139"/>
        <v>170</v>
      </c>
      <c r="R38" s="217">
        <f t="shared" si="140"/>
        <v>0.97097074735126954</v>
      </c>
      <c r="S38" s="172">
        <f t="shared" si="141"/>
        <v>1752.6066652066897</v>
      </c>
      <c r="T38" s="172">
        <f t="shared" si="142"/>
        <v>170</v>
      </c>
      <c r="U38" s="217">
        <f t="shared" si="143"/>
        <v>13.635804617684654</v>
      </c>
      <c r="V38" s="217">
        <f t="shared" si="11"/>
        <v>0.57712655428852233</v>
      </c>
      <c r="W38" s="217">
        <f t="shared" si="144"/>
        <v>0.79968494291763803</v>
      </c>
      <c r="X38" s="197">
        <f t="shared" si="145"/>
        <v>350</v>
      </c>
      <c r="Y38" s="443">
        <f t="shared" si="14"/>
        <v>350</v>
      </c>
      <c r="AA38" s="217">
        <f t="shared" si="146"/>
        <v>28.296859696385585</v>
      </c>
      <c r="AB38" s="173">
        <f t="shared" si="147"/>
        <v>1.6594966901846697</v>
      </c>
      <c r="AC38" s="173">
        <f t="shared" si="148"/>
        <v>0.41088726882675375</v>
      </c>
      <c r="AD38" s="173"/>
      <c r="AE38" s="173">
        <f t="shared" si="149"/>
        <v>0.7819462220615907</v>
      </c>
      <c r="AF38" s="545">
        <f t="shared" si="150"/>
        <v>759.64303329444704</v>
      </c>
      <c r="AG38" s="528">
        <f t="shared" si="151"/>
        <v>9.122705924051891E-2</v>
      </c>
      <c r="AI38" s="173">
        <f t="shared" si="152"/>
        <v>19.643075869371319</v>
      </c>
      <c r="AJ38" s="173">
        <f t="shared" si="153"/>
        <v>19.643075869371319</v>
      </c>
      <c r="AK38" s="173">
        <f t="shared" si="154"/>
        <v>5.8738833600281382</v>
      </c>
      <c r="AM38" s="545">
        <f t="shared" si="155"/>
        <v>198</v>
      </c>
      <c r="AN38" s="460">
        <f t="shared" si="156"/>
        <v>350</v>
      </c>
      <c r="AP38">
        <f t="shared" si="157"/>
        <v>198</v>
      </c>
      <c r="AQ38" s="460">
        <f t="shared" si="158"/>
        <v>350</v>
      </c>
      <c r="AR38" s="460"/>
      <c r="AS38" s="5">
        <f t="shared" si="101"/>
        <v>2.8571428571428572</v>
      </c>
      <c r="AT38" s="5">
        <f t="shared" si="159"/>
        <v>0.83138039961467436</v>
      </c>
      <c r="AU38" s="5">
        <f t="shared" si="102"/>
        <v>2.0257624575281827</v>
      </c>
      <c r="AV38" s="5">
        <f t="shared" si="160"/>
        <v>1.1519871724293074</v>
      </c>
      <c r="AW38" s="173">
        <f t="shared" si="103"/>
        <v>0.29098313986513602</v>
      </c>
      <c r="AX38" s="173">
        <f t="shared" si="161"/>
        <v>33.761912590864306</v>
      </c>
      <c r="AY38" s="173">
        <f t="shared" si="162"/>
        <v>0.3481817994073142</v>
      </c>
      <c r="AZ38" s="173">
        <f t="shared" si="104"/>
        <v>96.966333818524902</v>
      </c>
      <c r="BA38" s="460">
        <f t="shared" si="163"/>
        <v>9.683136419041502E-2</v>
      </c>
      <c r="BB38" s="5">
        <f t="shared" si="164"/>
        <v>9.235127500116727</v>
      </c>
      <c r="BC38" s="5"/>
      <c r="BD38" s="173">
        <f t="shared" si="105"/>
        <v>6.1176239812036473</v>
      </c>
      <c r="BE38" s="173">
        <f t="shared" si="165"/>
        <v>0.47747116848706511</v>
      </c>
      <c r="BF38" s="173"/>
      <c r="BG38" s="528">
        <f t="shared" si="166"/>
        <v>1.4970129270159185</v>
      </c>
      <c r="BH38" s="528">
        <f t="shared" si="167"/>
        <v>3.2524546768065843</v>
      </c>
      <c r="BI38" s="528">
        <f t="shared" si="168"/>
        <v>0.16538943081810448</v>
      </c>
      <c r="BJ38" s="528">
        <f t="shared" si="169"/>
        <v>3.0945708740193034E-2</v>
      </c>
      <c r="BK38">
        <f t="shared" si="170"/>
        <v>5.3160888477247863E-3</v>
      </c>
      <c r="BL38" s="460">
        <f t="shared" si="106"/>
        <v>170.70551966582926</v>
      </c>
      <c r="BM38" s="528">
        <f t="shared" si="171"/>
        <v>8.0467616321688578</v>
      </c>
      <c r="BN38" s="460">
        <f t="shared" si="107"/>
        <v>8046.7616321688574</v>
      </c>
      <c r="BO38" s="528">
        <f t="shared" si="172"/>
        <v>0.17186399999999999</v>
      </c>
      <c r="BP38" s="528"/>
      <c r="BR38" s="460">
        <f t="shared" si="109"/>
        <v>171.86399999999998</v>
      </c>
      <c r="BS38" s="528">
        <f t="shared" si="173"/>
        <v>1.1227596952619388</v>
      </c>
      <c r="BT38" s="528">
        <f t="shared" si="174"/>
        <v>6.8393615020920992E-3</v>
      </c>
      <c r="BU38" s="528">
        <f t="shared" si="175"/>
        <v>0.50490000000000002</v>
      </c>
      <c r="BV38" s="528">
        <f t="shared" si="176"/>
        <v>2.0949160455078371</v>
      </c>
      <c r="BW38" s="528">
        <f t="shared" si="177"/>
        <v>3.3761912590864314</v>
      </c>
      <c r="BX38" s="460">
        <f t="shared" si="110"/>
        <v>5471.1073045942676</v>
      </c>
      <c r="BY38" s="173">
        <f t="shared" si="45"/>
        <v>13.860438456428954</v>
      </c>
      <c r="BZ38" s="5">
        <f t="shared" si="111"/>
        <v>33.660000000000004</v>
      </c>
      <c r="CA38" s="173">
        <f t="shared" si="112"/>
        <v>0.70832679776013729</v>
      </c>
      <c r="CB38" s="5">
        <f t="shared" si="113"/>
        <v>70.832679776013734</v>
      </c>
      <c r="CE38" s="562">
        <f t="shared" si="178"/>
        <v>-50</v>
      </c>
      <c r="CF38">
        <f t="shared" si="179"/>
        <v>-50</v>
      </c>
      <c r="CG38" s="173">
        <f t="shared" si="180"/>
        <v>0.40380542781073631</v>
      </c>
      <c r="CI38" s="170">
        <v>33</v>
      </c>
      <c r="CJ38" s="217">
        <f t="shared" si="114"/>
        <v>0.19800000000000001</v>
      </c>
      <c r="CK38" s="217"/>
      <c r="CL38" s="217">
        <f t="shared" si="49"/>
        <v>33.660000000000004</v>
      </c>
      <c r="CM38" s="541">
        <f t="shared" si="50"/>
        <v>12.5</v>
      </c>
      <c r="CN38" s="172">
        <f t="shared" si="51"/>
        <v>8.5250000000000004</v>
      </c>
      <c r="CO38" s="443">
        <f t="shared" si="52"/>
        <v>21.024999999999999</v>
      </c>
      <c r="CP38" s="443"/>
      <c r="CQ38" s="217">
        <f t="shared" si="53"/>
        <v>0.40546967895362668</v>
      </c>
      <c r="CR38" s="172">
        <f t="shared" si="54"/>
        <v>170.84633868410626</v>
      </c>
      <c r="CS38" s="172">
        <f t="shared" si="115"/>
        <v>33.660000000000004</v>
      </c>
      <c r="CT38" s="217">
        <f t="shared" si="55"/>
        <v>1.0049784628476839</v>
      </c>
      <c r="CU38" s="217">
        <f t="shared" si="56"/>
        <v>170</v>
      </c>
      <c r="CV38" s="217">
        <f t="shared" si="57"/>
        <v>0.99379823272947732</v>
      </c>
      <c r="CW38" s="172">
        <f t="shared" si="58"/>
        <v>1854.4444918383199</v>
      </c>
      <c r="CX38" s="172">
        <f t="shared" si="59"/>
        <v>170</v>
      </c>
      <c r="CY38" s="217">
        <f t="shared" si="60"/>
        <v>13.282374193548387</v>
      </c>
      <c r="CZ38" s="217">
        <f t="shared" si="61"/>
        <v>0.53129496774193552</v>
      </c>
      <c r="DA38" s="217">
        <f t="shared" si="62"/>
        <v>0.77902487938700204</v>
      </c>
      <c r="DB38" s="197">
        <f t="shared" si="63"/>
        <v>350</v>
      </c>
      <c r="DC38" s="443">
        <f t="shared" si="116"/>
        <v>350</v>
      </c>
      <c r="DE38" s="217">
        <f t="shared" si="64"/>
        <v>28.962119925259049</v>
      </c>
      <c r="DF38" s="173">
        <f t="shared" si="65"/>
        <v>1.6986580601324954</v>
      </c>
      <c r="DG38" s="173">
        <f t="shared" si="66"/>
        <v>0.4304714614336958</v>
      </c>
      <c r="DH38" s="173"/>
      <c r="DI38" s="173">
        <f t="shared" si="67"/>
        <v>0.78201368523949166</v>
      </c>
      <c r="DJ38" s="545">
        <f t="shared" si="117"/>
        <v>759.57749999999999</v>
      </c>
      <c r="DK38" s="528">
        <f t="shared" si="68"/>
        <v>9.1234929944607357E-2</v>
      </c>
      <c r="DM38" s="173">
        <f t="shared" si="69"/>
        <v>19.642228561371105</v>
      </c>
      <c r="DN38" s="173">
        <f t="shared" si="70"/>
        <v>19.642228561371105</v>
      </c>
      <c r="DO38" s="173">
        <f t="shared" si="71"/>
        <v>5.8732557244724228</v>
      </c>
      <c r="DQ38" s="545">
        <f t="shared" si="72"/>
        <v>198</v>
      </c>
      <c r="DR38" s="460">
        <f t="shared" si="73"/>
        <v>350</v>
      </c>
      <c r="DT38">
        <f t="shared" si="74"/>
        <v>198</v>
      </c>
      <c r="DU38" s="460">
        <f t="shared" si="75"/>
        <v>350</v>
      </c>
      <c r="DV38" s="460"/>
      <c r="DW38" s="5">
        <f t="shared" si="118"/>
        <v>2.8571428571428572</v>
      </c>
      <c r="DX38" s="5">
        <f t="shared" si="76"/>
        <v>0.78568914245484422</v>
      </c>
      <c r="DY38" s="5">
        <f t="shared" si="119"/>
        <v>2.0714537146880128</v>
      </c>
      <c r="DZ38" s="5">
        <f t="shared" si="77"/>
        <v>1.1520368657695663</v>
      </c>
      <c r="EA38" s="173">
        <f t="shared" si="120"/>
        <v>0.27499119985919546</v>
      </c>
      <c r="EB38" s="173">
        <f t="shared" si="78"/>
        <v>33.758999999999993</v>
      </c>
      <c r="EC38" s="173">
        <f t="shared" si="79"/>
        <v>0.35601971403427773</v>
      </c>
      <c r="ED38" s="173">
        <f t="shared" si="121"/>
        <v>94.823400697270557</v>
      </c>
      <c r="EE38" s="460">
        <f t="shared" si="80"/>
        <v>9.150967659179951E-2</v>
      </c>
      <c r="EF38" s="5">
        <f t="shared" si="81"/>
        <v>8.9248169006590086</v>
      </c>
      <c r="EG38" s="5"/>
      <c r="EH38" s="173">
        <f t="shared" si="122"/>
        <v>5.9468848719457679</v>
      </c>
      <c r="EI38" s="173">
        <f t="shared" si="82"/>
        <v>0.48280501914731799</v>
      </c>
      <c r="EJ38" s="173"/>
      <c r="EK38" s="528">
        <f t="shared" si="83"/>
        <v>1.4146175872070972</v>
      </c>
      <c r="EL38" s="528">
        <f t="shared" si="84"/>
        <v>3.9749118592147141</v>
      </c>
      <c r="EM38" s="528">
        <f t="shared" si="85"/>
        <v>6.9999999999999993E-2</v>
      </c>
      <c r="EN38" s="528">
        <f t="shared" si="86"/>
        <v>3.094354375E-2</v>
      </c>
      <c r="EO38">
        <f t="shared" si="87"/>
        <v>5.6249999999999998E-3</v>
      </c>
      <c r="EP38" s="460">
        <f t="shared" si="123"/>
        <v>75.625</v>
      </c>
      <c r="EQ38" s="528">
        <f t="shared" si="88"/>
        <v>8.8539856435601436</v>
      </c>
      <c r="ER38" s="460">
        <f t="shared" si="124"/>
        <v>8853.9856435601432</v>
      </c>
      <c r="ES38" s="528">
        <f t="shared" si="125"/>
        <v>0.17186399999999999</v>
      </c>
      <c r="ET38" s="528"/>
      <c r="EV38" s="460">
        <f t="shared" si="126"/>
        <v>171.86399999999998</v>
      </c>
      <c r="EW38" s="528">
        <f t="shared" si="89"/>
        <v>1.0609631904053229</v>
      </c>
      <c r="EX38" s="528">
        <f t="shared" si="90"/>
        <v>6.9930205954152622E-3</v>
      </c>
      <c r="EY38" s="528">
        <f t="shared" si="91"/>
        <v>195.93725339935327</v>
      </c>
      <c r="EZ38" s="528">
        <f t="shared" si="92"/>
        <v>215.68925331926809</v>
      </c>
      <c r="FA38" s="528">
        <f t="shared" si="93"/>
        <v>3.3758999999999997</v>
      </c>
      <c r="FB38" s="460">
        <f t="shared" si="127"/>
        <v>219065.15331926808</v>
      </c>
      <c r="FC38" s="173">
        <f t="shared" si="128"/>
        <v>228.09100296282824</v>
      </c>
      <c r="FD38" s="5">
        <f t="shared" si="129"/>
        <v>33.660000000000004</v>
      </c>
      <c r="FE38" s="173">
        <f t="shared" si="130"/>
        <v>0.12859549579177781</v>
      </c>
      <c r="FF38" s="5">
        <f t="shared" si="131"/>
        <v>12.859549579177781</v>
      </c>
      <c r="FI38" s="562">
        <f t="shared" si="94"/>
        <v>-50</v>
      </c>
      <c r="FJ38">
        <f t="shared" si="95"/>
        <v>-50</v>
      </c>
      <c r="FL38">
        <f t="shared" si="181"/>
        <v>0.4032129030193482</v>
      </c>
    </row>
    <row r="39" spans="5:168">
      <c r="E39" s="170">
        <v>34</v>
      </c>
      <c r="F39" s="217">
        <f t="shared" si="182"/>
        <v>0.20400000000000001</v>
      </c>
      <c r="G39" s="217"/>
      <c r="H39" s="217">
        <f t="shared" si="132"/>
        <v>34.68</v>
      </c>
      <c r="I39" s="541">
        <f t="shared" si="133"/>
        <v>11.803207347914746</v>
      </c>
      <c r="J39" s="172">
        <f t="shared" si="134"/>
        <v>8.5257465635558063</v>
      </c>
      <c r="K39" s="172">
        <f t="shared" si="135"/>
        <v>21.025746563555806</v>
      </c>
      <c r="L39" s="443"/>
      <c r="M39" s="217">
        <f t="shared" si="136"/>
        <v>0.41938937132039811</v>
      </c>
      <c r="N39" s="172">
        <f t="shared" si="137"/>
        <v>166.86095936449465</v>
      </c>
      <c r="O39" s="172">
        <f t="shared" si="98"/>
        <v>34.68</v>
      </c>
      <c r="P39" s="217">
        <f t="shared" si="138"/>
        <v>0.98153505508526262</v>
      </c>
      <c r="Q39" s="217">
        <f t="shared" si="139"/>
        <v>170</v>
      </c>
      <c r="R39" s="217">
        <f t="shared" si="140"/>
        <v>0.97061562925613132</v>
      </c>
      <c r="S39" s="172">
        <f t="shared" si="141"/>
        <v>1692.6342168395117</v>
      </c>
      <c r="T39" s="172">
        <f t="shared" si="142"/>
        <v>170</v>
      </c>
      <c r="U39" s="217">
        <f t="shared" si="143"/>
        <v>14.054169174541464</v>
      </c>
      <c r="V39" s="217">
        <f t="shared" si="11"/>
        <v>0.59535382037596718</v>
      </c>
      <c r="W39" s="217">
        <f t="shared" si="144"/>
        <v>0.82421926747256802</v>
      </c>
      <c r="X39" s="197">
        <f t="shared" si="145"/>
        <v>350</v>
      </c>
      <c r="Y39" s="443">
        <f t="shared" si="14"/>
        <v>350</v>
      </c>
      <c r="AA39" s="217">
        <f t="shared" si="146"/>
        <v>28.286510510688743</v>
      </c>
      <c r="AB39" s="173">
        <f t="shared" si="147"/>
        <v>1.6588876000374198</v>
      </c>
      <c r="AC39" s="173">
        <f t="shared" si="148"/>
        <v>0.41058623842695985</v>
      </c>
      <c r="AD39" s="173"/>
      <c r="AE39" s="173">
        <f t="shared" si="149"/>
        <v>0.78194520760962205</v>
      </c>
      <c r="AF39" s="545">
        <f t="shared" si="150"/>
        <v>782.66353453442298</v>
      </c>
      <c r="AG39" s="528">
        <f t="shared" si="151"/>
        <v>9.1226940887789251E-2</v>
      </c>
      <c r="AI39" s="173">
        <f t="shared" si="152"/>
        <v>19.938489978447699</v>
      </c>
      <c r="AJ39" s="173">
        <f t="shared" si="153"/>
        <v>19.938489978447699</v>
      </c>
      <c r="AK39" s="173">
        <f t="shared" si="154"/>
        <v>6.0927086260106407</v>
      </c>
      <c r="AM39" s="545">
        <f t="shared" si="155"/>
        <v>204.00000000000003</v>
      </c>
      <c r="AN39" s="460">
        <f t="shared" si="156"/>
        <v>350</v>
      </c>
      <c r="AP39">
        <f t="shared" si="157"/>
        <v>204.00000000000003</v>
      </c>
      <c r="AQ39" s="460">
        <f t="shared" si="158"/>
        <v>350</v>
      </c>
      <c r="AR39" s="460"/>
      <c r="AS39" s="5">
        <f t="shared" si="101"/>
        <v>2.8571428571428572</v>
      </c>
      <c r="AT39" s="5">
        <f t="shared" si="159"/>
        <v>0.84462169437234369</v>
      </c>
      <c r="AU39" s="5">
        <f t="shared" si="102"/>
        <v>2.0125211627705135</v>
      </c>
      <c r="AV39" s="5">
        <f t="shared" si="160"/>
        <v>1.1693105014214742</v>
      </c>
      <c r="AW39" s="173">
        <f t="shared" si="103"/>
        <v>0.29561759303032026</v>
      </c>
      <c r="AX39" s="173">
        <f t="shared" si="161"/>
        <v>34.785045979307689</v>
      </c>
      <c r="AY39" s="173">
        <f t="shared" si="162"/>
        <v>0.35110803905899574</v>
      </c>
      <c r="AZ39" s="173">
        <f t="shared" si="104"/>
        <v>99.07220031912415</v>
      </c>
      <c r="BA39" s="460">
        <f t="shared" si="163"/>
        <v>0.10135460332468126</v>
      </c>
      <c r="BB39" s="5">
        <f t="shared" si="164"/>
        <v>9.4610533381453266</v>
      </c>
      <c r="BC39" s="5"/>
      <c r="BD39" s="173">
        <f t="shared" si="105"/>
        <v>6.2588821657825067</v>
      </c>
      <c r="BE39" s="173">
        <f t="shared" si="165"/>
        <v>0.48306535507217552</v>
      </c>
      <c r="BF39" s="173"/>
      <c r="BG39" s="528">
        <f t="shared" si="166"/>
        <v>1.5669442386060128</v>
      </c>
      <c r="BH39" s="528">
        <f t="shared" si="167"/>
        <v>3.3013703925313536</v>
      </c>
      <c r="BI39" s="528">
        <f t="shared" si="168"/>
        <v>0.16524490287080645</v>
      </c>
      <c r="BJ39" s="528">
        <f t="shared" si="169"/>
        <v>3.0945741298841513E-2</v>
      </c>
      <c r="BK39">
        <f t="shared" si="170"/>
        <v>5.3114433065616353E-3</v>
      </c>
      <c r="BL39" s="460">
        <f t="shared" si="106"/>
        <v>170.55634617736808</v>
      </c>
      <c r="BM39" s="528">
        <f t="shared" si="171"/>
        <v>8.4791871551527223</v>
      </c>
      <c r="BN39" s="460">
        <f t="shared" si="107"/>
        <v>8479.187155152722</v>
      </c>
      <c r="BO39" s="528">
        <f t="shared" si="172"/>
        <v>0.17707200000000001</v>
      </c>
      <c r="BP39" s="528"/>
      <c r="BR39" s="460">
        <f t="shared" si="109"/>
        <v>177.072</v>
      </c>
      <c r="BS39" s="528">
        <f t="shared" si="173"/>
        <v>1.1752081789545097</v>
      </c>
      <c r="BT39" s="528">
        <f t="shared" si="174"/>
        <v>7.0005641181302104E-3</v>
      </c>
      <c r="BU39" s="528">
        <f t="shared" si="175"/>
        <v>0.5202</v>
      </c>
      <c r="BV39" s="528">
        <f t="shared" si="176"/>
        <v>2.1936025284465326</v>
      </c>
      <c r="BW39" s="528">
        <f t="shared" si="177"/>
        <v>3.4785045979307689</v>
      </c>
      <c r="BX39" s="460">
        <f t="shared" si="110"/>
        <v>5672.1071263773019</v>
      </c>
      <c r="BY39" s="173">
        <f t="shared" si="45"/>
        <v>14.498922627707394</v>
      </c>
      <c r="BZ39" s="5">
        <f t="shared" si="111"/>
        <v>34.68</v>
      </c>
      <c r="CA39" s="173">
        <f t="shared" si="112"/>
        <v>0.70518014927926254</v>
      </c>
      <c r="CB39" s="5">
        <f t="shared" si="113"/>
        <v>70.518014927926259</v>
      </c>
      <c r="CE39" s="562">
        <f t="shared" si="178"/>
        <v>-50</v>
      </c>
      <c r="CF39">
        <f t="shared" si="179"/>
        <v>-50</v>
      </c>
      <c r="CG39" s="173">
        <f t="shared" si="180"/>
        <v>0.40987803063838391</v>
      </c>
      <c r="CI39" s="170">
        <v>34</v>
      </c>
      <c r="CJ39" s="217">
        <f t="shared" si="114"/>
        <v>0.20400000000000001</v>
      </c>
      <c r="CK39" s="217"/>
      <c r="CL39" s="217">
        <f t="shared" si="49"/>
        <v>34.68</v>
      </c>
      <c r="CM39" s="541">
        <f t="shared" si="50"/>
        <v>12.5</v>
      </c>
      <c r="CN39" s="172">
        <f t="shared" si="51"/>
        <v>8.5250000000000004</v>
      </c>
      <c r="CO39" s="443">
        <f t="shared" si="52"/>
        <v>21.024999999999999</v>
      </c>
      <c r="CP39" s="443"/>
      <c r="CQ39" s="217">
        <f t="shared" si="53"/>
        <v>0.40546967895362668</v>
      </c>
      <c r="CR39" s="172">
        <f t="shared" si="54"/>
        <v>170.84633868410626</v>
      </c>
      <c r="CS39" s="172">
        <f t="shared" si="115"/>
        <v>34.68</v>
      </c>
      <c r="CT39" s="217">
        <f t="shared" si="55"/>
        <v>1.0049784628476839</v>
      </c>
      <c r="CU39" s="217">
        <f t="shared" si="56"/>
        <v>170</v>
      </c>
      <c r="CV39" s="217">
        <f t="shared" si="57"/>
        <v>0.99379823272947732</v>
      </c>
      <c r="CW39" s="172">
        <f t="shared" si="58"/>
        <v>1792.5533736160171</v>
      </c>
      <c r="CX39" s="172">
        <f t="shared" si="59"/>
        <v>170</v>
      </c>
      <c r="CY39" s="217">
        <f t="shared" si="60"/>
        <v>13.684870381231669</v>
      </c>
      <c r="CZ39" s="217">
        <f t="shared" si="61"/>
        <v>0.5473948152492667</v>
      </c>
      <c r="DA39" s="217">
        <f t="shared" si="62"/>
        <v>0.80263169391388078</v>
      </c>
      <c r="DB39" s="197">
        <f t="shared" si="63"/>
        <v>350</v>
      </c>
      <c r="DC39" s="443">
        <f t="shared" si="116"/>
        <v>350</v>
      </c>
      <c r="DE39" s="217">
        <f t="shared" si="64"/>
        <v>28.962119925259049</v>
      </c>
      <c r="DF39" s="173">
        <f t="shared" si="65"/>
        <v>1.6986580601324954</v>
      </c>
      <c r="DG39" s="173">
        <f t="shared" si="66"/>
        <v>0.4304714614336958</v>
      </c>
      <c r="DH39" s="173"/>
      <c r="DI39" s="173">
        <f t="shared" si="67"/>
        <v>0.78201368523949166</v>
      </c>
      <c r="DJ39" s="545">
        <f t="shared" si="117"/>
        <v>782.59500000000003</v>
      </c>
      <c r="DK39" s="528">
        <f t="shared" si="68"/>
        <v>9.1234929944607357E-2</v>
      </c>
      <c r="DM39" s="173">
        <f t="shared" si="69"/>
        <v>19.937616994730625</v>
      </c>
      <c r="DN39" s="173">
        <f t="shared" si="70"/>
        <v>19.937616994730625</v>
      </c>
      <c r="DO39" s="173">
        <f t="shared" si="71"/>
        <v>6.0920619714054007</v>
      </c>
      <c r="DQ39" s="545">
        <f t="shared" si="72"/>
        <v>204.00000000000003</v>
      </c>
      <c r="DR39" s="460">
        <f t="shared" si="73"/>
        <v>350</v>
      </c>
      <c r="DT39">
        <f t="shared" si="74"/>
        <v>204.00000000000003</v>
      </c>
      <c r="DU39" s="460">
        <f t="shared" si="75"/>
        <v>350</v>
      </c>
      <c r="DV39" s="460"/>
      <c r="DW39" s="5">
        <f t="shared" si="118"/>
        <v>2.8571428571428572</v>
      </c>
      <c r="DX39" s="5">
        <f t="shared" si="76"/>
        <v>0.79750467978922501</v>
      </c>
      <c r="DY39" s="5">
        <f t="shared" si="119"/>
        <v>2.0596381773536323</v>
      </c>
      <c r="DZ39" s="5">
        <f t="shared" si="77"/>
        <v>1.1693617005707111</v>
      </c>
      <c r="EA39" s="173">
        <f t="shared" si="120"/>
        <v>0.27912663792622877</v>
      </c>
      <c r="EB39" s="173">
        <f t="shared" si="78"/>
        <v>34.782000000000004</v>
      </c>
      <c r="EC39" s="173">
        <f t="shared" si="79"/>
        <v>0.3593124248682657</v>
      </c>
      <c r="ED39" s="173">
        <f t="shared" si="121"/>
        <v>96.80155094205854</v>
      </c>
      <c r="EE39" s="460">
        <f t="shared" si="80"/>
        <v>9.5700561574707022E-2</v>
      </c>
      <c r="EF39" s="5">
        <f t="shared" si="81"/>
        <v>9.1428162547998681</v>
      </c>
      <c r="EG39" s="5"/>
      <c r="EH39" s="173">
        <f t="shared" si="122"/>
        <v>6.0815357460024115</v>
      </c>
      <c r="EI39" s="173">
        <f t="shared" si="82"/>
        <v>0.48866599051129</v>
      </c>
      <c r="EJ39" s="173"/>
      <c r="EK39" s="528">
        <f t="shared" si="83"/>
        <v>1.4794030811962042</v>
      </c>
      <c r="EL39" s="528">
        <f t="shared" si="84"/>
        <v>4.0346883241492844</v>
      </c>
      <c r="EM39" s="528">
        <f t="shared" si="85"/>
        <v>6.9999999999999993E-2</v>
      </c>
      <c r="EN39" s="528">
        <f t="shared" si="86"/>
        <v>3.094354375E-2</v>
      </c>
      <c r="EO39">
        <f t="shared" si="87"/>
        <v>5.6249999999999998E-3</v>
      </c>
      <c r="EP39" s="460">
        <f t="shared" si="123"/>
        <v>75.625</v>
      </c>
      <c r="EQ39" s="528">
        <f t="shared" si="88"/>
        <v>9.2832013535748636</v>
      </c>
      <c r="ER39" s="460">
        <f t="shared" si="124"/>
        <v>9283.2013535748629</v>
      </c>
      <c r="ES39" s="528">
        <f t="shared" si="125"/>
        <v>0.17707200000000001</v>
      </c>
      <c r="ET39" s="528"/>
      <c r="EV39" s="460">
        <f t="shared" si="126"/>
        <v>177.072</v>
      </c>
      <c r="EW39" s="528">
        <f t="shared" si="89"/>
        <v>1.1095523108971532</v>
      </c>
      <c r="EX39" s="528">
        <f t="shared" si="90"/>
        <v>7.1638335084714044E-3</v>
      </c>
      <c r="EY39" s="528">
        <f t="shared" si="91"/>
        <v>203.38702198506664</v>
      </c>
      <c r="EZ39" s="528">
        <f t="shared" si="92"/>
        <v>224.86014646763536</v>
      </c>
      <c r="FA39" s="528">
        <f t="shared" si="93"/>
        <v>3.4782000000000006</v>
      </c>
      <c r="FB39" s="460">
        <f t="shared" si="127"/>
        <v>228338.34646763536</v>
      </c>
      <c r="FC39" s="173">
        <f t="shared" si="128"/>
        <v>237.79861982121022</v>
      </c>
      <c r="FD39" s="5">
        <f t="shared" si="129"/>
        <v>34.68</v>
      </c>
      <c r="FE39" s="173">
        <f t="shared" si="130"/>
        <v>0.12727604104408508</v>
      </c>
      <c r="FF39" s="5">
        <f t="shared" si="131"/>
        <v>12.727604104408508</v>
      </c>
      <c r="FI39" s="562">
        <f t="shared" si="94"/>
        <v>-50</v>
      </c>
      <c r="FJ39">
        <f t="shared" si="95"/>
        <v>-50</v>
      </c>
      <c r="FL39">
        <f t="shared" si="181"/>
        <v>0.4092765951997489</v>
      </c>
    </row>
    <row r="40" spans="5:168">
      <c r="E40" s="170">
        <v>35</v>
      </c>
      <c r="F40" s="217">
        <f t="shared" si="182"/>
        <v>0.21</v>
      </c>
      <c r="G40" s="217"/>
      <c r="H40" s="217">
        <f t="shared" si="132"/>
        <v>35.699999999999996</v>
      </c>
      <c r="I40" s="541">
        <f t="shared" si="133"/>
        <v>11.793034654314654</v>
      </c>
      <c r="J40" s="172">
        <f t="shared" si="134"/>
        <v>8.5257574628703772</v>
      </c>
      <c r="K40" s="172">
        <f t="shared" si="135"/>
        <v>21.025757462870377</v>
      </c>
      <c r="L40" s="443"/>
      <c r="M40" s="217">
        <f t="shared" si="136"/>
        <v>0.41959965236821767</v>
      </c>
      <c r="N40" s="172">
        <f t="shared" si="137"/>
        <v>166.80074050938623</v>
      </c>
      <c r="O40" s="172">
        <f t="shared" si="98"/>
        <v>35.699999999999996</v>
      </c>
      <c r="P40" s="217">
        <f t="shared" si="138"/>
        <v>0.98118082652580141</v>
      </c>
      <c r="Q40" s="217">
        <f t="shared" si="139"/>
        <v>170</v>
      </c>
      <c r="R40" s="217">
        <f t="shared" si="140"/>
        <v>0.97026534143466159</v>
      </c>
      <c r="S40" s="172">
        <f t="shared" si="141"/>
        <v>1636.1216266878548</v>
      </c>
      <c r="T40" s="172">
        <f t="shared" si="142"/>
        <v>170</v>
      </c>
      <c r="U40" s="217">
        <f t="shared" si="143"/>
        <v>14.472768726405258</v>
      </c>
      <c r="V40" s="217">
        <f t="shared" si="11"/>
        <v>0.61361511903597199</v>
      </c>
      <c r="W40" s="217">
        <f t="shared" si="144"/>
        <v>0.84876732591995963</v>
      </c>
      <c r="X40" s="197">
        <f t="shared" si="145"/>
        <v>350</v>
      </c>
      <c r="Y40" s="443">
        <f t="shared" si="14"/>
        <v>350</v>
      </c>
      <c r="AA40" s="217">
        <f t="shared" si="146"/>
        <v>28.276302093448201</v>
      </c>
      <c r="AB40" s="173">
        <f t="shared" si="147"/>
        <v>1.658286798363156</v>
      </c>
      <c r="AC40" s="173">
        <f t="shared" si="148"/>
        <v>0.41028941159581922</v>
      </c>
      <c r="AD40" s="173"/>
      <c r="AE40" s="173">
        <f t="shared" si="149"/>
        <v>0.78194420797213149</v>
      </c>
      <c r="AF40" s="545">
        <f t="shared" si="150"/>
        <v>805.68408024125063</v>
      </c>
      <c r="AG40" s="528">
        <f t="shared" si="151"/>
        <v>9.1226824263415357E-2</v>
      </c>
      <c r="AI40" s="173">
        <f t="shared" si="152"/>
        <v>20.229591153005988</v>
      </c>
      <c r="AJ40" s="173">
        <f t="shared" si="153"/>
        <v>20.229591153005988</v>
      </c>
      <c r="AK40" s="173">
        <f t="shared" si="154"/>
        <v>6.3083391256834469</v>
      </c>
      <c r="AM40" s="545">
        <f t="shared" si="155"/>
        <v>210</v>
      </c>
      <c r="AN40" s="460">
        <f t="shared" si="156"/>
        <v>350</v>
      </c>
      <c r="AP40">
        <f t="shared" si="157"/>
        <v>210</v>
      </c>
      <c r="AQ40" s="460">
        <f t="shared" si="158"/>
        <v>350</v>
      </c>
      <c r="AR40" s="460"/>
      <c r="AS40" s="5">
        <f t="shared" si="101"/>
        <v>2.8571428571428572</v>
      </c>
      <c r="AT40" s="5">
        <f t="shared" si="159"/>
        <v>0.85769234747413781</v>
      </c>
      <c r="AU40" s="5">
        <f t="shared" si="102"/>
        <v>1.9994505096687194</v>
      </c>
      <c r="AV40" s="5">
        <f t="shared" si="160"/>
        <v>1.186380872380298</v>
      </c>
      <c r="AW40" s="173">
        <f t="shared" si="103"/>
        <v>0.30019232161594822</v>
      </c>
      <c r="AX40" s="173">
        <f t="shared" si="161"/>
        <v>35.808181344055583</v>
      </c>
      <c r="AY40" s="173">
        <f t="shared" si="162"/>
        <v>0.35392058048609187</v>
      </c>
      <c r="AZ40" s="173">
        <f t="shared" si="104"/>
        <v>101.17575331413299</v>
      </c>
      <c r="BA40" s="460">
        <f t="shared" si="163"/>
        <v>0.10595023115856995</v>
      </c>
      <c r="BB40" s="5">
        <f t="shared" si="164"/>
        <v>9.6844125757310771</v>
      </c>
      <c r="BC40" s="5"/>
      <c r="BD40" s="173">
        <f t="shared" si="105"/>
        <v>6.3992086089622733</v>
      </c>
      <c r="BE40" s="173">
        <f t="shared" si="165"/>
        <v>0.48852392107477494</v>
      </c>
      <c r="BF40" s="173"/>
      <c r="BG40" s="528">
        <f t="shared" si="166"/>
        <v>1.637994832840675</v>
      </c>
      <c r="BH40" s="528">
        <f t="shared" si="167"/>
        <v>3.3495720076045412</v>
      </c>
      <c r="BI40" s="528">
        <f t="shared" si="168"/>
        <v>0.16510248516040515</v>
      </c>
      <c r="BJ40" s="528">
        <f t="shared" si="169"/>
        <v>3.0945773382121455E-2</v>
      </c>
      <c r="BK40">
        <f t="shared" si="170"/>
        <v>5.3068655944415941E-3</v>
      </c>
      <c r="BL40" s="460">
        <f t="shared" si="106"/>
        <v>170.40935075484674</v>
      </c>
      <c r="BM40" s="528">
        <f t="shared" si="171"/>
        <v>8.9401770018076512</v>
      </c>
      <c r="BN40" s="460">
        <f t="shared" si="107"/>
        <v>8940.1770018076513</v>
      </c>
      <c r="BO40" s="528">
        <f t="shared" si="172"/>
        <v>0.18228</v>
      </c>
      <c r="BP40" s="528"/>
      <c r="BR40" s="460">
        <f t="shared" si="109"/>
        <v>182.28</v>
      </c>
      <c r="BS40" s="528">
        <f t="shared" si="173"/>
        <v>1.2284961246305062</v>
      </c>
      <c r="BT40" s="528">
        <f t="shared" si="174"/>
        <v>7.1596686438681872E-3</v>
      </c>
      <c r="BU40" s="528">
        <f t="shared" si="175"/>
        <v>0.53549999999999986</v>
      </c>
      <c r="BV40" s="528">
        <f t="shared" si="176"/>
        <v>2.2945334696289406</v>
      </c>
      <c r="BW40" s="528">
        <f t="shared" si="177"/>
        <v>3.5808181344055585</v>
      </c>
      <c r="BX40" s="460">
        <f t="shared" si="110"/>
        <v>5875.3516040344994</v>
      </c>
      <c r="BY40" s="173">
        <f t="shared" si="45"/>
        <v>15.168217956596996</v>
      </c>
      <c r="BZ40" s="5">
        <f t="shared" si="111"/>
        <v>35.699999999999996</v>
      </c>
      <c r="CA40" s="173">
        <f t="shared" si="112"/>
        <v>0.70181345905336823</v>
      </c>
      <c r="CB40" s="5">
        <f t="shared" si="113"/>
        <v>70.181345905336826</v>
      </c>
      <c r="CE40" s="562">
        <f t="shared" si="178"/>
        <v>-50</v>
      </c>
      <c r="CF40">
        <f t="shared" si="179"/>
        <v>-50</v>
      </c>
      <c r="CG40" s="173">
        <f t="shared" si="180"/>
        <v>0.41586196805020315</v>
      </c>
      <c r="CI40" s="170">
        <v>35</v>
      </c>
      <c r="CJ40" s="217">
        <f t="shared" si="114"/>
        <v>0.21</v>
      </c>
      <c r="CK40" s="217"/>
      <c r="CL40" s="217">
        <f t="shared" si="49"/>
        <v>35.699999999999996</v>
      </c>
      <c r="CM40" s="541">
        <f t="shared" si="50"/>
        <v>12.5</v>
      </c>
      <c r="CN40" s="172">
        <f t="shared" si="51"/>
        <v>8.5250000000000004</v>
      </c>
      <c r="CO40" s="443">
        <f t="shared" si="52"/>
        <v>21.024999999999999</v>
      </c>
      <c r="CP40" s="443"/>
      <c r="CQ40" s="217">
        <f t="shared" si="53"/>
        <v>0.40546967895362668</v>
      </c>
      <c r="CR40" s="172">
        <f t="shared" si="54"/>
        <v>170.84633868410626</v>
      </c>
      <c r="CS40" s="172">
        <f t="shared" si="115"/>
        <v>35.699999999999996</v>
      </c>
      <c r="CT40" s="217">
        <f t="shared" si="55"/>
        <v>1.0049784628476839</v>
      </c>
      <c r="CU40" s="217">
        <f t="shared" si="56"/>
        <v>170</v>
      </c>
      <c r="CV40" s="217">
        <f t="shared" si="57"/>
        <v>0.99379823272947732</v>
      </c>
      <c r="CW40" s="172">
        <f t="shared" si="58"/>
        <v>1734.1990427359538</v>
      </c>
      <c r="CX40" s="172">
        <f t="shared" si="59"/>
        <v>170</v>
      </c>
      <c r="CY40" s="217">
        <f t="shared" si="60"/>
        <v>14.087366568914952</v>
      </c>
      <c r="CZ40" s="217">
        <f t="shared" si="61"/>
        <v>0.5634946627565981</v>
      </c>
      <c r="DA40" s="217">
        <f t="shared" si="62"/>
        <v>0.82623850844075963</v>
      </c>
      <c r="DB40" s="197">
        <f t="shared" si="63"/>
        <v>350</v>
      </c>
      <c r="DC40" s="443">
        <f t="shared" si="116"/>
        <v>350</v>
      </c>
      <c r="DE40" s="217">
        <f t="shared" si="64"/>
        <v>28.962119925259049</v>
      </c>
      <c r="DF40" s="173">
        <f t="shared" si="65"/>
        <v>1.6986580601324954</v>
      </c>
      <c r="DG40" s="173">
        <f t="shared" si="66"/>
        <v>0.4304714614336958</v>
      </c>
      <c r="DH40" s="173"/>
      <c r="DI40" s="173">
        <f t="shared" si="67"/>
        <v>0.78201368523949166</v>
      </c>
      <c r="DJ40" s="545">
        <f t="shared" si="117"/>
        <v>805.61249999999995</v>
      </c>
      <c r="DK40" s="528">
        <f t="shared" si="68"/>
        <v>9.1234929944607357E-2</v>
      </c>
      <c r="DM40" s="173">
        <f t="shared" si="69"/>
        <v>20.228692493584454</v>
      </c>
      <c r="DN40" s="173">
        <f t="shared" si="70"/>
        <v>20.228692493584454</v>
      </c>
      <c r="DO40" s="173">
        <f t="shared" si="71"/>
        <v>6.307673452037867</v>
      </c>
      <c r="DQ40" s="545">
        <f t="shared" si="72"/>
        <v>210</v>
      </c>
      <c r="DR40" s="460">
        <f t="shared" si="73"/>
        <v>350</v>
      </c>
      <c r="DT40">
        <f t="shared" si="74"/>
        <v>210</v>
      </c>
      <c r="DU40" s="460">
        <f t="shared" si="75"/>
        <v>350</v>
      </c>
      <c r="DV40" s="460"/>
      <c r="DW40" s="5">
        <f t="shared" si="118"/>
        <v>2.8571428571428572</v>
      </c>
      <c r="DX40" s="5">
        <f t="shared" si="76"/>
        <v>0.80914769974337808</v>
      </c>
      <c r="DY40" s="5">
        <f t="shared" si="119"/>
        <v>2.047995157399479</v>
      </c>
      <c r="DZ40" s="5">
        <f t="shared" si="77"/>
        <v>1.1864335773363315</v>
      </c>
      <c r="EA40" s="173">
        <f t="shared" si="120"/>
        <v>0.28320169491018232</v>
      </c>
      <c r="EB40" s="173">
        <f t="shared" si="78"/>
        <v>35.805000000000007</v>
      </c>
      <c r="EC40" s="173">
        <f t="shared" si="79"/>
        <v>0.36249731233961136</v>
      </c>
      <c r="ED40" s="173">
        <f t="shared" si="121"/>
        <v>98.773146120475303</v>
      </c>
      <c r="EE40" s="460">
        <f t="shared" si="80"/>
        <v>9.9953539380064349E-2</v>
      </c>
      <c r="EF40" s="5">
        <f t="shared" si="81"/>
        <v>9.3585186712526589</v>
      </c>
      <c r="EG40" s="5"/>
      <c r="EH40" s="173">
        <f t="shared" si="122"/>
        <v>6.2152000117251953</v>
      </c>
      <c r="EI40" s="173">
        <f t="shared" si="82"/>
        <v>0.49439682648215683</v>
      </c>
      <c r="EJ40" s="173"/>
      <c r="EK40" s="528">
        <f t="shared" si="83"/>
        <v>1.5451484474299548</v>
      </c>
      <c r="EL40" s="528">
        <f t="shared" si="84"/>
        <v>4.0935919993970264</v>
      </c>
      <c r="EM40" s="528">
        <f t="shared" si="85"/>
        <v>6.9999999999999993E-2</v>
      </c>
      <c r="EN40" s="528">
        <f t="shared" si="86"/>
        <v>3.094354375E-2</v>
      </c>
      <c r="EO40">
        <f t="shared" si="87"/>
        <v>5.6249999999999998E-3</v>
      </c>
      <c r="EP40" s="460">
        <f t="shared" si="123"/>
        <v>75.625</v>
      </c>
      <c r="EQ40" s="528">
        <f t="shared" si="88"/>
        <v>9.7373433710522832</v>
      </c>
      <c r="ER40" s="460">
        <f t="shared" si="124"/>
        <v>9737.3433710522841</v>
      </c>
      <c r="ES40" s="528">
        <f t="shared" si="125"/>
        <v>0.18228</v>
      </c>
      <c r="ET40" s="528"/>
      <c r="EV40" s="460">
        <f t="shared" si="126"/>
        <v>182.28</v>
      </c>
      <c r="EW40" s="528">
        <f t="shared" si="89"/>
        <v>1.158861335572466</v>
      </c>
      <c r="EX40" s="528">
        <f t="shared" si="90"/>
        <v>7.3328466610688365E-3</v>
      </c>
      <c r="EY40" s="528">
        <f t="shared" si="91"/>
        <v>210.89177712765249</v>
      </c>
      <c r="EZ40" s="528">
        <f t="shared" si="92"/>
        <v>234.18640363148018</v>
      </c>
      <c r="FA40" s="528">
        <f t="shared" si="93"/>
        <v>3.5805000000000007</v>
      </c>
      <c r="FB40" s="460">
        <f t="shared" si="127"/>
        <v>237766.90363148018</v>
      </c>
      <c r="FC40" s="173">
        <f t="shared" si="128"/>
        <v>247.68652700253247</v>
      </c>
      <c r="FD40" s="5">
        <f t="shared" si="129"/>
        <v>35.699999999999996</v>
      </c>
      <c r="FE40" s="173">
        <f t="shared" si="130"/>
        <v>0.12597634890271606</v>
      </c>
      <c r="FF40" s="5">
        <f t="shared" si="131"/>
        <v>12.597634890271605</v>
      </c>
      <c r="FI40" s="562">
        <f t="shared" si="94"/>
        <v>-50</v>
      </c>
      <c r="FJ40">
        <f t="shared" si="95"/>
        <v>-50</v>
      </c>
      <c r="FL40">
        <f t="shared" si="181"/>
        <v>0.41525175206771603</v>
      </c>
    </row>
    <row r="41" spans="5:168">
      <c r="E41" s="170">
        <v>36</v>
      </c>
      <c r="F41" s="217">
        <f t="shared" si="182"/>
        <v>0.216</v>
      </c>
      <c r="G41" s="217"/>
      <c r="H41" s="217">
        <f t="shared" si="132"/>
        <v>36.72</v>
      </c>
      <c r="I41" s="541">
        <f t="shared" si="133"/>
        <v>11.783006276178096</v>
      </c>
      <c r="J41" s="172">
        <f t="shared" si="134"/>
        <v>8.5257682075612387</v>
      </c>
      <c r="K41" s="172">
        <f t="shared" si="135"/>
        <v>21.025768207561239</v>
      </c>
      <c r="L41" s="443"/>
      <c r="M41" s="217">
        <f t="shared" si="136"/>
        <v>0.41980715622993692</v>
      </c>
      <c r="N41" s="172">
        <f t="shared" si="137"/>
        <v>166.74131660513487</v>
      </c>
      <c r="O41" s="172">
        <f t="shared" si="98"/>
        <v>36.72</v>
      </c>
      <c r="P41" s="217">
        <f t="shared" si="138"/>
        <v>0.98083127414785221</v>
      </c>
      <c r="Q41" s="217">
        <f t="shared" si="139"/>
        <v>170</v>
      </c>
      <c r="R41" s="217">
        <f t="shared" si="140"/>
        <v>0.969919677772907</v>
      </c>
      <c r="S41" s="172">
        <f t="shared" si="141"/>
        <v>1582.7794620724269</v>
      </c>
      <c r="T41" s="172">
        <f t="shared" si="142"/>
        <v>170</v>
      </c>
      <c r="U41" s="217">
        <f t="shared" si="143"/>
        <v>14.891600426950676</v>
      </c>
      <c r="V41" s="217">
        <f t="shared" si="11"/>
        <v>0.63191006089240898</v>
      </c>
      <c r="W41" s="217">
        <f t="shared" si="144"/>
        <v>0.87332895197313587</v>
      </c>
      <c r="X41" s="197">
        <f t="shared" si="145"/>
        <v>350</v>
      </c>
      <c r="Y41" s="443">
        <f t="shared" si="14"/>
        <v>350</v>
      </c>
      <c r="AA41" s="217">
        <f t="shared" si="146"/>
        <v>28.26622843789406</v>
      </c>
      <c r="AB41" s="173">
        <f t="shared" si="147"/>
        <v>1.6576939314879344</v>
      </c>
      <c r="AC41" s="173">
        <f t="shared" si="148"/>
        <v>0.40999660929105086</v>
      </c>
      <c r="AD41" s="173"/>
      <c r="AE41" s="173">
        <f t="shared" si="149"/>
        <v>0.78194322251855353</v>
      </c>
      <c r="AF41" s="545">
        <f t="shared" si="150"/>
        <v>828.70466977495232</v>
      </c>
      <c r="AG41" s="528">
        <f t="shared" si="151"/>
        <v>9.1226709293831254E-2</v>
      </c>
      <c r="AI41" s="173">
        <f t="shared" si="152"/>
        <v>20.516562969371019</v>
      </c>
      <c r="AJ41" s="173">
        <f t="shared" si="153"/>
        <v>20.516562969371019</v>
      </c>
      <c r="AK41" s="173">
        <f t="shared" si="154"/>
        <v>6.520910841509397</v>
      </c>
      <c r="AM41" s="545">
        <f t="shared" si="155"/>
        <v>216</v>
      </c>
      <c r="AN41" s="460">
        <f t="shared" si="156"/>
        <v>350</v>
      </c>
      <c r="AP41">
        <f t="shared" si="157"/>
        <v>216</v>
      </c>
      <c r="AQ41" s="460">
        <f t="shared" si="158"/>
        <v>350</v>
      </c>
      <c r="AR41" s="460"/>
      <c r="AS41" s="5">
        <f t="shared" si="101"/>
        <v>2.8571428571428572</v>
      </c>
      <c r="AT41" s="5">
        <f t="shared" si="159"/>
        <v>0.8705996792537446</v>
      </c>
      <c r="AU41" s="5">
        <f t="shared" si="102"/>
        <v>1.9865431778891125</v>
      </c>
      <c r="AV41" s="5">
        <f t="shared" si="160"/>
        <v>1.2032090522456098</v>
      </c>
      <c r="AW41" s="173">
        <f t="shared" si="103"/>
        <v>0.30470988773881058</v>
      </c>
      <c r="AX41" s="173">
        <f t="shared" si="161"/>
        <v>36.831318656664536</v>
      </c>
      <c r="AY41" s="173">
        <f t="shared" si="162"/>
        <v>0.35662408425469344</v>
      </c>
      <c r="AZ41" s="173">
        <f t="shared" si="104"/>
        <v>103.27770973078863</v>
      </c>
      <c r="BA41" s="460">
        <f t="shared" si="163"/>
        <v>0.11061737101106402</v>
      </c>
      <c r="BB41" s="5">
        <f t="shared" si="164"/>
        <v>9.9052297904060858</v>
      </c>
      <c r="BC41" s="5"/>
      <c r="BD41" s="173">
        <f t="shared" si="105"/>
        <v>6.5386373920957572</v>
      </c>
      <c r="BE41" s="173">
        <f t="shared" si="165"/>
        <v>0.49385222084498431</v>
      </c>
      <c r="BF41" s="173"/>
      <c r="BG41" s="528">
        <f t="shared" si="166"/>
        <v>1.7101511578125121</v>
      </c>
      <c r="BH41" s="528">
        <f t="shared" si="167"/>
        <v>3.3970899171024058</v>
      </c>
      <c r="BI41" s="528">
        <f t="shared" si="168"/>
        <v>0.16496208786649336</v>
      </c>
      <c r="BJ41" s="528">
        <f t="shared" si="169"/>
        <v>3.0945805010266513E-2</v>
      </c>
      <c r="BK41">
        <f t="shared" si="170"/>
        <v>5.302352824280143E-3</v>
      </c>
      <c r="BL41" s="460">
        <f t="shared" si="106"/>
        <v>170.26444069077351</v>
      </c>
      <c r="BM41" s="528">
        <f t="shared" si="171"/>
        <v>9.4327585311285365</v>
      </c>
      <c r="BN41" s="460">
        <f t="shared" si="107"/>
        <v>9432.7585311285366</v>
      </c>
      <c r="BO41" s="528">
        <f t="shared" si="172"/>
        <v>0.18748799999999999</v>
      </c>
      <c r="BP41" s="528"/>
      <c r="BR41" s="460">
        <f t="shared" si="109"/>
        <v>187.488</v>
      </c>
      <c r="BS41" s="528">
        <f t="shared" si="173"/>
        <v>1.2826133683593841</v>
      </c>
      <c r="BT41" s="528">
        <f t="shared" si="174"/>
        <v>7.3167004810056951E-3</v>
      </c>
      <c r="BU41" s="528">
        <f t="shared" si="175"/>
        <v>0.55079999999999996</v>
      </c>
      <c r="BV41" s="528">
        <f t="shared" si="176"/>
        <v>2.397747403190873</v>
      </c>
      <c r="BW41" s="528">
        <f t="shared" si="177"/>
        <v>3.6831318656664549</v>
      </c>
      <c r="BX41" s="460">
        <f t="shared" si="110"/>
        <v>6080.8792688573276</v>
      </c>
      <c r="BY41" s="173">
        <f t="shared" si="45"/>
        <v>15.871390240676639</v>
      </c>
      <c r="BZ41" s="5">
        <f t="shared" si="111"/>
        <v>36.72</v>
      </c>
      <c r="CA41" s="173">
        <f t="shared" si="112"/>
        <v>0.69821314538285462</v>
      </c>
      <c r="CB41" s="5">
        <f t="shared" si="113"/>
        <v>69.821314538285463</v>
      </c>
      <c r="CE41" s="562">
        <f t="shared" si="178"/>
        <v>-50</v>
      </c>
      <c r="CF41">
        <f t="shared" si="179"/>
        <v>-50</v>
      </c>
      <c r="CG41" s="173">
        <f t="shared" si="180"/>
        <v>0.42176101401288429</v>
      </c>
      <c r="CI41" s="170">
        <v>36</v>
      </c>
      <c r="CJ41" s="217">
        <f t="shared" si="114"/>
        <v>0.216</v>
      </c>
      <c r="CK41" s="217"/>
      <c r="CL41" s="217">
        <f t="shared" si="49"/>
        <v>36.72</v>
      </c>
      <c r="CM41" s="541">
        <f t="shared" si="50"/>
        <v>12.5</v>
      </c>
      <c r="CN41" s="172">
        <f t="shared" si="51"/>
        <v>8.5250000000000004</v>
      </c>
      <c r="CO41" s="443">
        <f t="shared" si="52"/>
        <v>21.024999999999999</v>
      </c>
      <c r="CP41" s="443"/>
      <c r="CQ41" s="217">
        <f t="shared" si="53"/>
        <v>0.40546967895362668</v>
      </c>
      <c r="CR41" s="172">
        <f t="shared" si="54"/>
        <v>170.84633868410626</v>
      </c>
      <c r="CS41" s="172">
        <f t="shared" si="115"/>
        <v>36.72</v>
      </c>
      <c r="CT41" s="217">
        <f t="shared" si="55"/>
        <v>1.0049784628476839</v>
      </c>
      <c r="CU41" s="217">
        <f t="shared" si="56"/>
        <v>170</v>
      </c>
      <c r="CV41" s="217">
        <f t="shared" si="57"/>
        <v>0.99379823272947732</v>
      </c>
      <c r="CW41" s="172">
        <f t="shared" si="58"/>
        <v>1679.0867687468326</v>
      </c>
      <c r="CX41" s="172">
        <f t="shared" si="59"/>
        <v>170</v>
      </c>
      <c r="CY41" s="217">
        <f t="shared" si="60"/>
        <v>14.489862756598237</v>
      </c>
      <c r="CZ41" s="217">
        <f t="shared" si="61"/>
        <v>0.5795945102639295</v>
      </c>
      <c r="DA41" s="217">
        <f t="shared" si="62"/>
        <v>0.84984532296763848</v>
      </c>
      <c r="DB41" s="197">
        <f t="shared" si="63"/>
        <v>350</v>
      </c>
      <c r="DC41" s="443">
        <f t="shared" si="116"/>
        <v>350</v>
      </c>
      <c r="DE41" s="217">
        <f t="shared" si="64"/>
        <v>28.962119925259049</v>
      </c>
      <c r="DF41" s="173">
        <f t="shared" si="65"/>
        <v>1.6986580601324954</v>
      </c>
      <c r="DG41" s="173">
        <f t="shared" si="66"/>
        <v>0.4304714614336958</v>
      </c>
      <c r="DH41" s="173"/>
      <c r="DI41" s="173">
        <f t="shared" si="67"/>
        <v>0.78201368523949166</v>
      </c>
      <c r="DJ41" s="545">
        <f t="shared" si="117"/>
        <v>828.63</v>
      </c>
      <c r="DK41" s="528">
        <f t="shared" si="68"/>
        <v>9.1234929944607357E-2</v>
      </c>
      <c r="DM41" s="173">
        <f t="shared" si="69"/>
        <v>20.515638634257247</v>
      </c>
      <c r="DN41" s="173">
        <f t="shared" si="70"/>
        <v>20.515638634257247</v>
      </c>
      <c r="DO41" s="173">
        <f t="shared" si="71"/>
        <v>6.5202261488325286</v>
      </c>
      <c r="DQ41" s="545">
        <f t="shared" si="72"/>
        <v>216</v>
      </c>
      <c r="DR41" s="460">
        <f t="shared" si="73"/>
        <v>350</v>
      </c>
      <c r="DT41">
        <f t="shared" si="74"/>
        <v>216</v>
      </c>
      <c r="DU41" s="460">
        <f t="shared" si="75"/>
        <v>350</v>
      </c>
      <c r="DV41" s="460"/>
      <c r="DW41" s="5">
        <f t="shared" si="118"/>
        <v>2.8571428571428572</v>
      </c>
      <c r="DX41" s="5">
        <f t="shared" si="76"/>
        <v>0.82062554537028987</v>
      </c>
      <c r="DY41" s="5">
        <f t="shared" si="119"/>
        <v>2.0365173117725672</v>
      </c>
      <c r="DZ41" s="5">
        <f t="shared" si="77"/>
        <v>1.2032632630062901</v>
      </c>
      <c r="EA41" s="173">
        <f t="shared" si="120"/>
        <v>0.28721894087960143</v>
      </c>
      <c r="EB41" s="173">
        <f t="shared" si="78"/>
        <v>36.827999999999996</v>
      </c>
      <c r="EC41" s="173">
        <f t="shared" si="79"/>
        <v>0.36557896585643124</v>
      </c>
      <c r="ED41" s="173">
        <f t="shared" si="121"/>
        <v>100.73883740472898</v>
      </c>
      <c r="EE41" s="460">
        <f t="shared" si="80"/>
        <v>0.10426771635293093</v>
      </c>
      <c r="EF41" s="5">
        <f t="shared" si="81"/>
        <v>9.5719572081009492</v>
      </c>
      <c r="EG41" s="5"/>
      <c r="EH41" s="173">
        <f t="shared" si="122"/>
        <v>6.3479127892451954</v>
      </c>
      <c r="EI41" s="173">
        <f t="shared" si="82"/>
        <v>0.50000286518499115</v>
      </c>
      <c r="EJ41" s="173"/>
      <c r="EK41" s="528">
        <f t="shared" si="83"/>
        <v>1.6118398711945088</v>
      </c>
      <c r="EL41" s="528">
        <f t="shared" si="84"/>
        <v>4.151660034495614</v>
      </c>
      <c r="EM41" s="528">
        <f t="shared" si="85"/>
        <v>6.9999999999999993E-2</v>
      </c>
      <c r="EN41" s="528">
        <f t="shared" si="86"/>
        <v>3.094354375E-2</v>
      </c>
      <c r="EO41">
        <f t="shared" si="87"/>
        <v>5.6249999999999998E-3</v>
      </c>
      <c r="EP41" s="460">
        <f t="shared" si="123"/>
        <v>75.625</v>
      </c>
      <c r="EQ41" s="528">
        <f t="shared" si="88"/>
        <v>10.218785858935878</v>
      </c>
      <c r="ER41" s="460">
        <f t="shared" si="124"/>
        <v>10218.785858935878</v>
      </c>
      <c r="ES41" s="528">
        <f t="shared" si="125"/>
        <v>0.18748799999999999</v>
      </c>
      <c r="ET41" s="528"/>
      <c r="EV41" s="460">
        <f t="shared" si="126"/>
        <v>187.488</v>
      </c>
      <c r="EW41" s="528">
        <f t="shared" si="89"/>
        <v>1.2088799033958815</v>
      </c>
      <c r="EX41" s="528">
        <f t="shared" si="90"/>
        <v>7.5000859557960119E-3</v>
      </c>
      <c r="EY41" s="528">
        <f t="shared" si="91"/>
        <v>218.45033599779848</v>
      </c>
      <c r="EZ41" s="528">
        <f t="shared" si="92"/>
        <v>243.67030148239235</v>
      </c>
      <c r="FA41" s="528">
        <f t="shared" si="93"/>
        <v>3.6828000000000003</v>
      </c>
      <c r="FB41" s="460">
        <f t="shared" si="127"/>
        <v>247353.10148239235</v>
      </c>
      <c r="FC41" s="173">
        <f t="shared" si="128"/>
        <v>257.75937534132822</v>
      </c>
      <c r="FD41" s="5">
        <f t="shared" si="129"/>
        <v>36.72</v>
      </c>
      <c r="FE41" s="173">
        <f t="shared" si="130"/>
        <v>0.12469464103364861</v>
      </c>
      <c r="FF41" s="5">
        <f t="shared" si="131"/>
        <v>12.46946410336486</v>
      </c>
      <c r="FI41" s="562">
        <f t="shared" si="94"/>
        <v>-50</v>
      </c>
      <c r="FJ41">
        <f t="shared" si="95"/>
        <v>-50</v>
      </c>
      <c r="FL41">
        <f t="shared" si="181"/>
        <v>0.42114214205220152</v>
      </c>
    </row>
    <row r="42" spans="5:168">
      <c r="E42" s="170">
        <v>37</v>
      </c>
      <c r="F42" s="217">
        <f t="shared" si="182"/>
        <v>0.222</v>
      </c>
      <c r="G42" s="217"/>
      <c r="H42" s="217">
        <f t="shared" si="132"/>
        <v>37.74</v>
      </c>
      <c r="I42" s="541">
        <f t="shared" si="133"/>
        <v>11.773116240379522</v>
      </c>
      <c r="J42" s="172">
        <f t="shared" si="134"/>
        <v>8.5257788040281657</v>
      </c>
      <c r="K42" s="172">
        <f t="shared" si="135"/>
        <v>21.025778804028164</v>
      </c>
      <c r="L42" s="443"/>
      <c r="M42" s="217">
        <f t="shared" si="136"/>
        <v>0.42001199814812457</v>
      </c>
      <c r="N42" s="172">
        <f t="shared" si="137"/>
        <v>166.68265466377164</v>
      </c>
      <c r="O42" s="172">
        <f t="shared" si="98"/>
        <v>37.74</v>
      </c>
      <c r="P42" s="217">
        <f t="shared" si="138"/>
        <v>0.98048620390453911</v>
      </c>
      <c r="Q42" s="217">
        <f t="shared" si="139"/>
        <v>170</v>
      </c>
      <c r="R42" s="217">
        <f t="shared" si="140"/>
        <v>0.96957844638273349</v>
      </c>
      <c r="S42" s="172">
        <f t="shared" si="141"/>
        <v>1532.3496518412826</v>
      </c>
      <c r="T42" s="172">
        <f t="shared" si="142"/>
        <v>170</v>
      </c>
      <c r="U42" s="217">
        <f t="shared" si="143"/>
        <v>15.310661551008925</v>
      </c>
      <c r="V42" s="217">
        <f t="shared" si="11"/>
        <v>0.65023827329999095</v>
      </c>
      <c r="W42" s="217">
        <f t="shared" si="144"/>
        <v>0.89790398642380398</v>
      </c>
      <c r="X42" s="197">
        <f t="shared" si="145"/>
        <v>350</v>
      </c>
      <c r="Y42" s="443">
        <f t="shared" si="14"/>
        <v>350</v>
      </c>
      <c r="AA42" s="217">
        <f t="shared" si="146"/>
        <v>28.256283951838803</v>
      </c>
      <c r="AB42" s="173">
        <f t="shared" si="147"/>
        <v>1.6571086701480331</v>
      </c>
      <c r="AC42" s="173">
        <f t="shared" si="148"/>
        <v>0.40970766482412213</v>
      </c>
      <c r="AD42" s="173"/>
      <c r="AE42" s="173">
        <f t="shared" si="149"/>
        <v>0.78194225066182499</v>
      </c>
      <c r="AF42" s="545">
        <f t="shared" si="150"/>
        <v>851.72530252241381</v>
      </c>
      <c r="AG42" s="528">
        <f t="shared" si="151"/>
        <v>9.1226595910546243E-2</v>
      </c>
      <c r="AI42" s="173">
        <f t="shared" si="152"/>
        <v>20.799576339060387</v>
      </c>
      <c r="AJ42" s="173">
        <f t="shared" si="153"/>
        <v>20.799576339060387</v>
      </c>
      <c r="AK42" s="173">
        <f t="shared" si="154"/>
        <v>6.7305503746126316</v>
      </c>
      <c r="AM42" s="545">
        <f t="shared" si="155"/>
        <v>222</v>
      </c>
      <c r="AN42" s="460">
        <f t="shared" si="156"/>
        <v>350</v>
      </c>
      <c r="AP42">
        <f t="shared" si="157"/>
        <v>222</v>
      </c>
      <c r="AQ42" s="460">
        <f t="shared" si="158"/>
        <v>350</v>
      </c>
      <c r="AR42" s="460"/>
      <c r="AS42" s="5">
        <f t="shared" si="101"/>
        <v>2.8571428571428572</v>
      </c>
      <c r="AT42" s="5">
        <f t="shared" si="159"/>
        <v>0.88335050441963026</v>
      </c>
      <c r="AU42" s="5">
        <f t="shared" si="102"/>
        <v>1.9737923527232271</v>
      </c>
      <c r="AV42" s="5">
        <f t="shared" si="160"/>
        <v>1.219805065153299</v>
      </c>
      <c r="AW42" s="173">
        <f t="shared" si="103"/>
        <v>0.30917267654687058</v>
      </c>
      <c r="AX42" s="173">
        <f t="shared" si="161"/>
        <v>37.854457889885055</v>
      </c>
      <c r="AY42" s="173">
        <f t="shared" si="162"/>
        <v>0.35922289128180318</v>
      </c>
      <c r="AZ42" s="173">
        <f t="shared" si="104"/>
        <v>105.37874620075085</v>
      </c>
      <c r="BA42" s="460">
        <f t="shared" si="163"/>
        <v>0.11535518351832819</v>
      </c>
      <c r="BB42" s="5">
        <f t="shared" si="164"/>
        <v>10.123528468873525</v>
      </c>
      <c r="BC42" s="5"/>
      <c r="BD42" s="173">
        <f t="shared" si="105"/>
        <v>6.6772004584318241</v>
      </c>
      <c r="BE42" s="173">
        <f t="shared" si="165"/>
        <v>0.49905523909195515</v>
      </c>
      <c r="BF42" s="173"/>
      <c r="BG42" s="528">
        <f t="shared" si="166"/>
        <v>1.7834002384832865</v>
      </c>
      <c r="BH42" s="528">
        <f t="shared" si="167"/>
        <v>3.4439524191653299</v>
      </c>
      <c r="BI42" s="528">
        <f t="shared" si="168"/>
        <v>0.16482362736531334</v>
      </c>
      <c r="BJ42" s="528">
        <f t="shared" si="169"/>
        <v>3.0945836202114402E-2</v>
      </c>
      <c r="BK42">
        <f t="shared" si="170"/>
        <v>5.2979023081707851E-3</v>
      </c>
      <c r="BL42" s="460">
        <f t="shared" si="106"/>
        <v>170.12152967348413</v>
      </c>
      <c r="BM42" s="528">
        <f t="shared" si="171"/>
        <v>9.9603923357530899</v>
      </c>
      <c r="BN42" s="460">
        <f t="shared" si="107"/>
        <v>9960.3923357530894</v>
      </c>
      <c r="BO42" s="528">
        <f t="shared" si="172"/>
        <v>0.19269599999999998</v>
      </c>
      <c r="BP42" s="528"/>
      <c r="BR42" s="460">
        <f t="shared" si="109"/>
        <v>192.69599999999997</v>
      </c>
      <c r="BS42" s="528">
        <f t="shared" si="173"/>
        <v>1.3375501788624649</v>
      </c>
      <c r="BT42" s="528">
        <f t="shared" si="174"/>
        <v>7.471683949953855E-3</v>
      </c>
      <c r="BU42" s="528">
        <f t="shared" si="175"/>
        <v>0.56610000000000005</v>
      </c>
      <c r="BV42" s="528">
        <f t="shared" si="176"/>
        <v>2.5032849486725013</v>
      </c>
      <c r="BW42" s="528">
        <f t="shared" si="177"/>
        <v>3.7854457889885063</v>
      </c>
      <c r="BX42" s="460">
        <f t="shared" si="110"/>
        <v>6288.730737661007</v>
      </c>
      <c r="BY42" s="173">
        <f t="shared" si="45"/>
        <v>16.611940603087582</v>
      </c>
      <c r="BZ42" s="5">
        <f t="shared" si="111"/>
        <v>37.74</v>
      </c>
      <c r="CA42" s="173">
        <f t="shared" si="112"/>
        <v>0.69436343176044935</v>
      </c>
      <c r="CB42" s="5">
        <f t="shared" si="113"/>
        <v>69.436343176044929</v>
      </c>
      <c r="CE42" s="562">
        <f t="shared" si="178"/>
        <v>-50</v>
      </c>
      <c r="CF42">
        <f t="shared" si="179"/>
        <v>-50</v>
      </c>
      <c r="CG42" s="173">
        <f t="shared" si="180"/>
        <v>0.42757868212969263</v>
      </c>
      <c r="CI42" s="170">
        <v>37</v>
      </c>
      <c r="CJ42" s="217">
        <f t="shared" si="114"/>
        <v>0.222</v>
      </c>
      <c r="CK42" s="217"/>
      <c r="CL42" s="217">
        <f t="shared" si="49"/>
        <v>37.74</v>
      </c>
      <c r="CM42" s="541">
        <f t="shared" si="50"/>
        <v>12.5</v>
      </c>
      <c r="CN42" s="172">
        <f t="shared" si="51"/>
        <v>8.5250000000000004</v>
      </c>
      <c r="CO42" s="443">
        <f t="shared" si="52"/>
        <v>21.024999999999999</v>
      </c>
      <c r="CP42" s="443"/>
      <c r="CQ42" s="217">
        <f t="shared" si="53"/>
        <v>0.40546967895362668</v>
      </c>
      <c r="CR42" s="172">
        <f t="shared" si="54"/>
        <v>170.84633868410626</v>
      </c>
      <c r="CS42" s="172">
        <f t="shared" si="115"/>
        <v>37.74</v>
      </c>
      <c r="CT42" s="217">
        <f t="shared" si="55"/>
        <v>1.0049784628476839</v>
      </c>
      <c r="CU42" s="217">
        <f t="shared" si="56"/>
        <v>170</v>
      </c>
      <c r="CV42" s="217">
        <f t="shared" si="57"/>
        <v>0.99379823272947732</v>
      </c>
      <c r="CW42" s="172">
        <f t="shared" si="58"/>
        <v>1626.9536839781979</v>
      </c>
      <c r="CX42" s="172">
        <f t="shared" si="59"/>
        <v>170</v>
      </c>
      <c r="CY42" s="217">
        <f t="shared" si="60"/>
        <v>14.892358944281524</v>
      </c>
      <c r="CZ42" s="217">
        <f t="shared" si="61"/>
        <v>0.5956943577712609</v>
      </c>
      <c r="DA42" s="217">
        <f t="shared" si="62"/>
        <v>0.87345213749451744</v>
      </c>
      <c r="DB42" s="197">
        <f t="shared" si="63"/>
        <v>350</v>
      </c>
      <c r="DC42" s="443">
        <f t="shared" si="116"/>
        <v>350</v>
      </c>
      <c r="DE42" s="217">
        <f t="shared" si="64"/>
        <v>28.962119925259049</v>
      </c>
      <c r="DF42" s="173">
        <f t="shared" si="65"/>
        <v>1.6986580601324954</v>
      </c>
      <c r="DG42" s="173">
        <f t="shared" si="66"/>
        <v>0.4304714614336958</v>
      </c>
      <c r="DH42" s="173"/>
      <c r="DI42" s="173">
        <f t="shared" si="67"/>
        <v>0.78201368523949166</v>
      </c>
      <c r="DJ42" s="545">
        <f t="shared" si="117"/>
        <v>851.64750000000004</v>
      </c>
      <c r="DK42" s="528">
        <f t="shared" si="68"/>
        <v>9.1234929944607357E-2</v>
      </c>
      <c r="DM42" s="173">
        <f t="shared" si="69"/>
        <v>20.798626328266423</v>
      </c>
      <c r="DN42" s="173">
        <f t="shared" si="70"/>
        <v>20.798626328266423</v>
      </c>
      <c r="DO42" s="173">
        <f t="shared" si="71"/>
        <v>6.7298466629133991</v>
      </c>
      <c r="DQ42" s="545">
        <f t="shared" si="72"/>
        <v>222</v>
      </c>
      <c r="DR42" s="460">
        <f t="shared" si="73"/>
        <v>350</v>
      </c>
      <c r="DT42">
        <f t="shared" si="74"/>
        <v>222</v>
      </c>
      <c r="DU42" s="460">
        <f t="shared" si="75"/>
        <v>350</v>
      </c>
      <c r="DV42" s="460"/>
      <c r="DW42" s="5">
        <f t="shared" si="118"/>
        <v>2.8571428571428572</v>
      </c>
      <c r="DX42" s="5">
        <f t="shared" si="76"/>
        <v>0.83194505313065681</v>
      </c>
      <c r="DY42" s="5">
        <f t="shared" si="119"/>
        <v>2.0251978040122003</v>
      </c>
      <c r="DZ42" s="5">
        <f t="shared" si="77"/>
        <v>1.2198607817165057</v>
      </c>
      <c r="EA42" s="173">
        <f t="shared" si="120"/>
        <v>0.29118076859572989</v>
      </c>
      <c r="EB42" s="173">
        <f t="shared" si="78"/>
        <v>37.851000000000006</v>
      </c>
      <c r="EC42" s="173">
        <f t="shared" si="79"/>
        <v>0.36856165820666059</v>
      </c>
      <c r="ED42" s="173">
        <f t="shared" si="121"/>
        <v>102.69923405536699</v>
      </c>
      <c r="EE42" s="460">
        <f t="shared" si="80"/>
        <v>0.10864223635000343</v>
      </c>
      <c r="EF42" s="5">
        <f t="shared" si="81"/>
        <v>9.7831635357978168</v>
      </c>
      <c r="EG42" s="5"/>
      <c r="EH42" s="173">
        <f t="shared" si="122"/>
        <v>6.4797070104595003</v>
      </c>
      <c r="EI42" s="173">
        <f t="shared" si="82"/>
        <v>0.50548907696627765</v>
      </c>
      <c r="EJ42" s="173"/>
      <c r="EK42" s="528">
        <f t="shared" si="83"/>
        <v>1.67946411765592</v>
      </c>
      <c r="EL42" s="528">
        <f t="shared" si="84"/>
        <v>4.2089270160610903</v>
      </c>
      <c r="EM42" s="528">
        <f t="shared" si="85"/>
        <v>6.9999999999999993E-2</v>
      </c>
      <c r="EN42" s="528">
        <f t="shared" si="86"/>
        <v>3.094354375E-2</v>
      </c>
      <c r="EO42">
        <f t="shared" si="87"/>
        <v>5.6249999999999998E-3</v>
      </c>
      <c r="EP42" s="460">
        <f t="shared" si="123"/>
        <v>75.625</v>
      </c>
      <c r="EQ42" s="528">
        <f t="shared" si="88"/>
        <v>10.730202052050076</v>
      </c>
      <c r="ER42" s="460">
        <f t="shared" si="124"/>
        <v>10730.202052050077</v>
      </c>
      <c r="ES42" s="528">
        <f t="shared" si="125"/>
        <v>0.19269599999999998</v>
      </c>
      <c r="ET42" s="528"/>
      <c r="EV42" s="460">
        <f t="shared" si="126"/>
        <v>192.69599999999997</v>
      </c>
      <c r="EW42" s="528">
        <f t="shared" si="89"/>
        <v>1.25959808824194</v>
      </c>
      <c r="EX42" s="528">
        <f t="shared" si="90"/>
        <v>7.6655762079665801E-3</v>
      </c>
      <c r="EY42" s="528">
        <f t="shared" si="91"/>
        <v>226.06157348890619</v>
      </c>
      <c r="EZ42" s="528">
        <f t="shared" si="92"/>
        <v>253.31425668783442</v>
      </c>
      <c r="FA42" s="528">
        <f t="shared" si="93"/>
        <v>3.7851000000000008</v>
      </c>
      <c r="FB42" s="460">
        <f t="shared" si="127"/>
        <v>257099.35668783443</v>
      </c>
      <c r="FC42" s="173">
        <f t="shared" si="128"/>
        <v>268.02225473988449</v>
      </c>
      <c r="FD42" s="5">
        <f t="shared" si="129"/>
        <v>37.74</v>
      </c>
      <c r="FE42" s="173">
        <f t="shared" si="130"/>
        <v>0.12342923109363468</v>
      </c>
      <c r="FF42" s="5">
        <f t="shared" si="131"/>
        <v>12.342923109363468</v>
      </c>
      <c r="FI42" s="562">
        <f t="shared" si="94"/>
        <v>-50</v>
      </c>
      <c r="FJ42">
        <f t="shared" si="95"/>
        <v>-50</v>
      </c>
      <c r="FL42">
        <f t="shared" si="181"/>
        <v>0.42695127360077695</v>
      </c>
    </row>
    <row r="43" spans="5:168">
      <c r="E43" s="170">
        <v>38</v>
      </c>
      <c r="F43" s="217">
        <f t="shared" si="182"/>
        <v>0.22799999999999998</v>
      </c>
      <c r="G43" s="217"/>
      <c r="H43" s="217">
        <f t="shared" si="132"/>
        <v>38.76</v>
      </c>
      <c r="I43" s="541">
        <f t="shared" si="133"/>
        <v>11.763358974805231</v>
      </c>
      <c r="J43" s="172">
        <f t="shared" si="134"/>
        <v>8.5257892582412804</v>
      </c>
      <c r="K43" s="172">
        <f t="shared" si="135"/>
        <v>21.025789258241282</v>
      </c>
      <c r="L43" s="443"/>
      <c r="M43" s="217">
        <f t="shared" si="136"/>
        <v>0.42021428562499819</v>
      </c>
      <c r="N43" s="172">
        <f t="shared" si="137"/>
        <v>166.62472391299531</v>
      </c>
      <c r="O43" s="172">
        <f t="shared" si="98"/>
        <v>38.76</v>
      </c>
      <c r="P43" s="217">
        <f t="shared" si="138"/>
        <v>0.9801454347823253</v>
      </c>
      <c r="Q43" s="217">
        <f t="shared" si="139"/>
        <v>170</v>
      </c>
      <c r="R43" s="217">
        <f t="shared" si="140"/>
        <v>0.96924146826435131</v>
      </c>
      <c r="S43" s="172">
        <f t="shared" si="141"/>
        <v>1484.6013534382409</v>
      </c>
      <c r="T43" s="172">
        <f t="shared" si="142"/>
        <v>170</v>
      </c>
      <c r="U43" s="217">
        <f t="shared" si="143"/>
        <v>15.729949486304932</v>
      </c>
      <c r="V43" s="217">
        <f t="shared" si="11"/>
        <v>0.66859939920201994</v>
      </c>
      <c r="W43" s="217">
        <f t="shared" si="144"/>
        <v>0.92249227665930733</v>
      </c>
      <c r="X43" s="197">
        <f t="shared" si="145"/>
        <v>350</v>
      </c>
      <c r="Y43" s="443">
        <f t="shared" si="14"/>
        <v>350</v>
      </c>
      <c r="AA43" s="217">
        <f t="shared" si="146"/>
        <v>28.246463418699395</v>
      </c>
      <c r="AB43" s="173">
        <f t="shared" si="147"/>
        <v>1.6565307071949689</v>
      </c>
      <c r="AC43" s="173">
        <f t="shared" si="148"/>
        <v>0.40942242269893064</v>
      </c>
      <c r="AD43" s="173"/>
      <c r="AE43" s="173">
        <f t="shared" si="149"/>
        <v>0.78194129185429595</v>
      </c>
      <c r="AF43" s="545">
        <f t="shared" si="150"/>
        <v>874.74597789555514</v>
      </c>
      <c r="AG43" s="528">
        <f t="shared" si="151"/>
        <v>9.1226484049667891E-2</v>
      </c>
      <c r="AI43" s="173">
        <f t="shared" si="152"/>
        <v>21.078790699273384</v>
      </c>
      <c r="AJ43" s="173">
        <f t="shared" si="153"/>
        <v>21.078790699273384</v>
      </c>
      <c r="AK43" s="173">
        <f t="shared" si="154"/>
        <v>6.9373758266222589</v>
      </c>
      <c r="AM43" s="545">
        <f t="shared" si="155"/>
        <v>227.99999999999997</v>
      </c>
      <c r="AN43" s="460">
        <f t="shared" si="156"/>
        <v>350</v>
      </c>
      <c r="AP43">
        <f t="shared" si="157"/>
        <v>227.99999999999997</v>
      </c>
      <c r="AQ43" s="460">
        <f t="shared" si="158"/>
        <v>350</v>
      </c>
      <c r="AR43" s="460"/>
      <c r="AS43" s="5">
        <f t="shared" si="101"/>
        <v>2.8571428571428572</v>
      </c>
      <c r="AT43" s="5">
        <f t="shared" si="159"/>
        <v>0.89595117960864534</v>
      </c>
      <c r="AU43" s="5">
        <f t="shared" si="102"/>
        <v>1.9611916775342118</v>
      </c>
      <c r="AV43" s="5">
        <f t="shared" si="160"/>
        <v>1.2361782622587112</v>
      </c>
      <c r="AW43" s="173">
        <f t="shared" si="103"/>
        <v>0.31358291286302586</v>
      </c>
      <c r="AX43" s="173">
        <f t="shared" si="161"/>
        <v>38.877599017580238</v>
      </c>
      <c r="AY43" s="173">
        <f t="shared" si="162"/>
        <v>0.36172105280412953</v>
      </c>
      <c r="AZ43" s="173">
        <f t="shared" si="104"/>
        <v>107.47950310382487</v>
      </c>
      <c r="BA43" s="460">
        <f t="shared" si="163"/>
        <v>0.1201628640886889</v>
      </c>
      <c r="BB43" s="5">
        <f t="shared" si="164"/>
        <v>10.339331081747886</v>
      </c>
      <c r="BC43" s="5"/>
      <c r="BD43" s="173">
        <f t="shared" si="105"/>
        <v>6.8149278010509571</v>
      </c>
      <c r="BE43" s="173">
        <f t="shared" si="165"/>
        <v>0.50413762550779273</v>
      </c>
      <c r="BF43" s="173"/>
      <c r="BG43" s="528">
        <f t="shared" si="166"/>
        <v>1.8577296373414893</v>
      </c>
      <c r="BH43" s="528">
        <f t="shared" si="167"/>
        <v>3.4901859121093013</v>
      </c>
      <c r="BI43" s="528">
        <f t="shared" si="168"/>
        <v>0.16468702564727322</v>
      </c>
      <c r="BJ43" s="528">
        <f t="shared" si="169"/>
        <v>3.0945866975238219E-2</v>
      </c>
      <c r="BK43">
        <f t="shared" si="170"/>
        <v>5.2935115386623533E-3</v>
      </c>
      <c r="BL43" s="460">
        <f t="shared" si="106"/>
        <v>169.98053718593559</v>
      </c>
      <c r="BM43" s="528">
        <f t="shared" si="171"/>
        <v>10.527053749968582</v>
      </c>
      <c r="BN43" s="460">
        <f t="shared" si="107"/>
        <v>10527.053749968582</v>
      </c>
      <c r="BO43" s="528">
        <f t="shared" si="172"/>
        <v>0.19790399999999994</v>
      </c>
      <c r="BP43" s="528"/>
      <c r="BR43" s="460">
        <f t="shared" si="109"/>
        <v>197.90399999999994</v>
      </c>
      <c r="BS43" s="528">
        <f t="shared" si="173"/>
        <v>1.3932972280061169</v>
      </c>
      <c r="BT43" s="528">
        <f t="shared" si="174"/>
        <v>7.6246423635790627E-3</v>
      </c>
      <c r="BU43" s="528">
        <f t="shared" si="175"/>
        <v>0.58139999999999992</v>
      </c>
      <c r="BV43" s="528">
        <f t="shared" si="176"/>
        <v>2.6111888439959681</v>
      </c>
      <c r="BW43" s="528">
        <f t="shared" si="177"/>
        <v>3.8877599017580238</v>
      </c>
      <c r="BX43" s="460">
        <f t="shared" si="110"/>
        <v>6498.9487457539926</v>
      </c>
      <c r="BY43" s="173">
        <f t="shared" si="45"/>
        <v>17.393887032908509</v>
      </c>
      <c r="BZ43" s="5">
        <f t="shared" si="111"/>
        <v>38.76</v>
      </c>
      <c r="CA43" s="173">
        <f t="shared" si="112"/>
        <v>0.69024607285485029</v>
      </c>
      <c r="CB43" s="5">
        <f t="shared" si="113"/>
        <v>69.024607285485033</v>
      </c>
      <c r="CE43" s="562">
        <f t="shared" si="178"/>
        <v>-50</v>
      </c>
      <c r="CF43">
        <f t="shared" si="179"/>
        <v>-50</v>
      </c>
      <c r="CG43" s="173">
        <f t="shared" si="180"/>
        <v>0.43331825011456981</v>
      </c>
      <c r="CI43" s="170">
        <v>38</v>
      </c>
      <c r="CJ43" s="217">
        <f t="shared" si="114"/>
        <v>0.22799999999999998</v>
      </c>
      <c r="CK43" s="217"/>
      <c r="CL43" s="217">
        <f t="shared" si="49"/>
        <v>38.76</v>
      </c>
      <c r="CM43" s="541">
        <f t="shared" si="50"/>
        <v>12.5</v>
      </c>
      <c r="CN43" s="172">
        <f t="shared" si="51"/>
        <v>8.5250000000000004</v>
      </c>
      <c r="CO43" s="443">
        <f t="shared" si="52"/>
        <v>21.024999999999999</v>
      </c>
      <c r="CP43" s="443"/>
      <c r="CQ43" s="217">
        <f t="shared" si="53"/>
        <v>0.40546967895362668</v>
      </c>
      <c r="CR43" s="172">
        <f t="shared" si="54"/>
        <v>170.84633868410626</v>
      </c>
      <c r="CS43" s="172">
        <f t="shared" si="115"/>
        <v>38.76</v>
      </c>
      <c r="CT43" s="217">
        <f t="shared" si="55"/>
        <v>1.0049784628476839</v>
      </c>
      <c r="CU43" s="217">
        <f t="shared" si="56"/>
        <v>170</v>
      </c>
      <c r="CV43" s="217">
        <f t="shared" si="57"/>
        <v>0.99379823272947732</v>
      </c>
      <c r="CW43" s="172">
        <f t="shared" si="58"/>
        <v>1577.5645910698618</v>
      </c>
      <c r="CX43" s="172">
        <f t="shared" si="59"/>
        <v>170</v>
      </c>
      <c r="CY43" s="217">
        <f t="shared" si="60"/>
        <v>15.294855131964805</v>
      </c>
      <c r="CZ43" s="217">
        <f t="shared" si="61"/>
        <v>0.61179420527859218</v>
      </c>
      <c r="DA43" s="217">
        <f t="shared" si="62"/>
        <v>0.89705895202139607</v>
      </c>
      <c r="DB43" s="197">
        <f t="shared" si="63"/>
        <v>350</v>
      </c>
      <c r="DC43" s="443">
        <f t="shared" si="116"/>
        <v>350</v>
      </c>
      <c r="DE43" s="217">
        <f t="shared" si="64"/>
        <v>28.962119925259049</v>
      </c>
      <c r="DF43" s="173">
        <f t="shared" si="65"/>
        <v>1.6986580601324954</v>
      </c>
      <c r="DG43" s="173">
        <f t="shared" si="66"/>
        <v>0.4304714614336958</v>
      </c>
      <c r="DH43" s="173"/>
      <c r="DI43" s="173">
        <f t="shared" si="67"/>
        <v>0.78201368523949166</v>
      </c>
      <c r="DJ43" s="545">
        <f t="shared" si="117"/>
        <v>874.66499999999985</v>
      </c>
      <c r="DK43" s="528">
        <f t="shared" si="68"/>
        <v>9.1234929944607357E-2</v>
      </c>
      <c r="DM43" s="173">
        <f t="shared" si="69"/>
        <v>21.077815012811115</v>
      </c>
      <c r="DN43" s="173">
        <f t="shared" si="70"/>
        <v>21.077815012811115</v>
      </c>
      <c r="DO43" s="173">
        <f t="shared" si="71"/>
        <v>6.9366530959094677</v>
      </c>
      <c r="DQ43" s="545">
        <f t="shared" si="72"/>
        <v>227.99999999999997</v>
      </c>
      <c r="DR43" s="460">
        <f t="shared" si="73"/>
        <v>350</v>
      </c>
      <c r="DT43">
        <f t="shared" si="74"/>
        <v>227.99999999999997</v>
      </c>
      <c r="DU43" s="460">
        <f t="shared" si="75"/>
        <v>350</v>
      </c>
      <c r="DV43" s="460"/>
      <c r="DW43" s="5">
        <f t="shared" si="118"/>
        <v>2.8571428571428572</v>
      </c>
      <c r="DX43" s="5">
        <f t="shared" si="76"/>
        <v>0.84311260051244452</v>
      </c>
      <c r="DY43" s="5">
        <f t="shared" si="119"/>
        <v>2.0140302566304129</v>
      </c>
      <c r="DZ43" s="5">
        <f t="shared" si="77"/>
        <v>1.2362354846223527</v>
      </c>
      <c r="EA43" s="173">
        <f t="shared" si="120"/>
        <v>0.29508941017935558</v>
      </c>
      <c r="EB43" s="173">
        <f t="shared" si="78"/>
        <v>38.873999999999995</v>
      </c>
      <c r="EC43" s="173">
        <f t="shared" si="79"/>
        <v>0.37144937532027794</v>
      </c>
      <c r="ED43" s="173">
        <f t="shared" si="121"/>
        <v>104.65490745941176</v>
      </c>
      <c r="EE43" s="460">
        <f t="shared" si="80"/>
        <v>0.1130762781863749</v>
      </c>
      <c r="EF43" s="5">
        <f t="shared" si="81"/>
        <v>9.9921680316153356</v>
      </c>
      <c r="EG43" s="5"/>
      <c r="EH43" s="173">
        <f t="shared" si="122"/>
        <v>6.6106136106840347</v>
      </c>
      <c r="EI43" s="173">
        <f t="shared" si="82"/>
        <v>0.51086009890592232</v>
      </c>
      <c r="EJ43" s="173"/>
      <c r="EK43" s="528">
        <f t="shared" si="83"/>
        <v>1.7480084923904406</v>
      </c>
      <c r="EL43" s="528">
        <f t="shared" si="84"/>
        <v>4.2654252087019051</v>
      </c>
      <c r="EM43" s="528">
        <f t="shared" si="85"/>
        <v>6.9999999999999993E-2</v>
      </c>
      <c r="EN43" s="528">
        <f t="shared" si="86"/>
        <v>3.094354375E-2</v>
      </c>
      <c r="EO43">
        <f t="shared" si="87"/>
        <v>5.6249999999999998E-3</v>
      </c>
      <c r="EP43" s="460">
        <f t="shared" si="123"/>
        <v>75.625</v>
      </c>
      <c r="EQ43" s="528">
        <f t="shared" si="88"/>
        <v>11.274614157764281</v>
      </c>
      <c r="ER43" s="460">
        <f t="shared" si="124"/>
        <v>11274.614157764281</v>
      </c>
      <c r="ES43" s="528">
        <f t="shared" si="125"/>
        <v>0.19790399999999994</v>
      </c>
      <c r="ET43" s="528"/>
      <c r="EV43" s="460">
        <f t="shared" si="126"/>
        <v>197.90399999999994</v>
      </c>
      <c r="EW43" s="528">
        <f t="shared" si="89"/>
        <v>1.3110063692928304</v>
      </c>
      <c r="EX43" s="528">
        <f t="shared" si="90"/>
        <v>7.8293412196250613E-3</v>
      </c>
      <c r="EY43" s="528">
        <f t="shared" si="91"/>
        <v>233.72441791002797</v>
      </c>
      <c r="EZ43" s="528">
        <f t="shared" si="92"/>
        <v>263.12082545413796</v>
      </c>
      <c r="FA43" s="528">
        <f t="shared" si="93"/>
        <v>3.8873999999999991</v>
      </c>
      <c r="FB43" s="460">
        <f t="shared" si="127"/>
        <v>267008.22545413795</v>
      </c>
      <c r="FC43" s="173">
        <f t="shared" si="128"/>
        <v>278.48074361190226</v>
      </c>
      <c r="FD43" s="5">
        <f t="shared" si="129"/>
        <v>38.76</v>
      </c>
      <c r="FE43" s="173">
        <f t="shared" si="130"/>
        <v>0.12217850569477041</v>
      </c>
      <c r="FF43" s="5">
        <f t="shared" si="131"/>
        <v>12.217850569477042</v>
      </c>
      <c r="FI43" s="562">
        <f t="shared" si="94"/>
        <v>-50</v>
      </c>
      <c r="FJ43">
        <f t="shared" si="95"/>
        <v>-50</v>
      </c>
      <c r="FL43">
        <f t="shared" si="181"/>
        <v>0.43268241961782344</v>
      </c>
    </row>
    <row r="44" spans="5:168">
      <c r="E44" s="170">
        <v>39</v>
      </c>
      <c r="F44" s="217">
        <f t="shared" si="182"/>
        <v>0.23399999999999999</v>
      </c>
      <c r="G44" s="217"/>
      <c r="H44" s="217">
        <f t="shared" si="132"/>
        <v>39.78</v>
      </c>
      <c r="I44" s="541">
        <f t="shared" si="133"/>
        <v>11.753729271644666</v>
      </c>
      <c r="J44" s="172">
        <f t="shared" si="134"/>
        <v>8.5257995757803808</v>
      </c>
      <c r="K44" s="172">
        <f t="shared" si="135"/>
        <v>21.025799575780383</v>
      </c>
      <c r="L44" s="443"/>
      <c r="M44" s="217">
        <f t="shared" si="136"/>
        <v>0.42041411913111204</v>
      </c>
      <c r="N44" s="172">
        <f t="shared" si="137"/>
        <v>166.56749559331018</v>
      </c>
      <c r="O44" s="172">
        <f t="shared" si="98"/>
        <v>39.78</v>
      </c>
      <c r="P44" s="217">
        <f t="shared" si="138"/>
        <v>0.979808797607707</v>
      </c>
      <c r="Q44" s="217">
        <f t="shared" si="139"/>
        <v>170</v>
      </c>
      <c r="R44" s="217">
        <f t="shared" si="140"/>
        <v>0.96890857612628634</v>
      </c>
      <c r="S44" s="172">
        <f t="shared" si="141"/>
        <v>1439.3274565346462</v>
      </c>
      <c r="T44" s="172">
        <f t="shared" si="142"/>
        <v>170</v>
      </c>
      <c r="U44" s="217">
        <f t="shared" si="143"/>
        <v>16.149461725961864</v>
      </c>
      <c r="V44" s="217">
        <f t="shared" si="11"/>
        <v>0.68699309609426273</v>
      </c>
      <c r="W44" s="217">
        <f t="shared" si="144"/>
        <v>0.94709367622471219</v>
      </c>
      <c r="X44" s="197">
        <f t="shared" si="145"/>
        <v>350</v>
      </c>
      <c r="Y44" s="443">
        <f t="shared" si="14"/>
        <v>350</v>
      </c>
      <c r="AA44" s="217">
        <f t="shared" si="146"/>
        <v>28.236761963107725</v>
      </c>
      <c r="AB44" s="173">
        <f t="shared" si="147"/>
        <v>1.6559597555706771</v>
      </c>
      <c r="AC44" s="173">
        <f t="shared" si="148"/>
        <v>0.40914073758718356</v>
      </c>
      <c r="AD44" s="173"/>
      <c r="AE44" s="173">
        <f t="shared" si="149"/>
        <v>0.7819403455841214</v>
      </c>
      <c r="AF44" s="545">
        <f t="shared" si="150"/>
        <v>897.76669532967378</v>
      </c>
      <c r="AG44" s="528">
        <f t="shared" si="151"/>
        <v>9.1226373651480855E-2</v>
      </c>
      <c r="AI44" s="173">
        <f t="shared" si="152"/>
        <v>21.354355063252402</v>
      </c>
      <c r="AJ44" s="173">
        <f t="shared" si="153"/>
        <v>21.354355063252402</v>
      </c>
      <c r="AK44" s="173">
        <f t="shared" si="154"/>
        <v>7.1414975777178293</v>
      </c>
      <c r="AM44" s="545">
        <f t="shared" si="155"/>
        <v>234</v>
      </c>
      <c r="AN44" s="460">
        <f t="shared" si="156"/>
        <v>350</v>
      </c>
      <c r="AP44">
        <f t="shared" si="157"/>
        <v>234</v>
      </c>
      <c r="AQ44" s="460">
        <f t="shared" si="158"/>
        <v>350</v>
      </c>
      <c r="AR44" s="460"/>
      <c r="AS44" s="5">
        <f t="shared" si="101"/>
        <v>2.8571428571428572</v>
      </c>
      <c r="AT44" s="5">
        <f t="shared" si="159"/>
        <v>0.90840764534064977</v>
      </c>
      <c r="AU44" s="5">
        <f t="shared" si="102"/>
        <v>1.9487352118022074</v>
      </c>
      <c r="AV44" s="5">
        <f t="shared" si="160"/>
        <v>1.2523373833414213</v>
      </c>
      <c r="AW44" s="173">
        <f t="shared" si="103"/>
        <v>0.31794267586922742</v>
      </c>
      <c r="AX44" s="173">
        <f t="shared" si="161"/>
        <v>39.900742014652181</v>
      </c>
      <c r="AY44" s="173">
        <f t="shared" si="162"/>
        <v>0.36412235682450872</v>
      </c>
      <c r="AZ44" s="173">
        <f t="shared" si="104"/>
        <v>109.58058813697787</v>
      </c>
      <c r="BA44" s="460">
        <f t="shared" si="163"/>
        <v>0.12503964059394823</v>
      </c>
      <c r="BB44" s="5">
        <f t="shared" si="164"/>
        <v>10.552659151339402</v>
      </c>
      <c r="BC44" s="5"/>
      <c r="BD44" s="173">
        <f t="shared" si="105"/>
        <v>6.9518476297911791</v>
      </c>
      <c r="BE44" s="173">
        <f t="shared" si="165"/>
        <v>0.50910372532189174</v>
      </c>
      <c r="BF44" s="173"/>
      <c r="BG44" s="528">
        <f t="shared" si="166"/>
        <v>1.9331274187133296</v>
      </c>
      <c r="BH44" s="528">
        <f t="shared" si="167"/>
        <v>3.5358150683362184</v>
      </c>
      <c r="BI44" s="528">
        <f t="shared" si="168"/>
        <v>0.16455220980302532</v>
      </c>
      <c r="BJ44" s="528">
        <f t="shared" si="169"/>
        <v>3.0945897346062057E-2</v>
      </c>
      <c r="BK44">
        <f t="shared" si="170"/>
        <v>5.2891781722400992E-3</v>
      </c>
      <c r="BL44" s="460">
        <f t="shared" si="106"/>
        <v>169.84138797526541</v>
      </c>
      <c r="BM44" s="528">
        <f t="shared" si="171"/>
        <v>11.137333327022157</v>
      </c>
      <c r="BN44" s="460">
        <f t="shared" si="107"/>
        <v>11137.333327022157</v>
      </c>
      <c r="BO44" s="528">
        <f t="shared" si="172"/>
        <v>0.20311199999999996</v>
      </c>
      <c r="BP44" s="528"/>
      <c r="BR44" s="460">
        <f t="shared" si="109"/>
        <v>203.11199999999997</v>
      </c>
      <c r="BS44" s="528">
        <f t="shared" si="173"/>
        <v>1.449845564034997</v>
      </c>
      <c r="BT44" s="528">
        <f t="shared" si="174"/>
        <v>7.7755980940988449E-3</v>
      </c>
      <c r="BU44" s="528">
        <f t="shared" si="175"/>
        <v>0.59670000000000001</v>
      </c>
      <c r="BV44" s="528">
        <f t="shared" si="176"/>
        <v>2.7215039851680483</v>
      </c>
      <c r="BW44" s="528">
        <f t="shared" si="177"/>
        <v>3.9900742014652182</v>
      </c>
      <c r="BX44" s="460">
        <f t="shared" si="110"/>
        <v>6711.5781866332663</v>
      </c>
      <c r="BY44" s="173">
        <f t="shared" si="45"/>
        <v>18.221864901630692</v>
      </c>
      <c r="BZ44" s="5">
        <f t="shared" si="111"/>
        <v>39.78</v>
      </c>
      <c r="CA44" s="173">
        <f t="shared" si="112"/>
        <v>0.68584001682472806</v>
      </c>
      <c r="CB44" s="5">
        <f t="shared" si="113"/>
        <v>68.584001682472802</v>
      </c>
      <c r="CE44" s="562">
        <f t="shared" si="178"/>
        <v>-50</v>
      </c>
      <c r="CF44">
        <f t="shared" si="179"/>
        <v>-50</v>
      </c>
      <c r="CG44" s="173">
        <f t="shared" si="180"/>
        <v>0.43898278138549024</v>
      </c>
      <c r="CI44" s="170">
        <v>39</v>
      </c>
      <c r="CJ44" s="217">
        <f t="shared" si="114"/>
        <v>0.23399999999999999</v>
      </c>
      <c r="CK44" s="217"/>
      <c r="CL44" s="217">
        <f t="shared" si="49"/>
        <v>39.78</v>
      </c>
      <c r="CM44" s="541">
        <f t="shared" si="50"/>
        <v>12.5</v>
      </c>
      <c r="CN44" s="172">
        <f t="shared" si="51"/>
        <v>8.5250000000000004</v>
      </c>
      <c r="CO44" s="443">
        <f t="shared" si="52"/>
        <v>21.024999999999999</v>
      </c>
      <c r="CP44" s="443"/>
      <c r="CQ44" s="217">
        <f t="shared" si="53"/>
        <v>0.40546967895362668</v>
      </c>
      <c r="CR44" s="172">
        <f t="shared" si="54"/>
        <v>170.84633868410626</v>
      </c>
      <c r="CS44" s="172">
        <f t="shared" si="115"/>
        <v>39.78</v>
      </c>
      <c r="CT44" s="217">
        <f t="shared" si="55"/>
        <v>1.0049784628476839</v>
      </c>
      <c r="CU44" s="217">
        <f t="shared" si="56"/>
        <v>170</v>
      </c>
      <c r="CV44" s="217">
        <f t="shared" si="57"/>
        <v>0.99379823272947732</v>
      </c>
      <c r="CW44" s="172">
        <f t="shared" si="58"/>
        <v>1530.7084154968188</v>
      </c>
      <c r="CX44" s="172">
        <f t="shared" si="59"/>
        <v>170</v>
      </c>
      <c r="CY44" s="217">
        <f t="shared" si="60"/>
        <v>15.697351319648092</v>
      </c>
      <c r="CZ44" s="217">
        <f t="shared" si="61"/>
        <v>0.6278940527859237</v>
      </c>
      <c r="DA44" s="217">
        <f t="shared" si="62"/>
        <v>0.92066576654827514</v>
      </c>
      <c r="DB44" s="197">
        <f t="shared" si="63"/>
        <v>350</v>
      </c>
      <c r="DC44" s="443">
        <f t="shared" si="116"/>
        <v>350</v>
      </c>
      <c r="DE44" s="217">
        <f t="shared" si="64"/>
        <v>28.962119925259049</v>
      </c>
      <c r="DF44" s="173">
        <f t="shared" si="65"/>
        <v>1.6986580601324954</v>
      </c>
      <c r="DG44" s="173">
        <f t="shared" si="66"/>
        <v>0.4304714614336958</v>
      </c>
      <c r="DH44" s="173"/>
      <c r="DI44" s="173">
        <f t="shared" si="67"/>
        <v>0.78201368523949166</v>
      </c>
      <c r="DJ44" s="545">
        <f t="shared" si="117"/>
        <v>897.68249999999989</v>
      </c>
      <c r="DK44" s="528">
        <f t="shared" si="68"/>
        <v>9.1234929944607357E-2</v>
      </c>
      <c r="DM44" s="173">
        <f t="shared" si="69"/>
        <v>21.35335370113356</v>
      </c>
      <c r="DN44" s="173">
        <f t="shared" si="70"/>
        <v>21.35335370113356</v>
      </c>
      <c r="DO44" s="173">
        <f t="shared" si="71"/>
        <v>7.1407558280001675</v>
      </c>
      <c r="DQ44" s="545">
        <f t="shared" si="72"/>
        <v>234</v>
      </c>
      <c r="DR44" s="460">
        <f t="shared" si="73"/>
        <v>350</v>
      </c>
      <c r="DT44">
        <f t="shared" si="74"/>
        <v>234</v>
      </c>
      <c r="DU44" s="460">
        <f t="shared" si="75"/>
        <v>350</v>
      </c>
      <c r="DV44" s="460"/>
      <c r="DW44" s="5">
        <f t="shared" si="118"/>
        <v>2.8571428571428572</v>
      </c>
      <c r="DX44" s="5">
        <f t="shared" si="76"/>
        <v>0.85413414804534238</v>
      </c>
      <c r="DY44" s="5">
        <f t="shared" si="119"/>
        <v>2.0030087090975148</v>
      </c>
      <c r="DZ44" s="5">
        <f t="shared" si="77"/>
        <v>1.2523961115034348</v>
      </c>
      <c r="EA44" s="173">
        <f t="shared" si="120"/>
        <v>0.29894695181586983</v>
      </c>
      <c r="EB44" s="173">
        <f t="shared" si="78"/>
        <v>39.896999999999998</v>
      </c>
      <c r="EC44" s="173">
        <f t="shared" si="79"/>
        <v>0.37424584252833898</v>
      </c>
      <c r="ED44" s="173">
        <f t="shared" si="121"/>
        <v>106.60639469088794</v>
      </c>
      <c r="EE44" s="460">
        <f t="shared" si="80"/>
        <v>0.11756905331918241</v>
      </c>
      <c r="EF44" s="5">
        <f t="shared" si="81"/>
        <v>10.198999865331089</v>
      </c>
      <c r="EG44" s="5"/>
      <c r="EH44" s="173">
        <f t="shared" si="122"/>
        <v>6.7406616989298636</v>
      </c>
      <c r="EI44" s="173">
        <f t="shared" si="82"/>
        <v>0.5161202652704876</v>
      </c>
      <c r="EJ44" s="173"/>
      <c r="EK44" s="528">
        <f t="shared" si="83"/>
        <v>1.8174608055768013</v>
      </c>
      <c r="EL44" s="528">
        <f t="shared" si="84"/>
        <v>4.3211847675759563</v>
      </c>
      <c r="EM44" s="528">
        <f t="shared" si="85"/>
        <v>6.9999999999999993E-2</v>
      </c>
      <c r="EN44" s="528">
        <f t="shared" si="86"/>
        <v>3.094354375E-2</v>
      </c>
      <c r="EO44">
        <f t="shared" si="87"/>
        <v>5.6249999999999998E-3</v>
      </c>
      <c r="EP44" s="460">
        <f t="shared" si="123"/>
        <v>75.625</v>
      </c>
      <c r="EQ44" s="528">
        <f t="shared" si="88"/>
        <v>11.855453425911563</v>
      </c>
      <c r="ER44" s="460">
        <f t="shared" si="124"/>
        <v>11855.453425911563</v>
      </c>
      <c r="ES44" s="528">
        <f t="shared" si="125"/>
        <v>0.20311199999999996</v>
      </c>
      <c r="ET44" s="528"/>
      <c r="EV44" s="460">
        <f t="shared" si="126"/>
        <v>203.11199999999997</v>
      </c>
      <c r="EW44" s="528">
        <f t="shared" si="89"/>
        <v>1.363095604182601</v>
      </c>
      <c r="EX44" s="528">
        <f t="shared" si="90"/>
        <v>7.9914038466863541E-3</v>
      </c>
      <c r="EY44" s="528">
        <f t="shared" si="91"/>
        <v>241.4378471055301</v>
      </c>
      <c r="EZ44" s="528">
        <f t="shared" si="92"/>
        <v>273.09270363029344</v>
      </c>
      <c r="FA44" s="528">
        <f t="shared" si="93"/>
        <v>3.9897000000000014</v>
      </c>
      <c r="FB44" s="460">
        <f t="shared" si="127"/>
        <v>277082.4036302935</v>
      </c>
      <c r="FC44" s="173">
        <f t="shared" si="128"/>
        <v>289.14096905620505</v>
      </c>
      <c r="FD44" s="5">
        <f t="shared" si="129"/>
        <v>39.78</v>
      </c>
      <c r="FE44" s="173">
        <f t="shared" si="130"/>
        <v>0.12094090599983155</v>
      </c>
      <c r="FF44" s="5">
        <f t="shared" si="131"/>
        <v>12.094090599983156</v>
      </c>
      <c r="FI44" s="562">
        <f t="shared" si="94"/>
        <v>-50</v>
      </c>
      <c r="FJ44">
        <f t="shared" si="95"/>
        <v>-50</v>
      </c>
      <c r="FL44">
        <f t="shared" si="181"/>
        <v>0.43833863902620201</v>
      </c>
    </row>
    <row r="45" spans="5:168">
      <c r="E45" s="170">
        <v>40</v>
      </c>
      <c r="F45" s="217">
        <f t="shared" si="182"/>
        <v>0.24</v>
      </c>
      <c r="G45" s="217"/>
      <c r="H45" s="217">
        <f t="shared" si="132"/>
        <v>40.799999999999997</v>
      </c>
      <c r="I45" s="541">
        <f t="shared" si="133"/>
        <v>11.744222254892353</v>
      </c>
      <c r="J45" s="172">
        <f t="shared" si="134"/>
        <v>8.5258097618697573</v>
      </c>
      <c r="K45" s="172">
        <f t="shared" si="135"/>
        <v>21.025809761869759</v>
      </c>
      <c r="L45" s="443"/>
      <c r="M45" s="217">
        <f t="shared" si="136"/>
        <v>0.42061159273274906</v>
      </c>
      <c r="N45" s="172">
        <f t="shared" si="137"/>
        <v>166.51094277843646</v>
      </c>
      <c r="O45" s="172">
        <f t="shared" si="98"/>
        <v>40.799999999999997</v>
      </c>
      <c r="P45" s="217">
        <f t="shared" si="138"/>
        <v>0.97947613399080269</v>
      </c>
      <c r="Q45" s="217">
        <f t="shared" si="139"/>
        <v>170</v>
      </c>
      <c r="R45" s="217">
        <f t="shared" si="140"/>
        <v>0.96857961334071974</v>
      </c>
      <c r="S45" s="172">
        <f t="shared" si="141"/>
        <v>1396.341611727094</v>
      </c>
      <c r="T45" s="172">
        <f t="shared" si="142"/>
        <v>170</v>
      </c>
      <c r="U45" s="217">
        <f t="shared" si="143"/>
        <v>16.569195861683617</v>
      </c>
      <c r="V45" s="217">
        <f t="shared" si="11"/>
        <v>0.70541903508260395</v>
      </c>
      <c r="W45" s="217">
        <f t="shared" si="144"/>
        <v>0.97170804442450398</v>
      </c>
      <c r="X45" s="197">
        <f t="shared" si="145"/>
        <v>350</v>
      </c>
      <c r="Y45" s="443">
        <f t="shared" si="14"/>
        <v>350</v>
      </c>
      <c r="AA45" s="217">
        <f t="shared" si="146"/>
        <v>28.227175020466113</v>
      </c>
      <c r="AB45" s="173">
        <f t="shared" si="147"/>
        <v>1.6553955465149703</v>
      </c>
      <c r="AC45" s="173">
        <f t="shared" si="148"/>
        <v>0.40886247342130944</v>
      </c>
      <c r="AD45" s="173"/>
      <c r="AE45" s="173">
        <f t="shared" si="149"/>
        <v>0.78193941137206768</v>
      </c>
      <c r="AF45" s="545">
        <f t="shared" si="150"/>
        <v>920.78745428193372</v>
      </c>
      <c r="AG45" s="528">
        <f t="shared" si="151"/>
        <v>9.122626466007458E-2</v>
      </c>
      <c r="AI45" s="173">
        <f t="shared" si="152"/>
        <v>21.626408950163512</v>
      </c>
      <c r="AJ45" s="173">
        <f t="shared" si="153"/>
        <v>21.626408950163512</v>
      </c>
      <c r="AK45" s="173">
        <f t="shared" si="154"/>
        <v>7.3430189754297617</v>
      </c>
      <c r="AM45" s="545">
        <f t="shared" si="155"/>
        <v>240</v>
      </c>
      <c r="AN45" s="460">
        <f t="shared" si="156"/>
        <v>350</v>
      </c>
      <c r="AP45">
        <f t="shared" si="157"/>
        <v>240</v>
      </c>
      <c r="AQ45" s="460">
        <f t="shared" si="158"/>
        <v>350</v>
      </c>
      <c r="AR45" s="460"/>
      <c r="AS45" s="5">
        <f t="shared" si="101"/>
        <v>2.8571428571428572</v>
      </c>
      <c r="AT45" s="5">
        <f t="shared" si="159"/>
        <v>0.92072546315932002</v>
      </c>
      <c r="AU45" s="5">
        <f t="shared" si="102"/>
        <v>1.9364173939835372</v>
      </c>
      <c r="AV45" s="5">
        <f t="shared" si="160"/>
        <v>1.2682906113436854</v>
      </c>
      <c r="AW45" s="173">
        <f t="shared" si="103"/>
        <v>0.32225391210576199</v>
      </c>
      <c r="AX45" s="173">
        <f t="shared" si="161"/>
        <v>40.923886856974839</v>
      </c>
      <c r="AY45" s="173">
        <f t="shared" si="162"/>
        <v>0.36643035152935644</v>
      </c>
      <c r="AZ45" s="173">
        <f t="shared" si="104"/>
        <v>111.68257947566943</v>
      </c>
      <c r="BA45" s="460">
        <f t="shared" si="163"/>
        <v>0.12998477126955105</v>
      </c>
      <c r="BB45" s="5">
        <f t="shared" si="164"/>
        <v>10.763533313292525</v>
      </c>
      <c r="BC45" s="5"/>
      <c r="BD45" s="173">
        <f t="shared" si="105"/>
        <v>7.0879865199897933</v>
      </c>
      <c r="BE45" s="173">
        <f t="shared" si="165"/>
        <v>0.51395760635568755</v>
      </c>
      <c r="BF45" s="173"/>
      <c r="BG45" s="528">
        <f t="shared" si="166"/>
        <v>2.0095821163022807</v>
      </c>
      <c r="BH45" s="528">
        <f t="shared" si="167"/>
        <v>3.5808629882959666</v>
      </c>
      <c r="BI45" s="528">
        <f t="shared" si="168"/>
        <v>0.16441911156849295</v>
      </c>
      <c r="BJ45" s="528">
        <f t="shared" si="169"/>
        <v>3.0945927329963634E-2</v>
      </c>
      <c r="BK45">
        <f t="shared" si="170"/>
        <v>5.2849000147015589E-3</v>
      </c>
      <c r="BL45" s="460">
        <f t="shared" si="106"/>
        <v>169.7040115831945</v>
      </c>
      <c r="BM45" s="528">
        <f t="shared" si="171"/>
        <v>11.796561667445173</v>
      </c>
      <c r="BN45" s="460">
        <f t="shared" si="107"/>
        <v>11796.561667445174</v>
      </c>
      <c r="BO45" s="528">
        <f t="shared" si="172"/>
        <v>0.20831999999999998</v>
      </c>
      <c r="BP45" s="528"/>
      <c r="BR45" s="460">
        <f t="shared" si="109"/>
        <v>208.31999999999996</v>
      </c>
      <c r="BS45" s="528">
        <f t="shared" si="173"/>
        <v>1.5071865872267105</v>
      </c>
      <c r="BT45" s="528">
        <f t="shared" si="174"/>
        <v>7.9245726339260362E-3</v>
      </c>
      <c r="BU45" s="528">
        <f t="shared" si="175"/>
        <v>0.61199999999999999</v>
      </c>
      <c r="BV45" s="528">
        <f t="shared" si="176"/>
        <v>2.8342774725287865</v>
      </c>
      <c r="BW45" s="528">
        <f t="shared" si="177"/>
        <v>4.0923886856974843</v>
      </c>
      <c r="BX45" s="460">
        <f t="shared" si="110"/>
        <v>6926.6661582262705</v>
      </c>
      <c r="BY45" s="173">
        <f t="shared" si="45"/>
        <v>19.101251837254637</v>
      </c>
      <c r="BZ45" s="5">
        <f t="shared" si="111"/>
        <v>40.799999999999997</v>
      </c>
      <c r="CA45" s="173">
        <f t="shared" si="112"/>
        <v>0.68112099077410404</v>
      </c>
      <c r="CB45" s="5">
        <f t="shared" si="113"/>
        <v>68.112099077410406</v>
      </c>
      <c r="CE45" s="562">
        <f t="shared" si="178"/>
        <v>-50</v>
      </c>
      <c r="CF45">
        <f t="shared" si="179"/>
        <v>-50</v>
      </c>
      <c r="CG45" s="173">
        <f t="shared" si="180"/>
        <v>0.444575144180969</v>
      </c>
      <c r="CI45" s="170">
        <v>40</v>
      </c>
      <c r="CJ45" s="217">
        <f t="shared" si="114"/>
        <v>0.24</v>
      </c>
      <c r="CK45" s="217"/>
      <c r="CL45" s="217">
        <f t="shared" si="49"/>
        <v>40.799999999999997</v>
      </c>
      <c r="CM45" s="541">
        <f t="shared" si="50"/>
        <v>12.5</v>
      </c>
      <c r="CN45" s="172">
        <f t="shared" si="51"/>
        <v>8.5250000000000004</v>
      </c>
      <c r="CO45" s="443">
        <f t="shared" si="52"/>
        <v>21.024999999999999</v>
      </c>
      <c r="CP45" s="443"/>
      <c r="CQ45" s="217">
        <f t="shared" si="53"/>
        <v>0.40546967895362668</v>
      </c>
      <c r="CR45" s="172">
        <f t="shared" si="54"/>
        <v>170.84633868410626</v>
      </c>
      <c r="CS45" s="172">
        <f t="shared" si="115"/>
        <v>40.799999999999997</v>
      </c>
      <c r="CT45" s="217">
        <f t="shared" si="55"/>
        <v>1.0049784628476839</v>
      </c>
      <c r="CU45" s="217">
        <f t="shared" si="56"/>
        <v>170</v>
      </c>
      <c r="CV45" s="217">
        <f t="shared" si="57"/>
        <v>0.99379823272947732</v>
      </c>
      <c r="CW45" s="172">
        <f t="shared" si="58"/>
        <v>1486.1951902154381</v>
      </c>
      <c r="CX45" s="172">
        <f t="shared" si="59"/>
        <v>170</v>
      </c>
      <c r="CY45" s="217">
        <f t="shared" si="60"/>
        <v>16.099847507331376</v>
      </c>
      <c r="CZ45" s="217">
        <f t="shared" si="61"/>
        <v>0.64399390029325509</v>
      </c>
      <c r="DA45" s="217">
        <f t="shared" si="62"/>
        <v>0.94427258107515399</v>
      </c>
      <c r="DB45" s="197">
        <f t="shared" si="63"/>
        <v>350</v>
      </c>
      <c r="DC45" s="443">
        <f t="shared" si="116"/>
        <v>350</v>
      </c>
      <c r="DE45" s="217">
        <f t="shared" si="64"/>
        <v>28.962119925259049</v>
      </c>
      <c r="DF45" s="173">
        <f t="shared" si="65"/>
        <v>1.6986580601324954</v>
      </c>
      <c r="DG45" s="173">
        <f t="shared" si="66"/>
        <v>0.4304714614336958</v>
      </c>
      <c r="DH45" s="173"/>
      <c r="DI45" s="173">
        <f t="shared" si="67"/>
        <v>0.78201368523949166</v>
      </c>
      <c r="DJ45" s="545">
        <f t="shared" si="117"/>
        <v>920.7</v>
      </c>
      <c r="DK45" s="528">
        <f t="shared" si="68"/>
        <v>9.1234929944607357E-2</v>
      </c>
      <c r="DM45" s="173">
        <f t="shared" si="69"/>
        <v>21.625381912399671</v>
      </c>
      <c r="DN45" s="173">
        <f t="shared" si="70"/>
        <v>21.625381912399671</v>
      </c>
      <c r="DO45" s="173">
        <f t="shared" si="71"/>
        <v>7.3422582067158055</v>
      </c>
      <c r="DQ45" s="545">
        <f t="shared" si="72"/>
        <v>240</v>
      </c>
      <c r="DR45" s="460">
        <f t="shared" si="73"/>
        <v>350</v>
      </c>
      <c r="DT45">
        <f t="shared" si="74"/>
        <v>240</v>
      </c>
      <c r="DU45" s="460">
        <f t="shared" si="75"/>
        <v>350</v>
      </c>
      <c r="DV45" s="460"/>
      <c r="DW45" s="5">
        <f t="shared" si="118"/>
        <v>2.8571428571428572</v>
      </c>
      <c r="DX45" s="5">
        <f t="shared" si="76"/>
        <v>0.86501527649598686</v>
      </c>
      <c r="DY45" s="5">
        <f t="shared" si="119"/>
        <v>1.9921275806468703</v>
      </c>
      <c r="DZ45" s="5">
        <f t="shared" si="77"/>
        <v>1.2683508453020333</v>
      </c>
      <c r="EA45" s="173">
        <f t="shared" si="120"/>
        <v>0.30275534677359539</v>
      </c>
      <c r="EB45" s="173">
        <f t="shared" si="78"/>
        <v>40.919999999999995</v>
      </c>
      <c r="EC45" s="173">
        <f t="shared" si="79"/>
        <v>0.37695454780999177</v>
      </c>
      <c r="ED45" s="173">
        <f t="shared" si="121"/>
        <v>108.55420166100818</v>
      </c>
      <c r="EE45" s="460">
        <f t="shared" si="80"/>
        <v>0.12211980374060992</v>
      </c>
      <c r="EF45" s="5">
        <f t="shared" si="81"/>
        <v>10.403687077170215</v>
      </c>
      <c r="EG45" s="5"/>
      <c r="EH45" s="173">
        <f t="shared" si="122"/>
        <v>6.8698787096731948</v>
      </c>
      <c r="EI45" s="173">
        <f t="shared" si="82"/>
        <v>0.52127363447639774</v>
      </c>
      <c r="EJ45" s="173"/>
      <c r="EK45" s="528">
        <f t="shared" si="83"/>
        <v>1.8878093394248416</v>
      </c>
      <c r="EL45" s="528">
        <f t="shared" si="84"/>
        <v>4.3762339265664547</v>
      </c>
      <c r="EM45" s="528">
        <f t="shared" si="85"/>
        <v>6.9999999999999993E-2</v>
      </c>
      <c r="EN45" s="528">
        <f t="shared" si="86"/>
        <v>3.094354375E-2</v>
      </c>
      <c r="EO45">
        <f t="shared" si="87"/>
        <v>5.6249999999999998E-3</v>
      </c>
      <c r="EP45" s="460">
        <f t="shared" si="123"/>
        <v>75.625</v>
      </c>
      <c r="EQ45" s="528">
        <f t="shared" si="88"/>
        <v>12.476632915742298</v>
      </c>
      <c r="ER45" s="460">
        <f t="shared" si="124"/>
        <v>12476.632915742299</v>
      </c>
      <c r="ES45" s="528">
        <f t="shared" si="125"/>
        <v>0.20831999999999998</v>
      </c>
      <c r="ET45" s="528"/>
      <c r="EV45" s="460">
        <f t="shared" si="126"/>
        <v>208.31999999999996</v>
      </c>
      <c r="EW45" s="528">
        <f t="shared" si="89"/>
        <v>1.4158570045686312</v>
      </c>
      <c r="EX45" s="528">
        <f t="shared" si="90"/>
        <v>8.1517860600069936E-3</v>
      </c>
      <c r="EY45" s="528">
        <f t="shared" si="91"/>
        <v>249.20088494929146</v>
      </c>
      <c r="EZ45" s="528">
        <f t="shared" si="92"/>
        <v>283.23272733067995</v>
      </c>
      <c r="FA45" s="528">
        <f t="shared" si="93"/>
        <v>4.0920000000000005</v>
      </c>
      <c r="FB45" s="460">
        <f t="shared" si="127"/>
        <v>287324.72733067995</v>
      </c>
      <c r="FC45" s="173">
        <f t="shared" si="128"/>
        <v>300.00968024642225</v>
      </c>
      <c r="FD45" s="5">
        <f t="shared" si="129"/>
        <v>40.799999999999997</v>
      </c>
      <c r="FE45" s="173">
        <f t="shared" si="130"/>
        <v>0.11971490941953168</v>
      </c>
      <c r="FF45" s="5">
        <f t="shared" si="131"/>
        <v>11.971490941953169</v>
      </c>
      <c r="FI45" s="562">
        <f t="shared" si="94"/>
        <v>-50</v>
      </c>
      <c r="FJ45">
        <f t="shared" si="95"/>
        <v>-50</v>
      </c>
      <c r="FL45">
        <f t="shared" si="181"/>
        <v>0.4439227958557117</v>
      </c>
    </row>
    <row r="46" spans="5:168">
      <c r="E46" s="170">
        <v>41</v>
      </c>
      <c r="F46" s="217">
        <f t="shared" si="182"/>
        <v>0.24599999999999997</v>
      </c>
      <c r="G46" s="217"/>
      <c r="H46" s="217">
        <f t="shared" si="132"/>
        <v>41.819999999999993</v>
      </c>
      <c r="I46" s="541">
        <f t="shared" si="133"/>
        <v>11.73483335148479</v>
      </c>
      <c r="J46" s="172">
        <f t="shared" si="134"/>
        <v>8.5258198214091241</v>
      </c>
      <c r="K46" s="172">
        <f t="shared" si="135"/>
        <v>21.025819821409122</v>
      </c>
      <c r="L46" s="443"/>
      <c r="M46" s="217">
        <f t="shared" si="136"/>
        <v>0.4208067946491284</v>
      </c>
      <c r="N46" s="172">
        <f t="shared" si="137"/>
        <v>166.45504021580928</v>
      </c>
      <c r="O46" s="172">
        <f t="shared" si="98"/>
        <v>41.819999999999993</v>
      </c>
      <c r="P46" s="217">
        <f t="shared" si="138"/>
        <v>0.97914729538711343</v>
      </c>
      <c r="Q46" s="217">
        <f t="shared" si="139"/>
        <v>170</v>
      </c>
      <c r="R46" s="217">
        <f t="shared" si="140"/>
        <v>0.96825443301568703</v>
      </c>
      <c r="S46" s="172">
        <f t="shared" si="141"/>
        <v>1355.47569457486</v>
      </c>
      <c r="T46" s="172">
        <f t="shared" si="142"/>
        <v>170</v>
      </c>
      <c r="U46" s="217">
        <f t="shared" si="143"/>
        <v>16.989149577538619</v>
      </c>
      <c r="V46" s="217">
        <f t="shared" si="11"/>
        <v>0.72387690002385108</v>
      </c>
      <c r="W46" s="217">
        <f t="shared" si="144"/>
        <v>0.99633524595941425</v>
      </c>
      <c r="X46" s="197">
        <f t="shared" si="145"/>
        <v>350</v>
      </c>
      <c r="Y46" s="443">
        <f t="shared" si="14"/>
        <v>350</v>
      </c>
      <c r="AA46" s="217">
        <f t="shared" si="146"/>
        <v>28.217698309908499</v>
      </c>
      <c r="AB46" s="173">
        <f t="shared" si="147"/>
        <v>1.6548378279735187</v>
      </c>
      <c r="AC46" s="173">
        <f t="shared" si="148"/>
        <v>0.40858750258883397</v>
      </c>
      <c r="AD46" s="173"/>
      <c r="AE46" s="173">
        <f t="shared" si="149"/>
        <v>0.78193848876867511</v>
      </c>
      <c r="AF46" s="545">
        <f t="shared" si="150"/>
        <v>943.80825422998998</v>
      </c>
      <c r="AG46" s="528">
        <f t="shared" si="151"/>
        <v>9.1226157023012108E-2</v>
      </c>
      <c r="AI46" s="173">
        <f t="shared" si="152"/>
        <v>21.895083210968458</v>
      </c>
      <c r="AJ46" s="173">
        <f t="shared" si="153"/>
        <v>21.895083210968458</v>
      </c>
      <c r="AK46" s="173">
        <f t="shared" si="154"/>
        <v>7.5420369463963883</v>
      </c>
      <c r="AM46" s="545">
        <f t="shared" si="155"/>
        <v>245.99999999999997</v>
      </c>
      <c r="AN46" s="460">
        <f t="shared" si="156"/>
        <v>350</v>
      </c>
      <c r="AP46">
        <f t="shared" si="157"/>
        <v>245.99999999999997</v>
      </c>
      <c r="AQ46" s="460">
        <f t="shared" si="158"/>
        <v>350</v>
      </c>
      <c r="AR46" s="460"/>
      <c r="AS46" s="5">
        <f t="shared" si="101"/>
        <v>2.8571428571428572</v>
      </c>
      <c r="AT46" s="5">
        <f t="shared" si="159"/>
        <v>0.93290984861741155</v>
      </c>
      <c r="AU46" s="5">
        <f t="shared" si="102"/>
        <v>1.9242330085254458</v>
      </c>
      <c r="AV46" s="5">
        <f t="shared" si="160"/>
        <v>1.2840456208086799</v>
      </c>
      <c r="AW46" s="173">
        <f t="shared" si="103"/>
        <v>0.32651844701609406</v>
      </c>
      <c r="AX46" s="173">
        <f t="shared" si="161"/>
        <v>41.947033521332877</v>
      </c>
      <c r="AY46" s="173">
        <f t="shared" si="162"/>
        <v>0.36864836609087215</v>
      </c>
      <c r="AZ46" s="173">
        <f t="shared" si="104"/>
        <v>113.78602858365279</v>
      </c>
      <c r="BA46" s="460">
        <f t="shared" si="163"/>
        <v>0.13499754279993129</v>
      </c>
      <c r="BB46" s="5">
        <f t="shared" si="164"/>
        <v>10.971973372775979</v>
      </c>
      <c r="BC46" s="5"/>
      <c r="BD46" s="173">
        <f t="shared" si="105"/>
        <v>7.2233695454255642</v>
      </c>
      <c r="BE46" s="173">
        <f t="shared" si="165"/>
        <v>0.51870308305578217</v>
      </c>
      <c r="BF46" s="173"/>
      <c r="BG46" s="528">
        <f t="shared" si="166"/>
        <v>2.0870827035912609</v>
      </c>
      <c r="BH46" s="528">
        <f t="shared" si="167"/>
        <v>3.6253513372275887</v>
      </c>
      <c r="BI46" s="528">
        <f t="shared" si="168"/>
        <v>0.16428766692078706</v>
      </c>
      <c r="BJ46" s="528">
        <f t="shared" si="169"/>
        <v>3.0945956941365257E-2</v>
      </c>
      <c r="BK46">
        <f t="shared" si="170"/>
        <v>5.2806750081681557E-3</v>
      </c>
      <c r="BL46" s="460">
        <f t="shared" si="106"/>
        <v>169.56834192895519</v>
      </c>
      <c r="BM46" s="528">
        <f t="shared" si="171"/>
        <v>12.51096579461014</v>
      </c>
      <c r="BN46" s="460">
        <f t="shared" si="107"/>
        <v>12510.96579461014</v>
      </c>
      <c r="BO46" s="528">
        <f t="shared" si="172"/>
        <v>0.21352799999999997</v>
      </c>
      <c r="BP46" s="528"/>
      <c r="BR46" s="460">
        <f t="shared" si="109"/>
        <v>213.52799999999996</v>
      </c>
      <c r="BS46" s="528">
        <f t="shared" si="173"/>
        <v>1.5653120276934456</v>
      </c>
      <c r="BT46" s="528">
        <f t="shared" si="174"/>
        <v>8.0715866511472095E-3</v>
      </c>
      <c r="BU46" s="528">
        <f t="shared" si="175"/>
        <v>0.62729999999999986</v>
      </c>
      <c r="BV46" s="528">
        <f t="shared" si="176"/>
        <v>2.9495586634350413</v>
      </c>
      <c r="BW46" s="528">
        <f t="shared" si="177"/>
        <v>4.1947033521332884</v>
      </c>
      <c r="BX46" s="460">
        <f t="shared" si="110"/>
        <v>7144.2620155683298</v>
      </c>
      <c r="BY46" s="173">
        <f t="shared" si="45"/>
        <v>20.038324152107428</v>
      </c>
      <c r="BZ46" s="5">
        <f t="shared" si="111"/>
        <v>41.819999999999993</v>
      </c>
      <c r="CA46" s="173">
        <f t="shared" si="112"/>
        <v>0.67606099216600335</v>
      </c>
      <c r="CB46" s="5">
        <f t="shared" si="113"/>
        <v>67.606099216600342</v>
      </c>
      <c r="CE46" s="562">
        <f t="shared" si="178"/>
        <v>-50</v>
      </c>
      <c r="CF46">
        <f t="shared" si="179"/>
        <v>-50</v>
      </c>
      <c r="CG46" s="173">
        <f t="shared" si="180"/>
        <v>0.45009802853835917</v>
      </c>
      <c r="CI46" s="170">
        <v>41</v>
      </c>
      <c r="CJ46" s="217">
        <f t="shared" si="114"/>
        <v>0.24599999999999997</v>
      </c>
      <c r="CK46" s="217"/>
      <c r="CL46" s="217">
        <f t="shared" si="49"/>
        <v>41.819999999999993</v>
      </c>
      <c r="CM46" s="541">
        <f t="shared" si="50"/>
        <v>12.5</v>
      </c>
      <c r="CN46" s="172">
        <f t="shared" si="51"/>
        <v>8.5250000000000004</v>
      </c>
      <c r="CO46" s="443">
        <f t="shared" si="52"/>
        <v>21.024999999999999</v>
      </c>
      <c r="CP46" s="443"/>
      <c r="CQ46" s="217">
        <f t="shared" si="53"/>
        <v>0.40546967895362668</v>
      </c>
      <c r="CR46" s="172">
        <f t="shared" si="54"/>
        <v>170.84633868410626</v>
      </c>
      <c r="CS46" s="172">
        <f t="shared" si="115"/>
        <v>41.819999999999993</v>
      </c>
      <c r="CT46" s="217">
        <f t="shared" si="55"/>
        <v>1.0049784628476839</v>
      </c>
      <c r="CU46" s="217">
        <f t="shared" si="56"/>
        <v>170</v>
      </c>
      <c r="CV46" s="217">
        <f t="shared" si="57"/>
        <v>0.99379823272947732</v>
      </c>
      <c r="CW46" s="172">
        <f t="shared" si="58"/>
        <v>1443.8534815809571</v>
      </c>
      <c r="CX46" s="172">
        <f t="shared" si="59"/>
        <v>170</v>
      </c>
      <c r="CY46" s="217">
        <f t="shared" si="60"/>
        <v>16.502343695014659</v>
      </c>
      <c r="CZ46" s="217">
        <f t="shared" si="61"/>
        <v>0.66009374780058638</v>
      </c>
      <c r="DA46" s="217">
        <f t="shared" si="62"/>
        <v>0.96787939560203262</v>
      </c>
      <c r="DB46" s="197">
        <f t="shared" si="63"/>
        <v>350</v>
      </c>
      <c r="DC46" s="443">
        <f t="shared" si="116"/>
        <v>350</v>
      </c>
      <c r="DE46" s="217">
        <f t="shared" si="64"/>
        <v>28.962119925259049</v>
      </c>
      <c r="DF46" s="173">
        <f t="shared" si="65"/>
        <v>1.6986580601324954</v>
      </c>
      <c r="DG46" s="173">
        <f t="shared" si="66"/>
        <v>0.4304714614336958</v>
      </c>
      <c r="DH46" s="173"/>
      <c r="DI46" s="173">
        <f t="shared" si="67"/>
        <v>0.78201368523949166</v>
      </c>
      <c r="DJ46" s="545">
        <f t="shared" si="117"/>
        <v>943.71749999999986</v>
      </c>
      <c r="DK46" s="528">
        <f t="shared" si="68"/>
        <v>9.1234929944607357E-2</v>
      </c>
      <c r="DM46" s="173">
        <f t="shared" si="69"/>
        <v>21.894030497571052</v>
      </c>
      <c r="DN46" s="173">
        <f t="shared" si="70"/>
        <v>21.894030497571052</v>
      </c>
      <c r="DO46" s="173">
        <f t="shared" si="71"/>
        <v>7.5412571586946058</v>
      </c>
      <c r="DQ46" s="545">
        <f t="shared" si="72"/>
        <v>245.99999999999997</v>
      </c>
      <c r="DR46" s="460">
        <f t="shared" si="73"/>
        <v>350</v>
      </c>
      <c r="DT46">
        <f t="shared" si="74"/>
        <v>245.99999999999997</v>
      </c>
      <c r="DU46" s="460">
        <f t="shared" si="75"/>
        <v>350</v>
      </c>
      <c r="DV46" s="460"/>
      <c r="DW46" s="5">
        <f t="shared" si="118"/>
        <v>2.8571428571428572</v>
      </c>
      <c r="DX46" s="5">
        <f t="shared" si="76"/>
        <v>0.87576121990284206</v>
      </c>
      <c r="DY46" s="5">
        <f t="shared" si="119"/>
        <v>1.9813816372400153</v>
      </c>
      <c r="DZ46" s="5">
        <f t="shared" si="77"/>
        <v>1.2841073605613518</v>
      </c>
      <c r="EA46" s="173">
        <f t="shared" si="120"/>
        <v>0.30651642696599474</v>
      </c>
      <c r="EB46" s="173">
        <f t="shared" si="78"/>
        <v>41.942999999999991</v>
      </c>
      <c r="EC46" s="173">
        <f t="shared" si="79"/>
        <v>0.3795787624392763</v>
      </c>
      <c r="ED46" s="173">
        <f t="shared" si="121"/>
        <v>110.49880591438486</v>
      </c>
      <c r="EE46" s="460">
        <f t="shared" si="80"/>
        <v>0.12672780005652889</v>
      </c>
      <c r="EF46" s="5">
        <f t="shared" si="81"/>
        <v>10.60625664888031</v>
      </c>
      <c r="EG46" s="5"/>
      <c r="EH46" s="173">
        <f t="shared" si="122"/>
        <v>6.9982905385420029</v>
      </c>
      <c r="EI46" s="173">
        <f t="shared" si="82"/>
        <v>0.52632401303999643</v>
      </c>
      <c r="EJ46" s="173"/>
      <c r="EK46" s="528">
        <f t="shared" si="83"/>
        <v>1.9590428184738609</v>
      </c>
      <c r="EL46" s="528">
        <f t="shared" si="84"/>
        <v>4.430599165410027</v>
      </c>
      <c r="EM46" s="528">
        <f t="shared" si="85"/>
        <v>6.9999999999999993E-2</v>
      </c>
      <c r="EN46" s="528">
        <f t="shared" si="86"/>
        <v>3.094354375E-2</v>
      </c>
      <c r="EO46">
        <f t="shared" si="87"/>
        <v>5.6249999999999998E-3</v>
      </c>
      <c r="EP46" s="460">
        <f t="shared" si="123"/>
        <v>75.625</v>
      </c>
      <c r="EQ46" s="528">
        <f t="shared" si="88"/>
        <v>13.142636227859006</v>
      </c>
      <c r="ER46" s="460">
        <f t="shared" si="124"/>
        <v>13142.636227859006</v>
      </c>
      <c r="ES46" s="528">
        <f t="shared" si="125"/>
        <v>0.21352799999999997</v>
      </c>
      <c r="ET46" s="528"/>
      <c r="EV46" s="460">
        <f t="shared" si="126"/>
        <v>213.52799999999996</v>
      </c>
      <c r="EW46" s="528">
        <f t="shared" si="89"/>
        <v>1.4692821138553955</v>
      </c>
      <c r="EX46" s="528">
        <f t="shared" si="90"/>
        <v>8.3105090010757894E-3</v>
      </c>
      <c r="EY46" s="528">
        <f t="shared" si="91"/>
        <v>257.01259816880048</v>
      </c>
      <c r="EZ46" s="528">
        <f t="shared" si="92"/>
        <v>293.54387404276662</v>
      </c>
      <c r="FA46" s="528">
        <f t="shared" si="93"/>
        <v>4.1942999999999993</v>
      </c>
      <c r="FB46" s="460">
        <f t="shared" si="127"/>
        <v>297738.17404276662</v>
      </c>
      <c r="FC46" s="173">
        <f t="shared" si="128"/>
        <v>311.0943382706256</v>
      </c>
      <c r="FD46" s="5">
        <f t="shared" si="129"/>
        <v>41.819999999999993</v>
      </c>
      <c r="FE46" s="173">
        <f t="shared" si="130"/>
        <v>0.11849901085042096</v>
      </c>
      <c r="FF46" s="5">
        <f t="shared" si="131"/>
        <v>11.849901085042095</v>
      </c>
      <c r="FI46" s="562">
        <f t="shared" si="94"/>
        <v>-50</v>
      </c>
      <c r="FJ46">
        <f t="shared" si="95"/>
        <v>-50</v>
      </c>
      <c r="FL46">
        <f t="shared" si="181"/>
        <v>0.44943757619647323</v>
      </c>
    </row>
    <row r="47" spans="5:168">
      <c r="E47" s="170">
        <v>42</v>
      </c>
      <c r="F47" s="217">
        <f t="shared" si="182"/>
        <v>0.252</v>
      </c>
      <c r="G47" s="217"/>
      <c r="H47" s="217">
        <f t="shared" si="132"/>
        <v>42.84</v>
      </c>
      <c r="I47" s="541">
        <f t="shared" si="133"/>
        <v>11.725558265587397</v>
      </c>
      <c r="J47" s="172">
        <f t="shared" si="134"/>
        <v>8.5258297590011569</v>
      </c>
      <c r="K47" s="172">
        <f t="shared" si="135"/>
        <v>21.025829759001155</v>
      </c>
      <c r="L47" s="443"/>
      <c r="M47" s="217">
        <f t="shared" si="136"/>
        <v>0.42099980774879553</v>
      </c>
      <c r="N47" s="172">
        <f t="shared" si="137"/>
        <v>166.39976418448799</v>
      </c>
      <c r="O47" s="172">
        <f t="shared" si="98"/>
        <v>42.84</v>
      </c>
      <c r="P47" s="217">
        <f t="shared" si="138"/>
        <v>0.97882214226169406</v>
      </c>
      <c r="Q47" s="217">
        <f t="shared" si="139"/>
        <v>170</v>
      </c>
      <c r="R47" s="217">
        <f t="shared" si="140"/>
        <v>0.96793289716854825</v>
      </c>
      <c r="S47" s="172">
        <f t="shared" si="141"/>
        <v>1316.5776323538455</v>
      </c>
      <c r="T47" s="172">
        <f t="shared" si="142"/>
        <v>170</v>
      </c>
      <c r="U47" s="217">
        <f t="shared" si="143"/>
        <v>17.409320644278306</v>
      </c>
      <c r="V47" s="217">
        <f t="shared" si="11"/>
        <v>0.74236638674048572</v>
      </c>
      <c r="W47" s="217">
        <f t="shared" si="144"/>
        <v>1.0209751505944855</v>
      </c>
      <c r="X47" s="197">
        <f t="shared" si="145"/>
        <v>350</v>
      </c>
      <c r="Y47" s="443">
        <f t="shared" si="14"/>
        <v>350</v>
      </c>
      <c r="AA47" s="217">
        <f t="shared" si="146"/>
        <v>28.208327810212793</v>
      </c>
      <c r="AB47" s="173">
        <f t="shared" si="147"/>
        <v>1.6542863631795961</v>
      </c>
      <c r="AC47" s="173">
        <f t="shared" si="148"/>
        <v>0.40831570521467936</v>
      </c>
      <c r="AD47" s="173"/>
      <c r="AE47" s="173">
        <f t="shared" si="149"/>
        <v>0.78193757735173219</v>
      </c>
      <c r="AF47" s="545">
        <f t="shared" si="150"/>
        <v>966.82909467073125</v>
      </c>
      <c r="AG47" s="528">
        <f t="shared" si="151"/>
        <v>9.1226050691035399E-2</v>
      </c>
      <c r="AI47" s="173">
        <f t="shared" si="152"/>
        <v>22.160500764162947</v>
      </c>
      <c r="AJ47" s="173">
        <f t="shared" si="153"/>
        <v>22.160500764162947</v>
      </c>
      <c r="AK47" s="173">
        <f t="shared" si="154"/>
        <v>7.7386425413552695</v>
      </c>
      <c r="AM47" s="545">
        <f t="shared" si="155"/>
        <v>252</v>
      </c>
      <c r="AN47" s="460">
        <f t="shared" si="156"/>
        <v>350</v>
      </c>
      <c r="AP47">
        <f t="shared" si="157"/>
        <v>252</v>
      </c>
      <c r="AQ47" s="460">
        <f t="shared" si="158"/>
        <v>350</v>
      </c>
      <c r="AR47" s="460"/>
      <c r="AS47" s="5">
        <f t="shared" si="101"/>
        <v>2.8571428571428572</v>
      </c>
      <c r="AT47" s="5">
        <f t="shared" si="159"/>
        <v>0.94496570066094021</v>
      </c>
      <c r="AU47" s="5">
        <f t="shared" si="102"/>
        <v>1.912177156481917</v>
      </c>
      <c r="AV47" s="5">
        <f t="shared" si="160"/>
        <v>1.2996096210323087</v>
      </c>
      <c r="AW47" s="173">
        <f t="shared" si="103"/>
        <v>0.33073799523132907</v>
      </c>
      <c r="AX47" s="173">
        <f t="shared" si="161"/>
        <v>42.970181985365819</v>
      </c>
      <c r="AY47" s="173">
        <f t="shared" si="162"/>
        <v>0.37077952920253393</v>
      </c>
      <c r="AZ47" s="173">
        <f t="shared" si="104"/>
        <v>115.89146271851989</v>
      </c>
      <c r="BA47" s="460">
        <f t="shared" si="163"/>
        <v>0.1400772685685629</v>
      </c>
      <c r="BB47" s="5">
        <f t="shared" si="164"/>
        <v>11.17799835582759</v>
      </c>
      <c r="BC47" s="5"/>
      <c r="BD47" s="173">
        <f t="shared" si="105"/>
        <v>7.3580203974827647</v>
      </c>
      <c r="BE47" s="173">
        <f t="shared" si="165"/>
        <v>0.52334373790810218</v>
      </c>
      <c r="BF47" s="173"/>
      <c r="BG47" s="528">
        <f t="shared" si="166"/>
        <v>2.1656185667908967</v>
      </c>
      <c r="BH47" s="528">
        <f t="shared" si="167"/>
        <v>3.669300466976853</v>
      </c>
      <c r="BI47" s="528">
        <f t="shared" si="168"/>
        <v>0.16415781571822358</v>
      </c>
      <c r="BJ47" s="528">
        <f t="shared" si="169"/>
        <v>3.09459861938149E-2</v>
      </c>
      <c r="BK47">
        <f t="shared" si="170"/>
        <v>5.2765012195143289E-3</v>
      </c>
      <c r="BL47" s="460">
        <f t="shared" si="106"/>
        <v>169.43431693773792</v>
      </c>
      <c r="BM47" s="528">
        <f t="shared" si="171"/>
        <v>13.287866807606667</v>
      </c>
      <c r="BN47" s="460">
        <f t="shared" si="107"/>
        <v>13287.866807606668</v>
      </c>
      <c r="BO47" s="528">
        <f t="shared" si="172"/>
        <v>0.21873600000000001</v>
      </c>
      <c r="BP47" s="528"/>
      <c r="BR47" s="460">
        <f t="shared" si="109"/>
        <v>218.73600000000002</v>
      </c>
      <c r="BS47" s="528">
        <f t="shared" si="173"/>
        <v>1.6242139250931726</v>
      </c>
      <c r="BT47" s="528">
        <f t="shared" si="174"/>
        <v>8.2166600402287307E-3</v>
      </c>
      <c r="BU47" s="528">
        <f t="shared" si="175"/>
        <v>0.64260000000000006</v>
      </c>
      <c r="BV47" s="528">
        <f t="shared" si="176"/>
        <v>3.0673992313282055</v>
      </c>
      <c r="BW47" s="528">
        <f t="shared" si="177"/>
        <v>4.2970181985365823</v>
      </c>
      <c r="BX47" s="460">
        <f t="shared" si="110"/>
        <v>7364.4174298647877</v>
      </c>
      <c r="BY47" s="173">
        <f t="shared" si="45"/>
        <v>21.040454554409195</v>
      </c>
      <c r="BZ47" s="5">
        <f t="shared" si="111"/>
        <v>42.84</v>
      </c>
      <c r="CA47" s="173">
        <f t="shared" si="112"/>
        <v>0.67062766379521754</v>
      </c>
      <c r="CB47" s="5">
        <f t="shared" si="113"/>
        <v>67.062766379521747</v>
      </c>
      <c r="CE47" s="562">
        <f t="shared" si="178"/>
        <v>-50</v>
      </c>
      <c r="CF47">
        <f t="shared" si="179"/>
        <v>-50</v>
      </c>
      <c r="CG47" s="173">
        <f t="shared" si="180"/>
        <v>0.45555396141917792</v>
      </c>
      <c r="CI47" s="170">
        <v>42</v>
      </c>
      <c r="CJ47" s="217">
        <f t="shared" si="114"/>
        <v>0.252</v>
      </c>
      <c r="CK47" s="217"/>
      <c r="CL47" s="217">
        <f t="shared" si="49"/>
        <v>42.84</v>
      </c>
      <c r="CM47" s="541">
        <f t="shared" si="50"/>
        <v>12.5</v>
      </c>
      <c r="CN47" s="172">
        <f t="shared" si="51"/>
        <v>8.5250000000000004</v>
      </c>
      <c r="CO47" s="443">
        <f t="shared" si="52"/>
        <v>21.024999999999999</v>
      </c>
      <c r="CP47" s="443"/>
      <c r="CQ47" s="217">
        <f t="shared" si="53"/>
        <v>0.40546967895362668</v>
      </c>
      <c r="CR47" s="172">
        <f t="shared" si="54"/>
        <v>170.84633868410626</v>
      </c>
      <c r="CS47" s="172">
        <f t="shared" si="115"/>
        <v>42.84</v>
      </c>
      <c r="CT47" s="217">
        <f t="shared" si="55"/>
        <v>1.0049784628476839</v>
      </c>
      <c r="CU47" s="217">
        <f t="shared" si="56"/>
        <v>170</v>
      </c>
      <c r="CV47" s="217">
        <f t="shared" si="57"/>
        <v>0.99379823272947732</v>
      </c>
      <c r="CW47" s="172">
        <f t="shared" si="58"/>
        <v>1403.5281829910634</v>
      </c>
      <c r="CX47" s="172">
        <f t="shared" si="59"/>
        <v>170</v>
      </c>
      <c r="CY47" s="217">
        <f t="shared" si="60"/>
        <v>16.904839882697946</v>
      </c>
      <c r="CZ47" s="217">
        <f t="shared" si="61"/>
        <v>0.67619359530791778</v>
      </c>
      <c r="DA47" s="217">
        <f t="shared" si="62"/>
        <v>0.9914862101289118</v>
      </c>
      <c r="DB47" s="197">
        <f t="shared" si="63"/>
        <v>350</v>
      </c>
      <c r="DC47" s="443">
        <f t="shared" si="116"/>
        <v>350</v>
      </c>
      <c r="DE47" s="217">
        <f t="shared" si="64"/>
        <v>28.962119925259049</v>
      </c>
      <c r="DF47" s="173">
        <f t="shared" si="65"/>
        <v>1.6986580601324954</v>
      </c>
      <c r="DG47" s="173">
        <f t="shared" si="66"/>
        <v>0.4304714614336958</v>
      </c>
      <c r="DH47" s="173"/>
      <c r="DI47" s="173">
        <f t="shared" si="67"/>
        <v>0.78201368523949166</v>
      </c>
      <c r="DJ47" s="545">
        <f t="shared" si="117"/>
        <v>966.73500000000001</v>
      </c>
      <c r="DK47" s="528">
        <f t="shared" si="68"/>
        <v>9.1234929944607357E-2</v>
      </c>
      <c r="DM47" s="173">
        <f t="shared" si="69"/>
        <v>22.159422375143265</v>
      </c>
      <c r="DN47" s="173">
        <f t="shared" si="70"/>
        <v>22.159422375143265</v>
      </c>
      <c r="DO47" s="173">
        <f t="shared" si="71"/>
        <v>7.7378437346740236</v>
      </c>
      <c r="DQ47" s="545">
        <f t="shared" si="72"/>
        <v>252</v>
      </c>
      <c r="DR47" s="460">
        <f t="shared" si="73"/>
        <v>350</v>
      </c>
      <c r="DT47">
        <f t="shared" si="74"/>
        <v>252</v>
      </c>
      <c r="DU47" s="460">
        <f t="shared" si="75"/>
        <v>350</v>
      </c>
      <c r="DV47" s="460"/>
      <c r="DW47" s="5">
        <f t="shared" si="118"/>
        <v>2.8571428571428572</v>
      </c>
      <c r="DX47" s="5">
        <f t="shared" si="76"/>
        <v>0.88637689500573058</v>
      </c>
      <c r="DY47" s="5">
        <f t="shared" si="119"/>
        <v>1.9707659621371265</v>
      </c>
      <c r="DZ47" s="5">
        <f t="shared" si="77"/>
        <v>1.2996728665773174</v>
      </c>
      <c r="EA47" s="173">
        <f t="shared" si="120"/>
        <v>0.31023191325200572</v>
      </c>
      <c r="EB47" s="173">
        <f t="shared" si="78"/>
        <v>42.965999999999994</v>
      </c>
      <c r="EC47" s="173">
        <f t="shared" si="79"/>
        <v>0.38212155937858161</v>
      </c>
      <c r="ED47" s="173">
        <f t="shared" si="121"/>
        <v>112.44065911871785</v>
      </c>
      <c r="EE47" s="460">
        <f t="shared" si="80"/>
        <v>0.13139233973026124</v>
      </c>
      <c r="EF47" s="5">
        <f t="shared" si="81"/>
        <v>10.806734568698179</v>
      </c>
      <c r="EG47" s="5"/>
      <c r="EH47" s="173">
        <f t="shared" si="122"/>
        <v>7.1259216639736014</v>
      </c>
      <c r="EI47" s="173">
        <f t="shared" si="82"/>
        <v>0.53127497691617209</v>
      </c>
      <c r="EJ47" s="173"/>
      <c r="EK47" s="528">
        <f t="shared" si="83"/>
        <v>2.0311503824435322</v>
      </c>
      <c r="EL47" s="528">
        <f t="shared" si="84"/>
        <v>4.4843053585848516</v>
      </c>
      <c r="EM47" s="528">
        <f t="shared" si="85"/>
        <v>6.9999999999999993E-2</v>
      </c>
      <c r="EN47" s="528">
        <f t="shared" si="86"/>
        <v>3.094354375E-2</v>
      </c>
      <c r="EO47">
        <f t="shared" si="87"/>
        <v>5.6249999999999998E-3</v>
      </c>
      <c r="EP47" s="460">
        <f t="shared" si="123"/>
        <v>75.625</v>
      </c>
      <c r="EQ47" s="528">
        <f t="shared" si="88"/>
        <v>13.858626463178789</v>
      </c>
      <c r="ER47" s="460">
        <f t="shared" si="124"/>
        <v>13858.626463178789</v>
      </c>
      <c r="ES47" s="528">
        <f t="shared" si="125"/>
        <v>0.21873600000000001</v>
      </c>
      <c r="ET47" s="528"/>
      <c r="EV47" s="460">
        <f t="shared" si="126"/>
        <v>218.73600000000002</v>
      </c>
      <c r="EW47" s="528">
        <f t="shared" si="89"/>
        <v>1.5233627868326489</v>
      </c>
      <c r="EX47" s="528">
        <f t="shared" si="90"/>
        <v>8.4675930329183753E-3</v>
      </c>
      <c r="EY47" s="528">
        <f t="shared" si="91"/>
        <v>264.87209346077896</v>
      </c>
      <c r="EZ47" s="528">
        <f t="shared" si="92"/>
        <v>304.02926419246808</v>
      </c>
      <c r="FA47" s="528">
        <f t="shared" si="93"/>
        <v>4.2966000000000006</v>
      </c>
      <c r="FB47" s="460">
        <f t="shared" si="127"/>
        <v>308325.86419246811</v>
      </c>
      <c r="FC47" s="173">
        <f t="shared" si="128"/>
        <v>322.4032266556469</v>
      </c>
      <c r="FD47" s="5">
        <f t="shared" si="129"/>
        <v>42.84</v>
      </c>
      <c r="FE47" s="173">
        <f t="shared" si="130"/>
        <v>0.11729170282571663</v>
      </c>
      <c r="FF47" s="5">
        <f t="shared" si="131"/>
        <v>11.729170282571664</v>
      </c>
      <c r="FI47" s="562">
        <f t="shared" si="94"/>
        <v>-50</v>
      </c>
      <c r="FJ47">
        <f t="shared" si="95"/>
        <v>-50</v>
      </c>
      <c r="FL47">
        <f t="shared" si="181"/>
        <v>0.45488550330206112</v>
      </c>
    </row>
    <row r="48" spans="5:168">
      <c r="E48" s="170">
        <v>43</v>
      </c>
      <c r="F48" s="217">
        <f t="shared" si="182"/>
        <v>0.25800000000000001</v>
      </c>
      <c r="G48" s="217"/>
      <c r="H48" s="217">
        <f t="shared" si="132"/>
        <v>43.86</v>
      </c>
      <c r="I48" s="541">
        <f t="shared" si="133"/>
        <v>11.71639295562125</v>
      </c>
      <c r="J48" s="172">
        <f t="shared" si="134"/>
        <v>8.5258395789761199</v>
      </c>
      <c r="K48" s="172">
        <f t="shared" si="135"/>
        <v>21.025839578976118</v>
      </c>
      <c r="L48" s="443"/>
      <c r="M48" s="217">
        <f t="shared" si="136"/>
        <v>0.42119070999311309</v>
      </c>
      <c r="N48" s="172">
        <f t="shared" si="137"/>
        <v>166.34509236820693</v>
      </c>
      <c r="O48" s="172">
        <f t="shared" si="98"/>
        <v>43.86</v>
      </c>
      <c r="P48" s="217">
        <f t="shared" si="138"/>
        <v>0.97850054334239378</v>
      </c>
      <c r="Q48" s="217">
        <f t="shared" si="139"/>
        <v>170</v>
      </c>
      <c r="R48" s="217">
        <f t="shared" si="140"/>
        <v>0.96761487598753415</v>
      </c>
      <c r="S48" s="172">
        <f t="shared" si="141"/>
        <v>1279.5095344251147</v>
      </c>
      <c r="T48" s="172">
        <f t="shared" si="142"/>
        <v>170</v>
      </c>
      <c r="U48" s="217">
        <f t="shared" si="143"/>
        <v>17.82970691413265</v>
      </c>
      <c r="V48" s="217">
        <f t="shared" si="11"/>
        <v>0.7608872023013864</v>
      </c>
      <c r="W48" s="217">
        <f t="shared" si="144"/>
        <v>1.0456276328550065</v>
      </c>
      <c r="X48" s="197">
        <f t="shared" si="145"/>
        <v>350</v>
      </c>
      <c r="Y48" s="443">
        <f t="shared" si="14"/>
        <v>350</v>
      </c>
      <c r="AA48" s="217">
        <f t="shared" si="146"/>
        <v>28.199059738280308</v>
      </c>
      <c r="AB48" s="173">
        <f t="shared" si="147"/>
        <v>1.6537409293869667</v>
      </c>
      <c r="AC48" s="173">
        <f t="shared" si="148"/>
        <v>0.40804696851994487</v>
      </c>
      <c r="AD48" s="173"/>
      <c r="AE48" s="173">
        <f t="shared" si="149"/>
        <v>0.78193667672401557</v>
      </c>
      <c r="AF48" s="545">
        <f t="shared" si="150"/>
        <v>989.84997511912741</v>
      </c>
      <c r="AG48" s="528">
        <f t="shared" si="151"/>
        <v>9.1225945617801826E-2</v>
      </c>
      <c r="AI48" s="173">
        <f t="shared" si="152"/>
        <v>22.422777253120294</v>
      </c>
      <c r="AJ48" s="173">
        <f t="shared" si="153"/>
        <v>22.422777253120294</v>
      </c>
      <c r="AK48" s="173">
        <f t="shared" si="154"/>
        <v>7.9329214220644149</v>
      </c>
      <c r="AM48" s="545">
        <f t="shared" si="155"/>
        <v>258</v>
      </c>
      <c r="AN48" s="460">
        <f t="shared" si="156"/>
        <v>350</v>
      </c>
      <c r="AP48">
        <f t="shared" si="157"/>
        <v>258</v>
      </c>
      <c r="AQ48" s="460">
        <f t="shared" si="158"/>
        <v>350</v>
      </c>
      <c r="AR48" s="460"/>
      <c r="AS48" s="5">
        <f t="shared" si="101"/>
        <v>2.8571428571428572</v>
      </c>
      <c r="AT48" s="5">
        <f t="shared" si="159"/>
        <v>0.95689762788138533</v>
      </c>
      <c r="AU48" s="5">
        <f t="shared" si="102"/>
        <v>1.900245229261472</v>
      </c>
      <c r="AV48" s="5">
        <f t="shared" si="160"/>
        <v>1.3149893946170799</v>
      </c>
      <c r="AW48" s="173">
        <f t="shared" si="103"/>
        <v>0.33491416975848487</v>
      </c>
      <c r="AX48" s="173">
        <f t="shared" si="161"/>
        <v>43.993332227516781</v>
      </c>
      <c r="AY48" s="173">
        <f t="shared" si="162"/>
        <v>0.37282678564280181</v>
      </c>
      <c r="AZ48" s="173">
        <f t="shared" si="104"/>
        <v>117.99938717296442</v>
      </c>
      <c r="BA48" s="460">
        <f t="shared" si="163"/>
        <v>0.14522328705493967</v>
      </c>
      <c r="BB48" s="5">
        <f t="shared" si="164"/>
        <v>11.381626556377496</v>
      </c>
      <c r="BC48" s="5"/>
      <c r="BD48" s="173">
        <f t="shared" si="105"/>
        <v>7.4919614922580866</v>
      </c>
      <c r="BE48" s="173">
        <f t="shared" si="165"/>
        <v>0.52788294057380347</v>
      </c>
      <c r="BF48" s="173"/>
      <c r="BG48" s="528">
        <f t="shared" si="166"/>
        <v>2.2451794800591207</v>
      </c>
      <c r="BH48" s="528">
        <f t="shared" si="167"/>
        <v>3.7127295248338736</v>
      </c>
      <c r="BI48" s="528">
        <f t="shared" si="168"/>
        <v>0.16402950137869751</v>
      </c>
      <c r="BJ48" s="528">
        <f t="shared" si="169"/>
        <v>3.0946015100058708E-2</v>
      </c>
      <c r="BK48">
        <f t="shared" si="170"/>
        <v>5.2723768300295629E-3</v>
      </c>
      <c r="BL48" s="460">
        <f t="shared" si="106"/>
        <v>169.30187820872709</v>
      </c>
      <c r="BM48" s="528">
        <f t="shared" si="171"/>
        <v>14.135932126051387</v>
      </c>
      <c r="BN48" s="460">
        <f t="shared" si="107"/>
        <v>14135.932126051386</v>
      </c>
      <c r="BO48" s="528">
        <f t="shared" si="172"/>
        <v>0.22394399999999998</v>
      </c>
      <c r="BP48" s="528"/>
      <c r="BR48" s="460">
        <f t="shared" si="109"/>
        <v>223.94399999999999</v>
      </c>
      <c r="BS48" s="528">
        <f t="shared" si="173"/>
        <v>1.6838846100443405</v>
      </c>
      <c r="BT48" s="528">
        <f t="shared" si="174"/>
        <v>8.3598119684653721E-3</v>
      </c>
      <c r="BU48" s="528">
        <f t="shared" si="175"/>
        <v>0.65789999999999993</v>
      </c>
      <c r="BV48" s="528">
        <f t="shared" si="176"/>
        <v>3.1878532311900249</v>
      </c>
      <c r="BW48" s="528">
        <f t="shared" si="177"/>
        <v>4.3993332227516779</v>
      </c>
      <c r="BX48" s="460">
        <f t="shared" si="110"/>
        <v>7587.1864539417029</v>
      </c>
      <c r="BY48" s="173">
        <f t="shared" si="45"/>
        <v>22.116364458201815</v>
      </c>
      <c r="BZ48" s="5">
        <f t="shared" si="111"/>
        <v>43.86</v>
      </c>
      <c r="CA48" s="173">
        <f t="shared" si="112"/>
        <v>0.66478352301128607</v>
      </c>
      <c r="CB48" s="5">
        <f t="shared" si="113"/>
        <v>66.478352301128609</v>
      </c>
      <c r="CE48" s="562">
        <f t="shared" si="178"/>
        <v>-50</v>
      </c>
      <c r="CF48">
        <f t="shared" si="179"/>
        <v>-50</v>
      </c>
      <c r="CG48" s="173">
        <f t="shared" si="180"/>
        <v>0.46094532022279394</v>
      </c>
      <c r="CI48" s="170">
        <v>43</v>
      </c>
      <c r="CJ48" s="217">
        <f t="shared" si="114"/>
        <v>0.25800000000000001</v>
      </c>
      <c r="CK48" s="217"/>
      <c r="CL48" s="217">
        <f t="shared" si="49"/>
        <v>43.86</v>
      </c>
      <c r="CM48" s="541">
        <f t="shared" si="50"/>
        <v>12.5</v>
      </c>
      <c r="CN48" s="172">
        <f t="shared" si="51"/>
        <v>8.5250000000000004</v>
      </c>
      <c r="CO48" s="443">
        <f t="shared" si="52"/>
        <v>21.024999999999999</v>
      </c>
      <c r="CP48" s="443"/>
      <c r="CQ48" s="217">
        <f t="shared" si="53"/>
        <v>0.40546967895362668</v>
      </c>
      <c r="CR48" s="172">
        <f t="shared" si="54"/>
        <v>170.84633868410626</v>
      </c>
      <c r="CS48" s="172">
        <f t="shared" si="115"/>
        <v>43.86</v>
      </c>
      <c r="CT48" s="217">
        <f t="shared" si="55"/>
        <v>1.0049784628476839</v>
      </c>
      <c r="CU48" s="217">
        <f t="shared" si="56"/>
        <v>170</v>
      </c>
      <c r="CV48" s="217">
        <f t="shared" si="57"/>
        <v>0.99379823272947732</v>
      </c>
      <c r="CW48" s="172">
        <f t="shared" si="58"/>
        <v>1365.078616393178</v>
      </c>
      <c r="CX48" s="172">
        <f t="shared" si="59"/>
        <v>170</v>
      </c>
      <c r="CY48" s="217">
        <f t="shared" si="60"/>
        <v>17.307336070381229</v>
      </c>
      <c r="CZ48" s="217">
        <f t="shared" si="61"/>
        <v>0.69229344281524918</v>
      </c>
      <c r="DA48" s="217">
        <f t="shared" si="62"/>
        <v>1.0150930246557905</v>
      </c>
      <c r="DB48" s="197">
        <f t="shared" si="63"/>
        <v>350</v>
      </c>
      <c r="DC48" s="443">
        <f t="shared" si="116"/>
        <v>350</v>
      </c>
      <c r="DE48" s="217">
        <f t="shared" si="64"/>
        <v>28.962119925259049</v>
      </c>
      <c r="DF48" s="173">
        <f t="shared" si="65"/>
        <v>1.6986580601324954</v>
      </c>
      <c r="DG48" s="173">
        <f t="shared" si="66"/>
        <v>0.4304714614336958</v>
      </c>
      <c r="DH48" s="173"/>
      <c r="DI48" s="173">
        <f t="shared" si="67"/>
        <v>0.78201368523949166</v>
      </c>
      <c r="DJ48" s="545">
        <f t="shared" si="117"/>
        <v>989.75250000000005</v>
      </c>
      <c r="DK48" s="528">
        <f t="shared" si="68"/>
        <v>9.1234929944607357E-2</v>
      </c>
      <c r="DM48" s="173">
        <f t="shared" si="69"/>
        <v>22.421673188489493</v>
      </c>
      <c r="DN48" s="173">
        <f t="shared" si="70"/>
        <v>22.421673188489493</v>
      </c>
      <c r="DO48" s="173">
        <f t="shared" si="71"/>
        <v>7.9321035964119693</v>
      </c>
      <c r="DQ48" s="545">
        <f t="shared" si="72"/>
        <v>258</v>
      </c>
      <c r="DR48" s="460">
        <f t="shared" si="73"/>
        <v>350</v>
      </c>
      <c r="DT48">
        <f t="shared" si="74"/>
        <v>258</v>
      </c>
      <c r="DU48" s="460">
        <f t="shared" si="75"/>
        <v>350</v>
      </c>
      <c r="DV48" s="460"/>
      <c r="DW48" s="5">
        <f t="shared" si="118"/>
        <v>2.8571428571428572</v>
      </c>
      <c r="DX48" s="5">
        <f t="shared" si="76"/>
        <v>0.89686692753957975</v>
      </c>
      <c r="DY48" s="5">
        <f t="shared" si="119"/>
        <v>1.9602759296032775</v>
      </c>
      <c r="DZ48" s="5">
        <f t="shared" si="77"/>
        <v>1.3150541459524627</v>
      </c>
      <c r="EA48" s="173">
        <f t="shared" si="120"/>
        <v>0.3139034246388529</v>
      </c>
      <c r="EB48" s="173">
        <f t="shared" si="78"/>
        <v>43.98899999999999</v>
      </c>
      <c r="EC48" s="173">
        <f t="shared" si="79"/>
        <v>0.38458582971223731</v>
      </c>
      <c r="ED48" s="173">
        <f t="shared" si="121"/>
        <v>114.38018928808256</v>
      </c>
      <c r="EE48" s="460">
        <f t="shared" si="80"/>
        <v>0.13611274547365387</v>
      </c>
      <c r="EF48" s="5">
        <f t="shared" si="81"/>
        <v>11.005145890867167</v>
      </c>
      <c r="EG48" s="5"/>
      <c r="EH48" s="173">
        <f t="shared" si="122"/>
        <v>7.2527952565925533</v>
      </c>
      <c r="EI48" s="173">
        <f t="shared" si="82"/>
        <v>0.53612989056545668</v>
      </c>
      <c r="EJ48" s="173"/>
      <c r="EK48" s="528">
        <f t="shared" si="83"/>
        <v>2.1041215613620579</v>
      </c>
      <c r="EL48" s="528">
        <f t="shared" si="84"/>
        <v>4.5373759083344192</v>
      </c>
      <c r="EM48" s="528">
        <f t="shared" si="85"/>
        <v>6.9999999999999993E-2</v>
      </c>
      <c r="EN48" s="528">
        <f t="shared" si="86"/>
        <v>3.094354375E-2</v>
      </c>
      <c r="EO48">
        <f t="shared" si="87"/>
        <v>5.6249999999999998E-3</v>
      </c>
      <c r="EP48" s="460">
        <f t="shared" si="123"/>
        <v>75.625</v>
      </c>
      <c r="EQ48" s="528">
        <f t="shared" si="88"/>
        <v>14.63058101945675</v>
      </c>
      <c r="ER48" s="460">
        <f t="shared" si="124"/>
        <v>14630.581019456751</v>
      </c>
      <c r="ES48" s="528">
        <f t="shared" si="125"/>
        <v>0.22394399999999998</v>
      </c>
      <c r="ET48" s="528"/>
      <c r="EV48" s="460">
        <f t="shared" si="126"/>
        <v>223.94399999999999</v>
      </c>
      <c r="EW48" s="528">
        <f t="shared" si="89"/>
        <v>1.5780911710215433</v>
      </c>
      <c r="EX48" s="528">
        <f t="shared" si="90"/>
        <v>8.623057786731855E-3</v>
      </c>
      <c r="EY48" s="528">
        <f t="shared" si="91"/>
        <v>272.77851486524719</v>
      </c>
      <c r="EZ48" s="528">
        <f t="shared" si="92"/>
        <v>314.69216314557218</v>
      </c>
      <c r="FA48" s="528">
        <f t="shared" si="93"/>
        <v>4.3989000000000011</v>
      </c>
      <c r="FB48" s="460">
        <f t="shared" si="127"/>
        <v>319091.0631455722</v>
      </c>
      <c r="FC48" s="173">
        <f t="shared" si="128"/>
        <v>333.94558816502894</v>
      </c>
      <c r="FD48" s="5">
        <f t="shared" si="129"/>
        <v>43.86</v>
      </c>
      <c r="FE48" s="173">
        <f t="shared" si="130"/>
        <v>0.11609145384276727</v>
      </c>
      <c r="FF48" s="5">
        <f t="shared" si="131"/>
        <v>11.609145384276728</v>
      </c>
      <c r="FI48" s="562">
        <f t="shared" si="94"/>
        <v>-50</v>
      </c>
      <c r="FJ48">
        <f t="shared" si="95"/>
        <v>-50</v>
      </c>
      <c r="FL48">
        <f t="shared" si="181"/>
        <v>0.46026895108336202</v>
      </c>
    </row>
    <row r="49" spans="5:168">
      <c r="E49" s="170">
        <v>44</v>
      </c>
      <c r="F49" s="217">
        <f t="shared" si="182"/>
        <v>0.26400000000000001</v>
      </c>
      <c r="G49" s="217"/>
      <c r="H49" s="217">
        <f t="shared" si="132"/>
        <v>44.88</v>
      </c>
      <c r="I49" s="541">
        <f t="shared" si="133"/>
        <v>11.707333613681014</v>
      </c>
      <c r="J49" s="172">
        <f t="shared" si="134"/>
        <v>8.5258492854139138</v>
      </c>
      <c r="K49" s="172">
        <f t="shared" si="135"/>
        <v>21.025849285413912</v>
      </c>
      <c r="L49" s="443"/>
      <c r="M49" s="217">
        <f t="shared" si="136"/>
        <v>0.42137957483358585</v>
      </c>
      <c r="N49" s="172">
        <f t="shared" si="137"/>
        <v>166.29100374164142</v>
      </c>
      <c r="O49" s="172">
        <f t="shared" si="98"/>
        <v>44.88</v>
      </c>
      <c r="P49" s="217">
        <f t="shared" si="138"/>
        <v>0.97818237495083182</v>
      </c>
      <c r="Q49" s="217">
        <f t="shared" si="139"/>
        <v>170</v>
      </c>
      <c r="R49" s="217">
        <f t="shared" si="140"/>
        <v>0.9673002471701676</v>
      </c>
      <c r="S49" s="172">
        <f t="shared" si="141"/>
        <v>1244.1460778699375</v>
      </c>
      <c r="T49" s="172">
        <f t="shared" si="142"/>
        <v>170</v>
      </c>
      <c r="U49" s="217">
        <f t="shared" si="143"/>
        <v>18.250306316032471</v>
      </c>
      <c r="V49" s="217">
        <f t="shared" si="11"/>
        <v>0.77943906436156563</v>
      </c>
      <c r="W49" s="217">
        <f t="shared" si="144"/>
        <v>1.0702925717473819</v>
      </c>
      <c r="X49" s="197">
        <f t="shared" si="145"/>
        <v>350</v>
      </c>
      <c r="Y49" s="443">
        <f t="shared" si="14"/>
        <v>350</v>
      </c>
      <c r="AA49" s="217">
        <f t="shared" si="146"/>
        <v>28.189890529855287</v>
      </c>
      <c r="AB49" s="173">
        <f t="shared" si="147"/>
        <v>1.6532013167346717</v>
      </c>
      <c r="AC49" s="173">
        <f t="shared" si="148"/>
        <v>0.40778118624742637</v>
      </c>
      <c r="AD49" s="173"/>
      <c r="AE49" s="173">
        <f t="shared" si="149"/>
        <v>0.7819357865112686</v>
      </c>
      <c r="AF49" s="545">
        <f t="shared" si="150"/>
        <v>1012.8708951071728</v>
      </c>
      <c r="AG49" s="528">
        <f t="shared" si="151"/>
        <v>9.1225841759648027E-2</v>
      </c>
      <c r="AI49" s="173">
        <f t="shared" si="152"/>
        <v>22.682021635014426</v>
      </c>
      <c r="AJ49" s="173">
        <f t="shared" si="153"/>
        <v>22.682021635014426</v>
      </c>
      <c r="AK49" s="173">
        <f t="shared" si="154"/>
        <v>8.1249542975415494</v>
      </c>
      <c r="AM49" s="545">
        <f t="shared" si="155"/>
        <v>264</v>
      </c>
      <c r="AN49" s="460">
        <f t="shared" si="156"/>
        <v>350</v>
      </c>
      <c r="AP49">
        <f t="shared" si="157"/>
        <v>264</v>
      </c>
      <c r="AQ49" s="460">
        <f t="shared" si="158"/>
        <v>350</v>
      </c>
      <c r="AR49" s="460"/>
      <c r="AS49" s="5">
        <f t="shared" si="101"/>
        <v>2.8571428571428572</v>
      </c>
      <c r="AT49" s="5">
        <f t="shared" si="159"/>
        <v>0.96870997203447584</v>
      </c>
      <c r="AU49" s="5">
        <f t="shared" si="102"/>
        <v>1.8884328851083814</v>
      </c>
      <c r="AV49" s="5">
        <f t="shared" si="160"/>
        <v>1.3301913320130463</v>
      </c>
      <c r="AW49" s="173">
        <f t="shared" si="103"/>
        <v>0.33904849021206651</v>
      </c>
      <c r="AX49" s="173">
        <f t="shared" si="161"/>
        <v>45.016484226985476</v>
      </c>
      <c r="AY49" s="173">
        <f t="shared" si="162"/>
        <v>0.37479291111763391</v>
      </c>
      <c r="AZ49" s="173">
        <f t="shared" si="104"/>
        <v>120.11028728570705</v>
      </c>
      <c r="BA49" s="460">
        <f t="shared" si="163"/>
        <v>0.15043496036300097</v>
      </c>
      <c r="BB49" s="5">
        <f t="shared" si="164"/>
        <v>11.582875579405815</v>
      </c>
      <c r="BC49" s="5"/>
      <c r="BD49" s="173">
        <f t="shared" si="105"/>
        <v>7.6252140670815276</v>
      </c>
      <c r="BE49" s="173">
        <f t="shared" si="165"/>
        <v>0.53232386503644602</v>
      </c>
      <c r="BF49" s="173"/>
      <c r="BG49" s="528">
        <f t="shared" si="166"/>
        <v>2.3257555827527203</v>
      </c>
      <c r="BH49" s="528">
        <f t="shared" si="167"/>
        <v>3.7556565510421986</v>
      </c>
      <c r="BI49" s="528">
        <f t="shared" si="168"/>
        <v>0.16390267059153418</v>
      </c>
      <c r="BJ49" s="528">
        <f t="shared" si="169"/>
        <v>3.0946043672105846E-2</v>
      </c>
      <c r="BK49">
        <f t="shared" si="170"/>
        <v>5.268300126156456E-3</v>
      </c>
      <c r="BL49" s="460">
        <f t="shared" si="106"/>
        <v>169.17097071769064</v>
      </c>
      <c r="BM49" s="528">
        <f t="shared" si="171"/>
        <v>15.065500783915617</v>
      </c>
      <c r="BN49" s="460">
        <f t="shared" si="107"/>
        <v>15065.500783915617</v>
      </c>
      <c r="BO49" s="528">
        <f t="shared" si="172"/>
        <v>0.22915199999999999</v>
      </c>
      <c r="BP49" s="528"/>
      <c r="BR49" s="460">
        <f t="shared" si="109"/>
        <v>229.15199999999999</v>
      </c>
      <c r="BS49" s="528">
        <f t="shared" si="173"/>
        <v>1.7443166870645403</v>
      </c>
      <c r="BT49" s="528">
        <f t="shared" si="174"/>
        <v>8.5010609186202107E-3</v>
      </c>
      <c r="BU49" s="528">
        <f t="shared" si="175"/>
        <v>0.67320000000000002</v>
      </c>
      <c r="BV49" s="528">
        <f t="shared" si="176"/>
        <v>3.3109771714405678</v>
      </c>
      <c r="BW49" s="528">
        <f t="shared" si="177"/>
        <v>4.5016484226985467</v>
      </c>
      <c r="BX49" s="460">
        <f t="shared" si="110"/>
        <v>7812.6255941391146</v>
      </c>
      <c r="BY49" s="173">
        <f t="shared" si="45"/>
        <v>23.276449348772424</v>
      </c>
      <c r="BZ49" s="5">
        <f t="shared" si="111"/>
        <v>44.88</v>
      </c>
      <c r="CA49" s="173">
        <f t="shared" si="112"/>
        <v>0.65848500661087239</v>
      </c>
      <c r="CB49" s="5">
        <f t="shared" si="113"/>
        <v>65.848500661087243</v>
      </c>
      <c r="CE49" s="562">
        <f t="shared" si="178"/>
        <v>-50</v>
      </c>
      <c r="CF49">
        <f t="shared" si="179"/>
        <v>-50</v>
      </c>
      <c r="CG49" s="173">
        <f t="shared" si="180"/>
        <v>0.46627434489352121</v>
      </c>
      <c r="CI49" s="170">
        <v>44</v>
      </c>
      <c r="CJ49" s="217">
        <f t="shared" si="114"/>
        <v>0.26400000000000001</v>
      </c>
      <c r="CK49" s="217"/>
      <c r="CL49" s="217">
        <f t="shared" si="49"/>
        <v>44.88</v>
      </c>
      <c r="CM49" s="541">
        <f t="shared" si="50"/>
        <v>12.5</v>
      </c>
      <c r="CN49" s="172">
        <f t="shared" si="51"/>
        <v>8.5250000000000004</v>
      </c>
      <c r="CO49" s="443">
        <f t="shared" si="52"/>
        <v>21.024999999999999</v>
      </c>
      <c r="CP49" s="443"/>
      <c r="CQ49" s="217">
        <f t="shared" si="53"/>
        <v>0.40546967895362668</v>
      </c>
      <c r="CR49" s="172">
        <f t="shared" si="54"/>
        <v>170.84633868410626</v>
      </c>
      <c r="CS49" s="172">
        <f t="shared" si="115"/>
        <v>44.88</v>
      </c>
      <c r="CT49" s="217">
        <f t="shared" si="55"/>
        <v>1.0049784628476839</v>
      </c>
      <c r="CU49" s="217">
        <f t="shared" si="56"/>
        <v>170</v>
      </c>
      <c r="CV49" s="217">
        <f t="shared" si="57"/>
        <v>0.99379823272947732</v>
      </c>
      <c r="CW49" s="172">
        <f t="shared" si="58"/>
        <v>1328.3768926771215</v>
      </c>
      <c r="CX49" s="172">
        <f t="shared" si="59"/>
        <v>170</v>
      </c>
      <c r="CY49" s="217">
        <f t="shared" si="60"/>
        <v>17.709832258064516</v>
      </c>
      <c r="CZ49" s="217">
        <f t="shared" si="61"/>
        <v>0.70839329032258047</v>
      </c>
      <c r="DA49" s="217">
        <f t="shared" si="62"/>
        <v>1.0386998391826692</v>
      </c>
      <c r="DB49" s="197">
        <f t="shared" si="63"/>
        <v>350</v>
      </c>
      <c r="DC49" s="443">
        <f t="shared" si="116"/>
        <v>350</v>
      </c>
      <c r="DE49" s="217">
        <f t="shared" si="64"/>
        <v>28.962119925259049</v>
      </c>
      <c r="DF49" s="173">
        <f t="shared" si="65"/>
        <v>1.6986580601324954</v>
      </c>
      <c r="DG49" s="173">
        <f t="shared" si="66"/>
        <v>0.4304714614336958</v>
      </c>
      <c r="DH49" s="173"/>
      <c r="DI49" s="173">
        <f t="shared" si="67"/>
        <v>0.78201368523949166</v>
      </c>
      <c r="DJ49" s="545">
        <f t="shared" si="117"/>
        <v>1012.77</v>
      </c>
      <c r="DK49" s="528">
        <f t="shared" si="68"/>
        <v>9.1234929944607357E-2</v>
      </c>
      <c r="DM49" s="173">
        <f t="shared" si="69"/>
        <v>22.680891894783528</v>
      </c>
      <c r="DN49" s="173">
        <f t="shared" si="70"/>
        <v>22.680891894783528</v>
      </c>
      <c r="DO49" s="173">
        <f t="shared" si="71"/>
        <v>8.1241174529260682</v>
      </c>
      <c r="DQ49" s="545">
        <f t="shared" si="72"/>
        <v>264</v>
      </c>
      <c r="DR49" s="460">
        <f t="shared" si="73"/>
        <v>350</v>
      </c>
      <c r="DT49">
        <f t="shared" si="74"/>
        <v>264</v>
      </c>
      <c r="DU49" s="460">
        <f t="shared" si="75"/>
        <v>350</v>
      </c>
      <c r="DV49" s="460"/>
      <c r="DW49" s="5">
        <f t="shared" si="118"/>
        <v>2.8571428571428572</v>
      </c>
      <c r="DX49" s="5">
        <f t="shared" si="76"/>
        <v>0.90723567579134101</v>
      </c>
      <c r="DY49" s="5">
        <f t="shared" si="119"/>
        <v>1.9499071813515161</v>
      </c>
      <c r="DZ49" s="5">
        <f t="shared" si="77"/>
        <v>1.3302575891368635</v>
      </c>
      <c r="EA49" s="173">
        <f t="shared" si="120"/>
        <v>0.31753248652696936</v>
      </c>
      <c r="EB49" s="173">
        <f t="shared" si="78"/>
        <v>45.011999999999993</v>
      </c>
      <c r="EC49" s="173">
        <f t="shared" si="79"/>
        <v>0.38697429736958827</v>
      </c>
      <c r="ED49" s="173">
        <f t="shared" si="121"/>
        <v>116.31780277388887</v>
      </c>
      <c r="EE49" s="460">
        <f t="shared" si="80"/>
        <v>0.14088836376994943</v>
      </c>
      <c r="EF49" s="5">
        <f t="shared" si="81"/>
        <v>11.201514790279173</v>
      </c>
      <c r="EG49" s="5"/>
      <c r="EH49" s="173">
        <f t="shared" si="122"/>
        <v>7.3789332778046663</v>
      </c>
      <c r="EI49" s="173">
        <f t="shared" si="82"/>
        <v>0.54089192403841779</v>
      </c>
      <c r="EJ49" s="173"/>
      <c r="EK49" s="528">
        <f t="shared" si="83"/>
        <v>2.1779462527317248</v>
      </c>
      <c r="EL49" s="528">
        <f t="shared" si="84"/>
        <v>4.5898328638453023</v>
      </c>
      <c r="EM49" s="528">
        <f t="shared" si="85"/>
        <v>6.9999999999999993E-2</v>
      </c>
      <c r="EN49" s="528">
        <f t="shared" si="86"/>
        <v>3.094354375E-2</v>
      </c>
      <c r="EO49">
        <f t="shared" si="87"/>
        <v>5.6249999999999998E-3</v>
      </c>
      <c r="EP49" s="460">
        <f t="shared" si="123"/>
        <v>75.625</v>
      </c>
      <c r="EQ49" s="528">
        <f t="shared" si="88"/>
        <v>15.465459684781772</v>
      </c>
      <c r="ER49" s="460">
        <f t="shared" si="124"/>
        <v>15465.459684781772</v>
      </c>
      <c r="ES49" s="528">
        <f t="shared" si="125"/>
        <v>0.22915199999999999</v>
      </c>
      <c r="ET49" s="528"/>
      <c r="EV49" s="460">
        <f t="shared" si="126"/>
        <v>229.15199999999999</v>
      </c>
      <c r="EW49" s="528">
        <f t="shared" si="89"/>
        <v>1.6334596895487934</v>
      </c>
      <c r="EX49" s="528">
        <f t="shared" si="90"/>
        <v>8.7769222046994461E-3</v>
      </c>
      <c r="EY49" s="528">
        <f t="shared" si="91"/>
        <v>280.73104136938002</v>
      </c>
      <c r="EZ49" s="528">
        <f t="shared" si="92"/>
        <v>325.53598362860015</v>
      </c>
      <c r="FA49" s="528">
        <f t="shared" si="93"/>
        <v>4.5011999999999999</v>
      </c>
      <c r="FB49" s="460">
        <f t="shared" si="127"/>
        <v>330037.18362860015</v>
      </c>
      <c r="FC49" s="173">
        <f t="shared" si="128"/>
        <v>345.73179531338189</v>
      </c>
      <c r="FD49" s="5">
        <f t="shared" si="129"/>
        <v>44.88</v>
      </c>
      <c r="FE49" s="173">
        <f t="shared" si="130"/>
        <v>0.11489668396724544</v>
      </c>
      <c r="FF49" s="5">
        <f t="shared" si="131"/>
        <v>11.489668396724543</v>
      </c>
      <c r="FI49" s="562">
        <f t="shared" si="94"/>
        <v>-50</v>
      </c>
      <c r="FJ49">
        <f t="shared" si="95"/>
        <v>-50</v>
      </c>
      <c r="FL49">
        <f t="shared" si="181"/>
        <v>0.46559015619790234</v>
      </c>
    </row>
    <row r="50" spans="5:168">
      <c r="E50" s="170">
        <v>45</v>
      </c>
      <c r="F50" s="217">
        <f t="shared" si="182"/>
        <v>0.27</v>
      </c>
      <c r="G50" s="217"/>
      <c r="H50" s="217">
        <f t="shared" si="132"/>
        <v>45.900000000000006</v>
      </c>
      <c r="I50" s="541">
        <f t="shared" si="133"/>
        <v>11.698376647046757</v>
      </c>
      <c r="J50" s="172">
        <f t="shared" si="134"/>
        <v>8.5258588821638792</v>
      </c>
      <c r="K50" s="172">
        <f t="shared" si="135"/>
        <v>21.025858882163881</v>
      </c>
      <c r="L50" s="443"/>
      <c r="M50" s="217">
        <f t="shared" si="136"/>
        <v>0.42156647156875965</v>
      </c>
      <c r="N50" s="172">
        <f t="shared" si="137"/>
        <v>166.237478468246</v>
      </c>
      <c r="O50" s="172">
        <f t="shared" si="98"/>
        <v>45.900000000000006</v>
      </c>
      <c r="P50" s="217">
        <f t="shared" si="138"/>
        <v>0.97786752040144709</v>
      </c>
      <c r="Q50" s="217">
        <f t="shared" si="139"/>
        <v>170</v>
      </c>
      <c r="R50" s="217">
        <f t="shared" si="140"/>
        <v>0.96698889532899601</v>
      </c>
      <c r="S50" s="172">
        <f t="shared" si="141"/>
        <v>1210.3731086450248</v>
      </c>
      <c r="T50" s="172">
        <f t="shared" si="142"/>
        <v>170</v>
      </c>
      <c r="U50" s="217">
        <f t="shared" si="143"/>
        <v>18.671116851214517</v>
      </c>
      <c r="V50" s="217">
        <f t="shared" si="11"/>
        <v>0.79802170055483812</v>
      </c>
      <c r="W50" s="217">
        <f t="shared" si="144"/>
        <v>1.0949698505023668</v>
      </c>
      <c r="X50" s="197">
        <f t="shared" si="145"/>
        <v>350</v>
      </c>
      <c r="Y50" s="443">
        <f t="shared" si="14"/>
        <v>350</v>
      </c>
      <c r="AA50" s="217">
        <f t="shared" si="146"/>
        <v>28.180816822206257</v>
      </c>
      <c r="AB50" s="173">
        <f t="shared" si="147"/>
        <v>1.6526673272273251</v>
      </c>
      <c r="AC50" s="173">
        <f t="shared" si="148"/>
        <v>0.40751825814558651</v>
      </c>
      <c r="AD50" s="173"/>
      <c r="AE50" s="173">
        <f t="shared" si="149"/>
        <v>0.78193490636038465</v>
      </c>
      <c r="AF50" s="545">
        <f t="shared" si="150"/>
        <v>1035.8918541829114</v>
      </c>
      <c r="AG50" s="528">
        <f t="shared" si="151"/>
        <v>9.1225739075378204E-2</v>
      </c>
      <c r="AI50" s="173">
        <f t="shared" si="152"/>
        <v>22.938336709830168</v>
      </c>
      <c r="AJ50" s="173">
        <f t="shared" si="153"/>
        <v>22.938336709830168</v>
      </c>
      <c r="AK50" s="173">
        <f t="shared" si="154"/>
        <v>8.3148173159235803</v>
      </c>
      <c r="AM50" s="545">
        <f t="shared" si="155"/>
        <v>270</v>
      </c>
      <c r="AN50" s="460">
        <f t="shared" si="156"/>
        <v>350</v>
      </c>
      <c r="AP50">
        <f t="shared" si="157"/>
        <v>270</v>
      </c>
      <c r="AQ50" s="460">
        <f t="shared" si="158"/>
        <v>350</v>
      </c>
      <c r="AR50" s="460"/>
      <c r="AS50" s="5">
        <f t="shared" si="101"/>
        <v>2.8571428571428572</v>
      </c>
      <c r="AT50" s="5">
        <f t="shared" si="159"/>
        <v>0.98040682916552047</v>
      </c>
      <c r="AU50" s="5">
        <f t="shared" si="102"/>
        <v>1.8767360279773366</v>
      </c>
      <c r="AV50" s="5">
        <f t="shared" si="160"/>
        <v>1.3452214625448018</v>
      </c>
      <c r="AW50" s="173">
        <f t="shared" si="103"/>
        <v>0.34314239020793214</v>
      </c>
      <c r="AX50" s="173">
        <f t="shared" si="161"/>
        <v>46.039637963684939</v>
      </c>
      <c r="AY50" s="173">
        <f t="shared" si="162"/>
        <v>0.37668052559561727</v>
      </c>
      <c r="AZ50" s="173">
        <f t="shared" si="104"/>
        <v>122.22463025102198</v>
      </c>
      <c r="BA50" s="460">
        <f t="shared" si="163"/>
        <v>0.15571167286746504</v>
      </c>
      <c r="BB50" s="5">
        <f t="shared" si="164"/>
        <v>11.781762380633387</v>
      </c>
      <c r="BC50" s="5"/>
      <c r="BD50" s="173">
        <f t="shared" si="105"/>
        <v>7.7577982677135813</v>
      </c>
      <c r="BE50" s="173">
        <f t="shared" si="165"/>
        <v>0.5366695050074447</v>
      </c>
      <c r="BF50" s="173"/>
      <c r="BG50" s="528">
        <f t="shared" si="166"/>
        <v>2.4073373585015938</v>
      </c>
      <c r="BH50" s="528">
        <f t="shared" si="167"/>
        <v>3.798098566388032</v>
      </c>
      <c r="BI50" s="528">
        <f t="shared" si="168"/>
        <v>0.16377727305865461</v>
      </c>
      <c r="BJ50" s="528">
        <f t="shared" si="169"/>
        <v>3.0946071921286882E-2</v>
      </c>
      <c r="BK50">
        <f t="shared" si="170"/>
        <v>5.2642694911710407E-3</v>
      </c>
      <c r="BL50" s="460">
        <f t="shared" si="106"/>
        <v>169.04154254982564</v>
      </c>
      <c r="BM50" s="528">
        <f t="shared" si="171"/>
        <v>16.08900772026945</v>
      </c>
      <c r="BN50" s="460">
        <f t="shared" si="107"/>
        <v>16089.00772026945</v>
      </c>
      <c r="BO50" s="528">
        <f t="shared" si="172"/>
        <v>0.23436000000000001</v>
      </c>
      <c r="BP50" s="528"/>
      <c r="BR50" s="460">
        <f t="shared" si="109"/>
        <v>234.36</v>
      </c>
      <c r="BS50" s="528">
        <f t="shared" si="173"/>
        <v>1.8055030188761954</v>
      </c>
      <c r="BT50" s="528">
        <f t="shared" si="174"/>
        <v>8.6404247281480703E-3</v>
      </c>
      <c r="BU50" s="528">
        <f t="shared" si="175"/>
        <v>0.68850000000000011</v>
      </c>
      <c r="BV50" s="528">
        <f t="shared" si="176"/>
        <v>3.4368300923791213</v>
      </c>
      <c r="BW50" s="528">
        <f t="shared" si="177"/>
        <v>4.603963796368495</v>
      </c>
      <c r="BX50" s="460">
        <f t="shared" si="110"/>
        <v>8040.7938887476166</v>
      </c>
      <c r="BY50" s="173">
        <f t="shared" si="45"/>
        <v>24.533203151566894</v>
      </c>
      <c r="BZ50" s="5">
        <f t="shared" si="111"/>
        <v>45.900000000000006</v>
      </c>
      <c r="CA50" s="173">
        <f t="shared" si="112"/>
        <v>0.65168128022271954</v>
      </c>
      <c r="CB50" s="5">
        <f t="shared" si="113"/>
        <v>65.168128022271958</v>
      </c>
      <c r="CE50" s="562">
        <f t="shared" si="178"/>
        <v>-50</v>
      </c>
      <c r="CF50">
        <f t="shared" si="179"/>
        <v>-50</v>
      </c>
      <c r="CG50" s="173">
        <f t="shared" si="180"/>
        <v>0.47154314879602544</v>
      </c>
      <c r="CI50" s="170">
        <v>45</v>
      </c>
      <c r="CJ50" s="217">
        <f t="shared" si="114"/>
        <v>0.27</v>
      </c>
      <c r="CK50" s="217"/>
      <c r="CL50" s="217">
        <f t="shared" si="49"/>
        <v>45.900000000000006</v>
      </c>
      <c r="CM50" s="541">
        <f t="shared" si="50"/>
        <v>12.5</v>
      </c>
      <c r="CN50" s="172">
        <f t="shared" si="51"/>
        <v>8.5250000000000004</v>
      </c>
      <c r="CO50" s="443">
        <f t="shared" si="52"/>
        <v>21.024999999999999</v>
      </c>
      <c r="CP50" s="443"/>
      <c r="CQ50" s="217">
        <f t="shared" si="53"/>
        <v>0.40546967895362668</v>
      </c>
      <c r="CR50" s="172">
        <f t="shared" si="54"/>
        <v>170.84633868410626</v>
      </c>
      <c r="CS50" s="172">
        <f t="shared" si="115"/>
        <v>45.900000000000006</v>
      </c>
      <c r="CT50" s="217">
        <f t="shared" si="55"/>
        <v>1.0049784628476839</v>
      </c>
      <c r="CU50" s="217">
        <f t="shared" si="56"/>
        <v>170</v>
      </c>
      <c r="CV50" s="217">
        <f t="shared" si="57"/>
        <v>0.99379823272947732</v>
      </c>
      <c r="CW50" s="172">
        <f t="shared" si="58"/>
        <v>1293.3064906821096</v>
      </c>
      <c r="CX50" s="172">
        <f t="shared" si="59"/>
        <v>170</v>
      </c>
      <c r="CY50" s="217">
        <f t="shared" si="60"/>
        <v>18.112328445747799</v>
      </c>
      <c r="CZ50" s="217">
        <f t="shared" si="61"/>
        <v>0.72449313782991187</v>
      </c>
      <c r="DA50" s="217">
        <f t="shared" si="62"/>
        <v>1.0623066537095482</v>
      </c>
      <c r="DB50" s="197">
        <f t="shared" si="63"/>
        <v>350</v>
      </c>
      <c r="DC50" s="443">
        <f t="shared" si="116"/>
        <v>350</v>
      </c>
      <c r="DE50" s="217">
        <f t="shared" si="64"/>
        <v>28.962119925259049</v>
      </c>
      <c r="DF50" s="173">
        <f t="shared" si="65"/>
        <v>1.6986580601324954</v>
      </c>
      <c r="DG50" s="173">
        <f t="shared" si="66"/>
        <v>0.4304714614336958</v>
      </c>
      <c r="DH50" s="173"/>
      <c r="DI50" s="173">
        <f t="shared" si="67"/>
        <v>0.78201368523949166</v>
      </c>
      <c r="DJ50" s="545">
        <f t="shared" si="117"/>
        <v>1035.7874999999999</v>
      </c>
      <c r="DK50" s="528">
        <f t="shared" si="68"/>
        <v>9.1234929944607357E-2</v>
      </c>
      <c r="DM50" s="173">
        <f t="shared" si="69"/>
        <v>22.937181294010077</v>
      </c>
      <c r="DN50" s="173">
        <f t="shared" si="70"/>
        <v>22.937181294010077</v>
      </c>
      <c r="DO50" s="173">
        <f t="shared" si="71"/>
        <v>8.3139614523531442</v>
      </c>
      <c r="DQ50" s="545">
        <f t="shared" si="72"/>
        <v>270</v>
      </c>
      <c r="DR50" s="460">
        <f t="shared" si="73"/>
        <v>350</v>
      </c>
      <c r="DT50">
        <f t="shared" si="74"/>
        <v>270</v>
      </c>
      <c r="DU50" s="460">
        <f t="shared" si="75"/>
        <v>350</v>
      </c>
      <c r="DV50" s="460"/>
      <c r="DW50" s="5">
        <f t="shared" si="118"/>
        <v>2.8571428571428572</v>
      </c>
      <c r="DX50" s="5">
        <f t="shared" si="76"/>
        <v>0.91748725176040302</v>
      </c>
      <c r="DY50" s="5">
        <f t="shared" si="119"/>
        <v>1.9396556053824541</v>
      </c>
      <c r="DZ50" s="5">
        <f t="shared" si="77"/>
        <v>1.3452892254551363</v>
      </c>
      <c r="EA50" s="173">
        <f t="shared" si="120"/>
        <v>0.32112053811614105</v>
      </c>
      <c r="EB50" s="173">
        <f t="shared" si="78"/>
        <v>46.034999999999997</v>
      </c>
      <c r="EC50" s="173">
        <f t="shared" si="79"/>
        <v>0.38928953235025193</v>
      </c>
      <c r="ED50" s="173">
        <f t="shared" si="121"/>
        <v>118.25388605255726</v>
      </c>
      <c r="EE50" s="460">
        <f t="shared" si="80"/>
        <v>0.14571856351488757</v>
      </c>
      <c r="EF50" s="5">
        <f t="shared" si="81"/>
        <v>11.395864612742995</v>
      </c>
      <c r="EG50" s="5"/>
      <c r="EH50" s="173">
        <f t="shared" si="122"/>
        <v>7.5043565688907359</v>
      </c>
      <c r="EI50" s="173">
        <f t="shared" si="82"/>
        <v>0.54556406832372828</v>
      </c>
      <c r="EJ50" s="173"/>
      <c r="EK50" s="528">
        <f t="shared" si="83"/>
        <v>2.2526147005221415</v>
      </c>
      <c r="EL50" s="528">
        <f t="shared" si="84"/>
        <v>4.6416970283006584</v>
      </c>
      <c r="EM50" s="528">
        <f t="shared" si="85"/>
        <v>6.9999999999999993E-2</v>
      </c>
      <c r="EN50" s="528">
        <f t="shared" si="86"/>
        <v>3.094354375E-2</v>
      </c>
      <c r="EO50">
        <f t="shared" si="87"/>
        <v>5.6249999999999998E-3</v>
      </c>
      <c r="EP50" s="460">
        <f t="shared" si="123"/>
        <v>75.625</v>
      </c>
      <c r="EQ50" s="528">
        <f t="shared" si="88"/>
        <v>16.371416051777498</v>
      </c>
      <c r="ER50" s="460">
        <f t="shared" si="124"/>
        <v>16371.416051777498</v>
      </c>
      <c r="ES50" s="528">
        <f t="shared" si="125"/>
        <v>0.23436000000000001</v>
      </c>
      <c r="ET50" s="528"/>
      <c r="EV50" s="460">
        <f t="shared" si="126"/>
        <v>234.36</v>
      </c>
      <c r="EW50" s="528">
        <f t="shared" si="89"/>
        <v>1.689461025391606</v>
      </c>
      <c r="EX50" s="528">
        <f t="shared" si="90"/>
        <v>8.9292045793781302E-3</v>
      </c>
      <c r="EY50" s="528">
        <f t="shared" si="91"/>
        <v>288.72888471626004</v>
      </c>
      <c r="EZ50" s="528">
        <f t="shared" si="92"/>
        <v>336.56428855678189</v>
      </c>
      <c r="FA50" s="528">
        <f t="shared" si="93"/>
        <v>4.6035000000000013</v>
      </c>
      <c r="FB50" s="460">
        <f t="shared" si="127"/>
        <v>341167.78855678189</v>
      </c>
      <c r="FC50" s="173">
        <f t="shared" si="128"/>
        <v>357.77356460855941</v>
      </c>
      <c r="FD50" s="5">
        <f t="shared" si="129"/>
        <v>45.900000000000006</v>
      </c>
      <c r="FE50" s="173">
        <f t="shared" si="130"/>
        <v>0.1137057365758123</v>
      </c>
      <c r="FF50" s="5">
        <f t="shared" si="131"/>
        <v>11.370573657581231</v>
      </c>
      <c r="FI50" s="562">
        <f t="shared" si="94"/>
        <v>-50</v>
      </c>
      <c r="FJ50">
        <f t="shared" si="95"/>
        <v>-50</v>
      </c>
      <c r="FL50">
        <f t="shared" si="181"/>
        <v>0.4708512289092977</v>
      </c>
    </row>
    <row r="51" spans="5:168">
      <c r="E51" s="170">
        <v>46</v>
      </c>
      <c r="F51" s="217">
        <f t="shared" si="182"/>
        <v>0.27600000000000002</v>
      </c>
      <c r="G51" s="217"/>
      <c r="H51" s="217">
        <f t="shared" si="132"/>
        <v>46.92</v>
      </c>
      <c r="I51" s="541">
        <f t="shared" si="133"/>
        <v>11.689518661535011</v>
      </c>
      <c r="J51" s="172">
        <f t="shared" si="134"/>
        <v>8.5258683728626412</v>
      </c>
      <c r="K51" s="172">
        <f t="shared" si="135"/>
        <v>21.025868372862639</v>
      </c>
      <c r="L51" s="443"/>
      <c r="M51" s="217">
        <f t="shared" si="136"/>
        <v>0.42175146566561045</v>
      </c>
      <c r="N51" s="172">
        <f t="shared" si="137"/>
        <v>166.18449780825702</v>
      </c>
      <c r="O51" s="172">
        <f t="shared" si="98"/>
        <v>46.92</v>
      </c>
      <c r="P51" s="217">
        <f t="shared" si="138"/>
        <v>0.97755586946033546</v>
      </c>
      <c r="Q51" s="217">
        <f t="shared" si="139"/>
        <v>170</v>
      </c>
      <c r="R51" s="217">
        <f t="shared" si="140"/>
        <v>0.96668071145645018</v>
      </c>
      <c r="S51" s="172">
        <f t="shared" si="141"/>
        <v>1178.086425429362</v>
      </c>
      <c r="T51" s="172">
        <f t="shared" si="142"/>
        <v>170</v>
      </c>
      <c r="U51" s="217">
        <f t="shared" si="143"/>
        <v>19.092136589170821</v>
      </c>
      <c r="V51" s="217">
        <f t="shared" si="11"/>
        <v>0.81663484793409502</v>
      </c>
      <c r="W51" s="217">
        <f t="shared" si="144"/>
        <v>1.1196593563384121</v>
      </c>
      <c r="X51" s="197">
        <f t="shared" si="145"/>
        <v>350</v>
      </c>
      <c r="Y51" s="443">
        <f t="shared" si="14"/>
        <v>350</v>
      </c>
      <c r="AA51" s="217">
        <f t="shared" si="146"/>
        <v>28.17183543853038</v>
      </c>
      <c r="AB51" s="173">
        <f t="shared" si="147"/>
        <v>1.6521387738168551</v>
      </c>
      <c r="AC51" s="173">
        <f t="shared" si="148"/>
        <v>0.40725808950385828</v>
      </c>
      <c r="AD51" s="173"/>
      <c r="AE51" s="173">
        <f t="shared" si="149"/>
        <v>0.78193403593776922</v>
      </c>
      <c r="AF51" s="545">
        <f t="shared" si="150"/>
        <v>1058.9128519095402</v>
      </c>
      <c r="AG51" s="528">
        <f t="shared" si="151"/>
        <v>9.1225637526073072E-2</v>
      </c>
      <c r="AI51" s="173">
        <f t="shared" si="152"/>
        <v>23.191819596746186</v>
      </c>
      <c r="AJ51" s="173">
        <f t="shared" si="153"/>
        <v>23.191819596746186</v>
      </c>
      <c r="AK51" s="173">
        <f t="shared" si="154"/>
        <v>8.5025824173428539</v>
      </c>
      <c r="AM51" s="545">
        <f t="shared" si="155"/>
        <v>276</v>
      </c>
      <c r="AN51" s="460">
        <f t="shared" si="156"/>
        <v>350</v>
      </c>
      <c r="AP51">
        <f t="shared" si="157"/>
        <v>276</v>
      </c>
      <c r="AQ51" s="460">
        <f t="shared" si="158"/>
        <v>350</v>
      </c>
      <c r="AR51" s="460"/>
      <c r="AS51" s="5">
        <f t="shared" si="101"/>
        <v>2.8571428571428572</v>
      </c>
      <c r="AT51" s="5">
        <f t="shared" si="159"/>
        <v>0.99199206863239442</v>
      </c>
      <c r="AU51" s="5">
        <f t="shared" si="102"/>
        <v>1.8651507885104628</v>
      </c>
      <c r="AV51" s="5">
        <f t="shared" si="160"/>
        <v>1.3600854823518296</v>
      </c>
      <c r="AW51" s="173">
        <f t="shared" si="103"/>
        <v>0.34719722402133801</v>
      </c>
      <c r="AX51" s="173">
        <f t="shared" si="161"/>
        <v>47.062793418201792</v>
      </c>
      <c r="AY51" s="173">
        <f t="shared" si="162"/>
        <v>0.37849210531880612</v>
      </c>
      <c r="AZ51" s="173">
        <f t="shared" si="104"/>
        <v>124.34286675163416</v>
      </c>
      <c r="BA51" s="460">
        <f t="shared" si="163"/>
        <v>0.16105282996620052</v>
      </c>
      <c r="BB51" s="5">
        <f t="shared" si="164"/>
        <v>11.978303303095171</v>
      </c>
      <c r="BC51" s="5"/>
      <c r="BD51" s="173">
        <f t="shared" si="105"/>
        <v>7.8897332273058947</v>
      </c>
      <c r="BE51" s="173">
        <f t="shared" si="165"/>
        <v>0.54092268780132868</v>
      </c>
      <c r="BF51" s="173"/>
      <c r="BG51" s="528">
        <f t="shared" si="166"/>
        <v>2.4899156159221874</v>
      </c>
      <c r="BH51" s="528">
        <f t="shared" si="167"/>
        <v>3.840071651075847</v>
      </c>
      <c r="BI51" s="528">
        <f t="shared" si="168"/>
        <v>0.16365326126149016</v>
      </c>
      <c r="BJ51" s="528">
        <f t="shared" si="169"/>
        <v>3.0946099858306177E-2</v>
      </c>
      <c r="BK51">
        <f t="shared" si="170"/>
        <v>5.2602833976907546E-3</v>
      </c>
      <c r="BL51" s="460">
        <f t="shared" si="106"/>
        <v>168.9135446591809</v>
      </c>
      <c r="BM51" s="528">
        <f t="shared" si="171"/>
        <v>17.221544109117222</v>
      </c>
      <c r="BN51" s="460">
        <f t="shared" si="107"/>
        <v>17221.544109117222</v>
      </c>
      <c r="BO51" s="528">
        <f t="shared" si="172"/>
        <v>0.239568</v>
      </c>
      <c r="BP51" s="528"/>
      <c r="BR51" s="460">
        <f t="shared" si="109"/>
        <v>239.56800000000001</v>
      </c>
      <c r="BS51" s="528">
        <f t="shared" si="173"/>
        <v>1.8674367119416404</v>
      </c>
      <c r="BT51" s="528">
        <f t="shared" si="174"/>
        <v>8.7779206253464099E-3</v>
      </c>
      <c r="BU51" s="528">
        <f t="shared" si="175"/>
        <v>0.70379999999999998</v>
      </c>
      <c r="BV51" s="528">
        <f t="shared" si="176"/>
        <v>3.5654736513131207</v>
      </c>
      <c r="BW51" s="528">
        <f t="shared" si="177"/>
        <v>4.7062793418201787</v>
      </c>
      <c r="BX51" s="460">
        <f t="shared" si="110"/>
        <v>8271.7529931332992</v>
      </c>
      <c r="BY51" s="173">
        <f t="shared" si="45"/>
        <v>25.901778646909698</v>
      </c>
      <c r="BZ51" s="5">
        <f t="shared" si="111"/>
        <v>46.92</v>
      </c>
      <c r="CA51" s="173">
        <f t="shared" si="112"/>
        <v>0.64431274368483327</v>
      </c>
      <c r="CB51" s="5">
        <f t="shared" si="113"/>
        <v>64.431274368483329</v>
      </c>
      <c r="CE51" s="562">
        <f t="shared" si="178"/>
        <v>-50</v>
      </c>
      <c r="CF51">
        <f t="shared" si="179"/>
        <v>-50</v>
      </c>
      <c r="CG51" s="173">
        <f t="shared" si="180"/>
        <v>0.47675372850881698</v>
      </c>
      <c r="CI51" s="170">
        <v>46</v>
      </c>
      <c r="CJ51" s="217">
        <f t="shared" si="114"/>
        <v>0.27600000000000002</v>
      </c>
      <c r="CK51" s="217"/>
      <c r="CL51" s="217">
        <f t="shared" si="49"/>
        <v>46.92</v>
      </c>
      <c r="CM51" s="541">
        <f t="shared" si="50"/>
        <v>12.5</v>
      </c>
      <c r="CN51" s="172">
        <f t="shared" si="51"/>
        <v>8.5250000000000004</v>
      </c>
      <c r="CO51" s="443">
        <f t="shared" si="52"/>
        <v>21.024999999999999</v>
      </c>
      <c r="CP51" s="443"/>
      <c r="CQ51" s="217">
        <f t="shared" si="53"/>
        <v>0.40546967895362668</v>
      </c>
      <c r="CR51" s="172">
        <f t="shared" si="54"/>
        <v>170.84633868410626</v>
      </c>
      <c r="CS51" s="172">
        <f t="shared" si="115"/>
        <v>46.92</v>
      </c>
      <c r="CT51" s="217">
        <f t="shared" si="55"/>
        <v>1.0049784628476839</v>
      </c>
      <c r="CU51" s="217">
        <f t="shared" si="56"/>
        <v>170</v>
      </c>
      <c r="CV51" s="217">
        <f t="shared" si="57"/>
        <v>0.99379823272947732</v>
      </c>
      <c r="CW51" s="172">
        <f t="shared" si="58"/>
        <v>1259.761021550672</v>
      </c>
      <c r="CX51" s="172">
        <f t="shared" si="59"/>
        <v>170</v>
      </c>
      <c r="CY51" s="217">
        <f t="shared" si="60"/>
        <v>18.514824633431083</v>
      </c>
      <c r="CZ51" s="217">
        <f t="shared" si="61"/>
        <v>0.74059298533724338</v>
      </c>
      <c r="DA51" s="217">
        <f t="shared" si="62"/>
        <v>1.0859134682364271</v>
      </c>
      <c r="DB51" s="197">
        <f t="shared" si="63"/>
        <v>350</v>
      </c>
      <c r="DC51" s="443">
        <f t="shared" si="116"/>
        <v>350</v>
      </c>
      <c r="DE51" s="217">
        <f t="shared" si="64"/>
        <v>28.962119925259049</v>
      </c>
      <c r="DF51" s="173">
        <f t="shared" si="65"/>
        <v>1.6986580601324954</v>
      </c>
      <c r="DG51" s="173">
        <f t="shared" si="66"/>
        <v>0.4304714614336958</v>
      </c>
      <c r="DH51" s="173"/>
      <c r="DI51" s="173">
        <f t="shared" si="67"/>
        <v>0.78201368523949166</v>
      </c>
      <c r="DJ51" s="545">
        <f t="shared" si="117"/>
        <v>1058.8050000000001</v>
      </c>
      <c r="DK51" s="528">
        <f t="shared" si="68"/>
        <v>9.1234929944607357E-2</v>
      </c>
      <c r="DM51" s="173">
        <f t="shared" si="69"/>
        <v>23.190638505347678</v>
      </c>
      <c r="DN51" s="173">
        <f t="shared" si="70"/>
        <v>23.190638505347678</v>
      </c>
      <c r="DO51" s="173">
        <f t="shared" si="71"/>
        <v>8.5017075348254387</v>
      </c>
      <c r="DQ51" s="545">
        <f t="shared" si="72"/>
        <v>276</v>
      </c>
      <c r="DR51" s="460">
        <f t="shared" si="73"/>
        <v>350</v>
      </c>
      <c r="DT51">
        <f t="shared" si="74"/>
        <v>276</v>
      </c>
      <c r="DU51" s="460">
        <f t="shared" si="75"/>
        <v>350</v>
      </c>
      <c r="DV51" s="460"/>
      <c r="DW51" s="5">
        <f t="shared" si="118"/>
        <v>2.8571428571428572</v>
      </c>
      <c r="DX51" s="5">
        <f t="shared" si="76"/>
        <v>0.92762554021390708</v>
      </c>
      <c r="DY51" s="5">
        <f t="shared" si="119"/>
        <v>1.9295173169289501</v>
      </c>
      <c r="DZ51" s="5">
        <f t="shared" si="77"/>
        <v>1.3601547510467846</v>
      </c>
      <c r="EA51" s="173">
        <f t="shared" si="120"/>
        <v>0.32466893907486749</v>
      </c>
      <c r="EB51" s="173">
        <f t="shared" si="78"/>
        <v>47.058000000000007</v>
      </c>
      <c r="EC51" s="173">
        <f t="shared" si="79"/>
        <v>0.39153396263369195</v>
      </c>
      <c r="ED51" s="173">
        <f t="shared" si="121"/>
        <v>120.18880733477043</v>
      </c>
      <c r="EE51" s="460">
        <f t="shared" si="80"/>
        <v>0.15060273476414021</v>
      </c>
      <c r="EF51" s="5">
        <f t="shared" si="81"/>
        <v>11.588217921319211</v>
      </c>
      <c r="EG51" s="5"/>
      <c r="EH51" s="173">
        <f t="shared" si="122"/>
        <v>7.6290849317058589</v>
      </c>
      <c r="EI51" s="173">
        <f t="shared" si="82"/>
        <v>0.55014914917090907</v>
      </c>
      <c r="EJ51" s="173"/>
      <c r="EK51" s="528">
        <f t="shared" si="83"/>
        <v>2.3281174758072556</v>
      </c>
      <c r="EL51" s="528">
        <f t="shared" si="84"/>
        <v>4.692988055283748</v>
      </c>
      <c r="EM51" s="528">
        <f t="shared" si="85"/>
        <v>6.9999999999999993E-2</v>
      </c>
      <c r="EN51" s="528">
        <f t="shared" si="86"/>
        <v>3.094354375E-2</v>
      </c>
      <c r="EO51">
        <f t="shared" si="87"/>
        <v>5.6249999999999998E-3</v>
      </c>
      <c r="EP51" s="460">
        <f t="shared" si="123"/>
        <v>75.625</v>
      </c>
      <c r="EQ51" s="528">
        <f t="shared" si="88"/>
        <v>17.3580658773223</v>
      </c>
      <c r="ER51" s="460">
        <f t="shared" si="124"/>
        <v>17358.0658773223</v>
      </c>
      <c r="ES51" s="528">
        <f t="shared" si="125"/>
        <v>0.239568</v>
      </c>
      <c r="ET51" s="528"/>
      <c r="EV51" s="460">
        <f t="shared" si="126"/>
        <v>239.56800000000001</v>
      </c>
      <c r="EW51" s="528">
        <f t="shared" si="89"/>
        <v>1.7460881068554415</v>
      </c>
      <c r="EX51" s="528">
        <f t="shared" si="90"/>
        <v>9.0799225900042545E-3</v>
      </c>
      <c r="EY51" s="528">
        <f t="shared" si="91"/>
        <v>296.77128739682604</v>
      </c>
      <c r="EZ51" s="528">
        <f t="shared" si="92"/>
        <v>347.78079426065392</v>
      </c>
      <c r="FA51" s="528">
        <f t="shared" si="93"/>
        <v>4.7058000000000018</v>
      </c>
      <c r="FB51" s="460">
        <f t="shared" si="127"/>
        <v>352486.59426065395</v>
      </c>
      <c r="FC51" s="173">
        <f t="shared" si="128"/>
        <v>370.08422813797625</v>
      </c>
      <c r="FD51" s="5">
        <f t="shared" si="129"/>
        <v>46.92</v>
      </c>
      <c r="FE51" s="173">
        <f t="shared" si="130"/>
        <v>0.11251684475600891</v>
      </c>
      <c r="FF51" s="5">
        <f t="shared" si="131"/>
        <v>11.251684475600891</v>
      </c>
      <c r="FI51" s="562">
        <f t="shared" si="94"/>
        <v>-50</v>
      </c>
      <c r="FJ51">
        <f t="shared" si="95"/>
        <v>-50</v>
      </c>
      <c r="FL51">
        <f t="shared" si="181"/>
        <v>0.47605416286637459</v>
      </c>
    </row>
    <row r="52" spans="5:168">
      <c r="E52" s="170">
        <v>47</v>
      </c>
      <c r="F52" s="217">
        <f t="shared" si="182"/>
        <v>0.28199999999999997</v>
      </c>
      <c r="G52" s="217"/>
      <c r="H52" s="217">
        <f t="shared" si="132"/>
        <v>47.94</v>
      </c>
      <c r="I52" s="541">
        <f t="shared" si="133"/>
        <v>11.680756446470282</v>
      </c>
      <c r="J52" s="172">
        <f t="shared" si="134"/>
        <v>8.5258777609502108</v>
      </c>
      <c r="K52" s="172">
        <f t="shared" si="135"/>
        <v>21.025877760950209</v>
      </c>
      <c r="L52" s="443"/>
      <c r="M52" s="217">
        <f t="shared" si="136"/>
        <v>0.4219346190496483</v>
      </c>
      <c r="N52" s="172">
        <f t="shared" si="137"/>
        <v>166.13204403565032</v>
      </c>
      <c r="O52" s="172">
        <f t="shared" si="98"/>
        <v>47.94</v>
      </c>
      <c r="P52" s="217">
        <f t="shared" si="138"/>
        <v>0.97724731785676666</v>
      </c>
      <c r="Q52" s="217">
        <f t="shared" si="139"/>
        <v>170</v>
      </c>
      <c r="R52" s="217">
        <f t="shared" si="140"/>
        <v>0.96637559244179649</v>
      </c>
      <c r="S52" s="172">
        <f t="shared" si="141"/>
        <v>1147.1907189262981</v>
      </c>
      <c r="T52" s="172">
        <f t="shared" si="142"/>
        <v>170</v>
      </c>
      <c r="U52" s="217">
        <f t="shared" si="143"/>
        <v>19.513363663908464</v>
      </c>
      <c r="V52" s="217">
        <f t="shared" si="11"/>
        <v>0.83527825245449139</v>
      </c>
      <c r="W52" s="217">
        <f t="shared" si="144"/>
        <v>1.1443609802431471</v>
      </c>
      <c r="X52" s="197">
        <f t="shared" si="145"/>
        <v>350</v>
      </c>
      <c r="Y52" s="443">
        <f t="shared" si="14"/>
        <v>350</v>
      </c>
      <c r="AA52" s="217">
        <f t="shared" si="146"/>
        <v>28.162943373876058</v>
      </c>
      <c r="AB52" s="173">
        <f t="shared" si="147"/>
        <v>1.6516154795736415</v>
      </c>
      <c r="AC52" s="173">
        <f t="shared" si="148"/>
        <v>0.40700059073318412</v>
      </c>
      <c r="AD52" s="173"/>
      <c r="AE52" s="173">
        <f t="shared" si="149"/>
        <v>0.78193317492786396</v>
      </c>
      <c r="AF52" s="545">
        <f t="shared" si="150"/>
        <v>1081.9338878645817</v>
      </c>
      <c r="AG52" s="528">
        <f t="shared" si="151"/>
        <v>9.122553707491747E-2</v>
      </c>
      <c r="AI52" s="173">
        <f t="shared" si="152"/>
        <v>23.442562164151447</v>
      </c>
      <c r="AJ52" s="173">
        <f t="shared" si="153"/>
        <v>23.442562164151447</v>
      </c>
      <c r="AK52" s="173">
        <f t="shared" si="154"/>
        <v>8.6883176524578616</v>
      </c>
      <c r="AM52" s="545">
        <f t="shared" si="155"/>
        <v>282</v>
      </c>
      <c r="AN52" s="460">
        <f t="shared" si="156"/>
        <v>350</v>
      </c>
      <c r="AP52">
        <f t="shared" si="157"/>
        <v>282</v>
      </c>
      <c r="AQ52" s="460">
        <f t="shared" si="158"/>
        <v>350</v>
      </c>
      <c r="AR52" s="460"/>
      <c r="AS52" s="5">
        <f t="shared" si="101"/>
        <v>2.8571428571428572</v>
      </c>
      <c r="AT52" s="5">
        <f t="shared" si="159"/>
        <v>1.0034693502763414</v>
      </c>
      <c r="AU52" s="5">
        <f t="shared" si="102"/>
        <v>1.8536735068665158</v>
      </c>
      <c r="AV52" s="5">
        <f t="shared" si="160"/>
        <v>1.3747887796094069</v>
      </c>
      <c r="AW52" s="173">
        <f t="shared" si="103"/>
        <v>0.3512142725967195</v>
      </c>
      <c r="AX52" s="173">
        <f t="shared" si="161"/>
        <v>48.085950571759192</v>
      </c>
      <c r="AY52" s="173">
        <f t="shared" si="162"/>
        <v>0.3802299936466404</v>
      </c>
      <c r="AZ52" s="173">
        <f t="shared" si="104"/>
        <v>126.46543243626111</v>
      </c>
      <c r="BA52" s="460">
        <f t="shared" si="163"/>
        <v>0.16645785692819309</v>
      </c>
      <c r="BB52" s="5">
        <f t="shared" si="164"/>
        <v>12.17251411090373</v>
      </c>
      <c r="BC52" s="5"/>
      <c r="BD52" s="173">
        <f t="shared" si="105"/>
        <v>8.0210371380649974</v>
      </c>
      <c r="BE52" s="173">
        <f t="shared" si="165"/>
        <v>0.54508608686262505</v>
      </c>
      <c r="BF52" s="173"/>
      <c r="BG52" s="528">
        <f t="shared" si="166"/>
        <v>2.573481470808717</v>
      </c>
      <c r="BH52" s="528">
        <f t="shared" si="167"/>
        <v>3.8815910159270319</v>
      </c>
      <c r="BI52" s="528">
        <f t="shared" si="168"/>
        <v>0.16353059025058395</v>
      </c>
      <c r="BJ52" s="528">
        <f t="shared" si="169"/>
        <v>3.0946127493289444E-2</v>
      </c>
      <c r="BK52">
        <f t="shared" si="170"/>
        <v>5.2563404009116268E-3</v>
      </c>
      <c r="BL52" s="460">
        <f t="shared" si="106"/>
        <v>168.7869306514956</v>
      </c>
      <c r="BM52" s="528">
        <f t="shared" si="171"/>
        <v>18.481607502946481</v>
      </c>
      <c r="BN52" s="460">
        <f t="shared" si="107"/>
        <v>18481.607502946481</v>
      </c>
      <c r="BO52" s="528">
        <f t="shared" si="172"/>
        <v>0.24477599999999997</v>
      </c>
      <c r="BP52" s="528"/>
      <c r="BR52" s="460">
        <f t="shared" si="109"/>
        <v>244.77599999999995</v>
      </c>
      <c r="BS52" s="528">
        <f t="shared" si="173"/>
        <v>1.9301111031065377</v>
      </c>
      <c r="BT52" s="528">
        <f t="shared" si="174"/>
        <v>8.9135652627362755E-3</v>
      </c>
      <c r="BU52" s="528">
        <f t="shared" si="175"/>
        <v>0.71909999999999996</v>
      </c>
      <c r="BV52" s="528">
        <f t="shared" si="176"/>
        <v>3.6969722145629702</v>
      </c>
      <c r="BW52" s="528">
        <f t="shared" si="177"/>
        <v>4.8085950571759195</v>
      </c>
      <c r="BX52" s="460">
        <f t="shared" si="110"/>
        <v>8505.5672717388898</v>
      </c>
      <c r="BY52" s="173">
        <f t="shared" si="45"/>
        <v>27.400737705336869</v>
      </c>
      <c r="BZ52" s="5">
        <f t="shared" si="111"/>
        <v>47.94</v>
      </c>
      <c r="CA52" s="173">
        <f t="shared" si="112"/>
        <v>0.63630913978433346</v>
      </c>
      <c r="CB52" s="5">
        <f t="shared" si="113"/>
        <v>63.630913978433348</v>
      </c>
      <c r="CE52" s="562">
        <f t="shared" si="178"/>
        <v>-50</v>
      </c>
      <c r="CF52">
        <f t="shared" si="179"/>
        <v>-50</v>
      </c>
      <c r="CG52" s="173">
        <f t="shared" si="180"/>
        <v>0.48190797266454</v>
      </c>
      <c r="CI52" s="170">
        <v>47</v>
      </c>
      <c r="CJ52" s="217">
        <f t="shared" si="114"/>
        <v>0.28199999999999997</v>
      </c>
      <c r="CK52" s="217"/>
      <c r="CL52" s="217">
        <f t="shared" si="49"/>
        <v>47.94</v>
      </c>
      <c r="CM52" s="541">
        <f t="shared" si="50"/>
        <v>12.5</v>
      </c>
      <c r="CN52" s="172">
        <f t="shared" si="51"/>
        <v>8.5250000000000004</v>
      </c>
      <c r="CO52" s="443">
        <f t="shared" si="52"/>
        <v>21.024999999999999</v>
      </c>
      <c r="CP52" s="443"/>
      <c r="CQ52" s="217">
        <f t="shared" si="53"/>
        <v>0.40546967895362668</v>
      </c>
      <c r="CR52" s="172">
        <f t="shared" si="54"/>
        <v>170.84633868410626</v>
      </c>
      <c r="CS52" s="172">
        <f t="shared" si="115"/>
        <v>47.94</v>
      </c>
      <c r="CT52" s="217">
        <f t="shared" si="55"/>
        <v>1.0049784628476839</v>
      </c>
      <c r="CU52" s="217">
        <f t="shared" si="56"/>
        <v>170</v>
      </c>
      <c r="CV52" s="217">
        <f t="shared" si="57"/>
        <v>0.99379823272947732</v>
      </c>
      <c r="CW52" s="172">
        <f t="shared" si="58"/>
        <v>1227.6431508246444</v>
      </c>
      <c r="CX52" s="172">
        <f t="shared" si="59"/>
        <v>170</v>
      </c>
      <c r="CY52" s="217">
        <f t="shared" si="60"/>
        <v>18.917320821114366</v>
      </c>
      <c r="CZ52" s="217">
        <f t="shared" si="61"/>
        <v>0.75669283284457467</v>
      </c>
      <c r="DA52" s="217">
        <f t="shared" si="62"/>
        <v>1.1095202827633059</v>
      </c>
      <c r="DB52" s="197">
        <f t="shared" si="63"/>
        <v>350</v>
      </c>
      <c r="DC52" s="443">
        <f t="shared" si="116"/>
        <v>350</v>
      </c>
      <c r="DE52" s="217">
        <f t="shared" si="64"/>
        <v>28.962119925259049</v>
      </c>
      <c r="DF52" s="173">
        <f t="shared" si="65"/>
        <v>1.6986580601324954</v>
      </c>
      <c r="DG52" s="173">
        <f t="shared" si="66"/>
        <v>0.4304714614336958</v>
      </c>
      <c r="DH52" s="173"/>
      <c r="DI52" s="173">
        <f t="shared" si="67"/>
        <v>0.78201368523949166</v>
      </c>
      <c r="DJ52" s="545">
        <f t="shared" si="117"/>
        <v>1081.8224999999998</v>
      </c>
      <c r="DK52" s="528">
        <f t="shared" si="68"/>
        <v>9.1234929944607357E-2</v>
      </c>
      <c r="DM52" s="173">
        <f t="shared" si="69"/>
        <v>23.44135539718518</v>
      </c>
      <c r="DN52" s="173">
        <f t="shared" si="70"/>
        <v>23.44135539718518</v>
      </c>
      <c r="DO52" s="173">
        <f t="shared" si="71"/>
        <v>8.6874237510013668</v>
      </c>
      <c r="DQ52" s="545">
        <f t="shared" si="72"/>
        <v>282</v>
      </c>
      <c r="DR52" s="460">
        <f t="shared" si="73"/>
        <v>350</v>
      </c>
      <c r="DT52">
        <f t="shared" si="74"/>
        <v>282</v>
      </c>
      <c r="DU52" s="460">
        <f t="shared" si="75"/>
        <v>350</v>
      </c>
      <c r="DV52" s="460"/>
      <c r="DW52" s="5">
        <f t="shared" si="118"/>
        <v>2.8571428571428572</v>
      </c>
      <c r="DX52" s="5">
        <f t="shared" si="76"/>
        <v>0.93765421588740716</v>
      </c>
      <c r="DY52" s="5">
        <f t="shared" si="119"/>
        <v>1.9194886412554499</v>
      </c>
      <c r="DZ52" s="5">
        <f t="shared" si="77"/>
        <v>1.3748595540871071</v>
      </c>
      <c r="EA52" s="173">
        <f t="shared" si="120"/>
        <v>0.3281789755605925</v>
      </c>
      <c r="EB52" s="173">
        <f t="shared" si="78"/>
        <v>48.080999999999982</v>
      </c>
      <c r="EC52" s="173">
        <f t="shared" si="79"/>
        <v>0.39370988492962955</v>
      </c>
      <c r="ED52" s="173">
        <f t="shared" si="121"/>
        <v>122.12291801765106</v>
      </c>
      <c r="EE52" s="460">
        <f t="shared" si="80"/>
        <v>0.15554028757661692</v>
      </c>
      <c r="EF52" s="5">
        <f t="shared" si="81"/>
        <v>11.778596539108642</v>
      </c>
      <c r="EG52" s="5"/>
      <c r="EH52" s="173">
        <f t="shared" si="122"/>
        <v>7.75313720194025</v>
      </c>
      <c r="EI52" s="173">
        <f t="shared" si="82"/>
        <v>0.5546498395690842</v>
      </c>
      <c r="EJ52" s="173"/>
      <c r="EK52" s="528">
        <f t="shared" si="83"/>
        <v>2.4044454588843958</v>
      </c>
      <c r="EL52" s="528">
        <f t="shared" si="84"/>
        <v>4.7437245357985018</v>
      </c>
      <c r="EM52" s="528">
        <f t="shared" si="85"/>
        <v>6.9999999999999993E-2</v>
      </c>
      <c r="EN52" s="528">
        <f t="shared" si="86"/>
        <v>3.094354375E-2</v>
      </c>
      <c r="EO52">
        <f t="shared" si="87"/>
        <v>5.6249999999999998E-3</v>
      </c>
      <c r="EP52" s="460">
        <f t="shared" si="123"/>
        <v>75.625</v>
      </c>
      <c r="EQ52" s="528">
        <f t="shared" si="88"/>
        <v>18.43683113798398</v>
      </c>
      <c r="ER52" s="460">
        <f t="shared" si="124"/>
        <v>18436.83113798398</v>
      </c>
      <c r="ES52" s="528">
        <f t="shared" si="125"/>
        <v>0.24477599999999997</v>
      </c>
      <c r="ET52" s="528"/>
      <c r="EV52" s="460">
        <f t="shared" si="126"/>
        <v>244.77599999999995</v>
      </c>
      <c r="EW52" s="528">
        <f t="shared" si="89"/>
        <v>1.8033340941632967</v>
      </c>
      <c r="EX52" s="528">
        <f t="shared" si="90"/>
        <v>9.2290933360203251E-3</v>
      </c>
      <c r="EY52" s="528">
        <f t="shared" si="91"/>
        <v>304.85752080604487</v>
      </c>
      <c r="EZ52" s="528">
        <f t="shared" si="92"/>
        <v>359.18937410621112</v>
      </c>
      <c r="FA52" s="528">
        <f t="shared" si="93"/>
        <v>4.8080999999999996</v>
      </c>
      <c r="FB52" s="460">
        <f t="shared" si="127"/>
        <v>363997.47410621116</v>
      </c>
      <c r="FC52" s="173">
        <f t="shared" si="128"/>
        <v>382.67908124419512</v>
      </c>
      <c r="FD52" s="5">
        <f t="shared" si="129"/>
        <v>47.94</v>
      </c>
      <c r="FE52" s="173">
        <f t="shared" si="130"/>
        <v>0.11132809038904205</v>
      </c>
      <c r="FF52" s="5">
        <f t="shared" si="131"/>
        <v>11.132809038904206</v>
      </c>
      <c r="FI52" s="562">
        <f t="shared" si="94"/>
        <v>-50</v>
      </c>
      <c r="FJ52">
        <f t="shared" si="95"/>
        <v>-50</v>
      </c>
      <c r="FL52">
        <f t="shared" si="181"/>
        <v>0.48120084393048751</v>
      </c>
    </row>
    <row r="53" spans="5:168">
      <c r="E53" s="170">
        <v>48</v>
      </c>
      <c r="F53" s="217">
        <f t="shared" si="182"/>
        <v>0.28799999999999998</v>
      </c>
      <c r="G53" s="217"/>
      <c r="H53" s="217">
        <f t="shared" si="132"/>
        <v>48.959999999999994</v>
      </c>
      <c r="I53" s="541">
        <f t="shared" si="133"/>
        <v>11.672086961088304</v>
      </c>
      <c r="J53" s="172">
        <f t="shared" si="134"/>
        <v>8.5258870496845489</v>
      </c>
      <c r="K53" s="172">
        <f t="shared" si="135"/>
        <v>21.025887049684549</v>
      </c>
      <c r="L53" s="443"/>
      <c r="M53" s="217">
        <f t="shared" si="136"/>
        <v>0.42211599036738029</v>
      </c>
      <c r="N53" s="172">
        <f t="shared" si="137"/>
        <v>166.08010036301195</v>
      </c>
      <c r="O53" s="172">
        <f t="shared" si="98"/>
        <v>48.959999999999994</v>
      </c>
      <c r="P53" s="217">
        <f t="shared" si="138"/>
        <v>0.97694176684124678</v>
      </c>
      <c r="Q53" s="217">
        <f t="shared" si="139"/>
        <v>170</v>
      </c>
      <c r="R53" s="217">
        <f t="shared" si="140"/>
        <v>0.96607344063411305</v>
      </c>
      <c r="S53" s="172">
        <f t="shared" si="141"/>
        <v>1117.5986439275355</v>
      </c>
      <c r="T53" s="172">
        <f t="shared" si="142"/>
        <v>170</v>
      </c>
      <c r="U53" s="217">
        <f t="shared" si="143"/>
        <v>19.934796270489731</v>
      </c>
      <c r="V53" s="217">
        <f t="shared" si="11"/>
        <v>0.85395166849540893</v>
      </c>
      <c r="W53" s="217">
        <f t="shared" si="144"/>
        <v>1.1690746167712427</v>
      </c>
      <c r="X53" s="197">
        <f t="shared" si="145"/>
        <v>350</v>
      </c>
      <c r="Y53" s="443">
        <f t="shared" si="14"/>
        <v>350</v>
      </c>
      <c r="AA53" s="217">
        <f t="shared" si="146"/>
        <v>28.15413778240675</v>
      </c>
      <c r="AB53" s="173">
        <f t="shared" si="147"/>
        <v>1.6510972769366226</v>
      </c>
      <c r="AC53" s="173">
        <f t="shared" si="148"/>
        <v>0.40674567698651487</v>
      </c>
      <c r="AD53" s="173"/>
      <c r="AE53" s="173">
        <f t="shared" si="149"/>
        <v>0.78193232303181026</v>
      </c>
      <c r="AF53" s="545">
        <f t="shared" si="150"/>
        <v>1104.9549616391175</v>
      </c>
      <c r="AG53" s="528">
        <f t="shared" si="151"/>
        <v>9.1225437687044539E-2</v>
      </c>
      <c r="AI53" s="173">
        <f t="shared" si="152"/>
        <v>23.690651418694493</v>
      </c>
      <c r="AJ53" s="173">
        <f t="shared" si="153"/>
        <v>23.690651418694493</v>
      </c>
      <c r="AK53" s="173">
        <f t="shared" si="154"/>
        <v>8.8720874706378954</v>
      </c>
      <c r="AM53" s="545">
        <f t="shared" si="155"/>
        <v>288</v>
      </c>
      <c r="AN53" s="460">
        <f t="shared" si="156"/>
        <v>350</v>
      </c>
      <c r="AP53">
        <f t="shared" si="157"/>
        <v>288</v>
      </c>
      <c r="AQ53" s="460">
        <f t="shared" si="158"/>
        <v>350</v>
      </c>
      <c r="AR53" s="460"/>
      <c r="AS53" s="5">
        <f t="shared" si="101"/>
        <v>2.8571428571428572</v>
      </c>
      <c r="AT53" s="5">
        <f t="shared" si="159"/>
        <v>1.0148421399563312</v>
      </c>
      <c r="AU53" s="5">
        <f t="shared" si="102"/>
        <v>1.842300717186526</v>
      </c>
      <c r="AV53" s="5">
        <f t="shared" si="160"/>
        <v>1.3893364573467475</v>
      </c>
      <c r="AW53" s="173">
        <f t="shared" si="103"/>
        <v>0.35519474898471592</v>
      </c>
      <c r="AX53" s="173">
        <f t="shared" si="161"/>
        <v>49.109109406182988</v>
      </c>
      <c r="AY53" s="173">
        <f t="shared" si="162"/>
        <v>0.38189641086867249</v>
      </c>
      <c r="AZ53" s="173">
        <f t="shared" si="104"/>
        <v>128.59274926014101</v>
      </c>
      <c r="BA53" s="460">
        <f t="shared" si="163"/>
        <v>0.17192619782789612</v>
      </c>
      <c r="BB53" s="5">
        <f t="shared" si="164"/>
        <v>12.36441002047396</v>
      </c>
      <c r="BC53" s="5"/>
      <c r="BD53" s="173">
        <f t="shared" si="105"/>
        <v>8.1517273164338491</v>
      </c>
      <c r="BE53" s="173">
        <f t="shared" si="165"/>
        <v>0.54916223310118029</v>
      </c>
      <c r="BF53" s="173"/>
      <c r="BG53" s="528">
        <f t="shared" si="166"/>
        <v>2.6580263296597519</v>
      </c>
      <c r="BH53" s="528">
        <f t="shared" si="167"/>
        <v>3.9226710667954898</v>
      </c>
      <c r="BI53" s="528">
        <f t="shared" si="168"/>
        <v>0.16340921745523626</v>
      </c>
      <c r="BJ53" s="528">
        <f t="shared" si="169"/>
        <v>3.0946154835826471E-2</v>
      </c>
      <c r="BK53">
        <f t="shared" si="170"/>
        <v>5.2524391324897364E-3</v>
      </c>
      <c r="BL53" s="460">
        <f t="shared" si="106"/>
        <v>168.66165658772599</v>
      </c>
      <c r="BM53" s="528">
        <f t="shared" si="171"/>
        <v>19.892121309390866</v>
      </c>
      <c r="BN53" s="460">
        <f t="shared" si="107"/>
        <v>19892.121309390866</v>
      </c>
      <c r="BO53" s="528">
        <f t="shared" si="172"/>
        <v>0.24998399999999996</v>
      </c>
      <c r="BP53" s="528"/>
      <c r="BR53" s="460">
        <f t="shared" si="109"/>
        <v>249.98399999999995</v>
      </c>
      <c r="BS53" s="528">
        <f t="shared" si="173"/>
        <v>1.9935197472448138</v>
      </c>
      <c r="BT53" s="528">
        <f t="shared" si="174"/>
        <v>9.0473747479402518E-3</v>
      </c>
      <c r="BU53" s="528">
        <f t="shared" si="175"/>
        <v>0.73439999999999983</v>
      </c>
      <c r="BV53" s="528">
        <f t="shared" si="176"/>
        <v>3.8313929565723228</v>
      </c>
      <c r="BW53" s="528">
        <f t="shared" si="177"/>
        <v>4.9109109406182991</v>
      </c>
      <c r="BX53" s="460">
        <f t="shared" si="110"/>
        <v>8742.3038971906226</v>
      </c>
      <c r="BY53" s="173">
        <f t="shared" si="45"/>
        <v>29.053070863169214</v>
      </c>
      <c r="BZ53" s="5">
        <f t="shared" si="111"/>
        <v>48.959999999999994</v>
      </c>
      <c r="CA53" s="173">
        <f t="shared" si="112"/>
        <v>0.62758713967141788</v>
      </c>
      <c r="CB53" s="5">
        <f t="shared" si="113"/>
        <v>62.758713967141787</v>
      </c>
      <c r="CE53" s="562">
        <f t="shared" si="178"/>
        <v>-50</v>
      </c>
      <c r="CF53">
        <f t="shared" si="179"/>
        <v>-50</v>
      </c>
      <c r="CG53" s="173">
        <f t="shared" si="180"/>
        <v>0.48700766994805661</v>
      </c>
      <c r="CI53" s="170">
        <v>48</v>
      </c>
      <c r="CJ53" s="217">
        <f t="shared" si="114"/>
        <v>0.28799999999999998</v>
      </c>
      <c r="CK53" s="217"/>
      <c r="CL53" s="217">
        <f t="shared" si="49"/>
        <v>48.959999999999994</v>
      </c>
      <c r="CM53" s="541">
        <f t="shared" si="50"/>
        <v>12.5</v>
      </c>
      <c r="CN53" s="172">
        <f t="shared" si="51"/>
        <v>8.5250000000000004</v>
      </c>
      <c r="CO53" s="443">
        <f t="shared" si="52"/>
        <v>21.024999999999999</v>
      </c>
      <c r="CP53" s="443"/>
      <c r="CQ53" s="217">
        <f t="shared" si="53"/>
        <v>0.40546967895362668</v>
      </c>
      <c r="CR53" s="172">
        <f t="shared" si="54"/>
        <v>170.84633868410626</v>
      </c>
      <c r="CS53" s="172">
        <f t="shared" si="115"/>
        <v>48.959999999999994</v>
      </c>
      <c r="CT53" s="217">
        <f t="shared" si="55"/>
        <v>1.0049784628476839</v>
      </c>
      <c r="CU53" s="217">
        <f t="shared" si="56"/>
        <v>170</v>
      </c>
      <c r="CV53" s="217">
        <f t="shared" si="57"/>
        <v>0.99379823272947732</v>
      </c>
      <c r="CW53" s="172">
        <f t="shared" si="58"/>
        <v>1196.8636552791731</v>
      </c>
      <c r="CX53" s="172">
        <f t="shared" si="59"/>
        <v>170</v>
      </c>
      <c r="CY53" s="217">
        <f t="shared" si="60"/>
        <v>19.319817008797649</v>
      </c>
      <c r="CZ53" s="217">
        <f t="shared" si="61"/>
        <v>0.77279268035190596</v>
      </c>
      <c r="DA53" s="217">
        <f t="shared" si="62"/>
        <v>1.1331270972901846</v>
      </c>
      <c r="DB53" s="197">
        <f t="shared" si="63"/>
        <v>350</v>
      </c>
      <c r="DC53" s="443">
        <f t="shared" si="116"/>
        <v>350</v>
      </c>
      <c r="DE53" s="217">
        <f t="shared" si="64"/>
        <v>28.962119925259049</v>
      </c>
      <c r="DF53" s="173">
        <f t="shared" si="65"/>
        <v>1.6986580601324954</v>
      </c>
      <c r="DG53" s="173">
        <f t="shared" si="66"/>
        <v>0.4304714614336958</v>
      </c>
      <c r="DH53" s="173"/>
      <c r="DI53" s="173">
        <f t="shared" si="67"/>
        <v>0.78201368523949166</v>
      </c>
      <c r="DJ53" s="545">
        <f t="shared" si="117"/>
        <v>1104.8399999999999</v>
      </c>
      <c r="DK53" s="528">
        <f t="shared" si="68"/>
        <v>9.1234929944607357E-2</v>
      </c>
      <c r="DM53" s="173">
        <f t="shared" si="69"/>
        <v>23.689418976171016</v>
      </c>
      <c r="DN53" s="173">
        <f t="shared" si="70"/>
        <v>23.689418976171016</v>
      </c>
      <c r="DO53" s="173">
        <f t="shared" si="71"/>
        <v>8.8711745502501351</v>
      </c>
      <c r="DQ53" s="545">
        <f t="shared" si="72"/>
        <v>288</v>
      </c>
      <c r="DR53" s="460">
        <f t="shared" si="73"/>
        <v>350</v>
      </c>
      <c r="DT53">
        <f t="shared" si="74"/>
        <v>288</v>
      </c>
      <c r="DU53" s="460">
        <f t="shared" si="75"/>
        <v>350</v>
      </c>
      <c r="DV53" s="460"/>
      <c r="DW53" s="5">
        <f t="shared" si="118"/>
        <v>2.8571428571428572</v>
      </c>
      <c r="DX53" s="5">
        <f t="shared" si="76"/>
        <v>0.94757675904684058</v>
      </c>
      <c r="DY53" s="5">
        <f t="shared" si="119"/>
        <v>1.9095660980960165</v>
      </c>
      <c r="DZ53" s="5">
        <f t="shared" si="77"/>
        <v>1.3894087376053381</v>
      </c>
      <c r="EA53" s="173">
        <f t="shared" si="120"/>
        <v>0.33165186566639421</v>
      </c>
      <c r="EB53" s="173">
        <f t="shared" si="78"/>
        <v>49.103999999999999</v>
      </c>
      <c r="EC53" s="173">
        <f t="shared" si="79"/>
        <v>0.39581947440427534</v>
      </c>
      <c r="ED53" s="173">
        <f t="shared" si="121"/>
        <v>124.05655399826789</v>
      </c>
      <c r="EE53" s="460">
        <f t="shared" si="80"/>
        <v>0.16053065094440591</v>
      </c>
      <c r="EF53" s="5">
        <f t="shared" si="81"/>
        <v>11.967021588835962</v>
      </c>
      <c r="EG53" s="5"/>
      <c r="EH53" s="173">
        <f t="shared" si="122"/>
        <v>7.8765313157705874</v>
      </c>
      <c r="EI53" s="173">
        <f t="shared" si="82"/>
        <v>0.55906867103814351</v>
      </c>
      <c r="EJ53" s="173"/>
      <c r="EK53" s="528">
        <f t="shared" si="83"/>
        <v>2.4815898227325897</v>
      </c>
      <c r="EL53" s="528">
        <f t="shared" si="84"/>
        <v>4.7939240769997085</v>
      </c>
      <c r="EM53" s="528">
        <f t="shared" si="85"/>
        <v>6.9999999999999993E-2</v>
      </c>
      <c r="EN53" s="528">
        <f t="shared" si="86"/>
        <v>3.094354375E-2</v>
      </c>
      <c r="EO53">
        <f t="shared" si="87"/>
        <v>5.6249999999999998E-3</v>
      </c>
      <c r="EP53" s="460">
        <f t="shared" si="123"/>
        <v>75.625</v>
      </c>
      <c r="EQ53" s="528">
        <f t="shared" si="88"/>
        <v>19.621385933252949</v>
      </c>
      <c r="ER53" s="460">
        <f t="shared" si="124"/>
        <v>19621.38593325295</v>
      </c>
      <c r="ES53" s="528">
        <f t="shared" si="125"/>
        <v>0.24998399999999996</v>
      </c>
      <c r="ET53" s="528"/>
      <c r="EV53" s="460">
        <f t="shared" si="126"/>
        <v>249.98399999999995</v>
      </c>
      <c r="EW53" s="528">
        <f t="shared" si="89"/>
        <v>1.8611923670494421</v>
      </c>
      <c r="EX53" s="528">
        <f t="shared" si="90"/>
        <v>9.3767333680906777E-3</v>
      </c>
      <c r="EY53" s="528">
        <f t="shared" si="91"/>
        <v>312.98688354664563</v>
      </c>
      <c r="EZ53" s="528">
        <f t="shared" si="92"/>
        <v>370.79406250661651</v>
      </c>
      <c r="FA53" s="528">
        <f t="shared" si="93"/>
        <v>4.9104000000000001</v>
      </c>
      <c r="FB53" s="460">
        <f t="shared" si="127"/>
        <v>375704.46250661649</v>
      </c>
      <c r="FC53" s="173">
        <f t="shared" si="128"/>
        <v>395.57583243986943</v>
      </c>
      <c r="FD53" s="5">
        <f t="shared" si="129"/>
        <v>48.959999999999994</v>
      </c>
      <c r="FE53" s="173">
        <f t="shared" si="130"/>
        <v>0.11013735322815089</v>
      </c>
      <c r="FF53" s="5">
        <f t="shared" si="131"/>
        <v>11.013735322815089</v>
      </c>
      <c r="FI53" s="562">
        <f t="shared" si="94"/>
        <v>-50</v>
      </c>
      <c r="FJ53">
        <f t="shared" si="95"/>
        <v>-50</v>
      </c>
      <c r="FL53">
        <f t="shared" si="181"/>
        <v>0.4862930581618683</v>
      </c>
    </row>
    <row r="54" spans="5:168">
      <c r="E54" s="170">
        <v>49</v>
      </c>
      <c r="F54" s="217">
        <f t="shared" si="182"/>
        <v>0.29399999999999998</v>
      </c>
      <c r="G54" s="217"/>
      <c r="H54" s="217">
        <f t="shared" si="132"/>
        <v>49.98</v>
      </c>
      <c r="I54" s="541">
        <f t="shared" si="133"/>
        <v>11.66350732220778</v>
      </c>
      <c r="J54" s="172">
        <f t="shared" si="134"/>
        <v>8.5258962421547775</v>
      </c>
      <c r="K54" s="172">
        <f t="shared" si="135"/>
        <v>21.025896242154779</v>
      </c>
      <c r="L54" s="443"/>
      <c r="M54" s="217">
        <f t="shared" si="136"/>
        <v>0.42229563522428443</v>
      </c>
      <c r="N54" s="172">
        <f t="shared" si="137"/>
        <v>166.02865087341814</v>
      </c>
      <c r="O54" s="172">
        <f t="shared" si="98"/>
        <v>49.98</v>
      </c>
      <c r="P54" s="217">
        <f t="shared" si="138"/>
        <v>0.97663912278481257</v>
      </c>
      <c r="Q54" s="217">
        <f t="shared" si="139"/>
        <v>170</v>
      </c>
      <c r="R54" s="217">
        <f t="shared" si="140"/>
        <v>0.96577416344604483</v>
      </c>
      <c r="S54" s="172">
        <f t="shared" si="141"/>
        <v>1089.230005153699</v>
      </c>
      <c r="T54" s="172">
        <f t="shared" si="142"/>
        <v>170</v>
      </c>
      <c r="U54" s="217">
        <f t="shared" si="143"/>
        <v>20.356432661826311</v>
      </c>
      <c r="V54" s="217">
        <f t="shared" si="11"/>
        <v>0.87265485841753876</v>
      </c>
      <c r="W54" s="217">
        <f t="shared" si="144"/>
        <v>1.1938001638571174</v>
      </c>
      <c r="X54" s="197">
        <f t="shared" si="145"/>
        <v>350</v>
      </c>
      <c r="Y54" s="443">
        <f t="shared" si="14"/>
        <v>350</v>
      </c>
      <c r="AA54" s="217">
        <f t="shared" si="146"/>
        <v>28.145415965853189</v>
      </c>
      <c r="AB54" s="173">
        <f t="shared" si="147"/>
        <v>1.6505840070333713</v>
      </c>
      <c r="AC54" s="173">
        <f t="shared" si="148"/>
        <v>0.40649326781471606</v>
      </c>
      <c r="AD54" s="173"/>
      <c r="AE54" s="173">
        <f t="shared" si="149"/>
        <v>0.78193147996623735</v>
      </c>
      <c r="AF54" s="545">
        <f t="shared" si="150"/>
        <v>1127.9760728370768</v>
      </c>
      <c r="AG54" s="528">
        <f t="shared" si="151"/>
        <v>9.1225339329394375E-2</v>
      </c>
      <c r="AI54" s="173">
        <f t="shared" si="152"/>
        <v>23.93616985803704</v>
      </c>
      <c r="AJ54" s="173">
        <f t="shared" si="153"/>
        <v>23.93616985803704</v>
      </c>
      <c r="AK54" s="173">
        <f t="shared" si="154"/>
        <v>9.0539529812620039</v>
      </c>
      <c r="AM54" s="545">
        <f t="shared" si="155"/>
        <v>294</v>
      </c>
      <c r="AN54" s="460">
        <f t="shared" si="156"/>
        <v>350</v>
      </c>
      <c r="AP54">
        <f t="shared" si="157"/>
        <v>294</v>
      </c>
      <c r="AQ54" s="460">
        <f t="shared" si="158"/>
        <v>350</v>
      </c>
      <c r="AR54" s="460"/>
      <c r="AS54" s="5">
        <f t="shared" si="101"/>
        <v>2.8571428571428572</v>
      </c>
      <c r="AT54" s="5">
        <f t="shared" si="159"/>
        <v>1.0261137236336118</v>
      </c>
      <c r="AU54" s="5">
        <f t="shared" si="102"/>
        <v>1.8310291335092455</v>
      </c>
      <c r="AV54" s="5">
        <f t="shared" si="160"/>
        <v>1.4037333541363608</v>
      </c>
      <c r="AW54" s="173">
        <f t="shared" si="103"/>
        <v>0.35913980327176409</v>
      </c>
      <c r="AX54" s="173">
        <f t="shared" si="161"/>
        <v>50.132269903870082</v>
      </c>
      <c r="AY54" s="173">
        <f t="shared" si="162"/>
        <v>0.38349346310355226</v>
      </c>
      <c r="AZ54" s="173">
        <f t="shared" si="104"/>
        <v>130.72522670440719</v>
      </c>
      <c r="BA54" s="460">
        <f t="shared" si="163"/>
        <v>0.17745731455781286</v>
      </c>
      <c r="BB54" s="5">
        <f t="shared" si="164"/>
        <v>12.554005729449042</v>
      </c>
      <c r="BC54" s="5"/>
      <c r="BD54" s="173">
        <f t="shared" si="105"/>
        <v>8.2818202624998953</v>
      </c>
      <c r="BE54" s="173">
        <f t="shared" si="165"/>
        <v>0.55315352517161354</v>
      </c>
      <c r="BF54" s="173"/>
      <c r="BG54" s="528">
        <f t="shared" si="166"/>
        <v>2.7435418744141531</v>
      </c>
      <c r="BH54" s="528">
        <f t="shared" si="167"/>
        <v>3.9633254629737258</v>
      </c>
      <c r="BI54" s="528">
        <f t="shared" si="168"/>
        <v>0.16328910251090892</v>
      </c>
      <c r="BJ54" s="528">
        <f t="shared" si="169"/>
        <v>3.09461818950101E-2</v>
      </c>
      <c r="BK54">
        <f t="shared" si="170"/>
        <v>5.2485782949935004E-3</v>
      </c>
      <c r="BL54" s="460">
        <f t="shared" si="106"/>
        <v>168.53768080590243</v>
      </c>
      <c r="BM54" s="528">
        <f t="shared" si="171"/>
        <v>21.481843614280557</v>
      </c>
      <c r="BN54" s="460">
        <f t="shared" si="107"/>
        <v>21481.843614280555</v>
      </c>
      <c r="BO54" s="528">
        <f t="shared" si="172"/>
        <v>0.25519199999999997</v>
      </c>
      <c r="BP54" s="528"/>
      <c r="BR54" s="460">
        <f t="shared" si="109"/>
        <v>255.19199999999998</v>
      </c>
      <c r="BS54" s="528">
        <f t="shared" si="173"/>
        <v>2.057656405810615</v>
      </c>
      <c r="BT54" s="528">
        <f t="shared" si="174"/>
        <v>9.1793646722934871E-3</v>
      </c>
      <c r="BU54" s="528">
        <f t="shared" si="175"/>
        <v>0.74969999999999992</v>
      </c>
      <c r="BV54" s="528">
        <f t="shared" si="176"/>
        <v>3.9688059663948803</v>
      </c>
      <c r="BW54" s="528">
        <f t="shared" si="177"/>
        <v>5.0132269903870093</v>
      </c>
      <c r="BX54" s="460">
        <f t="shared" si="110"/>
        <v>8982.0329567818899</v>
      </c>
      <c r="BY54" s="173">
        <f t="shared" si="45"/>
        <v>30.887606251868352</v>
      </c>
      <c r="BZ54" s="5">
        <f t="shared" si="111"/>
        <v>49.98</v>
      </c>
      <c r="CA54" s="173">
        <f t="shared" si="112"/>
        <v>0.61804722949673396</v>
      </c>
      <c r="CB54" s="5">
        <f t="shared" si="113"/>
        <v>61.804722949673398</v>
      </c>
      <c r="CE54" s="562">
        <f t="shared" si="178"/>
        <v>-50</v>
      </c>
      <c r="CF54">
        <f t="shared" si="179"/>
        <v>-50</v>
      </c>
      <c r="CG54" s="173">
        <f t="shared" si="180"/>
        <v>0.49205451634836506</v>
      </c>
      <c r="CI54" s="170">
        <v>49</v>
      </c>
      <c r="CJ54" s="217">
        <f t="shared" si="114"/>
        <v>0.29399999999999998</v>
      </c>
      <c r="CK54" s="217"/>
      <c r="CL54" s="217">
        <f t="shared" si="49"/>
        <v>49.98</v>
      </c>
      <c r="CM54" s="541">
        <f t="shared" si="50"/>
        <v>12.5</v>
      </c>
      <c r="CN54" s="172">
        <f t="shared" si="51"/>
        <v>8.5250000000000004</v>
      </c>
      <c r="CO54" s="443">
        <f t="shared" si="52"/>
        <v>21.024999999999999</v>
      </c>
      <c r="CP54" s="443"/>
      <c r="CQ54" s="217">
        <f t="shared" si="53"/>
        <v>0.40546967895362668</v>
      </c>
      <c r="CR54" s="172">
        <f t="shared" si="54"/>
        <v>170.84633868410626</v>
      </c>
      <c r="CS54" s="172">
        <f t="shared" si="115"/>
        <v>49.98</v>
      </c>
      <c r="CT54" s="217">
        <f t="shared" si="55"/>
        <v>1.0049784628476839</v>
      </c>
      <c r="CU54" s="217">
        <f t="shared" si="56"/>
        <v>170</v>
      </c>
      <c r="CV54" s="217">
        <f t="shared" si="57"/>
        <v>0.99379823272947732</v>
      </c>
      <c r="CW54" s="172">
        <f t="shared" si="58"/>
        <v>1167.3405952464502</v>
      </c>
      <c r="CX54" s="172">
        <f t="shared" si="59"/>
        <v>170</v>
      </c>
      <c r="CY54" s="217">
        <f t="shared" si="60"/>
        <v>19.722313196480933</v>
      </c>
      <c r="CZ54" s="217">
        <f t="shared" si="61"/>
        <v>0.78889252785923725</v>
      </c>
      <c r="DA54" s="217">
        <f t="shared" si="62"/>
        <v>1.1567339118170634</v>
      </c>
      <c r="DB54" s="197">
        <f t="shared" si="63"/>
        <v>350</v>
      </c>
      <c r="DC54" s="443">
        <f t="shared" si="116"/>
        <v>350</v>
      </c>
      <c r="DE54" s="217">
        <f t="shared" si="64"/>
        <v>28.962119925259049</v>
      </c>
      <c r="DF54" s="173">
        <f t="shared" si="65"/>
        <v>1.6986580601324954</v>
      </c>
      <c r="DG54" s="173">
        <f t="shared" si="66"/>
        <v>0.4304714614336958</v>
      </c>
      <c r="DH54" s="173"/>
      <c r="DI54" s="173">
        <f t="shared" si="67"/>
        <v>0.78201368523949166</v>
      </c>
      <c r="DJ54" s="545">
        <f t="shared" si="117"/>
        <v>1127.8575000000001</v>
      </c>
      <c r="DK54" s="528">
        <f t="shared" si="68"/>
        <v>9.1234929944607357E-2</v>
      </c>
      <c r="DM54" s="173">
        <f t="shared" si="69"/>
        <v>23.93491173996679</v>
      </c>
      <c r="DN54" s="173">
        <f t="shared" si="70"/>
        <v>23.93491173996679</v>
      </c>
      <c r="DO54" s="173">
        <f t="shared" si="71"/>
        <v>9.0530210419507071</v>
      </c>
      <c r="DQ54" s="545">
        <f t="shared" si="72"/>
        <v>294</v>
      </c>
      <c r="DR54" s="460">
        <f t="shared" si="73"/>
        <v>350</v>
      </c>
      <c r="DT54">
        <f t="shared" si="74"/>
        <v>294</v>
      </c>
      <c r="DU54" s="460">
        <f t="shared" si="75"/>
        <v>350</v>
      </c>
      <c r="DV54" s="460"/>
      <c r="DW54" s="5">
        <f t="shared" si="118"/>
        <v>2.8571428571428572</v>
      </c>
      <c r="DX54" s="5">
        <f t="shared" si="76"/>
        <v>0.95739646959867142</v>
      </c>
      <c r="DY54" s="5">
        <f t="shared" si="119"/>
        <v>1.8997463875441858</v>
      </c>
      <c r="DZ54" s="5">
        <f t="shared" si="77"/>
        <v>1.4038071401740051</v>
      </c>
      <c r="EA54" s="173">
        <f t="shared" si="120"/>
        <v>0.335088764359535</v>
      </c>
      <c r="EB54" s="173">
        <f t="shared" si="78"/>
        <v>50.12700000000001</v>
      </c>
      <c r="EC54" s="173">
        <f t="shared" si="79"/>
        <v>0.3978647934991697</v>
      </c>
      <c r="ED54" s="173">
        <f t="shared" si="121"/>
        <v>125.99003686438172</v>
      </c>
      <c r="EE54" s="460">
        <f t="shared" si="80"/>
        <v>0.16557327180118198</v>
      </c>
      <c r="EF54" s="5">
        <f t="shared" si="81"/>
        <v>12.153513529530674</v>
      </c>
      <c r="EG54" s="5"/>
      <c r="EH54" s="173">
        <f t="shared" si="122"/>
        <v>7.9992843706232133</v>
      </c>
      <c r="EI54" s="173">
        <f t="shared" si="82"/>
        <v>0.56340804386763776</v>
      </c>
      <c r="EJ54" s="173"/>
      <c r="EK54" s="528">
        <f t="shared" si="83"/>
        <v>2.5595420176838726</v>
      </c>
      <c r="EL54" s="528">
        <f t="shared" si="84"/>
        <v>4.8436033735782162</v>
      </c>
      <c r="EM54" s="528">
        <f t="shared" si="85"/>
        <v>6.9999999999999993E-2</v>
      </c>
      <c r="EN54" s="528">
        <f t="shared" si="86"/>
        <v>3.094354375E-2</v>
      </c>
      <c r="EO54">
        <f t="shared" si="87"/>
        <v>5.6249999999999998E-3</v>
      </c>
      <c r="EP54" s="460">
        <f t="shared" si="123"/>
        <v>75.625</v>
      </c>
      <c r="EQ54" s="528">
        <f t="shared" si="88"/>
        <v>20.928241248788471</v>
      </c>
      <c r="ER54" s="460">
        <f t="shared" si="124"/>
        <v>20928.241248788472</v>
      </c>
      <c r="ES54" s="528">
        <f t="shared" si="125"/>
        <v>0.25519199999999997</v>
      </c>
      <c r="ET54" s="528"/>
      <c r="EV54" s="460">
        <f t="shared" si="126"/>
        <v>255.19199999999998</v>
      </c>
      <c r="EW54" s="528">
        <f t="shared" si="89"/>
        <v>1.9196565132629044</v>
      </c>
      <c r="EX54" s="528">
        <f t="shared" si="90"/>
        <v>9.5228587168427418E-3</v>
      </c>
      <c r="EY54" s="528">
        <f t="shared" si="91"/>
        <v>321.15869986577985</v>
      </c>
      <c r="EZ54" s="528">
        <f t="shared" si="92"/>
        <v>382.59905932633194</v>
      </c>
      <c r="FA54" s="528">
        <f t="shared" si="93"/>
        <v>5.0127000000000015</v>
      </c>
      <c r="FB54" s="460">
        <f t="shared" si="127"/>
        <v>387611.75932633196</v>
      </c>
      <c r="FC54" s="173">
        <f t="shared" si="128"/>
        <v>408.79519257512038</v>
      </c>
      <c r="FD54" s="5">
        <f t="shared" si="129"/>
        <v>49.98</v>
      </c>
      <c r="FE54" s="173">
        <f t="shared" si="130"/>
        <v>0.10894224624365716</v>
      </c>
      <c r="FF54" s="5">
        <f t="shared" si="131"/>
        <v>10.894224624365716</v>
      </c>
      <c r="FI54" s="562">
        <f t="shared" si="94"/>
        <v>-50</v>
      </c>
      <c r="FJ54">
        <f t="shared" si="95"/>
        <v>-50</v>
      </c>
      <c r="FL54">
        <f t="shared" si="181"/>
        <v>0.49133249906090176</v>
      </c>
    </row>
    <row r="55" spans="5:168">
      <c r="E55" s="170">
        <v>50</v>
      </c>
      <c r="F55" s="217">
        <f t="shared" si="182"/>
        <v>0.3</v>
      </c>
      <c r="G55" s="217"/>
      <c r="H55" s="217">
        <f t="shared" si="132"/>
        <v>51</v>
      </c>
      <c r="I55" s="541">
        <f t="shared" si="133"/>
        <v>11.655014793028895</v>
      </c>
      <c r="J55" s="172">
        <f t="shared" si="134"/>
        <v>8.5259053412931838</v>
      </c>
      <c r="K55" s="172">
        <f t="shared" si="135"/>
        <v>21.025905341293182</v>
      </c>
      <c r="L55" s="443"/>
      <c r="M55" s="217">
        <f t="shared" si="136"/>
        <v>0.42247360640102893</v>
      </c>
      <c r="N55" s="172">
        <f t="shared" si="137"/>
        <v>165.97768045854258</v>
      </c>
      <c r="O55" s="172">
        <f t="shared" si="98"/>
        <v>51</v>
      </c>
      <c r="P55" s="217">
        <f t="shared" si="138"/>
        <v>0.97633929681495635</v>
      </c>
      <c r="Q55" s="217">
        <f t="shared" si="139"/>
        <v>170</v>
      </c>
      <c r="R55" s="217">
        <f t="shared" si="140"/>
        <v>0.96547767299377629</v>
      </c>
      <c r="S55" s="172">
        <f t="shared" si="141"/>
        <v>1062.0110409263034</v>
      </c>
      <c r="T55" s="172">
        <f t="shared" si="142"/>
        <v>170</v>
      </c>
      <c r="U55" s="217">
        <f t="shared" si="143"/>
        <v>20.778271145704014</v>
      </c>
      <c r="V55" s="217">
        <f t="shared" si="11"/>
        <v>0.89138759215183172</v>
      </c>
      <c r="W55" s="217">
        <f t="shared" si="144"/>
        <v>1.2185375226411104</v>
      </c>
      <c r="X55" s="197">
        <f t="shared" si="145"/>
        <v>350</v>
      </c>
      <c r="Y55" s="443">
        <f t="shared" si="14"/>
        <v>350</v>
      </c>
      <c r="AA55" s="217">
        <f t="shared" si="146"/>
        <v>28.136775363021211</v>
      </c>
      <c r="AB55" s="173">
        <f t="shared" si="147"/>
        <v>1.6500755190623257</v>
      </c>
      <c r="AC55" s="173">
        <f t="shared" si="148"/>
        <v>0.4062432868539263</v>
      </c>
      <c r="AD55" s="173"/>
      <c r="AE55" s="173">
        <f t="shared" si="149"/>
        <v>0.78193064546216118</v>
      </c>
      <c r="AF55" s="545">
        <f t="shared" si="150"/>
        <v>1150.9972210745798</v>
      </c>
      <c r="AG55" s="528">
        <f t="shared" si="151"/>
        <v>9.1225241970585458E-2</v>
      </c>
      <c r="AI55" s="173">
        <f t="shared" si="152"/>
        <v>24.179195791366734</v>
      </c>
      <c r="AJ55" s="173">
        <f t="shared" si="153"/>
        <v>24.179195791366734</v>
      </c>
      <c r="AK55" s="173">
        <f t="shared" si="154"/>
        <v>9.2339721911358499</v>
      </c>
      <c r="AM55" s="545">
        <f t="shared" si="155"/>
        <v>300</v>
      </c>
      <c r="AN55" s="460">
        <f t="shared" si="156"/>
        <v>350</v>
      </c>
      <c r="AP55">
        <f t="shared" si="157"/>
        <v>300</v>
      </c>
      <c r="AQ55" s="460">
        <f t="shared" si="158"/>
        <v>350</v>
      </c>
      <c r="AR55" s="460"/>
      <c r="AS55" s="5">
        <f t="shared" si="101"/>
        <v>2.8571428571428572</v>
      </c>
      <c r="AT55" s="5">
        <f t="shared" si="159"/>
        <v>1.0372872201684724</v>
      </c>
      <c r="AU55" s="5">
        <f t="shared" si="102"/>
        <v>1.8198556369743848</v>
      </c>
      <c r="AV55" s="5">
        <f t="shared" si="160"/>
        <v>1.4179840628924518</v>
      </c>
      <c r="AW55" s="173">
        <f t="shared" si="103"/>
        <v>0.36305052705896534</v>
      </c>
      <c r="AX55" s="173">
        <f t="shared" si="161"/>
        <v>51.155432047759099</v>
      </c>
      <c r="AY55" s="173">
        <f t="shared" si="162"/>
        <v>0.38502315038622814</v>
      </c>
      <c r="AZ55" s="173">
        <f t="shared" si="104"/>
        <v>132.86326288807197</v>
      </c>
      <c r="BA55" s="460">
        <f t="shared" si="163"/>
        <v>0.18305068591208337</v>
      </c>
      <c r="BB55" s="5">
        <f t="shared" si="164"/>
        <v>12.741315443540305</v>
      </c>
      <c r="BC55" s="5"/>
      <c r="BD55" s="173">
        <f t="shared" si="105"/>
        <v>8.4113317142481225</v>
      </c>
      <c r="BE55" s="173">
        <f t="shared" si="165"/>
        <v>0.55706223881470218</v>
      </c>
      <c r="BF55" s="173"/>
      <c r="BG55" s="528">
        <f t="shared" si="166"/>
        <v>2.8300200482846503</v>
      </c>
      <c r="BH55" s="528">
        <f t="shared" si="167"/>
        <v>4.0035671702607374</v>
      </c>
      <c r="BI55" s="528">
        <f t="shared" si="168"/>
        <v>0.16317020710240454</v>
      </c>
      <c r="BJ55" s="528">
        <f t="shared" si="169"/>
        <v>3.0946208679471482E-2</v>
      </c>
      <c r="BK55">
        <f t="shared" si="170"/>
        <v>5.2447566568630029E-3</v>
      </c>
      <c r="BL55" s="460">
        <f t="shared" si="106"/>
        <v>168.41496375926755</v>
      </c>
      <c r="BM55" s="528">
        <f t="shared" si="171"/>
        <v>23.287350634064612</v>
      </c>
      <c r="BN55" s="460">
        <f t="shared" si="107"/>
        <v>23287.350634064613</v>
      </c>
      <c r="BO55" s="528">
        <f t="shared" si="172"/>
        <v>0.26039999999999996</v>
      </c>
      <c r="BP55" s="528"/>
      <c r="BR55" s="460">
        <f t="shared" si="109"/>
        <v>260.39999999999998</v>
      </c>
      <c r="BS55" s="528">
        <f t="shared" si="173"/>
        <v>2.1225150362134877</v>
      </c>
      <c r="BT55" s="528">
        <f t="shared" si="174"/>
        <v>9.3095501373974491E-3</v>
      </c>
      <c r="BU55" s="528">
        <f t="shared" si="175"/>
        <v>0.76500000000000001</v>
      </c>
      <c r="BV55" s="528">
        <f t="shared" si="176"/>
        <v>4.1092843618705199</v>
      </c>
      <c r="BW55" s="528">
        <f t="shared" si="177"/>
        <v>5.1155432047759097</v>
      </c>
      <c r="BX55" s="460">
        <f t="shared" si="110"/>
        <v>9224.8275666464287</v>
      </c>
      <c r="BY55" s="173">
        <f t="shared" si="45"/>
        <v>32.940993164470314</v>
      </c>
      <c r="BZ55" s="5">
        <f t="shared" si="111"/>
        <v>51</v>
      </c>
      <c r="CA55" s="173">
        <f t="shared" si="112"/>
        <v>0.60756965193481605</v>
      </c>
      <c r="CB55" s="5">
        <f t="shared" si="113"/>
        <v>60.756965193481605</v>
      </c>
      <c r="CE55" s="562">
        <f t="shared" si="178"/>
        <v>-50</v>
      </c>
      <c r="CF55">
        <f t="shared" si="179"/>
        <v>-50</v>
      </c>
      <c r="CG55" s="173">
        <f t="shared" si="180"/>
        <v>0.49705012174770835</v>
      </c>
      <c r="CI55" s="170">
        <v>50</v>
      </c>
      <c r="CJ55" s="217">
        <f t="shared" si="114"/>
        <v>0.3</v>
      </c>
      <c r="CK55" s="217"/>
      <c r="CL55" s="217">
        <f t="shared" si="49"/>
        <v>51</v>
      </c>
      <c r="CM55" s="541">
        <f t="shared" si="50"/>
        <v>12.5</v>
      </c>
      <c r="CN55" s="172">
        <f t="shared" si="51"/>
        <v>8.5250000000000004</v>
      </c>
      <c r="CO55" s="443">
        <f t="shared" si="52"/>
        <v>21.024999999999999</v>
      </c>
      <c r="CP55" s="443"/>
      <c r="CQ55" s="217">
        <f t="shared" si="53"/>
        <v>0.40546967895362668</v>
      </c>
      <c r="CR55" s="172">
        <f t="shared" si="54"/>
        <v>170.84633868410626</v>
      </c>
      <c r="CS55" s="172">
        <f t="shared" si="115"/>
        <v>51</v>
      </c>
      <c r="CT55" s="217">
        <f t="shared" si="55"/>
        <v>1.0049784628476839</v>
      </c>
      <c r="CU55" s="217">
        <f t="shared" si="56"/>
        <v>170</v>
      </c>
      <c r="CV55" s="217">
        <f t="shared" si="57"/>
        <v>0.99379823272947732</v>
      </c>
      <c r="CW55" s="172">
        <f t="shared" si="58"/>
        <v>1138.9985862606168</v>
      </c>
      <c r="CX55" s="172">
        <f t="shared" si="59"/>
        <v>170</v>
      </c>
      <c r="CY55" s="217">
        <f t="shared" si="60"/>
        <v>20.124809384164219</v>
      </c>
      <c r="CZ55" s="217">
        <f t="shared" si="61"/>
        <v>0.80499237536656876</v>
      </c>
      <c r="DA55" s="217">
        <f t="shared" si="62"/>
        <v>1.1803407263439425</v>
      </c>
      <c r="DB55" s="197">
        <f t="shared" si="63"/>
        <v>350</v>
      </c>
      <c r="DC55" s="443">
        <f t="shared" si="116"/>
        <v>350</v>
      </c>
      <c r="DE55" s="217">
        <f t="shared" si="64"/>
        <v>28.962119925259049</v>
      </c>
      <c r="DF55" s="173">
        <f t="shared" si="65"/>
        <v>1.6986580601324954</v>
      </c>
      <c r="DG55" s="173">
        <f t="shared" si="66"/>
        <v>0.4304714614336958</v>
      </c>
      <c r="DH55" s="173"/>
      <c r="DI55" s="173">
        <f t="shared" si="67"/>
        <v>0.78201368523949166</v>
      </c>
      <c r="DJ55" s="545">
        <f t="shared" si="117"/>
        <v>1150.875</v>
      </c>
      <c r="DK55" s="528">
        <f t="shared" si="68"/>
        <v>9.1234929944607357E-2</v>
      </c>
      <c r="DM55" s="173">
        <f t="shared" si="69"/>
        <v>24.177911997760035</v>
      </c>
      <c r="DN55" s="173">
        <f t="shared" si="70"/>
        <v>24.177911997760035</v>
      </c>
      <c r="DO55" s="173">
        <f t="shared" si="71"/>
        <v>9.2330212329086656</v>
      </c>
      <c r="DQ55" s="545">
        <f t="shared" si="72"/>
        <v>300</v>
      </c>
      <c r="DR55" s="460">
        <f t="shared" si="73"/>
        <v>350</v>
      </c>
      <c r="DT55">
        <f t="shared" si="74"/>
        <v>300</v>
      </c>
      <c r="DU55" s="460">
        <f t="shared" si="75"/>
        <v>350</v>
      </c>
      <c r="DV55" s="460"/>
      <c r="DW55" s="5">
        <f t="shared" si="118"/>
        <v>2.8571428571428572</v>
      </c>
      <c r="DX55" s="5">
        <f t="shared" si="76"/>
        <v>0.96711647991040139</v>
      </c>
      <c r="DY55" s="5">
        <f t="shared" si="119"/>
        <v>1.8900263772324557</v>
      </c>
      <c r="DZ55" s="5">
        <f t="shared" si="77"/>
        <v>1.4180593547073332</v>
      </c>
      <c r="EA55" s="173">
        <f t="shared" si="120"/>
        <v>0.33849076796864047</v>
      </c>
      <c r="EB55" s="173">
        <f t="shared" si="78"/>
        <v>51.150000000000006</v>
      </c>
      <c r="EC55" s="173">
        <f t="shared" si="79"/>
        <v>0.39984779994400088</v>
      </c>
      <c r="ED55" s="173">
        <f t="shared" si="121"/>
        <v>127.92367497623751</v>
      </c>
      <c r="EE55" s="460">
        <f t="shared" si="80"/>
        <v>0.17066761410183551</v>
      </c>
      <c r="EF55" s="5">
        <f t="shared" si="81"/>
        <v>12.338092190573471</v>
      </c>
      <c r="EG55" s="5"/>
      <c r="EH55" s="173">
        <f t="shared" si="122"/>
        <v>8.1214126806787359</v>
      </c>
      <c r="EI55" s="173">
        <f t="shared" si="82"/>
        <v>0.56767023642087644</v>
      </c>
      <c r="EJ55" s="173"/>
      <c r="EK55" s="528">
        <f t="shared" si="83"/>
        <v>2.6382937571955751</v>
      </c>
      <c r="EL55" s="528">
        <f t="shared" si="84"/>
        <v>4.8927782726217073</v>
      </c>
      <c r="EM55" s="528">
        <f t="shared" si="85"/>
        <v>6.9999999999999993E-2</v>
      </c>
      <c r="EN55" s="528">
        <f t="shared" si="86"/>
        <v>3.094354375E-2</v>
      </c>
      <c r="EO55">
        <f t="shared" si="87"/>
        <v>5.6249999999999998E-3</v>
      </c>
      <c r="EP55" s="460">
        <f t="shared" si="123"/>
        <v>75.625</v>
      </c>
      <c r="EQ55" s="528">
        <f t="shared" si="88"/>
        <v>22.377521803746852</v>
      </c>
      <c r="ER55" s="460">
        <f t="shared" si="124"/>
        <v>22377.521803746851</v>
      </c>
      <c r="ES55" s="528">
        <f t="shared" si="125"/>
        <v>0.26039999999999996</v>
      </c>
      <c r="ET55" s="528"/>
      <c r="EV55" s="460">
        <f t="shared" si="126"/>
        <v>260.39999999999998</v>
      </c>
      <c r="EW55" s="528">
        <f t="shared" si="89"/>
        <v>1.9787203178966812</v>
      </c>
      <c r="EX55" s="528">
        <f t="shared" si="90"/>
        <v>9.6674849195440126E-3</v>
      </c>
      <c r="EY55" s="528">
        <f t="shared" si="91"/>
        <v>329.37231821167421</v>
      </c>
      <c r="EZ55" s="528">
        <f t="shared" si="92"/>
        <v>394.60873468114488</v>
      </c>
      <c r="FA55" s="528">
        <f t="shared" si="93"/>
        <v>5.1150000000000011</v>
      </c>
      <c r="FB55" s="460">
        <f t="shared" si="127"/>
        <v>399723.73468114488</v>
      </c>
      <c r="FC55" s="173">
        <f t="shared" si="128"/>
        <v>422.36165648489174</v>
      </c>
      <c r="FD55" s="5">
        <f t="shared" si="129"/>
        <v>51</v>
      </c>
      <c r="FE55" s="173">
        <f t="shared" si="130"/>
        <v>0.10774003196354744</v>
      </c>
      <c r="FF55" s="5">
        <f t="shared" si="131"/>
        <v>10.774003196354744</v>
      </c>
      <c r="FI55" s="562">
        <f t="shared" si="94"/>
        <v>-50</v>
      </c>
      <c r="FJ55">
        <f t="shared" si="95"/>
        <v>-50</v>
      </c>
      <c r="FL55">
        <f t="shared" si="181"/>
        <v>0.49632077414756665</v>
      </c>
    </row>
    <row r="56" spans="5:168">
      <c r="E56" s="170">
        <v>51</v>
      </c>
      <c r="F56" s="217">
        <f t="shared" si="182"/>
        <v>0.30599999999999999</v>
      </c>
      <c r="G56" s="217"/>
      <c r="H56" s="217">
        <f t="shared" si="132"/>
        <v>52.019999999999996</v>
      </c>
      <c r="I56" s="541">
        <f t="shared" si="133"/>
        <v>11.646606772935243</v>
      </c>
      <c r="J56" s="172">
        <f t="shared" si="134"/>
        <v>8.5259143498861416</v>
      </c>
      <c r="K56" s="172">
        <f t="shared" si="135"/>
        <v>21.025914349886143</v>
      </c>
      <c r="L56" s="443"/>
      <c r="M56" s="217">
        <f t="shared" si="136"/>
        <v>0.42264995405032196</v>
      </c>
      <c r="N56" s="172">
        <f t="shared" si="137"/>
        <v>165.92717476230871</v>
      </c>
      <c r="O56" s="172">
        <f t="shared" si="98"/>
        <v>52.019999999999996</v>
      </c>
      <c r="P56" s="217">
        <f t="shared" si="138"/>
        <v>0.9760422044841689</v>
      </c>
      <c r="Q56" s="217">
        <f t="shared" si="139"/>
        <v>170</v>
      </c>
      <c r="R56" s="217">
        <f t="shared" si="140"/>
        <v>0.96518388576926473</v>
      </c>
      <c r="S56" s="172">
        <f t="shared" si="141"/>
        <v>1035.8737912292129</v>
      </c>
      <c r="T56" s="172">
        <f t="shared" si="142"/>
        <v>170</v>
      </c>
      <c r="U56" s="217">
        <f t="shared" si="143"/>
        <v>21.200310082017104</v>
      </c>
      <c r="V56" s="217">
        <f t="shared" si="11"/>
        <v>0.91014964681743449</v>
      </c>
      <c r="W56" s="217">
        <f t="shared" si="144"/>
        <v>1.2432865973079017</v>
      </c>
      <c r="X56" s="197">
        <f t="shared" si="145"/>
        <v>350</v>
      </c>
      <c r="Y56" s="443">
        <f t="shared" si="14"/>
        <v>350</v>
      </c>
      <c r="AA56" s="217">
        <f t="shared" si="146"/>
        <v>28.128213540239546</v>
      </c>
      <c r="AB56" s="173">
        <f t="shared" si="147"/>
        <v>1.6495716697303662</v>
      </c>
      <c r="AC56" s="173">
        <f t="shared" si="148"/>
        <v>0.40599566154092082</v>
      </c>
      <c r="AD56" s="173"/>
      <c r="AE56" s="173">
        <f t="shared" si="149"/>
        <v>0.78192981926398264</v>
      </c>
      <c r="AF56" s="545">
        <f t="shared" si="150"/>
        <v>1174.0184059793216</v>
      </c>
      <c r="AG56" s="528">
        <f t="shared" si="151"/>
        <v>9.1225145580797987E-2</v>
      </c>
      <c r="AI56" s="173">
        <f t="shared" si="152"/>
        <v>24.419803631199049</v>
      </c>
      <c r="AJ56" s="173">
        <f t="shared" si="153"/>
        <v>24.419803631199049</v>
      </c>
      <c r="AK56" s="173">
        <f t="shared" si="154"/>
        <v>9.4122002206412692</v>
      </c>
      <c r="AM56" s="545">
        <f t="shared" si="155"/>
        <v>306</v>
      </c>
      <c r="AN56" s="460">
        <f t="shared" si="156"/>
        <v>350</v>
      </c>
      <c r="AP56">
        <f t="shared" si="157"/>
        <v>306</v>
      </c>
      <c r="AQ56" s="460">
        <f t="shared" si="158"/>
        <v>350</v>
      </c>
      <c r="AR56" s="460"/>
      <c r="AS56" s="5">
        <f t="shared" si="101"/>
        <v>2.8571428571428572</v>
      </c>
      <c r="AT56" s="5">
        <f t="shared" si="159"/>
        <v>1.0483655929702447</v>
      </c>
      <c r="AU56" s="5">
        <f t="shared" si="102"/>
        <v>1.8087772641726125</v>
      </c>
      <c r="AV56" s="5">
        <f t="shared" si="160"/>
        <v>1.4320929479854063</v>
      </c>
      <c r="AW56" s="173">
        <f t="shared" si="103"/>
        <v>0.36692795753958563</v>
      </c>
      <c r="AX56" s="173">
        <f t="shared" si="161"/>
        <v>52.17859582130319</v>
      </c>
      <c r="AY56" s="173">
        <f t="shared" si="162"/>
        <v>0.38648737403213562</v>
      </c>
      <c r="AZ56" s="173">
        <f t="shared" si="104"/>
        <v>135.00724558459871</v>
      </c>
      <c r="BA56" s="460">
        <f t="shared" si="163"/>
        <v>0.18870580673464404</v>
      </c>
      <c r="BB56" s="5">
        <f t="shared" si="164"/>
        <v>12.926352901470278</v>
      </c>
      <c r="BC56" s="5"/>
      <c r="BD56" s="173">
        <f t="shared" si="105"/>
        <v>8.5402766972001753</v>
      </c>
      <c r="BE56" s="173">
        <f t="shared" si="165"/>
        <v>0.56089053536325995</v>
      </c>
      <c r="BF56" s="173"/>
      <c r="BG56" s="528">
        <f t="shared" si="166"/>
        <v>2.9174530425896137</v>
      </c>
      <c r="BH56" s="528">
        <f t="shared" si="167"/>
        <v>4.04340850927621</v>
      </c>
      <c r="BI56" s="528">
        <f t="shared" si="168"/>
        <v>0.16305249482109341</v>
      </c>
      <c r="BJ56" s="528">
        <f t="shared" si="169"/>
        <v>3.0946235197412367E-2</v>
      </c>
      <c r="BK56">
        <f t="shared" si="170"/>
        <v>5.2409730478208596E-3</v>
      </c>
      <c r="BL56" s="460">
        <f t="shared" si="106"/>
        <v>168.29346786891426</v>
      </c>
      <c r="BM56" s="528">
        <f t="shared" si="171"/>
        <v>25.355888197832439</v>
      </c>
      <c r="BN56" s="460">
        <f t="shared" si="107"/>
        <v>25355.888197832439</v>
      </c>
      <c r="BO56" s="528">
        <f t="shared" si="172"/>
        <v>0.26560799999999996</v>
      </c>
      <c r="BP56" s="528"/>
      <c r="BR56" s="460">
        <f t="shared" si="109"/>
        <v>265.60799999999995</v>
      </c>
      <c r="BS56" s="528">
        <f t="shared" si="173"/>
        <v>2.1880897819422103</v>
      </c>
      <c r="BT56" s="528">
        <f t="shared" si="174"/>
        <v>9.4379457798025312E-3</v>
      </c>
      <c r="BU56" s="528">
        <f t="shared" si="175"/>
        <v>0.78029999999999988</v>
      </c>
      <c r="BV56" s="528">
        <f t="shared" si="176"/>
        <v>4.2529044118459094</v>
      </c>
      <c r="BW56" s="528">
        <f t="shared" si="177"/>
        <v>5.2178595821303198</v>
      </c>
      <c r="BX56" s="460">
        <f t="shared" si="110"/>
        <v>9470.7639939762284</v>
      </c>
      <c r="BY56" s="173">
        <f t="shared" si="45"/>
        <v>35.260553659677576</v>
      </c>
      <c r="BZ56" s="5">
        <f t="shared" si="111"/>
        <v>52.019999999999996</v>
      </c>
      <c r="CA56" s="173">
        <f t="shared" si="112"/>
        <v>0.59600905148740513</v>
      </c>
      <c r="CB56" s="5">
        <f t="shared" si="113"/>
        <v>59.600905148740516</v>
      </c>
      <c r="CE56" s="562">
        <f t="shared" si="178"/>
        <v>-50</v>
      </c>
      <c r="CF56">
        <f t="shared" si="179"/>
        <v>-50</v>
      </c>
      <c r="CG56" s="173">
        <f t="shared" si="180"/>
        <v>0.50199601592044529</v>
      </c>
      <c r="CI56" s="170">
        <v>51</v>
      </c>
      <c r="CJ56" s="217">
        <f t="shared" si="114"/>
        <v>0.30599999999999999</v>
      </c>
      <c r="CK56" s="217"/>
      <c r="CL56" s="217">
        <f t="shared" si="49"/>
        <v>52.019999999999996</v>
      </c>
      <c r="CM56" s="541">
        <f t="shared" si="50"/>
        <v>12.5</v>
      </c>
      <c r="CN56" s="172">
        <f t="shared" si="51"/>
        <v>8.5250000000000004</v>
      </c>
      <c r="CO56" s="443">
        <f t="shared" si="52"/>
        <v>21.024999999999999</v>
      </c>
      <c r="CP56" s="443"/>
      <c r="CQ56" s="217">
        <f t="shared" si="53"/>
        <v>0.40546967895362668</v>
      </c>
      <c r="CR56" s="172">
        <f t="shared" si="54"/>
        <v>170.84633868410626</v>
      </c>
      <c r="CS56" s="172">
        <f t="shared" si="115"/>
        <v>52.019999999999996</v>
      </c>
      <c r="CT56" s="217">
        <f t="shared" si="55"/>
        <v>1.0049784628476839</v>
      </c>
      <c r="CU56" s="217">
        <f t="shared" si="56"/>
        <v>170</v>
      </c>
      <c r="CV56" s="217">
        <f t="shared" si="57"/>
        <v>0.99379823272947732</v>
      </c>
      <c r="CW56" s="172">
        <f t="shared" si="58"/>
        <v>1111.7681563915119</v>
      </c>
      <c r="CX56" s="172">
        <f t="shared" si="59"/>
        <v>170</v>
      </c>
      <c r="CY56" s="217">
        <f t="shared" si="60"/>
        <v>20.527305571847503</v>
      </c>
      <c r="CZ56" s="217">
        <f t="shared" si="61"/>
        <v>0.82109222287390005</v>
      </c>
      <c r="DA56" s="217">
        <f t="shared" si="62"/>
        <v>1.2039475408708211</v>
      </c>
      <c r="DB56" s="197">
        <f t="shared" si="63"/>
        <v>350</v>
      </c>
      <c r="DC56" s="443">
        <f t="shared" si="116"/>
        <v>350</v>
      </c>
      <c r="DE56" s="217">
        <f t="shared" si="64"/>
        <v>28.962119925259049</v>
      </c>
      <c r="DF56" s="173">
        <f t="shared" si="65"/>
        <v>1.6986580601324954</v>
      </c>
      <c r="DG56" s="173">
        <f t="shared" si="66"/>
        <v>0.4304714614336958</v>
      </c>
      <c r="DH56" s="173"/>
      <c r="DI56" s="173">
        <f t="shared" si="67"/>
        <v>0.78201368523949166</v>
      </c>
      <c r="DJ56" s="545">
        <f t="shared" si="117"/>
        <v>1173.8924999999999</v>
      </c>
      <c r="DK56" s="528">
        <f t="shared" si="68"/>
        <v>9.1234929944607357E-2</v>
      </c>
      <c r="DM56" s="173">
        <f t="shared" si="69"/>
        <v>24.418494162066118</v>
      </c>
      <c r="DN56" s="173">
        <f t="shared" si="70"/>
        <v>24.418494162066118</v>
      </c>
      <c r="DO56" s="173">
        <f t="shared" si="71"/>
        <v>9.4112302435057646</v>
      </c>
      <c r="DQ56" s="545">
        <f t="shared" si="72"/>
        <v>306</v>
      </c>
      <c r="DR56" s="460">
        <f t="shared" si="73"/>
        <v>350</v>
      </c>
      <c r="DT56">
        <f t="shared" si="74"/>
        <v>306</v>
      </c>
      <c r="DU56" s="460">
        <f t="shared" si="75"/>
        <v>350</v>
      </c>
      <c r="DV56" s="460"/>
      <c r="DW56" s="5">
        <f t="shared" si="118"/>
        <v>2.8571428571428572</v>
      </c>
      <c r="DX56" s="5">
        <f t="shared" si="76"/>
        <v>0.9767397664826446</v>
      </c>
      <c r="DY56" s="5">
        <f t="shared" si="119"/>
        <v>1.8804030906602125</v>
      </c>
      <c r="DZ56" s="5">
        <f t="shared" si="77"/>
        <v>1.4321697455757254</v>
      </c>
      <c r="EA56" s="173">
        <f t="shared" si="120"/>
        <v>0.34185891826892562</v>
      </c>
      <c r="EB56" s="173">
        <f t="shared" si="78"/>
        <v>52.172999999999995</v>
      </c>
      <c r="EC56" s="173">
        <f t="shared" si="79"/>
        <v>0.40177035405165301</v>
      </c>
      <c r="ED56" s="173">
        <f t="shared" si="121"/>
        <v>129.85776445141209</v>
      </c>
      <c r="EE56" s="460">
        <f t="shared" si="80"/>
        <v>0.17581315796687605</v>
      </c>
      <c r="EF56" s="5">
        <f t="shared" si="81"/>
        <v>12.520776803346465</v>
      </c>
      <c r="EG56" s="5"/>
      <c r="EH56" s="173">
        <f t="shared" si="122"/>
        <v>8.2429318276690058</v>
      </c>
      <c r="EI56" s="173">
        <f t="shared" si="82"/>
        <v>0.57185741360650166</v>
      </c>
      <c r="EJ56" s="173"/>
      <c r="EK56" s="528">
        <f t="shared" si="83"/>
        <v>2.7178370046239482</v>
      </c>
      <c r="EL56" s="528">
        <f t="shared" si="84"/>
        <v>4.9414638326653613</v>
      </c>
      <c r="EM56" s="528">
        <f t="shared" si="85"/>
        <v>6.9999999999999993E-2</v>
      </c>
      <c r="EN56" s="528">
        <f t="shared" si="86"/>
        <v>3.094354375E-2</v>
      </c>
      <c r="EO56">
        <f t="shared" si="87"/>
        <v>5.6249999999999998E-3</v>
      </c>
      <c r="EP56" s="460">
        <f t="shared" si="123"/>
        <v>75.625</v>
      </c>
      <c r="EQ56" s="528">
        <f t="shared" si="88"/>
        <v>23.994012869796677</v>
      </c>
      <c r="ER56" s="460">
        <f t="shared" si="124"/>
        <v>23994.012869796676</v>
      </c>
      <c r="ES56" s="528">
        <f t="shared" si="125"/>
        <v>0.26560799999999996</v>
      </c>
      <c r="ET56" s="528"/>
      <c r="EV56" s="460">
        <f t="shared" si="126"/>
        <v>265.60799999999995</v>
      </c>
      <c r="EW56" s="528">
        <f t="shared" si="89"/>
        <v>2.038377753467961</v>
      </c>
      <c r="EX56" s="528">
        <f t="shared" si="90"/>
        <v>9.8106270449015258E-3</v>
      </c>
      <c r="EY56" s="528">
        <f t="shared" si="91"/>
        <v>337.62710989884727</v>
      </c>
      <c r="EZ56" s="528">
        <f t="shared" si="92"/>
        <v>406.82763414005996</v>
      </c>
      <c r="FA56" s="528">
        <f t="shared" si="93"/>
        <v>5.2172999999999998</v>
      </c>
      <c r="FB56" s="460">
        <f t="shared" si="127"/>
        <v>412044.93414005998</v>
      </c>
      <c r="FC56" s="173">
        <f t="shared" si="128"/>
        <v>436.30455500985664</v>
      </c>
      <c r="FD56" s="5">
        <f t="shared" si="129"/>
        <v>52.019999999999996</v>
      </c>
      <c r="FE56" s="173">
        <f t="shared" si="130"/>
        <v>0.10652751221766842</v>
      </c>
      <c r="FF56" s="5">
        <f t="shared" si="131"/>
        <v>10.652751221766842</v>
      </c>
      <c r="FI56" s="562">
        <f t="shared" si="94"/>
        <v>-50</v>
      </c>
      <c r="FJ56">
        <f t="shared" si="95"/>
        <v>-50</v>
      </c>
      <c r="FL56">
        <f t="shared" si="181"/>
        <v>0.50125941095150384</v>
      </c>
    </row>
    <row r="57" spans="5:168">
      <c r="E57" s="170">
        <v>52</v>
      </c>
      <c r="F57" s="217">
        <f t="shared" si="182"/>
        <v>0.312</v>
      </c>
      <c r="G57" s="217"/>
      <c r="H57" s="217">
        <f t="shared" si="132"/>
        <v>53.04</v>
      </c>
      <c r="I57" s="541">
        <f t="shared" si="133"/>
        <v>11.63828078819142</v>
      </c>
      <c r="J57" s="172">
        <f t="shared" si="134"/>
        <v>8.5259232705840802</v>
      </c>
      <c r="K57" s="172">
        <f t="shared" si="135"/>
        <v>21.02592327058408</v>
      </c>
      <c r="L57" s="443"/>
      <c r="M57" s="217">
        <f t="shared" si="136"/>
        <v>0.42282472587646874</v>
      </c>
      <c r="N57" s="172">
        <f t="shared" si="137"/>
        <v>165.87712012949132</v>
      </c>
      <c r="O57" s="172">
        <f t="shared" si="98"/>
        <v>53.04</v>
      </c>
      <c r="P57" s="217">
        <f t="shared" si="138"/>
        <v>0.97574776546759601</v>
      </c>
      <c r="Q57" s="217">
        <f t="shared" si="139"/>
        <v>170</v>
      </c>
      <c r="R57" s="217">
        <f t="shared" si="140"/>
        <v>0.96489272234125689</v>
      </c>
      <c r="S57" s="172">
        <f t="shared" si="141"/>
        <v>1010.755538787413</v>
      </c>
      <c r="T57" s="172">
        <f t="shared" si="142"/>
        <v>170</v>
      </c>
      <c r="U57" s="217">
        <f t="shared" si="143"/>
        <v>21.622547880193739</v>
      </c>
      <c r="V57" s="217">
        <f t="shared" si="11"/>
        <v>0.92894080636603482</v>
      </c>
      <c r="W57" s="217">
        <f t="shared" si="144"/>
        <v>1.2680472949360977</v>
      </c>
      <c r="X57" s="197">
        <f t="shared" si="145"/>
        <v>350</v>
      </c>
      <c r="Y57" s="443">
        <f t="shared" si="14"/>
        <v>350</v>
      </c>
      <c r="AA57" s="217">
        <f t="shared" si="146"/>
        <v>28.119728182646668</v>
      </c>
      <c r="AB57" s="173">
        <f t="shared" si="147"/>
        <v>1.6490723227397921</v>
      </c>
      <c r="AC57" s="173">
        <f t="shared" si="148"/>
        <v>0.40575032285347645</v>
      </c>
      <c r="AD57" s="173"/>
      <c r="AE57" s="173">
        <f t="shared" si="149"/>
        <v>0.78192900112857311</v>
      </c>
      <c r="AF57" s="545">
        <f t="shared" si="150"/>
        <v>1197.0396271900049</v>
      </c>
      <c r="AG57" s="528">
        <f t="shared" si="151"/>
        <v>9.1225050131666846E-2</v>
      </c>
      <c r="AI57" s="173">
        <f t="shared" si="152"/>
        <v>24.658064159550531</v>
      </c>
      <c r="AJ57" s="173">
        <f t="shared" si="153"/>
        <v>24.658064159550531</v>
      </c>
      <c r="AK57" s="173">
        <f t="shared" si="154"/>
        <v>9.5886895009016264</v>
      </c>
      <c r="AM57" s="545">
        <f t="shared" si="155"/>
        <v>312</v>
      </c>
      <c r="AN57" s="460">
        <f t="shared" si="156"/>
        <v>350</v>
      </c>
      <c r="AP57">
        <f t="shared" si="157"/>
        <v>312</v>
      </c>
      <c r="AQ57" s="460">
        <f t="shared" si="158"/>
        <v>350</v>
      </c>
      <c r="AR57" s="460"/>
      <c r="AS57" s="5">
        <f t="shared" si="101"/>
        <v>2.8571428571428572</v>
      </c>
      <c r="AT57" s="5">
        <f t="shared" si="159"/>
        <v>1.059351660623681</v>
      </c>
      <c r="AU57" s="5">
        <f t="shared" si="102"/>
        <v>1.7977911965191762</v>
      </c>
      <c r="AV57" s="5">
        <f t="shared" si="160"/>
        <v>1.4460641608531211</v>
      </c>
      <c r="AW57" s="173">
        <f t="shared" si="103"/>
        <v>0.37077308121828834</v>
      </c>
      <c r="AX57" s="173">
        <f t="shared" si="161"/>
        <v>53.201761208444665</v>
      </c>
      <c r="AY57" s="173">
        <f t="shared" si="162"/>
        <v>0.38788794335589344</v>
      </c>
      <c r="AZ57" s="173">
        <f t="shared" si="104"/>
        <v>137.15755315351782</v>
      </c>
      <c r="BA57" s="460">
        <f t="shared" si="163"/>
        <v>0.1944221871262285</v>
      </c>
      <c r="BB57" s="5">
        <f t="shared" si="164"/>
        <v>13.109131398187575</v>
      </c>
      <c r="BC57" s="5"/>
      <c r="BD57" s="173">
        <f t="shared" si="105"/>
        <v>8.6686695699144352</v>
      </c>
      <c r="BE57" s="173">
        <f t="shared" si="165"/>
        <v>0.56464046950207536</v>
      </c>
      <c r="BF57" s="173"/>
      <c r="BG57" s="528">
        <f t="shared" si="166"/>
        <v>3.0058332844944209</v>
      </c>
      <c r="BH57" s="528">
        <f t="shared" si="167"/>
        <v>4.08286119953131</v>
      </c>
      <c r="BI57" s="528">
        <f t="shared" si="168"/>
        <v>0.16293593103467988</v>
      </c>
      <c r="BJ57" s="528">
        <f t="shared" si="169"/>
        <v>3.094626145663424E-2</v>
      </c>
      <c r="BK57">
        <f t="shared" si="170"/>
        <v>5.2372263546861383E-3</v>
      </c>
      <c r="BL57" s="460">
        <f t="shared" si="106"/>
        <v>168.173157389366</v>
      </c>
      <c r="BM57" s="528">
        <f t="shared" si="171"/>
        <v>27.749569336303924</v>
      </c>
      <c r="BN57" s="460">
        <f t="shared" si="107"/>
        <v>27749.569336303925</v>
      </c>
      <c r="BO57" s="528">
        <f t="shared" si="172"/>
        <v>0.270816</v>
      </c>
      <c r="BP57" s="528"/>
      <c r="BR57" s="460">
        <f t="shared" si="109"/>
        <v>270.81599999999997</v>
      </c>
      <c r="BS57" s="528">
        <f t="shared" si="173"/>
        <v>2.2543749633708154</v>
      </c>
      <c r="BT57" s="528">
        <f t="shared" si="174"/>
        <v>9.5645657939857215E-3</v>
      </c>
      <c r="BU57" s="528">
        <f t="shared" si="175"/>
        <v>0.79559999999999997</v>
      </c>
      <c r="BV57" s="528">
        <f t="shared" si="176"/>
        <v>4.3997456668385384</v>
      </c>
      <c r="BW57" s="528">
        <f t="shared" si="177"/>
        <v>5.3201761208444669</v>
      </c>
      <c r="BX57" s="460">
        <f t="shared" si="110"/>
        <v>9719.9217876830062</v>
      </c>
      <c r="BY57" s="173">
        <f t="shared" si="45"/>
        <v>37.908480281376299</v>
      </c>
      <c r="BZ57" s="5">
        <f t="shared" si="111"/>
        <v>53.04</v>
      </c>
      <c r="CA57" s="173">
        <f t="shared" si="112"/>
        <v>0.58318731479519947</v>
      </c>
      <c r="CB57" s="5">
        <f t="shared" si="113"/>
        <v>58.318731479519947</v>
      </c>
      <c r="CE57" s="562">
        <f t="shared" si="178"/>
        <v>-50</v>
      </c>
      <c r="CF57">
        <f t="shared" si="179"/>
        <v>-50</v>
      </c>
      <c r="CG57" s="173">
        <f t="shared" si="180"/>
        <v>0.50689365400504682</v>
      </c>
      <c r="CI57" s="170">
        <v>52</v>
      </c>
      <c r="CJ57" s="217">
        <f t="shared" si="114"/>
        <v>0.312</v>
      </c>
      <c r="CK57" s="217"/>
      <c r="CL57" s="217">
        <f t="shared" si="49"/>
        <v>53.04</v>
      </c>
      <c r="CM57" s="541">
        <f t="shared" si="50"/>
        <v>12.5</v>
      </c>
      <c r="CN57" s="172">
        <f t="shared" si="51"/>
        <v>8.5250000000000004</v>
      </c>
      <c r="CO57" s="443">
        <f t="shared" si="52"/>
        <v>21.024999999999999</v>
      </c>
      <c r="CP57" s="443"/>
      <c r="CQ57" s="217">
        <f t="shared" si="53"/>
        <v>0.40546967895362668</v>
      </c>
      <c r="CR57" s="172">
        <f t="shared" si="54"/>
        <v>170.84633868410626</v>
      </c>
      <c r="CS57" s="172">
        <f t="shared" si="115"/>
        <v>53.04</v>
      </c>
      <c r="CT57" s="217">
        <f t="shared" si="55"/>
        <v>1.0049784628476839</v>
      </c>
      <c r="CU57" s="217">
        <f t="shared" si="56"/>
        <v>170</v>
      </c>
      <c r="CV57" s="217">
        <f t="shared" si="57"/>
        <v>0.99379823272947732</v>
      </c>
      <c r="CW57" s="172">
        <f t="shared" si="58"/>
        <v>1085.5851777322423</v>
      </c>
      <c r="CX57" s="172">
        <f t="shared" si="59"/>
        <v>170</v>
      </c>
      <c r="CY57" s="217">
        <f t="shared" si="60"/>
        <v>20.92980175953079</v>
      </c>
      <c r="CZ57" s="217">
        <f t="shared" si="61"/>
        <v>0.83719207038123156</v>
      </c>
      <c r="DA57" s="217">
        <f t="shared" si="62"/>
        <v>1.2275543553977002</v>
      </c>
      <c r="DB57" s="197">
        <f t="shared" si="63"/>
        <v>350</v>
      </c>
      <c r="DC57" s="443">
        <f t="shared" si="116"/>
        <v>350</v>
      </c>
      <c r="DE57" s="217">
        <f t="shared" si="64"/>
        <v>28.962119925259049</v>
      </c>
      <c r="DF57" s="173">
        <f t="shared" si="65"/>
        <v>1.6986580601324954</v>
      </c>
      <c r="DG57" s="173">
        <f t="shared" si="66"/>
        <v>0.4304714614336958</v>
      </c>
      <c r="DH57" s="173"/>
      <c r="DI57" s="173">
        <f t="shared" si="67"/>
        <v>0.78201368523949166</v>
      </c>
      <c r="DJ57" s="545">
        <f t="shared" si="117"/>
        <v>1196.9100000000001</v>
      </c>
      <c r="DK57" s="528">
        <f t="shared" si="68"/>
        <v>9.1234929944607357E-2</v>
      </c>
      <c r="DM57" s="173">
        <f t="shared" si="69"/>
        <v>24.656729014901504</v>
      </c>
      <c r="DN57" s="173">
        <f t="shared" si="70"/>
        <v>24.656729014901504</v>
      </c>
      <c r="DO57" s="173">
        <f t="shared" si="71"/>
        <v>9.5877005048653103</v>
      </c>
      <c r="DQ57" s="545">
        <f t="shared" si="72"/>
        <v>312</v>
      </c>
      <c r="DR57" s="460">
        <f t="shared" si="73"/>
        <v>350</v>
      </c>
      <c r="DT57">
        <f t="shared" si="74"/>
        <v>312</v>
      </c>
      <c r="DU57" s="460">
        <f t="shared" si="75"/>
        <v>350</v>
      </c>
      <c r="DV57" s="460"/>
      <c r="DW57" s="5">
        <f t="shared" si="118"/>
        <v>2.8571428571428572</v>
      </c>
      <c r="DX57" s="5">
        <f t="shared" si="76"/>
        <v>0.98626916059605996</v>
      </c>
      <c r="DY57" s="5">
        <f t="shared" si="119"/>
        <v>1.8708736965467971</v>
      </c>
      <c r="DZ57" s="5">
        <f t="shared" si="77"/>
        <v>1.4461424642170968</v>
      </c>
      <c r="EA57" s="173">
        <f t="shared" si="120"/>
        <v>0.34519420620862096</v>
      </c>
      <c r="EB57" s="173">
        <f t="shared" si="78"/>
        <v>53.195999999999991</v>
      </c>
      <c r="EC57" s="173">
        <f t="shared" si="79"/>
        <v>0.40363422537253768</v>
      </c>
      <c r="ED57" s="173">
        <f t="shared" si="121"/>
        <v>131.79259006319964</v>
      </c>
      <c r="EE57" s="460">
        <f t="shared" si="80"/>
        <v>0.18100939888586515</v>
      </c>
      <c r="EF57" s="5">
        <f t="shared" si="81"/>
        <v>12.70158603069979</v>
      </c>
      <c r="EG57" s="5"/>
      <c r="EH57" s="173">
        <f t="shared" si="122"/>
        <v>8.3638567074500578</v>
      </c>
      <c r="EI57" s="173">
        <f t="shared" si="82"/>
        <v>0.57597163460684253</v>
      </c>
      <c r="EJ57" s="173"/>
      <c r="EK57" s="528">
        <f t="shared" si="83"/>
        <v>2.7981639609102928</v>
      </c>
      <c r="EL57" s="528">
        <f t="shared" si="84"/>
        <v>4.9896743775561774</v>
      </c>
      <c r="EM57" s="528">
        <f t="shared" si="85"/>
        <v>6.9999999999999993E-2</v>
      </c>
      <c r="EN57" s="528">
        <f t="shared" si="86"/>
        <v>3.094354375E-2</v>
      </c>
      <c r="EO57">
        <f t="shared" si="87"/>
        <v>5.6249999999999998E-3</v>
      </c>
      <c r="EP57" s="460">
        <f t="shared" si="123"/>
        <v>75.625</v>
      </c>
      <c r="EQ57" s="528">
        <f t="shared" si="88"/>
        <v>25.808593261263468</v>
      </c>
      <c r="ER57" s="460">
        <f t="shared" si="124"/>
        <v>25808.593261263468</v>
      </c>
      <c r="ES57" s="528">
        <f t="shared" si="125"/>
        <v>0.270816</v>
      </c>
      <c r="ET57" s="528"/>
      <c r="EV57" s="460">
        <f t="shared" si="126"/>
        <v>270.81599999999997</v>
      </c>
      <c r="EW57" s="528">
        <f t="shared" si="89"/>
        <v>2.0986229706827193</v>
      </c>
      <c r="EX57" s="528">
        <f t="shared" si="90"/>
        <v>9.9522997161503434E-3</v>
      </c>
      <c r="EY57" s="528">
        <f t="shared" si="91"/>
        <v>345.92246787174946</v>
      </c>
      <c r="EZ57" s="528">
        <f t="shared" si="92"/>
        <v>419.26048433738504</v>
      </c>
      <c r="FA57" s="528">
        <f t="shared" si="93"/>
        <v>5.3195999999999994</v>
      </c>
      <c r="FB57" s="460">
        <f t="shared" si="127"/>
        <v>424580.08433738502</v>
      </c>
      <c r="FC57" s="173">
        <f t="shared" si="128"/>
        <v>450.65949359864851</v>
      </c>
      <c r="FD57" s="5">
        <f t="shared" si="129"/>
        <v>53.04</v>
      </c>
      <c r="FE57" s="173">
        <f t="shared" si="130"/>
        <v>0.10530088013600955</v>
      </c>
      <c r="FF57" s="5">
        <f t="shared" si="131"/>
        <v>10.530088013600954</v>
      </c>
      <c r="FI57" s="562">
        <f t="shared" si="94"/>
        <v>-50</v>
      </c>
      <c r="FJ57">
        <f t="shared" si="95"/>
        <v>-50</v>
      </c>
      <c r="FL57">
        <f t="shared" si="181"/>
        <v>0.50614986247598392</v>
      </c>
    </row>
    <row r="58" spans="5:168">
      <c r="E58" s="170">
        <v>53</v>
      </c>
      <c r="F58" s="217">
        <f t="shared" si="182"/>
        <v>0.318</v>
      </c>
      <c r="G58" s="217"/>
      <c r="H58" s="217">
        <f t="shared" si="132"/>
        <v>54.06</v>
      </c>
      <c r="I58" s="541">
        <f t="shared" si="133"/>
        <v>11.630034483442016</v>
      </c>
      <c r="J58" s="172">
        <f t="shared" si="134"/>
        <v>8.5259321059105968</v>
      </c>
      <c r="K58" s="172">
        <f t="shared" si="135"/>
        <v>21.025932105910599</v>
      </c>
      <c r="L58" s="443"/>
      <c r="M58" s="217">
        <f t="shared" si="136"/>
        <v>0.42299796729945865</v>
      </c>
      <c r="N58" s="172">
        <f t="shared" si="137"/>
        <v>165.8275035587472</v>
      </c>
      <c r="O58" s="172">
        <f t="shared" si="98"/>
        <v>54.06</v>
      </c>
      <c r="P58" s="217">
        <f t="shared" si="138"/>
        <v>0.97545590328674825</v>
      </c>
      <c r="Q58" s="217">
        <f t="shared" si="139"/>
        <v>170</v>
      </c>
      <c r="R58" s="217">
        <f t="shared" si="140"/>
        <v>0.96460410708207489</v>
      </c>
      <c r="S58" s="172">
        <f t="shared" si="141"/>
        <v>986.59831350894171</v>
      </c>
      <c r="T58" s="172">
        <f t="shared" si="142"/>
        <v>170</v>
      </c>
      <c r="U58" s="217">
        <f t="shared" si="143"/>
        <v>22.044982996795717</v>
      </c>
      <c r="V58" s="217">
        <f t="shared" si="11"/>
        <v>0.94776086125031422</v>
      </c>
      <c r="W58" s="217">
        <f t="shared" si="144"/>
        <v>1.2928195253579984</v>
      </c>
      <c r="X58" s="197">
        <f t="shared" si="145"/>
        <v>350</v>
      </c>
      <c r="Y58" s="443">
        <f t="shared" si="14"/>
        <v>350</v>
      </c>
      <c r="AA58" s="217">
        <f t="shared" si="146"/>
        <v>28.111317086228453</v>
      </c>
      <c r="AB58" s="173">
        <f t="shared" si="147"/>
        <v>1.648577348319505</v>
      </c>
      <c r="AC58" s="173">
        <f t="shared" si="148"/>
        <v>0.40550720507310389</v>
      </c>
      <c r="AD58" s="173"/>
      <c r="AE58" s="173">
        <f t="shared" si="149"/>
        <v>0.78192819082443832</v>
      </c>
      <c r="AF58" s="545">
        <f t="shared" si="150"/>
        <v>1220.0608843558066</v>
      </c>
      <c r="AG58" s="528">
        <f t="shared" si="151"/>
        <v>9.1224955596184473E-2</v>
      </c>
      <c r="AI58" s="173">
        <f t="shared" si="152"/>
        <v>24.894044771182045</v>
      </c>
      <c r="AJ58" s="173">
        <f t="shared" si="153"/>
        <v>24.894044771182045</v>
      </c>
      <c r="AK58" s="173">
        <f t="shared" si="154"/>
        <v>9.7634899539620079</v>
      </c>
      <c r="AM58" s="545">
        <f t="shared" si="155"/>
        <v>318</v>
      </c>
      <c r="AN58" s="460">
        <f t="shared" si="156"/>
        <v>350</v>
      </c>
      <c r="AP58">
        <f t="shared" si="157"/>
        <v>318</v>
      </c>
      <c r="AQ58" s="460">
        <f t="shared" si="158"/>
        <v>350</v>
      </c>
      <c r="AR58" s="460"/>
      <c r="AS58" s="5">
        <f t="shared" si="101"/>
        <v>2.8571428571428572</v>
      </c>
      <c r="AT58" s="5">
        <f t="shared" si="159"/>
        <v>1.0702481065995266</v>
      </c>
      <c r="AU58" s="5">
        <f t="shared" si="102"/>
        <v>1.7868947505433306</v>
      </c>
      <c r="AV58" s="5">
        <f t="shared" si="160"/>
        <v>1.4599016542674708</v>
      </c>
      <c r="AW58" s="173">
        <f t="shared" si="103"/>
        <v>0.37458683730983433</v>
      </c>
      <c r="AX58" s="173">
        <f t="shared" si="161"/>
        <v>54.224928193591403</v>
      </c>
      <c r="AY58" s="173">
        <f t="shared" si="162"/>
        <v>0.38922658181238867</v>
      </c>
      <c r="AZ58" s="173">
        <f t="shared" si="104"/>
        <v>139.31455539624062</v>
      </c>
      <c r="BA58" s="460">
        <f t="shared" si="163"/>
        <v>0.20019935170508793</v>
      </c>
      <c r="BB58" s="5">
        <f t="shared" si="164"/>
        <v>13.289663806504269</v>
      </c>
      <c r="BC58" s="5"/>
      <c r="BD58" s="173">
        <f t="shared" si="105"/>
        <v>8.7965240657649542</v>
      </c>
      <c r="BE58" s="173">
        <f t="shared" si="165"/>
        <v>0.56831399636033819</v>
      </c>
      <c r="BF58" s="173"/>
      <c r="BG58" s="528">
        <f t="shared" si="166"/>
        <v>3.09515342558328</v>
      </c>
      <c r="BH58" s="528">
        <f t="shared" si="167"/>
        <v>4.1219363997029328</v>
      </c>
      <c r="BI58" s="528">
        <f t="shared" si="168"/>
        <v>0.1628204827681882</v>
      </c>
      <c r="BJ58" s="528">
        <f t="shared" si="169"/>
        <v>3.0946287464565347E-2</v>
      </c>
      <c r="BK58">
        <f t="shared" si="170"/>
        <v>5.2335155175489067E-3</v>
      </c>
      <c r="BL58" s="460">
        <f t="shared" si="106"/>
        <v>168.05399828573712</v>
      </c>
      <c r="BM58" s="528">
        <f t="shared" si="171"/>
        <v>30.551722673599571</v>
      </c>
      <c r="BN58" s="460">
        <f t="shared" si="107"/>
        <v>30551.722673599572</v>
      </c>
      <c r="BO58" s="528">
        <f t="shared" si="172"/>
        <v>0.27602399999999999</v>
      </c>
      <c r="BP58" s="528"/>
      <c r="BR58" s="460">
        <f t="shared" si="109"/>
        <v>276.024</v>
      </c>
      <c r="BS58" s="528">
        <f t="shared" si="173"/>
        <v>2.3213650691874599</v>
      </c>
      <c r="BT58" s="528">
        <f t="shared" si="174"/>
        <v>9.6894239537717534E-3</v>
      </c>
      <c r="BU58" s="528">
        <f t="shared" si="175"/>
        <v>0.81089999999999995</v>
      </c>
      <c r="BV58" s="528">
        <f t="shared" si="176"/>
        <v>4.549891098588585</v>
      </c>
      <c r="BW58" s="528">
        <f t="shared" si="177"/>
        <v>5.4224928193591424</v>
      </c>
      <c r="BX58" s="460">
        <f t="shared" si="110"/>
        <v>9972.3839179477272</v>
      </c>
      <c r="BY58" s="173">
        <f t="shared" si="45"/>
        <v>40.968184589833029</v>
      </c>
      <c r="BZ58" s="5">
        <f t="shared" si="111"/>
        <v>54.06</v>
      </c>
      <c r="CA58" s="173">
        <f t="shared" si="112"/>
        <v>0.56888385517767559</v>
      </c>
      <c r="CB58" s="5">
        <f t="shared" si="113"/>
        <v>56.88838551776756</v>
      </c>
      <c r="CE58" s="562">
        <f t="shared" si="178"/>
        <v>-50</v>
      </c>
      <c r="CF58">
        <f t="shared" si="179"/>
        <v>-50</v>
      </c>
      <c r="CG58" s="173">
        <f t="shared" si="180"/>
        <v>0.51174442150469646</v>
      </c>
      <c r="CI58" s="170">
        <v>53</v>
      </c>
      <c r="CJ58" s="217">
        <f t="shared" si="114"/>
        <v>0.318</v>
      </c>
      <c r="CK58" s="217"/>
      <c r="CL58" s="217">
        <f t="shared" si="49"/>
        <v>54.06</v>
      </c>
      <c r="CM58" s="541">
        <f t="shared" si="50"/>
        <v>12.5</v>
      </c>
      <c r="CN58" s="172">
        <f t="shared" si="51"/>
        <v>8.5250000000000004</v>
      </c>
      <c r="CO58" s="443">
        <f t="shared" si="52"/>
        <v>21.024999999999999</v>
      </c>
      <c r="CP58" s="443"/>
      <c r="CQ58" s="217">
        <f t="shared" si="53"/>
        <v>0.40546967895362668</v>
      </c>
      <c r="CR58" s="172">
        <f t="shared" si="54"/>
        <v>170.84633868410626</v>
      </c>
      <c r="CS58" s="172">
        <f t="shared" si="115"/>
        <v>54.06</v>
      </c>
      <c r="CT58" s="217">
        <f t="shared" si="55"/>
        <v>1.0049784628476839</v>
      </c>
      <c r="CU58" s="217">
        <f t="shared" si="56"/>
        <v>170</v>
      </c>
      <c r="CV58" s="217">
        <f t="shared" si="57"/>
        <v>0.99379823272947732</v>
      </c>
      <c r="CW58" s="172">
        <f t="shared" si="58"/>
        <v>1060.3903622466601</v>
      </c>
      <c r="CX58" s="172">
        <f t="shared" si="59"/>
        <v>170</v>
      </c>
      <c r="CY58" s="217">
        <f t="shared" si="60"/>
        <v>21.332297947214073</v>
      </c>
      <c r="CZ58" s="217">
        <f t="shared" si="61"/>
        <v>0.85329191788856296</v>
      </c>
      <c r="DA58" s="217">
        <f t="shared" si="62"/>
        <v>1.251161169924579</v>
      </c>
      <c r="DB58" s="197">
        <f t="shared" si="63"/>
        <v>350</v>
      </c>
      <c r="DC58" s="443">
        <f t="shared" si="116"/>
        <v>350</v>
      </c>
      <c r="DE58" s="217">
        <f t="shared" si="64"/>
        <v>28.962119925259049</v>
      </c>
      <c r="DF58" s="173">
        <f t="shared" si="65"/>
        <v>1.6986580601324954</v>
      </c>
      <c r="DG58" s="173">
        <f t="shared" si="66"/>
        <v>0.4304714614336958</v>
      </c>
      <c r="DH58" s="173"/>
      <c r="DI58" s="173">
        <f t="shared" si="67"/>
        <v>0.78201368523949166</v>
      </c>
      <c r="DJ58" s="545">
        <f t="shared" si="117"/>
        <v>1219.9275</v>
      </c>
      <c r="DK58" s="528">
        <f t="shared" si="68"/>
        <v>9.1234929944607357E-2</v>
      </c>
      <c r="DM58" s="173">
        <f t="shared" si="69"/>
        <v>24.892683951026942</v>
      </c>
      <c r="DN58" s="173">
        <f t="shared" si="70"/>
        <v>24.892683951026942</v>
      </c>
      <c r="DO58" s="173">
        <f t="shared" si="71"/>
        <v>9.7624819390323019</v>
      </c>
      <c r="DQ58" s="545">
        <f t="shared" si="72"/>
        <v>318</v>
      </c>
      <c r="DR58" s="460">
        <f t="shared" si="73"/>
        <v>350</v>
      </c>
      <c r="DT58">
        <f t="shared" si="74"/>
        <v>318</v>
      </c>
      <c r="DU58" s="460">
        <f t="shared" si="75"/>
        <v>350</v>
      </c>
      <c r="DV58" s="460"/>
      <c r="DW58" s="5">
        <f t="shared" si="118"/>
        <v>2.8571428571428572</v>
      </c>
      <c r="DX58" s="5">
        <f t="shared" si="76"/>
        <v>0.99570735804107779</v>
      </c>
      <c r="DY58" s="5">
        <f t="shared" si="119"/>
        <v>1.8614354991017794</v>
      </c>
      <c r="DZ58" s="5">
        <f t="shared" si="77"/>
        <v>1.4599814634033397</v>
      </c>
      <c r="EA58" s="173">
        <f t="shared" si="120"/>
        <v>0.34849757531437719</v>
      </c>
      <c r="EB58" s="173">
        <f t="shared" si="78"/>
        <v>54.218999999999994</v>
      </c>
      <c r="EC58" s="173">
        <f t="shared" si="79"/>
        <v>0.40544109877567364</v>
      </c>
      <c r="ED58" s="173">
        <f t="shared" si="121"/>
        <v>133.72842606170718</v>
      </c>
      <c r="EE58" s="460">
        <f t="shared" si="80"/>
        <v>0.18625584697474282</v>
      </c>
      <c r="EF58" s="5">
        <f t="shared" si="81"/>
        <v>12.8805379944246</v>
      </c>
      <c r="EG58" s="5"/>
      <c r="EH58" s="173">
        <f t="shared" si="122"/>
        <v>8.4842015727766373</v>
      </c>
      <c r="EI58" s="173">
        <f t="shared" si="82"/>
        <v>0.58001485994124724</v>
      </c>
      <c r="EJ58" s="173"/>
      <c r="EK58" s="528">
        <f t="shared" si="83"/>
        <v>2.8792670531002229</v>
      </c>
      <c r="EL58" s="528">
        <f t="shared" si="84"/>
        <v>5.0374235456770364</v>
      </c>
      <c r="EM58" s="528">
        <f t="shared" si="85"/>
        <v>6.9999999999999993E-2</v>
      </c>
      <c r="EN58" s="528">
        <f t="shared" si="86"/>
        <v>3.094354375E-2</v>
      </c>
      <c r="EO58">
        <f t="shared" si="87"/>
        <v>5.6249999999999998E-3</v>
      </c>
      <c r="EP58" s="460">
        <f t="shared" si="123"/>
        <v>75.625</v>
      </c>
      <c r="EQ58" s="528">
        <f t="shared" si="88"/>
        <v>27.860231597604315</v>
      </c>
      <c r="ER58" s="460">
        <f t="shared" si="124"/>
        <v>27860.231597604314</v>
      </c>
      <c r="ES58" s="528">
        <f t="shared" si="125"/>
        <v>0.27602399999999999</v>
      </c>
      <c r="ET58" s="528"/>
      <c r="EV58" s="460">
        <f t="shared" si="126"/>
        <v>276.024</v>
      </c>
      <c r="EW58" s="528">
        <f t="shared" si="89"/>
        <v>2.1594502898251671</v>
      </c>
      <c r="EX58" s="528">
        <f t="shared" si="90"/>
        <v>1.0092517132579939E-2</v>
      </c>
      <c r="EY58" s="528">
        <f t="shared" si="91"/>
        <v>354.25780555780659</v>
      </c>
      <c r="EZ58" s="528">
        <f t="shared" si="92"/>
        <v>431.91219900563192</v>
      </c>
      <c r="FA58" s="528">
        <f t="shared" si="93"/>
        <v>5.4219000000000008</v>
      </c>
      <c r="FB58" s="460">
        <f t="shared" si="127"/>
        <v>437334.09900563193</v>
      </c>
      <c r="FC58" s="173">
        <f t="shared" si="128"/>
        <v>465.47035460323622</v>
      </c>
      <c r="FD58" s="5">
        <f t="shared" si="129"/>
        <v>54.06</v>
      </c>
      <c r="FE58" s="173">
        <f t="shared" si="130"/>
        <v>0.10405551768247587</v>
      </c>
      <c r="FF58" s="5">
        <f t="shared" si="131"/>
        <v>10.405551768247587</v>
      </c>
      <c r="FI58" s="562">
        <f t="shared" si="94"/>
        <v>-50</v>
      </c>
      <c r="FJ58">
        <f t="shared" si="95"/>
        <v>-50</v>
      </c>
      <c r="FL58">
        <f t="shared" si="181"/>
        <v>0.51099351219116884</v>
      </c>
    </row>
    <row r="59" spans="5:168">
      <c r="E59" s="170">
        <v>54</v>
      </c>
      <c r="F59" s="217">
        <f t="shared" si="182"/>
        <v>0.32400000000000001</v>
      </c>
      <c r="G59" s="217"/>
      <c r="H59" s="217">
        <f t="shared" si="132"/>
        <v>55.08</v>
      </c>
      <c r="I59" s="541">
        <f t="shared" si="133"/>
        <v>11.621865613929167</v>
      </c>
      <c r="J59" s="172">
        <f t="shared" si="134"/>
        <v>8.5259408582707916</v>
      </c>
      <c r="K59" s="172">
        <f t="shared" si="135"/>
        <v>21.025940858270793</v>
      </c>
      <c r="L59" s="443"/>
      <c r="M59" s="217">
        <f t="shared" si="136"/>
        <v>0.42316972160517957</v>
      </c>
      <c r="N59" s="172">
        <f t="shared" si="137"/>
        <v>165.77831265961603</v>
      </c>
      <c r="O59" s="172">
        <f t="shared" si="98"/>
        <v>55.08</v>
      </c>
      <c r="P59" s="217">
        <f t="shared" si="138"/>
        <v>0.97516654505656486</v>
      </c>
      <c r="Q59" s="217">
        <f t="shared" si="139"/>
        <v>170</v>
      </c>
      <c r="R59" s="217">
        <f t="shared" si="140"/>
        <v>0.96431796791749325</v>
      </c>
      <c r="S59" s="172">
        <f t="shared" si="141"/>
        <v>963.34845206728335</v>
      </c>
      <c r="T59" s="172">
        <f t="shared" si="142"/>
        <v>170</v>
      </c>
      <c r="U59" s="217">
        <f t="shared" si="143"/>
        <v>22.467613933277836</v>
      </c>
      <c r="V59" s="217">
        <f t="shared" si="11"/>
        <v>0.96660960811445373</v>
      </c>
      <c r="W59" s="217">
        <f t="shared" si="144"/>
        <v>1.3176032010286929</v>
      </c>
      <c r="X59" s="197">
        <f t="shared" si="145"/>
        <v>350</v>
      </c>
      <c r="Y59" s="443">
        <f t="shared" si="14"/>
        <v>350</v>
      </c>
      <c r="AA59" s="217">
        <f t="shared" si="146"/>
        <v>28.102978150528905</v>
      </c>
      <c r="AB59" s="173">
        <f t="shared" si="147"/>
        <v>1.6480866227958257</v>
      </c>
      <c r="AC59" s="173">
        <f t="shared" si="148"/>
        <v>0.40526624556783808</v>
      </c>
      <c r="AD59" s="173"/>
      <c r="AE59" s="173">
        <f t="shared" si="149"/>
        <v>0.7819273881309543</v>
      </c>
      <c r="AF59" s="545">
        <f t="shared" si="150"/>
        <v>1243.0821771358812</v>
      </c>
      <c r="AG59" s="528">
        <f t="shared" si="151"/>
        <v>9.122486194861136E-2</v>
      </c>
      <c r="AI59" s="173">
        <f t="shared" si="152"/>
        <v>25.127809696280956</v>
      </c>
      <c r="AJ59" s="173">
        <f t="shared" si="153"/>
        <v>25.127809696280956</v>
      </c>
      <c r="AK59" s="173">
        <f t="shared" si="154"/>
        <v>9.9366491577389784</v>
      </c>
      <c r="AM59" s="545">
        <f t="shared" si="155"/>
        <v>324</v>
      </c>
      <c r="AN59" s="460">
        <f t="shared" si="156"/>
        <v>350</v>
      </c>
      <c r="AP59">
        <f t="shared" si="157"/>
        <v>324</v>
      </c>
      <c r="AQ59" s="460">
        <f t="shared" si="158"/>
        <v>350</v>
      </c>
      <c r="AR59" s="460"/>
      <c r="AS59" s="5">
        <f t="shared" si="101"/>
        <v>2.8571428571428572</v>
      </c>
      <c r="AT59" s="5">
        <f t="shared" si="159"/>
        <v>1.0810574881439214</v>
      </c>
      <c r="AU59" s="5">
        <f t="shared" si="102"/>
        <v>1.7760853689989358</v>
      </c>
      <c r="AV59" s="5">
        <f t="shared" si="160"/>
        <v>1.4736091953948476</v>
      </c>
      <c r="AW59" s="173">
        <f t="shared" si="103"/>
        <v>0.37837012085037247</v>
      </c>
      <c r="AX59" s="173">
        <f t="shared" si="161"/>
        <v>55.248096761594731</v>
      </c>
      <c r="AY59" s="173">
        <f t="shared" si="162"/>
        <v>0.39050493261984925</v>
      </c>
      <c r="AZ59" s="173">
        <f t="shared" si="104"/>
        <v>141.47861434410595</v>
      </c>
      <c r="BA59" s="460">
        <f t="shared" si="163"/>
        <v>0.20603683891684149</v>
      </c>
      <c r="BB59" s="5">
        <f t="shared" si="164"/>
        <v>13.467962597290811</v>
      </c>
      <c r="BC59" s="5"/>
      <c r="BD59" s="173">
        <f t="shared" si="105"/>
        <v>8.9238533313677078</v>
      </c>
      <c r="BE59" s="173">
        <f t="shared" si="165"/>
        <v>0.57191297800541274</v>
      </c>
      <c r="BF59" s="173"/>
      <c r="BG59" s="528">
        <f t="shared" si="166"/>
        <v>3.1854063311905016</v>
      </c>
      <c r="BH59" s="528">
        <f t="shared" si="167"/>
        <v>4.1606447445036077</v>
      </c>
      <c r="BI59" s="528">
        <f t="shared" si="168"/>
        <v>0.16270611859500833</v>
      </c>
      <c r="BJ59" s="528">
        <f t="shared" si="169"/>
        <v>3.0946313228285078E-2</v>
      </c>
      <c r="BK59">
        <f t="shared" si="170"/>
        <v>5.2298395262681246E-3</v>
      </c>
      <c r="BL59" s="460">
        <f t="shared" si="106"/>
        <v>167.93595812127646</v>
      </c>
      <c r="BM59" s="528">
        <f t="shared" si="171"/>
        <v>33.876797412173381</v>
      </c>
      <c r="BN59" s="460">
        <f t="shared" si="107"/>
        <v>33876.797412173379</v>
      </c>
      <c r="BO59" s="528">
        <f t="shared" si="172"/>
        <v>0.28123199999999998</v>
      </c>
      <c r="BP59" s="528"/>
      <c r="BR59" s="460">
        <f t="shared" si="109"/>
        <v>281.23199999999997</v>
      </c>
      <c r="BS59" s="528">
        <f t="shared" si="173"/>
        <v>2.3890547483928759</v>
      </c>
      <c r="BT59" s="528">
        <f t="shared" si="174"/>
        <v>9.8125336323305924E-3</v>
      </c>
      <c r="BU59" s="528">
        <f t="shared" si="175"/>
        <v>0.82619999999999993</v>
      </c>
      <c r="BV59" s="528">
        <f t="shared" si="176"/>
        <v>4.7034272489903595</v>
      </c>
      <c r="BW59" s="528">
        <f t="shared" si="177"/>
        <v>5.5248096761594736</v>
      </c>
      <c r="BX59" s="460">
        <f t="shared" si="110"/>
        <v>10228.236925149833</v>
      </c>
      <c r="BY59" s="173">
        <f t="shared" si="45"/>
        <v>44.55420229544449</v>
      </c>
      <c r="BZ59" s="5">
        <f t="shared" si="111"/>
        <v>55.08</v>
      </c>
      <c r="CA59" s="173">
        <f t="shared" si="112"/>
        <v>0.55282221095795725</v>
      </c>
      <c r="CB59" s="5">
        <f t="shared" si="113"/>
        <v>55.282221095795727</v>
      </c>
      <c r="CE59" s="562">
        <f t="shared" si="178"/>
        <v>-50</v>
      </c>
      <c r="CF59">
        <f t="shared" si="179"/>
        <v>-50</v>
      </c>
      <c r="CG59" s="173">
        <f t="shared" si="180"/>
        <v>0.51654963886519623</v>
      </c>
      <c r="CI59" s="170">
        <v>54</v>
      </c>
      <c r="CJ59" s="217">
        <f t="shared" si="114"/>
        <v>0.32400000000000001</v>
      </c>
      <c r="CK59" s="217"/>
      <c r="CL59" s="217">
        <f t="shared" si="49"/>
        <v>55.08</v>
      </c>
      <c r="CM59" s="541">
        <f t="shared" si="50"/>
        <v>12.5</v>
      </c>
      <c r="CN59" s="172">
        <f t="shared" si="51"/>
        <v>8.5250000000000004</v>
      </c>
      <c r="CO59" s="443">
        <f t="shared" si="52"/>
        <v>21.024999999999999</v>
      </c>
      <c r="CP59" s="443"/>
      <c r="CQ59" s="217">
        <f t="shared" si="53"/>
        <v>0.40546967895362668</v>
      </c>
      <c r="CR59" s="172">
        <f t="shared" si="54"/>
        <v>170.84633868410626</v>
      </c>
      <c r="CS59" s="172">
        <f t="shared" si="115"/>
        <v>55.08</v>
      </c>
      <c r="CT59" s="217">
        <f t="shared" si="55"/>
        <v>1.0049784628476839</v>
      </c>
      <c r="CU59" s="217">
        <f t="shared" si="56"/>
        <v>170</v>
      </c>
      <c r="CV59" s="217">
        <f t="shared" si="57"/>
        <v>0.99379823272947732</v>
      </c>
      <c r="CW59" s="172">
        <f t="shared" si="58"/>
        <v>1036.128813633806</v>
      </c>
      <c r="CX59" s="172">
        <f t="shared" si="59"/>
        <v>170</v>
      </c>
      <c r="CY59" s="217">
        <f t="shared" si="60"/>
        <v>21.734794134897356</v>
      </c>
      <c r="CZ59" s="217">
        <f t="shared" si="61"/>
        <v>0.86939176539589424</v>
      </c>
      <c r="DA59" s="217">
        <f t="shared" si="62"/>
        <v>1.2747679844514577</v>
      </c>
      <c r="DB59" s="197">
        <f t="shared" si="63"/>
        <v>350</v>
      </c>
      <c r="DC59" s="443">
        <f t="shared" si="116"/>
        <v>350</v>
      </c>
      <c r="DE59" s="217">
        <f t="shared" si="64"/>
        <v>28.962119925259049</v>
      </c>
      <c r="DF59" s="173">
        <f t="shared" si="65"/>
        <v>1.6986580601324954</v>
      </c>
      <c r="DG59" s="173">
        <f t="shared" si="66"/>
        <v>0.4304714614336958</v>
      </c>
      <c r="DH59" s="173"/>
      <c r="DI59" s="173">
        <f t="shared" si="67"/>
        <v>0.78201368523949166</v>
      </c>
      <c r="DJ59" s="545">
        <f t="shared" si="117"/>
        <v>1242.9449999999999</v>
      </c>
      <c r="DK59" s="528">
        <f t="shared" si="68"/>
        <v>9.1234929944607357E-2</v>
      </c>
      <c r="DM59" s="173">
        <f t="shared" si="69"/>
        <v>25.126423200629709</v>
      </c>
      <c r="DN59" s="173">
        <f t="shared" si="70"/>
        <v>25.126423200629709</v>
      </c>
      <c r="DO59" s="173">
        <f t="shared" si="71"/>
        <v>9.9356221239232401</v>
      </c>
      <c r="DQ59" s="545">
        <f t="shared" si="72"/>
        <v>324</v>
      </c>
      <c r="DR59" s="460">
        <f t="shared" si="73"/>
        <v>350</v>
      </c>
      <c r="DT59">
        <f t="shared" si="74"/>
        <v>324</v>
      </c>
      <c r="DU59" s="460">
        <f t="shared" si="75"/>
        <v>350</v>
      </c>
      <c r="DV59" s="460"/>
      <c r="DW59" s="5">
        <f t="shared" si="118"/>
        <v>2.8571428571428572</v>
      </c>
      <c r="DX59" s="5">
        <f t="shared" si="76"/>
        <v>1.0050569280251884</v>
      </c>
      <c r="DY59" s="5">
        <f t="shared" si="119"/>
        <v>1.8520859291176688</v>
      </c>
      <c r="DZ59" s="5">
        <f t="shared" si="77"/>
        <v>1.4736905103008626</v>
      </c>
      <c r="EA59" s="173">
        <f t="shared" si="120"/>
        <v>0.35176992480881591</v>
      </c>
      <c r="EB59" s="173">
        <f t="shared" si="78"/>
        <v>55.241999999999997</v>
      </c>
      <c r="EC59" s="173">
        <f t="shared" si="79"/>
        <v>0.40719258001574277</v>
      </c>
      <c r="ED59" s="173">
        <f t="shared" si="121"/>
        <v>135.66553692570784</v>
      </c>
      <c r="EE59" s="460">
        <f t="shared" si="80"/>
        <v>0.19155202628244769</v>
      </c>
      <c r="EF59" s="5">
        <f t="shared" si="81"/>
        <v>13.057650300902552</v>
      </c>
      <c r="EG59" s="5"/>
      <c r="EH59" s="173">
        <f t="shared" si="122"/>
        <v>8.6039800726537763</v>
      </c>
      <c r="EI59" s="173">
        <f t="shared" si="82"/>
        <v>0.58398895793304828</v>
      </c>
      <c r="EJ59" s="173"/>
      <c r="EK59" s="528">
        <f t="shared" si="83"/>
        <v>2.9611389236249313</v>
      </c>
      <c r="EL59" s="528">
        <f t="shared" si="84"/>
        <v>5.0847243350099314</v>
      </c>
      <c r="EM59" s="528">
        <f t="shared" si="85"/>
        <v>6.9999999999999993E-2</v>
      </c>
      <c r="EN59" s="528">
        <f t="shared" si="86"/>
        <v>3.094354375E-2</v>
      </c>
      <c r="EO59">
        <f t="shared" si="87"/>
        <v>5.6249999999999998E-3</v>
      </c>
      <c r="EP59" s="460">
        <f t="shared" si="123"/>
        <v>75.625</v>
      </c>
      <c r="EQ59" s="528">
        <f t="shared" si="88"/>
        <v>30.198822268351133</v>
      </c>
      <c r="ER59" s="460">
        <f t="shared" si="124"/>
        <v>30198.822268351134</v>
      </c>
      <c r="ES59" s="528">
        <f t="shared" si="125"/>
        <v>0.28123199999999998</v>
      </c>
      <c r="ET59" s="528"/>
      <c r="EV59" s="460">
        <f t="shared" si="126"/>
        <v>281.23199999999997</v>
      </c>
      <c r="EW59" s="528">
        <f t="shared" si="89"/>
        <v>2.2208541927186984</v>
      </c>
      <c r="EX59" s="528">
        <f t="shared" si="90"/>
        <v>1.0231293089631829E-2</v>
      </c>
      <c r="EY59" s="528">
        <f t="shared" si="91"/>
        <v>362.63255580183579</v>
      </c>
      <c r="EZ59" s="528">
        <f t="shared" si="92"/>
        <v>444.78788544209749</v>
      </c>
      <c r="FA59" s="528">
        <f t="shared" si="93"/>
        <v>5.5242000000000004</v>
      </c>
      <c r="FB59" s="460">
        <f t="shared" si="127"/>
        <v>450312.08544209751</v>
      </c>
      <c r="FC59" s="173">
        <f t="shared" si="128"/>
        <v>480.79213971044862</v>
      </c>
      <c r="FD59" s="5">
        <f t="shared" si="129"/>
        <v>55.08</v>
      </c>
      <c r="FE59" s="173">
        <f t="shared" si="130"/>
        <v>0.10278571308029139</v>
      </c>
      <c r="FF59" s="5">
        <f t="shared" si="131"/>
        <v>10.278571308029139</v>
      </c>
      <c r="FI59" s="562">
        <f t="shared" si="94"/>
        <v>-50</v>
      </c>
      <c r="FJ59">
        <f t="shared" si="95"/>
        <v>-50</v>
      </c>
      <c r="FL59">
        <f t="shared" si="181"/>
        <v>0.51579167860530195</v>
      </c>
    </row>
    <row r="60" spans="5:168">
      <c r="E60" s="170">
        <v>55</v>
      </c>
      <c r="F60" s="217">
        <f t="shared" si="182"/>
        <v>0.33</v>
      </c>
      <c r="G60" s="217"/>
      <c r="H60" s="217">
        <f t="shared" si="132"/>
        <v>56.1</v>
      </c>
      <c r="I60" s="541">
        <f t="shared" si="133"/>
        <v>11.613772038355819</v>
      </c>
      <c r="J60" s="172">
        <f t="shared" si="134"/>
        <v>8.5259495299589059</v>
      </c>
      <c r="K60" s="172">
        <f t="shared" si="135"/>
        <v>21.025949529958908</v>
      </c>
      <c r="L60" s="443"/>
      <c r="M60" s="217">
        <f t="shared" si="136"/>
        <v>0.42334003008316806</v>
      </c>
      <c r="N60" s="172">
        <f t="shared" si="137"/>
        <v>165.72953561308984</v>
      </c>
      <c r="O60" s="172">
        <f t="shared" si="98"/>
        <v>56.1</v>
      </c>
      <c r="P60" s="217">
        <f t="shared" si="138"/>
        <v>0.97487962125346961</v>
      </c>
      <c r="Q60" s="217">
        <f t="shared" si="139"/>
        <v>170</v>
      </c>
      <c r="R60" s="217">
        <f t="shared" si="140"/>
        <v>0.96403423609737415</v>
      </c>
      <c r="S60" s="172">
        <f t="shared" si="141"/>
        <v>940.95620559863164</v>
      </c>
      <c r="T60" s="172">
        <f t="shared" si="142"/>
        <v>170</v>
      </c>
      <c r="U60" s="217">
        <f t="shared" si="143"/>
        <v>22.890439233893336</v>
      </c>
      <c r="V60" s="217">
        <f t="shared" si="11"/>
        <v>0.985486849504839</v>
      </c>
      <c r="W60" s="217">
        <f t="shared" si="144"/>
        <v>1.3423982369036886</v>
      </c>
      <c r="X60" s="197">
        <f t="shared" si="145"/>
        <v>350</v>
      </c>
      <c r="Y60" s="443">
        <f t="shared" si="14"/>
        <v>350</v>
      </c>
      <c r="AA60" s="217">
        <f t="shared" si="146"/>
        <v>28.094709371965756</v>
      </c>
      <c r="AB60" s="173">
        <f t="shared" si="147"/>
        <v>1.6476000281989218</v>
      </c>
      <c r="AC60" s="173">
        <f t="shared" si="148"/>
        <v>0.40502738459304888</v>
      </c>
      <c r="AD60" s="173"/>
      <c r="AE60" s="173">
        <f t="shared" si="149"/>
        <v>0.78192659283766597</v>
      </c>
      <c r="AF60" s="545">
        <f t="shared" si="150"/>
        <v>1266.1035051988977</v>
      </c>
      <c r="AG60" s="528">
        <f t="shared" si="151"/>
        <v>9.122476916439437E-2</v>
      </c>
      <c r="AI60" s="173">
        <f t="shared" si="152"/>
        <v>25.35942020466754</v>
      </c>
      <c r="AJ60" s="173">
        <f t="shared" si="153"/>
        <v>25.35942020466754</v>
      </c>
      <c r="AK60" s="173">
        <f t="shared" si="154"/>
        <v>10.108212497284596</v>
      </c>
      <c r="AM60" s="545">
        <f t="shared" si="155"/>
        <v>330</v>
      </c>
      <c r="AN60" s="460">
        <f t="shared" si="156"/>
        <v>350</v>
      </c>
      <c r="AP60">
        <f t="shared" si="157"/>
        <v>330</v>
      </c>
      <c r="AQ60">
        <f t="shared" si="158"/>
        <v>350</v>
      </c>
      <c r="AS60" s="5">
        <f t="shared" si="101"/>
        <v>2.8571428571428572</v>
      </c>
      <c r="AT60" s="5">
        <f t="shared" si="159"/>
        <v>1.0917822444299379</v>
      </c>
      <c r="AU60" s="5">
        <f t="shared" si="102"/>
        <v>1.7653606127129193</v>
      </c>
      <c r="AV60" s="5">
        <f t="shared" si="160"/>
        <v>1.4871903777730764</v>
      </c>
      <c r="AW60" s="173">
        <f t="shared" si="103"/>
        <v>0.38212378555047827</v>
      </c>
      <c r="AX60" s="173">
        <f t="shared" si="161"/>
        <v>56.271266897728772</v>
      </c>
      <c r="AY60" s="173">
        <f t="shared" si="162"/>
        <v>0.39172456391736743</v>
      </c>
      <c r="AZ60" s="173">
        <f t="shared" si="104"/>
        <v>143.65008498573235</v>
      </c>
      <c r="BA60" s="460">
        <f t="shared" si="163"/>
        <v>0.21193420038934091</v>
      </c>
      <c r="BB60" s="5">
        <f t="shared" si="164"/>
        <v>13.644039858349496</v>
      </c>
      <c r="BC60" s="5"/>
      <c r="BD60" s="173">
        <f t="shared" si="105"/>
        <v>9.050669961980228</v>
      </c>
      <c r="BE60" s="173">
        <f t="shared" si="165"/>
        <v>0.57543918939857486</v>
      </c>
      <c r="BF60" s="173"/>
      <c r="BG60" s="528">
        <f t="shared" si="166"/>
        <v>3.2765850704276471</v>
      </c>
      <c r="BH60" s="528">
        <f t="shared" si="167"/>
        <v>4.1989963784923345</v>
      </c>
      <c r="BI60" s="528">
        <f t="shared" si="168"/>
        <v>0.16259280853698146</v>
      </c>
      <c r="BJ60" s="528">
        <f t="shared" si="169"/>
        <v>3.094633875454654E-2</v>
      </c>
      <c r="BK60">
        <f t="shared" si="170"/>
        <v>5.2261974172601181E-3</v>
      </c>
      <c r="BL60" s="460">
        <f t="shared" si="106"/>
        <v>167.81900595424159</v>
      </c>
      <c r="BM60" s="528">
        <f t="shared" si="171"/>
        <v>37.886388953395375</v>
      </c>
      <c r="BN60" s="460">
        <f t="shared" si="107"/>
        <v>37886.388953395377</v>
      </c>
      <c r="BO60" s="528">
        <f t="shared" si="172"/>
        <v>0.28643999999999997</v>
      </c>
      <c r="BP60" s="528"/>
      <c r="BR60" s="460">
        <f t="shared" si="109"/>
        <v>286.44</v>
      </c>
      <c r="BS60" s="528">
        <f t="shared" si="173"/>
        <v>2.4574388028207355</v>
      </c>
      <c r="BT60" s="528">
        <f t="shared" si="174"/>
        <v>9.9339078208706671E-3</v>
      </c>
      <c r="BU60" s="528">
        <f t="shared" si="175"/>
        <v>0.84150000000000003</v>
      </c>
      <c r="BV60" s="528">
        <f t="shared" si="176"/>
        <v>4.8604443889456386</v>
      </c>
      <c r="BW60" s="528">
        <f t="shared" si="177"/>
        <v>5.6271266897728784</v>
      </c>
      <c r="BX60" s="460">
        <f t="shared" si="110"/>
        <v>10487.571078718516</v>
      </c>
      <c r="BY60" s="173">
        <f t="shared" si="45"/>
        <v>48.828219038068134</v>
      </c>
      <c r="BZ60" s="5">
        <f t="shared" si="111"/>
        <v>56.1</v>
      </c>
      <c r="CA60" s="173">
        <f t="shared" si="112"/>
        <v>0.53465121693952344</v>
      </c>
      <c r="CB60" s="5">
        <f t="shared" si="113"/>
        <v>53.465121693952341</v>
      </c>
      <c r="CE60" s="562">
        <f t="shared" si="178"/>
        <v>-50</v>
      </c>
      <c r="CF60">
        <f t="shared" si="179"/>
        <v>-50</v>
      </c>
      <c r="CG60" s="173">
        <f t="shared" si="180"/>
        <v>0.52131056567304757</v>
      </c>
      <c r="CI60" s="170">
        <v>55</v>
      </c>
      <c r="CJ60" s="217">
        <f t="shared" si="114"/>
        <v>0.33</v>
      </c>
      <c r="CK60" s="217"/>
      <c r="CL60" s="217">
        <f t="shared" si="49"/>
        <v>56.1</v>
      </c>
      <c r="CM60" s="541">
        <f t="shared" si="50"/>
        <v>12.5</v>
      </c>
      <c r="CN60" s="172">
        <f t="shared" si="51"/>
        <v>8.5250000000000004</v>
      </c>
      <c r="CO60" s="443">
        <f t="shared" si="52"/>
        <v>21.024999999999999</v>
      </c>
      <c r="CP60" s="443"/>
      <c r="CQ60" s="217">
        <f t="shared" si="53"/>
        <v>0.40546967895362668</v>
      </c>
      <c r="CR60" s="172">
        <f t="shared" si="54"/>
        <v>170.84633868410626</v>
      </c>
      <c r="CS60" s="172">
        <f t="shared" si="115"/>
        <v>56.1</v>
      </c>
      <c r="CT60" s="217">
        <f t="shared" si="55"/>
        <v>1.0049784628476839</v>
      </c>
      <c r="CU60" s="217">
        <f t="shared" si="56"/>
        <v>170</v>
      </c>
      <c r="CV60" s="217">
        <f t="shared" si="57"/>
        <v>0.99379823272947732</v>
      </c>
      <c r="CW60" s="172">
        <f t="shared" si="58"/>
        <v>1012.7496280798845</v>
      </c>
      <c r="CX60" s="172">
        <f t="shared" si="59"/>
        <v>170</v>
      </c>
      <c r="CY60" s="217">
        <f t="shared" si="60"/>
        <v>22.137290322580643</v>
      </c>
      <c r="CZ60" s="217">
        <f t="shared" si="61"/>
        <v>0.88549161290322564</v>
      </c>
      <c r="DA60" s="217">
        <f t="shared" si="62"/>
        <v>1.2983747989783365</v>
      </c>
      <c r="DB60" s="197">
        <f t="shared" si="63"/>
        <v>350</v>
      </c>
      <c r="DC60" s="443">
        <f t="shared" si="116"/>
        <v>350</v>
      </c>
      <c r="DE60" s="217">
        <f t="shared" si="64"/>
        <v>28.962119925259049</v>
      </c>
      <c r="DF60" s="173">
        <f t="shared" si="65"/>
        <v>1.6986580601324954</v>
      </c>
      <c r="DG60" s="173">
        <f t="shared" si="66"/>
        <v>0.4304714614336958</v>
      </c>
      <c r="DH60" s="173"/>
      <c r="DI60" s="173">
        <f t="shared" si="67"/>
        <v>0.78201368523949166</v>
      </c>
      <c r="DJ60" s="545">
        <f t="shared" si="117"/>
        <v>1265.9625000000001</v>
      </c>
      <c r="DK60" s="528">
        <f t="shared" si="68"/>
        <v>9.1234929944607357E-2</v>
      </c>
      <c r="DM60" s="173">
        <f t="shared" si="69"/>
        <v>25.358008033529988</v>
      </c>
      <c r="DN60" s="173">
        <f t="shared" si="70"/>
        <v>25.358008033529988</v>
      </c>
      <c r="DO60" s="173">
        <f t="shared" si="71"/>
        <v>10.107166444590113</v>
      </c>
      <c r="DQ60" s="545">
        <f t="shared" si="72"/>
        <v>330</v>
      </c>
      <c r="DR60" s="460">
        <f t="shared" si="73"/>
        <v>350</v>
      </c>
      <c r="DT60">
        <f t="shared" si="74"/>
        <v>330</v>
      </c>
      <c r="DU60">
        <f t="shared" si="75"/>
        <v>350</v>
      </c>
      <c r="DW60" s="5">
        <f t="shared" si="118"/>
        <v>2.8571428571428572</v>
      </c>
      <c r="DX60" s="5">
        <f t="shared" si="76"/>
        <v>1.0143203213411995</v>
      </c>
      <c r="DY60" s="5">
        <f t="shared" si="119"/>
        <v>1.8428225358016577</v>
      </c>
      <c r="DZ60" s="5">
        <f t="shared" si="77"/>
        <v>1.4872731984475065</v>
      </c>
      <c r="EA60" s="173">
        <f t="shared" si="120"/>
        <v>0.35501211246941983</v>
      </c>
      <c r="EB60" s="173">
        <f t="shared" si="78"/>
        <v>56.264999999999993</v>
      </c>
      <c r="EC60" s="173">
        <f t="shared" si="79"/>
        <v>0.40889020083824967</v>
      </c>
      <c r="ED60" s="173">
        <f t="shared" si="121"/>
        <v>137.60417805233126</v>
      </c>
      <c r="EE60" s="460">
        <f t="shared" si="80"/>
        <v>0.19689747414270345</v>
      </c>
      <c r="EF60" s="5">
        <f t="shared" si="81"/>
        <v>13.232940065084545</v>
      </c>
      <c r="EG60" s="5"/>
      <c r="EH60" s="173">
        <f t="shared" si="122"/>
        <v>8.7232052885975797</v>
      </c>
      <c r="EI60" s="173">
        <f t="shared" si="82"/>
        <v>0.58789571064058699</v>
      </c>
      <c r="EJ60" s="173"/>
      <c r="EK60" s="528">
        <f t="shared" si="83"/>
        <v>3.0437724202806713</v>
      </c>
      <c r="EL60" s="528">
        <f t="shared" si="84"/>
        <v>5.1315891444603183</v>
      </c>
      <c r="EM60" s="528">
        <f t="shared" si="85"/>
        <v>6.9999999999999993E-2</v>
      </c>
      <c r="EN60" s="528">
        <f t="shared" si="86"/>
        <v>3.094354375E-2</v>
      </c>
      <c r="EO60">
        <f t="shared" si="87"/>
        <v>5.6249999999999998E-3</v>
      </c>
      <c r="EP60" s="460">
        <f t="shared" si="123"/>
        <v>75.625</v>
      </c>
      <c r="EQ60" s="528">
        <f t="shared" si="88"/>
        <v>32.889304258307277</v>
      </c>
      <c r="ER60" s="460">
        <f t="shared" si="124"/>
        <v>32889.304258307275</v>
      </c>
      <c r="ES60" s="528">
        <f t="shared" si="125"/>
        <v>0.28643999999999997</v>
      </c>
      <c r="ET60" s="528"/>
      <c r="EV60" s="460">
        <f t="shared" si="126"/>
        <v>286.44</v>
      </c>
      <c r="EW60" s="528">
        <f t="shared" si="89"/>
        <v>2.2828293152105035</v>
      </c>
      <c r="EX60" s="528">
        <f t="shared" si="90"/>
        <v>1.0368640997688024E-2</v>
      </c>
      <c r="EY60" s="528">
        <f t="shared" si="91"/>
        <v>371.04616987465852</v>
      </c>
      <c r="EZ60" s="528">
        <f t="shared" si="92"/>
        <v>457.89285142422693</v>
      </c>
      <c r="FA60" s="528">
        <f t="shared" si="93"/>
        <v>5.6265000000000001</v>
      </c>
      <c r="FB60" s="460">
        <f t="shared" si="127"/>
        <v>463519.35142422694</v>
      </c>
      <c r="FC60" s="173">
        <f t="shared" si="128"/>
        <v>496.69509568253426</v>
      </c>
      <c r="FD60" s="5">
        <f t="shared" si="129"/>
        <v>56.1</v>
      </c>
      <c r="FE60" s="173">
        <f t="shared" si="130"/>
        <v>0.10148425779851307</v>
      </c>
      <c r="FF60" s="5">
        <f t="shared" si="131"/>
        <v>10.148425779851307</v>
      </c>
      <c r="FI60" s="562">
        <f t="shared" si="94"/>
        <v>-50</v>
      </c>
      <c r="FJ60">
        <f t="shared" si="95"/>
        <v>-50</v>
      </c>
      <c r="FL60">
        <f t="shared" si="181"/>
        <v>0.52054561945662736</v>
      </c>
    </row>
    <row r="61" spans="5:168">
      <c r="E61" s="170">
        <v>56</v>
      </c>
      <c r="F61" s="217">
        <f t="shared" si="182"/>
        <v>0.33600000000000002</v>
      </c>
      <c r="G61" s="217"/>
      <c r="H61" s="217">
        <f t="shared" si="132"/>
        <v>57.120000000000005</v>
      </c>
      <c r="I61" s="541">
        <f t="shared" si="133"/>
        <v>11.605751712330406</v>
      </c>
      <c r="J61" s="172">
        <f t="shared" si="134"/>
        <v>8.5259581231653598</v>
      </c>
      <c r="K61" s="172">
        <f t="shared" si="135"/>
        <v>21.02595812316536</v>
      </c>
      <c r="L61" s="443"/>
      <c r="M61" s="217">
        <f t="shared" si="136"/>
        <v>0.42350893215313479</v>
      </c>
      <c r="N61" s="172">
        <f t="shared" si="137"/>
        <v>165.68116113539517</v>
      </c>
      <c r="O61" s="172">
        <f t="shared" si="98"/>
        <v>57.120000000000005</v>
      </c>
      <c r="P61" s="217">
        <f t="shared" si="138"/>
        <v>0.97459506550232455</v>
      </c>
      <c r="Q61" s="217">
        <f t="shared" si="139"/>
        <v>170</v>
      </c>
      <c r="R61" s="217">
        <f t="shared" si="140"/>
        <v>0.96375284598499333</v>
      </c>
      <c r="S61" s="172">
        <f t="shared" si="141"/>
        <v>919.37538949294355</v>
      </c>
      <c r="T61" s="172">
        <f t="shared" si="142"/>
        <v>170</v>
      </c>
      <c r="U61" s="217">
        <f t="shared" si="143"/>
        <v>23.313457483733465</v>
      </c>
      <c r="V61" s="217">
        <f t="shared" si="11"/>
        <v>1.0043923935993018</v>
      </c>
      <c r="W61" s="217">
        <f t="shared" si="144"/>
        <v>1.3672045503243733</v>
      </c>
      <c r="X61" s="197">
        <f t="shared" si="145"/>
        <v>350</v>
      </c>
      <c r="Y61" s="443">
        <f t="shared" si="14"/>
        <v>350</v>
      </c>
      <c r="AA61" s="217">
        <f t="shared" si="146"/>
        <v>28.08650883769079</v>
      </c>
      <c r="AB61" s="173">
        <f t="shared" si="147"/>
        <v>1.647117451901309</v>
      </c>
      <c r="AC61" s="173">
        <f t="shared" si="148"/>
        <v>0.40479056510848238</v>
      </c>
      <c r="AD61" s="173"/>
      <c r="AE61" s="173">
        <f t="shared" si="149"/>
        <v>0.78192580474364204</v>
      </c>
      <c r="AF61" s="545">
        <f t="shared" si="150"/>
        <v>1289.1248682226026</v>
      </c>
      <c r="AG61" s="528">
        <f t="shared" si="151"/>
        <v>9.1224677220091574E-2</v>
      </c>
      <c r="AI61" s="173">
        <f t="shared" si="152"/>
        <v>25.588934793365272</v>
      </c>
      <c r="AJ61" s="173">
        <f t="shared" si="153"/>
        <v>25.588934793365272</v>
      </c>
      <c r="AK61" s="173">
        <f t="shared" si="154"/>
        <v>10.27822330372736</v>
      </c>
      <c r="AM61" s="545">
        <f t="shared" si="155"/>
        <v>336</v>
      </c>
      <c r="AN61" s="460">
        <f t="shared" si="156"/>
        <v>350</v>
      </c>
      <c r="AP61">
        <f t="shared" si="157"/>
        <v>336</v>
      </c>
      <c r="AQ61">
        <f t="shared" si="158"/>
        <v>350</v>
      </c>
      <c r="AS61" s="5">
        <f t="shared" si="101"/>
        <v>2.8571428571428572</v>
      </c>
      <c r="AT61" s="5">
        <f t="shared" si="159"/>
        <v>1.1024247040447446</v>
      </c>
      <c r="AU61" s="5">
        <f t="shared" si="102"/>
        <v>1.7547181530981126</v>
      </c>
      <c r="AV61" s="5">
        <f t="shared" si="160"/>
        <v>1.5006486323126043</v>
      </c>
      <c r="AW61" s="173">
        <f t="shared" si="103"/>
        <v>0.38584864641566058</v>
      </c>
      <c r="AX61" s="173">
        <f t="shared" si="161"/>
        <v>57.294438587671237</v>
      </c>
      <c r="AY61" s="173">
        <f t="shared" si="162"/>
        <v>0.39288697350316704</v>
      </c>
      <c r="AZ61" s="173">
        <f t="shared" si="104"/>
        <v>145.82931593991722</v>
      </c>
      <c r="BA61" s="460">
        <f t="shared" si="163"/>
        <v>0.21789100032884365</v>
      </c>
      <c r="BB61" s="5">
        <f t="shared" si="164"/>
        <v>13.817907312075471</v>
      </c>
      <c r="BC61" s="5"/>
      <c r="BD61" s="173">
        <f t="shared" si="105"/>
        <v>9.1769860341634484</v>
      </c>
      <c r="BE61" s="173">
        <f t="shared" si="165"/>
        <v>0.57889432386620077</v>
      </c>
      <c r="BF61" s="173"/>
      <c r="BG61" s="528">
        <f t="shared" si="166"/>
        <v>3.3686829068492394</v>
      </c>
      <c r="BH61" s="528">
        <f t="shared" si="167"/>
        <v>4.2370009871309442</v>
      </c>
      <c r="BI61" s="528">
        <f t="shared" si="168"/>
        <v>0.16248052397262569</v>
      </c>
      <c r="BJ61" s="528">
        <f t="shared" si="169"/>
        <v>3.0946364049797236E-2</v>
      </c>
      <c r="BK61">
        <f t="shared" si="170"/>
        <v>5.2225882705486826E-3</v>
      </c>
      <c r="BL61" s="460">
        <f t="shared" si="106"/>
        <v>167.70311224317439</v>
      </c>
      <c r="BM61" s="528">
        <f t="shared" si="171"/>
        <v>42.816304301078823</v>
      </c>
      <c r="BN61" s="460">
        <f t="shared" si="107"/>
        <v>42816.304301078824</v>
      </c>
      <c r="BO61" s="528">
        <f t="shared" si="172"/>
        <v>0.29164799999999996</v>
      </c>
      <c r="BP61" s="528"/>
      <c r="BR61" s="460">
        <f t="shared" si="109"/>
        <v>291.64799999999997</v>
      </c>
      <c r="BS61" s="528">
        <f t="shared" si="173"/>
        <v>2.5265121801369292</v>
      </c>
      <c r="BT61" s="528">
        <f t="shared" si="174"/>
        <v>1.0053559146135172E-2</v>
      </c>
      <c r="BU61" s="528">
        <f t="shared" si="175"/>
        <v>0.85680000000000001</v>
      </c>
      <c r="BV61" s="528">
        <f t="shared" si="176"/>
        <v>5.0210366877341892</v>
      </c>
      <c r="BW61" s="528">
        <f t="shared" si="177"/>
        <v>5.7294438587671239</v>
      </c>
      <c r="BX61" s="460">
        <f t="shared" si="110"/>
        <v>10750.480546501312</v>
      </c>
      <c r="BY61" s="173">
        <f t="shared" si="45"/>
        <v>54.026135959823314</v>
      </c>
      <c r="BZ61" s="5">
        <f t="shared" si="111"/>
        <v>57.120000000000005</v>
      </c>
      <c r="CA61" s="173">
        <f t="shared" si="112"/>
        <v>0.51391800089791273</v>
      </c>
      <c r="CB61" s="5">
        <f t="shared" si="113"/>
        <v>51.391800089791275</v>
      </c>
      <c r="CE61" s="562">
        <f t="shared" si="178"/>
        <v>-50</v>
      </c>
      <c r="CF61">
        <f t="shared" si="179"/>
        <v>-50</v>
      </c>
      <c r="CG61" s="173">
        <f t="shared" si="180"/>
        <v>0.52602840451152555</v>
      </c>
      <c r="CI61" s="170">
        <v>56</v>
      </c>
      <c r="CJ61" s="217">
        <f t="shared" si="114"/>
        <v>0.33600000000000002</v>
      </c>
      <c r="CK61" s="217"/>
      <c r="CL61" s="217">
        <f t="shared" si="49"/>
        <v>57.120000000000005</v>
      </c>
      <c r="CM61" s="541">
        <f t="shared" si="50"/>
        <v>12.5</v>
      </c>
      <c r="CN61" s="172">
        <f t="shared" si="51"/>
        <v>8.5250000000000004</v>
      </c>
      <c r="CO61" s="443">
        <f t="shared" si="52"/>
        <v>21.024999999999999</v>
      </c>
      <c r="CP61" s="443"/>
      <c r="CQ61" s="217">
        <f t="shared" si="53"/>
        <v>0.40546967895362668</v>
      </c>
      <c r="CR61" s="172">
        <f t="shared" si="54"/>
        <v>170.84633868410626</v>
      </c>
      <c r="CS61" s="172">
        <f t="shared" si="115"/>
        <v>57.120000000000005</v>
      </c>
      <c r="CT61" s="217">
        <f t="shared" si="55"/>
        <v>1.0049784628476839</v>
      </c>
      <c r="CU61" s="217">
        <f t="shared" si="56"/>
        <v>170</v>
      </c>
      <c r="CV61" s="217">
        <f t="shared" si="57"/>
        <v>0.99379823272947732</v>
      </c>
      <c r="CW61" s="172">
        <f t="shared" si="58"/>
        <v>990.20553778682699</v>
      </c>
      <c r="CX61" s="172">
        <f t="shared" si="59"/>
        <v>170</v>
      </c>
      <c r="CY61" s="217">
        <f t="shared" si="60"/>
        <v>22.539786510263927</v>
      </c>
      <c r="CZ61" s="217">
        <f t="shared" si="61"/>
        <v>0.90159146041055704</v>
      </c>
      <c r="DA61" s="217">
        <f t="shared" si="62"/>
        <v>1.3219816135052154</v>
      </c>
      <c r="DB61" s="197">
        <f t="shared" si="63"/>
        <v>350</v>
      </c>
      <c r="DC61" s="443">
        <f t="shared" si="116"/>
        <v>350</v>
      </c>
      <c r="DE61" s="217">
        <f t="shared" si="64"/>
        <v>28.962119925259049</v>
      </c>
      <c r="DF61" s="173">
        <f t="shared" si="65"/>
        <v>1.6986580601324954</v>
      </c>
      <c r="DG61" s="173">
        <f t="shared" si="66"/>
        <v>0.4304714614336958</v>
      </c>
      <c r="DH61" s="173"/>
      <c r="DI61" s="173">
        <f t="shared" si="67"/>
        <v>0.78201368523949166</v>
      </c>
      <c r="DJ61" s="545">
        <f t="shared" si="117"/>
        <v>1288.98</v>
      </c>
      <c r="DK61" s="528">
        <f t="shared" si="68"/>
        <v>9.1234929944607357E-2</v>
      </c>
      <c r="DM61" s="173">
        <f t="shared" si="69"/>
        <v>25.587496946751163</v>
      </c>
      <c r="DN61" s="173">
        <f t="shared" si="70"/>
        <v>25.587496946751163</v>
      </c>
      <c r="DO61" s="173">
        <f t="shared" si="71"/>
        <v>10.277158232161353</v>
      </c>
      <c r="DQ61" s="545">
        <f t="shared" si="72"/>
        <v>336</v>
      </c>
      <c r="DR61" s="460">
        <f t="shared" si="73"/>
        <v>350</v>
      </c>
      <c r="DT61">
        <f t="shared" si="74"/>
        <v>336</v>
      </c>
      <c r="DU61">
        <f t="shared" si="75"/>
        <v>350</v>
      </c>
      <c r="DW61" s="5">
        <f t="shared" si="118"/>
        <v>2.8571428571428572</v>
      </c>
      <c r="DX61" s="5">
        <f t="shared" si="76"/>
        <v>1.0234998778700466</v>
      </c>
      <c r="DY61" s="5">
        <f t="shared" si="119"/>
        <v>1.8336429792728106</v>
      </c>
      <c r="DZ61" s="5">
        <f t="shared" si="77"/>
        <v>1.5007329587537337</v>
      </c>
      <c r="EA61" s="173">
        <f t="shared" si="120"/>
        <v>0.35822495725451631</v>
      </c>
      <c r="EB61" s="173">
        <f t="shared" si="78"/>
        <v>57.287999999999997</v>
      </c>
      <c r="EC61" s="173">
        <f t="shared" si="79"/>
        <v>0.41053542366877904</v>
      </c>
      <c r="ED61" s="173">
        <f t="shared" si="121"/>
        <v>139.54459639083444</v>
      </c>
      <c r="EE61" s="460">
        <f t="shared" si="80"/>
        <v>0.2022917405672563</v>
      </c>
      <c r="EF61" s="5">
        <f t="shared" si="81"/>
        <v>13.406423932936059</v>
      </c>
      <c r="EG61" s="5"/>
      <c r="EH61" s="173">
        <f t="shared" si="122"/>
        <v>8.8418897680996711</v>
      </c>
      <c r="EI61" s="173">
        <f t="shared" si="82"/>
        <v>0.59173681930562327</v>
      </c>
      <c r="EJ61" s="173"/>
      <c r="EK61" s="528">
        <f t="shared" si="83"/>
        <v>3.1271605868490262</v>
      </c>
      <c r="EL61" s="528">
        <f t="shared" si="84"/>
        <v>5.1780298118148904</v>
      </c>
      <c r="EM61" s="528">
        <f t="shared" si="85"/>
        <v>6.9999999999999993E-2</v>
      </c>
      <c r="EN61" s="528">
        <f t="shared" si="86"/>
        <v>3.094354375E-2</v>
      </c>
      <c r="EO61">
        <f t="shared" si="87"/>
        <v>5.6249999999999998E-3</v>
      </c>
      <c r="EP61" s="460">
        <f t="shared" si="123"/>
        <v>75.625</v>
      </c>
      <c r="EQ61" s="528">
        <f t="shared" si="88"/>
        <v>36.017795074692422</v>
      </c>
      <c r="ER61" s="460">
        <f t="shared" si="124"/>
        <v>36017.795074692425</v>
      </c>
      <c r="ES61" s="528">
        <f t="shared" si="125"/>
        <v>0.29164799999999996</v>
      </c>
      <c r="ET61" s="528"/>
      <c r="EV61" s="460">
        <f t="shared" si="126"/>
        <v>291.64799999999997</v>
      </c>
      <c r="EW61" s="528">
        <f t="shared" si="89"/>
        <v>2.3453704401367697</v>
      </c>
      <c r="EX61" s="528">
        <f t="shared" si="90"/>
        <v>1.0504573899658075E-2</v>
      </c>
      <c r="EY61" s="528">
        <f t="shared" si="91"/>
        <v>379.49811654947757</v>
      </c>
      <c r="EZ61" s="528">
        <f t="shared" si="92"/>
        <v>471.23261259107682</v>
      </c>
      <c r="FA61" s="528">
        <f t="shared" si="93"/>
        <v>5.7288000000000006</v>
      </c>
      <c r="FB61" s="460">
        <f t="shared" si="127"/>
        <v>476961.41259107681</v>
      </c>
      <c r="FC61" s="173">
        <f t="shared" si="128"/>
        <v>513.2708556657692</v>
      </c>
      <c r="FD61" s="5">
        <f t="shared" si="129"/>
        <v>57.120000000000005</v>
      </c>
      <c r="FE61" s="173">
        <f t="shared" si="130"/>
        <v>0.10014185787275401</v>
      </c>
      <c r="FF61" s="5">
        <f t="shared" si="131"/>
        <v>10.014185787275402</v>
      </c>
      <c r="FI61" s="562">
        <f t="shared" si="94"/>
        <v>-50</v>
      </c>
      <c r="FJ61">
        <f t="shared" si="95"/>
        <v>-50</v>
      </c>
      <c r="FL61">
        <f t="shared" si="181"/>
        <v>0.5252565355638068</v>
      </c>
    </row>
    <row r="62" spans="5:168">
      <c r="E62" s="170">
        <v>57</v>
      </c>
      <c r="F62" s="217">
        <f t="shared" si="182"/>
        <v>0.34199999999999997</v>
      </c>
      <c r="G62" s="217"/>
      <c r="H62" s="217">
        <f t="shared" si="132"/>
        <v>58.139999999999993</v>
      </c>
      <c r="I62" s="541">
        <f t="shared" si="133"/>
        <v>11.597802682336065</v>
      </c>
      <c r="J62" s="172">
        <f t="shared" si="134"/>
        <v>8.5259666399832117</v>
      </c>
      <c r="K62" s="172">
        <f t="shared" si="135"/>
        <v>21.02596663998321</v>
      </c>
      <c r="L62" s="443"/>
      <c r="M62" s="217">
        <f t="shared" si="136"/>
        <v>0.42367646548136417</v>
      </c>
      <c r="N62" s="172">
        <f t="shared" si="137"/>
        <v>165.63317844467355</v>
      </c>
      <c r="O62" s="172">
        <f t="shared" si="98"/>
        <v>58.139999999999993</v>
      </c>
      <c r="P62" s="217">
        <f t="shared" si="138"/>
        <v>0.9743128143804326</v>
      </c>
      <c r="Q62" s="217">
        <f t="shared" si="139"/>
        <v>170</v>
      </c>
      <c r="R62" s="217">
        <f t="shared" si="140"/>
        <v>0.96347373486322152</v>
      </c>
      <c r="S62" s="172">
        <f t="shared" si="141"/>
        <v>898.56307010354976</v>
      </c>
      <c r="T62" s="172">
        <f t="shared" si="142"/>
        <v>170</v>
      </c>
      <c r="U62" s="217">
        <f t="shared" si="143"/>
        <v>23.736667306890361</v>
      </c>
      <c r="V62" s="217">
        <f t="shared" si="11"/>
        <v>1.0233260539534048</v>
      </c>
      <c r="W62" s="217">
        <f t="shared" si="144"/>
        <v>1.392022060910685</v>
      </c>
      <c r="X62" s="197">
        <f t="shared" si="145"/>
        <v>350</v>
      </c>
      <c r="Y62" s="443">
        <f t="shared" si="14"/>
        <v>350</v>
      </c>
      <c r="AA62" s="217">
        <f t="shared" si="146"/>
        <v>28.078374719941483</v>
      </c>
      <c r="AB62" s="173">
        <f t="shared" si="147"/>
        <v>1.6466387862852798</v>
      </c>
      <c r="AC62" s="173">
        <f t="shared" si="148"/>
        <v>0.4045557326099426</v>
      </c>
      <c r="AD62" s="173"/>
      <c r="AE62" s="173">
        <f t="shared" si="149"/>
        <v>0.78192502365688288</v>
      </c>
      <c r="AF62" s="545">
        <f t="shared" si="150"/>
        <v>1312.1462658934161</v>
      </c>
      <c r="AG62" s="528">
        <f t="shared" si="151"/>
        <v>9.1224586093303001E-2</v>
      </c>
      <c r="AI62" s="173">
        <f t="shared" si="152"/>
        <v>25.816409359162062</v>
      </c>
      <c r="AJ62" s="173">
        <f t="shared" si="153"/>
        <v>25.816409359162062</v>
      </c>
      <c r="AK62" s="173">
        <f t="shared" si="154"/>
        <v>10.446722982095354</v>
      </c>
      <c r="AM62" s="545">
        <f t="shared" si="155"/>
        <v>341.99999999999994</v>
      </c>
      <c r="AN62" s="460">
        <f t="shared" si="156"/>
        <v>350</v>
      </c>
      <c r="AP62">
        <f t="shared" si="157"/>
        <v>341.99999999999994</v>
      </c>
      <c r="AQ62">
        <f t="shared" si="158"/>
        <v>350</v>
      </c>
      <c r="AS62" s="5">
        <f t="shared" si="101"/>
        <v>2.8571428571428572</v>
      </c>
      <c r="AT62" s="5">
        <f t="shared" si="159"/>
        <v>1.1129870918773916</v>
      </c>
      <c r="AU62" s="5">
        <f t="shared" si="102"/>
        <v>1.7441557652654656</v>
      </c>
      <c r="AV62" s="5">
        <f t="shared" si="160"/>
        <v>1.5139872374173924</v>
      </c>
      <c r="AW62" s="173">
        <f t="shared" si="103"/>
        <v>0.38954548215708706</v>
      </c>
      <c r="AX62" s="173">
        <f t="shared" si="161"/>
        <v>58.317611817485165</v>
      </c>
      <c r="AY62" s="173">
        <f t="shared" si="162"/>
        <v>0.39399359319456356</v>
      </c>
      <c r="AZ62" s="173">
        <f t="shared" si="104"/>
        <v>148.01665007960298</v>
      </c>
      <c r="BA62" s="460">
        <f t="shared" si="163"/>
        <v>0.22390681495415757</v>
      </c>
      <c r="BB62" s="5">
        <f t="shared" si="164"/>
        <v>13.989576332003441</v>
      </c>
      <c r="BC62" s="5"/>
      <c r="BD62" s="173">
        <f t="shared" si="105"/>
        <v>9.3028131359625057</v>
      </c>
      <c r="BE62" s="173">
        <f t="shared" si="165"/>
        <v>0.58227999813371634</v>
      </c>
      <c r="BF62" s="173"/>
      <c r="BG62" s="528">
        <f t="shared" si="166"/>
        <v>3.4616932897054618</v>
      </c>
      <c r="BH62" s="528">
        <f t="shared" si="167"/>
        <v>4.2746678253553982</v>
      </c>
      <c r="BI62" s="528">
        <f t="shared" si="168"/>
        <v>0.16236923755270491</v>
      </c>
      <c r="BJ62" s="528">
        <f t="shared" si="169"/>
        <v>3.0946389120198085E-2</v>
      </c>
      <c r="BK62">
        <f t="shared" si="170"/>
        <v>5.2190112070512286E-3</v>
      </c>
      <c r="BL62" s="460">
        <f t="shared" si="106"/>
        <v>167.58824875975614</v>
      </c>
      <c r="BM62" s="528">
        <f t="shared" si="171"/>
        <v>49.024690744377757</v>
      </c>
      <c r="BN62" s="460">
        <f t="shared" si="107"/>
        <v>49024.69074437776</v>
      </c>
      <c r="BO62" s="528">
        <f t="shared" si="172"/>
        <v>0.29685599999999995</v>
      </c>
      <c r="BP62" s="528"/>
      <c r="BR62" s="460">
        <f t="shared" si="109"/>
        <v>296.85599999999994</v>
      </c>
      <c r="BS62" s="528">
        <f t="shared" si="173"/>
        <v>2.5962699672790963</v>
      </c>
      <c r="BT62" s="528">
        <f t="shared" si="174"/>
        <v>1.0171499886798021E-2</v>
      </c>
      <c r="BU62" s="528">
        <f t="shared" si="175"/>
        <v>0.87209999999999988</v>
      </c>
      <c r="BV62" s="528">
        <f t="shared" si="176"/>
        <v>5.1853023935540072</v>
      </c>
      <c r="BW62" s="528">
        <f t="shared" si="177"/>
        <v>5.8317611817485178</v>
      </c>
      <c r="BX62" s="460">
        <f t="shared" si="110"/>
        <v>11017.063575302525</v>
      </c>
      <c r="BY62" s="173">
        <f t="shared" si="45"/>
        <v>60.506198568440041</v>
      </c>
      <c r="BZ62" s="5">
        <f t="shared" si="111"/>
        <v>58.139999999999993</v>
      </c>
      <c r="CA62" s="173">
        <f t="shared" si="112"/>
        <v>0.49002834226047648</v>
      </c>
      <c r="CB62" s="5">
        <f t="shared" si="113"/>
        <v>49.002834226047646</v>
      </c>
      <c r="CE62" s="562">
        <f t="shared" si="178"/>
        <v>-50</v>
      </c>
      <c r="CF62">
        <f t="shared" si="179"/>
        <v>-50</v>
      </c>
      <c r="CG62" s="173">
        <f t="shared" si="180"/>
        <v>0.53070430450819717</v>
      </c>
      <c r="CI62" s="170">
        <v>57</v>
      </c>
      <c r="CJ62" s="217">
        <f t="shared" si="114"/>
        <v>0.34199999999999997</v>
      </c>
      <c r="CK62" s="217"/>
      <c r="CL62" s="217">
        <f t="shared" si="49"/>
        <v>58.139999999999993</v>
      </c>
      <c r="CM62" s="541">
        <f t="shared" si="50"/>
        <v>12.5</v>
      </c>
      <c r="CN62" s="172">
        <f t="shared" si="51"/>
        <v>8.5250000000000004</v>
      </c>
      <c r="CO62" s="443">
        <f t="shared" si="52"/>
        <v>21.024999999999999</v>
      </c>
      <c r="CP62" s="443"/>
      <c r="CQ62" s="217">
        <f t="shared" si="53"/>
        <v>0.40546967895362668</v>
      </c>
      <c r="CR62" s="172">
        <f t="shared" si="54"/>
        <v>170.84633868410626</v>
      </c>
      <c r="CS62" s="172">
        <f t="shared" si="115"/>
        <v>58.139999999999993</v>
      </c>
      <c r="CT62" s="217">
        <f t="shared" si="55"/>
        <v>1.0049784628476839</v>
      </c>
      <c r="CU62" s="217">
        <f t="shared" si="56"/>
        <v>170</v>
      </c>
      <c r="CV62" s="217">
        <f t="shared" si="57"/>
        <v>0.99379823272947732</v>
      </c>
      <c r="CW62" s="172">
        <f t="shared" si="58"/>
        <v>968.45259202418481</v>
      </c>
      <c r="CX62" s="172">
        <f t="shared" si="59"/>
        <v>170</v>
      </c>
      <c r="CY62" s="217">
        <f t="shared" si="60"/>
        <v>22.942282697947206</v>
      </c>
      <c r="CZ62" s="217">
        <f t="shared" si="61"/>
        <v>0.91769130791788822</v>
      </c>
      <c r="DA62" s="217">
        <f t="shared" si="62"/>
        <v>1.3455884280320942</v>
      </c>
      <c r="DB62" s="197">
        <f t="shared" si="63"/>
        <v>350</v>
      </c>
      <c r="DC62" s="443">
        <f t="shared" si="116"/>
        <v>350</v>
      </c>
      <c r="DE62" s="217">
        <f t="shared" si="64"/>
        <v>28.962119925259049</v>
      </c>
      <c r="DF62" s="173">
        <f t="shared" si="65"/>
        <v>1.6986580601324954</v>
      </c>
      <c r="DG62" s="173">
        <f t="shared" si="66"/>
        <v>0.4304714614336958</v>
      </c>
      <c r="DH62" s="173"/>
      <c r="DI62" s="173">
        <f t="shared" si="67"/>
        <v>0.78201368523949166</v>
      </c>
      <c r="DJ62" s="545">
        <f t="shared" si="117"/>
        <v>1311.9974999999997</v>
      </c>
      <c r="DK62" s="528">
        <f t="shared" si="68"/>
        <v>9.1234929944607357E-2</v>
      </c>
      <c r="DM62" s="173">
        <f t="shared" si="69"/>
        <v>25.814945837081055</v>
      </c>
      <c r="DN62" s="173">
        <f t="shared" si="70"/>
        <v>25.814945837081055</v>
      </c>
      <c r="DO62" s="173">
        <f t="shared" si="71"/>
        <v>10.445638891664979</v>
      </c>
      <c r="DQ62" s="545">
        <f t="shared" si="72"/>
        <v>341.99999999999994</v>
      </c>
      <c r="DR62" s="460">
        <f t="shared" si="73"/>
        <v>350</v>
      </c>
      <c r="DT62">
        <f t="shared" si="74"/>
        <v>341.99999999999994</v>
      </c>
      <c r="DU62">
        <f t="shared" si="75"/>
        <v>350</v>
      </c>
      <c r="DW62" s="5">
        <f t="shared" si="118"/>
        <v>2.8571428571428572</v>
      </c>
      <c r="DX62" s="5">
        <f t="shared" si="76"/>
        <v>1.0325978334832422</v>
      </c>
      <c r="DY62" s="5">
        <f t="shared" si="119"/>
        <v>1.824545023659615</v>
      </c>
      <c r="DZ62" s="5">
        <f t="shared" si="77"/>
        <v>1.5140730696235223</v>
      </c>
      <c r="EA62" s="173">
        <f t="shared" si="120"/>
        <v>0.36140924171913474</v>
      </c>
      <c r="EB62" s="173">
        <f t="shared" si="78"/>
        <v>58.310999999999986</v>
      </c>
      <c r="EC62" s="173">
        <f t="shared" si="79"/>
        <v>0.41212964592702639</v>
      </c>
      <c r="ED62" s="173">
        <f t="shared" si="121"/>
        <v>141.48703102597187</v>
      </c>
      <c r="EE62" s="460">
        <f t="shared" si="80"/>
        <v>0.20773438767721694</v>
      </c>
      <c r="EF62" s="5">
        <f t="shared" si="81"/>
        <v>13.57811810247296</v>
      </c>
      <c r="EG62" s="5"/>
      <c r="EH62" s="173">
        <f t="shared" si="122"/>
        <v>8.9600455555569081</v>
      </c>
      <c r="EI62" s="173">
        <f t="shared" si="82"/>
        <v>0.5955139093662879</v>
      </c>
      <c r="EJ62" s="173"/>
      <c r="EK62" s="528">
        <f t="shared" si="83"/>
        <v>3.2112966543062038</v>
      </c>
      <c r="EL62" s="528">
        <f t="shared" si="84"/>
        <v>5.2240576486620558</v>
      </c>
      <c r="EM62" s="528">
        <f t="shared" si="85"/>
        <v>6.9999999999999993E-2</v>
      </c>
      <c r="EN62" s="528">
        <f t="shared" si="86"/>
        <v>3.094354375E-2</v>
      </c>
      <c r="EO62">
        <f t="shared" si="87"/>
        <v>5.6249999999999998E-3</v>
      </c>
      <c r="EP62" s="460">
        <f t="shared" si="123"/>
        <v>75.625</v>
      </c>
      <c r="EQ62" s="528">
        <f t="shared" si="88"/>
        <v>39.700992086248434</v>
      </c>
      <c r="ER62" s="460">
        <f t="shared" si="124"/>
        <v>39700.992086248436</v>
      </c>
      <c r="ES62" s="528">
        <f t="shared" si="125"/>
        <v>0.29685599999999995</v>
      </c>
      <c r="ET62" s="528"/>
      <c r="EV62" s="460">
        <f t="shared" si="126"/>
        <v>296.85599999999994</v>
      </c>
      <c r="EW62" s="528">
        <f t="shared" si="89"/>
        <v>2.4084724907296526</v>
      </c>
      <c r="EX62" s="528">
        <f t="shared" si="90"/>
        <v>1.063910448746158E-2</v>
      </c>
      <c r="EY62" s="528">
        <f t="shared" si="91"/>
        <v>387.98788124026498</v>
      </c>
      <c r="EZ62" s="528">
        <f t="shared" si="92"/>
        <v>484.81290031048974</v>
      </c>
      <c r="FA62" s="528">
        <f t="shared" si="93"/>
        <v>5.8310999999999993</v>
      </c>
      <c r="FB62" s="460">
        <f t="shared" si="127"/>
        <v>490644.00031048973</v>
      </c>
      <c r="FC62" s="173">
        <f t="shared" si="128"/>
        <v>530.64184839673817</v>
      </c>
      <c r="FD62" s="5">
        <f t="shared" si="129"/>
        <v>58.139999999999993</v>
      </c>
      <c r="FE62" s="173">
        <f t="shared" si="130"/>
        <v>9.8746250684045522E-2</v>
      </c>
      <c r="FF62" s="5">
        <f t="shared" si="131"/>
        <v>9.8746250684045513</v>
      </c>
      <c r="FI62" s="562">
        <f t="shared" si="94"/>
        <v>-50</v>
      </c>
      <c r="FJ62">
        <f t="shared" si="95"/>
        <v>-50</v>
      </c>
      <c r="FL62">
        <f t="shared" si="181"/>
        <v>0.52992557436823273</v>
      </c>
    </row>
    <row r="63" spans="5:168">
      <c r="E63" s="170">
        <v>58</v>
      </c>
      <c r="F63" s="217">
        <f t="shared" si="182"/>
        <v>0.34799999999999998</v>
      </c>
      <c r="G63" s="217"/>
      <c r="H63" s="217">
        <f t="shared" si="132"/>
        <v>59.16</v>
      </c>
      <c r="I63" s="541">
        <f t="shared" si="133"/>
        <v>11.589923080173989</v>
      </c>
      <c r="J63" s="172">
        <f t="shared" si="134"/>
        <v>8.5259750824140994</v>
      </c>
      <c r="K63" s="172">
        <f t="shared" si="135"/>
        <v>21.025975082414099</v>
      </c>
      <c r="L63" s="443"/>
      <c r="M63" s="217">
        <f t="shared" si="136"/>
        <v>0.42384266608796234</v>
      </c>
      <c r="N63" s="172">
        <f t="shared" si="137"/>
        <v>165.58557723028252</v>
      </c>
      <c r="O63" s="172">
        <f t="shared" si="98"/>
        <v>59.16</v>
      </c>
      <c r="P63" s="217">
        <f t="shared" si="138"/>
        <v>0.97403280723695607</v>
      </c>
      <c r="Q63" s="217">
        <f t="shared" si="139"/>
        <v>170</v>
      </c>
      <c r="R63" s="217">
        <f t="shared" si="140"/>
        <v>0.9631968427559513</v>
      </c>
      <c r="S63" s="172">
        <f t="shared" si="141"/>
        <v>878.47928391453763</v>
      </c>
      <c r="T63" s="172">
        <f t="shared" si="142"/>
        <v>170</v>
      </c>
      <c r="U63" s="217">
        <f t="shared" si="143"/>
        <v>24.160067364733351</v>
      </c>
      <c r="V63" s="217">
        <f t="shared" si="11"/>
        <v>1.042287649262408</v>
      </c>
      <c r="W63" s="217">
        <f t="shared" si="144"/>
        <v>1.4168506904604108</v>
      </c>
      <c r="X63" s="197">
        <f t="shared" si="145"/>
        <v>350</v>
      </c>
      <c r="Y63" s="443">
        <f t="shared" si="14"/>
        <v>350</v>
      </c>
      <c r="AA63" s="217">
        <f t="shared" si="146"/>
        <v>28.070305270836737</v>
      </c>
      <c r="AB63" s="173">
        <f t="shared" si="147"/>
        <v>1.646163928436484</v>
      </c>
      <c r="AC63" s="173">
        <f t="shared" si="148"/>
        <v>0.40432283497420457</v>
      </c>
      <c r="AD63" s="173"/>
      <c r="AE63" s="173">
        <f t="shared" si="149"/>
        <v>0.78192424939377414</v>
      </c>
      <c r="AF63" s="545">
        <f t="shared" si="150"/>
        <v>1335.167697906048</v>
      </c>
      <c r="AG63" s="528">
        <f t="shared" si="151"/>
        <v>9.1224495762606966E-2</v>
      </c>
      <c r="AI63" s="173">
        <f t="shared" si="152"/>
        <v>26.04189735760481</v>
      </c>
      <c r="AJ63" s="173">
        <f t="shared" si="153"/>
        <v>26.04189735760481</v>
      </c>
      <c r="AK63" s="173">
        <f t="shared" si="154"/>
        <v>10.613751129089982</v>
      </c>
      <c r="AM63" s="545">
        <f t="shared" si="155"/>
        <v>348</v>
      </c>
      <c r="AN63" s="460">
        <f t="shared" si="156"/>
        <v>350</v>
      </c>
      <c r="AP63">
        <f t="shared" si="157"/>
        <v>348</v>
      </c>
      <c r="AQ63">
        <f t="shared" si="158"/>
        <v>350</v>
      </c>
      <c r="AS63" s="5">
        <f t="shared" si="101"/>
        <v>2.8571428571428572</v>
      </c>
      <c r="AT63" s="5">
        <f t="shared" si="159"/>
        <v>1.1234715354648352</v>
      </c>
      <c r="AU63" s="5">
        <f t="shared" si="102"/>
        <v>1.733671321678022</v>
      </c>
      <c r="AV63" s="5">
        <f t="shared" si="160"/>
        <v>1.527209328310114</v>
      </c>
      <c r="AW63" s="173">
        <f t="shared" si="103"/>
        <v>0.39321503741269231</v>
      </c>
      <c r="AX63" s="173">
        <f t="shared" si="161"/>
        <v>59.340786573602131</v>
      </c>
      <c r="AY63" s="173">
        <f t="shared" si="162"/>
        <v>0.39504579284591856</v>
      </c>
      <c r="AZ63" s="173">
        <f t="shared" si="104"/>
        <v>150.21242511180742</v>
      </c>
      <c r="BA63" s="460">
        <f t="shared" si="163"/>
        <v>0.22998123196574274</v>
      </c>
      <c r="BB63" s="5">
        <f t="shared" si="164"/>
        <v>14.159057958328685</v>
      </c>
      <c r="BC63" s="5"/>
      <c r="BD63" s="173">
        <f t="shared" si="105"/>
        <v>9.4281623948350166</v>
      </c>
      <c r="BE63" s="173">
        <f t="shared" si="165"/>
        <v>0.58559775696425576</v>
      </c>
      <c r="BF63" s="173"/>
      <c r="BG63" s="528">
        <f t="shared" si="166"/>
        <v>3.5556098457352467</v>
      </c>
      <c r="BH63" s="528">
        <f t="shared" si="167"/>
        <v>4.3120057439008006</v>
      </c>
      <c r="BI63" s="528">
        <f t="shared" si="168"/>
        <v>0.16225892312243587</v>
      </c>
      <c r="BJ63" s="528">
        <f t="shared" si="169"/>
        <v>3.0946413971640906E-2</v>
      </c>
      <c r="BK63">
        <f t="shared" si="170"/>
        <v>5.2154653860782951E-3</v>
      </c>
      <c r="BL63" s="460">
        <f t="shared" si="106"/>
        <v>167.47438850851415</v>
      </c>
      <c r="BM63" s="528">
        <f t="shared" si="171"/>
        <v>57.083202306528264</v>
      </c>
      <c r="BN63" s="460">
        <f t="shared" si="107"/>
        <v>57083.202306528263</v>
      </c>
      <c r="BO63" s="528">
        <f t="shared" si="172"/>
        <v>0.30206399999999994</v>
      </c>
      <c r="BP63" s="528"/>
      <c r="BR63" s="460">
        <f t="shared" si="109"/>
        <v>302.06399999999996</v>
      </c>
      <c r="BS63" s="528">
        <f t="shared" si="173"/>
        <v>2.6667073843014348</v>
      </c>
      <c r="BT63" s="528">
        <f t="shared" si="174"/>
        <v>1.0287741988847026E-2</v>
      </c>
      <c r="BU63" s="528">
        <f t="shared" si="175"/>
        <v>0.88739999999999997</v>
      </c>
      <c r="BV63" s="528">
        <f t="shared" si="176"/>
        <v>5.3533440259446774</v>
      </c>
      <c r="BW63" s="528">
        <f t="shared" si="177"/>
        <v>5.9340786573602138</v>
      </c>
      <c r="BX63" s="460">
        <f t="shared" si="110"/>
        <v>11287.422683304891</v>
      </c>
      <c r="BY63" s="173">
        <f t="shared" si="45"/>
        <v>68.840163378341671</v>
      </c>
      <c r="BZ63" s="5">
        <f t="shared" si="111"/>
        <v>59.16</v>
      </c>
      <c r="CA63" s="173">
        <f t="shared" si="112"/>
        <v>0.46218691006772733</v>
      </c>
      <c r="CB63" s="5">
        <f t="shared" si="113"/>
        <v>46.21869100677273</v>
      </c>
      <c r="CE63" s="562">
        <f t="shared" si="178"/>
        <v>-50</v>
      </c>
      <c r="CF63">
        <f t="shared" si="179"/>
        <v>-50</v>
      </c>
      <c r="CG63" s="173">
        <f t="shared" si="180"/>
        <v>0.53533936460353593</v>
      </c>
      <c r="CI63" s="170">
        <v>58</v>
      </c>
      <c r="CJ63" s="217">
        <f t="shared" si="114"/>
        <v>0.34799999999999998</v>
      </c>
      <c r="CK63" s="217"/>
      <c r="CL63" s="217">
        <f t="shared" si="49"/>
        <v>59.16</v>
      </c>
      <c r="CM63" s="541">
        <f t="shared" si="50"/>
        <v>12.5</v>
      </c>
      <c r="CN63" s="172">
        <f t="shared" si="51"/>
        <v>8.5250000000000004</v>
      </c>
      <c r="CO63" s="443">
        <f t="shared" si="52"/>
        <v>21.024999999999999</v>
      </c>
      <c r="CP63" s="443"/>
      <c r="CQ63" s="217">
        <f t="shared" si="53"/>
        <v>0.40546967895362668</v>
      </c>
      <c r="CR63" s="172">
        <f t="shared" si="54"/>
        <v>170.84633868410626</v>
      </c>
      <c r="CS63" s="172">
        <f t="shared" si="115"/>
        <v>59.16</v>
      </c>
      <c r="CT63" s="217">
        <f t="shared" si="55"/>
        <v>1.0049784628476839</v>
      </c>
      <c r="CU63" s="217">
        <f t="shared" si="56"/>
        <v>170</v>
      </c>
      <c r="CV63" s="217">
        <f t="shared" si="57"/>
        <v>0.99379823272947732</v>
      </c>
      <c r="CW63" s="172">
        <f t="shared" si="58"/>
        <v>947.44987117566563</v>
      </c>
      <c r="CX63" s="172">
        <f t="shared" si="59"/>
        <v>170</v>
      </c>
      <c r="CY63" s="217">
        <f t="shared" si="60"/>
        <v>23.344778885630493</v>
      </c>
      <c r="CZ63" s="217">
        <f t="shared" si="61"/>
        <v>0.93379115542521962</v>
      </c>
      <c r="DA63" s="217">
        <f t="shared" si="62"/>
        <v>1.3691952425589731</v>
      </c>
      <c r="DB63" s="197">
        <f t="shared" si="63"/>
        <v>350</v>
      </c>
      <c r="DC63" s="443">
        <f t="shared" si="116"/>
        <v>350</v>
      </c>
      <c r="DE63" s="217">
        <f t="shared" si="64"/>
        <v>28.962119925259049</v>
      </c>
      <c r="DF63" s="173">
        <f t="shared" si="65"/>
        <v>1.6986580601324954</v>
      </c>
      <c r="DG63" s="173">
        <f t="shared" si="66"/>
        <v>0.4304714614336958</v>
      </c>
      <c r="DH63" s="173"/>
      <c r="DI63" s="173">
        <f t="shared" si="67"/>
        <v>0.78201368523949166</v>
      </c>
      <c r="DJ63" s="545">
        <f t="shared" si="117"/>
        <v>1335.0149999999999</v>
      </c>
      <c r="DK63" s="528">
        <f t="shared" si="68"/>
        <v>9.1234929944607357E-2</v>
      </c>
      <c r="DM63" s="173">
        <f t="shared" si="69"/>
        <v>26.040408160066484</v>
      </c>
      <c r="DN63" s="173">
        <f t="shared" si="70"/>
        <v>26.040408160066484</v>
      </c>
      <c r="DO63" s="173">
        <f t="shared" si="71"/>
        <v>10.612648019802332</v>
      </c>
      <c r="DQ63" s="545">
        <f t="shared" si="72"/>
        <v>348</v>
      </c>
      <c r="DR63" s="460">
        <f t="shared" si="73"/>
        <v>350</v>
      </c>
      <c r="DT63">
        <f t="shared" si="74"/>
        <v>348</v>
      </c>
      <c r="DU63">
        <f t="shared" si="75"/>
        <v>350</v>
      </c>
      <c r="DW63" s="5">
        <f t="shared" si="118"/>
        <v>2.8571428571428572</v>
      </c>
      <c r="DX63" s="5">
        <f t="shared" si="76"/>
        <v>1.0416163264026594</v>
      </c>
      <c r="DY63" s="5">
        <f t="shared" si="119"/>
        <v>1.8155265307401978</v>
      </c>
      <c r="DZ63" s="5">
        <f t="shared" si="77"/>
        <v>1.5272966662795591</v>
      </c>
      <c r="EA63" s="173">
        <f t="shared" si="120"/>
        <v>0.36456571424093082</v>
      </c>
      <c r="EB63" s="173">
        <f t="shared" si="78"/>
        <v>59.333999999999996</v>
      </c>
      <c r="EC63" s="173">
        <f t="shared" si="79"/>
        <v>0.41367420400166205</v>
      </c>
      <c r="ED63" s="173">
        <f t="shared" si="121"/>
        <v>143.43171371585356</v>
      </c>
      <c r="EE63" s="460">
        <f t="shared" si="80"/>
        <v>0.21322498916948557</v>
      </c>
      <c r="EF63" s="5">
        <f t="shared" si="81"/>
        <v>13.748038343499534</v>
      </c>
      <c r="EG63" s="5"/>
      <c r="EH63" s="173">
        <f t="shared" si="122"/>
        <v>9.0776842208994672</v>
      </c>
      <c r="EI63" s="173">
        <f t="shared" si="82"/>
        <v>0.59922853507638996</v>
      </c>
      <c r="EJ63" s="173"/>
      <c r="EK63" s="528">
        <f t="shared" si="83"/>
        <v>3.2961740325746867</v>
      </c>
      <c r="EL63" s="528">
        <f t="shared" si="84"/>
        <v>5.2696834725669532</v>
      </c>
      <c r="EM63" s="528">
        <f t="shared" si="85"/>
        <v>6.9999999999999993E-2</v>
      </c>
      <c r="EN63" s="528">
        <f t="shared" si="86"/>
        <v>3.094354375E-2</v>
      </c>
      <c r="EO63">
        <f t="shared" si="87"/>
        <v>5.6249999999999998E-3</v>
      </c>
      <c r="EP63" s="460">
        <f t="shared" si="123"/>
        <v>75.625</v>
      </c>
      <c r="EQ63" s="528">
        <f t="shared" si="88"/>
        <v>44.101069685310762</v>
      </c>
      <c r="ER63" s="460">
        <f t="shared" si="124"/>
        <v>44101.069685310758</v>
      </c>
      <c r="ES63" s="528">
        <f t="shared" si="125"/>
        <v>0.30206399999999994</v>
      </c>
      <c r="ET63" s="528"/>
      <c r="EV63" s="460">
        <f t="shared" si="126"/>
        <v>302.06399999999996</v>
      </c>
      <c r="EW63" s="528">
        <f t="shared" si="89"/>
        <v>2.472130524431015</v>
      </c>
      <c r="EX63" s="528">
        <f t="shared" si="90"/>
        <v>1.0772245117493889E-2</v>
      </c>
      <c r="EY63" s="528">
        <f t="shared" si="91"/>
        <v>396.51496519697332</v>
      </c>
      <c r="EZ63" s="528">
        <f t="shared" si="92"/>
        <v>498.63967005390009</v>
      </c>
      <c r="FA63" s="528">
        <f t="shared" si="93"/>
        <v>5.9333999999999998</v>
      </c>
      <c r="FB63" s="460">
        <f t="shared" si="127"/>
        <v>504573.07005390007</v>
      </c>
      <c r="FC63" s="173">
        <f t="shared" si="128"/>
        <v>548.97620373921086</v>
      </c>
      <c r="FD63" s="5">
        <f t="shared" si="129"/>
        <v>59.16</v>
      </c>
      <c r="FE63" s="173">
        <f t="shared" si="130"/>
        <v>9.728083879276786E-2</v>
      </c>
      <c r="FF63" s="5">
        <f t="shared" si="131"/>
        <v>9.7280838792767863</v>
      </c>
      <c r="FI63" s="562">
        <f t="shared" si="94"/>
        <v>-50</v>
      </c>
      <c r="FJ63">
        <f t="shared" si="95"/>
        <v>-50</v>
      </c>
      <c r="FL63">
        <f t="shared" si="181"/>
        <v>0.53455383319784566</v>
      </c>
    </row>
    <row r="64" spans="5:168">
      <c r="E64" s="170">
        <v>59</v>
      </c>
      <c r="F64" s="217">
        <f t="shared" si="182"/>
        <v>0.35399999999999998</v>
      </c>
      <c r="G64" s="217"/>
      <c r="H64" s="217">
        <f t="shared" si="132"/>
        <v>60.18</v>
      </c>
      <c r="I64" s="541">
        <f t="shared" si="133"/>
        <v>11.582111117836151</v>
      </c>
      <c r="J64" s="172">
        <f t="shared" si="134"/>
        <v>8.5259834523737474</v>
      </c>
      <c r="K64" s="172">
        <f t="shared" si="135"/>
        <v>21.025983452373747</v>
      </c>
      <c r="L64" s="443"/>
      <c r="M64" s="217">
        <f t="shared" si="136"/>
        <v>0.42400756844581472</v>
      </c>
      <c r="N64" s="172">
        <f t="shared" si="137"/>
        <v>165.5383476244684</v>
      </c>
      <c r="O64" s="172">
        <f t="shared" si="98"/>
        <v>60.18</v>
      </c>
      <c r="P64" s="217">
        <f t="shared" si="138"/>
        <v>0.97375498602628474</v>
      </c>
      <c r="Q64" s="217">
        <f t="shared" si="139"/>
        <v>170</v>
      </c>
      <c r="R64" s="217">
        <f t="shared" si="140"/>
        <v>0.96292211226332236</v>
      </c>
      <c r="S64" s="172">
        <f t="shared" si="141"/>
        <v>859.08678531054773</v>
      </c>
      <c r="T64" s="172">
        <f t="shared" si="142"/>
        <v>170</v>
      </c>
      <c r="U64" s="217">
        <f t="shared" si="143"/>
        <v>24.583656354290003</v>
      </c>
      <c r="V64" s="217">
        <f t="shared" si="11"/>
        <v>1.0612770031377012</v>
      </c>
      <c r="W64" s="217">
        <f t="shared" si="144"/>
        <v>1.4416903628545974</v>
      </c>
      <c r="X64" s="197">
        <f t="shared" si="145"/>
        <v>350</v>
      </c>
      <c r="Y64" s="443">
        <f t="shared" si="14"/>
        <v>350</v>
      </c>
      <c r="AA64" s="217">
        <f t="shared" si="146"/>
        <v>28.06229881757492</v>
      </c>
      <c r="AB64" s="173">
        <f t="shared" si="147"/>
        <v>1.6456927798611902</v>
      </c>
      <c r="AC64" s="173">
        <f t="shared" si="148"/>
        <v>0.40409182231591478</v>
      </c>
      <c r="AD64" s="173"/>
      <c r="AE64" s="173">
        <f t="shared" si="149"/>
        <v>0.78192348177858328</v>
      </c>
      <c r="AF64" s="545">
        <f t="shared" si="150"/>
        <v>1358.1891639631378</v>
      </c>
      <c r="AG64" s="528">
        <f t="shared" si="151"/>
        <v>9.1224406207501385E-2</v>
      </c>
      <c r="AI64" s="173">
        <f t="shared" si="152"/>
        <v>26.265449949708486</v>
      </c>
      <c r="AJ64" s="173">
        <f t="shared" si="153"/>
        <v>26.265449949708486</v>
      </c>
      <c r="AK64" s="173">
        <f t="shared" si="154"/>
        <v>10.779345641759372</v>
      </c>
      <c r="AM64" s="545">
        <f t="shared" si="155"/>
        <v>354</v>
      </c>
      <c r="AN64" s="460">
        <f t="shared" si="156"/>
        <v>350</v>
      </c>
      <c r="AP64">
        <f t="shared" si="157"/>
        <v>354</v>
      </c>
      <c r="AQ64">
        <f t="shared" si="158"/>
        <v>350</v>
      </c>
      <c r="AS64" s="5">
        <f t="shared" si="101"/>
        <v>2.8571428571428572</v>
      </c>
      <c r="AT64" s="5">
        <f t="shared" si="159"/>
        <v>1.1338800708473766</v>
      </c>
      <c r="AU64" s="5">
        <f t="shared" si="102"/>
        <v>1.7232627862954806</v>
      </c>
      <c r="AV64" s="5">
        <f t="shared" si="160"/>
        <v>1.5403179056367882</v>
      </c>
      <c r="AW64" s="173">
        <f t="shared" si="103"/>
        <v>0.39685802479658183</v>
      </c>
      <c r="AX64" s="173">
        <f t="shared" si="161"/>
        <v>60.363962842806124</v>
      </c>
      <c r="AY64" s="173">
        <f t="shared" si="162"/>
        <v>0.39604488405684246</v>
      </c>
      <c r="AZ64" s="173">
        <f t="shared" si="104"/>
        <v>152.41697411786885</v>
      </c>
      <c r="BA64" s="460">
        <f t="shared" si="163"/>
        <v>0.23611385004704197</v>
      </c>
      <c r="BB64" s="5">
        <f t="shared" si="164"/>
        <v>14.326362912482514</v>
      </c>
      <c r="BC64" s="5"/>
      <c r="BD64" s="173">
        <f t="shared" si="105"/>
        <v>9.5530445035307583</v>
      </c>
      <c r="BE64" s="173">
        <f t="shared" si="165"/>
        <v>0.58884907743929027</v>
      </c>
      <c r="BF64" s="173"/>
      <c r="BG64" s="528">
        <f t="shared" si="166"/>
        <v>3.6504263714575695</v>
      </c>
      <c r="BH64" s="528">
        <f t="shared" si="167"/>
        <v>4.3490232135923064</v>
      </c>
      <c r="BI64" s="528">
        <f t="shared" si="168"/>
        <v>0.16214955564970612</v>
      </c>
      <c r="BJ64" s="528">
        <f t="shared" si="169"/>
        <v>3.0946438609764627E-2</v>
      </c>
      <c r="BK64">
        <f t="shared" si="170"/>
        <v>5.2119500030262675E-3</v>
      </c>
      <c r="BL64" s="460">
        <f t="shared" si="106"/>
        <v>167.36150565273238</v>
      </c>
      <c r="BM64" s="528">
        <f t="shared" si="171"/>
        <v>67.963967249096683</v>
      </c>
      <c r="BN64" s="460">
        <f t="shared" si="107"/>
        <v>67963.967249096677</v>
      </c>
      <c r="BO64" s="528">
        <f t="shared" si="172"/>
        <v>0.30727199999999993</v>
      </c>
      <c r="BP64" s="528"/>
      <c r="BR64" s="460">
        <f t="shared" si="109"/>
        <v>307.27199999999993</v>
      </c>
      <c r="BS64" s="528">
        <f t="shared" si="173"/>
        <v>2.737819778593177</v>
      </c>
      <c r="BT64" s="528">
        <f t="shared" si="174"/>
        <v>1.0402297080033098E-2</v>
      </c>
      <c r="BU64" s="528">
        <f t="shared" si="175"/>
        <v>0.90269999999999995</v>
      </c>
      <c r="BV64" s="528">
        <f t="shared" si="176"/>
        <v>5.5252685808731048</v>
      </c>
      <c r="BW64" s="528">
        <f t="shared" si="177"/>
        <v>6.036396284280614</v>
      </c>
      <c r="BX64" s="460">
        <f t="shared" si="110"/>
        <v>11561.66486515372</v>
      </c>
      <c r="BY64" s="173">
        <f t="shared" si="45"/>
        <v>80.000265619903132</v>
      </c>
      <c r="BZ64" s="5">
        <f t="shared" si="111"/>
        <v>60.18</v>
      </c>
      <c r="CA64" s="173">
        <f t="shared" si="112"/>
        <v>0.42930436558864316</v>
      </c>
      <c r="CB64" s="5">
        <f t="shared" si="113"/>
        <v>42.930436558864315</v>
      </c>
      <c r="CE64" s="562">
        <f t="shared" si="178"/>
        <v>-50</v>
      </c>
      <c r="CF64">
        <f t="shared" si="179"/>
        <v>-50</v>
      </c>
      <c r="CG64" s="173">
        <f t="shared" si="180"/>
        <v>0.53993463656696983</v>
      </c>
      <c r="CI64" s="170">
        <v>59</v>
      </c>
      <c r="CJ64" s="217">
        <f t="shared" si="114"/>
        <v>0.35399999999999998</v>
      </c>
      <c r="CK64" s="217"/>
      <c r="CL64" s="217">
        <f t="shared" si="49"/>
        <v>60.18</v>
      </c>
      <c r="CM64" s="541">
        <f t="shared" si="50"/>
        <v>12.5</v>
      </c>
      <c r="CN64" s="172">
        <f t="shared" si="51"/>
        <v>8.5250000000000004</v>
      </c>
      <c r="CO64" s="443">
        <f t="shared" si="52"/>
        <v>21.024999999999999</v>
      </c>
      <c r="CP64" s="443"/>
      <c r="CQ64" s="217">
        <f t="shared" si="53"/>
        <v>0.40546967895362668</v>
      </c>
      <c r="CR64" s="172">
        <f t="shared" si="54"/>
        <v>170.84633868410626</v>
      </c>
      <c r="CS64" s="172">
        <f t="shared" si="115"/>
        <v>60.18</v>
      </c>
      <c r="CT64" s="217">
        <f t="shared" si="55"/>
        <v>1.0049784628476839</v>
      </c>
      <c r="CU64" s="217">
        <f t="shared" si="56"/>
        <v>170</v>
      </c>
      <c r="CV64" s="217">
        <f t="shared" si="57"/>
        <v>0.99379823272947732</v>
      </c>
      <c r="CW64" s="172">
        <f t="shared" si="58"/>
        <v>927.15922986570547</v>
      </c>
      <c r="CX64" s="172">
        <f t="shared" si="59"/>
        <v>170</v>
      </c>
      <c r="CY64" s="217">
        <f t="shared" si="60"/>
        <v>23.74727507331378</v>
      </c>
      <c r="CZ64" s="217">
        <f t="shared" si="61"/>
        <v>0.94989100293255113</v>
      </c>
      <c r="DA64" s="217">
        <f t="shared" si="62"/>
        <v>1.3928020570858521</v>
      </c>
      <c r="DB64" s="197">
        <f t="shared" si="63"/>
        <v>350</v>
      </c>
      <c r="DC64" s="443">
        <f t="shared" si="116"/>
        <v>350</v>
      </c>
      <c r="DE64" s="217">
        <f t="shared" si="64"/>
        <v>28.962119925259049</v>
      </c>
      <c r="DF64" s="173">
        <f t="shared" si="65"/>
        <v>1.6986580601324954</v>
      </c>
      <c r="DG64" s="173">
        <f t="shared" si="66"/>
        <v>0.4304714614336958</v>
      </c>
      <c r="DH64" s="173"/>
      <c r="DI64" s="173">
        <f t="shared" si="67"/>
        <v>0.78201368523949166</v>
      </c>
      <c r="DJ64" s="545">
        <f t="shared" si="117"/>
        <v>1358.0325</v>
      </c>
      <c r="DK64" s="528">
        <f t="shared" si="68"/>
        <v>9.1234929944607357E-2</v>
      </c>
      <c r="DM64" s="173">
        <f t="shared" si="69"/>
        <v>26.263935076722333</v>
      </c>
      <c r="DN64" s="173">
        <f t="shared" si="70"/>
        <v>26.263935076722333</v>
      </c>
      <c r="DO64" s="173">
        <f t="shared" si="71"/>
        <v>10.77822351362148</v>
      </c>
      <c r="DQ64" s="545">
        <f t="shared" si="72"/>
        <v>354</v>
      </c>
      <c r="DR64" s="460">
        <f t="shared" si="73"/>
        <v>350</v>
      </c>
      <c r="DT64">
        <f t="shared" si="74"/>
        <v>354</v>
      </c>
      <c r="DU64">
        <f t="shared" si="75"/>
        <v>350</v>
      </c>
      <c r="DW64" s="5">
        <f t="shared" si="118"/>
        <v>2.8571428571428572</v>
      </c>
      <c r="DX64" s="5">
        <f t="shared" si="76"/>
        <v>1.0505574030688933</v>
      </c>
      <c r="DY64" s="5">
        <f t="shared" si="119"/>
        <v>1.8065854540739639</v>
      </c>
      <c r="DZ64" s="5">
        <f t="shared" si="77"/>
        <v>1.5404067493678788</v>
      </c>
      <c r="EA64" s="173">
        <f t="shared" si="120"/>
        <v>0.36769509107411263</v>
      </c>
      <c r="EB64" s="173">
        <f t="shared" si="78"/>
        <v>60.356999999999992</v>
      </c>
      <c r="EC64" s="173">
        <f t="shared" si="79"/>
        <v>0.41517037691805836</v>
      </c>
      <c r="ED64" s="173">
        <f t="shared" si="121"/>
        <v>145.37886938863312</v>
      </c>
      <c r="EE64" s="460">
        <f t="shared" si="80"/>
        <v>0.21876312981552248</v>
      </c>
      <c r="EF64" s="5">
        <f t="shared" si="81"/>
        <v>13.916200016149906</v>
      </c>
      <c r="EG64" s="5"/>
      <c r="EH64" s="173">
        <f t="shared" si="122"/>
        <v>9.1948168861251531</v>
      </c>
      <c r="EI64" s="173">
        <f t="shared" si="82"/>
        <v>0.60288218376822256</v>
      </c>
      <c r="EJ64" s="173"/>
      <c r="EK64" s="528">
        <f t="shared" si="83"/>
        <v>3.3817863027748905</v>
      </c>
      <c r="EL64" s="528">
        <f t="shared" si="84"/>
        <v>5.3149176367603381</v>
      </c>
      <c r="EM64" s="528">
        <f t="shared" si="85"/>
        <v>6.9999999999999993E-2</v>
      </c>
      <c r="EN64" s="528">
        <f t="shared" si="86"/>
        <v>3.094354375E-2</v>
      </c>
      <c r="EO64">
        <f t="shared" si="87"/>
        <v>5.6249999999999998E-3</v>
      </c>
      <c r="EP64" s="460">
        <f t="shared" si="123"/>
        <v>75.625</v>
      </c>
      <c r="EQ64" s="528">
        <f t="shared" si="88"/>
        <v>49.450225092877446</v>
      </c>
      <c r="ER64" s="460">
        <f t="shared" si="124"/>
        <v>49450.225092877445</v>
      </c>
      <c r="ES64" s="528">
        <f t="shared" si="125"/>
        <v>0.30727199999999993</v>
      </c>
      <c r="ET64" s="528"/>
      <c r="EV64" s="460">
        <f t="shared" si="126"/>
        <v>307.27199999999993</v>
      </c>
      <c r="EW64" s="528">
        <f t="shared" si="89"/>
        <v>2.5363397270811676</v>
      </c>
      <c r="EX64" s="528">
        <f t="shared" si="90"/>
        <v>1.0904007825154226E-2</v>
      </c>
      <c r="EY64" s="528">
        <f t="shared" si="91"/>
        <v>405.07888475290798</v>
      </c>
      <c r="EZ64" s="528">
        <f t="shared" si="92"/>
        <v>512.71911030309616</v>
      </c>
      <c r="FA64" s="528">
        <f t="shared" si="93"/>
        <v>6.0357000000000003</v>
      </c>
      <c r="FB64" s="460">
        <f t="shared" si="127"/>
        <v>518754.81030309619</v>
      </c>
      <c r="FC64" s="173">
        <f t="shared" si="128"/>
        <v>568.51230739597361</v>
      </c>
      <c r="FD64" s="5">
        <f t="shared" si="129"/>
        <v>60.18</v>
      </c>
      <c r="FE64" s="173">
        <f t="shared" si="130"/>
        <v>9.5722500962774501E-2</v>
      </c>
      <c r="FF64" s="5">
        <f t="shared" si="131"/>
        <v>9.5722500962774504</v>
      </c>
      <c r="FI64" s="562">
        <f t="shared" si="94"/>
        <v>-50</v>
      </c>
      <c r="FJ64">
        <f t="shared" si="95"/>
        <v>-50</v>
      </c>
      <c r="FL64">
        <f t="shared" si="181"/>
        <v>0.53914236227875756</v>
      </c>
    </row>
    <row r="65" spans="5:168">
      <c r="E65" s="170">
        <v>60</v>
      </c>
      <c r="F65" s="217">
        <f t="shared" si="182"/>
        <v>0.36</v>
      </c>
      <c r="G65" s="217"/>
      <c r="H65" s="217">
        <f t="shared" si="132"/>
        <v>61.199999999999996</v>
      </c>
      <c r="I65" s="541">
        <f t="shared" si="133"/>
        <v>11.574365082767509</v>
      </c>
      <c r="J65" s="172">
        <f t="shared" si="134"/>
        <v>8.5259917516970347</v>
      </c>
      <c r="K65" s="172">
        <f t="shared" si="135"/>
        <v>21.025991751697035</v>
      </c>
      <c r="L65" s="443"/>
      <c r="M65" s="217">
        <f t="shared" si="136"/>
        <v>0.42417120557202681</v>
      </c>
      <c r="N65" s="172">
        <f t="shared" si="137"/>
        <v>165.49148017619197</v>
      </c>
      <c r="O65" s="172">
        <f t="shared" si="98"/>
        <v>61.199999999999996</v>
      </c>
      <c r="P65" s="217">
        <f t="shared" si="138"/>
        <v>0.97347929515407039</v>
      </c>
      <c r="Q65" s="217">
        <f t="shared" si="139"/>
        <v>170</v>
      </c>
      <c r="R65" s="217">
        <f t="shared" si="140"/>
        <v>0.96264948840946429</v>
      </c>
      <c r="S65" s="172">
        <f t="shared" si="141"/>
        <v>840.35081960813648</v>
      </c>
      <c r="T65" s="172">
        <f t="shared" si="142"/>
        <v>170</v>
      </c>
      <c r="U65" s="217">
        <f t="shared" si="143"/>
        <v>25.00743300672368</v>
      </c>
      <c r="V65" s="217">
        <f t="shared" si="11"/>
        <v>1.0802939438965855</v>
      </c>
      <c r="W65" s="217">
        <f t="shared" si="144"/>
        <v>1.466541003968608</v>
      </c>
      <c r="X65" s="197">
        <f t="shared" si="145"/>
        <v>350</v>
      </c>
      <c r="Y65" s="443">
        <f t="shared" si="14"/>
        <v>350</v>
      </c>
      <c r="AA65" s="217">
        <f t="shared" si="146"/>
        <v>28.054353757996651</v>
      </c>
      <c r="AB65" s="173">
        <f t="shared" si="147"/>
        <v>1.6452252462250296</v>
      </c>
      <c r="AC65" s="173">
        <f t="shared" si="148"/>
        <v>0.40386264685536116</v>
      </c>
      <c r="AD65" s="173"/>
      <c r="AE65" s="173">
        <f t="shared" si="149"/>
        <v>0.7819227206429934</v>
      </c>
      <c r="AF65" s="545">
        <f t="shared" si="150"/>
        <v>1381.2106637749196</v>
      </c>
      <c r="AG65" s="528">
        <f t="shared" si="151"/>
        <v>9.1224317408349243E-2</v>
      </c>
      <c r="AI65" s="173">
        <f t="shared" si="152"/>
        <v>26.487116137520498</v>
      </c>
      <c r="AJ65" s="173">
        <f t="shared" si="153"/>
        <v>26.487116137520498</v>
      </c>
      <c r="AK65" s="173">
        <f t="shared" si="154"/>
        <v>10.943542817916418</v>
      </c>
      <c r="AM65" s="545">
        <f t="shared" si="155"/>
        <v>360</v>
      </c>
      <c r="AN65" s="460">
        <f t="shared" si="156"/>
        <v>350</v>
      </c>
      <c r="AP65">
        <f t="shared" si="157"/>
        <v>360</v>
      </c>
      <c r="AQ65">
        <f t="shared" si="158"/>
        <v>350</v>
      </c>
      <c r="AS65" s="5">
        <f t="shared" si="101"/>
        <v>2.8571428571428572</v>
      </c>
      <c r="AT65" s="5">
        <f t="shared" si="159"/>
        <v>1.1442146479790858</v>
      </c>
      <c r="AU65" s="5">
        <f t="shared" si="102"/>
        <v>1.7129282091637714</v>
      </c>
      <c r="AV65" s="5">
        <f t="shared" si="160"/>
        <v>1.5533158434177723</v>
      </c>
      <c r="AW65" s="173">
        <f t="shared" si="103"/>
        <v>0.40047512679267999</v>
      </c>
      <c r="AX65" s="173">
        <f t="shared" si="161"/>
        <v>61.387140612218644</v>
      </c>
      <c r="AY65" s="173">
        <f t="shared" si="162"/>
        <v>0.39699212359936342</v>
      </c>
      <c r="AZ65" s="173">
        <f t="shared" si="104"/>
        <v>154.63062605788454</v>
      </c>
      <c r="BA65" s="460">
        <f t="shared" si="163"/>
        <v>0.24230427839557109</v>
      </c>
      <c r="BB65" s="5">
        <f t="shared" si="164"/>
        <v>14.491501610834893</v>
      </c>
      <c r="BC65" s="5"/>
      <c r="BD65" s="173">
        <f t="shared" si="105"/>
        <v>9.6774697441051121</v>
      </c>
      <c r="BE65" s="173">
        <f t="shared" si="165"/>
        <v>0.59203537291441266</v>
      </c>
      <c r="BF65" s="173"/>
      <c r="BG65" s="528">
        <f t="shared" si="166"/>
        <v>3.746136825922795</v>
      </c>
      <c r="BH65" s="528">
        <f t="shared" si="167"/>
        <v>4.3857283477907609</v>
      </c>
      <c r="BI65" s="528">
        <f t="shared" si="168"/>
        <v>0.16204111115874514</v>
      </c>
      <c r="BJ65" s="528">
        <f t="shared" si="169"/>
        <v>3.0946463039970222E-2</v>
      </c>
      <c r="BK65">
        <f t="shared" si="170"/>
        <v>5.2084642872453788E-3</v>
      </c>
      <c r="BL65" s="460">
        <f t="shared" si="106"/>
        <v>167.24957544599053</v>
      </c>
      <c r="BM65" s="528">
        <f t="shared" si="171"/>
        <v>83.464744149803366</v>
      </c>
      <c r="BN65" s="460">
        <f t="shared" si="107"/>
        <v>83464.744149803359</v>
      </c>
      <c r="BO65" s="528">
        <f t="shared" si="172"/>
        <v>0.31247999999999998</v>
      </c>
      <c r="BP65" s="528"/>
      <c r="BR65" s="460">
        <f t="shared" si="109"/>
        <v>312.47999999999996</v>
      </c>
      <c r="BS65" s="528">
        <f t="shared" si="173"/>
        <v>2.8096026194420958</v>
      </c>
      <c r="BT65" s="528">
        <f t="shared" si="174"/>
        <v>1.0515176483457228E-2</v>
      </c>
      <c r="BU65" s="528">
        <f t="shared" si="175"/>
        <v>0.91799999999999993</v>
      </c>
      <c r="BV65" s="528">
        <f t="shared" si="176"/>
        <v>5.7011877493319991</v>
      </c>
      <c r="BW65" s="528">
        <f t="shared" si="177"/>
        <v>6.138714061221866</v>
      </c>
      <c r="BX65" s="460">
        <f t="shared" si="110"/>
        <v>11839.901810553865</v>
      </c>
      <c r="BY65" s="173">
        <f t="shared" si="45"/>
        <v>95.784375535803207</v>
      </c>
      <c r="BZ65" s="5">
        <f t="shared" si="111"/>
        <v>61.199999999999996</v>
      </c>
      <c r="CA65" s="173">
        <f t="shared" si="112"/>
        <v>0.3898477144054518</v>
      </c>
      <c r="CB65" s="5">
        <f t="shared" si="113"/>
        <v>38.984771440545181</v>
      </c>
      <c r="CE65" s="562">
        <f t="shared" si="178"/>
        <v>-50</v>
      </c>
      <c r="CF65">
        <f t="shared" si="179"/>
        <v>-50</v>
      </c>
      <c r="CG65" s="173">
        <f t="shared" si="180"/>
        <v>0.54449112778381803</v>
      </c>
      <c r="CI65" s="170">
        <v>60</v>
      </c>
      <c r="CJ65" s="217">
        <f t="shared" si="114"/>
        <v>0.36</v>
      </c>
      <c r="CK65" s="217"/>
      <c r="CL65" s="217">
        <f t="shared" si="49"/>
        <v>61.199999999999996</v>
      </c>
      <c r="CM65" s="541">
        <f t="shared" si="50"/>
        <v>12.5</v>
      </c>
      <c r="CN65" s="172">
        <f t="shared" si="51"/>
        <v>8.5250000000000004</v>
      </c>
      <c r="CO65" s="443">
        <f t="shared" si="52"/>
        <v>21.024999999999999</v>
      </c>
      <c r="CP65" s="443"/>
      <c r="CQ65" s="217">
        <f t="shared" si="53"/>
        <v>0.40546967895362668</v>
      </c>
      <c r="CR65" s="172">
        <f t="shared" si="54"/>
        <v>170.84633868410626</v>
      </c>
      <c r="CS65" s="172">
        <f t="shared" si="115"/>
        <v>61.199999999999996</v>
      </c>
      <c r="CT65" s="217">
        <f t="shared" si="55"/>
        <v>1.0049784628476839</v>
      </c>
      <c r="CU65" s="217">
        <f t="shared" si="56"/>
        <v>170</v>
      </c>
      <c r="CV65" s="217">
        <f t="shared" si="57"/>
        <v>0.99379823272947732</v>
      </c>
      <c r="CW65" s="172">
        <f t="shared" si="58"/>
        <v>907.54506577339816</v>
      </c>
      <c r="CX65" s="172">
        <f t="shared" si="59"/>
        <v>170</v>
      </c>
      <c r="CY65" s="217">
        <f t="shared" si="60"/>
        <v>24.149771260997063</v>
      </c>
      <c r="CZ65" s="217">
        <f t="shared" si="61"/>
        <v>0.96599085043988242</v>
      </c>
      <c r="DA65" s="217">
        <f t="shared" si="62"/>
        <v>1.416408871612731</v>
      </c>
      <c r="DB65" s="197">
        <f t="shared" si="63"/>
        <v>350</v>
      </c>
      <c r="DC65" s="443">
        <f t="shared" si="116"/>
        <v>350</v>
      </c>
      <c r="DE65" s="217">
        <f t="shared" si="64"/>
        <v>28.962119925259049</v>
      </c>
      <c r="DF65" s="173">
        <f t="shared" si="65"/>
        <v>1.6986580601324954</v>
      </c>
      <c r="DG65" s="173">
        <f t="shared" si="66"/>
        <v>0.4304714614336958</v>
      </c>
      <c r="DH65" s="173"/>
      <c r="DI65" s="173">
        <f t="shared" si="67"/>
        <v>0.78201368523949166</v>
      </c>
      <c r="DJ65" s="545">
        <f t="shared" si="117"/>
        <v>1381.05</v>
      </c>
      <c r="DK65" s="528">
        <f t="shared" si="68"/>
        <v>9.1234929944607357E-2</v>
      </c>
      <c r="DM65" s="173">
        <f t="shared" si="69"/>
        <v>26.48557558909593</v>
      </c>
      <c r="DN65" s="173">
        <f t="shared" si="70"/>
        <v>26.48557558909593</v>
      </c>
      <c r="DO65" s="173">
        <f t="shared" si="71"/>
        <v>10.942401670935256</v>
      </c>
      <c r="DQ65" s="545">
        <f t="shared" si="72"/>
        <v>360</v>
      </c>
      <c r="DR65" s="460">
        <f t="shared" si="73"/>
        <v>350</v>
      </c>
      <c r="DT65">
        <f t="shared" si="74"/>
        <v>360</v>
      </c>
      <c r="DU65">
        <f t="shared" si="75"/>
        <v>350</v>
      </c>
      <c r="DW65" s="5">
        <f t="shared" si="118"/>
        <v>2.8571428571428572</v>
      </c>
      <c r="DX65" s="5">
        <f t="shared" si="76"/>
        <v>1.0594230235638371</v>
      </c>
      <c r="DY65" s="5">
        <f t="shared" si="119"/>
        <v>1.7977198335790201</v>
      </c>
      <c r="DZ65" s="5">
        <f t="shared" si="77"/>
        <v>1.5534061929088521</v>
      </c>
      <c r="EA65" s="173">
        <f t="shared" si="120"/>
        <v>0.37079805824734297</v>
      </c>
      <c r="EB65" s="173">
        <f t="shared" si="78"/>
        <v>61.379999999999988</v>
      </c>
      <c r="EC65" s="173">
        <f t="shared" si="79"/>
        <v>0.41661938972739837</v>
      </c>
      <c r="ED65" s="173">
        <f t="shared" si="121"/>
        <v>147.3287166018894</v>
      </c>
      <c r="EE65" s="460">
        <f t="shared" si="80"/>
        <v>0.22434840498998904</v>
      </c>
      <c r="EF65" s="5">
        <f t="shared" si="81"/>
        <v>14.082618088324612</v>
      </c>
      <c r="EG65" s="5"/>
      <c r="EH65" s="173">
        <f t="shared" si="122"/>
        <v>9.3114542499259692</v>
      </c>
      <c r="EI65" s="173">
        <f t="shared" si="82"/>
        <v>0.60647627979193675</v>
      </c>
      <c r="EJ65" s="173"/>
      <c r="EK65" s="528">
        <f t="shared" si="83"/>
        <v>3.4681272099385758</v>
      </c>
      <c r="EL65" s="528">
        <f t="shared" si="84"/>
        <v>5.3597700575721401</v>
      </c>
      <c r="EM65" s="528">
        <f t="shared" si="85"/>
        <v>6.9999999999999993E-2</v>
      </c>
      <c r="EN65" s="528">
        <f t="shared" si="86"/>
        <v>3.094354375E-2</v>
      </c>
      <c r="EO65">
        <f t="shared" si="87"/>
        <v>5.6249999999999998E-3</v>
      </c>
      <c r="EP65" s="460">
        <f t="shared" si="123"/>
        <v>75.625</v>
      </c>
      <c r="EQ65" s="528">
        <f t="shared" si="88"/>
        <v>56.093045892475359</v>
      </c>
      <c r="ER65" s="460">
        <f t="shared" si="124"/>
        <v>56093.045892475362</v>
      </c>
      <c r="ES65" s="528">
        <f t="shared" si="125"/>
        <v>0.31247999999999998</v>
      </c>
      <c r="ET65" s="528"/>
      <c r="EV65" s="460">
        <f t="shared" si="126"/>
        <v>312.47999999999996</v>
      </c>
      <c r="EW65" s="528">
        <f t="shared" si="89"/>
        <v>2.6010954074539319</v>
      </c>
      <c r="EX65" s="528">
        <f t="shared" si="90"/>
        <v>1.1034404338508025E-2</v>
      </c>
      <c r="EY65" s="528">
        <f t="shared" si="91"/>
        <v>413.67917062005131</v>
      </c>
      <c r="EZ65" s="528">
        <f t="shared" si="92"/>
        <v>527.05765201577185</v>
      </c>
      <c r="FA65" s="528">
        <f t="shared" si="93"/>
        <v>6.1379999999999999</v>
      </c>
      <c r="FB65" s="460">
        <f t="shared" si="127"/>
        <v>533195.65201577183</v>
      </c>
      <c r="FC65" s="173">
        <f t="shared" si="128"/>
        <v>589.60117790824722</v>
      </c>
      <c r="FD65" s="5">
        <f t="shared" si="129"/>
        <v>61.199999999999996</v>
      </c>
      <c r="FE65" s="173">
        <f t="shared" si="130"/>
        <v>9.403793674237669E-2</v>
      </c>
      <c r="FF65" s="5">
        <f t="shared" si="131"/>
        <v>9.4037936742376687</v>
      </c>
      <c r="FI65" s="562">
        <f t="shared" si="94"/>
        <v>-50</v>
      </c>
      <c r="FJ65">
        <f t="shared" si="95"/>
        <v>-50</v>
      </c>
      <c r="FL65">
        <f t="shared" si="181"/>
        <v>0.54369216751809823</v>
      </c>
    </row>
    <row r="66" spans="5:168">
      <c r="E66" s="170">
        <v>61</v>
      </c>
      <c r="F66" s="217">
        <f t="shared" si="182"/>
        <v>0.36599999999999999</v>
      </c>
      <c r="G66" s="217"/>
      <c r="H66" s="217">
        <f t="shared" si="132"/>
        <v>62.22</v>
      </c>
      <c r="I66" s="541">
        <f t="shared" si="133"/>
        <v>11.566683333482146</v>
      </c>
      <c r="J66" s="172">
        <f t="shared" si="134"/>
        <v>8.5259999821426984</v>
      </c>
      <c r="K66" s="172">
        <f t="shared" si="135"/>
        <v>21.0259999821427</v>
      </c>
      <c r="L66" s="443"/>
      <c r="M66" s="217">
        <f t="shared" si="136"/>
        <v>0.42433360911253221</v>
      </c>
      <c r="N66" s="172">
        <f t="shared" si="137"/>
        <v>165.44496582690948</v>
      </c>
      <c r="O66" s="172">
        <f t="shared" si="98"/>
        <v>62.22</v>
      </c>
      <c r="P66" s="217">
        <f t="shared" si="138"/>
        <v>0.97320568133476171</v>
      </c>
      <c r="Q66" s="217">
        <f t="shared" si="139"/>
        <v>170</v>
      </c>
      <c r="R66" s="217">
        <f t="shared" si="140"/>
        <v>0.96237891850161861</v>
      </c>
      <c r="S66" s="172">
        <f t="shared" si="141"/>
        <v>822.23891844641378</v>
      </c>
      <c r="T66" s="172">
        <f t="shared" si="142"/>
        <v>170</v>
      </c>
      <c r="U66" s="217">
        <f t="shared" si="143"/>
        <v>25.431396085900474</v>
      </c>
      <c r="V66" s="217">
        <f t="shared" si="11"/>
        <v>1.0993383043644005</v>
      </c>
      <c r="W66" s="217">
        <f t="shared" si="144"/>
        <v>1.4914025415883956</v>
      </c>
      <c r="X66" s="197">
        <f t="shared" si="145"/>
        <v>350</v>
      </c>
      <c r="Y66" s="443">
        <f t="shared" si="14"/>
        <v>350</v>
      </c>
      <c r="AA66" s="217">
        <f t="shared" si="146"/>
        <v>28.046468556479176</v>
      </c>
      <c r="AB66" s="173">
        <f t="shared" si="147"/>
        <v>1.6447612371112581</v>
      </c>
      <c r="AC66" s="173">
        <f t="shared" si="148"/>
        <v>0.40363526279612111</v>
      </c>
      <c r="AD66" s="173"/>
      <c r="AE66" s="173">
        <f t="shared" si="149"/>
        <v>0.78192196582567242</v>
      </c>
      <c r="AF66" s="545">
        <f t="shared" si="150"/>
        <v>1404.2321970589026</v>
      </c>
      <c r="AG66" s="528">
        <f t="shared" si="151"/>
        <v>9.1224229346328442E-2</v>
      </c>
      <c r="AI66" s="173">
        <f t="shared" si="152"/>
        <v>26.706942889557933</v>
      </c>
      <c r="AJ66" s="173">
        <f t="shared" si="153"/>
        <v>26.706942889557933</v>
      </c>
      <c r="AK66" s="173">
        <f t="shared" si="154"/>
        <v>11.106377449055257</v>
      </c>
      <c r="AM66" s="545">
        <f t="shared" si="155"/>
        <v>366</v>
      </c>
      <c r="AN66" s="460">
        <f t="shared" si="156"/>
        <v>350</v>
      </c>
      <c r="AP66">
        <f t="shared" si="157"/>
        <v>366</v>
      </c>
      <c r="AQ66">
        <f t="shared" si="158"/>
        <v>350</v>
      </c>
      <c r="AS66" s="5">
        <f t="shared" si="101"/>
        <v>2.8571428571428572</v>
      </c>
      <c r="AT66" s="5">
        <f t="shared" si="159"/>
        <v>1.1544771357338532</v>
      </c>
      <c r="AU66" s="5">
        <f t="shared" si="102"/>
        <v>1.702665721409004</v>
      </c>
      <c r="AV66" s="5">
        <f t="shared" si="160"/>
        <v>1.5662058964047827</v>
      </c>
      <c r="AW66" s="173">
        <f t="shared" si="103"/>
        <v>0.4040669975068486</v>
      </c>
      <c r="AX66" s="173">
        <f t="shared" si="161"/>
        <v>62.410319869284535</v>
      </c>
      <c r="AY66" s="173">
        <f t="shared" si="162"/>
        <v>0.39788871658968455</v>
      </c>
      <c r="AZ66" s="173">
        <f t="shared" si="104"/>
        <v>156.85370624280364</v>
      </c>
      <c r="BA66" s="460">
        <f t="shared" si="163"/>
        <v>0.2485521362815237</v>
      </c>
      <c r="BB66" s="5">
        <f t="shared" si="164"/>
        <v>14.654484177590096</v>
      </c>
      <c r="BC66" s="5"/>
      <c r="BD66" s="173">
        <f t="shared" si="105"/>
        <v>9.8014480102295902</v>
      </c>
      <c r="BE66" s="173">
        <f t="shared" si="165"/>
        <v>0.59515799667987912</v>
      </c>
      <c r="BF66" s="173"/>
      <c r="BG66" s="528">
        <f t="shared" si="166"/>
        <v>3.8427353238893436</v>
      </c>
      <c r="BH66" s="528">
        <f t="shared" si="167"/>
        <v>4.4221289231615835</v>
      </c>
      <c r="BI66" s="528">
        <f t="shared" si="168"/>
        <v>0.16193356666875006</v>
      </c>
      <c r="BJ66" s="528">
        <f t="shared" si="169"/>
        <v>3.0946487267434535E-2</v>
      </c>
      <c r="BK66">
        <f t="shared" si="170"/>
        <v>5.2050075000669655E-3</v>
      </c>
      <c r="BL66" s="460">
        <f t="shared" si="106"/>
        <v>167.13857416881703</v>
      </c>
      <c r="BM66" s="528">
        <f t="shared" si="171"/>
        <v>107.32171112928089</v>
      </c>
      <c r="BN66" s="460">
        <f t="shared" si="107"/>
        <v>107321.71112928088</v>
      </c>
      <c r="BO66" s="528">
        <f t="shared" si="172"/>
        <v>0.31768799999999997</v>
      </c>
      <c r="BP66" s="528"/>
      <c r="BR66" s="460">
        <f t="shared" si="109"/>
        <v>317.68799999999999</v>
      </c>
      <c r="BS66" s="528">
        <f t="shared" si="173"/>
        <v>2.8820514929170078</v>
      </c>
      <c r="BT66" s="528">
        <f t="shared" si="174"/>
        <v>1.0626391230360211E-2</v>
      </c>
      <c r="BU66" s="528">
        <f t="shared" si="175"/>
        <v>0.93329999999999991</v>
      </c>
      <c r="BV66" s="528">
        <f t="shared" si="176"/>
        <v>5.8812181503783885</v>
      </c>
      <c r="BW66" s="528">
        <f t="shared" si="177"/>
        <v>6.2410319869284541</v>
      </c>
      <c r="BX66" s="460">
        <f t="shared" si="110"/>
        <v>12122.250137306843</v>
      </c>
      <c r="BY66" s="173">
        <f t="shared" si="45"/>
        <v>119.92878784075654</v>
      </c>
      <c r="BZ66" s="5">
        <f t="shared" si="111"/>
        <v>62.22</v>
      </c>
      <c r="CA66" s="173">
        <f t="shared" si="112"/>
        <v>0.34158887762896228</v>
      </c>
      <c r="CB66" s="5">
        <f t="shared" si="113"/>
        <v>34.158887762896228</v>
      </c>
      <c r="CE66" s="562">
        <f t="shared" si="178"/>
        <v>-50</v>
      </c>
      <c r="CF66">
        <f t="shared" si="179"/>
        <v>-50</v>
      </c>
      <c r="CG66" s="173">
        <f t="shared" si="180"/>
        <v>0.54900980383403197</v>
      </c>
      <c r="CI66" s="170">
        <v>61</v>
      </c>
      <c r="CJ66" s="217">
        <f t="shared" si="114"/>
        <v>0.36599999999999999</v>
      </c>
      <c r="CK66" s="217"/>
      <c r="CL66" s="217">
        <f t="shared" si="49"/>
        <v>62.22</v>
      </c>
      <c r="CM66" s="541">
        <f t="shared" si="50"/>
        <v>12.5</v>
      </c>
      <c r="CN66" s="172">
        <f t="shared" si="51"/>
        <v>8.5250000000000004</v>
      </c>
      <c r="CO66" s="443">
        <f t="shared" si="52"/>
        <v>21.024999999999999</v>
      </c>
      <c r="CP66" s="443"/>
      <c r="CQ66" s="217">
        <f t="shared" si="53"/>
        <v>0.40546967895362668</v>
      </c>
      <c r="CR66" s="172">
        <f t="shared" si="54"/>
        <v>170.84633868410626</v>
      </c>
      <c r="CS66" s="172">
        <f t="shared" si="115"/>
        <v>62.22</v>
      </c>
      <c r="CT66" s="217">
        <f t="shared" si="55"/>
        <v>1.0049784628476839</v>
      </c>
      <c r="CU66" s="217">
        <f t="shared" si="56"/>
        <v>170</v>
      </c>
      <c r="CV66" s="217">
        <f t="shared" si="57"/>
        <v>0.99379823272947732</v>
      </c>
      <c r="CW66" s="172">
        <f t="shared" si="58"/>
        <v>888.57411118605455</v>
      </c>
      <c r="CX66" s="172">
        <f t="shared" si="59"/>
        <v>170</v>
      </c>
      <c r="CY66" s="217">
        <f t="shared" si="60"/>
        <v>24.552267448680347</v>
      </c>
      <c r="CZ66" s="217">
        <f t="shared" si="61"/>
        <v>0.98209069794721393</v>
      </c>
      <c r="DA66" s="217">
        <f t="shared" si="62"/>
        <v>1.4400156861396098</v>
      </c>
      <c r="DB66" s="197">
        <f t="shared" si="63"/>
        <v>350</v>
      </c>
      <c r="DC66" s="443">
        <f t="shared" si="116"/>
        <v>350</v>
      </c>
      <c r="DE66" s="217">
        <f t="shared" si="64"/>
        <v>28.962119925259049</v>
      </c>
      <c r="DF66" s="173">
        <f t="shared" si="65"/>
        <v>1.6986580601324954</v>
      </c>
      <c r="DG66" s="173">
        <f t="shared" si="66"/>
        <v>0.4304714614336958</v>
      </c>
      <c r="DH66" s="173"/>
      <c r="DI66" s="173">
        <f t="shared" si="67"/>
        <v>0.78201368523949166</v>
      </c>
      <c r="DJ66" s="545">
        <f t="shared" si="117"/>
        <v>1404.0675000000001</v>
      </c>
      <c r="DK66" s="528">
        <f t="shared" si="68"/>
        <v>9.1234929944607357E-2</v>
      </c>
      <c r="DM66" s="173">
        <f t="shared" si="69"/>
        <v>26.705376665704282</v>
      </c>
      <c r="DN66" s="173">
        <f t="shared" si="70"/>
        <v>26.705376665704282</v>
      </c>
      <c r="DO66" s="173">
        <f t="shared" si="71"/>
        <v>11.105217283237739</v>
      </c>
      <c r="DQ66" s="545">
        <f t="shared" si="72"/>
        <v>366</v>
      </c>
      <c r="DR66" s="460">
        <f t="shared" si="73"/>
        <v>350</v>
      </c>
      <c r="DT66">
        <f t="shared" si="74"/>
        <v>366</v>
      </c>
      <c r="DU66">
        <f t="shared" si="75"/>
        <v>350</v>
      </c>
      <c r="DW66" s="5">
        <f t="shared" si="118"/>
        <v>2.8571428571428572</v>
      </c>
      <c r="DX66" s="5">
        <f t="shared" si="76"/>
        <v>1.0682150666281713</v>
      </c>
      <c r="DY66" s="5">
        <f t="shared" si="119"/>
        <v>1.7889277905146859</v>
      </c>
      <c r="DZ66" s="5">
        <f t="shared" si="77"/>
        <v>1.56629775165421</v>
      </c>
      <c r="EA66" s="173">
        <f t="shared" si="120"/>
        <v>0.37387527331985998</v>
      </c>
      <c r="EB66" s="173">
        <f t="shared" si="78"/>
        <v>62.402999999999984</v>
      </c>
      <c r="EC66" s="173">
        <f t="shared" si="79"/>
        <v>0.41802241664260709</v>
      </c>
      <c r="ED66" s="173">
        <f t="shared" si="121"/>
        <v>149.28146796814517</v>
      </c>
      <c r="EE66" s="460">
        <f t="shared" si="80"/>
        <v>0.22998042022700629</v>
      </c>
      <c r="EF66" s="5">
        <f t="shared" si="81"/>
        <v>14.24730715210544</v>
      </c>
      <c r="EG66" s="5"/>
      <c r="EH66" s="173">
        <f t="shared" si="122"/>
        <v>9.4276066105735641</v>
      </c>
      <c r="EI66" s="173">
        <f t="shared" si="82"/>
        <v>0.61001218816099068</v>
      </c>
      <c r="EJ66" s="173"/>
      <c r="EK66" s="528">
        <f t="shared" si="83"/>
        <v>3.555190656149215</v>
      </c>
      <c r="EL66" s="528">
        <f t="shared" si="84"/>
        <v>5.4042502398156627</v>
      </c>
      <c r="EM66" s="528">
        <f t="shared" si="85"/>
        <v>6.9999999999999993E-2</v>
      </c>
      <c r="EN66" s="528">
        <f t="shared" si="86"/>
        <v>3.094354375E-2</v>
      </c>
      <c r="EO66">
        <f t="shared" si="87"/>
        <v>5.6249999999999998E-3</v>
      </c>
      <c r="EP66" s="460">
        <f t="shared" si="123"/>
        <v>75.625</v>
      </c>
      <c r="EQ66" s="528">
        <f t="shared" si="88"/>
        <v>64.563873857109385</v>
      </c>
      <c r="ER66" s="460">
        <f t="shared" si="124"/>
        <v>64563.873857109385</v>
      </c>
      <c r="ES66" s="528">
        <f t="shared" si="125"/>
        <v>0.31768799999999997</v>
      </c>
      <c r="ET66" s="528"/>
      <c r="EV66" s="460">
        <f t="shared" si="126"/>
        <v>317.68799999999999</v>
      </c>
      <c r="EW66" s="528">
        <f t="shared" si="89"/>
        <v>2.6663929921119109</v>
      </c>
      <c r="EX66" s="528">
        <f t="shared" si="90"/>
        <v>1.1163446091148796E-2</v>
      </c>
      <c r="EY66" s="528">
        <f t="shared" si="91"/>
        <v>422.31536722853247</v>
      </c>
      <c r="EZ66" s="528">
        <f t="shared" si="92"/>
        <v>541.66197867931237</v>
      </c>
      <c r="FA66" s="528">
        <f t="shared" si="93"/>
        <v>6.2402999999999995</v>
      </c>
      <c r="FB66" s="460">
        <f t="shared" si="127"/>
        <v>547902.27867931244</v>
      </c>
      <c r="FC66" s="173">
        <f t="shared" si="128"/>
        <v>612.78384053642185</v>
      </c>
      <c r="FD66" s="5">
        <f t="shared" si="129"/>
        <v>62.22</v>
      </c>
      <c r="FE66" s="173">
        <f t="shared" si="130"/>
        <v>9.2177253318372385E-2</v>
      </c>
      <c r="FF66" s="5">
        <f t="shared" si="131"/>
        <v>9.2177253318372383</v>
      </c>
      <c r="FI66" s="562">
        <f t="shared" si="94"/>
        <v>-50</v>
      </c>
      <c r="FJ66">
        <f t="shared" si="95"/>
        <v>-50</v>
      </c>
      <c r="FL66">
        <f t="shared" si="181"/>
        <v>0.5482042130789736</v>
      </c>
    </row>
    <row r="67" spans="5:168">
      <c r="E67" s="170">
        <v>62</v>
      </c>
      <c r="F67" s="217">
        <f t="shared" si="182"/>
        <v>0.372</v>
      </c>
      <c r="G67" s="217"/>
      <c r="H67" s="217">
        <f t="shared" si="132"/>
        <v>63.24</v>
      </c>
      <c r="I67" s="541">
        <f t="shared" si="133"/>
        <v>11.559064295501546</v>
      </c>
      <c r="J67" s="172">
        <f t="shared" si="134"/>
        <v>8.526008145397677</v>
      </c>
      <c r="K67" s="172">
        <f t="shared" si="135"/>
        <v>21.026008145397675</v>
      </c>
      <c r="L67" s="443"/>
      <c r="M67" s="217">
        <f t="shared" si="136"/>
        <v>0.42449480942048218</v>
      </c>
      <c r="N67" s="172">
        <f t="shared" si="137"/>
        <v>165.39879588813358</v>
      </c>
      <c r="O67" s="172">
        <f t="shared" si="98"/>
        <v>63.24</v>
      </c>
      <c r="P67" s="217">
        <f t="shared" si="138"/>
        <v>0.97293409345960924</v>
      </c>
      <c r="Q67" s="217">
        <f t="shared" si="139"/>
        <v>170</v>
      </c>
      <c r="R67" s="217">
        <f t="shared" si="140"/>
        <v>0.9621103519996137</v>
      </c>
      <c r="S67" s="172">
        <f t="shared" si="141"/>
        <v>804.72071500951381</v>
      </c>
      <c r="T67" s="172">
        <f t="shared" si="142"/>
        <v>170</v>
      </c>
      <c r="U67" s="217">
        <f t="shared" si="143"/>
        <v>25.855544387038883</v>
      </c>
      <c r="V67" s="217">
        <f t="shared" si="11"/>
        <v>1.1184099216880865</v>
      </c>
      <c r="W67" s="217">
        <f t="shared" si="144"/>
        <v>1.5162749053316149</v>
      </c>
      <c r="X67" s="197">
        <f t="shared" si="145"/>
        <v>350</v>
      </c>
      <c r="Y67" s="443">
        <f t="shared" si="14"/>
        <v>350</v>
      </c>
      <c r="AA67" s="217">
        <f t="shared" si="146"/>
        <v>28.038641740132444</v>
      </c>
      <c r="AB67" s="173">
        <f t="shared" si="147"/>
        <v>1.6443006657967862</v>
      </c>
      <c r="AC67" s="173">
        <f t="shared" si="148"/>
        <v>0.40340962621170173</v>
      </c>
      <c r="AD67" s="173"/>
      <c r="AE67" s="173">
        <f t="shared" si="149"/>
        <v>0.78192121717187435</v>
      </c>
      <c r="AF67" s="545">
        <f t="shared" si="150"/>
        <v>1427.2537635395709</v>
      </c>
      <c r="AG67" s="528">
        <f t="shared" si="151"/>
        <v>9.1224142003385356E-2</v>
      </c>
      <c r="AI67" s="173">
        <f t="shared" si="152"/>
        <v>26.924975257027221</v>
      </c>
      <c r="AJ67" s="173">
        <f t="shared" si="153"/>
        <v>26.924975257027221</v>
      </c>
      <c r="AK67" s="173">
        <f t="shared" si="154"/>
        <v>11.267882906439915</v>
      </c>
      <c r="AM67" s="545">
        <f t="shared" si="155"/>
        <v>372</v>
      </c>
      <c r="AN67" s="460">
        <f t="shared" si="156"/>
        <v>350</v>
      </c>
      <c r="AP67">
        <f t="shared" si="157"/>
        <v>372</v>
      </c>
      <c r="AQ67">
        <f t="shared" si="158"/>
        <v>350</v>
      </c>
      <c r="AS67" s="5">
        <f t="shared" si="101"/>
        <v>2.8571428571428572</v>
      </c>
      <c r="AT67" s="5">
        <f t="shared" si="159"/>
        <v>1.1646693265433967</v>
      </c>
      <c r="AU67" s="5">
        <f t="shared" si="102"/>
        <v>1.6924735305994605</v>
      </c>
      <c r="AV67" s="5">
        <f t="shared" si="160"/>
        <v>1.5789907068972993</v>
      </c>
      <c r="AW67" s="173">
        <f t="shared" si="103"/>
        <v>0.40763426429018884</v>
      </c>
      <c r="AX67" s="173">
        <f t="shared" si="161"/>
        <v>63.433500601758702</v>
      </c>
      <c r="AY67" s="173">
        <f t="shared" si="162"/>
        <v>0.39873581942743475</v>
      </c>
      <c r="AZ67" s="173">
        <f t="shared" si="104"/>
        <v>159.08653677727304</v>
      </c>
      <c r="BA67" s="460">
        <f t="shared" si="163"/>
        <v>0.25485705263184916</v>
      </c>
      <c r="BB67" s="5">
        <f t="shared" si="164"/>
        <v>14.815320456935416</v>
      </c>
      <c r="BC67" s="5"/>
      <c r="BD67" s="173">
        <f t="shared" si="105"/>
        <v>9.9249888279460503</v>
      </c>
      <c r="BE67" s="173">
        <f t="shared" si="165"/>
        <v>0.598218245352373</v>
      </c>
      <c r="BF67" s="173"/>
      <c r="BG67" s="528">
        <f t="shared" si="166"/>
        <v>3.9402161293941567</v>
      </c>
      <c r="BH67" s="528">
        <f t="shared" si="167"/>
        <v>4.4582323989174704</v>
      </c>
      <c r="BI67" s="528">
        <f t="shared" si="168"/>
        <v>0.16182690013702164</v>
      </c>
      <c r="BJ67" s="528">
        <f t="shared" si="169"/>
        <v>3.0946511297123062E-2</v>
      </c>
      <c r="BK67">
        <f t="shared" si="170"/>
        <v>5.2015789329756959E-3</v>
      </c>
      <c r="BL67" s="460">
        <f t="shared" si="106"/>
        <v>167.02847906999736</v>
      </c>
      <c r="BM67" s="528">
        <f t="shared" si="171"/>
        <v>148.78623647818415</v>
      </c>
      <c r="BN67" s="460">
        <f t="shared" si="107"/>
        <v>148786.23647818415</v>
      </c>
      <c r="BO67" s="528">
        <f t="shared" si="172"/>
        <v>0.32289599999999996</v>
      </c>
      <c r="BP67" s="528"/>
      <c r="BR67" s="460">
        <f t="shared" si="109"/>
        <v>322.89599999999996</v>
      </c>
      <c r="BS67" s="528">
        <f t="shared" si="173"/>
        <v>2.9551620970456174</v>
      </c>
      <c r="BT67" s="528">
        <f t="shared" si="174"/>
        <v>1.0735952072174159E-2</v>
      </c>
      <c r="BU67" s="528">
        <f t="shared" si="175"/>
        <v>0.9486</v>
      </c>
      <c r="BV67" s="528">
        <f t="shared" si="176"/>
        <v>6.0654815796232127</v>
      </c>
      <c r="BW67" s="528">
        <f t="shared" si="177"/>
        <v>6.3433500601758714</v>
      </c>
      <c r="BX67" s="460">
        <f t="shared" si="110"/>
        <v>12408.831639799084</v>
      </c>
      <c r="BY67" s="173">
        <f t="shared" si="45"/>
        <v>161.68499259705322</v>
      </c>
      <c r="BZ67" s="5">
        <f t="shared" si="111"/>
        <v>63.24</v>
      </c>
      <c r="CA67" s="173">
        <f t="shared" si="112"/>
        <v>0.28116039604941845</v>
      </c>
      <c r="CB67" s="5">
        <f t="shared" si="113"/>
        <v>28.116039604941847</v>
      </c>
      <c r="CE67" s="562">
        <f t="shared" si="178"/>
        <v>-50</v>
      </c>
      <c r="CF67">
        <f t="shared" si="179"/>
        <v>-50</v>
      </c>
      <c r="CG67" s="173">
        <f t="shared" si="180"/>
        <v>0.55349159088144284</v>
      </c>
      <c r="CI67" s="170">
        <v>62</v>
      </c>
      <c r="CJ67" s="217">
        <f t="shared" si="114"/>
        <v>0.372</v>
      </c>
      <c r="CK67" s="217"/>
      <c r="CL67" s="217">
        <f t="shared" si="49"/>
        <v>63.24</v>
      </c>
      <c r="CM67" s="541">
        <f t="shared" si="50"/>
        <v>12.5</v>
      </c>
      <c r="CN67" s="172">
        <f t="shared" si="51"/>
        <v>8.5250000000000004</v>
      </c>
      <c r="CO67" s="443">
        <f t="shared" si="52"/>
        <v>21.024999999999999</v>
      </c>
      <c r="CP67" s="443"/>
      <c r="CQ67" s="217">
        <f t="shared" si="53"/>
        <v>0.40546967895362668</v>
      </c>
      <c r="CR67" s="172">
        <f t="shared" si="54"/>
        <v>170.84633868410626</v>
      </c>
      <c r="CS67" s="172">
        <f t="shared" si="115"/>
        <v>63.24</v>
      </c>
      <c r="CT67" s="217">
        <f t="shared" si="55"/>
        <v>1.0049784628476839</v>
      </c>
      <c r="CU67" s="217">
        <f t="shared" si="56"/>
        <v>170</v>
      </c>
      <c r="CV67" s="217">
        <f t="shared" si="57"/>
        <v>0.99379823272947732</v>
      </c>
      <c r="CW67" s="172">
        <f t="shared" si="58"/>
        <v>870.2152447250196</v>
      </c>
      <c r="CX67" s="172">
        <f t="shared" si="59"/>
        <v>170</v>
      </c>
      <c r="CY67" s="217">
        <f t="shared" si="60"/>
        <v>24.954763636363634</v>
      </c>
      <c r="CZ67" s="217">
        <f t="shared" si="61"/>
        <v>0.99819054545454533</v>
      </c>
      <c r="DA67" s="217">
        <f t="shared" si="62"/>
        <v>1.4636225006664887</v>
      </c>
      <c r="DB67" s="197">
        <f t="shared" si="63"/>
        <v>350</v>
      </c>
      <c r="DC67" s="443">
        <f t="shared" si="116"/>
        <v>350</v>
      </c>
      <c r="DE67" s="217">
        <f t="shared" si="64"/>
        <v>28.962119925259049</v>
      </c>
      <c r="DF67" s="173">
        <f t="shared" si="65"/>
        <v>1.6986580601324954</v>
      </c>
      <c r="DG67" s="173">
        <f t="shared" si="66"/>
        <v>0.4304714614336958</v>
      </c>
      <c r="DH67" s="173"/>
      <c r="DI67" s="173">
        <f t="shared" si="67"/>
        <v>0.78201368523949166</v>
      </c>
      <c r="DJ67" s="545">
        <f t="shared" si="117"/>
        <v>1427.085</v>
      </c>
      <c r="DK67" s="528">
        <f t="shared" si="68"/>
        <v>9.1234929944607357E-2</v>
      </c>
      <c r="DM67" s="173">
        <f t="shared" si="69"/>
        <v>26.923383357753746</v>
      </c>
      <c r="DN67" s="173">
        <f t="shared" si="70"/>
        <v>26.923383357753746</v>
      </c>
      <c r="DO67" s="173">
        <f t="shared" si="71"/>
        <v>11.266703721792897</v>
      </c>
      <c r="DQ67" s="545">
        <f t="shared" si="72"/>
        <v>372</v>
      </c>
      <c r="DR67" s="460">
        <f t="shared" si="73"/>
        <v>350</v>
      </c>
      <c r="DT67">
        <f t="shared" si="74"/>
        <v>372</v>
      </c>
      <c r="DU67">
        <f t="shared" si="75"/>
        <v>350</v>
      </c>
      <c r="DW67" s="5">
        <f t="shared" si="118"/>
        <v>2.8571428571428572</v>
      </c>
      <c r="DX67" s="5">
        <f t="shared" si="76"/>
        <v>1.0769353343101498</v>
      </c>
      <c r="DY67" s="5">
        <f t="shared" si="119"/>
        <v>1.7802075228327074</v>
      </c>
      <c r="DZ67" s="5">
        <f t="shared" si="77"/>
        <v>1.5790840679034452</v>
      </c>
      <c r="EA67" s="173">
        <f t="shared" si="120"/>
        <v>0.37692736700855239</v>
      </c>
      <c r="EB67" s="173">
        <f t="shared" si="78"/>
        <v>63.425999999999995</v>
      </c>
      <c r="EC67" s="173">
        <f t="shared" si="79"/>
        <v>0.4193805839438437</v>
      </c>
      <c r="ED67" s="173">
        <f t="shared" si="121"/>
        <v>151.23733054960152</v>
      </c>
      <c r="EE67" s="460">
        <f t="shared" si="80"/>
        <v>0.23565879080198571</v>
      </c>
      <c r="EF67" s="5">
        <f t="shared" si="81"/>
        <v>14.410281439224374</v>
      </c>
      <c r="EG67" s="5"/>
      <c r="EH67" s="173">
        <f t="shared" si="122"/>
        <v>9.543283887213077</v>
      </c>
      <c r="EI67" s="173">
        <f t="shared" si="82"/>
        <v>0.61349121793004591</v>
      </c>
      <c r="EJ67" s="173"/>
      <c r="EK67" s="528">
        <f t="shared" si="83"/>
        <v>3.6429706940776292</v>
      </c>
      <c r="EL67" s="528">
        <f t="shared" si="84"/>
        <v>5.448367300306435</v>
      </c>
      <c r="EM67" s="528">
        <f t="shared" si="85"/>
        <v>6.9999999999999993E-2</v>
      </c>
      <c r="EN67" s="528">
        <f t="shared" si="86"/>
        <v>3.094354375E-2</v>
      </c>
      <c r="EO67">
        <f t="shared" si="87"/>
        <v>5.6249999999999998E-3</v>
      </c>
      <c r="EP67" s="460">
        <f t="shared" si="123"/>
        <v>75.625</v>
      </c>
      <c r="EQ67" s="528">
        <f t="shared" si="88"/>
        <v>75.738274742209583</v>
      </c>
      <c r="ER67" s="460">
        <f t="shared" si="124"/>
        <v>75738.274742209585</v>
      </c>
      <c r="ES67" s="528">
        <f t="shared" si="125"/>
        <v>0.32289599999999996</v>
      </c>
      <c r="ET67" s="528"/>
      <c r="EV67" s="460">
        <f t="shared" si="126"/>
        <v>322.89599999999996</v>
      </c>
      <c r="EW67" s="528">
        <f t="shared" si="89"/>
        <v>2.7322280205582219</v>
      </c>
      <c r="EX67" s="528">
        <f t="shared" si="90"/>
        <v>1.1291144234318732E-2</v>
      </c>
      <c r="EY67" s="528">
        <f t="shared" si="91"/>
        <v>430.98703210679059</v>
      </c>
      <c r="EZ67" s="528">
        <f t="shared" si="92"/>
        <v>556.5390369850204</v>
      </c>
      <c r="FA67" s="528">
        <f t="shared" si="93"/>
        <v>6.3426</v>
      </c>
      <c r="FB67" s="460">
        <f t="shared" si="127"/>
        <v>562881.63698502036</v>
      </c>
      <c r="FC67" s="173">
        <f t="shared" si="128"/>
        <v>638.94280772722993</v>
      </c>
      <c r="FD67" s="5">
        <f t="shared" si="129"/>
        <v>63.24</v>
      </c>
      <c r="FE67" s="173">
        <f t="shared" si="130"/>
        <v>9.0062017047512544E-2</v>
      </c>
      <c r="FF67" s="5">
        <f t="shared" si="131"/>
        <v>9.0062017047512537</v>
      </c>
      <c r="FI67" s="562">
        <f t="shared" si="94"/>
        <v>-50</v>
      </c>
      <c r="FJ67">
        <f t="shared" si="95"/>
        <v>-50</v>
      </c>
      <c r="FL67">
        <f t="shared" si="181"/>
        <v>0.55267942376620582</v>
      </c>
    </row>
    <row r="68" spans="5:168">
      <c r="E68" s="170">
        <v>63</v>
      </c>
      <c r="F68" s="217">
        <f t="shared" si="182"/>
        <v>0.378</v>
      </c>
      <c r="G68" s="217"/>
      <c r="H68" s="217">
        <f t="shared" si="132"/>
        <v>64.260000000000005</v>
      </c>
      <c r="I68" s="541">
        <f t="shared" si="133"/>
        <v>11.551506457586557</v>
      </c>
      <c r="J68" s="172">
        <f t="shared" si="134"/>
        <v>8.5260162430811572</v>
      </c>
      <c r="K68" s="172">
        <f t="shared" si="135"/>
        <v>21.026016243081159</v>
      </c>
      <c r="L68" s="443"/>
      <c r="M68" s="217">
        <f t="shared" si="136"/>
        <v>0.42465483562896617</v>
      </c>
      <c r="N68" s="172">
        <f t="shared" si="137"/>
        <v>165.35296202061704</v>
      </c>
      <c r="O68" s="172">
        <f t="shared" si="98"/>
        <v>64.260000000000005</v>
      </c>
      <c r="P68" s="217">
        <f t="shared" si="138"/>
        <v>0.97266448247421788</v>
      </c>
      <c r="Q68" s="217">
        <f t="shared" si="139"/>
        <v>170</v>
      </c>
      <c r="R68" s="217">
        <f t="shared" si="140"/>
        <v>0.9618437403947766</v>
      </c>
      <c r="S68" s="172">
        <f t="shared" si="141"/>
        <v>787.76777687470565</v>
      </c>
      <c r="T68" s="172">
        <f t="shared" si="142"/>
        <v>170</v>
      </c>
      <c r="U68" s="217">
        <f t="shared" si="143"/>
        <v>26.279876735436112</v>
      </c>
      <c r="V68" s="217">
        <f t="shared" si="11"/>
        <v>1.1375086371603318</v>
      </c>
      <c r="W68" s="217">
        <f t="shared" si="144"/>
        <v>1.5411580265732059</v>
      </c>
      <c r="X68" s="197">
        <f t="shared" si="145"/>
        <v>350</v>
      </c>
      <c r="Y68" s="443">
        <f t="shared" si="14"/>
        <v>347.38304806122716</v>
      </c>
      <c r="AA68" s="217">
        <f t="shared" si="146"/>
        <v>28.030871895270359</v>
      </c>
      <c r="AB68" s="173">
        <f t="shared" si="147"/>
        <v>1.6438434490444083</v>
      </c>
      <c r="AC68" s="173">
        <f t="shared" si="148"/>
        <v>0.40318569494037798</v>
      </c>
      <c r="AD68" s="173"/>
      <c r="AE68" s="173">
        <f t="shared" si="149"/>
        <v>0.78192047453306823</v>
      </c>
      <c r="AF68" s="545">
        <f t="shared" si="150"/>
        <v>1450.2753629481047</v>
      </c>
      <c r="AG68" s="528">
        <f t="shared" si="151"/>
        <v>9.1224055362191303E-2</v>
      </c>
      <c r="AI68" s="173">
        <f t="shared" si="152"/>
        <v>27.141256481640863</v>
      </c>
      <c r="AJ68" s="173">
        <f t="shared" si="153"/>
        <v>27.141256481640863</v>
      </c>
      <c r="AK68" s="173">
        <f t="shared" si="154"/>
        <v>11.42809122096854</v>
      </c>
      <c r="AM68" s="545">
        <f t="shared" si="155"/>
        <v>378</v>
      </c>
      <c r="AN68" s="460">
        <f t="shared" si="156"/>
        <v>347.38304806122716</v>
      </c>
      <c r="AP68">
        <f t="shared" si="157"/>
        <v>378</v>
      </c>
      <c r="AQ68">
        <f t="shared" si="158"/>
        <v>347.38304806122716</v>
      </c>
      <c r="AS68" s="5">
        <f t="shared" si="101"/>
        <v>2.8786666637335379</v>
      </c>
      <c r="AT68" s="5">
        <f t="shared" si="159"/>
        <v>1.1747929406997644</v>
      </c>
      <c r="AU68" s="5">
        <f t="shared" si="102"/>
        <v>1.7038737230337735</v>
      </c>
      <c r="AV68" s="5">
        <f t="shared" si="160"/>
        <v>1.5916728110661251</v>
      </c>
      <c r="AW68" s="173">
        <f t="shared" si="103"/>
        <v>0.40810315258109664</v>
      </c>
      <c r="AX68" s="173">
        <f t="shared" si="161"/>
        <v>63.974739823367017</v>
      </c>
      <c r="AY68" s="173">
        <f t="shared" si="162"/>
        <v>0.40162060366177765</v>
      </c>
      <c r="AZ68" s="173">
        <f t="shared" si="104"/>
        <v>159.29147867434349</v>
      </c>
      <c r="BA68" s="460">
        <f t="shared" si="163"/>
        <v>0.2612186656379476</v>
      </c>
      <c r="BB68" s="5">
        <f t="shared" si="164"/>
        <v>15.165596050235147</v>
      </c>
      <c r="BC68" s="5"/>
      <c r="BD68" s="173">
        <f t="shared" si="105"/>
        <v>10.010466038275185</v>
      </c>
      <c r="BE68" s="173">
        <f t="shared" si="165"/>
        <v>0.6027848652240626</v>
      </c>
      <c r="BF68" s="173"/>
      <c r="BG68" s="528">
        <f t="shared" si="166"/>
        <v>4.0083772121384351</v>
      </c>
      <c r="BH68" s="528">
        <f t="shared" si="167"/>
        <v>4.4604439283222002</v>
      </c>
      <c r="BI68" s="528">
        <f t="shared" si="168"/>
        <v>0.16051190091741468</v>
      </c>
      <c r="BJ68" s="528">
        <f t="shared" si="169"/>
        <v>3.0715147719182732E-2</v>
      </c>
      <c r="BK68">
        <f t="shared" si="170"/>
        <v>5.1981779059139506E-3</v>
      </c>
      <c r="BL68" s="460">
        <f t="shared" si="106"/>
        <v>165.71007882332864</v>
      </c>
      <c r="BM68" s="528">
        <f t="shared" si="171"/>
        <v>201.25779860533157</v>
      </c>
      <c r="BN68" s="460">
        <f t="shared" si="107"/>
        <v>201257.79860533157</v>
      </c>
      <c r="BO68" s="528">
        <f t="shared" si="172"/>
        <v>0.32810400000000001</v>
      </c>
      <c r="BP68" s="528"/>
      <c r="BR68" s="460">
        <f t="shared" si="109"/>
        <v>328.10399999999998</v>
      </c>
      <c r="BS68" s="528">
        <f t="shared" si="173"/>
        <v>3.0062829091038261</v>
      </c>
      <c r="BT68" s="528">
        <f t="shared" si="174"/>
        <v>1.090048781229574E-2</v>
      </c>
      <c r="BU68" s="528">
        <f t="shared" si="175"/>
        <v>0.96390000000000009</v>
      </c>
      <c r="BV68" s="528">
        <f t="shared" si="176"/>
        <v>6.2022809376143382</v>
      </c>
      <c r="BW68" s="528">
        <f t="shared" si="177"/>
        <v>6.3974739823367024</v>
      </c>
      <c r="BX68" s="460">
        <f t="shared" si="110"/>
        <v>12599.754919951041</v>
      </c>
      <c r="BY68" s="173">
        <f t="shared" si="45"/>
        <v>214.35136760410595</v>
      </c>
      <c r="BZ68" s="5">
        <f t="shared" si="111"/>
        <v>64.260000000000005</v>
      </c>
      <c r="CA68" s="173">
        <f t="shared" si="112"/>
        <v>0.23064385546289171</v>
      </c>
      <c r="CB68" s="5">
        <f t="shared" si="113"/>
        <v>23.06438554628917</v>
      </c>
      <c r="CE68" s="562">
        <f t="shared" si="178"/>
        <v>-50</v>
      </c>
      <c r="CF68">
        <f t="shared" si="179"/>
        <v>-50</v>
      </c>
      <c r="CG68" s="173">
        <f t="shared" si="180"/>
        <v>0.55793737789025999</v>
      </c>
      <c r="CI68" s="170">
        <v>63</v>
      </c>
      <c r="CJ68" s="217">
        <f t="shared" si="114"/>
        <v>0.378</v>
      </c>
      <c r="CK68" s="217"/>
      <c r="CL68" s="217">
        <f t="shared" si="49"/>
        <v>64.260000000000005</v>
      </c>
      <c r="CM68" s="541">
        <f t="shared" si="50"/>
        <v>12.5</v>
      </c>
      <c r="CN68" s="172">
        <f t="shared" si="51"/>
        <v>8.5250000000000004</v>
      </c>
      <c r="CO68" s="443">
        <f t="shared" si="52"/>
        <v>21.024999999999999</v>
      </c>
      <c r="CP68" s="443"/>
      <c r="CQ68" s="217">
        <f t="shared" si="53"/>
        <v>0.40546967895362668</v>
      </c>
      <c r="CR68" s="172">
        <f t="shared" si="54"/>
        <v>170.84633868410626</v>
      </c>
      <c r="CS68" s="172">
        <f t="shared" si="115"/>
        <v>64.260000000000005</v>
      </c>
      <c r="CT68" s="217">
        <f t="shared" si="55"/>
        <v>1.0049784628476839</v>
      </c>
      <c r="CU68" s="217">
        <f t="shared" si="56"/>
        <v>170</v>
      </c>
      <c r="CV68" s="217">
        <f t="shared" si="57"/>
        <v>0.99379823272947732</v>
      </c>
      <c r="CW68" s="172">
        <f t="shared" si="58"/>
        <v>852.43932100237964</v>
      </c>
      <c r="CX68" s="172">
        <f t="shared" si="59"/>
        <v>170</v>
      </c>
      <c r="CY68" s="217">
        <f t="shared" si="60"/>
        <v>25.35725982404692</v>
      </c>
      <c r="CZ68" s="217">
        <f t="shared" si="61"/>
        <v>1.0142903929618767</v>
      </c>
      <c r="DA68" s="217">
        <f t="shared" si="62"/>
        <v>1.4872293151933675</v>
      </c>
      <c r="DB68" s="197">
        <f t="shared" si="63"/>
        <v>350</v>
      </c>
      <c r="DC68" s="443">
        <f t="shared" si="116"/>
        <v>350</v>
      </c>
      <c r="DE68" s="217">
        <f t="shared" si="64"/>
        <v>28.962119925259049</v>
      </c>
      <c r="DF68" s="173">
        <f t="shared" si="65"/>
        <v>1.6986580601324954</v>
      </c>
      <c r="DG68" s="173">
        <f t="shared" si="66"/>
        <v>0.4304714614336958</v>
      </c>
      <c r="DH68" s="173"/>
      <c r="DI68" s="173">
        <f t="shared" si="67"/>
        <v>0.78201368523949166</v>
      </c>
      <c r="DJ68" s="545">
        <f t="shared" si="117"/>
        <v>1450.1025</v>
      </c>
      <c r="DK68" s="528">
        <f t="shared" si="68"/>
        <v>9.1234929944607357E-2</v>
      </c>
      <c r="DM68" s="173">
        <f t="shared" si="69"/>
        <v>27.139638906956741</v>
      </c>
      <c r="DN68" s="173">
        <f t="shared" si="70"/>
        <v>27.139638906956741</v>
      </c>
      <c r="DO68" s="173">
        <f t="shared" si="71"/>
        <v>11.426893017498818</v>
      </c>
      <c r="DQ68" s="545">
        <f t="shared" si="72"/>
        <v>378</v>
      </c>
      <c r="DR68" s="460">
        <f t="shared" si="73"/>
        <v>350</v>
      </c>
      <c r="DT68">
        <f t="shared" si="74"/>
        <v>378</v>
      </c>
      <c r="DU68">
        <f t="shared" si="75"/>
        <v>350</v>
      </c>
      <c r="DW68" s="5">
        <f t="shared" si="118"/>
        <v>2.8571428571428572</v>
      </c>
      <c r="DX68" s="5">
        <f t="shared" si="76"/>
        <v>1.0855855562782695</v>
      </c>
      <c r="DY68" s="5">
        <f t="shared" si="119"/>
        <v>1.7715573008645877</v>
      </c>
      <c r="DZ68" s="5">
        <f t="shared" si="77"/>
        <v>1.5917676778273744</v>
      </c>
      <c r="EA68" s="173">
        <f t="shared" si="120"/>
        <v>0.37995494469739433</v>
      </c>
      <c r="EB68" s="173">
        <f t="shared" si="78"/>
        <v>64.449000000000012</v>
      </c>
      <c r="EC68" s="173">
        <f t="shared" si="79"/>
        <v>0.42069497267391853</v>
      </c>
      <c r="ED68" s="173">
        <f t="shared" si="121"/>
        <v>153.19650622484275</v>
      </c>
      <c r="EE68" s="460">
        <f t="shared" si="80"/>
        <v>0.24138314133716818</v>
      </c>
      <c r="EF68" s="5">
        <f t="shared" si="81"/>
        <v>14.571554835655476</v>
      </c>
      <c r="EG68" s="5"/>
      <c r="EH68" s="173">
        <f t="shared" si="122"/>
        <v>9.6584956397000177</v>
      </c>
      <c r="EI68" s="173">
        <f t="shared" si="82"/>
        <v>0.61691462532893437</v>
      </c>
      <c r="EJ68" s="173"/>
      <c r="EK68" s="528">
        <f t="shared" si="83"/>
        <v>3.7314615208841704</v>
      </c>
      <c r="EL68" s="528">
        <f t="shared" si="84"/>
        <v>5.4921299896806177</v>
      </c>
      <c r="EM68" s="528">
        <f t="shared" si="85"/>
        <v>6.9999999999999993E-2</v>
      </c>
      <c r="EN68" s="528">
        <f t="shared" si="86"/>
        <v>3.094354375E-2</v>
      </c>
      <c r="EO68">
        <f t="shared" si="87"/>
        <v>5.6249999999999998E-3</v>
      </c>
      <c r="EP68" s="460">
        <f t="shared" si="123"/>
        <v>75.625</v>
      </c>
      <c r="EQ68" s="528">
        <f t="shared" si="88"/>
        <v>91.157163487946704</v>
      </c>
      <c r="ER68" s="460">
        <f t="shared" si="124"/>
        <v>91157.163487946702</v>
      </c>
      <c r="ES68" s="528">
        <f t="shared" si="125"/>
        <v>0.32810400000000001</v>
      </c>
      <c r="ET68" s="528"/>
      <c r="EV68" s="460">
        <f t="shared" si="126"/>
        <v>328.10399999999998</v>
      </c>
      <c r="EW68" s="528">
        <f t="shared" si="89"/>
        <v>2.7985961406631277</v>
      </c>
      <c r="EX68" s="528">
        <f t="shared" si="90"/>
        <v>1.1417509648342185E-2</v>
      </c>
      <c r="EY68" s="528">
        <f t="shared" si="91"/>
        <v>439.69373529932676</v>
      </c>
      <c r="EZ68" s="528">
        <f t="shared" si="92"/>
        <v>571.69604815795003</v>
      </c>
      <c r="FA68" s="528">
        <f t="shared" si="93"/>
        <v>6.4449000000000014</v>
      </c>
      <c r="FB68" s="460">
        <f t="shared" si="127"/>
        <v>578140.94815794996</v>
      </c>
      <c r="FC68" s="173">
        <f t="shared" si="128"/>
        <v>669.62621564589665</v>
      </c>
      <c r="FD68" s="5">
        <f t="shared" si="129"/>
        <v>64.260000000000005</v>
      </c>
      <c r="FE68" s="173">
        <f t="shared" si="130"/>
        <v>8.7561257630986405E-2</v>
      </c>
      <c r="FF68" s="5">
        <f t="shared" si="131"/>
        <v>8.7561257630986411</v>
      </c>
      <c r="FI68" s="562">
        <f t="shared" si="94"/>
        <v>-50</v>
      </c>
      <c r="FJ68">
        <f t="shared" si="95"/>
        <v>-50</v>
      </c>
      <c r="FL68">
        <f t="shared" si="181"/>
        <v>0.55711868723958113</v>
      </c>
    </row>
    <row r="69" spans="5:168">
      <c r="E69" s="170">
        <v>64</v>
      </c>
      <c r="F69" s="217">
        <f t="shared" si="182"/>
        <v>0.38400000000000001</v>
      </c>
      <c r="G69" s="217"/>
      <c r="H69" s="217">
        <f t="shared" ref="H69:H100" si="183">F69*Vout</f>
        <v>65.28</v>
      </c>
      <c r="I69" s="541">
        <f t="shared" ref="I69:I105" si="184">Vin-F69*(Rdcr_pri+RON/1000)/CG69/Nps</f>
        <v>11.544008368237462</v>
      </c>
      <c r="J69" s="172">
        <f t="shared" ref="J69:J105" si="185">(T69+Vfwd1+F69/CG69*Rdcr_sec)*Nps</f>
        <v>8.5260242767483163</v>
      </c>
      <c r="K69" s="172">
        <f t="shared" ref="K69:K105" si="186">(Vout+Vfwd1+F69/CG69*Rdcr_sec)*Nps+VIN_nom</f>
        <v>21.026024276748316</v>
      </c>
      <c r="L69" s="443"/>
      <c r="M69" s="217">
        <f t="shared" ref="M69:M105" si="187">(Vout+Vfwd1+F69/FL69*Rdcr_sec)*Nps/((Vout+Vfwd1+F69/FL69*Rdcr_sec)*Nps+I69)</f>
        <v>0.42481371571855769</v>
      </c>
      <c r="N69" s="172">
        <f t="shared" ref="N69:N100" si="188">M69*I69*(Isw_max+VIN_nom/Lmag*ILIM_delay)*0.5*Efficiency</f>
        <v>165.30745621501825</v>
      </c>
      <c r="O69" s="172">
        <f t="shared" si="98"/>
        <v>65.28</v>
      </c>
      <c r="P69" s="217">
        <f t="shared" ref="P69:P100" si="189">N69/Vout</f>
        <v>0.9723968012648132</v>
      </c>
      <c r="Q69" s="217">
        <f t="shared" ref="Q69:Q105" si="190">MIN(Vout,N69/F69)</f>
        <v>170</v>
      </c>
      <c r="R69" s="217">
        <f t="shared" ref="R69:R100" si="191">Isw_max/2*I69*Nps*(Q69+Vfwd1+F69/FL69*Rdcr_sec)/Q69/(I69+Nps*(Q69+Vfwd1+F69/FL69*Rdcr_sec))</f>
        <v>0.96157903709746695</v>
      </c>
      <c r="S69" s="172">
        <f t="shared" ref="S69:S105" si="192">(SQRT(Isw_max^2*Nps^2*I69^2+4*Isw_max*F69/Efficiency*(Nps^2*Vfwd1*I69-Nps*I69^2)+4*(F69/Efficiency)^2*Nps^2*Vfwd1^2+8*(F69/Efficiency)^2*Nps*Vfwd1*I69+4*(F69/Efficiency)^2*I69^2)-2*F69/Efficiency*I69-2*F69/Efficiency*Nps*Vfwd1+Isw_max*Nps*I69)/(4*F69/Efficiency*Nps)</f>
        <v>771.35345455598531</v>
      </c>
      <c r="T69" s="172">
        <f t="shared" ref="T69:T100" si="193">MIN(Vout, S69)</f>
        <v>170</v>
      </c>
      <c r="U69" s="217">
        <f t="shared" ref="U69:U105" si="194">MIN(2*(Vout+Vfwd1+F69/FL69*Rdcr_sec)*F69/(I69*M69), Isw_max)</f>
        <v>26.70439198526552</v>
      </c>
      <c r="V69" s="217">
        <f t="shared" ref="V69:V104" si="195">L*U69/I69*1000000</f>
        <v>1.1566342960535614</v>
      </c>
      <c r="W69" s="217">
        <f t="shared" ref="W69:W105" si="196">L*U69/J69*1000000</f>
        <v>1.5660518383751383</v>
      </c>
      <c r="X69" s="197">
        <f t="shared" ref="X69:X105" si="197">IF(1/((350000*L)*(1/I69+1/J69))&gt;Isw_min, 350, 0.001/((Isw_min*L)*(1/I69+1/J69)))</f>
        <v>350</v>
      </c>
      <c r="Y69" s="443">
        <f t="shared" ref="Y69:Y104" si="198">MIN(1/(V69+W69+0.2)*1000, 350)</f>
        <v>342.15100561780673</v>
      </c>
      <c r="AA69" s="217">
        <f t="shared" ref="AA69:AA105" si="199">1/((X69*1000*L)*(1/I69+1/J69))</f>
        <v>28.023157664133027</v>
      </c>
      <c r="AB69" s="173">
        <f t="shared" ref="AB69:AB100" si="200">L*AA69/J69*1000000</f>
        <v>1.6433895069098134</v>
      </c>
      <c r="AC69" s="173">
        <f t="shared" ref="AC69:AC100" si="201">0.5*AB69*AA69*Nps*X69/1000</f>
        <v>0.40296342848751093</v>
      </c>
      <c r="AD69" s="173"/>
      <c r="AE69" s="173">
        <f t="shared" ref="AE69:AE105" si="202">L*Isw_min/J69*1000000</f>
        <v>0.78191973776659496</v>
      </c>
      <c r="AF69" s="545">
        <f t="shared" ref="AF69:AF100" si="203">MAX(12, F69/(0.5*AE69/1000000*Isw_min*Nps)/1000)</f>
        <v>1473.2969950221091</v>
      </c>
      <c r="AG69" s="528">
        <f t="shared" ref="AG69:AG105" si="204">0.5*AE69/1000000*Isw_min*Nps*X69*1000</f>
        <v>9.1223969406102765E-2</v>
      </c>
      <c r="AI69" s="173">
        <f t="shared" ref="AI69:AI105" si="205">SQRT(F69/Efficiency/(0.5*L/J69*Fsw_DCM*Nps))</f>
        <v>27.355828095761986</v>
      </c>
      <c r="AJ69" s="173">
        <f t="shared" ref="AJ69:AJ100" si="206">MAX(IF(F69&gt;AC69,U69,AI69),Isw_min)</f>
        <v>27.355828095761986</v>
      </c>
      <c r="AK69" s="173">
        <f t="shared" ref="AK69:AK100" si="207">IF(F69&gt;AG69, (AJ69-Isw_min)/1.08*0.8+1.2, AF69*0.2/350+1)</f>
        <v>11.587033157354556</v>
      </c>
      <c r="AM69" s="545">
        <f t="shared" ref="AM69:AM105" si="208">F69*1000</f>
        <v>384</v>
      </c>
      <c r="AN69" s="460">
        <f t="shared" ref="AN69:AN105" si="209">IF(F69&gt;AG69, Y69, AF69)</f>
        <v>342.15100561780673</v>
      </c>
      <c r="AP69">
        <f t="shared" ref="AP69:AP105" si="210">IF(H69&gt;N69, "",AM69)</f>
        <v>384</v>
      </c>
      <c r="AQ69">
        <f t="shared" ref="AQ69:AQ105" si="211">IF(H69&gt;N69, "",AN69)</f>
        <v>342.15100561780673</v>
      </c>
      <c r="AS69" s="5">
        <f t="shared" si="101"/>
        <v>2.9226861344287003</v>
      </c>
      <c r="AT69" s="5">
        <f t="shared" ref="AT69:AT105" si="212">L*AJ69/I69*1000000</f>
        <v>1.1848496303515184</v>
      </c>
      <c r="AU69" s="5">
        <f t="shared" si="102"/>
        <v>1.7378365040771819</v>
      </c>
      <c r="AV69" s="5">
        <f t="shared" ref="AV69:AV105" si="213">L*AJ69/J69*1000000</f>
        <v>1.6042546448269697</v>
      </c>
      <c r="AW69" s="173">
        <f t="shared" si="103"/>
        <v>0.40539749253065854</v>
      </c>
      <c r="AX69" s="173">
        <f t="shared" ref="AX69:AX132" si="214">0.5*L*AJ69^2*AN69*1000</f>
        <v>64.011434720064429</v>
      </c>
      <c r="AY69" s="173">
        <f t="shared" ref="AY69:AY132" si="215">AJ69*Nps/2*(1-AW69)</f>
        <v>0.40664609949100849</v>
      </c>
      <c r="AZ69" s="173">
        <f t="shared" si="104"/>
        <v>157.4131285168759</v>
      </c>
      <c r="BA69" s="460">
        <f t="shared" ref="BA69:BA105" si="216">F69*AT69/Vout_ripple*1000</f>
        <v>0.26763662238528413</v>
      </c>
      <c r="BB69" s="5">
        <f t="shared" ref="BB69:BB105" si="217">H69/Efficiency/I69*AU69/Vinripple1</f>
        <v>15.723615349870624</v>
      </c>
      <c r="BC69" s="5"/>
      <c r="BD69" s="173">
        <f t="shared" si="105"/>
        <v>10.056104266652415</v>
      </c>
      <c r="BE69" s="173">
        <f t="shared" ref="BE69:BE132" si="218">AJ69*Nps*SQRT((1-AW69)/3)</f>
        <v>0.60893734744739703</v>
      </c>
      <c r="BF69" s="173"/>
      <c r="BG69" s="528">
        <f t="shared" ref="BG69:BG105" si="219">Rdson*BD69^2</f>
        <v>4.0450093208713964</v>
      </c>
      <c r="BH69" s="528">
        <f t="shared" ref="BH69:BH105" si="220">0.5*K69*AJ69*AN69*1000*Tfall</f>
        <v>4.4279974933746109</v>
      </c>
      <c r="BI69" s="528">
        <f t="shared" ref="BI69:BI105" si="221">Qg*Vdd*AN69*1000*0+Qg*I69*AN69*1000</f>
        <v>0.15799176288211295</v>
      </c>
      <c r="BJ69" s="528">
        <f t="shared" ref="BJ69:BJ105" si="222">0.5*(Coss+Csw)*K69^2*AN69*1000</f>
        <v>3.0252560593395771E-2</v>
      </c>
      <c r="BK69">
        <f t="shared" ref="BK69:BK105" si="223">I69*IQ</f>
        <v>5.1948037657068577E-3</v>
      </c>
      <c r="BL69" s="460">
        <f t="shared" si="106"/>
        <v>163.1865666478198</v>
      </c>
      <c r="BM69" s="528">
        <f t="shared" ref="BM69:BM105" si="224">(BH69+BI69*0+BJ69+BK69*0+BG69*(1+RdsonTC*(Ta-25)))/(1-BG69*RdsonTC*ThetaJA)</f>
        <v>246.63200607445188</v>
      </c>
      <c r="BN69" s="460">
        <f t="shared" si="107"/>
        <v>246632.00607445187</v>
      </c>
      <c r="BO69" s="528">
        <f t="shared" ref="BO69:BO105" si="225">Vfwd2*F69*(1+Diode_TC/1000*(Ta-25))</f>
        <v>0.333312</v>
      </c>
      <c r="BP69" s="528"/>
      <c r="BR69" s="460">
        <f t="shared" si="109"/>
        <v>333.31200000000001</v>
      </c>
      <c r="BS69" s="528">
        <f t="shared" ref="BS69:BS105" si="226">Rdcr_pri*BD69^2</f>
        <v>3.0337569906535471</v>
      </c>
      <c r="BT69" s="528">
        <f t="shared" ref="BT69:BT105" si="227">Rdcr_sec*BE69^2</f>
        <v>1.1124140793488157E-2</v>
      </c>
      <c r="BU69" s="528">
        <f t="shared" ref="BU69:BU105" si="228">AJ69^2.5*AN69^2.5*k_core*0+BZ69*0.015</f>
        <v>0.97919999999999996</v>
      </c>
      <c r="BV69" s="528">
        <f t="shared" ref="BV69:BV100" si="229">(BU69+(BS69+BT69)*(1+Ltc*(Ta-25)))/(1-(BS69+BT69)*Ltc*ThetaCa)</f>
        <v>6.2860825298672562</v>
      </c>
      <c r="BW69" s="528">
        <f t="shared" ref="BW69:BW105" si="230">0.5*Lleak*0.000000001*AJ69^2*AN69*1000</f>
        <v>6.401143472006444</v>
      </c>
      <c r="BX69" s="460">
        <f t="shared" si="110"/>
        <v>12687.2260018737</v>
      </c>
      <c r="BY69" s="173">
        <f t="shared" ref="BY69:BY104" si="231">SUM(BM69,BO69:BQ69,BV69, BW69)+BK69+BI69</f>
        <v>259.81573064297339</v>
      </c>
      <c r="BZ69" s="5">
        <f t="shared" si="111"/>
        <v>65.28</v>
      </c>
      <c r="CA69" s="173">
        <f t="shared" si="112"/>
        <v>0.20080239094770455</v>
      </c>
      <c r="CB69" s="5">
        <f t="shared" si="113"/>
        <v>20.080239094770455</v>
      </c>
      <c r="CE69" s="562">
        <f t="shared" ref="CE69:CE105" si="232">IF(ABS(F69-Ioutmax_Vinnom)&lt;Iout/200, AN69, -50)</f>
        <v>-50</v>
      </c>
      <c r="CF69">
        <f t="shared" ref="CF69:CF105" si="233">IF(ABS(F69-Ioutmax_Vinnom)&lt;Iout/200, N69*CA69, -50)</f>
        <v>-50</v>
      </c>
      <c r="CG69" s="173">
        <f t="shared" ref="CG69:CG105" si="234">MIN(SQRT(2*DU69*1000*Ls1_*CL69)/CU69,1-EA69-0.00000005*DU69*1000)</f>
        <v>0.56234801868384587</v>
      </c>
      <c r="CI69" s="170">
        <v>64</v>
      </c>
      <c r="CJ69" s="217">
        <f t="shared" si="114"/>
        <v>0.38400000000000001</v>
      </c>
      <c r="CK69" s="217"/>
      <c r="CL69" s="217">
        <f t="shared" ref="CL69:CL105" si="235">CJ69*Vout</f>
        <v>65.28</v>
      </c>
      <c r="CM69" s="541">
        <f t="shared" ref="CM69:CM105" si="236">Vin</f>
        <v>12.5</v>
      </c>
      <c r="CN69" s="172">
        <f t="shared" ref="CN69:CN105" si="237">(CX69+Vfwd1)*Nps</f>
        <v>8.5250000000000004</v>
      </c>
      <c r="CO69" s="443">
        <f t="shared" ref="CO69:CO105" si="238">(Vout+Vfwd1)*Nps+CM69</f>
        <v>21.024999999999999</v>
      </c>
      <c r="CP69" s="443"/>
      <c r="CQ69" s="217">
        <f t="shared" ref="CQ69:CQ105" si="239">(Vout+Vfwd1)*Nps/((Vout+Vfwd1)*Nps+CM69)</f>
        <v>0.40546967895362668</v>
      </c>
      <c r="CR69" s="172">
        <f t="shared" ref="CR69:CR105" si="240">CQ69*CM69*(Isw_max+VIN_nom/Lmag*ILIM_delay)*0.5*Efficiency</f>
        <v>170.84633868410626</v>
      </c>
      <c r="CS69" s="172">
        <f t="shared" si="115"/>
        <v>65.28</v>
      </c>
      <c r="CT69" s="217">
        <f t="shared" ref="CT69:CT105" si="241">CR69/Vout</f>
        <v>1.0049784628476839</v>
      </c>
      <c r="CU69" s="217">
        <f t="shared" ref="CU69:CU105" si="242">MIN(Vout,CR69/CJ69)</f>
        <v>170</v>
      </c>
      <c r="CV69" s="217">
        <f t="shared" ref="CV69:CV105" si="243">Isw_max/2*CM69*Nps*(CU69+Vfwd1)/CU69/(CM69+Nps*(CU69+Vfwd1))</f>
        <v>0.99379823272947732</v>
      </c>
      <c r="CW69" s="172">
        <f t="shared" ref="CW69:CW105" si="244">(SQRT(Isw_max^2*Nps^2*CM69^2+4*Isw_max*CJ69/Efficiency*(Nps^2*Vfwd1*CM69-Nps*CM69^2)+4*(CJ69/Efficiency)^2*Nps^2*Vfwd1^2+8*(CJ69/Efficiency)^2*Nps*Vfwd1*CM69+4*(CJ69/Efficiency)^2*CM69^2)-2*CJ69/Efficiency*CM69-2*CJ69/Efficiency*Nps*Vfwd1+Isw_max*Nps*CM69)/(4*CJ69/Efficiency*Nps)</f>
        <v>835.21901624737097</v>
      </c>
      <c r="CX69" s="172">
        <f t="shared" ref="CX69:CX105" si="245">MIN(Vout, CW69)</f>
        <v>170</v>
      </c>
      <c r="CY69" s="217">
        <f t="shared" ref="CY69:CY105" si="246">MIN(2*Vout*CJ69/(CM69*CQ69), Isw_max)</f>
        <v>25.7597560117302</v>
      </c>
      <c r="CZ69" s="217">
        <f t="shared" ref="CZ69:CZ105" si="247">L*CY69/CM69*1000000</f>
        <v>1.030390240469208</v>
      </c>
      <c r="DA69" s="217">
        <f t="shared" ref="DA69:DA105" si="248">L*CY69/CN69*1000000</f>
        <v>1.5108361297202462</v>
      </c>
      <c r="DB69" s="197">
        <f t="shared" ref="DB69:DB105" si="249">IF(1/((350000*L)*(1/CM69+1/CN69))&gt;Isw_min, 350, 0.001/((Isw_min*L)*(1/CM69+1/CN69)))</f>
        <v>350</v>
      </c>
      <c r="DC69" s="443">
        <f t="shared" si="116"/>
        <v>350</v>
      </c>
      <c r="DE69" s="217">
        <f t="shared" ref="DE69:DE105" si="250">1/((DB69*1000*L)*(1/CM69+1/CN69))</f>
        <v>28.962119925259049</v>
      </c>
      <c r="DF69" s="173">
        <f t="shared" ref="DF69:DF105" si="251">L*DE69/CN69*1000000</f>
        <v>1.6986580601324954</v>
      </c>
      <c r="DG69" s="173">
        <f t="shared" ref="DG69:DG105" si="252">0.5*DF69*DE69*Nps*DB69/1000</f>
        <v>0.4304714614336958</v>
      </c>
      <c r="DH69" s="173"/>
      <c r="DI69" s="173">
        <f t="shared" ref="DI69:DI105" si="253">L*Isw_min/CN69*1000000</f>
        <v>0.78201368523949166</v>
      </c>
      <c r="DJ69" s="545">
        <f t="shared" si="117"/>
        <v>1473.12</v>
      </c>
      <c r="DK69" s="528">
        <f t="shared" ref="DK69:DK105" si="254">0.5*DI69/1000000*Isw_min*Nps*DB69*1000</f>
        <v>9.1234929944607357E-2</v>
      </c>
      <c r="DM69" s="173">
        <f t="shared" ref="DM69:DM105" si="255">SQRT(CJ69/Efficiency/(0.5*L/CN69*Fsw_DCM*Nps))</f>
        <v>27.354184845676329</v>
      </c>
      <c r="DN69" s="173">
        <f t="shared" ref="DN69:DN105" si="256">MAX(IF(CJ69&gt;DG69,CY69,DM69),Isw_min)</f>
        <v>27.354184845676329</v>
      </c>
      <c r="DO69" s="173">
        <f t="shared" ref="DO69:DO105" si="257">IF(CJ69&gt;DK69, (DN69-Isw_min)/1.08*0.8+1.2, DJ69*0.2/350+1)</f>
        <v>11.585815935068885</v>
      </c>
      <c r="DQ69" s="545">
        <f t="shared" ref="DQ69:DQ105" si="258">CJ69*1000</f>
        <v>384</v>
      </c>
      <c r="DR69" s="460">
        <f t="shared" ref="DR69:DR105" si="259">IF(CJ69&gt;DK69, DC69, DJ69)</f>
        <v>350</v>
      </c>
      <c r="DT69">
        <f t="shared" ref="DT69:DT105" si="260">IF(CL69&gt;CR69, "",DQ69)</f>
        <v>384</v>
      </c>
      <c r="DU69">
        <f t="shared" ref="DU69:DU105" si="261">IF(CL69&gt;CR69, "",DR69)</f>
        <v>350</v>
      </c>
      <c r="DW69" s="5">
        <f t="shared" si="118"/>
        <v>2.8571428571428572</v>
      </c>
      <c r="DX69" s="5">
        <f t="shared" ref="DX69:DX105" si="262">L*DN69/CM69*1000000</f>
        <v>1.0941673938270531</v>
      </c>
      <c r="DY69" s="5">
        <f t="shared" si="119"/>
        <v>1.7629754633158041</v>
      </c>
      <c r="DZ69" s="5">
        <f t="shared" ref="DZ69:DZ105" si="263">L*DN69/CN69*1000000</f>
        <v>1.6043510173417201</v>
      </c>
      <c r="EA69" s="173">
        <f t="shared" si="120"/>
        <v>0.38295858783946857</v>
      </c>
      <c r="EB69" s="173">
        <f t="shared" ref="EB69:EB105" si="264">0.5*L*DN69^2*DR69*1000</f>
        <v>65.471999999999994</v>
      </c>
      <c r="EC69" s="173">
        <f t="shared" ref="EC69:EC105" si="265">DN69*Nps/2*(1-EA69)</f>
        <v>0.4219666211419083</v>
      </c>
      <c r="ED69" s="173">
        <f t="shared" si="121"/>
        <v>155.15919202998197</v>
      </c>
      <c r="EE69" s="460">
        <f t="shared" ref="EE69:EE105" si="266">CJ69*DX69/Vout_ripple*1000</f>
        <v>0.24715310542916963</v>
      </c>
      <c r="EF69" s="5">
        <f t="shared" ref="EF69:EF105" si="267">CL69/Efficiency/CM69*DY69/Vinripple1</f>
        <v>14.731140895392731</v>
      </c>
      <c r="EG69" s="5"/>
      <c r="EH69" s="173">
        <f t="shared" si="122"/>
        <v>9.7732510871012828</v>
      </c>
      <c r="EI69" s="173">
        <f t="shared" ref="EI69:EI105" si="268">DN69*Nps*SQRT((1-EA69)/3)</f>
        <v>0.62028361667388987</v>
      </c>
      <c r="EJ69" s="173"/>
      <c r="EK69" s="528">
        <f t="shared" ref="EK69:EK105" si="269">Rdson*EH69^2</f>
        <v>3.8206574724610562</v>
      </c>
      <c r="EL69" s="528">
        <f t="shared" ref="EL69:EL105" si="270">0.5*CO69*DN69*DR69*1000*Trise</f>
        <v>5.5355467126608193</v>
      </c>
      <c r="EM69" s="528">
        <f t="shared" ref="EM69:EM105" si="271">Qg*Vdd*DR69*1000</f>
        <v>6.9999999999999993E-2</v>
      </c>
      <c r="EN69" s="528">
        <f t="shared" ref="EN69:EN105" si="272">0.5*(Coss+Csw)*CO69^2*DR69*1000</f>
        <v>3.094354375E-2</v>
      </c>
      <c r="EO69">
        <f t="shared" ref="EO69:EO105" si="273">CM69*IQ</f>
        <v>5.6249999999999998E-3</v>
      </c>
      <c r="EP69" s="460">
        <f t="shared" si="123"/>
        <v>75.625</v>
      </c>
      <c r="EQ69" s="528">
        <f t="shared" ref="EQ69:EQ105" si="274">(EL69+EM69+EN69+EO69+EK69*(1+RdsonTC*(Ta-25)))/(1-EK69*RdsonTC*ThetaJA)</f>
        <v>113.80703993982307</v>
      </c>
      <c r="ER69" s="460">
        <f t="shared" si="124"/>
        <v>113807.03993982307</v>
      </c>
      <c r="ES69" s="528">
        <f t="shared" si="125"/>
        <v>0.333312</v>
      </c>
      <c r="ET69" s="528"/>
      <c r="EV69" s="460">
        <f t="shared" si="126"/>
        <v>333.31200000000001</v>
      </c>
      <c r="EW69" s="528">
        <f t="shared" ref="EW69:EW105" si="275">Rdcr_pri*EH69^2</f>
        <v>2.8654931043457919</v>
      </c>
      <c r="EX69" s="528">
        <f t="shared" ref="EX69:EX105" si="276">Rdcr_sec*EI69^2</f>
        <v>1.1542552953421234E-2</v>
      </c>
      <c r="EY69" s="528">
        <f t="shared" ref="EY69:EY105" si="277">DN69^2.5*DR69^2.5*k_core</f>
        <v>448.4350588191752</v>
      </c>
      <c r="EZ69" s="528">
        <f t="shared" ref="EZ69:EZ105" si="278">(EY69+(EW69+EX69)*(1+Ltc*(Ta-25)))/(1-(EW69+EX69)*Ltc*ThetaCa)</f>
        <v>587.14051998057039</v>
      </c>
      <c r="FA69" s="528">
        <f t="shared" ref="FA69:FA105" si="279">0.5*Lleak*0.000000001*DN69^2*DR69*1000</f>
        <v>6.5471999999999992</v>
      </c>
      <c r="FB69" s="460">
        <f t="shared" si="127"/>
        <v>593687.71998057037</v>
      </c>
      <c r="FC69" s="173">
        <f t="shared" si="128"/>
        <v>707.82807192039343</v>
      </c>
      <c r="FD69" s="5">
        <f t="shared" si="129"/>
        <v>65.28</v>
      </c>
      <c r="FE69" s="173">
        <f t="shared" si="130"/>
        <v>8.4438388850144944E-2</v>
      </c>
      <c r="FF69" s="5">
        <f t="shared" si="131"/>
        <v>8.443838885014495</v>
      </c>
      <c r="FI69" s="562">
        <f t="shared" ref="FI69:FI105" si="280">IF(ABS(CJ69-Ioutmax_Vinnom)&lt;Iout/200, DR69, -50)</f>
        <v>-50</v>
      </c>
      <c r="FJ69">
        <f t="shared" ref="FJ69:FJ105" si="281">IF(ABS(CJ69-Ioutmax_Vinnom)&lt;Iout/200, CR69*FE69, -50)</f>
        <v>-50</v>
      </c>
      <c r="FL69">
        <f t="shared" ref="FL69:FL105" si="282">MIN(SQRT(2*L*DR69*1000*CJ69*(CX69+Vfwd1))/(Nps*(CX69+Vfwd1)), 1-EA69)</f>
        <v>0.56152285606960206</v>
      </c>
    </row>
    <row r="70" spans="5:168">
      <c r="E70" s="170">
        <v>65</v>
      </c>
      <c r="F70" s="217">
        <f t="shared" ref="F70:F101" si="283">IF(PLOT_TYPE=1, E70/100*Iout_max, min_I*EXP(N70*rr/100))</f>
        <v>0.39</v>
      </c>
      <c r="G70" s="217"/>
      <c r="H70" s="217">
        <f t="shared" si="183"/>
        <v>66.3</v>
      </c>
      <c r="I70" s="541">
        <f t="shared" si="184"/>
        <v>11.536568632439238</v>
      </c>
      <c r="J70" s="172">
        <f t="shared" si="185"/>
        <v>8.5260322478938146</v>
      </c>
      <c r="K70" s="172">
        <f t="shared" si="186"/>
        <v>21.026032247893816</v>
      </c>
      <c r="L70" s="443"/>
      <c r="M70" s="217">
        <f t="shared" si="187"/>
        <v>0.42497147658012702</v>
      </c>
      <c r="N70" s="172">
        <f t="shared" si="188"/>
        <v>165.26227077392105</v>
      </c>
      <c r="O70" s="172">
        <f t="shared" ref="O70:O133" si="284">T70*F70</f>
        <v>66.3</v>
      </c>
      <c r="P70" s="217">
        <f t="shared" si="189"/>
        <v>0.9721310045524767</v>
      </c>
      <c r="Q70" s="217">
        <f t="shared" si="190"/>
        <v>170</v>
      </c>
      <c r="R70" s="217">
        <f t="shared" si="191"/>
        <v>0.96131619733248619</v>
      </c>
      <c r="S70" s="172">
        <f t="shared" si="192"/>
        <v>755.45274405079408</v>
      </c>
      <c r="T70" s="172">
        <f t="shared" si="193"/>
        <v>170</v>
      </c>
      <c r="U70" s="217">
        <f t="shared" si="194"/>
        <v>27.129089018440268</v>
      </c>
      <c r="V70" s="217">
        <f t="shared" si="195"/>
        <v>1.1757867474630634</v>
      </c>
      <c r="W70" s="217">
        <f t="shared" si="196"/>
        <v>1.5909562754200213</v>
      </c>
      <c r="X70" s="197">
        <f t="shared" si="197"/>
        <v>350</v>
      </c>
      <c r="Y70" s="443">
        <f t="shared" si="198"/>
        <v>337.06997616133214</v>
      </c>
      <c r="AA70" s="217">
        <f t="shared" si="199"/>
        <v>28.015497741838807</v>
      </c>
      <c r="AB70" s="173">
        <f t="shared" si="200"/>
        <v>1.642938762562121</v>
      </c>
      <c r="AC70" s="173">
        <f t="shared" si="201"/>
        <v>0.4027427879347123</v>
      </c>
      <c r="AD70" s="173"/>
      <c r="AE70" s="173">
        <f t="shared" si="202"/>
        <v>0.78191900673534664</v>
      </c>
      <c r="AF70" s="545">
        <f t="shared" si="203"/>
        <v>1496.3186595053646</v>
      </c>
      <c r="AG70" s="528">
        <f t="shared" si="204"/>
        <v>9.1223884119123771E-2</v>
      </c>
      <c r="AI70" s="173">
        <f t="shared" si="205"/>
        <v>27.568730015533749</v>
      </c>
      <c r="AJ70" s="173">
        <f t="shared" si="153"/>
        <v>27.568730015533749</v>
      </c>
      <c r="AK70" s="173">
        <f t="shared" si="207"/>
        <v>11.744738283111419</v>
      </c>
      <c r="AM70" s="545">
        <f t="shared" si="208"/>
        <v>390</v>
      </c>
      <c r="AN70" s="460">
        <f t="shared" si="209"/>
        <v>337.06997616133214</v>
      </c>
      <c r="AP70">
        <f t="shared" si="210"/>
        <v>390</v>
      </c>
      <c r="AQ70">
        <f t="shared" si="211"/>
        <v>337.06997616133214</v>
      </c>
      <c r="AS70" s="5">
        <f t="shared" ref="AS70:AS133" si="285">1/AN70*1000</f>
        <v>2.9667430228830853</v>
      </c>
      <c r="AT70" s="5">
        <f t="shared" si="212"/>
        <v>1.194840983219841</v>
      </c>
      <c r="AU70" s="5">
        <f t="shared" ref="AU70:AU105" si="286">AS70-AT70</f>
        <v>1.7719020396632443</v>
      </c>
      <c r="AV70" s="5">
        <f t="shared" si="213"/>
        <v>1.6167385493025817</v>
      </c>
      <c r="AW70" s="173">
        <f t="shared" ref="AW70:AW105" si="287">AT70/AS70</f>
        <v>0.40274502173049448</v>
      </c>
      <c r="AX70" s="173">
        <f t="shared" si="214"/>
        <v>64.046234271648217</v>
      </c>
      <c r="AY70" s="173">
        <f t="shared" si="215"/>
        <v>0.41163903115863687</v>
      </c>
      <c r="AZ70" s="173">
        <f t="shared" ref="AZ70:AZ133" si="288">AX70/AY70</f>
        <v>155.58834178425167</v>
      </c>
      <c r="BA70" s="460">
        <f t="shared" si="216"/>
        <v>0.27411057850337528</v>
      </c>
      <c r="BB70" s="5">
        <f t="shared" si="217"/>
        <v>16.292831461076727</v>
      </c>
      <c r="BC70" s="5"/>
      <c r="BD70" s="173">
        <f t="shared" ref="BD70:BD133" si="289">AJ70*SQRT(AW70/3)</f>
        <v>10.101159374293918</v>
      </c>
      <c r="BE70" s="173">
        <f t="shared" si="218"/>
        <v>0.6150437738857385</v>
      </c>
      <c r="BF70" s="173"/>
      <c r="BG70" s="528">
        <f t="shared" si="219"/>
        <v>4.0813368281954352</v>
      </c>
      <c r="BH70" s="528">
        <f t="shared" si="220"/>
        <v>4.396192235745934</v>
      </c>
      <c r="BI70" s="528">
        <f t="shared" si="221"/>
        <v>0.15554523655679464</v>
      </c>
      <c r="BJ70" s="528">
        <f t="shared" si="222"/>
        <v>2.9803324971493024E-2</v>
      </c>
      <c r="BK70">
        <f t="shared" si="223"/>
        <v>5.1914558845976566E-3</v>
      </c>
      <c r="BL70" s="460">
        <f t="shared" ref="BL70:BL105" si="290">(BK70+BI70)*1000</f>
        <v>160.73669244139231</v>
      </c>
      <c r="BM70" s="528">
        <f t="shared" si="224"/>
        <v>317.40688420262728</v>
      </c>
      <c r="BN70" s="460">
        <f t="shared" ref="BN70:BN105" si="291">BM70*1000</f>
        <v>317406.88420262729</v>
      </c>
      <c r="BO70" s="528">
        <f t="shared" si="225"/>
        <v>0.33851999999999993</v>
      </c>
      <c r="BP70" s="528"/>
      <c r="BR70" s="460">
        <f t="shared" ref="BR70:BR105" si="292">SUM(BO70:BQ70)*1000</f>
        <v>338.51999999999992</v>
      </c>
      <c r="BS70" s="528">
        <f t="shared" si="226"/>
        <v>3.0610026211465766</v>
      </c>
      <c r="BT70" s="528">
        <f t="shared" si="227"/>
        <v>1.1348365313868344E-2</v>
      </c>
      <c r="BU70" s="528">
        <f t="shared" si="228"/>
        <v>0.99449999999999994</v>
      </c>
      <c r="BV70" s="528">
        <f t="shared" si="229"/>
        <v>6.3698479020476881</v>
      </c>
      <c r="BW70" s="528">
        <f t="shared" si="230"/>
        <v>6.4046234271648217</v>
      </c>
      <c r="BX70" s="460">
        <f t="shared" ref="BX70:BX105" si="293">1000*(BV70+BW70)</f>
        <v>12774.471329212511</v>
      </c>
      <c r="BY70" s="173">
        <f t="shared" si="231"/>
        <v>330.68061222428122</v>
      </c>
      <c r="BZ70" s="5">
        <f t="shared" ref="BZ70:BZ105" si="294">MIN(H70,O70)</f>
        <v>66.3</v>
      </c>
      <c r="CA70" s="173">
        <f t="shared" ref="CA70:CA104" si="295">BZ70/(BZ70+BY70)</f>
        <v>0.1670106749760934</v>
      </c>
      <c r="CB70" s="5">
        <f t="shared" ref="CB70:CB104" si="296">CA70*100</f>
        <v>16.701067497609341</v>
      </c>
      <c r="CE70" s="562">
        <f t="shared" si="232"/>
        <v>-50</v>
      </c>
      <c r="CF70">
        <f t="shared" si="233"/>
        <v>-50</v>
      </c>
      <c r="CG70" s="173">
        <f t="shared" si="234"/>
        <v>0.56672433385927168</v>
      </c>
      <c r="CI70" s="170">
        <v>65</v>
      </c>
      <c r="CJ70" s="217">
        <f t="shared" ref="CJ70:CJ105" si="297">IF(PLOT_TYPE=1, CI70/100*Iout_max, min_I*EXP(CR70*rr/100))</f>
        <v>0.39</v>
      </c>
      <c r="CK70" s="217"/>
      <c r="CL70" s="217">
        <f t="shared" si="235"/>
        <v>66.3</v>
      </c>
      <c r="CM70" s="541">
        <f t="shared" si="236"/>
        <v>12.5</v>
      </c>
      <c r="CN70" s="172">
        <f t="shared" si="237"/>
        <v>8.5250000000000004</v>
      </c>
      <c r="CO70" s="443">
        <f t="shared" si="238"/>
        <v>21.024999999999999</v>
      </c>
      <c r="CP70" s="443"/>
      <c r="CQ70" s="217">
        <f t="shared" si="239"/>
        <v>0.40546967895362668</v>
      </c>
      <c r="CR70" s="172">
        <f t="shared" si="240"/>
        <v>170.84633868410626</v>
      </c>
      <c r="CS70" s="172">
        <f t="shared" ref="CS70:CS105" si="298">CX70*CJ70</f>
        <v>66.3</v>
      </c>
      <c r="CT70" s="217">
        <f t="shared" si="241"/>
        <v>1.0049784628476839</v>
      </c>
      <c r="CU70" s="217">
        <f t="shared" si="242"/>
        <v>170</v>
      </c>
      <c r="CV70" s="217">
        <f t="shared" si="243"/>
        <v>0.99379823272947732</v>
      </c>
      <c r="CW70" s="172">
        <f t="shared" si="244"/>
        <v>818.5286881826803</v>
      </c>
      <c r="CX70" s="172">
        <f t="shared" si="245"/>
        <v>170</v>
      </c>
      <c r="CY70" s="217">
        <f t="shared" si="246"/>
        <v>26.162252199413484</v>
      </c>
      <c r="CZ70" s="217">
        <f t="shared" si="247"/>
        <v>1.0464900879765393</v>
      </c>
      <c r="DA70" s="217">
        <f t="shared" si="248"/>
        <v>1.5344429442471248</v>
      </c>
      <c r="DB70" s="197">
        <f t="shared" si="249"/>
        <v>350</v>
      </c>
      <c r="DC70" s="443">
        <f t="shared" ref="DC70:DC105" si="299">MIN(1/(CZ70+DA70)*1000, 350)</f>
        <v>350</v>
      </c>
      <c r="DE70" s="217">
        <f t="shared" si="250"/>
        <v>28.962119925259049</v>
      </c>
      <c r="DF70" s="173">
        <f t="shared" si="251"/>
        <v>1.6986580601324954</v>
      </c>
      <c r="DG70" s="173">
        <f t="shared" si="252"/>
        <v>0.4304714614336958</v>
      </c>
      <c r="DH70" s="173"/>
      <c r="DI70" s="173">
        <f t="shared" si="253"/>
        <v>0.78201368523949166</v>
      </c>
      <c r="DJ70" s="545">
        <f t="shared" ref="DJ70:DJ105" si="300">MAX(12, CJ70/(0.5*DI70/1000000*Isw_min*Nps)/1000)</f>
        <v>1496.1375</v>
      </c>
      <c r="DK70" s="528">
        <f t="shared" si="254"/>
        <v>9.1234929944607357E-2</v>
      </c>
      <c r="DM70" s="173">
        <f t="shared" si="255"/>
        <v>27.567061090055596</v>
      </c>
      <c r="DN70" s="173">
        <f t="shared" si="256"/>
        <v>27.567061090055596</v>
      </c>
      <c r="DO70" s="173">
        <f t="shared" si="257"/>
        <v>11.743502042016489</v>
      </c>
      <c r="DQ70" s="545">
        <f t="shared" si="258"/>
        <v>390</v>
      </c>
      <c r="DR70" s="460">
        <f t="shared" si="259"/>
        <v>350</v>
      </c>
      <c r="DT70">
        <f t="shared" si="260"/>
        <v>390</v>
      </c>
      <c r="DU70">
        <f t="shared" si="261"/>
        <v>350</v>
      </c>
      <c r="DW70" s="5">
        <f t="shared" ref="DW70:DW105" si="301">1/DR70*1000</f>
        <v>2.8571428571428572</v>
      </c>
      <c r="DX70" s="5">
        <f t="shared" si="262"/>
        <v>1.1026824436022238</v>
      </c>
      <c r="DY70" s="5">
        <f t="shared" ref="DY70:DY105" si="302">DW70-DX70</f>
        <v>1.7544604135406334</v>
      </c>
      <c r="DZ70" s="5">
        <f t="shared" si="263"/>
        <v>1.6168364275692431</v>
      </c>
      <c r="EA70" s="173">
        <f t="shared" ref="EA70:EA105" si="303">DX70/DW70</f>
        <v>0.38593885526077831</v>
      </c>
      <c r="EB70" s="173">
        <f t="shared" si="264"/>
        <v>66.495000000000005</v>
      </c>
      <c r="EC70" s="173">
        <f t="shared" si="265"/>
        <v>0.4231965272513899</v>
      </c>
      <c r="ED70" s="173">
        <f t="shared" ref="ED70:ED105" si="304">EB70/EC70</f>
        <v>157.12558047646789</v>
      </c>
      <c r="EE70" s="460">
        <f t="shared" si="266"/>
        <v>0.25296832529698077</v>
      </c>
      <c r="EF70" s="5">
        <f t="shared" si="267"/>
        <v>14.889052853471231</v>
      </c>
      <c r="EG70" s="5"/>
      <c r="EH70" s="173">
        <f t="shared" ref="EH70:EH105" si="305">DN70*SQRT(EA70/3)</f>
        <v>9.8875591249697798</v>
      </c>
      <c r="EI70" s="173">
        <f t="shared" si="268"/>
        <v>0.62359935107509645</v>
      </c>
      <c r="EJ70" s="173"/>
      <c r="EK70" s="528">
        <f t="shared" si="269"/>
        <v>3.9105530179909267</v>
      </c>
      <c r="EL70" s="528">
        <f t="shared" si="270"/>
        <v>5.5786255469022823</v>
      </c>
      <c r="EM70" s="528">
        <f t="shared" si="271"/>
        <v>6.9999999999999993E-2</v>
      </c>
      <c r="EN70" s="528">
        <f t="shared" si="272"/>
        <v>3.094354375E-2</v>
      </c>
      <c r="EO70">
        <f t="shared" si="273"/>
        <v>5.6249999999999998E-3</v>
      </c>
      <c r="EP70" s="460">
        <f t="shared" ref="EP70:EP105" si="306">(EO70+EM70)*1000</f>
        <v>75.625</v>
      </c>
      <c r="EQ70" s="528">
        <f t="shared" si="274"/>
        <v>150.33458170509746</v>
      </c>
      <c r="ER70" s="460">
        <f t="shared" ref="ER70:ER105" si="307">EQ70*1000</f>
        <v>150334.58170509746</v>
      </c>
      <c r="ES70" s="528">
        <f t="shared" ref="ES70:ES105" si="308">Vfwd2*CJ70*(1+Diode_TC/1000*(Ta-25))</f>
        <v>0.33851999999999993</v>
      </c>
      <c r="ET70" s="528"/>
      <c r="EV70" s="460">
        <f t="shared" ref="EV70:EV105" si="309">SUM(ES70:EU70)*1000</f>
        <v>338.51999999999992</v>
      </c>
      <c r="EW70" s="528">
        <f t="shared" si="275"/>
        <v>2.9329147634931947</v>
      </c>
      <c r="EX70" s="528">
        <f t="shared" si="276"/>
        <v>1.1666284519838442E-2</v>
      </c>
      <c r="EY70" s="528">
        <f t="shared" si="277"/>
        <v>457.21059613253743</v>
      </c>
      <c r="EZ70" s="528">
        <f t="shared" si="278"/>
        <v>602.88025955188664</v>
      </c>
      <c r="FA70" s="528">
        <f t="shared" si="279"/>
        <v>6.6495000000000015</v>
      </c>
      <c r="FB70" s="460">
        <f t="shared" ref="FB70:FB105" si="310">1000*(EZ70+FA70)</f>
        <v>609529.75955188659</v>
      </c>
      <c r="FC70" s="173">
        <f t="shared" ref="FC70:FC105" si="311">SUM(EQ70,ES70:EU70,EZ70, FA70)</f>
        <v>760.20286125698408</v>
      </c>
      <c r="FD70" s="5">
        <f t="shared" ref="FD70:FD105" si="312">MIN(CL70,CS70)</f>
        <v>66.3</v>
      </c>
      <c r="FE70" s="173">
        <f t="shared" ref="FE70:FE105" si="313">FD70/(FD70+FC70)</f>
        <v>8.0217508139255406E-2</v>
      </c>
      <c r="FF70" s="5">
        <f t="shared" ref="FF70:FF105" si="314">FE70*100</f>
        <v>8.0217508139255411</v>
      </c>
      <c r="FI70" s="562">
        <f t="shared" si="280"/>
        <v>-50</v>
      </c>
      <c r="FJ70">
        <f t="shared" si="281"/>
        <v>-50</v>
      </c>
      <c r="FL70">
        <f t="shared" si="282"/>
        <v>0.56589274964923497</v>
      </c>
    </row>
    <row r="71" spans="5:168">
      <c r="E71" s="170">
        <v>66</v>
      </c>
      <c r="F71" s="217">
        <f t="shared" si="283"/>
        <v>0.39600000000000002</v>
      </c>
      <c r="G71" s="217"/>
      <c r="H71" s="217">
        <f t="shared" si="183"/>
        <v>67.320000000000007</v>
      </c>
      <c r="I71" s="541">
        <f t="shared" si="184"/>
        <v>11.529185908631318</v>
      </c>
      <c r="J71" s="172">
        <f t="shared" si="185"/>
        <v>8.5260401579550376</v>
      </c>
      <c r="K71" s="172">
        <f t="shared" si="186"/>
        <v>21.026040157955038</v>
      </c>
      <c r="L71" s="443"/>
      <c r="M71" s="217">
        <f t="shared" si="187"/>
        <v>0.42512814407331978</v>
      </c>
      <c r="N71" s="172">
        <f t="shared" si="188"/>
        <v>165.21739829509488</v>
      </c>
      <c r="O71" s="172">
        <f t="shared" si="284"/>
        <v>67.320000000000007</v>
      </c>
      <c r="P71" s="217">
        <f t="shared" si="189"/>
        <v>0.97186704879467578</v>
      </c>
      <c r="Q71" s="217">
        <f t="shared" si="190"/>
        <v>170</v>
      </c>
      <c r="R71" s="217">
        <f t="shared" si="191"/>
        <v>0.96105517804170659</v>
      </c>
      <c r="S71" s="172">
        <f t="shared" si="192"/>
        <v>740.04216190283353</v>
      </c>
      <c r="T71" s="172">
        <f t="shared" si="193"/>
        <v>170</v>
      </c>
      <c r="U71" s="217">
        <f t="shared" si="194"/>
        <v>27.553966743538489</v>
      </c>
      <c r="V71" s="217">
        <f t="shared" si="195"/>
        <v>1.1949658441586162</v>
      </c>
      <c r="W71" s="217">
        <f t="shared" si="196"/>
        <v>1.6158712739483085</v>
      </c>
      <c r="X71" s="197">
        <f t="shared" si="197"/>
        <v>350</v>
      </c>
      <c r="Y71" s="443">
        <f t="shared" si="198"/>
        <v>332.13354318839868</v>
      </c>
      <c r="AA71" s="217">
        <f t="shared" si="199"/>
        <v>28.00789087354655</v>
      </c>
      <c r="AB71" s="173">
        <f t="shared" si="200"/>
        <v>1.6424911421168003</v>
      </c>
      <c r="AC71" s="173">
        <f t="shared" si="201"/>
        <v>0.40252373585527407</v>
      </c>
      <c r="AD71" s="173"/>
      <c r="AE71" s="173">
        <f t="shared" si="202"/>
        <v>0.78191828130746932</v>
      </c>
      <c r="AF71" s="545">
        <f t="shared" si="203"/>
        <v>1519.3403561475877</v>
      </c>
      <c r="AG71" s="528">
        <f t="shared" si="204"/>
        <v>9.1223799485871407E-2</v>
      </c>
      <c r="AI71" s="173">
        <f t="shared" si="205"/>
        <v>27.780000627584876</v>
      </c>
      <c r="AJ71" s="173">
        <f t="shared" si="153"/>
        <v>27.780000627584876</v>
      </c>
      <c r="AK71" s="173">
        <f t="shared" si="207"/>
        <v>11.901235032778919</v>
      </c>
      <c r="AM71" s="545">
        <f t="shared" si="208"/>
        <v>396</v>
      </c>
      <c r="AN71" s="460">
        <f t="shared" si="209"/>
        <v>332.13354318839868</v>
      </c>
      <c r="AP71">
        <f t="shared" si="210"/>
        <v>396</v>
      </c>
      <c r="AQ71">
        <f t="shared" si="211"/>
        <v>332.13354318839868</v>
      </c>
      <c r="AS71" s="5">
        <f t="shared" si="285"/>
        <v>3.0108371181069247</v>
      </c>
      <c r="AT71" s="5">
        <f t="shared" si="212"/>
        <v>1.2047685260581753</v>
      </c>
      <c r="AU71" s="5">
        <f t="shared" si="286"/>
        <v>1.8060685920487494</v>
      </c>
      <c r="AV71" s="5">
        <f t="shared" si="213"/>
        <v>1.6291267759081187</v>
      </c>
      <c r="AW71" s="173">
        <f t="shared" si="287"/>
        <v>0.40014403928156633</v>
      </c>
      <c r="AX71" s="173">
        <f t="shared" si="214"/>
        <v>64.079224863037695</v>
      </c>
      <c r="AY71" s="173">
        <f t="shared" si="215"/>
        <v>0.41659997413046546</v>
      </c>
      <c r="AZ71" s="173">
        <f t="shared" si="288"/>
        <v>153.81475958270266</v>
      </c>
      <c r="BA71" s="460">
        <f t="shared" si="216"/>
        <v>0.28064019783472788</v>
      </c>
      <c r="BB71" s="5">
        <f t="shared" si="217"/>
        <v>16.873286780909329</v>
      </c>
      <c r="BC71" s="5"/>
      <c r="BD71" s="173">
        <f t="shared" si="289"/>
        <v>10.145648215807753</v>
      </c>
      <c r="BE71" s="173">
        <f t="shared" si="218"/>
        <v>0.62110513180931981</v>
      </c>
      <c r="BF71" s="173"/>
      <c r="BG71" s="528">
        <f t="shared" si="219"/>
        <v>4.1173671087569224</v>
      </c>
      <c r="BH71" s="528">
        <f t="shared" si="220"/>
        <v>4.365007531823788</v>
      </c>
      <c r="BI71" s="528">
        <f t="shared" si="221"/>
        <v>0.1531691746364591</v>
      </c>
      <c r="BJ71" s="528">
        <f t="shared" si="222"/>
        <v>2.9366873555877148E-2</v>
      </c>
      <c r="BK71">
        <f t="shared" si="223"/>
        <v>5.1881336588840933E-3</v>
      </c>
      <c r="BL71" s="460">
        <f t="shared" si="290"/>
        <v>158.35730829534319</v>
      </c>
      <c r="BM71" s="528">
        <f t="shared" si="224"/>
        <v>443.1988123335114</v>
      </c>
      <c r="BN71" s="460">
        <f t="shared" si="291"/>
        <v>443198.81233351142</v>
      </c>
      <c r="BO71" s="528">
        <f t="shared" si="225"/>
        <v>0.34372799999999998</v>
      </c>
      <c r="BP71" s="528"/>
      <c r="BR71" s="460">
        <f t="shared" si="292"/>
        <v>343.72799999999995</v>
      </c>
      <c r="BS71" s="528">
        <f t="shared" si="226"/>
        <v>3.0880253315676915</v>
      </c>
      <c r="BT71" s="528">
        <f t="shared" si="227"/>
        <v>1.1573147542796177E-2</v>
      </c>
      <c r="BU71" s="528">
        <f t="shared" si="228"/>
        <v>1.0098</v>
      </c>
      <c r="BV71" s="528">
        <f t="shared" si="229"/>
        <v>6.4535835295333239</v>
      </c>
      <c r="BW71" s="528">
        <f t="shared" si="230"/>
        <v>6.4079224863037707</v>
      </c>
      <c r="BX71" s="460">
        <f t="shared" si="293"/>
        <v>12861.506015837094</v>
      </c>
      <c r="BY71" s="173">
        <f t="shared" si="231"/>
        <v>456.56240365764381</v>
      </c>
      <c r="BZ71" s="5">
        <f t="shared" si="294"/>
        <v>67.320000000000007</v>
      </c>
      <c r="CA71" s="173">
        <f t="shared" si="295"/>
        <v>0.12850212095307079</v>
      </c>
      <c r="CB71" s="5">
        <f t="shared" si="296"/>
        <v>12.850212095307079</v>
      </c>
      <c r="CE71" s="562">
        <f t="shared" si="232"/>
        <v>-50</v>
      </c>
      <c r="CF71">
        <f t="shared" si="233"/>
        <v>-50</v>
      </c>
      <c r="CG71" s="173">
        <f t="shared" si="234"/>
        <v>0.57106711256981302</v>
      </c>
      <c r="CI71" s="170">
        <v>66</v>
      </c>
      <c r="CJ71" s="217">
        <f t="shared" si="297"/>
        <v>0.39600000000000002</v>
      </c>
      <c r="CK71" s="217"/>
      <c r="CL71" s="217">
        <f t="shared" si="235"/>
        <v>67.320000000000007</v>
      </c>
      <c r="CM71" s="541">
        <f t="shared" si="236"/>
        <v>12.5</v>
      </c>
      <c r="CN71" s="172">
        <f t="shared" si="237"/>
        <v>8.5250000000000004</v>
      </c>
      <c r="CO71" s="443">
        <f t="shared" si="238"/>
        <v>21.024999999999999</v>
      </c>
      <c r="CP71" s="443"/>
      <c r="CQ71" s="217">
        <f t="shared" si="239"/>
        <v>0.40546967895362668</v>
      </c>
      <c r="CR71" s="172">
        <f t="shared" si="240"/>
        <v>170.84633868410626</v>
      </c>
      <c r="CS71" s="172">
        <f t="shared" si="298"/>
        <v>67.320000000000007</v>
      </c>
      <c r="CT71" s="217">
        <f t="shared" si="241"/>
        <v>1.0049784628476839</v>
      </c>
      <c r="CU71" s="217">
        <f t="shared" si="242"/>
        <v>170</v>
      </c>
      <c r="CV71" s="217">
        <f t="shared" si="243"/>
        <v>0.99379823272947732</v>
      </c>
      <c r="CW71" s="172">
        <f t="shared" si="244"/>
        <v>802.34424863927961</v>
      </c>
      <c r="CX71" s="172">
        <f t="shared" si="245"/>
        <v>170</v>
      </c>
      <c r="CY71" s="217">
        <f t="shared" si="246"/>
        <v>26.564748387096774</v>
      </c>
      <c r="CZ71" s="217">
        <f t="shared" si="247"/>
        <v>1.062589935483871</v>
      </c>
      <c r="DA71" s="217">
        <f t="shared" si="248"/>
        <v>1.5580497587740041</v>
      </c>
      <c r="DB71" s="197">
        <f t="shared" si="249"/>
        <v>350</v>
      </c>
      <c r="DC71" s="443">
        <f t="shared" si="299"/>
        <v>350</v>
      </c>
      <c r="DE71" s="217">
        <f t="shared" si="250"/>
        <v>28.962119925259049</v>
      </c>
      <c r="DF71" s="173">
        <f t="shared" si="251"/>
        <v>1.6986580601324954</v>
      </c>
      <c r="DG71" s="173">
        <f t="shared" si="252"/>
        <v>0.4304714614336958</v>
      </c>
      <c r="DH71" s="173"/>
      <c r="DI71" s="173">
        <f t="shared" si="253"/>
        <v>0.78201368523949166</v>
      </c>
      <c r="DJ71" s="545">
        <f t="shared" si="300"/>
        <v>1519.155</v>
      </c>
      <c r="DK71" s="528">
        <f t="shared" si="254"/>
        <v>9.1234929944607357E-2</v>
      </c>
      <c r="DM71" s="173">
        <f t="shared" si="255"/>
        <v>27.778306026723186</v>
      </c>
      <c r="DN71" s="173">
        <f t="shared" si="256"/>
        <v>27.778306026723186</v>
      </c>
      <c r="DO71" s="173">
        <f t="shared" si="257"/>
        <v>11.899979772881371</v>
      </c>
      <c r="DQ71" s="545">
        <f t="shared" si="258"/>
        <v>396</v>
      </c>
      <c r="DR71" s="460">
        <f t="shared" si="259"/>
        <v>350</v>
      </c>
      <c r="DT71">
        <f t="shared" si="260"/>
        <v>396</v>
      </c>
      <c r="DU71">
        <f t="shared" si="261"/>
        <v>350</v>
      </c>
      <c r="DW71" s="5">
        <f t="shared" si="301"/>
        <v>2.8571428571428572</v>
      </c>
      <c r="DX71" s="5">
        <f t="shared" si="262"/>
        <v>1.1111322410689275</v>
      </c>
      <c r="DY71" s="5">
        <f t="shared" si="302"/>
        <v>1.7460106160739297</v>
      </c>
      <c r="DZ71" s="5">
        <f t="shared" si="263"/>
        <v>1.6292261599251134</v>
      </c>
      <c r="EA71" s="173">
        <f t="shared" si="303"/>
        <v>0.3888962843741246</v>
      </c>
      <c r="EB71" s="173">
        <f t="shared" si="264"/>
        <v>67.517999999999986</v>
      </c>
      <c r="EC71" s="173">
        <f t="shared" si="265"/>
        <v>0.42438565066807971</v>
      </c>
      <c r="ED71" s="173">
        <f t="shared" si="304"/>
        <v>159.09585984754969</v>
      </c>
      <c r="EE71" s="460">
        <f t="shared" si="266"/>
        <v>0.25882845144899724</v>
      </c>
      <c r="EF71" s="5">
        <f t="shared" si="267"/>
        <v>15.045303638284409</v>
      </c>
      <c r="EG71" s="5"/>
      <c r="EH71" s="173">
        <f t="shared" si="305"/>
        <v>10.001428341491485</v>
      </c>
      <c r="EI71" s="173">
        <f t="shared" si="268"/>
        <v>0.62686294295770806</v>
      </c>
      <c r="EJ71" s="173"/>
      <c r="EK71" s="528">
        <f t="shared" si="269"/>
        <v>4.0011427547995648</v>
      </c>
      <c r="EL71" s="528">
        <f t="shared" si="270"/>
        <v>5.6213742605391044</v>
      </c>
      <c r="EM71" s="528">
        <f t="shared" si="271"/>
        <v>6.9999999999999993E-2</v>
      </c>
      <c r="EN71" s="528">
        <f t="shared" si="272"/>
        <v>3.094354375E-2</v>
      </c>
      <c r="EO71">
        <f t="shared" si="273"/>
        <v>5.6249999999999998E-3</v>
      </c>
      <c r="EP71" s="460">
        <f t="shared" si="306"/>
        <v>75.625</v>
      </c>
      <c r="EQ71" s="528">
        <f t="shared" si="274"/>
        <v>219.1308911816449</v>
      </c>
      <c r="ER71" s="460">
        <f t="shared" si="307"/>
        <v>219130.8911816449</v>
      </c>
      <c r="ES71" s="528">
        <f t="shared" si="308"/>
        <v>0.34372799999999998</v>
      </c>
      <c r="ET71" s="528"/>
      <c r="EV71" s="460">
        <f t="shared" si="309"/>
        <v>343.72799999999995</v>
      </c>
      <c r="EW71" s="528">
        <f t="shared" si="275"/>
        <v>3.0008570660996732</v>
      </c>
      <c r="EX71" s="528">
        <f t="shared" si="276"/>
        <v>1.1788714477607962E-2</v>
      </c>
      <c r="EY71" s="528">
        <f t="shared" si="277"/>
        <v>466.01995167320382</v>
      </c>
      <c r="EZ71" s="528">
        <f t="shared" si="278"/>
        <v>618.92338682715354</v>
      </c>
      <c r="FA71" s="528">
        <f t="shared" si="279"/>
        <v>6.7517999999999994</v>
      </c>
      <c r="FB71" s="460">
        <f t="shared" si="310"/>
        <v>625675.18682715355</v>
      </c>
      <c r="FC71" s="173">
        <f t="shared" si="311"/>
        <v>845.14980600879846</v>
      </c>
      <c r="FD71" s="5">
        <f t="shared" si="312"/>
        <v>67.320000000000007</v>
      </c>
      <c r="FE71" s="173">
        <f t="shared" si="313"/>
        <v>7.3777783721372669E-2</v>
      </c>
      <c r="FF71" s="5">
        <f t="shared" si="314"/>
        <v>7.3777783721372669</v>
      </c>
      <c r="FI71" s="562">
        <f t="shared" si="280"/>
        <v>-50</v>
      </c>
      <c r="FJ71">
        <f t="shared" si="281"/>
        <v>-50</v>
      </c>
      <c r="FL71">
        <f t="shared" si="282"/>
        <v>0.57022915597378976</v>
      </c>
    </row>
    <row r="72" spans="5:168">
      <c r="E72" s="170">
        <v>67</v>
      </c>
      <c r="F72" s="217">
        <f t="shared" si="283"/>
        <v>0.40200000000000002</v>
      </c>
      <c r="G72" s="217"/>
      <c r="H72" s="217">
        <f t="shared" si="183"/>
        <v>68.34</v>
      </c>
      <c r="I72" s="541">
        <f t="shared" si="184"/>
        <v>11.521858905883205</v>
      </c>
      <c r="J72" s="172">
        <f t="shared" si="185"/>
        <v>8.5260480083151258</v>
      </c>
      <c r="K72" s="172">
        <f t="shared" si="186"/>
        <v>21.026048008315126</v>
      </c>
      <c r="L72" s="443"/>
      <c r="M72" s="217">
        <f t="shared" si="187"/>
        <v>0.42528374308106343</v>
      </c>
      <c r="N72" s="172">
        <f t="shared" si="188"/>
        <v>165.17283165589291</v>
      </c>
      <c r="O72" s="172">
        <f t="shared" si="284"/>
        <v>68.34</v>
      </c>
      <c r="P72" s="217">
        <f t="shared" si="189"/>
        <v>0.97160489209348766</v>
      </c>
      <c r="Q72" s="217">
        <f t="shared" si="190"/>
        <v>170</v>
      </c>
      <c r="R72" s="217">
        <f t="shared" si="191"/>
        <v>0.96079593779331285</v>
      </c>
      <c r="S72" s="172">
        <f t="shared" si="192"/>
        <v>725.09963147168264</v>
      </c>
      <c r="T72" s="172">
        <f t="shared" si="193"/>
        <v>170</v>
      </c>
      <c r="U72" s="217">
        <f t="shared" si="194"/>
        <v>27.979024094785739</v>
      </c>
      <c r="V72" s="217">
        <f t="shared" si="195"/>
        <v>1.2141714424440355</v>
      </c>
      <c r="W72" s="217">
        <f t="shared" si="196"/>
        <v>1.6407967716988501</v>
      </c>
      <c r="X72" s="197">
        <f t="shared" si="197"/>
        <v>350</v>
      </c>
      <c r="Y72" s="443">
        <f t="shared" si="198"/>
        <v>327.33564800135377</v>
      </c>
      <c r="AA72" s="217">
        <f t="shared" si="199"/>
        <v>28.000335851810686</v>
      </c>
      <c r="AB72" s="173">
        <f t="shared" si="200"/>
        <v>1.6420465744799371</v>
      </c>
      <c r="AC72" s="173">
        <f t="shared" si="201"/>
        <v>0.40230623623534323</v>
      </c>
      <c r="AD72" s="173"/>
      <c r="AE72" s="173">
        <f t="shared" si="202"/>
        <v>0.78191756135608481</v>
      </c>
      <c r="AF72" s="545">
        <f t="shared" si="203"/>
        <v>1542.3620847042064</v>
      </c>
      <c r="AG72" s="528">
        <f t="shared" si="204"/>
        <v>9.1223715491543234E-2</v>
      </c>
      <c r="AI72" s="173">
        <f t="shared" si="205"/>
        <v>27.989676869844835</v>
      </c>
      <c r="AJ72" s="173">
        <f t="shared" si="206"/>
        <v>27.989676869844835</v>
      </c>
      <c r="AK72" s="173">
        <f t="shared" si="207"/>
        <v>12.056550767786296</v>
      </c>
      <c r="AM72" s="545">
        <f t="shared" si="208"/>
        <v>402</v>
      </c>
      <c r="AN72" s="460">
        <f t="shared" si="209"/>
        <v>327.33564800135377</v>
      </c>
      <c r="AP72">
        <f t="shared" si="210"/>
        <v>402</v>
      </c>
      <c r="AQ72">
        <f t="shared" si="211"/>
        <v>327.33564800135377</v>
      </c>
      <c r="AS72" s="5">
        <f t="shared" si="285"/>
        <v>3.0549682141428858</v>
      </c>
      <c r="AT72" s="5">
        <f t="shared" si="212"/>
        <v>1.2146337278767123</v>
      </c>
      <c r="AU72" s="5">
        <f t="shared" si="286"/>
        <v>1.8403344862661735</v>
      </c>
      <c r="AV72" s="5">
        <f t="shared" si="213"/>
        <v>1.6414214910910414</v>
      </c>
      <c r="AW72" s="173">
        <f t="shared" si="287"/>
        <v>0.3975929183988236</v>
      </c>
      <c r="AX72" s="173">
        <f t="shared" si="214"/>
        <v>64.110487930078762</v>
      </c>
      <c r="AY72" s="173">
        <f t="shared" si="215"/>
        <v>0.42152948895307946</v>
      </c>
      <c r="AZ72" s="173">
        <f t="shared" si="288"/>
        <v>152.09016121103431</v>
      </c>
      <c r="BA72" s="460">
        <f t="shared" si="216"/>
        <v>0.28722515212143435</v>
      </c>
      <c r="BB72" s="5">
        <f t="shared" si="217"/>
        <v>17.465023284006556</v>
      </c>
      <c r="BC72" s="5"/>
      <c r="BD72" s="173">
        <f t="shared" si="289"/>
        <v>10.189586903665038</v>
      </c>
      <c r="BE72" s="173">
        <f t="shared" si="218"/>
        <v>0.62712237473791144</v>
      </c>
      <c r="BF72" s="173"/>
      <c r="BG72" s="528">
        <f t="shared" si="219"/>
        <v>4.1531072506936821</v>
      </c>
      <c r="BH72" s="528">
        <f t="shared" si="220"/>
        <v>4.3344236626610071</v>
      </c>
      <c r="BI72" s="528">
        <f t="shared" si="221"/>
        <v>0.15086060604549792</v>
      </c>
      <c r="BJ72" s="528">
        <f t="shared" si="222"/>
        <v>2.8942670683204365E-2</v>
      </c>
      <c r="BK72">
        <f t="shared" si="223"/>
        <v>5.1848365076474423E-3</v>
      </c>
      <c r="BL72" s="460">
        <f t="shared" si="290"/>
        <v>156.04544255314536</v>
      </c>
      <c r="BM72" s="528">
        <f t="shared" si="224"/>
        <v>728.93803204928724</v>
      </c>
      <c r="BN72" s="460">
        <f t="shared" si="291"/>
        <v>728938.03204928723</v>
      </c>
      <c r="BO72" s="528">
        <f t="shared" si="225"/>
        <v>0.34893599999999997</v>
      </c>
      <c r="BP72" s="528"/>
      <c r="BR72" s="460">
        <f t="shared" si="292"/>
        <v>348.93599999999998</v>
      </c>
      <c r="BS72" s="528">
        <f t="shared" si="226"/>
        <v>3.1148304380202618</v>
      </c>
      <c r="BT72" s="528">
        <f t="shared" si="227"/>
        <v>1.1798474186907522E-2</v>
      </c>
      <c r="BU72" s="528">
        <f t="shared" si="228"/>
        <v>1.0251000000000001</v>
      </c>
      <c r="BV72" s="528">
        <f t="shared" si="229"/>
        <v>6.5372956607909183</v>
      </c>
      <c r="BW72" s="528">
        <f t="shared" si="230"/>
        <v>6.4110487930078772</v>
      </c>
      <c r="BX72" s="460">
        <f t="shared" si="293"/>
        <v>12948.344453798796</v>
      </c>
      <c r="BY72" s="173">
        <f t="shared" si="231"/>
        <v>742.39135794563924</v>
      </c>
      <c r="BZ72" s="5">
        <f t="shared" si="294"/>
        <v>68.34</v>
      </c>
      <c r="CA72" s="173">
        <f t="shared" si="295"/>
        <v>8.4294260151933462E-2</v>
      </c>
      <c r="CB72" s="5">
        <f t="shared" si="296"/>
        <v>8.4294260151933464</v>
      </c>
      <c r="CE72" s="562">
        <f t="shared" si="232"/>
        <v>-50</v>
      </c>
      <c r="CF72">
        <f t="shared" si="233"/>
        <v>-50</v>
      </c>
      <c r="CG72" s="173">
        <f t="shared" si="234"/>
        <v>0.57537711418634974</v>
      </c>
      <c r="CI72" s="170">
        <v>67</v>
      </c>
      <c r="CJ72" s="217">
        <f t="shared" si="297"/>
        <v>0.40200000000000002</v>
      </c>
      <c r="CK72" s="217"/>
      <c r="CL72" s="217">
        <f t="shared" si="235"/>
        <v>68.34</v>
      </c>
      <c r="CM72" s="541">
        <f t="shared" si="236"/>
        <v>12.5</v>
      </c>
      <c r="CN72" s="172">
        <f t="shared" si="237"/>
        <v>8.5250000000000004</v>
      </c>
      <c r="CO72" s="443">
        <f t="shared" si="238"/>
        <v>21.024999999999999</v>
      </c>
      <c r="CP72" s="443"/>
      <c r="CQ72" s="217">
        <f t="shared" si="239"/>
        <v>0.40546967895362668</v>
      </c>
      <c r="CR72" s="172">
        <f t="shared" si="240"/>
        <v>170.84633868410626</v>
      </c>
      <c r="CS72" s="172">
        <f t="shared" si="298"/>
        <v>68.34</v>
      </c>
      <c r="CT72" s="217">
        <f t="shared" si="241"/>
        <v>1.0049784628476839</v>
      </c>
      <c r="CU72" s="217">
        <f t="shared" si="242"/>
        <v>170</v>
      </c>
      <c r="CV72" s="217">
        <f t="shared" si="243"/>
        <v>0.99379823272947732</v>
      </c>
      <c r="CW72" s="172">
        <f t="shared" si="244"/>
        <v>786.64304757890829</v>
      </c>
      <c r="CX72" s="172">
        <f t="shared" si="245"/>
        <v>170</v>
      </c>
      <c r="CY72" s="217">
        <f t="shared" si="246"/>
        <v>26.967244574780057</v>
      </c>
      <c r="CZ72" s="217">
        <f t="shared" si="247"/>
        <v>1.0786897829912023</v>
      </c>
      <c r="DA72" s="217">
        <f t="shared" si="248"/>
        <v>1.5816565733008829</v>
      </c>
      <c r="DB72" s="197">
        <f t="shared" si="249"/>
        <v>350</v>
      </c>
      <c r="DC72" s="443">
        <f t="shared" si="299"/>
        <v>350</v>
      </c>
      <c r="DE72" s="217">
        <f t="shared" si="250"/>
        <v>28.962119925259049</v>
      </c>
      <c r="DF72" s="173">
        <f t="shared" si="251"/>
        <v>1.6986580601324954</v>
      </c>
      <c r="DG72" s="173">
        <f t="shared" si="252"/>
        <v>0.4304714614336958</v>
      </c>
      <c r="DH72" s="173"/>
      <c r="DI72" s="173">
        <f t="shared" si="253"/>
        <v>0.78201368523949166</v>
      </c>
      <c r="DJ72" s="545">
        <f t="shared" si="300"/>
        <v>1542.1724999999999</v>
      </c>
      <c r="DK72" s="528">
        <f t="shared" si="254"/>
        <v>9.1234929944607357E-2</v>
      </c>
      <c r="DM72" s="173">
        <f t="shared" si="255"/>
        <v>27.987956593608516</v>
      </c>
      <c r="DN72" s="173">
        <f t="shared" si="256"/>
        <v>27.987956593608516</v>
      </c>
      <c r="DO72" s="173">
        <f t="shared" si="257"/>
        <v>12.055276489092726</v>
      </c>
      <c r="DQ72" s="545">
        <f t="shared" si="258"/>
        <v>402</v>
      </c>
      <c r="DR72" s="460">
        <f t="shared" si="259"/>
        <v>350</v>
      </c>
      <c r="DT72">
        <f t="shared" si="260"/>
        <v>402</v>
      </c>
      <c r="DU72">
        <f t="shared" si="261"/>
        <v>350</v>
      </c>
      <c r="DW72" s="5">
        <f t="shared" si="301"/>
        <v>2.8571428571428572</v>
      </c>
      <c r="DX72" s="5">
        <f t="shared" si="262"/>
        <v>1.1195182637443406</v>
      </c>
      <c r="DY72" s="5">
        <f t="shared" si="302"/>
        <v>1.7376245933985166</v>
      </c>
      <c r="DZ72" s="5">
        <f t="shared" si="263"/>
        <v>1.6415223808568045</v>
      </c>
      <c r="EA72" s="173">
        <f t="shared" si="303"/>
        <v>0.39183139231051922</v>
      </c>
      <c r="EB72" s="173">
        <f t="shared" si="264"/>
        <v>68.541000000000025</v>
      </c>
      <c r="EC72" s="173">
        <f t="shared" si="265"/>
        <v>0.42553491484021289</v>
      </c>
      <c r="ED72" s="173">
        <f t="shared" si="304"/>
        <v>161.07021447520228</v>
      </c>
      <c r="EE72" s="460">
        <f t="shared" si="266"/>
        <v>0.26473314236777934</v>
      </c>
      <c r="EF72" s="5">
        <f t="shared" si="267"/>
        <v>15.199905883245393</v>
      </c>
      <c r="EG72" s="5"/>
      <c r="EH72" s="173">
        <f t="shared" si="305"/>
        <v>10.114867032594537</v>
      </c>
      <c r="EI72" s="173">
        <f t="shared" si="268"/>
        <v>0.63007546441181095</v>
      </c>
      <c r="EJ72" s="173"/>
      <c r="EK72" s="528">
        <f t="shared" si="269"/>
        <v>4.0924214034827129</v>
      </c>
      <c r="EL72" s="528">
        <f t="shared" si="270"/>
        <v>5.6638003285384579</v>
      </c>
      <c r="EM72" s="528">
        <f t="shared" si="271"/>
        <v>6.9999999999999993E-2</v>
      </c>
      <c r="EN72" s="528">
        <f t="shared" si="272"/>
        <v>3.094354375E-2</v>
      </c>
      <c r="EO72">
        <f t="shared" si="273"/>
        <v>5.6249999999999998E-3</v>
      </c>
      <c r="EP72" s="460">
        <f t="shared" si="306"/>
        <v>75.625</v>
      </c>
      <c r="EQ72" s="528">
        <f t="shared" si="274"/>
        <v>396.79726490801124</v>
      </c>
      <c r="ER72" s="460">
        <f t="shared" si="307"/>
        <v>396797.26490801125</v>
      </c>
      <c r="ES72" s="528">
        <f t="shared" si="308"/>
        <v>0.34893599999999997</v>
      </c>
      <c r="ET72" s="528"/>
      <c r="EV72" s="460">
        <f t="shared" si="309"/>
        <v>348.93599999999998</v>
      </c>
      <c r="EW72" s="528">
        <f t="shared" si="275"/>
        <v>3.0693160526120344</v>
      </c>
      <c r="EX72" s="528">
        <f t="shared" si="276"/>
        <v>1.1909852725612777E-2</v>
      </c>
      <c r="EY72" s="528">
        <f t="shared" si="277"/>
        <v>474.86274038463523</v>
      </c>
      <c r="EZ72" s="528">
        <f t="shared" si="278"/>
        <v>635.27834898721756</v>
      </c>
      <c r="FA72" s="528">
        <f t="shared" si="279"/>
        <v>6.8541000000000016</v>
      </c>
      <c r="FB72" s="460">
        <f t="shared" si="310"/>
        <v>642132.44898721762</v>
      </c>
      <c r="FC72" s="173">
        <f t="shared" si="311"/>
        <v>1039.2786498952287</v>
      </c>
      <c r="FD72" s="5">
        <f t="shared" si="312"/>
        <v>68.34</v>
      </c>
      <c r="FE72" s="173">
        <f t="shared" si="313"/>
        <v>6.1699936170688703E-2</v>
      </c>
      <c r="FF72" s="5">
        <f t="shared" si="314"/>
        <v>6.1699936170688705</v>
      </c>
      <c r="FI72" s="562">
        <f t="shared" si="280"/>
        <v>-50</v>
      </c>
      <c r="FJ72">
        <f t="shared" si="281"/>
        <v>-50</v>
      </c>
      <c r="FL72">
        <f t="shared" si="282"/>
        <v>0.57453283329988147</v>
      </c>
    </row>
    <row r="73" spans="5:168">
      <c r="E73" s="170">
        <v>68</v>
      </c>
      <c r="F73" s="217">
        <f t="shared" si="283"/>
        <v>0.40800000000000003</v>
      </c>
      <c r="G73" s="217"/>
      <c r="H73" s="217">
        <f t="shared" si="183"/>
        <v>69.36</v>
      </c>
      <c r="I73" s="541">
        <f t="shared" si="184"/>
        <v>11.514586381259118</v>
      </c>
      <c r="J73" s="172">
        <f t="shared" si="185"/>
        <v>8.5260558003057945</v>
      </c>
      <c r="K73" s="172">
        <f t="shared" si="186"/>
        <v>21.026055800305794</v>
      </c>
      <c r="L73" s="443"/>
      <c r="M73" s="217">
        <f t="shared" si="187"/>
        <v>0.42543829756042434</v>
      </c>
      <c r="N73" s="172">
        <f t="shared" si="188"/>
        <v>165.12856399869412</v>
      </c>
      <c r="O73" s="172">
        <f t="shared" si="284"/>
        <v>69.36</v>
      </c>
      <c r="P73" s="217">
        <f t="shared" si="189"/>
        <v>0.97134449410996537</v>
      </c>
      <c r="Q73" s="217">
        <f t="shared" si="190"/>
        <v>170</v>
      </c>
      <c r="R73" s="217">
        <f t="shared" si="191"/>
        <v>0.96053843669712258</v>
      </c>
      <c r="S73" s="172">
        <f t="shared" si="192"/>
        <v>710.60437925411748</v>
      </c>
      <c r="T73" s="172">
        <f t="shared" si="193"/>
        <v>170</v>
      </c>
      <c r="U73" s="217">
        <f t="shared" si="194"/>
        <v>28.404260031090928</v>
      </c>
      <c r="V73" s="217">
        <f t="shared" si="195"/>
        <v>1.2334034020241085</v>
      </c>
      <c r="W73" s="217">
        <f t="shared" si="196"/>
        <v>1.6657327078525679</v>
      </c>
      <c r="X73" s="197">
        <f t="shared" si="197"/>
        <v>350</v>
      </c>
      <c r="Y73" s="443">
        <f t="shared" si="198"/>
        <v>322.67056513364719</v>
      </c>
      <c r="AA73" s="217">
        <f t="shared" si="199"/>
        <v>27.992831514113345</v>
      </c>
      <c r="AB73" s="173">
        <f t="shared" si="200"/>
        <v>1.6416049912029287</v>
      </c>
      <c r="AC73" s="173">
        <f t="shared" si="201"/>
        <v>0.40209025440037216</v>
      </c>
      <c r="AD73" s="173"/>
      <c r="AE73" s="173">
        <f t="shared" si="202"/>
        <v>0.78191684675903261</v>
      </c>
      <c r="AF73" s="545">
        <f t="shared" si="203"/>
        <v>1565.3838449361438</v>
      </c>
      <c r="AG73" s="528">
        <f t="shared" si="204"/>
        <v>9.1223632121887152E-2</v>
      </c>
      <c r="AI73" s="173">
        <f t="shared" si="205"/>
        <v>28.197794306950481</v>
      </c>
      <c r="AJ73" s="173">
        <f t="shared" si="206"/>
        <v>28.404260031090928</v>
      </c>
      <c r="AK73" s="173">
        <f t="shared" si="207"/>
        <v>12.363649405746365</v>
      </c>
      <c r="AM73" s="545">
        <f t="shared" si="208"/>
        <v>408.00000000000006</v>
      </c>
      <c r="AN73" s="460">
        <f t="shared" si="209"/>
        <v>322.67056513364719</v>
      </c>
      <c r="AP73">
        <f t="shared" si="210"/>
        <v>408.00000000000006</v>
      </c>
      <c r="AQ73">
        <f t="shared" si="211"/>
        <v>322.67056513364719</v>
      </c>
      <c r="AS73" s="5">
        <f t="shared" si="285"/>
        <v>3.0991361098766759</v>
      </c>
      <c r="AT73" s="5">
        <f t="shared" si="212"/>
        <v>1.2334034020241085</v>
      </c>
      <c r="AU73" s="5">
        <f t="shared" si="286"/>
        <v>1.8657327078525674</v>
      </c>
      <c r="AV73" s="5">
        <f t="shared" si="213"/>
        <v>1.6657327078525679</v>
      </c>
      <c r="AW73" s="173">
        <f t="shared" si="287"/>
        <v>0.39798297276888217</v>
      </c>
      <c r="AX73" s="173">
        <f t="shared" si="214"/>
        <v>65.082813347776352</v>
      </c>
      <c r="AY73" s="173">
        <f t="shared" si="215"/>
        <v>0.42749620461542548</v>
      </c>
      <c r="AZ73" s="173">
        <f t="shared" si="288"/>
        <v>152.24185067636961</v>
      </c>
      <c r="BA73" s="460">
        <f t="shared" si="216"/>
        <v>0.29601681648578604</v>
      </c>
      <c r="BB73" s="5">
        <f t="shared" si="217"/>
        <v>17.981675253540931</v>
      </c>
      <c r="BC73" s="5"/>
      <c r="BD73" s="173">
        <f t="shared" si="289"/>
        <v>10.345586073068224</v>
      </c>
      <c r="BE73" s="173">
        <f t="shared" si="218"/>
        <v>0.63620524356533981</v>
      </c>
      <c r="BF73" s="173"/>
      <c r="BG73" s="528">
        <f t="shared" si="219"/>
        <v>4.2812460478105283</v>
      </c>
      <c r="BH73" s="528">
        <f t="shared" si="220"/>
        <v>4.3359389656129936</v>
      </c>
      <c r="BI73" s="528">
        <f t="shared" si="221"/>
        <v>0.1486167237968431</v>
      </c>
      <c r="BJ73" s="528">
        <f t="shared" si="222"/>
        <v>2.8530210151703546E-2</v>
      </c>
      <c r="BK73">
        <f t="shared" si="223"/>
        <v>5.1815638715666029E-3</v>
      </c>
      <c r="BL73" s="460">
        <f t="shared" si="290"/>
        <v>153.7982876684097</v>
      </c>
      <c r="BM73" s="528">
        <f t="shared" si="224"/>
        <v>-569.06740398627187</v>
      </c>
      <c r="BN73" s="460">
        <f t="shared" si="291"/>
        <v>-569067.40398627182</v>
      </c>
      <c r="BO73" s="528">
        <f t="shared" si="225"/>
        <v>0.35414400000000001</v>
      </c>
      <c r="BP73" s="528"/>
      <c r="BR73" s="460">
        <f t="shared" si="292"/>
        <v>354.14400000000001</v>
      </c>
      <c r="BS73" s="528">
        <f t="shared" si="226"/>
        <v>3.2109345358578962</v>
      </c>
      <c r="BT73" s="528">
        <f t="shared" si="227"/>
        <v>1.2142713358201E-2</v>
      </c>
      <c r="BU73" s="528">
        <f t="shared" si="228"/>
        <v>1.0404</v>
      </c>
      <c r="BV73" s="528">
        <f t="shared" si="229"/>
        <v>6.7870240007689109</v>
      </c>
      <c r="BW73" s="528">
        <f t="shared" si="230"/>
        <v>6.5082813347776352</v>
      </c>
      <c r="BX73" s="460">
        <f t="shared" si="293"/>
        <v>13295.305335546545</v>
      </c>
      <c r="BY73" s="173">
        <f t="shared" si="231"/>
        <v>-555.26415636305683</v>
      </c>
      <c r="BZ73" s="5">
        <f t="shared" si="294"/>
        <v>69.36</v>
      </c>
      <c r="CA73" s="173">
        <f t="shared" si="295"/>
        <v>-0.1427441998421099</v>
      </c>
      <c r="CB73" s="5">
        <f t="shared" si="296"/>
        <v>-14.27441998421099</v>
      </c>
      <c r="CE73" s="562">
        <f t="shared" si="232"/>
        <v>-50</v>
      </c>
      <c r="CF73">
        <f t="shared" si="233"/>
        <v>-50</v>
      </c>
      <c r="CG73" s="173">
        <f t="shared" si="234"/>
        <v>0.57965506984757742</v>
      </c>
      <c r="CI73" s="170">
        <v>68</v>
      </c>
      <c r="CJ73" s="217">
        <f t="shared" si="297"/>
        <v>0.40800000000000003</v>
      </c>
      <c r="CK73" s="217"/>
      <c r="CL73" s="217">
        <f t="shared" si="235"/>
        <v>69.36</v>
      </c>
      <c r="CM73" s="541">
        <f t="shared" si="236"/>
        <v>12.5</v>
      </c>
      <c r="CN73" s="172">
        <f t="shared" si="237"/>
        <v>8.5250000000000004</v>
      </c>
      <c r="CO73" s="443">
        <f t="shared" si="238"/>
        <v>21.024999999999999</v>
      </c>
      <c r="CP73" s="443"/>
      <c r="CQ73" s="217">
        <f t="shared" si="239"/>
        <v>0.40546967895362668</v>
      </c>
      <c r="CR73" s="172">
        <f t="shared" si="240"/>
        <v>170.84633868410626</v>
      </c>
      <c r="CS73" s="172">
        <f t="shared" si="298"/>
        <v>69.36</v>
      </c>
      <c r="CT73" s="217">
        <f t="shared" si="241"/>
        <v>1.0049784628476839</v>
      </c>
      <c r="CU73" s="217">
        <f t="shared" si="242"/>
        <v>170</v>
      </c>
      <c r="CV73" s="217">
        <f t="shared" si="243"/>
        <v>0.99379823272947732</v>
      </c>
      <c r="CW73" s="172">
        <f t="shared" si="244"/>
        <v>771.40376734988558</v>
      </c>
      <c r="CX73" s="172">
        <f t="shared" si="245"/>
        <v>170</v>
      </c>
      <c r="CY73" s="217">
        <f t="shared" si="246"/>
        <v>27.369740762463337</v>
      </c>
      <c r="CZ73" s="217">
        <f t="shared" si="247"/>
        <v>1.0947896304985334</v>
      </c>
      <c r="DA73" s="217">
        <f t="shared" si="248"/>
        <v>1.6052633878277616</v>
      </c>
      <c r="DB73" s="197">
        <f t="shared" si="249"/>
        <v>350</v>
      </c>
      <c r="DC73" s="443">
        <f t="shared" si="299"/>
        <v>350</v>
      </c>
      <c r="DE73" s="217">
        <f t="shared" si="250"/>
        <v>28.962119925259049</v>
      </c>
      <c r="DF73" s="173">
        <f t="shared" si="251"/>
        <v>1.6986580601324954</v>
      </c>
      <c r="DG73" s="173">
        <f t="shared" si="252"/>
        <v>0.4304714614336958</v>
      </c>
      <c r="DH73" s="173"/>
      <c r="DI73" s="173">
        <f t="shared" si="253"/>
        <v>0.78201368523949166</v>
      </c>
      <c r="DJ73" s="545">
        <f t="shared" si="300"/>
        <v>1565.19</v>
      </c>
      <c r="DK73" s="528">
        <f t="shared" si="254"/>
        <v>9.1234929944607357E-2</v>
      </c>
      <c r="DM73" s="173">
        <f t="shared" si="255"/>
        <v>28.19604835534836</v>
      </c>
      <c r="DN73" s="173">
        <f t="shared" si="256"/>
        <v>28.19604835534836</v>
      </c>
      <c r="DO73" s="173">
        <f t="shared" si="257"/>
        <v>12.209418534825945</v>
      </c>
      <c r="DQ73" s="545">
        <f t="shared" si="258"/>
        <v>408.00000000000006</v>
      </c>
      <c r="DR73" s="460">
        <f t="shared" si="259"/>
        <v>350</v>
      </c>
      <c r="DT73">
        <f t="shared" si="260"/>
        <v>408.00000000000006</v>
      </c>
      <c r="DU73">
        <f t="shared" si="261"/>
        <v>350</v>
      </c>
      <c r="DW73" s="5">
        <f t="shared" si="301"/>
        <v>2.8571428571428572</v>
      </c>
      <c r="DX73" s="5">
        <f t="shared" si="262"/>
        <v>1.1278419342139343</v>
      </c>
      <c r="DY73" s="5">
        <f t="shared" si="302"/>
        <v>1.7293009229289229</v>
      </c>
      <c r="DZ73" s="5">
        <f t="shared" si="263"/>
        <v>1.6537271762667658</v>
      </c>
      <c r="EA73" s="173">
        <f t="shared" si="303"/>
        <v>0.39474467697487697</v>
      </c>
      <c r="EB73" s="173">
        <f t="shared" si="264"/>
        <v>69.564000000000021</v>
      </c>
      <c r="EC73" s="173">
        <f t="shared" si="265"/>
        <v>0.42664520888370899</v>
      </c>
      <c r="ED73" s="173">
        <f t="shared" si="304"/>
        <v>163.04882499913677</v>
      </c>
      <c r="EE73" s="460">
        <f t="shared" si="266"/>
        <v>0.27068206421134428</v>
      </c>
      <c r="EF73" s="5">
        <f t="shared" si="267"/>
        <v>15.352871937836813</v>
      </c>
      <c r="EG73" s="5"/>
      <c r="EH73" s="173">
        <f t="shared" si="305"/>
        <v>10.227883216101503</v>
      </c>
      <c r="EI73" s="173">
        <f t="shared" si="268"/>
        <v>0.63323794738530836</v>
      </c>
      <c r="EJ73" s="173"/>
      <c r="EK73" s="528">
        <f t="shared" si="269"/>
        <v>4.1843838032884335</v>
      </c>
      <c r="EL73" s="528">
        <f t="shared" si="270"/>
        <v>5.7059109479602927</v>
      </c>
      <c r="EM73" s="528">
        <f t="shared" si="271"/>
        <v>6.9999999999999993E-2</v>
      </c>
      <c r="EN73" s="528">
        <f t="shared" si="272"/>
        <v>3.094354375E-2</v>
      </c>
      <c r="EO73">
        <f t="shared" si="273"/>
        <v>5.6249999999999998E-3</v>
      </c>
      <c r="EP73" s="460">
        <f t="shared" si="306"/>
        <v>75.625</v>
      </c>
      <c r="EQ73" s="528">
        <f t="shared" si="274"/>
        <v>1921.5651593313332</v>
      </c>
      <c r="ER73" s="460">
        <f t="shared" si="307"/>
        <v>1921565.1593313331</v>
      </c>
      <c r="ES73" s="528">
        <f t="shared" si="308"/>
        <v>0.35414400000000001</v>
      </c>
      <c r="ET73" s="528"/>
      <c r="EV73" s="460">
        <f t="shared" si="309"/>
        <v>354.14400000000001</v>
      </c>
      <c r="EW73" s="528">
        <f t="shared" si="275"/>
        <v>3.1382878524663247</v>
      </c>
      <c r="EX73" s="528">
        <f t="shared" si="276"/>
        <v>1.2029708940262757E-2</v>
      </c>
      <c r="EY73" s="528">
        <f t="shared" si="277"/>
        <v>483.73858728771199</v>
      </c>
      <c r="EZ73" s="528">
        <f t="shared" si="278"/>
        <v>651.95393569059365</v>
      </c>
      <c r="FA73" s="528">
        <f t="shared" si="279"/>
        <v>6.9564000000000012</v>
      </c>
      <c r="FB73" s="460">
        <f t="shared" si="310"/>
        <v>658910.3356905937</v>
      </c>
      <c r="FC73" s="173">
        <f t="shared" si="311"/>
        <v>2580.8296390219266</v>
      </c>
      <c r="FD73" s="5">
        <f t="shared" si="312"/>
        <v>69.36</v>
      </c>
      <c r="FE73" s="173">
        <f t="shared" si="313"/>
        <v>2.617171200835192E-2</v>
      </c>
      <c r="FF73" s="5">
        <f t="shared" si="314"/>
        <v>2.6171712008351919</v>
      </c>
      <c r="FI73" s="562">
        <f t="shared" si="280"/>
        <v>-50</v>
      </c>
      <c r="FJ73">
        <f t="shared" si="281"/>
        <v>-50</v>
      </c>
      <c r="FL73">
        <f t="shared" si="282"/>
        <v>0.57880451169336811</v>
      </c>
    </row>
    <row r="74" spans="5:168">
      <c r="E74" s="170">
        <v>69</v>
      </c>
      <c r="F74" s="217">
        <f t="shared" si="283"/>
        <v>0.41399999999999998</v>
      </c>
      <c r="G74" s="217"/>
      <c r="H74" s="217">
        <f t="shared" si="183"/>
        <v>70.38</v>
      </c>
      <c r="I74" s="541">
        <f t="shared" si="184"/>
        <v>11.507367137356415</v>
      </c>
      <c r="J74" s="172">
        <f t="shared" si="185"/>
        <v>8.5260635352099765</v>
      </c>
      <c r="K74" s="172">
        <f t="shared" si="186"/>
        <v>21.026063535209978</v>
      </c>
      <c r="L74" s="443"/>
      <c r="M74" s="217">
        <f t="shared" si="187"/>
        <v>0.42559183059011013</v>
      </c>
      <c r="N74" s="172">
        <f t="shared" si="188"/>
        <v>165.08458871730559</v>
      </c>
      <c r="O74" s="172">
        <f t="shared" si="284"/>
        <v>70.38</v>
      </c>
      <c r="P74" s="217">
        <f t="shared" si="189"/>
        <v>0.97108581598415056</v>
      </c>
      <c r="Q74" s="217">
        <f t="shared" si="190"/>
        <v>170</v>
      </c>
      <c r="R74" s="217">
        <f t="shared" si="191"/>
        <v>0.96028263632548849</v>
      </c>
      <c r="S74" s="172">
        <f t="shared" si="192"/>
        <v>696.53684023608469</v>
      </c>
      <c r="T74" s="172">
        <f t="shared" si="193"/>
        <v>170</v>
      </c>
      <c r="U74" s="217">
        <f t="shared" si="194"/>
        <v>28.829673535132134</v>
      </c>
      <c r="V74" s="217">
        <f t="shared" si="195"/>
        <v>1.2526615858784169</v>
      </c>
      <c r="W74" s="217">
        <f t="shared" si="196"/>
        <v>1.6906790229790449</v>
      </c>
      <c r="X74" s="197">
        <f t="shared" si="197"/>
        <v>350</v>
      </c>
      <c r="Y74" s="443">
        <f t="shared" si="198"/>
        <v>318.13287977196933</v>
      </c>
      <c r="AA74" s="217">
        <f t="shared" si="199"/>
        <v>27.985376740559289</v>
      </c>
      <c r="AB74" s="173">
        <f t="shared" si="200"/>
        <v>1.641166326346762</v>
      </c>
      <c r="AC74" s="173">
        <f t="shared" si="201"/>
        <v>0.40187575694642086</v>
      </c>
      <c r="AD74" s="173"/>
      <c r="AE74" s="173">
        <f t="shared" si="202"/>
        <v>0.78191613739862686</v>
      </c>
      <c r="AF74" s="545">
        <f t="shared" si="203"/>
        <v>1588.4056366096186</v>
      </c>
      <c r="AG74" s="528">
        <f t="shared" si="204"/>
        <v>9.1223549363173131E-2</v>
      </c>
      <c r="AI74" s="173">
        <f t="shared" si="205"/>
        <v>28.404387200680027</v>
      </c>
      <c r="AJ74" s="173">
        <f t="shared" si="206"/>
        <v>28.829673535132134</v>
      </c>
      <c r="AK74" s="173">
        <f t="shared" si="207"/>
        <v>12.678770519850962</v>
      </c>
      <c r="AM74" s="545">
        <f t="shared" si="208"/>
        <v>414</v>
      </c>
      <c r="AN74" s="460">
        <f t="shared" si="209"/>
        <v>318.13287977196933</v>
      </c>
      <c r="AP74">
        <f t="shared" si="210"/>
        <v>414</v>
      </c>
      <c r="AQ74">
        <f t="shared" si="211"/>
        <v>318.13287977196933</v>
      </c>
      <c r="AS74" s="5">
        <f t="shared" si="285"/>
        <v>3.1433406088574625</v>
      </c>
      <c r="AT74" s="5">
        <f t="shared" si="212"/>
        <v>1.2526615858784169</v>
      </c>
      <c r="AU74" s="5">
        <f t="shared" si="286"/>
        <v>1.8906790229790456</v>
      </c>
      <c r="AV74" s="5">
        <f t="shared" si="213"/>
        <v>1.6906790229790449</v>
      </c>
      <c r="AW74" s="173">
        <f t="shared" si="287"/>
        <v>0.39851283769522283</v>
      </c>
      <c r="AX74" s="173">
        <f t="shared" si="214"/>
        <v>66.10404181146022</v>
      </c>
      <c r="AY74" s="173">
        <f t="shared" si="215"/>
        <v>0.43351696312049404</v>
      </c>
      <c r="AZ74" s="173">
        <f t="shared" si="288"/>
        <v>152.48317236686054</v>
      </c>
      <c r="BA74" s="460">
        <f t="shared" si="216"/>
        <v>0.30505993914921448</v>
      </c>
      <c r="BB74" s="5">
        <f t="shared" si="217"/>
        <v>18.501676437216297</v>
      </c>
      <c r="BC74" s="5"/>
      <c r="BD74" s="173">
        <f t="shared" si="289"/>
        <v>10.507520725557603</v>
      </c>
      <c r="BE74" s="173">
        <f t="shared" si="218"/>
        <v>0.6454495208433102</v>
      </c>
      <c r="BF74" s="173"/>
      <c r="BG74" s="528">
        <f t="shared" si="219"/>
        <v>4.4163196719209035</v>
      </c>
      <c r="BH74" s="528">
        <f t="shared" si="220"/>
        <v>4.3389912245498214</v>
      </c>
      <c r="BI74" s="528">
        <f t="shared" si="221"/>
        <v>0.14643487384002077</v>
      </c>
      <c r="BJ74" s="528">
        <f t="shared" si="222"/>
        <v>2.8129013225033795E-2</v>
      </c>
      <c r="BK74">
        <f t="shared" si="223"/>
        <v>5.1783152118103862E-3</v>
      </c>
      <c r="BL74" s="460">
        <f t="shared" si="290"/>
        <v>151.61318905183117</v>
      </c>
      <c r="BM74" s="528">
        <f t="shared" si="224"/>
        <v>-202.27779770510989</v>
      </c>
      <c r="BN74" s="460">
        <f t="shared" si="291"/>
        <v>-202277.7977051099</v>
      </c>
      <c r="BO74" s="528">
        <f t="shared" si="225"/>
        <v>0.35935199999999995</v>
      </c>
      <c r="BP74" s="528"/>
      <c r="BR74" s="460">
        <f t="shared" si="292"/>
        <v>359.35199999999998</v>
      </c>
      <c r="BS74" s="528">
        <f t="shared" si="226"/>
        <v>3.3122397539406774</v>
      </c>
      <c r="BT74" s="528">
        <f t="shared" si="227"/>
        <v>1.2498152518705763E-2</v>
      </c>
      <c r="BU74" s="528">
        <f t="shared" si="228"/>
        <v>1.0556999999999999</v>
      </c>
      <c r="BV74" s="528">
        <f t="shared" si="229"/>
        <v>7.0548052895066737</v>
      </c>
      <c r="BW74" s="528">
        <f t="shared" si="230"/>
        <v>6.6104041811460226</v>
      </c>
      <c r="BX74" s="460">
        <f t="shared" si="293"/>
        <v>13665.209470652697</v>
      </c>
      <c r="BY74" s="173">
        <f t="shared" si="231"/>
        <v>-188.10162304540538</v>
      </c>
      <c r="BZ74" s="5">
        <f t="shared" si="294"/>
        <v>70.38</v>
      </c>
      <c r="CA74" s="173">
        <f t="shared" si="295"/>
        <v>-0.59785108444227231</v>
      </c>
      <c r="CB74" s="5">
        <f t="shared" si="296"/>
        <v>-59.785108444227234</v>
      </c>
      <c r="CE74" s="562">
        <f t="shared" si="232"/>
        <v>-50</v>
      </c>
      <c r="CF74">
        <f t="shared" si="233"/>
        <v>-50</v>
      </c>
      <c r="CG74" s="173">
        <f t="shared" si="234"/>
        <v>0.58390168390799158</v>
      </c>
      <c r="CI74" s="170">
        <v>69</v>
      </c>
      <c r="CJ74" s="217">
        <f t="shared" si="297"/>
        <v>0.41399999999999998</v>
      </c>
      <c r="CK74" s="217"/>
      <c r="CL74" s="217">
        <f t="shared" si="235"/>
        <v>70.38</v>
      </c>
      <c r="CM74" s="541">
        <f t="shared" si="236"/>
        <v>12.5</v>
      </c>
      <c r="CN74" s="172">
        <f t="shared" si="237"/>
        <v>8.5250000000000004</v>
      </c>
      <c r="CO74" s="443">
        <f t="shared" si="238"/>
        <v>21.024999999999999</v>
      </c>
      <c r="CP74" s="443"/>
      <c r="CQ74" s="217">
        <f t="shared" si="239"/>
        <v>0.40546967895362668</v>
      </c>
      <c r="CR74" s="172">
        <f t="shared" si="240"/>
        <v>170.84633868410626</v>
      </c>
      <c r="CS74" s="172">
        <f t="shared" si="298"/>
        <v>70.38</v>
      </c>
      <c r="CT74" s="217">
        <f t="shared" si="241"/>
        <v>1.0049784628476839</v>
      </c>
      <c r="CU74" s="217">
        <f t="shared" si="242"/>
        <v>170</v>
      </c>
      <c r="CV74" s="217">
        <f t="shared" si="243"/>
        <v>0.99379823272947732</v>
      </c>
      <c r="CW74" s="172">
        <f t="shared" si="244"/>
        <v>756.60632613808912</v>
      </c>
      <c r="CX74" s="172">
        <f t="shared" si="245"/>
        <v>170</v>
      </c>
      <c r="CY74" s="217">
        <f t="shared" si="246"/>
        <v>27.77223695014662</v>
      </c>
      <c r="CZ74" s="217">
        <f t="shared" si="247"/>
        <v>1.1108894780058649</v>
      </c>
      <c r="DA74" s="217">
        <f t="shared" si="248"/>
        <v>1.6288702023546402</v>
      </c>
      <c r="DB74" s="197">
        <f t="shared" si="249"/>
        <v>350</v>
      </c>
      <c r="DC74" s="443">
        <f t="shared" si="299"/>
        <v>350</v>
      </c>
      <c r="DE74" s="217">
        <f t="shared" si="250"/>
        <v>28.962119925259049</v>
      </c>
      <c r="DF74" s="173">
        <f t="shared" si="251"/>
        <v>1.6986580601324954</v>
      </c>
      <c r="DG74" s="173">
        <f t="shared" si="252"/>
        <v>0.4304714614336958</v>
      </c>
      <c r="DH74" s="173"/>
      <c r="DI74" s="173">
        <f t="shared" si="253"/>
        <v>0.78201368523949166</v>
      </c>
      <c r="DJ74" s="545">
        <f t="shared" si="300"/>
        <v>1588.2074999999998</v>
      </c>
      <c r="DK74" s="528">
        <f t="shared" si="254"/>
        <v>9.1234929944607357E-2</v>
      </c>
      <c r="DM74" s="173">
        <f t="shared" si="255"/>
        <v>28.402615573720873</v>
      </c>
      <c r="DN74" s="173">
        <f t="shared" si="256"/>
        <v>28.402615573720873</v>
      </c>
      <c r="DO74" s="173">
        <f t="shared" si="257"/>
        <v>12.362431289175955</v>
      </c>
      <c r="DQ74" s="545">
        <f t="shared" si="258"/>
        <v>414</v>
      </c>
      <c r="DR74" s="460">
        <f t="shared" si="259"/>
        <v>350</v>
      </c>
      <c r="DT74">
        <f t="shared" si="260"/>
        <v>414</v>
      </c>
      <c r="DU74">
        <f t="shared" si="261"/>
        <v>350</v>
      </c>
      <c r="DW74" s="5">
        <f t="shared" si="301"/>
        <v>2.8571428571428572</v>
      </c>
      <c r="DX74" s="5">
        <f t="shared" si="262"/>
        <v>1.136104622948835</v>
      </c>
      <c r="DY74" s="5">
        <f t="shared" si="302"/>
        <v>1.7210382341940222</v>
      </c>
      <c r="DZ74" s="5">
        <f t="shared" si="263"/>
        <v>1.6658425556434528</v>
      </c>
      <c r="EA74" s="173">
        <f t="shared" si="303"/>
        <v>0.39763661803209222</v>
      </c>
      <c r="EB74" s="173">
        <f t="shared" si="264"/>
        <v>70.587000000000003</v>
      </c>
      <c r="EC74" s="173">
        <f t="shared" si="265"/>
        <v>0.42771738934302178</v>
      </c>
      <c r="ED74" s="173">
        <f t="shared" si="304"/>
        <v>165.03186860936924</v>
      </c>
      <c r="EE74" s="460">
        <f t="shared" si="266"/>
        <v>0.27667489052989275</v>
      </c>
      <c r="EF74" s="5">
        <f t="shared" si="267"/>
        <v>15.504213878089635</v>
      </c>
      <c r="EG74" s="5"/>
      <c r="EH74" s="173">
        <f t="shared" si="305"/>
        <v>10.340484644998636</v>
      </c>
      <c r="EI74" s="173">
        <f t="shared" si="268"/>
        <v>0.63635138573237315</v>
      </c>
      <c r="EJ74" s="173"/>
      <c r="EK74" s="528">
        <f t="shared" si="269"/>
        <v>4.2770249077381024</v>
      </c>
      <c r="EL74" s="528">
        <f t="shared" si="270"/>
        <v>5.7477130522107576</v>
      </c>
      <c r="EM74" s="528">
        <f t="shared" si="271"/>
        <v>6.9999999999999993E-2</v>
      </c>
      <c r="EN74" s="528">
        <f t="shared" si="272"/>
        <v>3.094354375E-2</v>
      </c>
      <c r="EO74">
        <f t="shared" si="273"/>
        <v>5.6249999999999998E-3</v>
      </c>
      <c r="EP74" s="460">
        <f t="shared" si="306"/>
        <v>75.625</v>
      </c>
      <c r="EQ74" s="528">
        <f t="shared" si="274"/>
        <v>-695.76604856211202</v>
      </c>
      <c r="ER74" s="460">
        <f t="shared" si="307"/>
        <v>-695766.04856211203</v>
      </c>
      <c r="ES74" s="528">
        <f t="shared" si="308"/>
        <v>0.35935199999999995</v>
      </c>
      <c r="ET74" s="528"/>
      <c r="EV74" s="460">
        <f t="shared" si="309"/>
        <v>359.35199999999998</v>
      </c>
      <c r="EW74" s="528">
        <f t="shared" si="275"/>
        <v>3.2077686808035768</v>
      </c>
      <c r="EX74" s="528">
        <f t="shared" si="276"/>
        <v>1.2148292583705346E-2</v>
      </c>
      <c r="EY74" s="528">
        <f t="shared" si="277"/>
        <v>492.64712707238311</v>
      </c>
      <c r="EZ74" s="528">
        <f t="shared" si="278"/>
        <v>668.95929526594387</v>
      </c>
      <c r="FA74" s="528">
        <f t="shared" si="279"/>
        <v>7.0587000000000009</v>
      </c>
      <c r="FB74" s="460">
        <f t="shared" si="310"/>
        <v>676017.99526594393</v>
      </c>
      <c r="FC74" s="173">
        <f t="shared" si="311"/>
        <v>-19.388701296168207</v>
      </c>
      <c r="FD74" s="5">
        <f t="shared" si="312"/>
        <v>70.38</v>
      </c>
      <c r="FE74" s="173">
        <f t="shared" si="313"/>
        <v>1.3802354870147919</v>
      </c>
      <c r="FF74" s="5">
        <f t="shared" si="314"/>
        <v>138.0235487014792</v>
      </c>
      <c r="FI74" s="562">
        <f t="shared" si="280"/>
        <v>-50</v>
      </c>
      <c r="FJ74">
        <f t="shared" si="281"/>
        <v>-50</v>
      </c>
      <c r="FL74">
        <f t="shared" si="282"/>
        <v>0.58304489447520846</v>
      </c>
    </row>
    <row r="75" spans="5:168">
      <c r="E75" s="170">
        <v>70</v>
      </c>
      <c r="F75" s="217">
        <f t="shared" si="283"/>
        <v>0.42</v>
      </c>
      <c r="G75" s="217"/>
      <c r="H75" s="217">
        <f t="shared" si="183"/>
        <v>71.399999999999991</v>
      </c>
      <c r="I75" s="541">
        <f t="shared" si="184"/>
        <v>11.489677393326055</v>
      </c>
      <c r="J75" s="172">
        <f t="shared" si="185"/>
        <v>8.52608248850715</v>
      </c>
      <c r="K75" s="172">
        <f t="shared" si="186"/>
        <v>21.02608248850715</v>
      </c>
      <c r="L75" s="443"/>
      <c r="M75" s="217">
        <f t="shared" si="187"/>
        <v>0.42596818560401406</v>
      </c>
      <c r="N75" s="172">
        <f t="shared" si="188"/>
        <v>164.97657330083922</v>
      </c>
      <c r="O75" s="172">
        <f t="shared" si="284"/>
        <v>71.399999999999991</v>
      </c>
      <c r="P75" s="217">
        <f t="shared" si="189"/>
        <v>0.97045043118140717</v>
      </c>
      <c r="Q75" s="217">
        <f t="shared" si="190"/>
        <v>170</v>
      </c>
      <c r="R75" s="217">
        <f t="shared" si="191"/>
        <v>0.95965432008050144</v>
      </c>
      <c r="S75" s="172">
        <f t="shared" si="192"/>
        <v>682.25389465255978</v>
      </c>
      <c r="T75" s="172">
        <f t="shared" si="193"/>
        <v>170</v>
      </c>
      <c r="U75" s="217">
        <f t="shared" si="194"/>
        <v>29.266670554971739</v>
      </c>
      <c r="V75" s="217">
        <f t="shared" si="195"/>
        <v>1.2736071498391985</v>
      </c>
      <c r="W75" s="217">
        <f t="shared" si="196"/>
        <v>1.7163023343031309</v>
      </c>
      <c r="X75" s="197">
        <f t="shared" si="197"/>
        <v>350</v>
      </c>
      <c r="Y75" s="443">
        <f t="shared" si="198"/>
        <v>313.48851902262356</v>
      </c>
      <c r="AA75" s="217">
        <f t="shared" si="199"/>
        <v>27.967087021190284</v>
      </c>
      <c r="AB75" s="173">
        <f t="shared" si="200"/>
        <v>1.6400901034495563</v>
      </c>
      <c r="AC75" s="173">
        <f t="shared" si="201"/>
        <v>0.40134974815045876</v>
      </c>
      <c r="AD75" s="173"/>
      <c r="AE75" s="173">
        <f t="shared" si="202"/>
        <v>0.78191439921594608</v>
      </c>
      <c r="AF75" s="545">
        <f t="shared" si="203"/>
        <v>1611.429590327851</v>
      </c>
      <c r="AG75" s="528">
        <f t="shared" si="204"/>
        <v>9.1223346575193723E-2</v>
      </c>
      <c r="AI75" s="173">
        <f t="shared" si="205"/>
        <v>28.609507491333829</v>
      </c>
      <c r="AJ75" s="173">
        <f t="shared" si="206"/>
        <v>29.266670554971739</v>
      </c>
      <c r="AK75" s="173">
        <f t="shared" si="207"/>
        <v>13.002472016028447</v>
      </c>
      <c r="AM75" s="545">
        <f t="shared" si="208"/>
        <v>420</v>
      </c>
      <c r="AN75" s="460">
        <f t="shared" si="209"/>
        <v>313.48851902262356</v>
      </c>
      <c r="AP75">
        <f t="shared" si="210"/>
        <v>420</v>
      </c>
      <c r="AQ75">
        <f t="shared" si="211"/>
        <v>313.48851902262356</v>
      </c>
      <c r="AS75" s="5">
        <f t="shared" si="285"/>
        <v>3.1899094841423294</v>
      </c>
      <c r="AT75" s="5">
        <f t="shared" si="212"/>
        <v>1.2736071498391985</v>
      </c>
      <c r="AU75" s="5">
        <f t="shared" si="286"/>
        <v>1.9163023343031309</v>
      </c>
      <c r="AV75" s="5">
        <f t="shared" si="213"/>
        <v>1.7163023343031309</v>
      </c>
      <c r="AW75" s="173">
        <f t="shared" si="287"/>
        <v>0.39926121921971497</v>
      </c>
      <c r="AX75" s="173">
        <f t="shared" si="214"/>
        <v>67.128707697763005</v>
      </c>
      <c r="AY75" s="173">
        <f t="shared" si="215"/>
        <v>0.4395405996672998</v>
      </c>
      <c r="AZ75" s="173">
        <f t="shared" si="288"/>
        <v>152.72470335749313</v>
      </c>
      <c r="BA75" s="460">
        <f t="shared" si="216"/>
        <v>0.31465588407791967</v>
      </c>
      <c r="BB75" s="5">
        <f t="shared" si="217"/>
        <v>19.053483503196667</v>
      </c>
      <c r="BC75" s="5"/>
      <c r="BD75" s="173">
        <f t="shared" si="289"/>
        <v>10.67680364674351</v>
      </c>
      <c r="BE75" s="173">
        <f t="shared" si="218"/>
        <v>0.65482542014386269</v>
      </c>
      <c r="BF75" s="173"/>
      <c r="BG75" s="528">
        <f t="shared" si="219"/>
        <v>4.5597654444446203</v>
      </c>
      <c r="BH75" s="528">
        <f t="shared" si="220"/>
        <v>4.3404608271857175</v>
      </c>
      <c r="BI75" s="528">
        <f t="shared" si="221"/>
        <v>0.14407527800326014</v>
      </c>
      <c r="BJ75" s="528">
        <f t="shared" si="222"/>
        <v>2.7718413140639529E-2</v>
      </c>
      <c r="BK75">
        <f t="shared" si="223"/>
        <v>5.1703548269967248E-3</v>
      </c>
      <c r="BL75" s="460">
        <f t="shared" si="290"/>
        <v>149.24563283025688</v>
      </c>
      <c r="BM75" s="528">
        <f t="shared" si="224"/>
        <v>-121.81113326719948</v>
      </c>
      <c r="BN75" s="460">
        <f t="shared" si="291"/>
        <v>-121811.13326719948</v>
      </c>
      <c r="BO75" s="528">
        <f t="shared" si="225"/>
        <v>0.36456</v>
      </c>
      <c r="BP75" s="528"/>
      <c r="BR75" s="460">
        <f t="shared" si="292"/>
        <v>364.56</v>
      </c>
      <c r="BS75" s="528">
        <f t="shared" si="226"/>
        <v>3.4198240833334652</v>
      </c>
      <c r="BT75" s="528">
        <f t="shared" si="227"/>
        <v>1.2863889925997589E-2</v>
      </c>
      <c r="BU75" s="528">
        <f t="shared" si="228"/>
        <v>1.0709999999999997</v>
      </c>
      <c r="BV75" s="528">
        <f t="shared" si="229"/>
        <v>7.344421741429862</v>
      </c>
      <c r="BW75" s="528">
        <f t="shared" si="230"/>
        <v>6.7128707697763028</v>
      </c>
      <c r="BX75" s="460">
        <f t="shared" si="293"/>
        <v>14057.292511206164</v>
      </c>
      <c r="BY75" s="173">
        <f t="shared" si="231"/>
        <v>-107.24003512316305</v>
      </c>
      <c r="BZ75" s="5">
        <f t="shared" si="294"/>
        <v>71.399999999999991</v>
      </c>
      <c r="CA75" s="173">
        <f t="shared" si="295"/>
        <v>-1.9921855476602162</v>
      </c>
      <c r="CB75" s="5">
        <f t="shared" si="296"/>
        <v>-199.21855476602161</v>
      </c>
      <c r="CE75" s="562">
        <f t="shared" si="232"/>
        <v>-50</v>
      </c>
      <c r="CF75">
        <f t="shared" si="233"/>
        <v>-50</v>
      </c>
      <c r="CG75" s="173">
        <f t="shared" si="234"/>
        <v>0.58199232217097274</v>
      </c>
      <c r="CI75" s="170">
        <v>70</v>
      </c>
      <c r="CJ75" s="217">
        <f t="shared" si="297"/>
        <v>0.42</v>
      </c>
      <c r="CK75" s="217"/>
      <c r="CL75" s="217">
        <f t="shared" si="235"/>
        <v>71.399999999999991</v>
      </c>
      <c r="CM75" s="541">
        <f t="shared" si="236"/>
        <v>12.5</v>
      </c>
      <c r="CN75" s="172">
        <f t="shared" si="237"/>
        <v>8.5250000000000004</v>
      </c>
      <c r="CO75" s="443">
        <f t="shared" si="238"/>
        <v>21.024999999999999</v>
      </c>
      <c r="CP75" s="443"/>
      <c r="CQ75" s="217">
        <f t="shared" si="239"/>
        <v>0.40546967895362668</v>
      </c>
      <c r="CR75" s="172">
        <f t="shared" si="240"/>
        <v>170.84633868410626</v>
      </c>
      <c r="CS75" s="172">
        <f t="shared" si="298"/>
        <v>71.399999999999991</v>
      </c>
      <c r="CT75" s="217">
        <f t="shared" si="241"/>
        <v>1.0049784628476839</v>
      </c>
      <c r="CU75" s="217">
        <f t="shared" si="242"/>
        <v>170</v>
      </c>
      <c r="CV75" s="217">
        <f t="shared" si="243"/>
        <v>0.99379823272947732</v>
      </c>
      <c r="CW75" s="172">
        <f t="shared" si="244"/>
        <v>742.23178969358503</v>
      </c>
      <c r="CX75" s="172">
        <f t="shared" si="245"/>
        <v>170</v>
      </c>
      <c r="CY75" s="217">
        <f t="shared" si="246"/>
        <v>28.174733137829904</v>
      </c>
      <c r="CZ75" s="217">
        <f t="shared" si="247"/>
        <v>1.1269893255131962</v>
      </c>
      <c r="DA75" s="217">
        <f t="shared" si="248"/>
        <v>1.6524770168815193</v>
      </c>
      <c r="DB75" s="197">
        <f t="shared" si="249"/>
        <v>350</v>
      </c>
      <c r="DC75" s="443">
        <f t="shared" si="299"/>
        <v>350</v>
      </c>
      <c r="DE75" s="217">
        <f t="shared" si="250"/>
        <v>28.962119925259049</v>
      </c>
      <c r="DF75" s="173">
        <f t="shared" si="251"/>
        <v>1.6986580601324954</v>
      </c>
      <c r="DG75" s="173">
        <f t="shared" si="252"/>
        <v>0.4304714614336958</v>
      </c>
      <c r="DH75" s="173"/>
      <c r="DI75" s="173">
        <f t="shared" si="253"/>
        <v>0.78201368523949166</v>
      </c>
      <c r="DJ75" s="545">
        <f t="shared" si="300"/>
        <v>1611.2249999999999</v>
      </c>
      <c r="DK75" s="528">
        <f t="shared" si="254"/>
        <v>9.1234929944607357E-2</v>
      </c>
      <c r="DM75" s="173">
        <f t="shared" si="255"/>
        <v>28.607691273501956</v>
      </c>
      <c r="DN75" s="173">
        <f t="shared" si="256"/>
        <v>28.607691273501956</v>
      </c>
      <c r="DO75" s="173">
        <f t="shared" si="257"/>
        <v>12.514339214939721</v>
      </c>
      <c r="DQ75" s="545">
        <f t="shared" si="258"/>
        <v>420</v>
      </c>
      <c r="DR75" s="460">
        <f t="shared" si="259"/>
        <v>350</v>
      </c>
      <c r="DT75">
        <f t="shared" si="260"/>
        <v>420</v>
      </c>
      <c r="DU75">
        <f t="shared" si="261"/>
        <v>350</v>
      </c>
      <c r="DW75" s="5">
        <f t="shared" si="301"/>
        <v>2.8571428571428572</v>
      </c>
      <c r="DX75" s="5">
        <f t="shared" si="262"/>
        <v>1.1443076509400782</v>
      </c>
      <c r="DY75" s="5">
        <f t="shared" si="302"/>
        <v>1.712835206202779</v>
      </c>
      <c r="DZ75" s="5">
        <f t="shared" si="263"/>
        <v>1.6778704559238682</v>
      </c>
      <c r="EA75" s="173">
        <f t="shared" si="303"/>
        <v>0.40050767782902735</v>
      </c>
      <c r="EB75" s="173">
        <f t="shared" si="264"/>
        <v>71.61</v>
      </c>
      <c r="EC75" s="173">
        <f t="shared" si="265"/>
        <v>0.42875228183754899</v>
      </c>
      <c r="ED75" s="173">
        <f t="shared" si="304"/>
        <v>167.01951927367816</v>
      </c>
      <c r="EE75" s="460">
        <f t="shared" si="266"/>
        <v>0.28271130199696054</v>
      </c>
      <c r="EF75" s="5">
        <f t="shared" si="267"/>
        <v>15.653943516528438</v>
      </c>
      <c r="EG75" s="5"/>
      <c r="EH75" s="173">
        <f t="shared" si="305"/>
        <v>10.452678819889123</v>
      </c>
      <c r="EI75" s="173">
        <f t="shared" si="268"/>
        <v>0.63941673712892699</v>
      </c>
      <c r="EJ75" s="173"/>
      <c r="EK75" s="528">
        <f t="shared" si="269"/>
        <v>4.3703397804703465</v>
      </c>
      <c r="EL75" s="528">
        <f t="shared" si="270"/>
        <v>5.7892133243692694</v>
      </c>
      <c r="EM75" s="528">
        <f t="shared" si="271"/>
        <v>6.9999999999999993E-2</v>
      </c>
      <c r="EN75" s="528">
        <f t="shared" si="272"/>
        <v>3.094354375E-2</v>
      </c>
      <c r="EO75">
        <f t="shared" si="273"/>
        <v>5.6249999999999998E-3</v>
      </c>
      <c r="EP75" s="460">
        <f t="shared" si="306"/>
        <v>75.625</v>
      </c>
      <c r="EQ75" s="528">
        <f t="shared" si="274"/>
        <v>-298.13229850616221</v>
      </c>
      <c r="ER75" s="460">
        <f t="shared" si="307"/>
        <v>-298132.29850616219</v>
      </c>
      <c r="ES75" s="528">
        <f t="shared" si="308"/>
        <v>0.36456</v>
      </c>
      <c r="ET75" s="528"/>
      <c r="EV75" s="460">
        <f t="shared" si="309"/>
        <v>364.56</v>
      </c>
      <c r="EW75" s="528">
        <f t="shared" si="275"/>
        <v>3.2777548353527597</v>
      </c>
      <c r="EX75" s="528">
        <f t="shared" si="276"/>
        <v>1.2265612911618099E-2</v>
      </c>
      <c r="EY75" s="528">
        <f t="shared" si="277"/>
        <v>501.58800371154393</v>
      </c>
      <c r="EZ75" s="528">
        <f t="shared" si="278"/>
        <v>686.30395190738864</v>
      </c>
      <c r="FA75" s="528">
        <f t="shared" si="279"/>
        <v>7.1609999999999996</v>
      </c>
      <c r="FB75" s="460">
        <f t="shared" si="310"/>
        <v>693464.95190738863</v>
      </c>
      <c r="FC75" s="173">
        <f t="shared" si="311"/>
        <v>395.69721340122641</v>
      </c>
      <c r="FD75" s="5">
        <f t="shared" si="312"/>
        <v>71.399999999999991</v>
      </c>
      <c r="FE75" s="173">
        <f t="shared" si="313"/>
        <v>0.15285897228992659</v>
      </c>
      <c r="FF75" s="5">
        <f t="shared" si="314"/>
        <v>15.28589722899266</v>
      </c>
      <c r="FI75" s="562">
        <f t="shared" si="280"/>
        <v>-50</v>
      </c>
      <c r="FJ75">
        <f t="shared" si="281"/>
        <v>-50</v>
      </c>
      <c r="FL75">
        <f t="shared" si="282"/>
        <v>0.58725465957335388</v>
      </c>
    </row>
    <row r="76" spans="5:168">
      <c r="E76" s="170">
        <v>71</v>
      </c>
      <c r="F76" s="217">
        <f t="shared" si="283"/>
        <v>0.42599999999999999</v>
      </c>
      <c r="G76" s="217"/>
      <c r="H76" s="217">
        <f t="shared" si="183"/>
        <v>72.42</v>
      </c>
      <c r="I76" s="541">
        <f t="shared" si="184"/>
        <v>11.470200207782128</v>
      </c>
      <c r="J76" s="172">
        <f t="shared" si="185"/>
        <v>8.5261033569202347</v>
      </c>
      <c r="K76" s="172">
        <f t="shared" si="186"/>
        <v>21.026103356920235</v>
      </c>
      <c r="L76" s="443"/>
      <c r="M76" s="217">
        <f t="shared" si="187"/>
        <v>0.42638331502821297</v>
      </c>
      <c r="N76" s="172">
        <f t="shared" si="188"/>
        <v>164.85741286678481</v>
      </c>
      <c r="O76" s="172">
        <f t="shared" si="284"/>
        <v>72.42</v>
      </c>
      <c r="P76" s="217">
        <f t="shared" si="189"/>
        <v>0.96974948745167533</v>
      </c>
      <c r="Q76" s="217">
        <f t="shared" si="190"/>
        <v>170</v>
      </c>
      <c r="R76" s="217">
        <f t="shared" si="191"/>
        <v>0.95896117424145921</v>
      </c>
      <c r="S76" s="172">
        <f t="shared" si="192"/>
        <v>668.27925870062597</v>
      </c>
      <c r="T76" s="172">
        <f t="shared" si="193"/>
        <v>170</v>
      </c>
      <c r="U76" s="217">
        <f t="shared" si="194"/>
        <v>29.706248870424854</v>
      </c>
      <c r="V76" s="217">
        <f t="shared" si="195"/>
        <v>1.2949315762714502</v>
      </c>
      <c r="W76" s="217">
        <f t="shared" si="196"/>
        <v>1.7420765164847372</v>
      </c>
      <c r="X76" s="197">
        <f t="shared" si="197"/>
        <v>350</v>
      </c>
      <c r="Y76" s="443">
        <f t="shared" si="198"/>
        <v>308.92724742882513</v>
      </c>
      <c r="AA76" s="217">
        <f t="shared" si="199"/>
        <v>27.946911624991923</v>
      </c>
      <c r="AB76" s="173">
        <f t="shared" si="200"/>
        <v>1.6389029346160069</v>
      </c>
      <c r="AC76" s="173">
        <f t="shared" si="201"/>
        <v>0.40076991041196774</v>
      </c>
      <c r="AD76" s="173"/>
      <c r="AE76" s="173">
        <f t="shared" si="202"/>
        <v>0.7819124854093692</v>
      </c>
      <c r="AF76" s="545">
        <f t="shared" si="203"/>
        <v>1634.4540135216091</v>
      </c>
      <c r="AG76" s="528">
        <f t="shared" si="204"/>
        <v>9.1223123297759723E-2</v>
      </c>
      <c r="AI76" s="173">
        <f t="shared" si="205"/>
        <v>28.813171710364969</v>
      </c>
      <c r="AJ76" s="173">
        <f t="shared" si="206"/>
        <v>29.706248870424854</v>
      </c>
      <c r="AK76" s="173">
        <f t="shared" si="207"/>
        <v>13.328085583030756</v>
      </c>
      <c r="AM76" s="545">
        <f t="shared" si="208"/>
        <v>426</v>
      </c>
      <c r="AN76" s="460">
        <f t="shared" si="209"/>
        <v>308.92724742882513</v>
      </c>
      <c r="AP76">
        <f t="shared" si="210"/>
        <v>426</v>
      </c>
      <c r="AQ76">
        <f t="shared" si="211"/>
        <v>308.92724742882513</v>
      </c>
      <c r="AS76" s="5">
        <f t="shared" si="285"/>
        <v>3.2370080927561871</v>
      </c>
      <c r="AT76" s="5">
        <f t="shared" si="212"/>
        <v>1.2949315762714502</v>
      </c>
      <c r="AU76" s="5">
        <f t="shared" si="286"/>
        <v>1.9420765164847369</v>
      </c>
      <c r="AV76" s="5">
        <f t="shared" si="213"/>
        <v>1.7420765164847372</v>
      </c>
      <c r="AW76" s="173">
        <f t="shared" si="287"/>
        <v>0.40003964746620885</v>
      </c>
      <c r="AX76" s="173">
        <f t="shared" si="214"/>
        <v>68.154079065047711</v>
      </c>
      <c r="AY76" s="173">
        <f t="shared" si="215"/>
        <v>0.44556428861891578</v>
      </c>
      <c r="AZ76" s="173">
        <f t="shared" si="288"/>
        <v>152.96126912751492</v>
      </c>
      <c r="BA76" s="460">
        <f t="shared" si="216"/>
        <v>0.32449461852449279</v>
      </c>
      <c r="BB76" s="5">
        <f t="shared" si="217"/>
        <v>19.618863319006667</v>
      </c>
      <c r="BC76" s="5"/>
      <c r="BD76" s="173">
        <f t="shared" si="289"/>
        <v>10.847725969561932</v>
      </c>
      <c r="BE76" s="173">
        <f t="shared" si="218"/>
        <v>0.66422997135749406</v>
      </c>
      <c r="BF76" s="173"/>
      <c r="BG76" s="528">
        <f t="shared" si="219"/>
        <v>4.7069263484283344</v>
      </c>
      <c r="BH76" s="528">
        <f t="shared" si="220"/>
        <v>4.3415553582050794</v>
      </c>
      <c r="BI76" s="528">
        <f t="shared" si="221"/>
        <v>0.14173829510590683</v>
      </c>
      <c r="BJ76" s="528">
        <f t="shared" si="222"/>
        <v>2.7315163243812831E-2</v>
      </c>
      <c r="BK76">
        <f t="shared" si="223"/>
        <v>5.1615900935019577E-3</v>
      </c>
      <c r="BL76" s="460">
        <f t="shared" si="290"/>
        <v>146.89988519940877</v>
      </c>
      <c r="BM76" s="528">
        <f t="shared" si="224"/>
        <v>-87.412712890318389</v>
      </c>
      <c r="BN76" s="460">
        <f t="shared" si="291"/>
        <v>-87412.712890318391</v>
      </c>
      <c r="BO76" s="528">
        <f t="shared" si="225"/>
        <v>0.36976799999999993</v>
      </c>
      <c r="BP76" s="528"/>
      <c r="BR76" s="460">
        <f t="shared" si="292"/>
        <v>369.76799999999992</v>
      </c>
      <c r="BS76" s="528">
        <f t="shared" si="226"/>
        <v>3.5301947613212503</v>
      </c>
      <c r="BT76" s="528">
        <f t="shared" si="227"/>
        <v>1.3236043645487321E-2</v>
      </c>
      <c r="BU76" s="528">
        <f t="shared" si="228"/>
        <v>1.0863</v>
      </c>
      <c r="BV76" s="528">
        <f t="shared" si="229"/>
        <v>7.6482329322003331</v>
      </c>
      <c r="BW76" s="528">
        <f t="shared" si="230"/>
        <v>6.8154079065047721</v>
      </c>
      <c r="BX76" s="460">
        <f t="shared" si="293"/>
        <v>14463.640838705105</v>
      </c>
      <c r="BY76" s="173">
        <f t="shared" si="231"/>
        <v>-72.432404166413875</v>
      </c>
      <c r="BZ76" s="5">
        <f t="shared" si="294"/>
        <v>72.42</v>
      </c>
      <c r="CA76" s="173">
        <f t="shared" si="295"/>
        <v>-5838.3608848559552</v>
      </c>
      <c r="CB76" s="5">
        <f t="shared" si="296"/>
        <v>-583836.08848559554</v>
      </c>
      <c r="CE76" s="562">
        <f t="shared" si="232"/>
        <v>-50</v>
      </c>
      <c r="CF76">
        <f t="shared" si="233"/>
        <v>-50</v>
      </c>
      <c r="CG76" s="173">
        <f t="shared" si="234"/>
        <v>0.57914169774256552</v>
      </c>
      <c r="CI76" s="170">
        <v>71</v>
      </c>
      <c r="CJ76" s="217">
        <f t="shared" si="297"/>
        <v>0.42599999999999999</v>
      </c>
      <c r="CK76" s="217"/>
      <c r="CL76" s="217">
        <f t="shared" si="235"/>
        <v>72.42</v>
      </c>
      <c r="CM76" s="541">
        <f t="shared" si="236"/>
        <v>12.5</v>
      </c>
      <c r="CN76" s="172">
        <f t="shared" si="237"/>
        <v>8.5250000000000004</v>
      </c>
      <c r="CO76" s="443">
        <f t="shared" si="238"/>
        <v>21.024999999999999</v>
      </c>
      <c r="CP76" s="443"/>
      <c r="CQ76" s="217">
        <f t="shared" si="239"/>
        <v>0.40546967895362668</v>
      </c>
      <c r="CR76" s="172">
        <f t="shared" si="240"/>
        <v>170.84633868410626</v>
      </c>
      <c r="CS76" s="172">
        <f t="shared" si="298"/>
        <v>72.42</v>
      </c>
      <c r="CT76" s="217">
        <f t="shared" si="241"/>
        <v>1.0049784628476839</v>
      </c>
      <c r="CU76" s="217">
        <f t="shared" si="242"/>
        <v>170</v>
      </c>
      <c r="CV76" s="217">
        <f t="shared" si="243"/>
        <v>0.99379823272947732</v>
      </c>
      <c r="CW76" s="172">
        <f t="shared" si="244"/>
        <v>728.26229051700034</v>
      </c>
      <c r="CX76" s="172">
        <f t="shared" si="245"/>
        <v>170</v>
      </c>
      <c r="CY76" s="217">
        <f t="shared" si="246"/>
        <v>28.577229325513194</v>
      </c>
      <c r="CZ76" s="217">
        <f t="shared" si="247"/>
        <v>1.1430891730205277</v>
      </c>
      <c r="DA76" s="217">
        <f t="shared" si="248"/>
        <v>1.6760838314083986</v>
      </c>
      <c r="DB76" s="197">
        <f t="shared" si="249"/>
        <v>350</v>
      </c>
      <c r="DC76" s="443">
        <f t="shared" si="299"/>
        <v>350</v>
      </c>
      <c r="DE76" s="217">
        <f t="shared" si="250"/>
        <v>28.962119925259049</v>
      </c>
      <c r="DF76" s="173">
        <f t="shared" si="251"/>
        <v>1.6986580601324954</v>
      </c>
      <c r="DG76" s="173">
        <f t="shared" si="252"/>
        <v>0.4304714614336958</v>
      </c>
      <c r="DH76" s="173"/>
      <c r="DI76" s="173">
        <f t="shared" si="253"/>
        <v>0.78201368523949166</v>
      </c>
      <c r="DJ76" s="545">
        <f t="shared" si="300"/>
        <v>1634.2425000000001</v>
      </c>
      <c r="DK76" s="528">
        <f t="shared" si="254"/>
        <v>9.1234929944607357E-2</v>
      </c>
      <c r="DM76" s="173">
        <f t="shared" si="255"/>
        <v>28.811307304102474</v>
      </c>
      <c r="DN76" s="173">
        <f t="shared" si="256"/>
        <v>28.811307304102474</v>
      </c>
      <c r="DO76" s="173">
        <f t="shared" si="257"/>
        <v>12.665165904273437</v>
      </c>
      <c r="DQ76" s="545">
        <f t="shared" si="258"/>
        <v>426</v>
      </c>
      <c r="DR76" s="460">
        <f t="shared" si="259"/>
        <v>350</v>
      </c>
      <c r="DT76">
        <f t="shared" si="260"/>
        <v>426</v>
      </c>
      <c r="DU76">
        <f t="shared" si="261"/>
        <v>350</v>
      </c>
      <c r="DW76" s="5">
        <f t="shared" si="301"/>
        <v>2.8571428571428572</v>
      </c>
      <c r="DX76" s="5">
        <f t="shared" si="262"/>
        <v>1.1524522921640987</v>
      </c>
      <c r="DY76" s="5">
        <f t="shared" si="302"/>
        <v>1.7046905649787585</v>
      </c>
      <c r="DZ76" s="5">
        <f t="shared" si="263"/>
        <v>1.6898127451086493</v>
      </c>
      <c r="EA76" s="173">
        <f t="shared" si="303"/>
        <v>0.40335830225743452</v>
      </c>
      <c r="EB76" s="173">
        <f t="shared" si="264"/>
        <v>72.632999999999996</v>
      </c>
      <c r="EC76" s="173">
        <f t="shared" si="265"/>
        <v>0.42975068260256194</v>
      </c>
      <c r="ED76" s="173">
        <f t="shared" si="304"/>
        <v>169.01194795116072</v>
      </c>
      <c r="EE76" s="460">
        <f t="shared" si="266"/>
        <v>0.28879098615406235</v>
      </c>
      <c r="EF76" s="5">
        <f t="shared" si="267"/>
        <v>15.802072411617498</v>
      </c>
      <c r="EG76" s="5"/>
      <c r="EH76" s="173">
        <f t="shared" si="305"/>
        <v>10.564473000691514</v>
      </c>
      <c r="EI76" s="173">
        <f t="shared" si="268"/>
        <v>0.64243492486555187</v>
      </c>
      <c r="EJ76" s="173"/>
      <c r="EK76" s="528">
        <f t="shared" si="269"/>
        <v>4.4643235912935983</v>
      </c>
      <c r="EL76" s="528">
        <f t="shared" si="270"/>
        <v>5.8304182096617625</v>
      </c>
      <c r="EM76" s="528">
        <f t="shared" si="271"/>
        <v>6.9999999999999993E-2</v>
      </c>
      <c r="EN76" s="528">
        <f t="shared" si="272"/>
        <v>3.094354375E-2</v>
      </c>
      <c r="EO76">
        <f t="shared" si="273"/>
        <v>5.6249999999999998E-3</v>
      </c>
      <c r="EP76" s="460">
        <f t="shared" si="306"/>
        <v>75.625</v>
      </c>
      <c r="EQ76" s="528">
        <f t="shared" si="274"/>
        <v>-191.14047697953373</v>
      </c>
      <c r="ER76" s="460">
        <f t="shared" si="307"/>
        <v>-191140.47697953373</v>
      </c>
      <c r="ES76" s="528">
        <f t="shared" si="308"/>
        <v>0.36976799999999993</v>
      </c>
      <c r="ET76" s="528"/>
      <c r="EV76" s="460">
        <f t="shared" si="309"/>
        <v>369.76799999999992</v>
      </c>
      <c r="EW76" s="528">
        <f t="shared" si="275"/>
        <v>3.3482426934701985</v>
      </c>
      <c r="EX76" s="528">
        <f t="shared" si="276"/>
        <v>1.2381678980610218E-2</v>
      </c>
      <c r="EY76" s="528">
        <f t="shared" si="277"/>
        <v>510.56087009564578</v>
      </c>
      <c r="EZ76" s="528">
        <f t="shared" si="278"/>
        <v>703.99782394040017</v>
      </c>
      <c r="FA76" s="528">
        <f t="shared" si="279"/>
        <v>7.263300000000001</v>
      </c>
      <c r="FB76" s="460">
        <f t="shared" si="310"/>
        <v>711261.12394040008</v>
      </c>
      <c r="FC76" s="173">
        <f t="shared" si="311"/>
        <v>520.49041496086636</v>
      </c>
      <c r="FD76" s="5">
        <f t="shared" si="312"/>
        <v>72.42</v>
      </c>
      <c r="FE76" s="173">
        <f t="shared" si="313"/>
        <v>0.12214324149590106</v>
      </c>
      <c r="FF76" s="5">
        <f t="shared" si="314"/>
        <v>12.214324149590105</v>
      </c>
      <c r="FI76" s="562">
        <f t="shared" si="280"/>
        <v>-50</v>
      </c>
      <c r="FJ76">
        <f t="shared" si="281"/>
        <v>-50</v>
      </c>
      <c r="FL76">
        <f t="shared" si="282"/>
        <v>0.59143446078802719</v>
      </c>
    </row>
    <row r="77" spans="5:168">
      <c r="E77" s="170">
        <v>72</v>
      </c>
      <c r="F77" s="217">
        <f t="shared" si="283"/>
        <v>0.432</v>
      </c>
      <c r="G77" s="217"/>
      <c r="H77" s="217">
        <f t="shared" si="183"/>
        <v>73.44</v>
      </c>
      <c r="I77" s="541">
        <f t="shared" si="184"/>
        <v>11.451894146616418</v>
      </c>
      <c r="J77" s="172">
        <f t="shared" si="185"/>
        <v>8.5261229705571964</v>
      </c>
      <c r="K77" s="172">
        <f t="shared" si="186"/>
        <v>21.026122970557196</v>
      </c>
      <c r="L77" s="443"/>
      <c r="M77" s="217">
        <f t="shared" si="187"/>
        <v>0.42677428817349328</v>
      </c>
      <c r="N77" s="172">
        <f t="shared" si="188"/>
        <v>164.74523099509489</v>
      </c>
      <c r="O77" s="172">
        <f t="shared" si="284"/>
        <v>73.44</v>
      </c>
      <c r="P77" s="217">
        <f t="shared" si="189"/>
        <v>0.96908959408879347</v>
      </c>
      <c r="Q77" s="217">
        <f t="shared" si="190"/>
        <v>170</v>
      </c>
      <c r="R77" s="217">
        <f t="shared" si="191"/>
        <v>0.95830862209027778</v>
      </c>
      <c r="S77" s="172">
        <f t="shared" si="192"/>
        <v>654.77069053040543</v>
      </c>
      <c r="T77" s="172">
        <f t="shared" si="193"/>
        <v>170</v>
      </c>
      <c r="U77" s="217">
        <f t="shared" si="194"/>
        <v>30.145193496187733</v>
      </c>
      <c r="V77" s="217">
        <f t="shared" si="195"/>
        <v>1.3161662651717072</v>
      </c>
      <c r="W77" s="217">
        <f t="shared" si="196"/>
        <v>1.7678136710135728</v>
      </c>
      <c r="X77" s="197">
        <f t="shared" si="197"/>
        <v>350</v>
      </c>
      <c r="Y77" s="443">
        <f t="shared" si="198"/>
        <v>304.50855956252121</v>
      </c>
      <c r="AA77" s="217">
        <f t="shared" si="199"/>
        <v>27.927913299383931</v>
      </c>
      <c r="AB77" s="173">
        <f t="shared" si="200"/>
        <v>1.6377850399194274</v>
      </c>
      <c r="AC77" s="173">
        <f t="shared" si="201"/>
        <v>0.4002242877316059</v>
      </c>
      <c r="AD77" s="173"/>
      <c r="AE77" s="173">
        <f t="shared" si="202"/>
        <v>0.7819106866847112</v>
      </c>
      <c r="AF77" s="545">
        <f t="shared" si="203"/>
        <v>1657.4783054763188</v>
      </c>
      <c r="AG77" s="528">
        <f t="shared" si="204"/>
        <v>9.1222913446549647E-2</v>
      </c>
      <c r="AI77" s="173">
        <f t="shared" si="205"/>
        <v>29.015405261070573</v>
      </c>
      <c r="AJ77" s="173">
        <f t="shared" si="206"/>
        <v>30.145193496187733</v>
      </c>
      <c r="AK77" s="173">
        <f t="shared" si="207"/>
        <v>13.653229750262518</v>
      </c>
      <c r="AM77" s="545">
        <f t="shared" si="208"/>
        <v>432</v>
      </c>
      <c r="AN77" s="460">
        <f t="shared" si="209"/>
        <v>304.50855956252121</v>
      </c>
      <c r="AP77">
        <f t="shared" si="210"/>
        <v>432</v>
      </c>
      <c r="AQ77">
        <f t="shared" si="211"/>
        <v>304.50855956252121</v>
      </c>
      <c r="AS77" s="5">
        <f t="shared" si="285"/>
        <v>3.2839799361852799</v>
      </c>
      <c r="AT77" s="5">
        <f t="shared" si="212"/>
        <v>1.3161662651717072</v>
      </c>
      <c r="AU77" s="5">
        <f t="shared" si="286"/>
        <v>1.9678136710135727</v>
      </c>
      <c r="AV77" s="5">
        <f t="shared" si="213"/>
        <v>1.7678136710135728</v>
      </c>
      <c r="AW77" s="173">
        <f t="shared" si="287"/>
        <v>0.40078389355221994</v>
      </c>
      <c r="AX77" s="173">
        <f t="shared" si="214"/>
        <v>69.179220685053622</v>
      </c>
      <c r="AY77" s="173">
        <f t="shared" si="215"/>
        <v>0.45158713687251395</v>
      </c>
      <c r="AZ77" s="173">
        <f t="shared" si="288"/>
        <v>153.19130027519668</v>
      </c>
      <c r="BA77" s="460">
        <f t="shared" si="216"/>
        <v>0.33446107444363382</v>
      </c>
      <c r="BB77" s="5">
        <f t="shared" si="217"/>
        <v>20.191068362878376</v>
      </c>
      <c r="BC77" s="5"/>
      <c r="BD77" s="173">
        <f t="shared" si="289"/>
        <v>11.018248893935693</v>
      </c>
      <c r="BE77" s="173">
        <f t="shared" si="218"/>
        <v>0.67362654394977017</v>
      </c>
      <c r="BF77" s="173"/>
      <c r="BG77" s="528">
        <f t="shared" si="219"/>
        <v>4.8560723475486052</v>
      </c>
      <c r="BH77" s="528">
        <f t="shared" si="220"/>
        <v>4.3426947025026772</v>
      </c>
      <c r="BI77" s="528">
        <f t="shared" si="221"/>
        <v>0.13948799163394532</v>
      </c>
      <c r="BJ77" s="528">
        <f t="shared" si="222"/>
        <v>2.6924515725667949E-2</v>
      </c>
      <c r="BK77">
        <f t="shared" si="223"/>
        <v>5.1533523659773881E-3</v>
      </c>
      <c r="BL77" s="460">
        <f t="shared" si="290"/>
        <v>144.6413439999227</v>
      </c>
      <c r="BM77" s="528">
        <f t="shared" si="224"/>
        <v>-68.508712454793198</v>
      </c>
      <c r="BN77" s="460">
        <f t="shared" si="291"/>
        <v>-68508.712454793204</v>
      </c>
      <c r="BO77" s="528">
        <f t="shared" si="225"/>
        <v>0.37497599999999998</v>
      </c>
      <c r="BP77" s="528"/>
      <c r="BR77" s="460">
        <f t="shared" si="292"/>
        <v>374.976</v>
      </c>
      <c r="BS77" s="528">
        <f t="shared" si="226"/>
        <v>3.6420542606614541</v>
      </c>
      <c r="BT77" s="528">
        <f t="shared" si="227"/>
        <v>1.361318162141135E-2</v>
      </c>
      <c r="BU77" s="528">
        <f t="shared" si="228"/>
        <v>1.1015999999999999</v>
      </c>
      <c r="BV77" s="528">
        <f t="shared" si="229"/>
        <v>7.9636134095758457</v>
      </c>
      <c r="BW77" s="528">
        <f t="shared" si="230"/>
        <v>6.9179220685053631</v>
      </c>
      <c r="BX77" s="460">
        <f t="shared" si="293"/>
        <v>14881.535478081209</v>
      </c>
      <c r="BY77" s="173">
        <f t="shared" si="231"/>
        <v>-53.107559632712068</v>
      </c>
      <c r="BZ77" s="5">
        <f t="shared" si="294"/>
        <v>73.44</v>
      </c>
      <c r="CA77" s="173">
        <f t="shared" si="295"/>
        <v>3.6119619029181931</v>
      </c>
      <c r="CB77" s="5">
        <f t="shared" si="296"/>
        <v>361.19619029181933</v>
      </c>
      <c r="CE77" s="562">
        <f t="shared" si="232"/>
        <v>-50</v>
      </c>
      <c r="CF77">
        <f t="shared" si="233"/>
        <v>-50</v>
      </c>
      <c r="CG77" s="173">
        <f t="shared" si="234"/>
        <v>0.57704095254075261</v>
      </c>
      <c r="CI77" s="170">
        <v>72</v>
      </c>
      <c r="CJ77" s="217">
        <f t="shared" si="297"/>
        <v>0.432</v>
      </c>
      <c r="CK77" s="217"/>
      <c r="CL77" s="217">
        <f t="shared" si="235"/>
        <v>73.44</v>
      </c>
      <c r="CM77" s="541">
        <f t="shared" si="236"/>
        <v>12.5</v>
      </c>
      <c r="CN77" s="172">
        <f t="shared" si="237"/>
        <v>8.5250000000000004</v>
      </c>
      <c r="CO77" s="443">
        <f t="shared" si="238"/>
        <v>21.024999999999999</v>
      </c>
      <c r="CP77" s="443"/>
      <c r="CQ77" s="217">
        <f t="shared" si="239"/>
        <v>0.40546967895362668</v>
      </c>
      <c r="CR77" s="172">
        <f t="shared" si="240"/>
        <v>170.84633868410626</v>
      </c>
      <c r="CS77" s="172">
        <f t="shared" si="298"/>
        <v>73.44</v>
      </c>
      <c r="CT77" s="217">
        <f t="shared" si="241"/>
        <v>1.0049784628476839</v>
      </c>
      <c r="CU77" s="217">
        <f t="shared" si="242"/>
        <v>170</v>
      </c>
      <c r="CV77" s="217">
        <f t="shared" si="243"/>
        <v>0.99379823272947732</v>
      </c>
      <c r="CW77" s="172">
        <f t="shared" si="244"/>
        <v>714.68095378038458</v>
      </c>
      <c r="CX77" s="172">
        <f t="shared" si="245"/>
        <v>170</v>
      </c>
      <c r="CY77" s="217">
        <f t="shared" si="246"/>
        <v>28.979725513196474</v>
      </c>
      <c r="CZ77" s="217">
        <f t="shared" si="247"/>
        <v>1.159189020527859</v>
      </c>
      <c r="DA77" s="217">
        <f t="shared" si="248"/>
        <v>1.699690645935277</v>
      </c>
      <c r="DB77" s="197">
        <f t="shared" si="249"/>
        <v>350</v>
      </c>
      <c r="DC77" s="443">
        <f t="shared" si="299"/>
        <v>349.78737011241549</v>
      </c>
      <c r="DE77" s="217">
        <f t="shared" si="250"/>
        <v>28.962119925259049</v>
      </c>
      <c r="DF77" s="173">
        <f t="shared" si="251"/>
        <v>1.6986580601324954</v>
      </c>
      <c r="DG77" s="173">
        <f t="shared" si="252"/>
        <v>0.4304714614336958</v>
      </c>
      <c r="DH77" s="173"/>
      <c r="DI77" s="173">
        <f t="shared" si="253"/>
        <v>0.78201368523949166</v>
      </c>
      <c r="DJ77" s="545">
        <f t="shared" si="300"/>
        <v>1657.26</v>
      </c>
      <c r="DK77" s="528">
        <f t="shared" si="254"/>
        <v>9.1234929944607357E-2</v>
      </c>
      <c r="DM77" s="173">
        <f t="shared" si="255"/>
        <v>29.013494397312041</v>
      </c>
      <c r="DN77" s="173">
        <f t="shared" si="256"/>
        <v>28.979725513196474</v>
      </c>
      <c r="DO77" s="173">
        <f t="shared" si="257"/>
        <v>12.789920133231956</v>
      </c>
      <c r="DQ77" s="545">
        <f t="shared" si="258"/>
        <v>432</v>
      </c>
      <c r="DR77" s="460">
        <f t="shared" si="259"/>
        <v>349.78737011241549</v>
      </c>
      <c r="DT77">
        <f t="shared" si="260"/>
        <v>432</v>
      </c>
      <c r="DU77">
        <f t="shared" si="261"/>
        <v>349.78737011241549</v>
      </c>
      <c r="DW77" s="5">
        <f t="shared" si="301"/>
        <v>2.8588796664631362</v>
      </c>
      <c r="DX77" s="5">
        <f t="shared" si="262"/>
        <v>1.159189020527859</v>
      </c>
      <c r="DY77" s="5">
        <f t="shared" si="302"/>
        <v>1.6996906459352772</v>
      </c>
      <c r="DZ77" s="5">
        <f t="shared" si="263"/>
        <v>1.699690645935277</v>
      </c>
      <c r="EA77" s="173">
        <f t="shared" si="303"/>
        <v>0.40546967895362662</v>
      </c>
      <c r="EB77" s="173">
        <f t="shared" si="264"/>
        <v>73.439999999999969</v>
      </c>
      <c r="EC77" s="173">
        <f t="shared" si="265"/>
        <v>0.43073313782991196</v>
      </c>
      <c r="ED77" s="173">
        <f t="shared" si="304"/>
        <v>170.49999999999994</v>
      </c>
      <c r="EE77" s="460">
        <f t="shared" si="266"/>
        <v>0.29457038639296179</v>
      </c>
      <c r="EF77" s="5">
        <f t="shared" si="267"/>
        <v>15.977635972798305</v>
      </c>
      <c r="EG77" s="5"/>
      <c r="EH77" s="173">
        <f t="shared" si="305"/>
        <v>10.654003420784505</v>
      </c>
      <c r="EI77" s="173">
        <f t="shared" si="268"/>
        <v>0.64504594419696626</v>
      </c>
      <c r="EJ77" s="173"/>
      <c r="EK77" s="528">
        <f t="shared" si="269"/>
        <v>4.5403115556035178</v>
      </c>
      <c r="EL77" s="528">
        <f t="shared" si="270"/>
        <v>5.8609374999999995</v>
      </c>
      <c r="EM77" s="528">
        <f t="shared" si="271"/>
        <v>6.9957474022483104E-2</v>
      </c>
      <c r="EN77" s="528">
        <f t="shared" si="272"/>
        <v>3.0924745115059913E-2</v>
      </c>
      <c r="EO77">
        <f t="shared" si="273"/>
        <v>5.6249999999999998E-3</v>
      </c>
      <c r="EP77" s="460">
        <f t="shared" si="306"/>
        <v>75.582474022483112</v>
      </c>
      <c r="EQ77" s="528">
        <f t="shared" si="274"/>
        <v>-148.94560131063596</v>
      </c>
      <c r="ER77" s="460">
        <f t="shared" si="307"/>
        <v>-148945.60131063598</v>
      </c>
      <c r="ES77" s="528">
        <f t="shared" si="308"/>
        <v>0.37497599999999998</v>
      </c>
      <c r="ET77" s="528"/>
      <c r="EV77" s="460">
        <f t="shared" si="309"/>
        <v>374.976</v>
      </c>
      <c r="EW77" s="528">
        <f t="shared" si="275"/>
        <v>3.4052336667026379</v>
      </c>
      <c r="EX77" s="528">
        <f t="shared" si="276"/>
        <v>1.2482528103748671E-2</v>
      </c>
      <c r="EY77" s="528">
        <f t="shared" si="277"/>
        <v>517.26844275253927</v>
      </c>
      <c r="EZ77" s="528">
        <f t="shared" si="278"/>
        <v>717.75230495423534</v>
      </c>
      <c r="FA77" s="528">
        <f t="shared" si="279"/>
        <v>7.3439999999999976</v>
      </c>
      <c r="FB77" s="460">
        <f t="shared" si="310"/>
        <v>725096.30495423544</v>
      </c>
      <c r="FC77" s="173">
        <f t="shared" si="311"/>
        <v>576.52567964359946</v>
      </c>
      <c r="FD77" s="5">
        <f t="shared" si="312"/>
        <v>73.44</v>
      </c>
      <c r="FE77" s="173">
        <f t="shared" si="313"/>
        <v>0.1129905813492643</v>
      </c>
      <c r="FF77" s="5">
        <f t="shared" si="314"/>
        <v>11.29905813492643</v>
      </c>
      <c r="FI77" s="562">
        <f t="shared" si="280"/>
        <v>-50</v>
      </c>
      <c r="FJ77">
        <f t="shared" si="281"/>
        <v>-50</v>
      </c>
      <c r="FL77">
        <f t="shared" si="282"/>
        <v>0.59453032104637338</v>
      </c>
    </row>
    <row r="78" spans="5:168">
      <c r="E78" s="170">
        <v>73</v>
      </c>
      <c r="F78" s="217">
        <f t="shared" si="283"/>
        <v>0.438</v>
      </c>
      <c r="G78" s="217"/>
      <c r="H78" s="217">
        <f t="shared" si="183"/>
        <v>74.459999999999994</v>
      </c>
      <c r="I78" s="541">
        <f t="shared" si="184"/>
        <v>11.437778142480621</v>
      </c>
      <c r="J78" s="172">
        <f t="shared" si="185"/>
        <v>8.526138094847342</v>
      </c>
      <c r="K78" s="172">
        <f t="shared" si="186"/>
        <v>21.02613809484734</v>
      </c>
      <c r="L78" s="443"/>
      <c r="M78" s="217">
        <f t="shared" si="187"/>
        <v>0.42707648514801544</v>
      </c>
      <c r="N78" s="172">
        <f t="shared" si="188"/>
        <v>164.65867184906989</v>
      </c>
      <c r="O78" s="172">
        <f t="shared" si="284"/>
        <v>74.459999999999994</v>
      </c>
      <c r="P78" s="217">
        <f t="shared" si="189"/>
        <v>0.96858042264158761</v>
      </c>
      <c r="Q78" s="217">
        <f t="shared" si="190"/>
        <v>170</v>
      </c>
      <c r="R78" s="217">
        <f t="shared" si="191"/>
        <v>0.95780511509674915</v>
      </c>
      <c r="S78" s="172">
        <f t="shared" si="192"/>
        <v>641.87744857674147</v>
      </c>
      <c r="T78" s="172">
        <f t="shared" si="193"/>
        <v>170</v>
      </c>
      <c r="U78" s="217">
        <f t="shared" si="194"/>
        <v>30.579998107646727</v>
      </c>
      <c r="V78" s="217">
        <f t="shared" si="195"/>
        <v>1.3367980094871181</v>
      </c>
      <c r="W78" s="217">
        <f t="shared" si="196"/>
        <v>1.7933088678288791</v>
      </c>
      <c r="X78" s="197">
        <f t="shared" si="197"/>
        <v>350</v>
      </c>
      <c r="Y78" s="443">
        <f t="shared" si="198"/>
        <v>300.29066238437997</v>
      </c>
      <c r="AA78" s="217">
        <f t="shared" si="199"/>
        <v>27.913239575903606</v>
      </c>
      <c r="AB78" s="173">
        <f t="shared" si="200"/>
        <v>1.6369216206322414</v>
      </c>
      <c r="AC78" s="173">
        <f t="shared" si="201"/>
        <v>0.39980312193223638</v>
      </c>
      <c r="AD78" s="173"/>
      <c r="AE78" s="173">
        <f t="shared" si="202"/>
        <v>0.78190929967409017</v>
      </c>
      <c r="AF78" s="545">
        <f t="shared" si="203"/>
        <v>1680.5018184944113</v>
      </c>
      <c r="AG78" s="528">
        <f t="shared" si="204"/>
        <v>9.1222751628643864E-2</v>
      </c>
      <c r="AI78" s="173">
        <f t="shared" si="205"/>
        <v>29.216232222293868</v>
      </c>
      <c r="AJ78" s="173">
        <f t="shared" si="206"/>
        <v>30.579998107646727</v>
      </c>
      <c r="AK78" s="173">
        <f t="shared" si="207"/>
        <v>13.975307240232144</v>
      </c>
      <c r="AM78" s="545">
        <f t="shared" si="208"/>
        <v>438</v>
      </c>
      <c r="AN78" s="460">
        <f t="shared" si="209"/>
        <v>300.29066238437997</v>
      </c>
      <c r="AP78">
        <f t="shared" si="210"/>
        <v>438</v>
      </c>
      <c r="AQ78">
        <f t="shared" si="211"/>
        <v>300.29066238437997</v>
      </c>
      <c r="AS78" s="5">
        <f t="shared" si="285"/>
        <v>3.3301068773159974</v>
      </c>
      <c r="AT78" s="5">
        <f t="shared" si="212"/>
        <v>1.3367980094871181</v>
      </c>
      <c r="AU78" s="5">
        <f t="shared" si="286"/>
        <v>1.9933088678288793</v>
      </c>
      <c r="AV78" s="5">
        <f t="shared" si="213"/>
        <v>1.7933088678288791</v>
      </c>
      <c r="AW78" s="173">
        <f t="shared" si="287"/>
        <v>0.40142795974300738</v>
      </c>
      <c r="AX78" s="173">
        <f t="shared" si="214"/>
        <v>70.203173555301888</v>
      </c>
      <c r="AY78" s="173">
        <f t="shared" si="215"/>
        <v>0.45760829645872692</v>
      </c>
      <c r="AZ78" s="173">
        <f t="shared" si="288"/>
        <v>153.41324468673335</v>
      </c>
      <c r="BA78" s="460">
        <f t="shared" si="216"/>
        <v>0.34442207538550451</v>
      </c>
      <c r="BB78" s="5">
        <f t="shared" si="217"/>
        <v>20.762323094523488</v>
      </c>
      <c r="BC78" s="5"/>
      <c r="BD78" s="173">
        <f t="shared" si="289"/>
        <v>11.186149928574247</v>
      </c>
      <c r="BE78" s="173">
        <f t="shared" si="218"/>
        <v>0.68297537387891505</v>
      </c>
      <c r="BF78" s="173"/>
      <c r="BG78" s="528">
        <f t="shared" si="219"/>
        <v>5.0051980089816652</v>
      </c>
      <c r="BH78" s="528">
        <f t="shared" si="220"/>
        <v>4.3443150487019917</v>
      </c>
      <c r="BI78" s="528">
        <f t="shared" si="221"/>
        <v>0.13738631898444353</v>
      </c>
      <c r="BJ78" s="528">
        <f t="shared" si="222"/>
        <v>2.6551609270866014E-2</v>
      </c>
      <c r="BK78">
        <f t="shared" si="223"/>
        <v>5.1470001641162793E-3</v>
      </c>
      <c r="BL78" s="460">
        <f t="shared" si="290"/>
        <v>142.53331914855983</v>
      </c>
      <c r="BM78" s="528">
        <f t="shared" si="224"/>
        <v>-56.688590740374586</v>
      </c>
      <c r="BN78" s="460">
        <f t="shared" si="291"/>
        <v>-56688.590740374588</v>
      </c>
      <c r="BO78" s="528">
        <f t="shared" si="225"/>
        <v>0.38018399999999997</v>
      </c>
      <c r="BP78" s="528"/>
      <c r="BR78" s="460">
        <f t="shared" si="292"/>
        <v>380.18399999999997</v>
      </c>
      <c r="BS78" s="528">
        <f t="shared" si="226"/>
        <v>3.7538985067362489</v>
      </c>
      <c r="BT78" s="528">
        <f t="shared" si="227"/>
        <v>1.3993660839751313E-2</v>
      </c>
      <c r="BU78" s="528">
        <f t="shared" si="228"/>
        <v>1.1168999999999998</v>
      </c>
      <c r="BV78" s="528">
        <f t="shared" si="229"/>
        <v>8.2870688253216596</v>
      </c>
      <c r="BW78" s="528">
        <f t="shared" si="230"/>
        <v>7.0203173555301897</v>
      </c>
      <c r="BX78" s="460">
        <f t="shared" si="293"/>
        <v>15307.38618085185</v>
      </c>
      <c r="BY78" s="173">
        <f t="shared" si="231"/>
        <v>-40.858487240374174</v>
      </c>
      <c r="BZ78" s="5">
        <f t="shared" si="294"/>
        <v>74.459999999999994</v>
      </c>
      <c r="CA78" s="173">
        <f t="shared" si="295"/>
        <v>2.2159716597482491</v>
      </c>
      <c r="CB78" s="5">
        <f t="shared" si="296"/>
        <v>221.59716597482492</v>
      </c>
      <c r="CE78" s="562">
        <f t="shared" si="232"/>
        <v>-50</v>
      </c>
      <c r="CF78">
        <f t="shared" si="233"/>
        <v>-50</v>
      </c>
      <c r="CG78" s="173">
        <f t="shared" si="234"/>
        <v>0.5772805329312406</v>
      </c>
      <c r="CI78" s="170">
        <v>73</v>
      </c>
      <c r="CJ78" s="217">
        <f t="shared" si="297"/>
        <v>0.438</v>
      </c>
      <c r="CK78" s="217"/>
      <c r="CL78" s="217">
        <f t="shared" si="235"/>
        <v>74.459999999999994</v>
      </c>
      <c r="CM78" s="541">
        <f t="shared" si="236"/>
        <v>12.5</v>
      </c>
      <c r="CN78" s="172">
        <f t="shared" si="237"/>
        <v>8.5250000000000004</v>
      </c>
      <c r="CO78" s="443">
        <f t="shared" si="238"/>
        <v>21.024999999999999</v>
      </c>
      <c r="CP78" s="443"/>
      <c r="CQ78" s="217">
        <f t="shared" si="239"/>
        <v>0.40546967895362668</v>
      </c>
      <c r="CR78" s="172">
        <f t="shared" si="240"/>
        <v>170.84633868410626</v>
      </c>
      <c r="CS78" s="172">
        <f t="shared" si="298"/>
        <v>74.459999999999994</v>
      </c>
      <c r="CT78" s="217">
        <f t="shared" si="241"/>
        <v>1.0049784628476839</v>
      </c>
      <c r="CU78" s="217">
        <f t="shared" si="242"/>
        <v>170</v>
      </c>
      <c r="CV78" s="217">
        <f t="shared" si="243"/>
        <v>0.99379823272947732</v>
      </c>
      <c r="CW78" s="172">
        <f t="shared" si="244"/>
        <v>701.47182933679107</v>
      </c>
      <c r="CX78" s="172">
        <f t="shared" si="245"/>
        <v>170</v>
      </c>
      <c r="CY78" s="217">
        <f t="shared" si="246"/>
        <v>29.382221700879757</v>
      </c>
      <c r="CZ78" s="217">
        <f t="shared" si="247"/>
        <v>1.1752888680351903</v>
      </c>
      <c r="DA78" s="217">
        <f t="shared" si="248"/>
        <v>1.7232974604621558</v>
      </c>
      <c r="DB78" s="197">
        <f t="shared" si="249"/>
        <v>350</v>
      </c>
      <c r="DC78" s="443">
        <f t="shared" si="299"/>
        <v>344.99576230265643</v>
      </c>
      <c r="DE78" s="217">
        <f t="shared" si="250"/>
        <v>28.962119925259049</v>
      </c>
      <c r="DF78" s="173">
        <f t="shared" si="251"/>
        <v>1.6986580601324954</v>
      </c>
      <c r="DG78" s="173">
        <f t="shared" si="252"/>
        <v>0.4304714614336958</v>
      </c>
      <c r="DH78" s="173"/>
      <c r="DI78" s="173">
        <f t="shared" si="253"/>
        <v>0.78201368523949166</v>
      </c>
      <c r="DJ78" s="545">
        <f t="shared" si="300"/>
        <v>1680.2774999999999</v>
      </c>
      <c r="DK78" s="528">
        <f t="shared" si="254"/>
        <v>9.1234929944607357E-2</v>
      </c>
      <c r="DM78" s="173">
        <f t="shared" si="255"/>
        <v>29.214282221445828</v>
      </c>
      <c r="DN78" s="173">
        <f t="shared" si="256"/>
        <v>29.382221700879757</v>
      </c>
      <c r="DO78" s="173">
        <f t="shared" si="257"/>
        <v>13.088065457441797</v>
      </c>
      <c r="DQ78" s="545">
        <f t="shared" si="258"/>
        <v>438</v>
      </c>
      <c r="DR78" s="460">
        <f t="shared" si="259"/>
        <v>344.99576230265643</v>
      </c>
      <c r="DT78">
        <f t="shared" si="260"/>
        <v>438</v>
      </c>
      <c r="DU78">
        <f t="shared" si="261"/>
        <v>344.99576230265643</v>
      </c>
      <c r="DW78" s="5">
        <f t="shared" si="301"/>
        <v>2.8985863284973461</v>
      </c>
      <c r="DX78" s="5">
        <f t="shared" si="262"/>
        <v>1.1752888680351903</v>
      </c>
      <c r="DY78" s="5">
        <f t="shared" si="302"/>
        <v>1.7232974604621558</v>
      </c>
      <c r="DZ78" s="5">
        <f t="shared" si="263"/>
        <v>1.7232974604621558</v>
      </c>
      <c r="EA78" s="173">
        <f t="shared" si="303"/>
        <v>0.40546967895362662</v>
      </c>
      <c r="EB78" s="173">
        <f t="shared" si="264"/>
        <v>74.45999999999998</v>
      </c>
      <c r="EC78" s="173">
        <f t="shared" si="265"/>
        <v>0.43671554252199402</v>
      </c>
      <c r="ED78" s="173">
        <f t="shared" si="304"/>
        <v>170.5</v>
      </c>
      <c r="EE78" s="460">
        <f t="shared" si="266"/>
        <v>0.30280972011730195</v>
      </c>
      <c r="EF78" s="5">
        <f t="shared" si="267"/>
        <v>16.424541299969551</v>
      </c>
      <c r="EG78" s="5"/>
      <c r="EH78" s="173">
        <f t="shared" si="305"/>
        <v>10.801975690517622</v>
      </c>
      <c r="EI78" s="173">
        <f t="shared" si="268"/>
        <v>0.65400491564414631</v>
      </c>
      <c r="EJ78" s="173"/>
      <c r="EK78" s="528">
        <f t="shared" si="269"/>
        <v>4.6673071527413468</v>
      </c>
      <c r="EL78" s="528">
        <f t="shared" si="270"/>
        <v>5.8609375000000004</v>
      </c>
      <c r="EM78" s="528">
        <f t="shared" si="271"/>
        <v>6.8999152460531288E-2</v>
      </c>
      <c r="EN78" s="528">
        <f t="shared" si="272"/>
        <v>3.050111846964814E-2</v>
      </c>
      <c r="EO78">
        <f t="shared" si="273"/>
        <v>5.6249999999999998E-3</v>
      </c>
      <c r="EP78" s="460">
        <f t="shared" si="306"/>
        <v>74.624152460531292</v>
      </c>
      <c r="EQ78" s="528">
        <f t="shared" si="274"/>
        <v>-109.16296406770468</v>
      </c>
      <c r="ER78" s="460">
        <f t="shared" si="307"/>
        <v>-109162.96406770468</v>
      </c>
      <c r="ES78" s="528">
        <f t="shared" si="308"/>
        <v>0.38018399999999997</v>
      </c>
      <c r="ET78" s="528"/>
      <c r="EV78" s="460">
        <f t="shared" si="309"/>
        <v>380.18399999999997</v>
      </c>
      <c r="EW78" s="528">
        <f t="shared" si="275"/>
        <v>3.5004803645560099</v>
      </c>
      <c r="EX78" s="528">
        <f t="shared" si="276"/>
        <v>1.2831672890601208E-2</v>
      </c>
      <c r="EY78" s="528">
        <f t="shared" si="277"/>
        <v>517.26844275253939</v>
      </c>
      <c r="EZ78" s="528">
        <f t="shared" si="278"/>
        <v>725.55227222271856</v>
      </c>
      <c r="FA78" s="528">
        <f t="shared" si="279"/>
        <v>7.4459999999999988</v>
      </c>
      <c r="FB78" s="460">
        <f t="shared" si="310"/>
        <v>732998.27222271857</v>
      </c>
      <c r="FC78" s="173">
        <f t="shared" si="311"/>
        <v>624.21549215501386</v>
      </c>
      <c r="FD78" s="5">
        <f t="shared" si="312"/>
        <v>74.459999999999994</v>
      </c>
      <c r="FE78" s="173">
        <f t="shared" si="313"/>
        <v>0.10657308126027654</v>
      </c>
      <c r="FF78" s="5">
        <f t="shared" si="314"/>
        <v>10.657308126027655</v>
      </c>
      <c r="FI78" s="562">
        <f t="shared" si="280"/>
        <v>-50</v>
      </c>
      <c r="FJ78">
        <f t="shared" si="281"/>
        <v>-50</v>
      </c>
      <c r="FL78">
        <f t="shared" si="282"/>
        <v>0.59453032104637338</v>
      </c>
    </row>
    <row r="79" spans="5:168">
      <c r="E79" s="170">
        <v>74</v>
      </c>
      <c r="F79" s="217">
        <f t="shared" si="283"/>
        <v>0.44400000000000001</v>
      </c>
      <c r="G79" s="217"/>
      <c r="H79" s="217">
        <f t="shared" si="183"/>
        <v>75.48</v>
      </c>
      <c r="I79" s="541">
        <f t="shared" si="184"/>
        <v>11.423661782320504</v>
      </c>
      <c r="J79" s="172">
        <f t="shared" si="185"/>
        <v>8.5261532195189424</v>
      </c>
      <c r="K79" s="172">
        <f t="shared" si="186"/>
        <v>21.026153219518942</v>
      </c>
      <c r="L79" s="443"/>
      <c r="M79" s="217">
        <f t="shared" si="187"/>
        <v>0.42737911694610492</v>
      </c>
      <c r="N79" s="172">
        <f t="shared" si="188"/>
        <v>164.57198742577731</v>
      </c>
      <c r="O79" s="172">
        <f t="shared" si="284"/>
        <v>75.48</v>
      </c>
      <c r="P79" s="217">
        <f t="shared" si="189"/>
        <v>0.96807051426927826</v>
      </c>
      <c r="Q79" s="217">
        <f t="shared" si="190"/>
        <v>170</v>
      </c>
      <c r="R79" s="217">
        <f t="shared" si="191"/>
        <v>0.95730087937629504</v>
      </c>
      <c r="S79" s="172">
        <f t="shared" si="192"/>
        <v>629.34040420521364</v>
      </c>
      <c r="T79" s="172">
        <f t="shared" si="193"/>
        <v>170</v>
      </c>
      <c r="U79" s="217">
        <f t="shared" si="194"/>
        <v>31.015285201061069</v>
      </c>
      <c r="V79" s="217">
        <f t="shared" si="195"/>
        <v>1.3575019022823733</v>
      </c>
      <c r="W79" s="217">
        <f t="shared" si="196"/>
        <v>1.8188322683468612</v>
      </c>
      <c r="X79" s="197">
        <f t="shared" si="197"/>
        <v>350</v>
      </c>
      <c r="Y79" s="443">
        <f t="shared" si="198"/>
        <v>296.1792137457868</v>
      </c>
      <c r="AA79" s="217">
        <f t="shared" si="199"/>
        <v>27.898544615948094</v>
      </c>
      <c r="AB79" s="173">
        <f t="shared" si="200"/>
        <v>1.6360569589624481</v>
      </c>
      <c r="AC79" s="173">
        <f t="shared" si="201"/>
        <v>0.39938157055865442</v>
      </c>
      <c r="AD79" s="173"/>
      <c r="AE79" s="173">
        <f t="shared" si="202"/>
        <v>0.78190791263340786</v>
      </c>
      <c r="AF79" s="545">
        <f t="shared" si="203"/>
        <v>1703.5254132598848</v>
      </c>
      <c r="AG79" s="528">
        <f t="shared" si="204"/>
        <v>9.1222589807230914E-2</v>
      </c>
      <c r="AI79" s="173">
        <f t="shared" si="205"/>
        <v>29.415688834231343</v>
      </c>
      <c r="AJ79" s="173">
        <f t="shared" si="206"/>
        <v>31.015285201061069</v>
      </c>
      <c r="AK79" s="173">
        <f t="shared" si="207"/>
        <v>14.297742124242765</v>
      </c>
      <c r="AM79" s="545">
        <f t="shared" si="208"/>
        <v>444</v>
      </c>
      <c r="AN79" s="460">
        <f t="shared" si="209"/>
        <v>296.1792137457868</v>
      </c>
      <c r="AP79">
        <f t="shared" si="210"/>
        <v>444</v>
      </c>
      <c r="AQ79">
        <f t="shared" si="211"/>
        <v>296.1792137457868</v>
      </c>
      <c r="AS79" s="5">
        <f t="shared" si="285"/>
        <v>3.3763341706292351</v>
      </c>
      <c r="AT79" s="5">
        <f t="shared" si="212"/>
        <v>1.3575019022823733</v>
      </c>
      <c r="AU79" s="5">
        <f t="shared" si="286"/>
        <v>2.0188322683468618</v>
      </c>
      <c r="AV79" s="5">
        <f t="shared" si="213"/>
        <v>1.8188322683468612</v>
      </c>
      <c r="AW79" s="173">
        <f t="shared" si="287"/>
        <v>0.40206384607640322</v>
      </c>
      <c r="AX79" s="173">
        <f t="shared" si="214"/>
        <v>71.227244363957837</v>
      </c>
      <c r="AY79" s="173">
        <f t="shared" si="215"/>
        <v>0.46362900864914763</v>
      </c>
      <c r="AZ79" s="173">
        <f t="shared" si="288"/>
        <v>153.62982694178058</v>
      </c>
      <c r="BA79" s="460">
        <f t="shared" si="216"/>
        <v>0.35454755565492574</v>
      </c>
      <c r="BB79" s="5">
        <f t="shared" si="217"/>
        <v>21.342572988377491</v>
      </c>
      <c r="BC79" s="5"/>
      <c r="BD79" s="173">
        <f t="shared" si="289"/>
        <v>11.354360085794015</v>
      </c>
      <c r="BE79" s="173">
        <f t="shared" si="218"/>
        <v>0.69232906267512528</v>
      </c>
      <c r="BF79" s="173"/>
      <c r="BG79" s="528">
        <f t="shared" si="219"/>
        <v>5.1568597183148919</v>
      </c>
      <c r="BH79" s="528">
        <f t="shared" si="220"/>
        <v>4.3458296427804983</v>
      </c>
      <c r="BI79" s="528">
        <f t="shared" si="221"/>
        <v>0.13533804659141921</v>
      </c>
      <c r="BJ79" s="528">
        <f t="shared" si="222"/>
        <v>2.6188113905105219E-2</v>
      </c>
      <c r="BK79">
        <f t="shared" si="223"/>
        <v>5.140647802044227E-3</v>
      </c>
      <c r="BL79" s="460">
        <f t="shared" si="290"/>
        <v>140.47869439346346</v>
      </c>
      <c r="BM79" s="528">
        <f t="shared" si="224"/>
        <v>-48.48064964903682</v>
      </c>
      <c r="BN79" s="460">
        <f t="shared" si="291"/>
        <v>-48480.649649036823</v>
      </c>
      <c r="BO79" s="528">
        <f t="shared" si="225"/>
        <v>0.38539199999999996</v>
      </c>
      <c r="BP79" s="528"/>
      <c r="BR79" s="460">
        <f t="shared" si="292"/>
        <v>385.39199999999994</v>
      </c>
      <c r="BS79" s="528">
        <f t="shared" si="226"/>
        <v>3.8676447887361687</v>
      </c>
      <c r="BT79" s="528">
        <f t="shared" si="227"/>
        <v>1.4379585930738526E-2</v>
      </c>
      <c r="BU79" s="528">
        <f t="shared" si="228"/>
        <v>1.1322000000000001</v>
      </c>
      <c r="BV79" s="528">
        <f t="shared" si="229"/>
        <v>8.6242849873997365</v>
      </c>
      <c r="BW79" s="528">
        <f t="shared" si="230"/>
        <v>7.1227244363957833</v>
      </c>
      <c r="BX79" s="460">
        <f t="shared" si="293"/>
        <v>15747.00942379552</v>
      </c>
      <c r="BY79" s="173">
        <f t="shared" si="231"/>
        <v>-32.207769530847827</v>
      </c>
      <c r="BZ79" s="5">
        <f t="shared" si="294"/>
        <v>75.48</v>
      </c>
      <c r="CA79" s="173">
        <f t="shared" si="295"/>
        <v>1.7443057402323654</v>
      </c>
      <c r="CB79" s="5">
        <f t="shared" si="296"/>
        <v>174.43057402323655</v>
      </c>
      <c r="CE79" s="562">
        <f t="shared" si="232"/>
        <v>-50</v>
      </c>
      <c r="CF79">
        <f t="shared" si="233"/>
        <v>-50</v>
      </c>
      <c r="CG79" s="173">
        <f t="shared" si="234"/>
        <v>0.57751363817603973</v>
      </c>
      <c r="CI79" s="170">
        <v>74</v>
      </c>
      <c r="CJ79" s="217">
        <f t="shared" si="297"/>
        <v>0.44400000000000001</v>
      </c>
      <c r="CK79" s="217"/>
      <c r="CL79" s="217">
        <f t="shared" si="235"/>
        <v>75.48</v>
      </c>
      <c r="CM79" s="541">
        <f t="shared" si="236"/>
        <v>12.5</v>
      </c>
      <c r="CN79" s="172">
        <f t="shared" si="237"/>
        <v>8.5250000000000004</v>
      </c>
      <c r="CO79" s="443">
        <f t="shared" si="238"/>
        <v>21.024999999999999</v>
      </c>
      <c r="CP79" s="443"/>
      <c r="CQ79" s="217">
        <f t="shared" si="239"/>
        <v>0.40546967895362668</v>
      </c>
      <c r="CR79" s="172">
        <f t="shared" si="240"/>
        <v>170.84633868410626</v>
      </c>
      <c r="CS79" s="172">
        <f t="shared" si="298"/>
        <v>75.48</v>
      </c>
      <c r="CT79" s="217">
        <f t="shared" si="241"/>
        <v>1.0049784628476839</v>
      </c>
      <c r="CU79" s="217">
        <f t="shared" si="242"/>
        <v>170</v>
      </c>
      <c r="CV79" s="217">
        <f t="shared" si="243"/>
        <v>0.99379823272947732</v>
      </c>
      <c r="CW79" s="172">
        <f t="shared" si="244"/>
        <v>688.61982924261474</v>
      </c>
      <c r="CX79" s="172">
        <f t="shared" si="245"/>
        <v>170</v>
      </c>
      <c r="CY79" s="217">
        <f t="shared" si="246"/>
        <v>29.784717888563048</v>
      </c>
      <c r="CZ79" s="217">
        <f t="shared" si="247"/>
        <v>1.1913887155425218</v>
      </c>
      <c r="DA79" s="217">
        <f t="shared" si="248"/>
        <v>1.7469042749890349</v>
      </c>
      <c r="DB79" s="197">
        <f t="shared" si="249"/>
        <v>350</v>
      </c>
      <c r="DC79" s="443">
        <f t="shared" si="299"/>
        <v>340.33365740667449</v>
      </c>
      <c r="DE79" s="217">
        <f t="shared" si="250"/>
        <v>28.962119925259049</v>
      </c>
      <c r="DF79" s="173">
        <f t="shared" si="251"/>
        <v>1.6986580601324954</v>
      </c>
      <c r="DG79" s="173">
        <f t="shared" si="252"/>
        <v>0.4304714614336958</v>
      </c>
      <c r="DH79" s="173"/>
      <c r="DI79" s="173">
        <f t="shared" si="253"/>
        <v>0.78201368523949166</v>
      </c>
      <c r="DJ79" s="545">
        <f t="shared" si="300"/>
        <v>1703.2950000000001</v>
      </c>
      <c r="DK79" s="528">
        <f t="shared" si="254"/>
        <v>9.1234929944607357E-2</v>
      </c>
      <c r="DM79" s="173">
        <f t="shared" si="255"/>
        <v>29.413699432164503</v>
      </c>
      <c r="DN79" s="173">
        <f t="shared" si="256"/>
        <v>29.784717888563048</v>
      </c>
      <c r="DO79" s="173">
        <f t="shared" si="257"/>
        <v>13.38621078165164</v>
      </c>
      <c r="DQ79" s="545">
        <f t="shared" si="258"/>
        <v>444</v>
      </c>
      <c r="DR79" s="460">
        <f t="shared" si="259"/>
        <v>340.33365740667449</v>
      </c>
      <c r="DT79">
        <f t="shared" si="260"/>
        <v>444</v>
      </c>
      <c r="DU79">
        <f t="shared" si="261"/>
        <v>340.33365740667449</v>
      </c>
      <c r="DW79" s="5">
        <f t="shared" si="301"/>
        <v>2.9382929905315573</v>
      </c>
      <c r="DX79" s="5">
        <f t="shared" si="262"/>
        <v>1.1913887155425218</v>
      </c>
      <c r="DY79" s="5">
        <f t="shared" si="302"/>
        <v>1.7469042749890356</v>
      </c>
      <c r="DZ79" s="5">
        <f t="shared" si="263"/>
        <v>1.7469042749890349</v>
      </c>
      <c r="EA79" s="173">
        <f t="shared" si="303"/>
        <v>0.40546967895362657</v>
      </c>
      <c r="EB79" s="173">
        <f t="shared" si="264"/>
        <v>75.47999999999999</v>
      </c>
      <c r="EC79" s="173">
        <f t="shared" si="265"/>
        <v>0.44269794721407635</v>
      </c>
      <c r="ED79" s="173">
        <f t="shared" si="304"/>
        <v>170.49999999999994</v>
      </c>
      <c r="EE79" s="460">
        <f t="shared" si="266"/>
        <v>0.31116269982404687</v>
      </c>
      <c r="EF79" s="5">
        <f t="shared" si="267"/>
        <v>16.877610838550069</v>
      </c>
      <c r="EG79" s="5"/>
      <c r="EH79" s="173">
        <f t="shared" si="305"/>
        <v>10.949947960250741</v>
      </c>
      <c r="EI79" s="173">
        <f t="shared" si="268"/>
        <v>0.6629638870913267</v>
      </c>
      <c r="EJ79" s="173"/>
      <c r="EK79" s="528">
        <f t="shared" si="269"/>
        <v>4.7960544132879743</v>
      </c>
      <c r="EL79" s="528">
        <f t="shared" si="270"/>
        <v>5.8609374999999995</v>
      </c>
      <c r="EM79" s="528">
        <f t="shared" si="271"/>
        <v>6.8066731481334894E-2</v>
      </c>
      <c r="EN79" s="528">
        <f t="shared" si="272"/>
        <v>3.0088941193031269E-2</v>
      </c>
      <c r="EO79">
        <f t="shared" si="273"/>
        <v>5.6249999999999998E-3</v>
      </c>
      <c r="EP79" s="460">
        <f t="shared" si="306"/>
        <v>73.691731481334898</v>
      </c>
      <c r="EQ79" s="528">
        <f t="shared" si="274"/>
        <v>-86.394502082930117</v>
      </c>
      <c r="ER79" s="460">
        <f t="shared" si="307"/>
        <v>-86394.502082930121</v>
      </c>
      <c r="ES79" s="528">
        <f t="shared" si="308"/>
        <v>0.38539199999999996</v>
      </c>
      <c r="ET79" s="528"/>
      <c r="EV79" s="460">
        <f t="shared" si="309"/>
        <v>385.39199999999994</v>
      </c>
      <c r="EW79" s="528">
        <f t="shared" si="275"/>
        <v>3.5970408099659807</v>
      </c>
      <c r="EX79" s="528">
        <f t="shared" si="276"/>
        <v>1.318563346761724E-2</v>
      </c>
      <c r="EY79" s="528">
        <f t="shared" si="277"/>
        <v>517.2684427525403</v>
      </c>
      <c r="EZ79" s="528">
        <f t="shared" si="278"/>
        <v>733.63106526629792</v>
      </c>
      <c r="FA79" s="528">
        <f t="shared" si="279"/>
        <v>7.548</v>
      </c>
      <c r="FB79" s="460">
        <f t="shared" si="310"/>
        <v>741179.0652662979</v>
      </c>
      <c r="FC79" s="173">
        <f t="shared" si="311"/>
        <v>655.16995518336785</v>
      </c>
      <c r="FD79" s="5">
        <f t="shared" si="312"/>
        <v>75.48</v>
      </c>
      <c r="FE79" s="173">
        <f t="shared" si="313"/>
        <v>0.10330528246054177</v>
      </c>
      <c r="FF79" s="5">
        <f t="shared" si="314"/>
        <v>10.330528246054177</v>
      </c>
      <c r="FI79" s="562">
        <f t="shared" si="280"/>
        <v>-50</v>
      </c>
      <c r="FJ79">
        <f t="shared" si="281"/>
        <v>-50</v>
      </c>
      <c r="FL79">
        <f t="shared" si="282"/>
        <v>0.59453032104637349</v>
      </c>
    </row>
    <row r="80" spans="5:168">
      <c r="E80" s="170">
        <v>75</v>
      </c>
      <c r="F80" s="217">
        <f t="shared" si="283"/>
        <v>0.44999999999999996</v>
      </c>
      <c r="G80" s="217"/>
      <c r="H80" s="217">
        <f t="shared" si="183"/>
        <v>76.499999999999986</v>
      </c>
      <c r="I80" s="541">
        <f t="shared" si="184"/>
        <v>11.409545080790902</v>
      </c>
      <c r="J80" s="172">
        <f t="shared" si="185"/>
        <v>8.5261683445562948</v>
      </c>
      <c r="K80" s="172">
        <f t="shared" si="186"/>
        <v>21.026168344556297</v>
      </c>
      <c r="L80" s="443"/>
      <c r="M80" s="217">
        <f t="shared" si="187"/>
        <v>0.42768218419228271</v>
      </c>
      <c r="N80" s="172">
        <f t="shared" si="188"/>
        <v>164.48517754506295</v>
      </c>
      <c r="O80" s="172">
        <f t="shared" si="284"/>
        <v>76.499999999999986</v>
      </c>
      <c r="P80" s="217">
        <f t="shared" si="189"/>
        <v>0.967559867912135</v>
      </c>
      <c r="Q80" s="217">
        <f t="shared" si="190"/>
        <v>170</v>
      </c>
      <c r="R80" s="217">
        <f t="shared" si="191"/>
        <v>0.95679591388097407</v>
      </c>
      <c r="S80" s="172">
        <f t="shared" si="192"/>
        <v>617.14531234048945</v>
      </c>
      <c r="T80" s="172">
        <f t="shared" si="193"/>
        <v>170</v>
      </c>
      <c r="U80" s="217">
        <f t="shared" si="194"/>
        <v>31.451056568274804</v>
      </c>
      <c r="V80" s="217">
        <f t="shared" si="195"/>
        <v>1.378278290044437</v>
      </c>
      <c r="W80" s="217">
        <f t="shared" si="196"/>
        <v>1.8443839774964899</v>
      </c>
      <c r="X80" s="197">
        <f t="shared" si="197"/>
        <v>350</v>
      </c>
      <c r="Y80" s="443">
        <f t="shared" si="198"/>
        <v>292.17022359570052</v>
      </c>
      <c r="AA80" s="217">
        <f t="shared" si="199"/>
        <v>27.883828388945847</v>
      </c>
      <c r="AB80" s="173">
        <f t="shared" si="200"/>
        <v>1.6351910531269793</v>
      </c>
      <c r="AC80" s="173">
        <f t="shared" si="201"/>
        <v>0.39895963369965787</v>
      </c>
      <c r="AD80" s="173"/>
      <c r="AE80" s="173">
        <f t="shared" si="202"/>
        <v>0.78190652556410467</v>
      </c>
      <c r="AF80" s="545">
        <f t="shared" si="203"/>
        <v>1726.5490897726493</v>
      </c>
      <c r="AG80" s="528">
        <f t="shared" si="204"/>
        <v>9.1222427982478885E-2</v>
      </c>
      <c r="AI80" s="173">
        <f t="shared" si="205"/>
        <v>29.613802785864497</v>
      </c>
      <c r="AJ80" s="173">
        <f t="shared" si="206"/>
        <v>31.451056568274804</v>
      </c>
      <c r="AK80" s="173">
        <f t="shared" si="207"/>
        <v>14.620535729586274</v>
      </c>
      <c r="AM80" s="545">
        <f t="shared" si="208"/>
        <v>449.99999999999994</v>
      </c>
      <c r="AN80" s="460">
        <f t="shared" si="209"/>
        <v>292.17022359570052</v>
      </c>
      <c r="AP80">
        <f t="shared" si="210"/>
        <v>449.99999999999994</v>
      </c>
      <c r="AQ80">
        <f t="shared" si="211"/>
        <v>292.17022359570052</v>
      </c>
      <c r="AS80" s="5">
        <f t="shared" si="285"/>
        <v>3.4226622675409271</v>
      </c>
      <c r="AT80" s="5">
        <f t="shared" si="212"/>
        <v>1.378278290044437</v>
      </c>
      <c r="AU80" s="5">
        <f t="shared" si="286"/>
        <v>2.0443839774964898</v>
      </c>
      <c r="AV80" s="5">
        <f t="shared" si="213"/>
        <v>1.8443839774964899</v>
      </c>
      <c r="AW80" s="173">
        <f t="shared" si="287"/>
        <v>0.40269187617938296</v>
      </c>
      <c r="AX80" s="173">
        <f t="shared" si="214"/>
        <v>72.251429000290159</v>
      </c>
      <c r="AY80" s="173">
        <f t="shared" si="215"/>
        <v>0.46964928977430792</v>
      </c>
      <c r="AZ80" s="173">
        <f t="shared" si="288"/>
        <v>153.84123977917844</v>
      </c>
      <c r="BA80" s="460">
        <f t="shared" si="216"/>
        <v>0.36483837089411564</v>
      </c>
      <c r="BB80" s="5">
        <f t="shared" si="217"/>
        <v>21.931864686424845</v>
      </c>
      <c r="BC80" s="5"/>
      <c r="BD80" s="173">
        <f t="shared" si="289"/>
        <v>11.522880196420049</v>
      </c>
      <c r="BE80" s="173">
        <f t="shared" si="218"/>
        <v>0.70168764133199713</v>
      </c>
      <c r="BF80" s="173"/>
      <c r="BG80" s="528">
        <f t="shared" si="219"/>
        <v>5.3110707208419745</v>
      </c>
      <c r="BH80" s="528">
        <f t="shared" si="220"/>
        <v>4.3472423109134697</v>
      </c>
      <c r="BI80" s="528">
        <f t="shared" si="221"/>
        <v>0.13334117349519614</v>
      </c>
      <c r="BJ80" s="528">
        <f t="shared" si="222"/>
        <v>2.5833676868810999E-2</v>
      </c>
      <c r="BK80">
        <f t="shared" si="223"/>
        <v>5.1342952863559057E-3</v>
      </c>
      <c r="BL80" s="460">
        <f t="shared" si="290"/>
        <v>138.47546878155202</v>
      </c>
      <c r="BM80" s="528">
        <f t="shared" si="224"/>
        <v>-42.450149609761397</v>
      </c>
      <c r="BN80" s="460">
        <f t="shared" si="291"/>
        <v>-42450.1496097614</v>
      </c>
      <c r="BO80" s="528">
        <f t="shared" si="225"/>
        <v>0.39059999999999995</v>
      </c>
      <c r="BP80" s="528"/>
      <c r="BR80" s="460">
        <f t="shared" si="292"/>
        <v>390.59999999999997</v>
      </c>
      <c r="BS80" s="528">
        <f t="shared" si="226"/>
        <v>3.9833030406314802</v>
      </c>
      <c r="BT80" s="528">
        <f t="shared" si="227"/>
        <v>1.4770966379941842E-2</v>
      </c>
      <c r="BU80" s="528">
        <f t="shared" si="228"/>
        <v>1.1474999999999997</v>
      </c>
      <c r="BV80" s="528">
        <f t="shared" si="229"/>
        <v>8.9760716773601725</v>
      </c>
      <c r="BW80" s="528">
        <f t="shared" si="230"/>
        <v>7.2251429000290166</v>
      </c>
      <c r="BX80" s="460">
        <f t="shared" si="293"/>
        <v>16201.214577389188</v>
      </c>
      <c r="BY80" s="173">
        <f t="shared" si="231"/>
        <v>-25.719859563590653</v>
      </c>
      <c r="BZ80" s="5">
        <f t="shared" si="294"/>
        <v>76.499999999999986</v>
      </c>
      <c r="CA80" s="173">
        <f t="shared" si="295"/>
        <v>1.5064944551659714</v>
      </c>
      <c r="CB80" s="5">
        <f t="shared" si="296"/>
        <v>150.64944551659713</v>
      </c>
      <c r="CE80" s="562">
        <f t="shared" si="232"/>
        <v>-50</v>
      </c>
      <c r="CF80">
        <f t="shared" si="233"/>
        <v>-50</v>
      </c>
      <c r="CG80" s="173">
        <f t="shared" si="234"/>
        <v>0.57774052728097747</v>
      </c>
      <c r="CI80" s="170">
        <v>75</v>
      </c>
      <c r="CJ80" s="217">
        <f t="shared" si="297"/>
        <v>0.44999999999999996</v>
      </c>
      <c r="CK80" s="217"/>
      <c r="CL80" s="217">
        <f t="shared" si="235"/>
        <v>76.499999999999986</v>
      </c>
      <c r="CM80" s="541">
        <f t="shared" si="236"/>
        <v>12.5</v>
      </c>
      <c r="CN80" s="172">
        <f t="shared" si="237"/>
        <v>8.5250000000000004</v>
      </c>
      <c r="CO80" s="443">
        <f t="shared" si="238"/>
        <v>21.024999999999999</v>
      </c>
      <c r="CP80" s="443"/>
      <c r="CQ80" s="217">
        <f t="shared" si="239"/>
        <v>0.40546967895362668</v>
      </c>
      <c r="CR80" s="172">
        <f t="shared" si="240"/>
        <v>170.84633868410626</v>
      </c>
      <c r="CS80" s="172">
        <f t="shared" si="298"/>
        <v>76.499999999999986</v>
      </c>
      <c r="CT80" s="217">
        <f t="shared" si="241"/>
        <v>1.0049784628476839</v>
      </c>
      <c r="CU80" s="217">
        <f t="shared" si="242"/>
        <v>170</v>
      </c>
      <c r="CV80" s="217">
        <f t="shared" si="243"/>
        <v>0.99379823272947732</v>
      </c>
      <c r="CW80" s="172">
        <f t="shared" si="244"/>
        <v>676.11067027816728</v>
      </c>
      <c r="CX80" s="172">
        <f t="shared" si="245"/>
        <v>170</v>
      </c>
      <c r="CY80" s="217">
        <f t="shared" si="246"/>
        <v>30.187214076246324</v>
      </c>
      <c r="CZ80" s="217">
        <f t="shared" si="247"/>
        <v>1.2074885630498529</v>
      </c>
      <c r="DA80" s="217">
        <f t="shared" si="248"/>
        <v>1.7705110895159133</v>
      </c>
      <c r="DB80" s="197">
        <f t="shared" si="249"/>
        <v>350</v>
      </c>
      <c r="DC80" s="443">
        <f t="shared" si="299"/>
        <v>335.79587530791895</v>
      </c>
      <c r="DE80" s="217">
        <f t="shared" si="250"/>
        <v>28.962119925259049</v>
      </c>
      <c r="DF80" s="173">
        <f t="shared" si="251"/>
        <v>1.6986580601324954</v>
      </c>
      <c r="DG80" s="173">
        <f t="shared" si="252"/>
        <v>0.4304714614336958</v>
      </c>
      <c r="DH80" s="173"/>
      <c r="DI80" s="173">
        <f t="shared" si="253"/>
        <v>0.78201368523949166</v>
      </c>
      <c r="DJ80" s="545">
        <f t="shared" si="300"/>
        <v>1726.3124999999998</v>
      </c>
      <c r="DK80" s="528">
        <f t="shared" si="254"/>
        <v>9.1234929944607357E-2</v>
      </c>
      <c r="DM80" s="173">
        <f t="shared" si="255"/>
        <v>29.611773720213769</v>
      </c>
      <c r="DN80" s="173">
        <f t="shared" si="256"/>
        <v>30.187214076246324</v>
      </c>
      <c r="DO80" s="173">
        <f t="shared" si="257"/>
        <v>13.684356105861474</v>
      </c>
      <c r="DQ80" s="545">
        <f t="shared" si="258"/>
        <v>449.99999999999994</v>
      </c>
      <c r="DR80" s="460">
        <f t="shared" si="259"/>
        <v>335.79587530791895</v>
      </c>
      <c r="DT80">
        <f t="shared" si="260"/>
        <v>449.99999999999994</v>
      </c>
      <c r="DU80">
        <f t="shared" si="261"/>
        <v>335.79587530791895</v>
      </c>
      <c r="DW80" s="5">
        <f t="shared" si="301"/>
        <v>2.9779996525657664</v>
      </c>
      <c r="DX80" s="5">
        <f t="shared" si="262"/>
        <v>1.2074885630498529</v>
      </c>
      <c r="DY80" s="5">
        <f t="shared" si="302"/>
        <v>1.7705110895159135</v>
      </c>
      <c r="DZ80" s="5">
        <f t="shared" si="263"/>
        <v>1.7705110895159133</v>
      </c>
      <c r="EA80" s="173">
        <f t="shared" si="303"/>
        <v>0.40546967895362662</v>
      </c>
      <c r="EB80" s="173">
        <f t="shared" si="264"/>
        <v>76.499999999999972</v>
      </c>
      <c r="EC80" s="173">
        <f t="shared" si="265"/>
        <v>0.44868035190615824</v>
      </c>
      <c r="ED80" s="173">
        <f t="shared" si="304"/>
        <v>170.49999999999997</v>
      </c>
      <c r="EE80" s="460">
        <f t="shared" si="266"/>
        <v>0.31962932551319628</v>
      </c>
      <c r="EF80" s="5">
        <f t="shared" si="267"/>
        <v>17.336844588539822</v>
      </c>
      <c r="EG80" s="5"/>
      <c r="EH80" s="173">
        <f t="shared" si="305"/>
        <v>11.097920229983858</v>
      </c>
      <c r="EI80" s="173">
        <f t="shared" si="268"/>
        <v>0.67192285853850642</v>
      </c>
      <c r="EJ80" s="173"/>
      <c r="EK80" s="528">
        <f t="shared" si="269"/>
        <v>4.9265533372433987</v>
      </c>
      <c r="EL80" s="528">
        <f t="shared" si="270"/>
        <v>5.8609374999999995</v>
      </c>
      <c r="EM80" s="528">
        <f t="shared" si="271"/>
        <v>6.7159175061583781E-2</v>
      </c>
      <c r="EN80" s="528">
        <f t="shared" si="272"/>
        <v>2.9687755310457527E-2</v>
      </c>
      <c r="EO80">
        <f t="shared" si="273"/>
        <v>5.6249999999999998E-3</v>
      </c>
      <c r="EP80" s="460">
        <f t="shared" si="306"/>
        <v>72.784175061583781</v>
      </c>
      <c r="EQ80" s="528">
        <f t="shared" si="274"/>
        <v>-71.651706800870073</v>
      </c>
      <c r="ER80" s="460">
        <f t="shared" si="307"/>
        <v>-71651.706800870073</v>
      </c>
      <c r="ES80" s="528">
        <f t="shared" si="308"/>
        <v>0.39059999999999995</v>
      </c>
      <c r="ET80" s="528"/>
      <c r="EV80" s="460">
        <f t="shared" si="309"/>
        <v>390.59999999999997</v>
      </c>
      <c r="EW80" s="528">
        <f t="shared" si="275"/>
        <v>3.6949150029325488</v>
      </c>
      <c r="EX80" s="528">
        <f t="shared" si="276"/>
        <v>1.3544409834796732E-2</v>
      </c>
      <c r="EY80" s="528">
        <f t="shared" si="277"/>
        <v>517.26844275253927</v>
      </c>
      <c r="EZ80" s="528">
        <f t="shared" si="278"/>
        <v>742.00154006887317</v>
      </c>
      <c r="FA80" s="528">
        <f t="shared" si="279"/>
        <v>7.6499999999999986</v>
      </c>
      <c r="FB80" s="460">
        <f t="shared" si="310"/>
        <v>749651.5400688732</v>
      </c>
      <c r="FC80" s="173">
        <f t="shared" si="311"/>
        <v>678.39043326800311</v>
      </c>
      <c r="FD80" s="5">
        <f t="shared" si="312"/>
        <v>76.499999999999986</v>
      </c>
      <c r="FE80" s="173">
        <f t="shared" si="313"/>
        <v>0.10133920980932708</v>
      </c>
      <c r="FF80" s="5">
        <f t="shared" si="314"/>
        <v>10.133920980932707</v>
      </c>
      <c r="FI80" s="562">
        <f t="shared" si="280"/>
        <v>-50</v>
      </c>
      <c r="FJ80">
        <f t="shared" si="281"/>
        <v>-50</v>
      </c>
      <c r="FL80">
        <f t="shared" si="282"/>
        <v>0.59453032104637338</v>
      </c>
    </row>
    <row r="81" spans="5:168">
      <c r="E81" s="170">
        <v>76</v>
      </c>
      <c r="F81" s="217">
        <f t="shared" si="283"/>
        <v>0.45599999999999996</v>
      </c>
      <c r="G81" s="217"/>
      <c r="H81" s="217">
        <f t="shared" si="183"/>
        <v>77.52</v>
      </c>
      <c r="I81" s="541">
        <f t="shared" si="184"/>
        <v>11.395428051753228</v>
      </c>
      <c r="J81" s="172">
        <f t="shared" si="185"/>
        <v>8.5261834699445505</v>
      </c>
      <c r="K81" s="172">
        <f t="shared" si="186"/>
        <v>21.026183469944549</v>
      </c>
      <c r="L81" s="443"/>
      <c r="M81" s="217">
        <f t="shared" si="187"/>
        <v>0.42798568752903732</v>
      </c>
      <c r="N81" s="172">
        <f t="shared" si="188"/>
        <v>164.39824202160762</v>
      </c>
      <c r="O81" s="172">
        <f t="shared" si="284"/>
        <v>77.52</v>
      </c>
      <c r="P81" s="217">
        <f t="shared" si="189"/>
        <v>0.96704848248004482</v>
      </c>
      <c r="Q81" s="217">
        <f t="shared" si="190"/>
        <v>170</v>
      </c>
      <c r="R81" s="217">
        <f t="shared" si="191"/>
        <v>0.95629021753280075</v>
      </c>
      <c r="S81" s="172">
        <f t="shared" si="192"/>
        <v>605.27867762427138</v>
      </c>
      <c r="T81" s="172">
        <f t="shared" si="193"/>
        <v>170</v>
      </c>
      <c r="U81" s="217">
        <f t="shared" si="194"/>
        <v>31.887314010042221</v>
      </c>
      <c r="V81" s="217">
        <f t="shared" si="195"/>
        <v>1.3991275213718821</v>
      </c>
      <c r="W81" s="217">
        <f t="shared" si="196"/>
        <v>1.8699641007285055</v>
      </c>
      <c r="X81" s="197">
        <f t="shared" si="197"/>
        <v>350</v>
      </c>
      <c r="Y81" s="443">
        <f t="shared" si="198"/>
        <v>288.25989882462153</v>
      </c>
      <c r="AA81" s="217">
        <f t="shared" si="199"/>
        <v>27.869090863451419</v>
      </c>
      <c r="AB81" s="173">
        <f t="shared" si="200"/>
        <v>1.6343239012913631</v>
      </c>
      <c r="AC81" s="173">
        <f t="shared" si="201"/>
        <v>0.39853731142224486</v>
      </c>
      <c r="AD81" s="173"/>
      <c r="AE81" s="173">
        <f t="shared" si="202"/>
        <v>0.78190513846754262</v>
      </c>
      <c r="AF81" s="545">
        <f t="shared" si="203"/>
        <v>1749.5728480326213</v>
      </c>
      <c r="AG81" s="528">
        <f t="shared" si="204"/>
        <v>9.122226615454665E-2</v>
      </c>
      <c r="AI81" s="173">
        <f t="shared" si="205"/>
        <v>29.810600846179206</v>
      </c>
      <c r="AJ81" s="173">
        <f t="shared" si="206"/>
        <v>31.887314010042221</v>
      </c>
      <c r="AK81" s="173">
        <f t="shared" si="207"/>
        <v>14.943689390154731</v>
      </c>
      <c r="AM81" s="545">
        <f t="shared" si="208"/>
        <v>455.99999999999994</v>
      </c>
      <c r="AN81" s="460">
        <f t="shared" si="209"/>
        <v>288.25989882462153</v>
      </c>
      <c r="AP81">
        <f t="shared" si="210"/>
        <v>455.99999999999994</v>
      </c>
      <c r="AQ81">
        <f t="shared" si="211"/>
        <v>288.25989882462153</v>
      </c>
      <c r="AS81" s="5">
        <f t="shared" si="285"/>
        <v>3.4690916221003878</v>
      </c>
      <c r="AT81" s="5">
        <f t="shared" si="212"/>
        <v>1.3991275213718821</v>
      </c>
      <c r="AU81" s="5">
        <f t="shared" si="286"/>
        <v>2.0699641007285057</v>
      </c>
      <c r="AV81" s="5">
        <f t="shared" si="213"/>
        <v>1.8699641007285055</v>
      </c>
      <c r="AW81" s="173">
        <f t="shared" si="287"/>
        <v>0.40331235775340224</v>
      </c>
      <c r="AX81" s="173">
        <f t="shared" si="214"/>
        <v>73.275723556661575</v>
      </c>
      <c r="AY81" s="173">
        <f t="shared" si="215"/>
        <v>0.47566915535572502</v>
      </c>
      <c r="AZ81" s="173">
        <f t="shared" si="288"/>
        <v>154.04766681132176</v>
      </c>
      <c r="BA81" s="460">
        <f t="shared" si="216"/>
        <v>0.37529538220328135</v>
      </c>
      <c r="BB81" s="5">
        <f t="shared" si="217"/>
        <v>22.530245127742905</v>
      </c>
      <c r="BC81" s="5"/>
      <c r="BD81" s="173">
        <f t="shared" si="289"/>
        <v>11.691711108106354</v>
      </c>
      <c r="BE81" s="173">
        <f t="shared" si="218"/>
        <v>0.71105114025456617</v>
      </c>
      <c r="BF81" s="173"/>
      <c r="BG81" s="528">
        <f t="shared" si="219"/>
        <v>5.4678443454167009</v>
      </c>
      <c r="BH81" s="528">
        <f t="shared" si="220"/>
        <v>4.3485566900337922</v>
      </c>
      <c r="BI81" s="528">
        <f t="shared" si="221"/>
        <v>0.13139379749046559</v>
      </c>
      <c r="BJ81" s="528">
        <f t="shared" si="222"/>
        <v>2.5487962813971247E-2</v>
      </c>
      <c r="BK81">
        <f t="shared" si="223"/>
        <v>5.1279426232889525E-3</v>
      </c>
      <c r="BL81" s="460">
        <f t="shared" si="290"/>
        <v>136.52174011375453</v>
      </c>
      <c r="BM81" s="528">
        <f t="shared" si="224"/>
        <v>-37.833312993170097</v>
      </c>
      <c r="BN81" s="460">
        <f t="shared" si="291"/>
        <v>-37833.312993170097</v>
      </c>
      <c r="BO81" s="528">
        <f t="shared" si="225"/>
        <v>0.39580799999999988</v>
      </c>
      <c r="BP81" s="528"/>
      <c r="BR81" s="460">
        <f t="shared" si="292"/>
        <v>395.80799999999988</v>
      </c>
      <c r="BS81" s="528">
        <f t="shared" si="226"/>
        <v>4.1008832590625257</v>
      </c>
      <c r="BT81" s="528">
        <f t="shared" si="227"/>
        <v>1.5167811721719561E-2</v>
      </c>
      <c r="BU81" s="528">
        <f t="shared" si="228"/>
        <v>1.1627999999999998</v>
      </c>
      <c r="BV81" s="528">
        <f t="shared" si="229"/>
        <v>9.3433049579040386</v>
      </c>
      <c r="BW81" s="528">
        <f t="shared" si="230"/>
        <v>7.3275723556661578</v>
      </c>
      <c r="BX81" s="460">
        <f t="shared" si="293"/>
        <v>16670.877313570196</v>
      </c>
      <c r="BY81" s="173">
        <f t="shared" si="231"/>
        <v>-20.630105939486146</v>
      </c>
      <c r="BZ81" s="5">
        <f t="shared" si="294"/>
        <v>77.52</v>
      </c>
      <c r="CA81" s="173">
        <f t="shared" si="295"/>
        <v>1.3626321736078797</v>
      </c>
      <c r="CB81" s="5">
        <f t="shared" si="296"/>
        <v>136.26321736078796</v>
      </c>
      <c r="CE81" s="562">
        <f t="shared" si="232"/>
        <v>-50</v>
      </c>
      <c r="CF81">
        <f t="shared" si="233"/>
        <v>-50</v>
      </c>
      <c r="CG81" s="173">
        <f t="shared" si="234"/>
        <v>0.57796144561999585</v>
      </c>
      <c r="CI81" s="170">
        <v>76</v>
      </c>
      <c r="CJ81" s="217">
        <f t="shared" si="297"/>
        <v>0.45599999999999996</v>
      </c>
      <c r="CK81" s="217"/>
      <c r="CL81" s="217">
        <f t="shared" si="235"/>
        <v>77.52</v>
      </c>
      <c r="CM81" s="541">
        <f t="shared" si="236"/>
        <v>12.5</v>
      </c>
      <c r="CN81" s="172">
        <f t="shared" si="237"/>
        <v>8.5250000000000004</v>
      </c>
      <c r="CO81" s="443">
        <f t="shared" si="238"/>
        <v>21.024999999999999</v>
      </c>
      <c r="CP81" s="443"/>
      <c r="CQ81" s="217">
        <f t="shared" si="239"/>
        <v>0.40546967895362668</v>
      </c>
      <c r="CR81" s="172">
        <f t="shared" si="240"/>
        <v>170.84633868410626</v>
      </c>
      <c r="CS81" s="172">
        <f t="shared" si="298"/>
        <v>77.52</v>
      </c>
      <c r="CT81" s="217">
        <f t="shared" si="241"/>
        <v>1.0049784628476839</v>
      </c>
      <c r="CU81" s="217">
        <f t="shared" si="242"/>
        <v>170</v>
      </c>
      <c r="CV81" s="217">
        <f t="shared" si="243"/>
        <v>0.99379823272947732</v>
      </c>
      <c r="CW81" s="172">
        <f t="shared" si="244"/>
        <v>663.93082100612412</v>
      </c>
      <c r="CX81" s="172">
        <f t="shared" si="245"/>
        <v>170</v>
      </c>
      <c r="CY81" s="217">
        <f t="shared" si="246"/>
        <v>30.589710263929611</v>
      </c>
      <c r="CZ81" s="217">
        <f t="shared" si="247"/>
        <v>1.2235884105571844</v>
      </c>
      <c r="DA81" s="217">
        <f t="shared" si="248"/>
        <v>1.7941179040427921</v>
      </c>
      <c r="DB81" s="197">
        <f t="shared" si="249"/>
        <v>350</v>
      </c>
      <c r="DC81" s="443">
        <f t="shared" si="299"/>
        <v>331.37750852755153</v>
      </c>
      <c r="DE81" s="217">
        <f t="shared" si="250"/>
        <v>28.962119925259049</v>
      </c>
      <c r="DF81" s="173">
        <f t="shared" si="251"/>
        <v>1.6986580601324954</v>
      </c>
      <c r="DG81" s="173">
        <f t="shared" si="252"/>
        <v>0.4304714614336958</v>
      </c>
      <c r="DH81" s="173"/>
      <c r="DI81" s="173">
        <f t="shared" si="253"/>
        <v>0.78201368523949166</v>
      </c>
      <c r="DJ81" s="545">
        <f t="shared" si="300"/>
        <v>1749.3299999999997</v>
      </c>
      <c r="DK81" s="528">
        <f t="shared" si="254"/>
        <v>9.1234929944607357E-2</v>
      </c>
      <c r="DM81" s="173">
        <f t="shared" si="255"/>
        <v>29.808531856308711</v>
      </c>
      <c r="DN81" s="173">
        <f t="shared" si="256"/>
        <v>30.589710263929611</v>
      </c>
      <c r="DO81" s="173">
        <f t="shared" si="257"/>
        <v>13.982501430071313</v>
      </c>
      <c r="DQ81" s="545">
        <f t="shared" si="258"/>
        <v>455.99999999999994</v>
      </c>
      <c r="DR81" s="460">
        <f t="shared" si="259"/>
        <v>331.37750852755153</v>
      </c>
      <c r="DT81">
        <f t="shared" si="260"/>
        <v>455.99999999999994</v>
      </c>
      <c r="DU81">
        <f t="shared" si="261"/>
        <v>331.37750852755153</v>
      </c>
      <c r="DW81" s="5">
        <f t="shared" si="301"/>
        <v>3.0177063145999767</v>
      </c>
      <c r="DX81" s="5">
        <f t="shared" si="262"/>
        <v>1.2235884105571844</v>
      </c>
      <c r="DY81" s="5">
        <f t="shared" si="302"/>
        <v>1.7941179040427924</v>
      </c>
      <c r="DZ81" s="5">
        <f t="shared" si="263"/>
        <v>1.7941179040427921</v>
      </c>
      <c r="EA81" s="173">
        <f t="shared" si="303"/>
        <v>0.40546967895362662</v>
      </c>
      <c r="EB81" s="173">
        <f t="shared" si="264"/>
        <v>77.519999999999968</v>
      </c>
      <c r="EC81" s="173">
        <f t="shared" si="265"/>
        <v>0.4546627565982404</v>
      </c>
      <c r="ED81" s="173">
        <f t="shared" si="304"/>
        <v>170.49999999999994</v>
      </c>
      <c r="EE81" s="460">
        <f t="shared" si="266"/>
        <v>0.32820959718475062</v>
      </c>
      <c r="EF81" s="5">
        <f t="shared" si="267"/>
        <v>17.80224254993885</v>
      </c>
      <c r="EG81" s="5"/>
      <c r="EH81" s="173">
        <f t="shared" si="305"/>
        <v>11.245892499716977</v>
      </c>
      <c r="EI81" s="173">
        <f t="shared" si="268"/>
        <v>0.68088182998568658</v>
      </c>
      <c r="EJ81" s="173"/>
      <c r="EK81" s="528">
        <f t="shared" si="269"/>
        <v>5.0588039246076226</v>
      </c>
      <c r="EL81" s="528">
        <f t="shared" si="270"/>
        <v>5.8609374999999995</v>
      </c>
      <c r="EM81" s="528">
        <f t="shared" si="271"/>
        <v>6.6275501705510304E-2</v>
      </c>
      <c r="EN81" s="528">
        <f t="shared" si="272"/>
        <v>2.9297126951109396E-2</v>
      </c>
      <c r="EO81">
        <f t="shared" si="273"/>
        <v>5.6249999999999998E-3</v>
      </c>
      <c r="EP81" s="460">
        <f t="shared" si="306"/>
        <v>71.900501705510308</v>
      </c>
      <c r="EQ81" s="528">
        <f t="shared" si="274"/>
        <v>-61.329429886260094</v>
      </c>
      <c r="ER81" s="460">
        <f t="shared" si="307"/>
        <v>-61329.429886260092</v>
      </c>
      <c r="ES81" s="528">
        <f t="shared" si="308"/>
        <v>0.39580799999999988</v>
      </c>
      <c r="ET81" s="528"/>
      <c r="EV81" s="460">
        <f t="shared" si="309"/>
        <v>395.80799999999988</v>
      </c>
      <c r="EW81" s="528">
        <f t="shared" si="275"/>
        <v>3.7941029434557163</v>
      </c>
      <c r="EX81" s="528">
        <f t="shared" si="276"/>
        <v>1.3908001992139721E-2</v>
      </c>
      <c r="EY81" s="528">
        <f t="shared" si="277"/>
        <v>517.26844275253927</v>
      </c>
      <c r="EZ81" s="528">
        <f t="shared" si="278"/>
        <v>750.67739537062494</v>
      </c>
      <c r="FA81" s="528">
        <f t="shared" si="279"/>
        <v>7.751999999999998</v>
      </c>
      <c r="FB81" s="460">
        <f t="shared" si="310"/>
        <v>758429.39537062484</v>
      </c>
      <c r="FC81" s="173">
        <f t="shared" si="311"/>
        <v>697.4957734843648</v>
      </c>
      <c r="FD81" s="5">
        <f t="shared" si="312"/>
        <v>77.52</v>
      </c>
      <c r="FE81" s="173">
        <f t="shared" si="313"/>
        <v>0.10002377067950591</v>
      </c>
      <c r="FF81" s="5">
        <f t="shared" si="314"/>
        <v>10.00237706795059</v>
      </c>
      <c r="FI81" s="562">
        <f t="shared" si="280"/>
        <v>-50</v>
      </c>
      <c r="FJ81">
        <f t="shared" si="281"/>
        <v>-50</v>
      </c>
      <c r="FL81">
        <f t="shared" si="282"/>
        <v>0.59453032104637338</v>
      </c>
    </row>
    <row r="82" spans="5:168">
      <c r="E82" s="170">
        <v>77</v>
      </c>
      <c r="F82" s="217">
        <f t="shared" si="283"/>
        <v>0.46199999999999997</v>
      </c>
      <c r="G82" s="217"/>
      <c r="H82" s="217">
        <f t="shared" si="183"/>
        <v>78.539999999999992</v>
      </c>
      <c r="I82" s="541">
        <f t="shared" si="184"/>
        <v>11.381310708328453</v>
      </c>
      <c r="J82" s="172">
        <f t="shared" si="185"/>
        <v>8.5261985956696478</v>
      </c>
      <c r="K82" s="172">
        <f t="shared" si="186"/>
        <v>21.026198595669648</v>
      </c>
      <c r="L82" s="443"/>
      <c r="M82" s="217">
        <f t="shared" si="187"/>
        <v>0.4282896276158058</v>
      </c>
      <c r="N82" s="172">
        <f t="shared" si="188"/>
        <v>164.31118066521955</v>
      </c>
      <c r="O82" s="172">
        <f t="shared" si="284"/>
        <v>78.539999999999992</v>
      </c>
      <c r="P82" s="217">
        <f t="shared" si="189"/>
        <v>0.96653635685423267</v>
      </c>
      <c r="Q82" s="217">
        <f t="shared" si="190"/>
        <v>170</v>
      </c>
      <c r="R82" s="217">
        <f t="shared" si="191"/>
        <v>0.95578378922544649</v>
      </c>
      <c r="S82" s="172">
        <f t="shared" si="192"/>
        <v>593.72770573697869</v>
      </c>
      <c r="T82" s="172">
        <f t="shared" si="193"/>
        <v>170</v>
      </c>
      <c r="U82" s="217">
        <f t="shared" si="194"/>
        <v>32.324059336081596</v>
      </c>
      <c r="V82" s="217">
        <f t="shared" si="195"/>
        <v>1.4200499469901986</v>
      </c>
      <c r="W82" s="217">
        <f t="shared" si="196"/>
        <v>1.895572744018571</v>
      </c>
      <c r="X82" s="197">
        <f t="shared" si="197"/>
        <v>350</v>
      </c>
      <c r="Y82" s="443">
        <f t="shared" si="198"/>
        <v>284.44463126191187</v>
      </c>
      <c r="AA82" s="217">
        <f t="shared" si="199"/>
        <v>27.854332007194955</v>
      </c>
      <c r="AB82" s="173">
        <f t="shared" si="200"/>
        <v>1.6334555015726371</v>
      </c>
      <c r="AC82" s="173">
        <f t="shared" si="201"/>
        <v>0.3981146037731047</v>
      </c>
      <c r="AD82" s="173"/>
      <c r="AE82" s="173">
        <f t="shared" si="202"/>
        <v>0.78190375134501144</v>
      </c>
      <c r="AF82" s="545">
        <f t="shared" si="203"/>
        <v>1772.5966880397195</v>
      </c>
      <c r="AG82" s="528">
        <f t="shared" si="204"/>
        <v>9.1222104323584685E-2</v>
      </c>
      <c r="AI82" s="173">
        <f t="shared" si="205"/>
        <v>30.006108906399625</v>
      </c>
      <c r="AJ82" s="173">
        <f t="shared" si="206"/>
        <v>32.324059336081596</v>
      </c>
      <c r="AK82" s="173">
        <f t="shared" si="207"/>
        <v>15.267204446480193</v>
      </c>
      <c r="AM82" s="545">
        <f t="shared" si="208"/>
        <v>461.99999999999994</v>
      </c>
      <c r="AN82" s="460">
        <f t="shared" si="209"/>
        <v>284.44463126191187</v>
      </c>
      <c r="AP82">
        <f t="shared" si="210"/>
        <v>461.99999999999994</v>
      </c>
      <c r="AQ82">
        <f t="shared" si="211"/>
        <v>284.44463126191187</v>
      </c>
      <c r="AS82" s="5">
        <f t="shared" si="285"/>
        <v>3.5156226910087707</v>
      </c>
      <c r="AT82" s="5">
        <f t="shared" si="212"/>
        <v>1.4200499469901986</v>
      </c>
      <c r="AU82" s="5">
        <f t="shared" si="286"/>
        <v>2.0955727440185719</v>
      </c>
      <c r="AV82" s="5">
        <f t="shared" si="213"/>
        <v>1.895572744018571</v>
      </c>
      <c r="AW82" s="173">
        <f t="shared" si="287"/>
        <v>0.40392558354512448</v>
      </c>
      <c r="AX82" s="173">
        <f t="shared" si="214"/>
        <v>74.300124316150431</v>
      </c>
      <c r="AY82" s="173">
        <f t="shared" si="215"/>
        <v>0.48168862015519015</v>
      </c>
      <c r="AZ82" s="173">
        <f t="shared" si="288"/>
        <v>154.24928305803127</v>
      </c>
      <c r="BA82" s="460">
        <f t="shared" si="216"/>
        <v>0.38591945618204221</v>
      </c>
      <c r="BB82" s="5">
        <f t="shared" si="217"/>
        <v>23.137761550754256</v>
      </c>
      <c r="BC82" s="5"/>
      <c r="BD82" s="173">
        <f t="shared" si="289"/>
        <v>11.860853684650447</v>
      </c>
      <c r="BE82" s="173">
        <f t="shared" si="218"/>
        <v>0.72041958929991257</v>
      </c>
      <c r="BF82" s="173"/>
      <c r="BG82" s="528">
        <f t="shared" si="219"/>
        <v>5.6271940051474436</v>
      </c>
      <c r="BH82" s="528">
        <f t="shared" si="220"/>
        <v>4.3497762393642851</v>
      </c>
      <c r="BI82" s="528">
        <f t="shared" si="221"/>
        <v>0.12949410910830944</v>
      </c>
      <c r="BJ82" s="528">
        <f t="shared" si="222"/>
        <v>2.5150652742981592E-2</v>
      </c>
      <c r="BK82">
        <f t="shared" si="223"/>
        <v>5.1215898187478032E-3</v>
      </c>
      <c r="BL82" s="460">
        <f t="shared" si="290"/>
        <v>134.61569892705725</v>
      </c>
      <c r="BM82" s="528">
        <f t="shared" si="224"/>
        <v>-34.186158050770743</v>
      </c>
      <c r="BN82" s="460">
        <f t="shared" si="291"/>
        <v>-34186.15805077074</v>
      </c>
      <c r="BO82" s="528">
        <f t="shared" si="225"/>
        <v>0.40101599999999993</v>
      </c>
      <c r="BP82" s="528"/>
      <c r="BR82" s="460">
        <f t="shared" si="292"/>
        <v>401.01599999999991</v>
      </c>
      <c r="BS82" s="528">
        <f t="shared" si="226"/>
        <v>4.2203955038605825</v>
      </c>
      <c r="BT82" s="528">
        <f t="shared" si="227"/>
        <v>1.557013153941164E-2</v>
      </c>
      <c r="BU82" s="528">
        <f t="shared" si="228"/>
        <v>1.1780999999999999</v>
      </c>
      <c r="BV82" s="528">
        <f t="shared" si="229"/>
        <v>9.7269340617741502</v>
      </c>
      <c r="BW82" s="528">
        <f t="shared" si="230"/>
        <v>7.4300124316150447</v>
      </c>
      <c r="BX82" s="460">
        <f t="shared" si="293"/>
        <v>17156.946493389194</v>
      </c>
      <c r="BY82" s="173">
        <f t="shared" si="231"/>
        <v>-16.493579858454488</v>
      </c>
      <c r="BZ82" s="5">
        <f t="shared" si="294"/>
        <v>78.539999999999992</v>
      </c>
      <c r="CA82" s="173">
        <f t="shared" si="295"/>
        <v>1.2658264541423654</v>
      </c>
      <c r="CB82" s="5">
        <f t="shared" si="296"/>
        <v>126.58264541423654</v>
      </c>
      <c r="CE82" s="562">
        <f t="shared" si="232"/>
        <v>-50</v>
      </c>
      <c r="CF82">
        <f t="shared" si="233"/>
        <v>-50</v>
      </c>
      <c r="CG82" s="173">
        <f t="shared" si="234"/>
        <v>0.57817662582033824</v>
      </c>
      <c r="CI82" s="170">
        <v>77</v>
      </c>
      <c r="CJ82" s="217">
        <f t="shared" si="297"/>
        <v>0.46199999999999997</v>
      </c>
      <c r="CK82" s="217"/>
      <c r="CL82" s="217">
        <f t="shared" si="235"/>
        <v>78.539999999999992</v>
      </c>
      <c r="CM82" s="541">
        <f t="shared" si="236"/>
        <v>12.5</v>
      </c>
      <c r="CN82" s="172">
        <f t="shared" si="237"/>
        <v>8.5250000000000004</v>
      </c>
      <c r="CO82" s="443">
        <f t="shared" si="238"/>
        <v>21.024999999999999</v>
      </c>
      <c r="CP82" s="443"/>
      <c r="CQ82" s="217">
        <f t="shared" si="239"/>
        <v>0.40546967895362668</v>
      </c>
      <c r="CR82" s="172">
        <f t="shared" si="240"/>
        <v>170.84633868410626</v>
      </c>
      <c r="CS82" s="172">
        <f t="shared" si="298"/>
        <v>78.539999999999992</v>
      </c>
      <c r="CT82" s="217">
        <f t="shared" si="241"/>
        <v>1.0049784628476839</v>
      </c>
      <c r="CU82" s="217">
        <f t="shared" si="242"/>
        <v>170</v>
      </c>
      <c r="CV82" s="217">
        <f t="shared" si="243"/>
        <v>0.99379823272947732</v>
      </c>
      <c r="CW82" s="172">
        <f t="shared" si="244"/>
        <v>652.06745295530993</v>
      </c>
      <c r="CX82" s="172">
        <f t="shared" si="245"/>
        <v>170</v>
      </c>
      <c r="CY82" s="217">
        <f t="shared" si="246"/>
        <v>30.992206451612894</v>
      </c>
      <c r="CZ82" s="217">
        <f t="shared" si="247"/>
        <v>1.2396882580645157</v>
      </c>
      <c r="DA82" s="217">
        <f t="shared" si="248"/>
        <v>1.8177247185696708</v>
      </c>
      <c r="DB82" s="197">
        <f t="shared" si="249"/>
        <v>350</v>
      </c>
      <c r="DC82" s="443">
        <f t="shared" si="299"/>
        <v>327.07390452070035</v>
      </c>
      <c r="DE82" s="217">
        <f t="shared" si="250"/>
        <v>28.962119925259049</v>
      </c>
      <c r="DF82" s="173">
        <f t="shared" si="251"/>
        <v>1.6986580601324954</v>
      </c>
      <c r="DG82" s="173">
        <f t="shared" si="252"/>
        <v>0.4304714614336958</v>
      </c>
      <c r="DH82" s="173"/>
      <c r="DI82" s="173">
        <f t="shared" si="253"/>
        <v>0.78201368523949166</v>
      </c>
      <c r="DJ82" s="545">
        <f t="shared" si="300"/>
        <v>1772.3474999999999</v>
      </c>
      <c r="DK82" s="528">
        <f t="shared" si="254"/>
        <v>9.1234929944607357E-2</v>
      </c>
      <c r="DM82" s="173">
        <f t="shared" si="255"/>
        <v>30.003999733368882</v>
      </c>
      <c r="DN82" s="173">
        <f t="shared" si="256"/>
        <v>30.992206451612894</v>
      </c>
      <c r="DO82" s="173">
        <f t="shared" si="257"/>
        <v>14.280646754281154</v>
      </c>
      <c r="DQ82" s="545">
        <f t="shared" si="258"/>
        <v>461.99999999999994</v>
      </c>
      <c r="DR82" s="460">
        <f t="shared" si="259"/>
        <v>327.07390452070035</v>
      </c>
      <c r="DT82">
        <f t="shared" si="260"/>
        <v>461.99999999999994</v>
      </c>
      <c r="DU82">
        <f t="shared" si="261"/>
        <v>327.07390452070035</v>
      </c>
      <c r="DW82" s="5">
        <f t="shared" si="301"/>
        <v>3.0574129766341862</v>
      </c>
      <c r="DX82" s="5">
        <f t="shared" si="262"/>
        <v>1.2396882580645157</v>
      </c>
      <c r="DY82" s="5">
        <f t="shared" si="302"/>
        <v>1.8177247185696706</v>
      </c>
      <c r="DZ82" s="5">
        <f t="shared" si="263"/>
        <v>1.8177247185696708</v>
      </c>
      <c r="EA82" s="173">
        <f t="shared" si="303"/>
        <v>0.40546967895362668</v>
      </c>
      <c r="EB82" s="173">
        <f t="shared" si="264"/>
        <v>78.539999999999992</v>
      </c>
      <c r="EC82" s="173">
        <f t="shared" si="265"/>
        <v>0.4606451612903224</v>
      </c>
      <c r="ED82" s="173">
        <f t="shared" si="304"/>
        <v>170.50000000000006</v>
      </c>
      <c r="EE82" s="460">
        <f t="shared" si="266"/>
        <v>0.33690351483870951</v>
      </c>
      <c r="EF82" s="5">
        <f t="shared" si="267"/>
        <v>18.273804722747123</v>
      </c>
      <c r="EG82" s="5"/>
      <c r="EH82" s="173">
        <f t="shared" si="305"/>
        <v>11.393864769450095</v>
      </c>
      <c r="EI82" s="173">
        <f t="shared" si="268"/>
        <v>0.68984080143286663</v>
      </c>
      <c r="EJ82" s="173"/>
      <c r="EK82" s="528">
        <f t="shared" si="269"/>
        <v>5.1928061753806434</v>
      </c>
      <c r="EL82" s="528">
        <f t="shared" si="270"/>
        <v>5.8609375000000021</v>
      </c>
      <c r="EM82" s="528">
        <f t="shared" si="271"/>
        <v>6.541478090414006E-2</v>
      </c>
      <c r="EN82" s="528">
        <f t="shared" si="272"/>
        <v>2.8916644782913184E-2</v>
      </c>
      <c r="EO82">
        <f t="shared" si="273"/>
        <v>5.6249999999999998E-3</v>
      </c>
      <c r="EP82" s="460">
        <f t="shared" si="306"/>
        <v>71.039780904140059</v>
      </c>
      <c r="EQ82" s="528">
        <f t="shared" si="274"/>
        <v>-53.700515972850759</v>
      </c>
      <c r="ER82" s="460">
        <f t="shared" si="307"/>
        <v>-53700.515972850757</v>
      </c>
      <c r="ES82" s="528">
        <f t="shared" si="308"/>
        <v>0.40101599999999993</v>
      </c>
      <c r="ET82" s="528"/>
      <c r="EV82" s="460">
        <f t="shared" si="309"/>
        <v>401.01599999999991</v>
      </c>
      <c r="EW82" s="528">
        <f t="shared" si="275"/>
        <v>3.8946046315354823</v>
      </c>
      <c r="EX82" s="528">
        <f t="shared" si="276"/>
        <v>1.4276409939646191E-2</v>
      </c>
      <c r="EY82" s="528">
        <f t="shared" si="277"/>
        <v>517.2684427525403</v>
      </c>
      <c r="EZ82" s="528">
        <f t="shared" si="278"/>
        <v>759.67324187421502</v>
      </c>
      <c r="FA82" s="528">
        <f t="shared" si="279"/>
        <v>7.8540000000000019</v>
      </c>
      <c r="FB82" s="460">
        <f t="shared" si="310"/>
        <v>767527.24187421508</v>
      </c>
      <c r="FC82" s="173">
        <f t="shared" si="311"/>
        <v>714.22774190136431</v>
      </c>
      <c r="FD82" s="5">
        <f t="shared" si="312"/>
        <v>78.539999999999992</v>
      </c>
      <c r="FE82" s="173">
        <f t="shared" si="313"/>
        <v>9.9070630461868481E-2</v>
      </c>
      <c r="FF82" s="5">
        <f t="shared" si="314"/>
        <v>9.907063046186849</v>
      </c>
      <c r="FI82" s="562">
        <f t="shared" si="280"/>
        <v>-50</v>
      </c>
      <c r="FJ82">
        <f t="shared" si="281"/>
        <v>-50</v>
      </c>
      <c r="FL82">
        <f t="shared" si="282"/>
        <v>0.59453032104637327</v>
      </c>
    </row>
    <row r="83" spans="5:168">
      <c r="E83" s="170">
        <v>78</v>
      </c>
      <c r="F83" s="217">
        <f t="shared" si="283"/>
        <v>0.46799999999999997</v>
      </c>
      <c r="G83" s="217"/>
      <c r="H83" s="217">
        <f t="shared" si="183"/>
        <v>79.56</v>
      </c>
      <c r="I83" s="541">
        <f t="shared" si="184"/>
        <v>11.367193062945896</v>
      </c>
      <c r="J83" s="172">
        <f t="shared" si="185"/>
        <v>8.526213721718273</v>
      </c>
      <c r="K83" s="172">
        <f t="shared" si="186"/>
        <v>21.026213721718271</v>
      </c>
      <c r="L83" s="443"/>
      <c r="M83" s="217">
        <f t="shared" si="187"/>
        <v>0.42859400512803669</v>
      </c>
      <c r="N83" s="172">
        <f t="shared" si="188"/>
        <v>164.2239932811041</v>
      </c>
      <c r="O83" s="172">
        <f t="shared" si="284"/>
        <v>79.56</v>
      </c>
      <c r="P83" s="217">
        <f t="shared" si="189"/>
        <v>0.96602348988884768</v>
      </c>
      <c r="Q83" s="217">
        <f t="shared" si="190"/>
        <v>170</v>
      </c>
      <c r="R83" s="217">
        <f t="shared" si="191"/>
        <v>0.95527662782580713</v>
      </c>
      <c r="S83" s="172">
        <f t="shared" si="192"/>
        <v>582.48025846364533</v>
      </c>
      <c r="T83" s="172">
        <f t="shared" si="193"/>
        <v>170</v>
      </c>
      <c r="U83" s="217">
        <f t="shared" si="194"/>
        <v>32.76129436512938</v>
      </c>
      <c r="V83" s="217">
        <f t="shared" si="195"/>
        <v>1.4410459197672427</v>
      </c>
      <c r="W83" s="217">
        <f t="shared" si="196"/>
        <v>1.9212100138704387</v>
      </c>
      <c r="X83" s="197">
        <f t="shared" si="197"/>
        <v>350</v>
      </c>
      <c r="Y83" s="443">
        <f t="shared" si="198"/>
        <v>280.72098654035409</v>
      </c>
      <c r="AA83" s="217">
        <f t="shared" si="199"/>
        <v>27.839551787127789</v>
      </c>
      <c r="AB83" s="173">
        <f t="shared" si="200"/>
        <v>1.6325858520420322</v>
      </c>
      <c r="AC83" s="173">
        <f t="shared" si="201"/>
        <v>0.39769151077999265</v>
      </c>
      <c r="AD83" s="173"/>
      <c r="AE83" s="173">
        <f t="shared" si="202"/>
        <v>0.78190236419773262</v>
      </c>
      <c r="AF83" s="545">
        <f t="shared" si="203"/>
        <v>1795.6206097938682</v>
      </c>
      <c r="AG83" s="528">
        <f t="shared" si="204"/>
        <v>9.1221942489735461E-2</v>
      </c>
      <c r="AI83" s="173">
        <f t="shared" si="205"/>
        <v>30.200352019761628</v>
      </c>
      <c r="AJ83" s="173">
        <f t="shared" si="206"/>
        <v>32.76129436512938</v>
      </c>
      <c r="AK83" s="173">
        <f t="shared" si="207"/>
        <v>15.591082245774848</v>
      </c>
      <c r="AM83" s="545">
        <f t="shared" si="208"/>
        <v>468</v>
      </c>
      <c r="AN83" s="460">
        <f t="shared" si="209"/>
        <v>280.72098654035409</v>
      </c>
      <c r="AP83">
        <f t="shared" si="210"/>
        <v>468</v>
      </c>
      <c r="AQ83">
        <f t="shared" si="211"/>
        <v>280.72098654035409</v>
      </c>
      <c r="AS83" s="5">
        <f t="shared" si="285"/>
        <v>3.5622559336376813</v>
      </c>
      <c r="AT83" s="5">
        <f t="shared" si="212"/>
        <v>1.4410459197672427</v>
      </c>
      <c r="AU83" s="5">
        <f t="shared" si="286"/>
        <v>2.1212100138704386</v>
      </c>
      <c r="AV83" s="5">
        <f t="shared" si="213"/>
        <v>1.9212100138704387</v>
      </c>
      <c r="AW83" s="173">
        <f t="shared" si="287"/>
        <v>0.40453183224701234</v>
      </c>
      <c r="AX83" s="173">
        <f t="shared" si="214"/>
        <v>75.324627741066735</v>
      </c>
      <c r="AY83" s="173">
        <f t="shared" si="215"/>
        <v>0.48770769822049675</v>
      </c>
      <c r="AZ83" s="173">
        <f t="shared" si="288"/>
        <v>154.44625544338206</v>
      </c>
      <c r="BA83" s="460">
        <f t="shared" si="216"/>
        <v>0.3967114649712174</v>
      </c>
      <c r="BB83" s="5">
        <f t="shared" si="217"/>
        <v>23.75446149549898</v>
      </c>
      <c r="BC83" s="5"/>
      <c r="BD83" s="173">
        <f t="shared" si="289"/>
        <v>12.030308805360495</v>
      </c>
      <c r="BE83" s="173">
        <f t="shared" si="218"/>
        <v>0.72979301781490036</v>
      </c>
      <c r="BF83" s="173"/>
      <c r="BG83" s="528">
        <f t="shared" si="219"/>
        <v>5.7891331980933698</v>
      </c>
      <c r="BH83" s="528">
        <f t="shared" si="220"/>
        <v>4.3509042511167442</v>
      </c>
      <c r="BI83" s="528">
        <f t="shared" si="221"/>
        <v>0.12764038603299366</v>
      </c>
      <c r="BJ83" s="528">
        <f t="shared" si="222"/>
        <v>2.4821443024163135E-2</v>
      </c>
      <c r="BK83">
        <f t="shared" si="223"/>
        <v>5.1152368783256531E-3</v>
      </c>
      <c r="BL83" s="460">
        <f t="shared" si="290"/>
        <v>132.75562291131931</v>
      </c>
      <c r="BM83" s="528">
        <f t="shared" si="224"/>
        <v>-31.232984891239589</v>
      </c>
      <c r="BN83" s="460">
        <f t="shared" si="291"/>
        <v>-31232.98489123959</v>
      </c>
      <c r="BO83" s="528">
        <f t="shared" si="225"/>
        <v>0.40622399999999992</v>
      </c>
      <c r="BP83" s="528"/>
      <c r="BR83" s="460">
        <f t="shared" si="292"/>
        <v>406.22399999999993</v>
      </c>
      <c r="BS83" s="528">
        <f t="shared" si="226"/>
        <v>4.3418498985700271</v>
      </c>
      <c r="BT83" s="528">
        <f t="shared" si="227"/>
        <v>1.5977935465541385E-2</v>
      </c>
      <c r="BU83" s="528">
        <f t="shared" si="228"/>
        <v>1.1934</v>
      </c>
      <c r="BV83" s="528">
        <f t="shared" si="229"/>
        <v>10.127989158994106</v>
      </c>
      <c r="BW83" s="528">
        <f t="shared" si="230"/>
        <v>7.5324627741066754</v>
      </c>
      <c r="BX83" s="460">
        <f t="shared" si="293"/>
        <v>17660.45193310078</v>
      </c>
      <c r="BY83" s="173">
        <f t="shared" si="231"/>
        <v>-13.033553335227488</v>
      </c>
      <c r="BZ83" s="5">
        <f t="shared" si="294"/>
        <v>79.56</v>
      </c>
      <c r="CA83" s="173">
        <f t="shared" si="295"/>
        <v>1.1959153688292372</v>
      </c>
      <c r="CB83" s="5">
        <f t="shared" si="296"/>
        <v>119.59153688292372</v>
      </c>
      <c r="CE83" s="562">
        <f t="shared" si="232"/>
        <v>-50</v>
      </c>
      <c r="CF83">
        <f t="shared" si="233"/>
        <v>-50</v>
      </c>
      <c r="CG83" s="173">
        <f t="shared" si="234"/>
        <v>0.57838628857964636</v>
      </c>
      <c r="CI83" s="170">
        <v>78</v>
      </c>
      <c r="CJ83" s="217">
        <f t="shared" si="297"/>
        <v>0.46799999999999997</v>
      </c>
      <c r="CK83" s="217"/>
      <c r="CL83" s="217">
        <f t="shared" si="235"/>
        <v>79.56</v>
      </c>
      <c r="CM83" s="541">
        <f t="shared" si="236"/>
        <v>12.5</v>
      </c>
      <c r="CN83" s="172">
        <f t="shared" si="237"/>
        <v>8.5250000000000004</v>
      </c>
      <c r="CO83" s="443">
        <f t="shared" si="238"/>
        <v>21.024999999999999</v>
      </c>
      <c r="CP83" s="443"/>
      <c r="CQ83" s="217">
        <f t="shared" si="239"/>
        <v>0.40546967895362668</v>
      </c>
      <c r="CR83" s="172">
        <f t="shared" si="240"/>
        <v>170.84633868410626</v>
      </c>
      <c r="CS83" s="172">
        <f t="shared" si="298"/>
        <v>79.56</v>
      </c>
      <c r="CT83" s="217">
        <f t="shared" si="241"/>
        <v>1.0049784628476839</v>
      </c>
      <c r="CU83" s="217">
        <f t="shared" si="242"/>
        <v>170</v>
      </c>
      <c r="CV83" s="217">
        <f t="shared" si="243"/>
        <v>0.99379823272947732</v>
      </c>
      <c r="CW83" s="172">
        <f t="shared" si="244"/>
        <v>640.50839555960238</v>
      </c>
      <c r="CX83" s="172">
        <f t="shared" si="245"/>
        <v>170</v>
      </c>
      <c r="CY83" s="217">
        <f t="shared" si="246"/>
        <v>31.394702639296185</v>
      </c>
      <c r="CZ83" s="217">
        <f t="shared" si="247"/>
        <v>1.2557881055718474</v>
      </c>
      <c r="DA83" s="217">
        <f t="shared" si="248"/>
        <v>1.8413315330965503</v>
      </c>
      <c r="DB83" s="197">
        <f t="shared" si="249"/>
        <v>350</v>
      </c>
      <c r="DC83" s="443">
        <f t="shared" si="299"/>
        <v>322.8806493345374</v>
      </c>
      <c r="DE83" s="217">
        <f t="shared" si="250"/>
        <v>28.962119925259049</v>
      </c>
      <c r="DF83" s="173">
        <f t="shared" si="251"/>
        <v>1.6986580601324954</v>
      </c>
      <c r="DG83" s="173">
        <f t="shared" si="252"/>
        <v>0.4304714614336958</v>
      </c>
      <c r="DH83" s="173"/>
      <c r="DI83" s="173">
        <f t="shared" si="253"/>
        <v>0.78201368523949166</v>
      </c>
      <c r="DJ83" s="545">
        <f t="shared" si="300"/>
        <v>1795.3649999999998</v>
      </c>
      <c r="DK83" s="528">
        <f t="shared" si="254"/>
        <v>9.1234929944607357E-2</v>
      </c>
      <c r="DM83" s="173">
        <f t="shared" si="255"/>
        <v>30.198202406292804</v>
      </c>
      <c r="DN83" s="173">
        <f t="shared" si="256"/>
        <v>31.394702639296185</v>
      </c>
      <c r="DO83" s="173">
        <f t="shared" si="257"/>
        <v>14.578792078490997</v>
      </c>
      <c r="DQ83" s="545">
        <f t="shared" si="258"/>
        <v>468</v>
      </c>
      <c r="DR83" s="460">
        <f t="shared" si="259"/>
        <v>322.8806493345374</v>
      </c>
      <c r="DT83">
        <f t="shared" si="260"/>
        <v>468</v>
      </c>
      <c r="DU83">
        <f t="shared" si="261"/>
        <v>322.8806493345374</v>
      </c>
      <c r="DW83" s="5">
        <f t="shared" si="301"/>
        <v>3.0971196386683975</v>
      </c>
      <c r="DX83" s="5">
        <f t="shared" si="262"/>
        <v>1.2557881055718474</v>
      </c>
      <c r="DY83" s="5">
        <f t="shared" si="302"/>
        <v>1.8413315330965501</v>
      </c>
      <c r="DZ83" s="5">
        <f t="shared" si="263"/>
        <v>1.8413315330965503</v>
      </c>
      <c r="EA83" s="173">
        <f t="shared" si="303"/>
        <v>0.40546967895362668</v>
      </c>
      <c r="EB83" s="173">
        <f t="shared" si="264"/>
        <v>79.56</v>
      </c>
      <c r="EC83" s="173">
        <f t="shared" si="265"/>
        <v>0.46662756598240462</v>
      </c>
      <c r="ED83" s="173">
        <f t="shared" si="304"/>
        <v>170.50000000000003</v>
      </c>
      <c r="EE83" s="460">
        <f t="shared" si="266"/>
        <v>0.34571107847507332</v>
      </c>
      <c r="EF83" s="5">
        <f t="shared" si="267"/>
        <v>18.751531106964674</v>
      </c>
      <c r="EG83" s="5"/>
      <c r="EH83" s="173">
        <f t="shared" si="305"/>
        <v>11.541837039183214</v>
      </c>
      <c r="EI83" s="173">
        <f t="shared" si="268"/>
        <v>0.69879977288004691</v>
      </c>
      <c r="EJ83" s="173"/>
      <c r="EK83" s="528">
        <f t="shared" si="269"/>
        <v>5.328560089562461</v>
      </c>
      <c r="EL83" s="528">
        <f t="shared" si="270"/>
        <v>5.8609375000000004</v>
      </c>
      <c r="EM83" s="528">
        <f t="shared" si="271"/>
        <v>6.4576129866907472E-2</v>
      </c>
      <c r="EN83" s="528">
        <f t="shared" si="272"/>
        <v>2.8545918567747616E-2</v>
      </c>
      <c r="EO83">
        <f t="shared" si="273"/>
        <v>5.6249999999999998E-3</v>
      </c>
      <c r="EP83" s="460">
        <f t="shared" si="306"/>
        <v>70.201129866907479</v>
      </c>
      <c r="EQ83" s="528">
        <f t="shared" si="274"/>
        <v>-47.833852248492427</v>
      </c>
      <c r="ER83" s="460">
        <f t="shared" si="307"/>
        <v>-47833.852248492425</v>
      </c>
      <c r="ES83" s="528">
        <f t="shared" si="308"/>
        <v>0.40622399999999992</v>
      </c>
      <c r="ET83" s="528"/>
      <c r="EV83" s="460">
        <f t="shared" si="309"/>
        <v>406.22399999999993</v>
      </c>
      <c r="EW83" s="528">
        <f t="shared" si="275"/>
        <v>3.9964200671718455</v>
      </c>
      <c r="EX83" s="528">
        <f t="shared" si="276"/>
        <v>1.4649633677316155E-2</v>
      </c>
      <c r="EY83" s="528">
        <f t="shared" si="277"/>
        <v>517.2684427525403</v>
      </c>
      <c r="EZ83" s="528">
        <f t="shared" si="278"/>
        <v>769.00467841312411</v>
      </c>
      <c r="FA83" s="528">
        <f t="shared" si="279"/>
        <v>7.9560000000000013</v>
      </c>
      <c r="FB83" s="460">
        <f t="shared" si="310"/>
        <v>776960.67841312417</v>
      </c>
      <c r="FC83" s="173">
        <f t="shared" si="311"/>
        <v>729.53305016463173</v>
      </c>
      <c r="FD83" s="5">
        <f t="shared" si="312"/>
        <v>79.56</v>
      </c>
      <c r="FE83" s="173">
        <f t="shared" si="313"/>
        <v>9.8332324055695933E-2</v>
      </c>
      <c r="FF83" s="5">
        <f t="shared" si="314"/>
        <v>9.8332324055695928</v>
      </c>
      <c r="FI83" s="562">
        <f t="shared" si="280"/>
        <v>-50</v>
      </c>
      <c r="FJ83">
        <f t="shared" si="281"/>
        <v>-50</v>
      </c>
      <c r="FL83">
        <f t="shared" si="282"/>
        <v>0.59453032104637327</v>
      </c>
    </row>
    <row r="84" spans="5:168">
      <c r="E84" s="170">
        <v>79</v>
      </c>
      <c r="F84" s="217">
        <f t="shared" si="283"/>
        <v>0.47399999999999998</v>
      </c>
      <c r="G84" s="217"/>
      <c r="H84" s="217">
        <f t="shared" si="183"/>
        <v>80.58</v>
      </c>
      <c r="I84" s="541">
        <f t="shared" si="184"/>
        <v>11.353075127388212</v>
      </c>
      <c r="J84" s="172">
        <f t="shared" si="185"/>
        <v>8.5262288480777979</v>
      </c>
      <c r="K84" s="172">
        <f t="shared" si="186"/>
        <v>21.0262288480778</v>
      </c>
      <c r="L84" s="443"/>
      <c r="M84" s="217">
        <f t="shared" si="187"/>
        <v>0.42889882075632607</v>
      </c>
      <c r="N84" s="172">
        <f t="shared" si="188"/>
        <v>164.13667967011159</v>
      </c>
      <c r="O84" s="172">
        <f t="shared" si="284"/>
        <v>80.58</v>
      </c>
      <c r="P84" s="217">
        <f t="shared" si="189"/>
        <v>0.96550988041242114</v>
      </c>
      <c r="Q84" s="217">
        <f t="shared" si="190"/>
        <v>170</v>
      </c>
      <c r="R84" s="217">
        <f t="shared" si="191"/>
        <v>0.95476873217544722</v>
      </c>
      <c r="S84" s="172">
        <f t="shared" si="192"/>
        <v>571.52481217229115</v>
      </c>
      <c r="T84" s="172">
        <f t="shared" si="193"/>
        <v>170</v>
      </c>
      <c r="U84" s="217">
        <f t="shared" si="194"/>
        <v>33.199020924994905</v>
      </c>
      <c r="V84" s="217">
        <f t="shared" si="195"/>
        <v>1.4621157947288408</v>
      </c>
      <c r="W84" s="217">
        <f t="shared" si="196"/>
        <v>1.9468760173191622</v>
      </c>
      <c r="X84" s="197">
        <f t="shared" si="197"/>
        <v>350</v>
      </c>
      <c r="Y84" s="443">
        <f t="shared" si="198"/>
        <v>277.08569375571057</v>
      </c>
      <c r="AA84" s="217">
        <f t="shared" si="199"/>
        <v>27.824750169464405</v>
      </c>
      <c r="AB84" s="173">
        <f t="shared" si="200"/>
        <v>1.6317149507274469</v>
      </c>
      <c r="AC84" s="173">
        <f t="shared" si="201"/>
        <v>0.39726803245299741</v>
      </c>
      <c r="AD84" s="173"/>
      <c r="AE84" s="173">
        <f t="shared" si="202"/>
        <v>0.78190097702686445</v>
      </c>
      <c r="AF84" s="545">
        <f t="shared" si="203"/>
        <v>1818.6446132949941</v>
      </c>
      <c r="AG84" s="528">
        <f t="shared" si="204"/>
        <v>9.1221780653134188E-2</v>
      </c>
      <c r="AI84" s="173">
        <f t="shared" si="205"/>
        <v>30.393354438998671</v>
      </c>
      <c r="AJ84" s="173">
        <f t="shared" si="206"/>
        <v>33.199020924994905</v>
      </c>
      <c r="AK84" s="173">
        <f t="shared" si="207"/>
        <v>15.915324141971533</v>
      </c>
      <c r="AM84" s="545">
        <f t="shared" si="208"/>
        <v>474</v>
      </c>
      <c r="AN84" s="460">
        <f t="shared" si="209"/>
        <v>277.08569375571057</v>
      </c>
      <c r="AP84">
        <f t="shared" si="210"/>
        <v>474</v>
      </c>
      <c r="AQ84">
        <f t="shared" si="211"/>
        <v>277.08569375571057</v>
      </c>
      <c r="AS84" s="5">
        <f t="shared" si="285"/>
        <v>3.6089918120480031</v>
      </c>
      <c r="AT84" s="5">
        <f t="shared" si="212"/>
        <v>1.4621157947288408</v>
      </c>
      <c r="AU84" s="5">
        <f t="shared" si="286"/>
        <v>2.1468760173191623</v>
      </c>
      <c r="AV84" s="5">
        <f t="shared" si="213"/>
        <v>1.9468760173191622</v>
      </c>
      <c r="AW84" s="173">
        <f t="shared" si="287"/>
        <v>0.40513136933362298</v>
      </c>
      <c r="AX84" s="173">
        <f t="shared" si="214"/>
        <v>76.349230462287721</v>
      </c>
      <c r="AY84" s="173">
        <f t="shared" si="215"/>
        <v>0.49372640292790299</v>
      </c>
      <c r="AZ84" s="173">
        <f t="shared" si="288"/>
        <v>154.63874325845345</v>
      </c>
      <c r="BA84" s="460">
        <f t="shared" si="216"/>
        <v>0.40767228629498264</v>
      </c>
      <c r="BB84" s="5">
        <f t="shared" si="217"/>
        <v>24.380392805927052</v>
      </c>
      <c r="BC84" s="5"/>
      <c r="BD84" s="173">
        <f t="shared" si="289"/>
        <v>12.200077364470726</v>
      </c>
      <c r="BE84" s="173">
        <f t="shared" si="218"/>
        <v>0.7391714546712852</v>
      </c>
      <c r="BF84" s="173"/>
      <c r="BG84" s="528">
        <f t="shared" si="219"/>
        <v>5.9536755079628394</v>
      </c>
      <c r="BH84" s="528">
        <f t="shared" si="220"/>
        <v>4.3519438604271032</v>
      </c>
      <c r="BI84" s="528">
        <f t="shared" si="221"/>
        <v>0.12583098791732261</v>
      </c>
      <c r="BJ84" s="528">
        <f t="shared" si="222"/>
        <v>2.4500044477566062E-2</v>
      </c>
      <c r="BK84">
        <f t="shared" si="223"/>
        <v>5.1088838073246956E-3</v>
      </c>
      <c r="BL84" s="460">
        <f t="shared" si="290"/>
        <v>130.9398717246473</v>
      </c>
      <c r="BM84" s="528">
        <f t="shared" si="224"/>
        <v>-28.793547266907559</v>
      </c>
      <c r="BN84" s="460">
        <f t="shared" si="291"/>
        <v>-28793.547266907561</v>
      </c>
      <c r="BO84" s="528">
        <f t="shared" si="225"/>
        <v>0.41143199999999996</v>
      </c>
      <c r="BP84" s="528"/>
      <c r="BR84" s="460">
        <f t="shared" si="292"/>
        <v>411.43199999999996</v>
      </c>
      <c r="BS84" s="528">
        <f t="shared" si="226"/>
        <v>4.4652566309721289</v>
      </c>
      <c r="BT84" s="528">
        <f t="shared" si="227"/>
        <v>1.6391233182025913E-2</v>
      </c>
      <c r="BU84" s="528">
        <f t="shared" si="228"/>
        <v>1.2086999999999999</v>
      </c>
      <c r="BV84" s="528">
        <f t="shared" si="229"/>
        <v>10.547590135921087</v>
      </c>
      <c r="BW84" s="528">
        <f t="shared" si="230"/>
        <v>7.6349230462287725</v>
      </c>
      <c r="BX84" s="460">
        <f t="shared" si="293"/>
        <v>18182.513182149862</v>
      </c>
      <c r="BY84" s="173">
        <f t="shared" si="231"/>
        <v>-10.068662213033052</v>
      </c>
      <c r="BZ84" s="5">
        <f t="shared" si="294"/>
        <v>80.58</v>
      </c>
      <c r="CA84" s="173">
        <f t="shared" si="295"/>
        <v>1.1427949394954482</v>
      </c>
      <c r="CB84" s="5">
        <f t="shared" si="296"/>
        <v>114.27949394954481</v>
      </c>
      <c r="CE84" s="562">
        <f t="shared" si="232"/>
        <v>-50</v>
      </c>
      <c r="CF84">
        <f t="shared" si="233"/>
        <v>-50</v>
      </c>
      <c r="CG84" s="173">
        <f t="shared" si="234"/>
        <v>0.57859064342099753</v>
      </c>
      <c r="CI84" s="170">
        <v>79</v>
      </c>
      <c r="CJ84" s="217">
        <f t="shared" si="297"/>
        <v>0.47399999999999998</v>
      </c>
      <c r="CK84" s="217"/>
      <c r="CL84" s="217">
        <f t="shared" si="235"/>
        <v>80.58</v>
      </c>
      <c r="CM84" s="541">
        <f t="shared" si="236"/>
        <v>12.5</v>
      </c>
      <c r="CN84" s="172">
        <f t="shared" si="237"/>
        <v>8.5250000000000004</v>
      </c>
      <c r="CO84" s="443">
        <f t="shared" si="238"/>
        <v>21.024999999999999</v>
      </c>
      <c r="CP84" s="443"/>
      <c r="CQ84" s="217">
        <f t="shared" si="239"/>
        <v>0.40546967895362668</v>
      </c>
      <c r="CR84" s="172">
        <f t="shared" si="240"/>
        <v>170.84633868410626</v>
      </c>
      <c r="CS84" s="172">
        <f t="shared" si="298"/>
        <v>80.58</v>
      </c>
      <c r="CT84" s="217">
        <f t="shared" si="241"/>
        <v>1.0049784628476839</v>
      </c>
      <c r="CU84" s="217">
        <f t="shared" si="242"/>
        <v>170</v>
      </c>
      <c r="CV84" s="217">
        <f t="shared" si="243"/>
        <v>0.99379823272947732</v>
      </c>
      <c r="CW84" s="172">
        <f t="shared" si="244"/>
        <v>629.24209451922195</v>
      </c>
      <c r="CX84" s="172">
        <f t="shared" si="245"/>
        <v>170</v>
      </c>
      <c r="CY84" s="217">
        <f t="shared" si="246"/>
        <v>31.797198826979468</v>
      </c>
      <c r="CZ84" s="217">
        <f t="shared" si="247"/>
        <v>1.2718879530791787</v>
      </c>
      <c r="DA84" s="217">
        <f t="shared" si="248"/>
        <v>1.8649383476234289</v>
      </c>
      <c r="DB84" s="197">
        <f t="shared" si="249"/>
        <v>350</v>
      </c>
      <c r="DC84" s="443">
        <f t="shared" si="299"/>
        <v>318.79355250751792</v>
      </c>
      <c r="DE84" s="217">
        <f t="shared" si="250"/>
        <v>28.962119925259049</v>
      </c>
      <c r="DF84" s="173">
        <f t="shared" si="251"/>
        <v>1.6986580601324954</v>
      </c>
      <c r="DG84" s="173">
        <f t="shared" si="252"/>
        <v>0.4304714614336958</v>
      </c>
      <c r="DH84" s="173"/>
      <c r="DI84" s="173">
        <f t="shared" si="253"/>
        <v>0.78201368523949166</v>
      </c>
      <c r="DJ84" s="545">
        <f t="shared" si="300"/>
        <v>1818.3824999999997</v>
      </c>
      <c r="DK84" s="528">
        <f t="shared" si="254"/>
        <v>9.1234929944607357E-2</v>
      </c>
      <c r="DM84" s="173">
        <f t="shared" si="255"/>
        <v>30.391164129444878</v>
      </c>
      <c r="DN84" s="173">
        <f t="shared" si="256"/>
        <v>31.797198826979468</v>
      </c>
      <c r="DO84" s="173">
        <f t="shared" si="257"/>
        <v>14.876937402700838</v>
      </c>
      <c r="DQ84" s="545">
        <f t="shared" si="258"/>
        <v>474</v>
      </c>
      <c r="DR84" s="460">
        <f t="shared" si="259"/>
        <v>318.79355250751792</v>
      </c>
      <c r="DT84">
        <f t="shared" si="260"/>
        <v>474</v>
      </c>
      <c r="DU84">
        <f t="shared" si="261"/>
        <v>318.79355250751792</v>
      </c>
      <c r="DW84" s="5">
        <f t="shared" si="301"/>
        <v>3.1368263007026078</v>
      </c>
      <c r="DX84" s="5">
        <f t="shared" si="262"/>
        <v>1.2718879530791787</v>
      </c>
      <c r="DY84" s="5">
        <f t="shared" si="302"/>
        <v>1.8649383476234291</v>
      </c>
      <c r="DZ84" s="5">
        <f t="shared" si="263"/>
        <v>1.8649383476234289</v>
      </c>
      <c r="EA84" s="173">
        <f t="shared" si="303"/>
        <v>0.40546967895362662</v>
      </c>
      <c r="EB84" s="173">
        <f t="shared" si="264"/>
        <v>80.57999999999997</v>
      </c>
      <c r="EC84" s="173">
        <f t="shared" si="265"/>
        <v>0.47260997067448679</v>
      </c>
      <c r="ED84" s="173">
        <f t="shared" si="304"/>
        <v>170.49999999999994</v>
      </c>
      <c r="EE84" s="460">
        <f t="shared" si="266"/>
        <v>0.35463228809384156</v>
      </c>
      <c r="EF84" s="5">
        <f t="shared" si="267"/>
        <v>19.235421702591477</v>
      </c>
      <c r="EG84" s="5"/>
      <c r="EH84" s="173">
        <f t="shared" si="305"/>
        <v>11.689809308916333</v>
      </c>
      <c r="EI84" s="173">
        <f t="shared" si="268"/>
        <v>0.70775874432722707</v>
      </c>
      <c r="EJ84" s="173"/>
      <c r="EK84" s="528">
        <f t="shared" si="269"/>
        <v>5.466065667153079</v>
      </c>
      <c r="EL84" s="528">
        <f t="shared" si="270"/>
        <v>5.8609375000000004</v>
      </c>
      <c r="EM84" s="528">
        <f t="shared" si="271"/>
        <v>6.3758710501503571E-2</v>
      </c>
      <c r="EN84" s="528">
        <f t="shared" si="272"/>
        <v>2.8184577826383721E-2</v>
      </c>
      <c r="EO84">
        <f t="shared" si="273"/>
        <v>5.6249999999999998E-3</v>
      </c>
      <c r="EP84" s="460">
        <f t="shared" si="306"/>
        <v>69.383710501503572</v>
      </c>
      <c r="EQ84" s="528">
        <f t="shared" si="274"/>
        <v>-43.183135802913178</v>
      </c>
      <c r="ER84" s="460">
        <f t="shared" si="307"/>
        <v>-43183.135802913181</v>
      </c>
      <c r="ES84" s="528">
        <f t="shared" si="308"/>
        <v>0.41143199999999996</v>
      </c>
      <c r="ET84" s="528"/>
      <c r="EV84" s="460">
        <f t="shared" si="309"/>
        <v>411.43199999999996</v>
      </c>
      <c r="EW84" s="528">
        <f t="shared" si="275"/>
        <v>4.0995492503648086</v>
      </c>
      <c r="EX84" s="528">
        <f t="shared" si="276"/>
        <v>1.5027673205149595E-2</v>
      </c>
      <c r="EY84" s="528">
        <f t="shared" si="277"/>
        <v>517.26844275253939</v>
      </c>
      <c r="EZ84" s="528">
        <f t="shared" si="278"/>
        <v>778.68837591220995</v>
      </c>
      <c r="FA84" s="528">
        <f t="shared" si="279"/>
        <v>8.0579999999999998</v>
      </c>
      <c r="FB84" s="460">
        <f t="shared" si="310"/>
        <v>786746.37591220997</v>
      </c>
      <c r="FC84" s="173">
        <f t="shared" si="311"/>
        <v>743.97467210929676</v>
      </c>
      <c r="FD84" s="5">
        <f t="shared" si="312"/>
        <v>80.58</v>
      </c>
      <c r="FE84" s="173">
        <f t="shared" si="313"/>
        <v>9.7725478643966635E-2</v>
      </c>
      <c r="FF84" s="5">
        <f t="shared" si="314"/>
        <v>9.7725478643966639</v>
      </c>
      <c r="FI84" s="562">
        <f t="shared" si="280"/>
        <v>-50</v>
      </c>
      <c r="FJ84">
        <f t="shared" si="281"/>
        <v>-50</v>
      </c>
      <c r="FL84">
        <f t="shared" si="282"/>
        <v>0.59453032104637338</v>
      </c>
    </row>
    <row r="85" spans="5:168">
      <c r="E85" s="170">
        <v>80</v>
      </c>
      <c r="F85" s="217">
        <f t="shared" si="283"/>
        <v>0.48</v>
      </c>
      <c r="G85" s="217"/>
      <c r="H85" s="217">
        <f t="shared" si="183"/>
        <v>81.599999999999994</v>
      </c>
      <c r="I85" s="541">
        <f t="shared" si="184"/>
        <v>11.338956912832893</v>
      </c>
      <c r="J85" s="172">
        <f t="shared" si="185"/>
        <v>8.5262439747362517</v>
      </c>
      <c r="K85" s="172">
        <f t="shared" si="186"/>
        <v>21.026243974736254</v>
      </c>
      <c r="L85" s="443"/>
      <c r="M85" s="217">
        <f t="shared" si="187"/>
        <v>0.42920407520562198</v>
      </c>
      <c r="N85" s="172">
        <f t="shared" si="188"/>
        <v>164.04923962896621</v>
      </c>
      <c r="O85" s="172">
        <f t="shared" si="284"/>
        <v>81.599999999999994</v>
      </c>
      <c r="P85" s="217">
        <f t="shared" si="189"/>
        <v>0.964995527229213</v>
      </c>
      <c r="Q85" s="217">
        <f t="shared" si="190"/>
        <v>170</v>
      </c>
      <c r="R85" s="217">
        <f t="shared" si="191"/>
        <v>0.95426010109192883</v>
      </c>
      <c r="S85" s="172">
        <f t="shared" si="192"/>
        <v>560.8504194062009</v>
      </c>
      <c r="T85" s="172">
        <f t="shared" si="193"/>
        <v>170</v>
      </c>
      <c r="U85" s="217">
        <f t="shared" si="194"/>
        <v>33.637240852615676</v>
      </c>
      <c r="V85" s="217">
        <f t="shared" si="195"/>
        <v>1.483259929074545</v>
      </c>
      <c r="W85" s="217">
        <f t="shared" si="196"/>
        <v>1.9725708619343252</v>
      </c>
      <c r="X85" s="197">
        <f t="shared" si="197"/>
        <v>350</v>
      </c>
      <c r="Y85" s="443">
        <f t="shared" si="198"/>
        <v>273.53563585584823</v>
      </c>
      <c r="AA85" s="217">
        <f t="shared" si="199"/>
        <v>27.809927119721095</v>
      </c>
      <c r="AB85" s="173">
        <f t="shared" si="200"/>
        <v>1.6308427956157188</v>
      </c>
      <c r="AC85" s="173">
        <f t="shared" si="201"/>
        <v>0.39684416878570933</v>
      </c>
      <c r="AD85" s="173"/>
      <c r="AE85" s="173">
        <f t="shared" si="202"/>
        <v>0.78189958983350472</v>
      </c>
      <c r="AF85" s="545">
        <f t="shared" si="203"/>
        <v>1841.6686985430301</v>
      </c>
      <c r="AG85" s="528">
        <f t="shared" si="204"/>
        <v>9.1221618813908903E-2</v>
      </c>
      <c r="AI85" s="173">
        <f t="shared" si="205"/>
        <v>30.585139651698835</v>
      </c>
      <c r="AJ85" s="173">
        <f t="shared" si="206"/>
        <v>33.637240852615676</v>
      </c>
      <c r="AK85" s="173">
        <f t="shared" si="207"/>
        <v>16.239931495764697</v>
      </c>
      <c r="AM85" s="545">
        <f t="shared" si="208"/>
        <v>480</v>
      </c>
      <c r="AN85" s="460">
        <f t="shared" si="209"/>
        <v>273.53563585584823</v>
      </c>
      <c r="AP85">
        <f t="shared" si="210"/>
        <v>480</v>
      </c>
      <c r="AQ85">
        <f t="shared" si="211"/>
        <v>273.53563585584823</v>
      </c>
      <c r="AS85" s="5">
        <f t="shared" si="285"/>
        <v>3.6558307910088703</v>
      </c>
      <c r="AT85" s="5">
        <f t="shared" si="212"/>
        <v>1.483259929074545</v>
      </c>
      <c r="AU85" s="5">
        <f t="shared" si="286"/>
        <v>2.1725708619343251</v>
      </c>
      <c r="AV85" s="5">
        <f t="shared" si="213"/>
        <v>1.9725708619343252</v>
      </c>
      <c r="AW85" s="173">
        <f t="shared" si="287"/>
        <v>0.40572444783890604</v>
      </c>
      <c r="AX85" s="173">
        <f t="shared" si="214"/>
        <v>77.373929269346448</v>
      </c>
      <c r="AY85" s="173">
        <f t="shared" si="215"/>
        <v>0.49974474702159727</v>
      </c>
      <c r="AZ85" s="173">
        <f t="shared" si="288"/>
        <v>154.82689859269817</v>
      </c>
      <c r="BA85" s="460">
        <f t="shared" si="216"/>
        <v>0.41880280350340088</v>
      </c>
      <c r="BB85" s="5">
        <f t="shared" si="217"/>
        <v>25.015603632210905</v>
      </c>
      <c r="BC85" s="5"/>
      <c r="BD85" s="173">
        <f t="shared" si="289"/>
        <v>12.370160270601168</v>
      </c>
      <c r="BE85" s="173">
        <f t="shared" si="218"/>
        <v>0.7485549282984062</v>
      </c>
      <c r="BF85" s="173"/>
      <c r="BG85" s="528">
        <f t="shared" si="219"/>
        <v>6.1208346048143829</v>
      </c>
      <c r="BH85" s="528">
        <f t="shared" si="220"/>
        <v>4.3528980545896365</v>
      </c>
      <c r="BI85" s="528">
        <f t="shared" si="221"/>
        <v>0.12406435156375246</v>
      </c>
      <c r="BJ85" s="528">
        <f t="shared" si="222"/>
        <v>2.4186181525273985E-2</v>
      </c>
      <c r="BK85">
        <f t="shared" si="223"/>
        <v>5.1025306107748015E-3</v>
      </c>
      <c r="BL85" s="460">
        <f t="shared" si="290"/>
        <v>129.16688217452727</v>
      </c>
      <c r="BM85" s="528">
        <f t="shared" si="224"/>
        <v>-26.745033357069769</v>
      </c>
      <c r="BN85" s="460">
        <f t="shared" si="291"/>
        <v>-26745.033357069769</v>
      </c>
      <c r="BO85" s="528">
        <f t="shared" si="225"/>
        <v>0.41663999999999995</v>
      </c>
      <c r="BP85" s="528"/>
      <c r="BR85" s="460">
        <f t="shared" si="292"/>
        <v>416.63999999999993</v>
      </c>
      <c r="BS85" s="528">
        <f t="shared" si="226"/>
        <v>4.590625953610787</v>
      </c>
      <c r="BT85" s="528">
        <f t="shared" si="227"/>
        <v>1.681003442039496E-2</v>
      </c>
      <c r="BU85" s="528">
        <f t="shared" si="228"/>
        <v>1.224</v>
      </c>
      <c r="BV85" s="528">
        <f t="shared" si="229"/>
        <v>10.986956543270658</v>
      </c>
      <c r="BW85" s="528">
        <f t="shared" si="230"/>
        <v>7.7373929269346453</v>
      </c>
      <c r="BX85" s="460">
        <f t="shared" si="293"/>
        <v>18724.349470205303</v>
      </c>
      <c r="BY85" s="173">
        <f t="shared" si="231"/>
        <v>-7.4748770046899375</v>
      </c>
      <c r="BZ85" s="5">
        <f t="shared" si="294"/>
        <v>81.599999999999994</v>
      </c>
      <c r="CA85" s="173">
        <f t="shared" si="295"/>
        <v>1.1008413436988547</v>
      </c>
      <c r="CB85" s="5">
        <f t="shared" si="296"/>
        <v>110.08413436988546</v>
      </c>
      <c r="CE85" s="562">
        <f t="shared" si="232"/>
        <v>-50</v>
      </c>
      <c r="CF85">
        <f t="shared" si="233"/>
        <v>-50</v>
      </c>
      <c r="CG85" s="173">
        <f t="shared" si="234"/>
        <v>0.5787898893913147</v>
      </c>
      <c r="CI85" s="170">
        <v>80</v>
      </c>
      <c r="CJ85" s="217">
        <f t="shared" si="297"/>
        <v>0.48</v>
      </c>
      <c r="CK85" s="217"/>
      <c r="CL85" s="217">
        <f t="shared" si="235"/>
        <v>81.599999999999994</v>
      </c>
      <c r="CM85" s="541">
        <f t="shared" si="236"/>
        <v>12.5</v>
      </c>
      <c r="CN85" s="172">
        <f t="shared" si="237"/>
        <v>8.5250000000000004</v>
      </c>
      <c r="CO85" s="443">
        <f t="shared" si="238"/>
        <v>21.024999999999999</v>
      </c>
      <c r="CP85" s="443"/>
      <c r="CQ85" s="217">
        <f t="shared" si="239"/>
        <v>0.40546967895362668</v>
      </c>
      <c r="CR85" s="172">
        <f t="shared" si="240"/>
        <v>170.84633868410626</v>
      </c>
      <c r="CS85" s="172">
        <f t="shared" si="298"/>
        <v>81.599999999999994</v>
      </c>
      <c r="CT85" s="217">
        <f t="shared" si="241"/>
        <v>1.0049784628476839</v>
      </c>
      <c r="CU85" s="217">
        <f t="shared" si="242"/>
        <v>170</v>
      </c>
      <c r="CV85" s="217">
        <f t="shared" si="243"/>
        <v>0.99379823272947732</v>
      </c>
      <c r="CW85" s="172">
        <f t="shared" si="244"/>
        <v>618.2575732849491</v>
      </c>
      <c r="CX85" s="172">
        <f t="shared" si="245"/>
        <v>170</v>
      </c>
      <c r="CY85" s="217">
        <f t="shared" si="246"/>
        <v>32.199695014662751</v>
      </c>
      <c r="CZ85" s="217">
        <f t="shared" si="247"/>
        <v>1.2879878005865102</v>
      </c>
      <c r="DA85" s="217">
        <f t="shared" si="248"/>
        <v>1.888545162150308</v>
      </c>
      <c r="DB85" s="197">
        <f t="shared" si="249"/>
        <v>350</v>
      </c>
      <c r="DC85" s="443">
        <f t="shared" si="299"/>
        <v>314.80863310117388</v>
      </c>
      <c r="DE85" s="217">
        <f t="shared" si="250"/>
        <v>28.962119925259049</v>
      </c>
      <c r="DF85" s="173">
        <f t="shared" si="251"/>
        <v>1.6986580601324954</v>
      </c>
      <c r="DG85" s="173">
        <f t="shared" si="252"/>
        <v>0.4304714614336958</v>
      </c>
      <c r="DH85" s="173"/>
      <c r="DI85" s="173">
        <f t="shared" si="253"/>
        <v>0.78201368523949166</v>
      </c>
      <c r="DJ85" s="545">
        <f t="shared" si="300"/>
        <v>1841.4</v>
      </c>
      <c r="DK85" s="528">
        <f t="shared" si="254"/>
        <v>9.1234929944607357E-2</v>
      </c>
      <c r="DM85" s="173">
        <f t="shared" si="255"/>
        <v>30.582908392013433</v>
      </c>
      <c r="DN85" s="173">
        <f t="shared" si="256"/>
        <v>32.199695014662751</v>
      </c>
      <c r="DO85" s="173">
        <f t="shared" si="257"/>
        <v>15.175082726910677</v>
      </c>
      <c r="DQ85" s="545">
        <f t="shared" si="258"/>
        <v>480</v>
      </c>
      <c r="DR85" s="460">
        <f t="shared" si="259"/>
        <v>314.80863310117388</v>
      </c>
      <c r="DT85">
        <f t="shared" si="260"/>
        <v>480</v>
      </c>
      <c r="DU85">
        <f t="shared" si="261"/>
        <v>314.80863310117388</v>
      </c>
      <c r="DW85" s="5">
        <f t="shared" si="301"/>
        <v>3.1765329627368186</v>
      </c>
      <c r="DX85" s="5">
        <f t="shared" si="262"/>
        <v>1.2879878005865102</v>
      </c>
      <c r="DY85" s="5">
        <f t="shared" si="302"/>
        <v>1.8885451621503084</v>
      </c>
      <c r="DZ85" s="5">
        <f t="shared" si="263"/>
        <v>1.888545162150308</v>
      </c>
      <c r="EA85" s="173">
        <f t="shared" si="303"/>
        <v>0.40546967895362662</v>
      </c>
      <c r="EB85" s="173">
        <f t="shared" si="264"/>
        <v>81.599999999999966</v>
      </c>
      <c r="EC85" s="173">
        <f t="shared" si="265"/>
        <v>0.4785923753665689</v>
      </c>
      <c r="ED85" s="173">
        <f t="shared" si="304"/>
        <v>170.49999999999994</v>
      </c>
      <c r="EE85" s="460">
        <f t="shared" si="266"/>
        <v>0.36366714369501463</v>
      </c>
      <c r="EF85" s="5">
        <f t="shared" si="267"/>
        <v>19.725476509627541</v>
      </c>
      <c r="EG85" s="5"/>
      <c r="EH85" s="173">
        <f t="shared" si="305"/>
        <v>11.83778157864945</v>
      </c>
      <c r="EI85" s="173">
        <f t="shared" si="268"/>
        <v>0.71671771577440713</v>
      </c>
      <c r="EJ85" s="173"/>
      <c r="EK85" s="528">
        <f t="shared" si="269"/>
        <v>5.6053229081524902</v>
      </c>
      <c r="EL85" s="528">
        <f t="shared" si="270"/>
        <v>5.8609374999999986</v>
      </c>
      <c r="EM85" s="528">
        <f t="shared" si="271"/>
        <v>6.2961726620234776E-2</v>
      </c>
      <c r="EN85" s="528">
        <f t="shared" si="272"/>
        <v>2.7832270603553921E-2</v>
      </c>
      <c r="EO85">
        <f t="shared" si="273"/>
        <v>5.6249999999999998E-3</v>
      </c>
      <c r="EP85" s="460">
        <f t="shared" si="306"/>
        <v>68.586726620234785</v>
      </c>
      <c r="EQ85" s="528">
        <f t="shared" si="274"/>
        <v>-39.40669782909022</v>
      </c>
      <c r="ER85" s="460">
        <f t="shared" si="307"/>
        <v>-39406.697829090219</v>
      </c>
      <c r="ES85" s="528">
        <f t="shared" si="308"/>
        <v>0.41663999999999995</v>
      </c>
      <c r="ET85" s="528"/>
      <c r="EV85" s="460">
        <f t="shared" si="309"/>
        <v>416.63999999999993</v>
      </c>
      <c r="EW85" s="528">
        <f t="shared" si="275"/>
        <v>4.2039921811143675</v>
      </c>
      <c r="EX85" s="528">
        <f t="shared" si="276"/>
        <v>1.5410528523146515E-2</v>
      </c>
      <c r="EY85" s="528">
        <f t="shared" si="277"/>
        <v>517.26844275253939</v>
      </c>
      <c r="EZ85" s="528">
        <f t="shared" si="278"/>
        <v>788.74217008568178</v>
      </c>
      <c r="FA85" s="528">
        <f t="shared" si="279"/>
        <v>8.1599999999999984</v>
      </c>
      <c r="FB85" s="460">
        <f t="shared" si="310"/>
        <v>796902.17008568172</v>
      </c>
      <c r="FC85" s="173">
        <f t="shared" si="311"/>
        <v>757.91211225659151</v>
      </c>
      <c r="FD85" s="5">
        <f t="shared" si="312"/>
        <v>81.599999999999994</v>
      </c>
      <c r="FE85" s="173">
        <f t="shared" si="313"/>
        <v>9.7199312325179976E-2</v>
      </c>
      <c r="FF85" s="5">
        <f t="shared" si="314"/>
        <v>9.7199312325179967</v>
      </c>
      <c r="FI85" s="562">
        <f t="shared" si="280"/>
        <v>-50</v>
      </c>
      <c r="FJ85">
        <f t="shared" si="281"/>
        <v>-50</v>
      </c>
      <c r="FL85">
        <f t="shared" si="282"/>
        <v>0.59453032104637338</v>
      </c>
    </row>
    <row r="86" spans="5:168">
      <c r="E86" s="170">
        <v>81</v>
      </c>
      <c r="F86" s="217">
        <f t="shared" si="283"/>
        <v>0.48599999999999999</v>
      </c>
      <c r="G86" s="217"/>
      <c r="H86" s="217">
        <f t="shared" si="183"/>
        <v>82.62</v>
      </c>
      <c r="I86" s="541">
        <f t="shared" si="184"/>
        <v>11.324838429890642</v>
      </c>
      <c r="J86" s="172">
        <f t="shared" si="185"/>
        <v>8.5262591016822604</v>
      </c>
      <c r="K86" s="172">
        <f t="shared" si="186"/>
        <v>21.02625910168226</v>
      </c>
      <c r="L86" s="443"/>
      <c r="M86" s="217">
        <f t="shared" si="187"/>
        <v>0.42950976919448908</v>
      </c>
      <c r="N86" s="172">
        <f t="shared" si="188"/>
        <v>163.96167295047718</v>
      </c>
      <c r="O86" s="172">
        <f t="shared" si="284"/>
        <v>82.62</v>
      </c>
      <c r="P86" s="217">
        <f t="shared" si="189"/>
        <v>0.96448042912045395</v>
      </c>
      <c r="Q86" s="217">
        <f t="shared" si="190"/>
        <v>170</v>
      </c>
      <c r="R86" s="217">
        <f t="shared" si="191"/>
        <v>0.95375073337004102</v>
      </c>
      <c r="S86" s="172">
        <f t="shared" si="192"/>
        <v>550.44667332103143</v>
      </c>
      <c r="T86" s="172">
        <f t="shared" si="193"/>
        <v>170</v>
      </c>
      <c r="U86" s="217">
        <f t="shared" si="194"/>
        <v>34.075955994113073</v>
      </c>
      <c r="V86" s="217">
        <f t="shared" si="195"/>
        <v>1.5044786821935314</v>
      </c>
      <c r="W86" s="217">
        <f t="shared" si="196"/>
        <v>1.9982946558233119</v>
      </c>
      <c r="X86" s="197">
        <f t="shared" si="197"/>
        <v>350</v>
      </c>
      <c r="Y86" s="443">
        <f t="shared" si="198"/>
        <v>270.06784070007018</v>
      </c>
      <c r="AA86" s="217">
        <f t="shared" si="199"/>
        <v>27.795082602751705</v>
      </c>
      <c r="AB86" s="173">
        <f t="shared" si="200"/>
        <v>1.6299693846547332</v>
      </c>
      <c r="AC86" s="173">
        <f t="shared" si="201"/>
        <v>0.39641991975630342</v>
      </c>
      <c r="AD86" s="173"/>
      <c r="AE86" s="173">
        <f t="shared" si="202"/>
        <v>0.78189820261869714</v>
      </c>
      <c r="AF86" s="545">
        <f t="shared" si="203"/>
        <v>1864.6928655379102</v>
      </c>
      <c r="AG86" s="528">
        <f t="shared" si="204"/>
        <v>9.1221456972181342E-2</v>
      </c>
      <c r="AI86" s="173">
        <f t="shared" si="205"/>
        <v>30.775730413678996</v>
      </c>
      <c r="AJ86" s="173">
        <f t="shared" si="206"/>
        <v>34.075955994113073</v>
      </c>
      <c r="AK86" s="173">
        <f t="shared" si="207"/>
        <v>16.564905674651655</v>
      </c>
      <c r="AM86" s="545">
        <f t="shared" si="208"/>
        <v>486</v>
      </c>
      <c r="AN86" s="460">
        <f t="shared" si="209"/>
        <v>270.06784070007018</v>
      </c>
      <c r="AP86">
        <f t="shared" si="210"/>
        <v>486</v>
      </c>
      <c r="AQ86">
        <f t="shared" si="211"/>
        <v>270.06784070007018</v>
      </c>
      <c r="AS86" s="5">
        <f t="shared" si="285"/>
        <v>3.7027733380168435</v>
      </c>
      <c r="AT86" s="5">
        <f t="shared" si="212"/>
        <v>1.5044786821935314</v>
      </c>
      <c r="AU86" s="5">
        <f t="shared" si="286"/>
        <v>2.1982946558233118</v>
      </c>
      <c r="AV86" s="5">
        <f t="shared" si="213"/>
        <v>1.9982946558233119</v>
      </c>
      <c r="AW86" s="173">
        <f t="shared" si="287"/>
        <v>0.40631130907929414</v>
      </c>
      <c r="AX86" s="173">
        <f t="shared" si="214"/>
        <v>78.398721101211009</v>
      </c>
      <c r="AY86" s="173">
        <f t="shared" si="215"/>
        <v>0.50576274265041432</v>
      </c>
      <c r="AZ86" s="173">
        <f t="shared" si="288"/>
        <v>155.01086673638312</v>
      </c>
      <c r="BA86" s="460">
        <f t="shared" si="216"/>
        <v>0.43010390561532724</v>
      </c>
      <c r="BB86" s="5">
        <f t="shared" si="217"/>
        <v>25.660142433078526</v>
      </c>
      <c r="BC86" s="5"/>
      <c r="BD86" s="173">
        <f t="shared" si="289"/>
        <v>12.54055844625792</v>
      </c>
      <c r="BE86" s="173">
        <f t="shared" si="218"/>
        <v>0.75794346671365609</v>
      </c>
      <c r="BF86" s="173"/>
      <c r="BG86" s="528">
        <f t="shared" si="219"/>
        <v>6.2906242457604344</v>
      </c>
      <c r="BH86" s="528">
        <f t="shared" si="220"/>
        <v>4.3537696816471767</v>
      </c>
      <c r="BI86" s="528">
        <f t="shared" si="221"/>
        <v>0.12233898644150955</v>
      </c>
      <c r="BJ86" s="528">
        <f t="shared" si="222"/>
        <v>2.3879591400961148E-2</v>
      </c>
      <c r="BK86">
        <f t="shared" si="223"/>
        <v>5.0961772934507883E-3</v>
      </c>
      <c r="BL86" s="460">
        <f t="shared" si="290"/>
        <v>127.43516373496033</v>
      </c>
      <c r="BM86" s="528">
        <f t="shared" si="224"/>
        <v>-25.000877475609983</v>
      </c>
      <c r="BN86" s="460">
        <f t="shared" si="291"/>
        <v>-25000.877475609981</v>
      </c>
      <c r="BO86" s="528">
        <f t="shared" si="225"/>
        <v>0.42184799999999995</v>
      </c>
      <c r="BP86" s="528"/>
      <c r="BR86" s="460">
        <f t="shared" si="292"/>
        <v>421.84799999999996</v>
      </c>
      <c r="BS86" s="528">
        <f t="shared" si="226"/>
        <v>4.7179681843203261</v>
      </c>
      <c r="BT86" s="528">
        <f t="shared" si="227"/>
        <v>1.7234348962017452E-2</v>
      </c>
      <c r="BU86" s="528">
        <f t="shared" si="228"/>
        <v>1.2393000000000001</v>
      </c>
      <c r="BV86" s="528">
        <f t="shared" si="229"/>
        <v>11.447418898802351</v>
      </c>
      <c r="BW86" s="528">
        <f t="shared" si="230"/>
        <v>7.8398721101211013</v>
      </c>
      <c r="BX86" s="460">
        <f t="shared" si="293"/>
        <v>19287.291008923454</v>
      </c>
      <c r="BY86" s="173">
        <f t="shared" si="231"/>
        <v>-5.164303302951569</v>
      </c>
      <c r="BZ86" s="5">
        <f t="shared" si="294"/>
        <v>82.62</v>
      </c>
      <c r="CA86" s="173">
        <f t="shared" si="295"/>
        <v>1.0666742863749668</v>
      </c>
      <c r="CB86" s="5">
        <f t="shared" si="296"/>
        <v>106.66742863749667</v>
      </c>
      <c r="CE86" s="562">
        <f t="shared" si="232"/>
        <v>-50</v>
      </c>
      <c r="CF86">
        <f t="shared" si="233"/>
        <v>-50</v>
      </c>
      <c r="CG86" s="173">
        <f t="shared" si="234"/>
        <v>0.57898421570804381</v>
      </c>
      <c r="CI86" s="170">
        <v>81</v>
      </c>
      <c r="CJ86" s="217">
        <f t="shared" si="297"/>
        <v>0.48599999999999999</v>
      </c>
      <c r="CK86" s="217"/>
      <c r="CL86" s="217">
        <f t="shared" si="235"/>
        <v>82.62</v>
      </c>
      <c r="CM86" s="541">
        <f t="shared" si="236"/>
        <v>12.5</v>
      </c>
      <c r="CN86" s="172">
        <f t="shared" si="237"/>
        <v>8.5250000000000004</v>
      </c>
      <c r="CO86" s="443">
        <f t="shared" si="238"/>
        <v>21.024999999999999</v>
      </c>
      <c r="CP86" s="443"/>
      <c r="CQ86" s="217">
        <f t="shared" si="239"/>
        <v>0.40546967895362668</v>
      </c>
      <c r="CR86" s="172">
        <f t="shared" si="240"/>
        <v>170.84633868410626</v>
      </c>
      <c r="CS86" s="172">
        <f t="shared" si="298"/>
        <v>82.62</v>
      </c>
      <c r="CT86" s="217">
        <f t="shared" si="241"/>
        <v>1.0049784628476839</v>
      </c>
      <c r="CU86" s="217">
        <f t="shared" si="242"/>
        <v>170</v>
      </c>
      <c r="CV86" s="217">
        <f t="shared" si="243"/>
        <v>0.99379823272947732</v>
      </c>
      <c r="CW86" s="172">
        <f t="shared" si="244"/>
        <v>607.54439739538964</v>
      </c>
      <c r="CX86" s="172">
        <f t="shared" si="245"/>
        <v>170</v>
      </c>
      <c r="CY86" s="217">
        <f t="shared" si="246"/>
        <v>32.602191202346035</v>
      </c>
      <c r="CZ86" s="217">
        <f t="shared" si="247"/>
        <v>1.3040876480938413</v>
      </c>
      <c r="DA86" s="217">
        <f t="shared" si="248"/>
        <v>1.9121519766771866</v>
      </c>
      <c r="DB86" s="197">
        <f t="shared" si="249"/>
        <v>350</v>
      </c>
      <c r="DC86" s="443">
        <f t="shared" si="299"/>
        <v>310.92210676659158</v>
      </c>
      <c r="DE86" s="217">
        <f t="shared" si="250"/>
        <v>28.962119925259049</v>
      </c>
      <c r="DF86" s="173">
        <f t="shared" si="251"/>
        <v>1.6986580601324954</v>
      </c>
      <c r="DG86" s="173">
        <f t="shared" si="252"/>
        <v>0.4304714614336958</v>
      </c>
      <c r="DH86" s="173"/>
      <c r="DI86" s="173">
        <f t="shared" si="253"/>
        <v>0.78201368523949166</v>
      </c>
      <c r="DJ86" s="545">
        <f t="shared" si="300"/>
        <v>1864.4175</v>
      </c>
      <c r="DK86" s="528">
        <f t="shared" si="254"/>
        <v>9.1234929944607357E-2</v>
      </c>
      <c r="DM86" s="173">
        <f t="shared" si="255"/>
        <v>30.773457951385872</v>
      </c>
      <c r="DN86" s="173">
        <f t="shared" si="256"/>
        <v>32.602191202346035</v>
      </c>
      <c r="DO86" s="173">
        <f t="shared" si="257"/>
        <v>15.473228051120518</v>
      </c>
      <c r="DQ86" s="545">
        <f t="shared" si="258"/>
        <v>486</v>
      </c>
      <c r="DR86" s="460">
        <f t="shared" si="259"/>
        <v>310.92210676659158</v>
      </c>
      <c r="DT86">
        <f t="shared" si="260"/>
        <v>486</v>
      </c>
      <c r="DU86">
        <f t="shared" si="261"/>
        <v>310.92210676659158</v>
      </c>
      <c r="DW86" s="5">
        <f t="shared" si="301"/>
        <v>3.2162396247710281</v>
      </c>
      <c r="DX86" s="5">
        <f t="shared" si="262"/>
        <v>1.3040876480938413</v>
      </c>
      <c r="DY86" s="5">
        <f t="shared" si="302"/>
        <v>1.9121519766771868</v>
      </c>
      <c r="DZ86" s="5">
        <f t="shared" si="263"/>
        <v>1.9121519766771866</v>
      </c>
      <c r="EA86" s="173">
        <f t="shared" si="303"/>
        <v>0.40546967895362662</v>
      </c>
      <c r="EB86" s="173">
        <f t="shared" si="264"/>
        <v>82.62</v>
      </c>
      <c r="EC86" s="173">
        <f t="shared" si="265"/>
        <v>0.48457478005865101</v>
      </c>
      <c r="ED86" s="173">
        <f t="shared" si="304"/>
        <v>170.50000000000003</v>
      </c>
      <c r="EE86" s="460">
        <f t="shared" si="266"/>
        <v>0.37281564527859223</v>
      </c>
      <c r="EF86" s="5">
        <f t="shared" si="267"/>
        <v>20.221695528072857</v>
      </c>
      <c r="EG86" s="5"/>
      <c r="EH86" s="173">
        <f t="shared" si="305"/>
        <v>11.985753848382569</v>
      </c>
      <c r="EI86" s="173">
        <f t="shared" si="268"/>
        <v>0.72567668722158718</v>
      </c>
      <c r="EJ86" s="173"/>
      <c r="EK86" s="528">
        <f t="shared" si="269"/>
        <v>5.7463318125607019</v>
      </c>
      <c r="EL86" s="528">
        <f t="shared" si="270"/>
        <v>5.8609375000000004</v>
      </c>
      <c r="EM86" s="528">
        <f t="shared" si="271"/>
        <v>6.2184421353318309E-2</v>
      </c>
      <c r="EN86" s="528">
        <f t="shared" si="272"/>
        <v>2.7488662324497707E-2</v>
      </c>
      <c r="EO86">
        <f t="shared" si="273"/>
        <v>5.6249999999999998E-3</v>
      </c>
      <c r="EP86" s="460">
        <f t="shared" si="306"/>
        <v>67.809421353318314</v>
      </c>
      <c r="EQ86" s="528">
        <f t="shared" si="274"/>
        <v>-36.279893878736949</v>
      </c>
      <c r="ER86" s="460">
        <f t="shared" si="307"/>
        <v>-36279.893878736948</v>
      </c>
      <c r="ES86" s="528">
        <f t="shared" si="308"/>
        <v>0.42184799999999995</v>
      </c>
      <c r="ET86" s="528"/>
      <c r="EV86" s="460">
        <f t="shared" si="309"/>
        <v>421.84799999999996</v>
      </c>
      <c r="EW86" s="528">
        <f t="shared" si="275"/>
        <v>4.3097488594205267</v>
      </c>
      <c r="EX86" s="528">
        <f t="shared" si="276"/>
        <v>1.5798199631306915E-2</v>
      </c>
      <c r="EY86" s="528">
        <f t="shared" si="277"/>
        <v>517.26844275254109</v>
      </c>
      <c r="EZ86" s="528">
        <f t="shared" si="278"/>
        <v>799.18516395108225</v>
      </c>
      <c r="FA86" s="528">
        <f t="shared" si="279"/>
        <v>8.2620000000000005</v>
      </c>
      <c r="FB86" s="460">
        <f t="shared" si="310"/>
        <v>807447.16395108227</v>
      </c>
      <c r="FC86" s="173">
        <f t="shared" si="311"/>
        <v>771.5891180723454</v>
      </c>
      <c r="FD86" s="5">
        <f t="shared" si="312"/>
        <v>82.62</v>
      </c>
      <c r="FE86" s="173">
        <f t="shared" si="313"/>
        <v>9.6721046699249441E-2</v>
      </c>
      <c r="FF86" s="5">
        <f t="shared" si="314"/>
        <v>9.6721046699249449</v>
      </c>
      <c r="FI86" s="562">
        <f t="shared" si="280"/>
        <v>-50</v>
      </c>
      <c r="FJ86">
        <f t="shared" si="281"/>
        <v>-50</v>
      </c>
      <c r="FL86">
        <f t="shared" si="282"/>
        <v>0.59453032104637338</v>
      </c>
    </row>
    <row r="87" spans="5:168">
      <c r="E87" s="170">
        <v>82</v>
      </c>
      <c r="F87" s="217">
        <f t="shared" si="283"/>
        <v>0.49199999999999994</v>
      </c>
      <c r="G87" s="217"/>
      <c r="H87" s="217">
        <f t="shared" si="183"/>
        <v>83.639999999999986</v>
      </c>
      <c r="I87" s="541">
        <f t="shared" si="184"/>
        <v>11.310719688640837</v>
      </c>
      <c r="J87" s="172">
        <f t="shared" si="185"/>
        <v>8.5262742289050291</v>
      </c>
      <c r="K87" s="172">
        <f t="shared" si="186"/>
        <v>21.026274228905031</v>
      </c>
      <c r="L87" s="443"/>
      <c r="M87" s="217">
        <f t="shared" si="187"/>
        <v>0.42981590345443005</v>
      </c>
      <c r="N87" s="172">
        <f t="shared" si="188"/>
        <v>163.87397942373391</v>
      </c>
      <c r="O87" s="172">
        <f t="shared" si="284"/>
        <v>83.639999999999986</v>
      </c>
      <c r="P87" s="217">
        <f t="shared" si="189"/>
        <v>0.96396458484549363</v>
      </c>
      <c r="Q87" s="217">
        <f t="shared" si="190"/>
        <v>170</v>
      </c>
      <c r="R87" s="217">
        <f t="shared" si="191"/>
        <v>0.95324062778293561</v>
      </c>
      <c r="S87" s="172">
        <f t="shared" si="192"/>
        <v>540.30367472391106</v>
      </c>
      <c r="T87" s="172">
        <f t="shared" si="193"/>
        <v>170</v>
      </c>
      <c r="U87" s="217">
        <f t="shared" si="194"/>
        <v>34.515168204848628</v>
      </c>
      <c r="V87" s="217">
        <f t="shared" si="195"/>
        <v>1.5257724156806582</v>
      </c>
      <c r="W87" s="217">
        <f t="shared" si="196"/>
        <v>2.0240475076345965</v>
      </c>
      <c r="X87" s="197">
        <f t="shared" si="197"/>
        <v>350</v>
      </c>
      <c r="Y87" s="443">
        <f t="shared" si="198"/>
        <v>266.67947273475721</v>
      </c>
      <c r="AA87" s="217">
        <f t="shared" si="199"/>
        <v>27.780216582780636</v>
      </c>
      <c r="AB87" s="173">
        <f t="shared" si="200"/>
        <v>1.6290947157553632</v>
      </c>
      <c r="AC87" s="173">
        <f t="shared" si="201"/>
        <v>0.39599528532854017</v>
      </c>
      <c r="AD87" s="173"/>
      <c r="AE87" s="173">
        <f t="shared" si="202"/>
        <v>0.7818968153834317</v>
      </c>
      <c r="AF87" s="545">
        <f t="shared" si="203"/>
        <v>1887.7171142795733</v>
      </c>
      <c r="AG87" s="528">
        <f t="shared" si="204"/>
        <v>9.1221295128067023E-2</v>
      </c>
      <c r="AI87" s="173">
        <f t="shared" si="205"/>
        <v>30.965148780510457</v>
      </c>
      <c r="AJ87" s="173">
        <f t="shared" si="206"/>
        <v>34.515168204848628</v>
      </c>
      <c r="AK87" s="173">
        <f t="shared" si="207"/>
        <v>16.89024805297429</v>
      </c>
      <c r="AM87" s="545">
        <f t="shared" si="208"/>
        <v>491.99999999999994</v>
      </c>
      <c r="AN87" s="460">
        <f t="shared" si="209"/>
        <v>266.67947273475721</v>
      </c>
      <c r="AP87">
        <f t="shared" si="210"/>
        <v>491.99999999999994</v>
      </c>
      <c r="AQ87">
        <f t="shared" si="211"/>
        <v>266.67947273475721</v>
      </c>
      <c r="AS87" s="5">
        <f t="shared" si="285"/>
        <v>3.7498199233152549</v>
      </c>
      <c r="AT87" s="5">
        <f t="shared" si="212"/>
        <v>1.5257724156806582</v>
      </c>
      <c r="AU87" s="5">
        <f t="shared" si="286"/>
        <v>2.2240475076345967</v>
      </c>
      <c r="AV87" s="5">
        <f t="shared" si="213"/>
        <v>2.0240475076345965</v>
      </c>
      <c r="AW87" s="173">
        <f t="shared" si="287"/>
        <v>0.40689218332695476</v>
      </c>
      <c r="AX87" s="173">
        <f t="shared" si="214"/>
        <v>79.423603037699721</v>
      </c>
      <c r="AY87" s="173">
        <f t="shared" si="215"/>
        <v>0.51178040140201697</v>
      </c>
      <c r="AZ87" s="173">
        <f t="shared" si="288"/>
        <v>155.19078655634254</v>
      </c>
      <c r="BA87" s="460">
        <f t="shared" si="216"/>
        <v>0.44157648736169636</v>
      </c>
      <c r="BB87" s="5">
        <f t="shared" si="217"/>
        <v>26.314057978167192</v>
      </c>
      <c r="BC87" s="5"/>
      <c r="BD87" s="173">
        <f t="shared" si="289"/>
        <v>12.71127282737087</v>
      </c>
      <c r="BE87" s="173">
        <f t="shared" si="218"/>
        <v>0.76733709755090829</v>
      </c>
      <c r="BF87" s="173"/>
      <c r="BG87" s="528">
        <f t="shared" si="219"/>
        <v>6.4630582756742809</v>
      </c>
      <c r="BH87" s="528">
        <f t="shared" si="220"/>
        <v>4.3545614583891705</v>
      </c>
      <c r="BI87" s="528">
        <f t="shared" si="221"/>
        <v>0.12065347051269504</v>
      </c>
      <c r="BJ87" s="528">
        <f t="shared" si="222"/>
        <v>2.3580023413937536E-2</v>
      </c>
      <c r="BK87">
        <f t="shared" si="223"/>
        <v>5.0898238598883769E-3</v>
      </c>
      <c r="BL87" s="460">
        <f t="shared" si="290"/>
        <v>125.74329437258342</v>
      </c>
      <c r="BM87" s="528">
        <f t="shared" si="224"/>
        <v>-23.498307210959567</v>
      </c>
      <c r="BN87" s="460">
        <f t="shared" si="291"/>
        <v>-23498.307210959567</v>
      </c>
      <c r="BO87" s="528">
        <f t="shared" si="225"/>
        <v>0.42705599999999994</v>
      </c>
      <c r="BP87" s="528"/>
      <c r="BR87" s="460">
        <f t="shared" si="292"/>
        <v>427.05599999999993</v>
      </c>
      <c r="BS87" s="528">
        <f t="shared" si="226"/>
        <v>4.8472937067557105</v>
      </c>
      <c r="BT87" s="528">
        <f t="shared" si="227"/>
        <v>1.7664186638335563E-2</v>
      </c>
      <c r="BU87" s="528">
        <f t="shared" si="228"/>
        <v>1.2545999999999997</v>
      </c>
      <c r="BV87" s="528">
        <f t="shared" si="229"/>
        <v>11.930431564849634</v>
      </c>
      <c r="BW87" s="528">
        <f t="shared" si="230"/>
        <v>7.9423603037699717</v>
      </c>
      <c r="BX87" s="460">
        <f t="shared" si="293"/>
        <v>19872.791868619606</v>
      </c>
      <c r="BY87" s="173">
        <f t="shared" si="231"/>
        <v>-3.0727160479673774</v>
      </c>
      <c r="BZ87" s="5">
        <f t="shared" si="294"/>
        <v>83.639999999999986</v>
      </c>
      <c r="CA87" s="173">
        <f t="shared" si="295"/>
        <v>1.0381385085513963</v>
      </c>
      <c r="CB87" s="5">
        <f t="shared" si="296"/>
        <v>103.81385085513963</v>
      </c>
      <c r="CE87" s="562">
        <f t="shared" si="232"/>
        <v>-50</v>
      </c>
      <c r="CF87">
        <f t="shared" si="233"/>
        <v>-50</v>
      </c>
      <c r="CG87" s="173">
        <f t="shared" si="234"/>
        <v>0.57917380235851113</v>
      </c>
      <c r="CI87" s="170">
        <v>82</v>
      </c>
      <c r="CJ87" s="217">
        <f t="shared" si="297"/>
        <v>0.49199999999999994</v>
      </c>
      <c r="CK87" s="217"/>
      <c r="CL87" s="217">
        <f t="shared" si="235"/>
        <v>83.639999999999986</v>
      </c>
      <c r="CM87" s="541">
        <f t="shared" si="236"/>
        <v>12.5</v>
      </c>
      <c r="CN87" s="172">
        <f t="shared" si="237"/>
        <v>8.5250000000000004</v>
      </c>
      <c r="CO87" s="443">
        <f t="shared" si="238"/>
        <v>21.024999999999999</v>
      </c>
      <c r="CP87" s="443"/>
      <c r="CQ87" s="217">
        <f t="shared" si="239"/>
        <v>0.40546967895362668</v>
      </c>
      <c r="CR87" s="172">
        <f t="shared" si="240"/>
        <v>170.84633868410626</v>
      </c>
      <c r="CS87" s="172">
        <f t="shared" si="298"/>
        <v>83.639999999999986</v>
      </c>
      <c r="CT87" s="217">
        <f t="shared" si="241"/>
        <v>1.0049784628476839</v>
      </c>
      <c r="CU87" s="217">
        <f t="shared" si="242"/>
        <v>170</v>
      </c>
      <c r="CV87" s="217">
        <f t="shared" si="243"/>
        <v>0.99379823272947732</v>
      </c>
      <c r="CW87" s="172">
        <f t="shared" si="244"/>
        <v>597.09264142373229</v>
      </c>
      <c r="CX87" s="172">
        <f t="shared" si="245"/>
        <v>170</v>
      </c>
      <c r="CY87" s="217">
        <f t="shared" si="246"/>
        <v>33.004687390029318</v>
      </c>
      <c r="CZ87" s="217">
        <f t="shared" si="247"/>
        <v>1.3201874956011728</v>
      </c>
      <c r="DA87" s="217">
        <f t="shared" si="248"/>
        <v>1.9357587912040652</v>
      </c>
      <c r="DB87" s="197">
        <f t="shared" si="249"/>
        <v>350</v>
      </c>
      <c r="DC87" s="443">
        <f t="shared" si="299"/>
        <v>307.13037375724292</v>
      </c>
      <c r="DE87" s="217">
        <f t="shared" si="250"/>
        <v>28.962119925259049</v>
      </c>
      <c r="DF87" s="173">
        <f t="shared" si="251"/>
        <v>1.6986580601324954</v>
      </c>
      <c r="DG87" s="173">
        <f t="shared" si="252"/>
        <v>0.4304714614336958</v>
      </c>
      <c r="DH87" s="173"/>
      <c r="DI87" s="173">
        <f t="shared" si="253"/>
        <v>0.78201368523949166</v>
      </c>
      <c r="DJ87" s="545">
        <f t="shared" si="300"/>
        <v>1887.4349999999997</v>
      </c>
      <c r="DK87" s="528">
        <f t="shared" si="254"/>
        <v>9.1234929944607357E-2</v>
      </c>
      <c r="DM87" s="173">
        <f t="shared" si="255"/>
        <v>30.962834864675145</v>
      </c>
      <c r="DN87" s="173">
        <f t="shared" si="256"/>
        <v>33.004687390029318</v>
      </c>
      <c r="DO87" s="173">
        <f t="shared" si="257"/>
        <v>15.771373375330356</v>
      </c>
      <c r="DQ87" s="545">
        <f t="shared" si="258"/>
        <v>491.99999999999994</v>
      </c>
      <c r="DR87" s="460">
        <f t="shared" si="259"/>
        <v>307.13037375724292</v>
      </c>
      <c r="DT87">
        <f t="shared" si="260"/>
        <v>491.99999999999994</v>
      </c>
      <c r="DU87">
        <f t="shared" si="261"/>
        <v>307.13037375724292</v>
      </c>
      <c r="DW87" s="5">
        <f t="shared" si="301"/>
        <v>3.255946286805238</v>
      </c>
      <c r="DX87" s="5">
        <f t="shared" si="262"/>
        <v>1.3201874956011728</v>
      </c>
      <c r="DY87" s="5">
        <f t="shared" si="302"/>
        <v>1.9357587912040652</v>
      </c>
      <c r="DZ87" s="5">
        <f t="shared" si="263"/>
        <v>1.9357587912040652</v>
      </c>
      <c r="EA87" s="173">
        <f t="shared" si="303"/>
        <v>0.40546967895362668</v>
      </c>
      <c r="EB87" s="173">
        <f t="shared" si="264"/>
        <v>83.639999999999972</v>
      </c>
      <c r="EC87" s="173">
        <f t="shared" si="265"/>
        <v>0.49055718475073301</v>
      </c>
      <c r="ED87" s="173">
        <f t="shared" si="304"/>
        <v>170.5</v>
      </c>
      <c r="EE87" s="460">
        <f t="shared" si="266"/>
        <v>0.38207779284457466</v>
      </c>
      <c r="EF87" s="5">
        <f t="shared" si="267"/>
        <v>20.724078757927423</v>
      </c>
      <c r="EG87" s="5"/>
      <c r="EH87" s="173">
        <f t="shared" si="305"/>
        <v>12.133726118115685</v>
      </c>
      <c r="EI87" s="173">
        <f t="shared" si="268"/>
        <v>0.73463565866876712</v>
      </c>
      <c r="EJ87" s="173"/>
      <c r="EK87" s="528">
        <f t="shared" si="269"/>
        <v>5.8890923803777095</v>
      </c>
      <c r="EL87" s="528">
        <f t="shared" si="270"/>
        <v>5.8609375000000012</v>
      </c>
      <c r="EM87" s="528">
        <f t="shared" si="271"/>
        <v>6.1426074751448581E-2</v>
      </c>
      <c r="EN87" s="528">
        <f t="shared" si="272"/>
        <v>2.7153434735174564E-2</v>
      </c>
      <c r="EO87">
        <f t="shared" si="273"/>
        <v>5.6249999999999998E-3</v>
      </c>
      <c r="EP87" s="460">
        <f t="shared" si="306"/>
        <v>67.051074751448581</v>
      </c>
      <c r="EQ87" s="528">
        <f t="shared" si="274"/>
        <v>-33.648953957542467</v>
      </c>
      <c r="ER87" s="460">
        <f t="shared" si="307"/>
        <v>-33648.953957542464</v>
      </c>
      <c r="ES87" s="528">
        <f t="shared" si="308"/>
        <v>0.42705599999999994</v>
      </c>
      <c r="ET87" s="528"/>
      <c r="EV87" s="460">
        <f t="shared" si="309"/>
        <v>427.05599999999993</v>
      </c>
      <c r="EW87" s="528">
        <f t="shared" si="275"/>
        <v>4.4168192852832817</v>
      </c>
      <c r="EX87" s="528">
        <f t="shared" si="276"/>
        <v>1.61906865296308E-2</v>
      </c>
      <c r="EY87" s="528">
        <f t="shared" si="277"/>
        <v>517.2684427525403</v>
      </c>
      <c r="EZ87" s="528">
        <f t="shared" si="278"/>
        <v>810.03784139279287</v>
      </c>
      <c r="FA87" s="528">
        <f t="shared" si="279"/>
        <v>8.3640000000000008</v>
      </c>
      <c r="FB87" s="460">
        <f t="shared" si="310"/>
        <v>818401.84139279288</v>
      </c>
      <c r="FC87" s="173">
        <f t="shared" si="311"/>
        <v>785.17994343525038</v>
      </c>
      <c r="FD87" s="5">
        <f t="shared" si="312"/>
        <v>83.639999999999986</v>
      </c>
      <c r="FE87" s="173">
        <f t="shared" si="313"/>
        <v>9.6268508373891087E-2</v>
      </c>
      <c r="FF87" s="5">
        <f t="shared" si="314"/>
        <v>9.6268508373891084</v>
      </c>
      <c r="FI87" s="562">
        <f t="shared" si="280"/>
        <v>-50</v>
      </c>
      <c r="FJ87">
        <f t="shared" si="281"/>
        <v>-50</v>
      </c>
      <c r="FL87">
        <f t="shared" si="282"/>
        <v>0.59453032104637327</v>
      </c>
    </row>
    <row r="88" spans="5:168">
      <c r="E88" s="170">
        <v>83</v>
      </c>
      <c r="F88" s="217">
        <f t="shared" si="283"/>
        <v>0.49799999999999994</v>
      </c>
      <c r="G88" s="217"/>
      <c r="H88" s="217">
        <f t="shared" si="183"/>
        <v>84.66</v>
      </c>
      <c r="I88" s="541">
        <f t="shared" si="184"/>
        <v>11.29660069866439</v>
      </c>
      <c r="J88" s="172">
        <f t="shared" si="185"/>
        <v>8.5262893563942885</v>
      </c>
      <c r="K88" s="172">
        <f t="shared" si="186"/>
        <v>21.026289356394287</v>
      </c>
      <c r="L88" s="443"/>
      <c r="M88" s="217">
        <f t="shared" si="187"/>
        <v>0.43012247872925757</v>
      </c>
      <c r="N88" s="172">
        <f t="shared" si="188"/>
        <v>163.78615883428625</v>
      </c>
      <c r="O88" s="172">
        <f t="shared" si="284"/>
        <v>84.66</v>
      </c>
      <c r="P88" s="217">
        <f t="shared" si="189"/>
        <v>0.96344799314286034</v>
      </c>
      <c r="Q88" s="217">
        <f t="shared" si="190"/>
        <v>170</v>
      </c>
      <c r="R88" s="217">
        <f t="shared" si="191"/>
        <v>0.95272978308317446</v>
      </c>
      <c r="S88" s="172">
        <f t="shared" si="192"/>
        <v>530.4120014951086</v>
      </c>
      <c r="T88" s="172">
        <f t="shared" si="193"/>
        <v>170</v>
      </c>
      <c r="U88" s="217">
        <f t="shared" si="194"/>
        <v>34.954879349480827</v>
      </c>
      <c r="V88" s="217">
        <f t="shared" si="195"/>
        <v>1.5471414933526675</v>
      </c>
      <c r="W88" s="217">
        <f t="shared" si="196"/>
        <v>2.049829526561072</v>
      </c>
      <c r="X88" s="197">
        <f t="shared" si="197"/>
        <v>350</v>
      </c>
      <c r="Y88" s="443">
        <f t="shared" si="198"/>
        <v>263.36782523631649</v>
      </c>
      <c r="AA88" s="217">
        <f t="shared" si="199"/>
        <v>27.765329023433324</v>
      </c>
      <c r="AB88" s="173">
        <f t="shared" si="200"/>
        <v>1.6282187867932678</v>
      </c>
      <c r="AC88" s="173">
        <f t="shared" si="201"/>
        <v>0.39557026545269208</v>
      </c>
      <c r="AD88" s="173"/>
      <c r="AE88" s="173">
        <f t="shared" si="202"/>
        <v>0.78189542812865032</v>
      </c>
      <c r="AF88" s="545">
        <f t="shared" si="203"/>
        <v>1910.7414447679596</v>
      </c>
      <c r="AG88" s="528">
        <f t="shared" si="204"/>
        <v>9.1221133281675887E-2</v>
      </c>
      <c r="AI88" s="173">
        <f t="shared" si="205"/>
        <v>31.153416137319443</v>
      </c>
      <c r="AJ88" s="173">
        <f t="shared" si="206"/>
        <v>34.954879349480827</v>
      </c>
      <c r="AK88" s="173">
        <f t="shared" si="207"/>
        <v>17.215960011961105</v>
      </c>
      <c r="AM88" s="545">
        <f t="shared" si="208"/>
        <v>497.99999999999994</v>
      </c>
      <c r="AN88" s="460">
        <f t="shared" si="209"/>
        <v>263.36782523631649</v>
      </c>
      <c r="AP88">
        <f t="shared" si="210"/>
        <v>497.99999999999994</v>
      </c>
      <c r="AQ88">
        <f t="shared" si="211"/>
        <v>263.36782523631649</v>
      </c>
      <c r="AS88" s="5">
        <f t="shared" si="285"/>
        <v>3.7969710199137392</v>
      </c>
      <c r="AT88" s="5">
        <f t="shared" si="212"/>
        <v>1.5471414933526675</v>
      </c>
      <c r="AU88" s="5">
        <f t="shared" si="286"/>
        <v>2.2498295265610717</v>
      </c>
      <c r="AV88" s="5">
        <f t="shared" si="213"/>
        <v>2.049829526561072</v>
      </c>
      <c r="AW88" s="173">
        <f t="shared" si="287"/>
        <v>0.40746729043715901</v>
      </c>
      <c r="AX88" s="173">
        <f t="shared" si="214"/>
        <v>80.448572291481383</v>
      </c>
      <c r="AY88" s="173">
        <f t="shared" si="215"/>
        <v>0.51779773433475174</v>
      </c>
      <c r="AZ88" s="173">
        <f t="shared" si="288"/>
        <v>155.36679084708408</v>
      </c>
      <c r="BA88" s="460">
        <f t="shared" si="216"/>
        <v>0.45322144922919316</v>
      </c>
      <c r="BB88" s="5">
        <f t="shared" si="217"/>
        <v>26.977399350398194</v>
      </c>
      <c r="BC88" s="5"/>
      <c r="BD88" s="173">
        <f t="shared" si="289"/>
        <v>12.882304362865757</v>
      </c>
      <c r="BE88" s="173">
        <f t="shared" si="218"/>
        <v>0.77673584808706087</v>
      </c>
      <c r="BF88" s="173"/>
      <c r="BG88" s="528">
        <f t="shared" si="219"/>
        <v>6.6381506279004041</v>
      </c>
      <c r="BH88" s="528">
        <f t="shared" si="220"/>
        <v>4.3552759778046655</v>
      </c>
      <c r="BI88" s="528">
        <f t="shared" si="221"/>
        <v>0.11900644634281175</v>
      </c>
      <c r="BJ88" s="528">
        <f t="shared" si="222"/>
        <v>2.3287238263349379E-2</v>
      </c>
      <c r="BK88">
        <f t="shared" si="223"/>
        <v>5.0834703143989753E-3</v>
      </c>
      <c r="BL88" s="460">
        <f t="shared" si="290"/>
        <v>124.08991665721072</v>
      </c>
      <c r="BM88" s="528">
        <f t="shared" si="224"/>
        <v>-22.190694494659638</v>
      </c>
      <c r="BN88" s="460">
        <f t="shared" si="291"/>
        <v>-22190.694494659638</v>
      </c>
      <c r="BO88" s="528">
        <f t="shared" si="225"/>
        <v>0.43226399999999998</v>
      </c>
      <c r="BP88" s="528"/>
      <c r="BR88" s="460">
        <f t="shared" si="292"/>
        <v>432.26400000000001</v>
      </c>
      <c r="BS88" s="528">
        <f t="shared" si="226"/>
        <v>4.9786129709253029</v>
      </c>
      <c r="BT88" s="528">
        <f t="shared" si="227"/>
        <v>1.809955733110577E-2</v>
      </c>
      <c r="BU88" s="528">
        <f t="shared" si="228"/>
        <v>1.2698999999999998</v>
      </c>
      <c r="BV88" s="528">
        <f t="shared" si="229"/>
        <v>12.437587462750946</v>
      </c>
      <c r="BW88" s="528">
        <f t="shared" si="230"/>
        <v>8.0448572291481408</v>
      </c>
      <c r="BX88" s="460">
        <f t="shared" si="293"/>
        <v>20482.444691899087</v>
      </c>
      <c r="BY88" s="173">
        <f t="shared" si="231"/>
        <v>-1.151895886103341</v>
      </c>
      <c r="BZ88" s="5">
        <f t="shared" si="294"/>
        <v>84.66</v>
      </c>
      <c r="CA88" s="173">
        <f t="shared" si="295"/>
        <v>1.0137938215497297</v>
      </c>
      <c r="CB88" s="5">
        <f t="shared" si="296"/>
        <v>101.37938215497297</v>
      </c>
      <c r="CE88" s="562">
        <f t="shared" si="232"/>
        <v>-50</v>
      </c>
      <c r="CF88">
        <f t="shared" si="233"/>
        <v>-50</v>
      </c>
      <c r="CG88" s="173">
        <f t="shared" si="234"/>
        <v>0.57935882065595545</v>
      </c>
      <c r="CI88" s="170">
        <v>83</v>
      </c>
      <c r="CJ88" s="217">
        <f t="shared" si="297"/>
        <v>0.49799999999999994</v>
      </c>
      <c r="CK88" s="217"/>
      <c r="CL88" s="217">
        <f t="shared" si="235"/>
        <v>84.66</v>
      </c>
      <c r="CM88" s="541">
        <f t="shared" si="236"/>
        <v>12.5</v>
      </c>
      <c r="CN88" s="172">
        <f t="shared" si="237"/>
        <v>8.5250000000000004</v>
      </c>
      <c r="CO88" s="443">
        <f t="shared" si="238"/>
        <v>21.024999999999999</v>
      </c>
      <c r="CP88" s="443"/>
      <c r="CQ88" s="217">
        <f t="shared" si="239"/>
        <v>0.40546967895362668</v>
      </c>
      <c r="CR88" s="172">
        <f t="shared" si="240"/>
        <v>170.84633868410626</v>
      </c>
      <c r="CS88" s="172">
        <f t="shared" si="298"/>
        <v>84.66</v>
      </c>
      <c r="CT88" s="217">
        <f t="shared" si="241"/>
        <v>1.0049784628476839</v>
      </c>
      <c r="CU88" s="217">
        <f t="shared" si="242"/>
        <v>170</v>
      </c>
      <c r="CV88" s="217">
        <f t="shared" si="243"/>
        <v>0.99379823272947732</v>
      </c>
      <c r="CW88" s="172">
        <f t="shared" si="244"/>
        <v>586.89285831392613</v>
      </c>
      <c r="CX88" s="172">
        <f t="shared" si="245"/>
        <v>170</v>
      </c>
      <c r="CY88" s="217">
        <f t="shared" si="246"/>
        <v>33.407183577712601</v>
      </c>
      <c r="CZ88" s="217">
        <f t="shared" si="247"/>
        <v>1.3362873431085041</v>
      </c>
      <c r="DA88" s="217">
        <f t="shared" si="248"/>
        <v>1.9593656057309445</v>
      </c>
      <c r="DB88" s="197">
        <f t="shared" si="249"/>
        <v>350</v>
      </c>
      <c r="DC88" s="443">
        <f t="shared" si="299"/>
        <v>303.43000780836041</v>
      </c>
      <c r="DE88" s="217">
        <f t="shared" si="250"/>
        <v>28.962119925259049</v>
      </c>
      <c r="DF88" s="173">
        <f t="shared" si="251"/>
        <v>1.6986580601324954</v>
      </c>
      <c r="DG88" s="173">
        <f t="shared" si="252"/>
        <v>0.4304714614336958</v>
      </c>
      <c r="DH88" s="173"/>
      <c r="DI88" s="173">
        <f t="shared" si="253"/>
        <v>0.78201368523949166</v>
      </c>
      <c r="DJ88" s="545">
        <f t="shared" si="300"/>
        <v>1910.4524999999999</v>
      </c>
      <c r="DK88" s="528">
        <f t="shared" si="254"/>
        <v>9.1234929944607357E-2</v>
      </c>
      <c r="DM88" s="173">
        <f t="shared" si="255"/>
        <v>31.151060518521216</v>
      </c>
      <c r="DN88" s="173">
        <f t="shared" si="256"/>
        <v>33.407183577712601</v>
      </c>
      <c r="DO88" s="173">
        <f t="shared" si="257"/>
        <v>16.069518699540197</v>
      </c>
      <c r="DQ88" s="545">
        <f t="shared" si="258"/>
        <v>497.99999999999994</v>
      </c>
      <c r="DR88" s="460">
        <f t="shared" si="259"/>
        <v>303.43000780836041</v>
      </c>
      <c r="DT88">
        <f t="shared" si="260"/>
        <v>497.99999999999994</v>
      </c>
      <c r="DU88">
        <f t="shared" si="261"/>
        <v>303.43000780836041</v>
      </c>
      <c r="DW88" s="5">
        <f t="shared" si="301"/>
        <v>3.2956529488394488</v>
      </c>
      <c r="DX88" s="5">
        <f t="shared" si="262"/>
        <v>1.3362873431085041</v>
      </c>
      <c r="DY88" s="5">
        <f t="shared" si="302"/>
        <v>1.9593656057309448</v>
      </c>
      <c r="DZ88" s="5">
        <f t="shared" si="263"/>
        <v>1.9593656057309445</v>
      </c>
      <c r="EA88" s="173">
        <f t="shared" si="303"/>
        <v>0.40546967895362657</v>
      </c>
      <c r="EB88" s="173">
        <f t="shared" si="264"/>
        <v>84.659999999999954</v>
      </c>
      <c r="EC88" s="173">
        <f t="shared" si="265"/>
        <v>0.49653958944281529</v>
      </c>
      <c r="ED88" s="173">
        <f t="shared" si="304"/>
        <v>170.49999999999989</v>
      </c>
      <c r="EE88" s="460">
        <f t="shared" si="266"/>
        <v>0.39145358639296174</v>
      </c>
      <c r="EF88" s="5">
        <f t="shared" si="267"/>
        <v>21.232626199191266</v>
      </c>
      <c r="EG88" s="5"/>
      <c r="EH88" s="173">
        <f t="shared" si="305"/>
        <v>12.281698387848802</v>
      </c>
      <c r="EI88" s="173">
        <f t="shared" si="268"/>
        <v>0.7435946301159474</v>
      </c>
      <c r="EJ88" s="173"/>
      <c r="EK88" s="528">
        <f t="shared" si="269"/>
        <v>6.0336046116035149</v>
      </c>
      <c r="EL88" s="528">
        <f t="shared" si="270"/>
        <v>5.8609374999999995</v>
      </c>
      <c r="EM88" s="528">
        <f t="shared" si="271"/>
        <v>6.068600156167208E-2</v>
      </c>
      <c r="EN88" s="528">
        <f t="shared" si="272"/>
        <v>2.682628491908812E-2</v>
      </c>
      <c r="EO88">
        <f t="shared" si="273"/>
        <v>5.6249999999999998E-3</v>
      </c>
      <c r="EP88" s="460">
        <f t="shared" si="306"/>
        <v>66.311001561672072</v>
      </c>
      <c r="EQ88" s="528">
        <f t="shared" si="274"/>
        <v>-31.405075674818516</v>
      </c>
      <c r="ER88" s="460">
        <f t="shared" si="307"/>
        <v>-31405.075674818516</v>
      </c>
      <c r="ES88" s="528">
        <f t="shared" si="308"/>
        <v>0.43226399999999998</v>
      </c>
      <c r="ET88" s="528"/>
      <c r="EV88" s="460">
        <f t="shared" si="309"/>
        <v>432.26400000000001</v>
      </c>
      <c r="EW88" s="528">
        <f t="shared" si="275"/>
        <v>4.5252034587026362</v>
      </c>
      <c r="EX88" s="528">
        <f t="shared" si="276"/>
        <v>1.6587989218118177E-2</v>
      </c>
      <c r="EY88" s="528">
        <f t="shared" si="277"/>
        <v>517.2684427525403</v>
      </c>
      <c r="EZ88" s="528">
        <f t="shared" si="278"/>
        <v>821.32219318904322</v>
      </c>
      <c r="FA88" s="528">
        <f t="shared" si="279"/>
        <v>8.4659999999999975</v>
      </c>
      <c r="FB88" s="460">
        <f t="shared" si="310"/>
        <v>829788.1931890432</v>
      </c>
      <c r="FC88" s="173">
        <f t="shared" si="311"/>
        <v>798.81538151422467</v>
      </c>
      <c r="FD88" s="5">
        <f t="shared" si="312"/>
        <v>84.66</v>
      </c>
      <c r="FE88" s="173">
        <f t="shared" si="313"/>
        <v>9.5826099709646409E-2</v>
      </c>
      <c r="FF88" s="5">
        <f t="shared" si="314"/>
        <v>9.5826099709646417</v>
      </c>
      <c r="FI88" s="562">
        <f t="shared" si="280"/>
        <v>-50</v>
      </c>
      <c r="FJ88">
        <f t="shared" si="281"/>
        <v>-50</v>
      </c>
      <c r="FL88">
        <f t="shared" si="282"/>
        <v>0.59453032104637349</v>
      </c>
    </row>
    <row r="89" spans="5:168">
      <c r="E89" s="170">
        <v>84</v>
      </c>
      <c r="F89" s="217">
        <f t="shared" si="283"/>
        <v>0.504</v>
      </c>
      <c r="G89" s="217"/>
      <c r="H89" s="217">
        <f t="shared" si="183"/>
        <v>85.68</v>
      </c>
      <c r="I89" s="541">
        <f t="shared" si="184"/>
        <v>11.282481469074169</v>
      </c>
      <c r="J89" s="172">
        <f t="shared" si="185"/>
        <v>8.5263044841402778</v>
      </c>
      <c r="K89" s="172">
        <f t="shared" si="186"/>
        <v>21.026304484140276</v>
      </c>
      <c r="L89" s="443"/>
      <c r="M89" s="217">
        <f t="shared" si="187"/>
        <v>0.43042949577451323</v>
      </c>
      <c r="N89" s="172">
        <f t="shared" si="188"/>
        <v>163.69821096431156</v>
      </c>
      <c r="O89" s="172">
        <f t="shared" si="284"/>
        <v>85.68</v>
      </c>
      <c r="P89" s="217">
        <f t="shared" si="189"/>
        <v>0.96293065273124445</v>
      </c>
      <c r="Q89" s="217">
        <f t="shared" si="190"/>
        <v>170</v>
      </c>
      <c r="R89" s="217">
        <f t="shared" si="191"/>
        <v>0.95221819800370278</v>
      </c>
      <c r="S89" s="172">
        <f t="shared" si="192"/>
        <v>520.76268019373617</v>
      </c>
      <c r="T89" s="172">
        <f t="shared" si="193"/>
        <v>170</v>
      </c>
      <c r="U89" s="217">
        <f t="shared" si="194"/>
        <v>35.395091302022337</v>
      </c>
      <c r="V89" s="217">
        <f t="shared" si="195"/>
        <v>1.568586281264543</v>
      </c>
      <c r="W89" s="217">
        <f t="shared" si="196"/>
        <v>2.0756408223434026</v>
      </c>
      <c r="X89" s="197">
        <f t="shared" si="197"/>
        <v>350</v>
      </c>
      <c r="Y89" s="443">
        <f t="shared" si="198"/>
        <v>260.13031307683769</v>
      </c>
      <c r="AA89" s="217">
        <f t="shared" si="199"/>
        <v>27.750419887764515</v>
      </c>
      <c r="AB89" s="173">
        <f t="shared" si="200"/>
        <v>1.6273415956105535</v>
      </c>
      <c r="AC89" s="173">
        <f t="shared" si="201"/>
        <v>0.39514486006640348</v>
      </c>
      <c r="AD89" s="173"/>
      <c r="AE89" s="173">
        <f t="shared" si="202"/>
        <v>0.7818940408552485</v>
      </c>
      <c r="AF89" s="545">
        <f t="shared" si="203"/>
        <v>1933.7658570030146</v>
      </c>
      <c r="AG89" s="528">
        <f t="shared" si="204"/>
        <v>9.1220971433112349E-2</v>
      </c>
      <c r="AI89" s="173">
        <f t="shared" si="205"/>
        <v>31.340553226976706</v>
      </c>
      <c r="AJ89" s="173">
        <f t="shared" si="206"/>
        <v>35.395091302022337</v>
      </c>
      <c r="AK89" s="173">
        <f t="shared" si="207"/>
        <v>17.54204293976963</v>
      </c>
      <c r="AM89" s="545">
        <f t="shared" si="208"/>
        <v>504</v>
      </c>
      <c r="AN89" s="460">
        <f t="shared" si="209"/>
        <v>260.13031307683769</v>
      </c>
      <c r="AP89">
        <f t="shared" si="210"/>
        <v>504</v>
      </c>
      <c r="AQ89">
        <f t="shared" si="211"/>
        <v>260.13031307683769</v>
      </c>
      <c r="AS89" s="5">
        <f t="shared" si="285"/>
        <v>3.8442271036079458</v>
      </c>
      <c r="AT89" s="5">
        <f t="shared" si="212"/>
        <v>1.568586281264543</v>
      </c>
      <c r="AU89" s="5">
        <f t="shared" si="286"/>
        <v>2.2756408223434028</v>
      </c>
      <c r="AV89" s="5">
        <f t="shared" si="213"/>
        <v>2.0756408223434026</v>
      </c>
      <c r="AW89" s="173">
        <f t="shared" si="287"/>
        <v>0.40803684043337818</v>
      </c>
      <c r="AX89" s="173">
        <f t="shared" si="214"/>
        <v>81.47362620061439</v>
      </c>
      <c r="AY89" s="173">
        <f t="shared" si="215"/>
        <v>0.52381475200735494</v>
      </c>
      <c r="AZ89" s="173">
        <f t="shared" si="288"/>
        <v>155.53900665911451</v>
      </c>
      <c r="BA89" s="460">
        <f t="shared" si="216"/>
        <v>0.46503969750431157</v>
      </c>
      <c r="BB89" s="5">
        <f t="shared" si="217"/>
        <v>27.650215948372555</v>
      </c>
      <c r="BC89" s="5"/>
      <c r="BD89" s="173">
        <f t="shared" si="289"/>
        <v>13.053654014267892</v>
      </c>
      <c r="BE89" s="173">
        <f t="shared" si="218"/>
        <v>0.78613974526684327</v>
      </c>
      <c r="BF89" s="173"/>
      <c r="BG89" s="528">
        <f t="shared" si="219"/>
        <v>6.815915324968489</v>
      </c>
      <c r="BH89" s="528">
        <f t="shared" si="220"/>
        <v>4.3559157160330333</v>
      </c>
      <c r="BI89" s="528">
        <f t="shared" si="221"/>
        <v>0.11739661747335534</v>
      </c>
      <c r="BJ89" s="528">
        <f t="shared" si="222"/>
        <v>2.3001007398592323E-2</v>
      </c>
      <c r="BK89">
        <f t="shared" si="223"/>
        <v>5.077116661083376E-3</v>
      </c>
      <c r="BL89" s="460">
        <f t="shared" si="290"/>
        <v>122.47373413443871</v>
      </c>
      <c r="BM89" s="528">
        <f t="shared" si="224"/>
        <v>-21.042679135798871</v>
      </c>
      <c r="BN89" s="460">
        <f t="shared" si="291"/>
        <v>-21042.67913579887</v>
      </c>
      <c r="BO89" s="528">
        <f t="shared" si="225"/>
        <v>0.43747200000000003</v>
      </c>
      <c r="BP89" s="528"/>
      <c r="BR89" s="460">
        <f t="shared" si="292"/>
        <v>437.47200000000004</v>
      </c>
      <c r="BS89" s="528">
        <f t="shared" si="226"/>
        <v>5.1119364937263665</v>
      </c>
      <c r="BT89" s="528">
        <f t="shared" si="227"/>
        <v>1.8540470972646515E-2</v>
      </c>
      <c r="BU89" s="528">
        <f t="shared" si="228"/>
        <v>1.2852000000000001</v>
      </c>
      <c r="BV89" s="528">
        <f t="shared" si="229"/>
        <v>12.970634937289493</v>
      </c>
      <c r="BW89" s="528">
        <f t="shared" si="230"/>
        <v>8.1473626200614397</v>
      </c>
      <c r="BX89" s="460">
        <f t="shared" si="293"/>
        <v>21117.997557350933</v>
      </c>
      <c r="BY89" s="173">
        <f t="shared" si="231"/>
        <v>0.63526415568650019</v>
      </c>
      <c r="BZ89" s="5">
        <f t="shared" si="294"/>
        <v>85.68</v>
      </c>
      <c r="CA89" s="173">
        <f t="shared" si="295"/>
        <v>0.99264018755082906</v>
      </c>
      <c r="CB89" s="5">
        <f t="shared" si="296"/>
        <v>99.264018755082901</v>
      </c>
      <c r="CE89" s="562">
        <f t="shared" si="232"/>
        <v>-50</v>
      </c>
      <c r="CF89">
        <f t="shared" si="233"/>
        <v>-50</v>
      </c>
      <c r="CG89" s="173">
        <f t="shared" si="234"/>
        <v>0.57953943375584116</v>
      </c>
      <c r="CI89" s="170">
        <v>84</v>
      </c>
      <c r="CJ89" s="217">
        <f t="shared" si="297"/>
        <v>0.504</v>
      </c>
      <c r="CK89" s="217"/>
      <c r="CL89" s="217">
        <f t="shared" si="235"/>
        <v>85.68</v>
      </c>
      <c r="CM89" s="541">
        <f t="shared" si="236"/>
        <v>12.5</v>
      </c>
      <c r="CN89" s="172">
        <f t="shared" si="237"/>
        <v>8.5250000000000004</v>
      </c>
      <c r="CO89" s="443">
        <f t="shared" si="238"/>
        <v>21.024999999999999</v>
      </c>
      <c r="CP89" s="443"/>
      <c r="CQ89" s="217">
        <f t="shared" si="239"/>
        <v>0.40546967895362668</v>
      </c>
      <c r="CR89" s="172">
        <f t="shared" si="240"/>
        <v>170.84633868410626</v>
      </c>
      <c r="CS89" s="172">
        <f t="shared" si="298"/>
        <v>85.68</v>
      </c>
      <c r="CT89" s="217">
        <f t="shared" si="241"/>
        <v>1.0049784628476839</v>
      </c>
      <c r="CU89" s="217">
        <f t="shared" si="242"/>
        <v>170</v>
      </c>
      <c r="CV89" s="217">
        <f t="shared" si="243"/>
        <v>0.99379823272947732</v>
      </c>
      <c r="CW89" s="172">
        <f t="shared" si="244"/>
        <v>576.93605090715766</v>
      </c>
      <c r="CX89" s="172">
        <f t="shared" si="245"/>
        <v>170</v>
      </c>
      <c r="CY89" s="217">
        <f t="shared" si="246"/>
        <v>33.809679765395892</v>
      </c>
      <c r="CZ89" s="217">
        <f t="shared" si="247"/>
        <v>1.3523871906158356</v>
      </c>
      <c r="DA89" s="217">
        <f t="shared" si="248"/>
        <v>1.9829724202578236</v>
      </c>
      <c r="DB89" s="197">
        <f t="shared" si="249"/>
        <v>350</v>
      </c>
      <c r="DC89" s="443">
        <f t="shared" si="299"/>
        <v>299.81774581064184</v>
      </c>
      <c r="DE89" s="217">
        <f t="shared" si="250"/>
        <v>28.962119925259049</v>
      </c>
      <c r="DF89" s="173">
        <f t="shared" si="251"/>
        <v>1.6986580601324954</v>
      </c>
      <c r="DG89" s="173">
        <f t="shared" si="252"/>
        <v>0.4304714614336958</v>
      </c>
      <c r="DH89" s="173"/>
      <c r="DI89" s="173">
        <f t="shared" si="253"/>
        <v>0.78201368523949166</v>
      </c>
      <c r="DJ89" s="545">
        <f t="shared" si="300"/>
        <v>1933.47</v>
      </c>
      <c r="DK89" s="528">
        <f t="shared" si="254"/>
        <v>9.1234929944607357E-2</v>
      </c>
      <c r="DM89" s="173">
        <f t="shared" si="255"/>
        <v>31.33815565728143</v>
      </c>
      <c r="DN89" s="173">
        <f t="shared" si="256"/>
        <v>33.809679765395892</v>
      </c>
      <c r="DO89" s="173">
        <f t="shared" si="257"/>
        <v>16.367664023750041</v>
      </c>
      <c r="DQ89" s="545">
        <f t="shared" si="258"/>
        <v>504</v>
      </c>
      <c r="DR89" s="460">
        <f t="shared" si="259"/>
        <v>299.81774581064184</v>
      </c>
      <c r="DT89">
        <f t="shared" si="260"/>
        <v>504</v>
      </c>
      <c r="DU89">
        <f t="shared" si="261"/>
        <v>299.81774581064184</v>
      </c>
      <c r="DW89" s="5">
        <f t="shared" si="301"/>
        <v>3.3353596108736587</v>
      </c>
      <c r="DX89" s="5">
        <f t="shared" si="262"/>
        <v>1.3523871906158356</v>
      </c>
      <c r="DY89" s="5">
        <f t="shared" si="302"/>
        <v>1.9829724202578232</v>
      </c>
      <c r="DZ89" s="5">
        <f t="shared" si="263"/>
        <v>1.9829724202578236</v>
      </c>
      <c r="EA89" s="173">
        <f t="shared" si="303"/>
        <v>0.40546967895362668</v>
      </c>
      <c r="EB89" s="173">
        <f t="shared" si="264"/>
        <v>85.68</v>
      </c>
      <c r="EC89" s="173">
        <f t="shared" si="265"/>
        <v>0.50252199413489729</v>
      </c>
      <c r="ED89" s="173">
        <f t="shared" si="304"/>
        <v>170.50000000000003</v>
      </c>
      <c r="EE89" s="460">
        <f t="shared" si="266"/>
        <v>0.40094302592375358</v>
      </c>
      <c r="EF89" s="5">
        <f t="shared" si="267"/>
        <v>21.747337851864359</v>
      </c>
      <c r="EG89" s="5"/>
      <c r="EH89" s="173">
        <f t="shared" si="305"/>
        <v>12.429670657581925</v>
      </c>
      <c r="EI89" s="173">
        <f t="shared" si="268"/>
        <v>0.75255360156312734</v>
      </c>
      <c r="EJ89" s="173"/>
      <c r="EK89" s="528">
        <f t="shared" si="269"/>
        <v>6.1798685062381233</v>
      </c>
      <c r="EL89" s="528">
        <f t="shared" si="270"/>
        <v>5.8609375000000004</v>
      </c>
      <c r="EM89" s="528">
        <f t="shared" si="271"/>
        <v>5.9963549162128364E-2</v>
      </c>
      <c r="EN89" s="528">
        <f t="shared" si="272"/>
        <v>2.650692438433707E-2</v>
      </c>
      <c r="EO89">
        <f t="shared" si="273"/>
        <v>5.6249999999999998E-3</v>
      </c>
      <c r="EP89" s="460">
        <f t="shared" si="306"/>
        <v>65.588549162128359</v>
      </c>
      <c r="EQ89" s="528">
        <f t="shared" si="274"/>
        <v>-29.46910693590333</v>
      </c>
      <c r="ER89" s="460">
        <f t="shared" si="307"/>
        <v>-29469.106935903332</v>
      </c>
      <c r="ES89" s="528">
        <f t="shared" si="308"/>
        <v>0.43747200000000003</v>
      </c>
      <c r="ET89" s="528"/>
      <c r="EV89" s="460">
        <f t="shared" si="309"/>
        <v>437.47200000000004</v>
      </c>
      <c r="EW89" s="528">
        <f t="shared" si="275"/>
        <v>4.6349013796785918</v>
      </c>
      <c r="EX89" s="528">
        <f t="shared" si="276"/>
        <v>1.6990107696769025E-2</v>
      </c>
      <c r="EY89" s="528">
        <f t="shared" si="277"/>
        <v>517.26844275253927</v>
      </c>
      <c r="EZ89" s="528">
        <f t="shared" si="278"/>
        <v>833.06185712696924</v>
      </c>
      <c r="FA89" s="528">
        <f t="shared" si="279"/>
        <v>8.5680000000000014</v>
      </c>
      <c r="FB89" s="460">
        <f t="shared" si="310"/>
        <v>841629.85712696926</v>
      </c>
      <c r="FC89" s="173">
        <f t="shared" si="311"/>
        <v>812.59822219106593</v>
      </c>
      <c r="FD89" s="5">
        <f t="shared" si="312"/>
        <v>85.68</v>
      </c>
      <c r="FE89" s="173">
        <f t="shared" si="313"/>
        <v>9.5382474920755314E-2</v>
      </c>
      <c r="FF89" s="5">
        <f t="shared" si="314"/>
        <v>9.5382474920755307</v>
      </c>
      <c r="FI89" s="562">
        <f t="shared" si="280"/>
        <v>-50</v>
      </c>
      <c r="FJ89">
        <f t="shared" si="281"/>
        <v>-50</v>
      </c>
      <c r="FL89">
        <f t="shared" si="282"/>
        <v>0.59453032104637327</v>
      </c>
    </row>
    <row r="90" spans="5:168">
      <c r="E90" s="170">
        <v>85</v>
      </c>
      <c r="F90" s="217">
        <f t="shared" si="283"/>
        <v>0.51</v>
      </c>
      <c r="G90" s="217"/>
      <c r="H90" s="217">
        <f t="shared" si="183"/>
        <v>86.7</v>
      </c>
      <c r="I90" s="541">
        <f t="shared" si="184"/>
        <v>11.268362008543249</v>
      </c>
      <c r="J90" s="172">
        <f t="shared" si="185"/>
        <v>8.5263196121337028</v>
      </c>
      <c r="K90" s="172">
        <f t="shared" si="186"/>
        <v>21.026319612133705</v>
      </c>
      <c r="L90" s="443"/>
      <c r="M90" s="217">
        <f t="shared" si="187"/>
        <v>0.43073695535692924</v>
      </c>
      <c r="N90" s="172">
        <f t="shared" si="188"/>
        <v>163.61013559276941</v>
      </c>
      <c r="O90" s="172">
        <f t="shared" si="284"/>
        <v>86.7</v>
      </c>
      <c r="P90" s="217">
        <f t="shared" si="189"/>
        <v>0.96241256231040828</v>
      </c>
      <c r="Q90" s="217">
        <f t="shared" si="190"/>
        <v>170</v>
      </c>
      <c r="R90" s="217">
        <f t="shared" si="191"/>
        <v>0.95170587125874728</v>
      </c>
      <c r="S90" s="172">
        <f t="shared" si="192"/>
        <v>511.34715966764048</v>
      </c>
      <c r="T90" s="172">
        <f t="shared" si="193"/>
        <v>170</v>
      </c>
      <c r="U90" s="217">
        <f t="shared" si="194"/>
        <v>35.835805945897732</v>
      </c>
      <c r="V90" s="217">
        <f t="shared" si="195"/>
        <v>1.5901071477260122</v>
      </c>
      <c r="W90" s="217">
        <f t="shared" si="196"/>
        <v>2.1014815052734024</v>
      </c>
      <c r="X90" s="197">
        <f t="shared" si="197"/>
        <v>350</v>
      </c>
      <c r="Y90" s="443">
        <f t="shared" si="198"/>
        <v>256.96446597182285</v>
      </c>
      <c r="AA90" s="217">
        <f t="shared" si="199"/>
        <v>27.735489138284407</v>
      </c>
      <c r="AB90" s="173">
        <f t="shared" si="200"/>
        <v>1.6264631400173155</v>
      </c>
      <c r="AC90" s="173">
        <f t="shared" si="201"/>
        <v>0.39471906909548932</v>
      </c>
      <c r="AD90" s="173"/>
      <c r="AE90" s="173">
        <f t="shared" si="202"/>
        <v>0.78189265356407867</v>
      </c>
      <c r="AF90" s="545">
        <f t="shared" si="203"/>
        <v>1956.7903509846847</v>
      </c>
      <c r="AG90" s="528">
        <f t="shared" si="204"/>
        <v>9.1220809582475859E-2</v>
      </c>
      <c r="AI90" s="173">
        <f t="shared" si="205"/>
        <v>31.526580176781216</v>
      </c>
      <c r="AJ90" s="173">
        <f t="shared" si="206"/>
        <v>35.835805945897732</v>
      </c>
      <c r="AK90" s="173">
        <f t="shared" si="207"/>
        <v>17.86849823152918</v>
      </c>
      <c r="AM90" s="545">
        <f t="shared" si="208"/>
        <v>510</v>
      </c>
      <c r="AN90" s="460">
        <f t="shared" si="209"/>
        <v>256.96446597182285</v>
      </c>
      <c r="AP90">
        <f t="shared" si="210"/>
        <v>510</v>
      </c>
      <c r="AQ90">
        <f t="shared" si="211"/>
        <v>256.96446597182285</v>
      </c>
      <c r="AS90" s="5">
        <f t="shared" si="285"/>
        <v>3.8915886529994146</v>
      </c>
      <c r="AT90" s="5">
        <f t="shared" si="212"/>
        <v>1.5901071477260122</v>
      </c>
      <c r="AU90" s="5">
        <f t="shared" si="286"/>
        <v>2.3014815052734026</v>
      </c>
      <c r="AV90" s="5">
        <f t="shared" si="213"/>
        <v>2.1014815052734024</v>
      </c>
      <c r="AW90" s="173">
        <f t="shared" si="287"/>
        <v>0.40860103405339315</v>
      </c>
      <c r="AX90" s="173">
        <f t="shared" si="214"/>
        <v>82.498762221583149</v>
      </c>
      <c r="AY90" s="173">
        <f t="shared" si="215"/>
        <v>0.52983146450667962</v>
      </c>
      <c r="AZ90" s="173">
        <f t="shared" si="288"/>
        <v>155.70755560619048</v>
      </c>
      <c r="BA90" s="460">
        <f t="shared" si="216"/>
        <v>0.47703214431780372</v>
      </c>
      <c r="BB90" s="5">
        <f t="shared" si="217"/>
        <v>28.332557488788019</v>
      </c>
      <c r="BC90" s="5"/>
      <c r="BD90" s="173">
        <f t="shared" si="289"/>
        <v>13.225322755335089</v>
      </c>
      <c r="BE90" s="173">
        <f t="shared" si="218"/>
        <v>0.79554881572601965</v>
      </c>
      <c r="BF90" s="173"/>
      <c r="BG90" s="528">
        <f t="shared" si="219"/>
        <v>6.996366479311364</v>
      </c>
      <c r="BH90" s="528">
        <f t="shared" si="220"/>
        <v>4.3564830388515396</v>
      </c>
      <c r="BI90" s="528">
        <f t="shared" si="221"/>
        <v>0.11582274503609974</v>
      </c>
      <c r="BJ90" s="528">
        <f t="shared" si="222"/>
        <v>2.2721112422344449E-2</v>
      </c>
      <c r="BK90">
        <f t="shared" si="223"/>
        <v>5.0707629038444623E-3</v>
      </c>
      <c r="BL90" s="460">
        <f t="shared" si="290"/>
        <v>120.8935079399442</v>
      </c>
      <c r="BM90" s="528">
        <f t="shared" si="224"/>
        <v>-20.026959205148444</v>
      </c>
      <c r="BN90" s="460">
        <f t="shared" si="291"/>
        <v>-20026.959205148443</v>
      </c>
      <c r="BO90" s="528">
        <f t="shared" si="225"/>
        <v>0.44267999999999996</v>
      </c>
      <c r="BP90" s="528"/>
      <c r="BR90" s="460">
        <f t="shared" si="292"/>
        <v>442.67999999999995</v>
      </c>
      <c r="BS90" s="528">
        <f t="shared" si="226"/>
        <v>5.2472748594835226</v>
      </c>
      <c r="BT90" s="528">
        <f t="shared" si="227"/>
        <v>1.898693754609217E-2</v>
      </c>
      <c r="BU90" s="528">
        <f t="shared" si="228"/>
        <v>1.3005</v>
      </c>
      <c r="BV90" s="528">
        <f t="shared" si="229"/>
        <v>13.531497146767803</v>
      </c>
      <c r="BW90" s="528">
        <f t="shared" si="230"/>
        <v>8.2498762221583171</v>
      </c>
      <c r="BX90" s="460">
        <f t="shared" si="293"/>
        <v>21781.373368926117</v>
      </c>
      <c r="BY90" s="173">
        <f t="shared" si="231"/>
        <v>2.3179876717176198</v>
      </c>
      <c r="BZ90" s="5">
        <f t="shared" si="294"/>
        <v>86.7</v>
      </c>
      <c r="CA90" s="173">
        <f t="shared" si="295"/>
        <v>0.97396045751712634</v>
      </c>
      <c r="CB90" s="5">
        <f t="shared" si="296"/>
        <v>97.396045751712634</v>
      </c>
      <c r="CE90" s="562">
        <f t="shared" si="232"/>
        <v>-50</v>
      </c>
      <c r="CF90">
        <f t="shared" si="233"/>
        <v>-50</v>
      </c>
      <c r="CG90" s="173">
        <f t="shared" si="234"/>
        <v>0.57971579713572996</v>
      </c>
      <c r="CI90" s="170">
        <v>85</v>
      </c>
      <c r="CJ90" s="217">
        <f t="shared" si="297"/>
        <v>0.51</v>
      </c>
      <c r="CK90" s="217"/>
      <c r="CL90" s="217">
        <f t="shared" si="235"/>
        <v>86.7</v>
      </c>
      <c r="CM90" s="541">
        <f t="shared" si="236"/>
        <v>12.5</v>
      </c>
      <c r="CN90" s="172">
        <f t="shared" si="237"/>
        <v>8.5250000000000004</v>
      </c>
      <c r="CO90" s="443">
        <f t="shared" si="238"/>
        <v>21.024999999999999</v>
      </c>
      <c r="CP90" s="443"/>
      <c r="CQ90" s="217">
        <f t="shared" si="239"/>
        <v>0.40546967895362668</v>
      </c>
      <c r="CR90" s="172">
        <f t="shared" si="240"/>
        <v>170.84633868410626</v>
      </c>
      <c r="CS90" s="172">
        <f t="shared" si="298"/>
        <v>86.7</v>
      </c>
      <c r="CT90" s="217">
        <f t="shared" si="241"/>
        <v>1.0049784628476839</v>
      </c>
      <c r="CU90" s="217">
        <f t="shared" si="242"/>
        <v>170</v>
      </c>
      <c r="CV90" s="217">
        <f t="shared" si="243"/>
        <v>0.99379823272947732</v>
      </c>
      <c r="CW90" s="172">
        <f t="shared" si="244"/>
        <v>567.21364547825067</v>
      </c>
      <c r="CX90" s="172">
        <f t="shared" si="245"/>
        <v>170</v>
      </c>
      <c r="CY90" s="217">
        <f t="shared" si="246"/>
        <v>34.212175953079175</v>
      </c>
      <c r="CZ90" s="217">
        <f t="shared" si="247"/>
        <v>1.3684870381231666</v>
      </c>
      <c r="DA90" s="217">
        <f t="shared" si="248"/>
        <v>2.0065792347847022</v>
      </c>
      <c r="DB90" s="197">
        <f t="shared" si="249"/>
        <v>350</v>
      </c>
      <c r="DC90" s="443">
        <f t="shared" si="299"/>
        <v>296.29047821286957</v>
      </c>
      <c r="DE90" s="217">
        <f t="shared" si="250"/>
        <v>28.962119925259049</v>
      </c>
      <c r="DF90" s="173">
        <f t="shared" si="251"/>
        <v>1.6986580601324954</v>
      </c>
      <c r="DG90" s="173">
        <f t="shared" si="252"/>
        <v>0.4304714614336958</v>
      </c>
      <c r="DH90" s="173"/>
      <c r="DI90" s="173">
        <f t="shared" si="253"/>
        <v>0.78201368523949166</v>
      </c>
      <c r="DJ90" s="545">
        <f t="shared" si="300"/>
        <v>1956.4875</v>
      </c>
      <c r="DK90" s="528">
        <f t="shared" si="254"/>
        <v>9.1234929944607357E-2</v>
      </c>
      <c r="DM90" s="173">
        <f t="shared" si="255"/>
        <v>31.524140409715038</v>
      </c>
      <c r="DN90" s="173">
        <f t="shared" si="256"/>
        <v>34.212175953079175</v>
      </c>
      <c r="DO90" s="173">
        <f t="shared" si="257"/>
        <v>16.665809347959879</v>
      </c>
      <c r="DQ90" s="545">
        <f t="shared" si="258"/>
        <v>510</v>
      </c>
      <c r="DR90" s="460">
        <f t="shared" si="259"/>
        <v>296.29047821286957</v>
      </c>
      <c r="DT90">
        <f t="shared" si="260"/>
        <v>510</v>
      </c>
      <c r="DU90">
        <f t="shared" si="261"/>
        <v>296.29047821286957</v>
      </c>
      <c r="DW90" s="5">
        <f t="shared" si="301"/>
        <v>3.3750662729078695</v>
      </c>
      <c r="DX90" s="5">
        <f t="shared" si="262"/>
        <v>1.3684870381231666</v>
      </c>
      <c r="DY90" s="5">
        <f t="shared" si="302"/>
        <v>2.0065792347847031</v>
      </c>
      <c r="DZ90" s="5">
        <f t="shared" si="263"/>
        <v>2.0065792347847022</v>
      </c>
      <c r="EA90" s="173">
        <f t="shared" si="303"/>
        <v>0.40546967895362651</v>
      </c>
      <c r="EB90" s="173">
        <f t="shared" si="264"/>
        <v>86.699999999999989</v>
      </c>
      <c r="EC90" s="173">
        <f t="shared" si="265"/>
        <v>0.50850439882697951</v>
      </c>
      <c r="ED90" s="173">
        <f t="shared" si="304"/>
        <v>170.49999999999997</v>
      </c>
      <c r="EE90" s="460">
        <f t="shared" si="266"/>
        <v>0.41054611143694997</v>
      </c>
      <c r="EF90" s="5">
        <f t="shared" si="267"/>
        <v>22.268213715946722</v>
      </c>
      <c r="EG90" s="5"/>
      <c r="EH90" s="173">
        <f t="shared" si="305"/>
        <v>12.57764292731504</v>
      </c>
      <c r="EI90" s="173">
        <f t="shared" si="268"/>
        <v>0.76151257301030761</v>
      </c>
      <c r="EJ90" s="173"/>
      <c r="EK90" s="528">
        <f t="shared" si="269"/>
        <v>6.3278840642815215</v>
      </c>
      <c r="EL90" s="528">
        <f t="shared" si="270"/>
        <v>5.8609375000000004</v>
      </c>
      <c r="EM90" s="528">
        <f t="shared" si="271"/>
        <v>5.9258095642573914E-2</v>
      </c>
      <c r="EN90" s="528">
        <f t="shared" si="272"/>
        <v>2.6195078215109576E-2</v>
      </c>
      <c r="EO90">
        <f t="shared" si="273"/>
        <v>5.6249999999999998E-3</v>
      </c>
      <c r="EP90" s="460">
        <f t="shared" si="306"/>
        <v>64.883095642573906</v>
      </c>
      <c r="EQ90" s="528">
        <f t="shared" si="274"/>
        <v>-27.78209032267997</v>
      </c>
      <c r="ER90" s="460">
        <f t="shared" si="307"/>
        <v>-27782.090322679971</v>
      </c>
      <c r="ES90" s="528">
        <f t="shared" si="308"/>
        <v>0.44267999999999996</v>
      </c>
      <c r="ET90" s="528"/>
      <c r="EV90" s="460">
        <f t="shared" si="309"/>
        <v>442.67999999999995</v>
      </c>
      <c r="EW90" s="528">
        <f t="shared" si="275"/>
        <v>4.7459130482111407</v>
      </c>
      <c r="EX90" s="528">
        <f t="shared" si="276"/>
        <v>1.7397041965583372E-2</v>
      </c>
      <c r="EY90" s="528">
        <f t="shared" si="277"/>
        <v>517.26844275253927</v>
      </c>
      <c r="EZ90" s="528">
        <f t="shared" si="278"/>
        <v>845.2822740770622</v>
      </c>
      <c r="FA90" s="528">
        <f t="shared" si="279"/>
        <v>8.67</v>
      </c>
      <c r="FB90" s="460">
        <f t="shared" si="310"/>
        <v>853952.27407706215</v>
      </c>
      <c r="FC90" s="173">
        <f t="shared" si="311"/>
        <v>826.61286375438215</v>
      </c>
      <c r="FD90" s="5">
        <f t="shared" si="312"/>
        <v>86.7</v>
      </c>
      <c r="FE90" s="173">
        <f t="shared" si="313"/>
        <v>9.4929134846080843E-2</v>
      </c>
      <c r="FF90" s="5">
        <f t="shared" si="314"/>
        <v>9.4929134846080849</v>
      </c>
      <c r="FI90" s="562">
        <f t="shared" si="280"/>
        <v>-50</v>
      </c>
      <c r="FJ90">
        <f t="shared" si="281"/>
        <v>-50</v>
      </c>
      <c r="FL90">
        <f t="shared" si="282"/>
        <v>0.59453032104637349</v>
      </c>
    </row>
    <row r="91" spans="5:168">
      <c r="E91" s="170">
        <v>86</v>
      </c>
      <c r="F91" s="217">
        <f t="shared" si="283"/>
        <v>0.51600000000000001</v>
      </c>
      <c r="G91" s="217"/>
      <c r="H91" s="217">
        <f t="shared" si="183"/>
        <v>87.72</v>
      </c>
      <c r="I91" s="541">
        <f t="shared" si="184"/>
        <v>11.254242325331116</v>
      </c>
      <c r="J91" s="172">
        <f t="shared" si="185"/>
        <v>8.5263347403657175</v>
      </c>
      <c r="K91" s="172">
        <f t="shared" si="186"/>
        <v>21.026334740365719</v>
      </c>
      <c r="L91" s="443"/>
      <c r="M91" s="217">
        <f t="shared" si="187"/>
        <v>0.43104485825392957</v>
      </c>
      <c r="N91" s="172">
        <f t="shared" si="188"/>
        <v>163.52193249554503</v>
      </c>
      <c r="O91" s="172">
        <f t="shared" si="284"/>
        <v>87.72</v>
      </c>
      <c r="P91" s="217">
        <f t="shared" si="189"/>
        <v>0.9618937205620296</v>
      </c>
      <c r="Q91" s="217">
        <f t="shared" si="190"/>
        <v>170</v>
      </c>
      <c r="R91" s="217">
        <f t="shared" si="191"/>
        <v>0.95119280154465202</v>
      </c>
      <c r="S91" s="172">
        <f t="shared" si="192"/>
        <v>502.15728650436239</v>
      </c>
      <c r="T91" s="172">
        <f t="shared" si="193"/>
        <v>170</v>
      </c>
      <c r="U91" s="217">
        <f t="shared" si="194"/>
        <v>36.277025174001864</v>
      </c>
      <c r="V91" s="217">
        <f t="shared" si="195"/>
        <v>1.6117044633182156</v>
      </c>
      <c r="W91" s="217">
        <f t="shared" si="196"/>
        <v>2.1273516861974531</v>
      </c>
      <c r="X91" s="197">
        <f t="shared" si="197"/>
        <v>350</v>
      </c>
      <c r="Y91" s="443">
        <f t="shared" si="198"/>
        <v>253.86792217291853</v>
      </c>
      <c r="AA91" s="217">
        <f t="shared" si="199"/>
        <v>27.720536736982933</v>
      </c>
      <c r="AB91" s="173">
        <f t="shared" si="200"/>
        <v>1.625583417793067</v>
      </c>
      <c r="AC91" s="173">
        <f t="shared" si="201"/>
        <v>0.39429289245467614</v>
      </c>
      <c r="AD91" s="173"/>
      <c r="AE91" s="173">
        <f t="shared" si="202"/>
        <v>0.78189126625595229</v>
      </c>
      <c r="AF91" s="545">
        <f t="shared" si="203"/>
        <v>1979.8149267129193</v>
      </c>
      <c r="AG91" s="528">
        <f t="shared" si="204"/>
        <v>9.1220647729861118E-2</v>
      </c>
      <c r="AI91" s="173">
        <f t="shared" si="205"/>
        <v>31.711516523735252</v>
      </c>
      <c r="AJ91" s="173">
        <f t="shared" si="206"/>
        <v>36.277025174001864</v>
      </c>
      <c r="AK91" s="173">
        <f t="shared" si="207"/>
        <v>18.195327289384092</v>
      </c>
      <c r="AM91" s="545">
        <f t="shared" si="208"/>
        <v>516</v>
      </c>
      <c r="AN91" s="460">
        <f t="shared" si="209"/>
        <v>253.86792217291853</v>
      </c>
      <c r="AP91">
        <f t="shared" si="210"/>
        <v>516</v>
      </c>
      <c r="AQ91">
        <f t="shared" si="211"/>
        <v>253.86792217291853</v>
      </c>
      <c r="AS91" s="5">
        <f t="shared" si="285"/>
        <v>3.9390561495156686</v>
      </c>
      <c r="AT91" s="5">
        <f t="shared" si="212"/>
        <v>1.6117044633182156</v>
      </c>
      <c r="AU91" s="5">
        <f t="shared" si="286"/>
        <v>2.3273516861974528</v>
      </c>
      <c r="AV91" s="5">
        <f t="shared" si="213"/>
        <v>2.1273516861974531</v>
      </c>
      <c r="AW91" s="173">
        <f t="shared" si="287"/>
        <v>0.40916006325941423</v>
      </c>
      <c r="AX91" s="173">
        <f t="shared" si="214"/>
        <v>83.52397792279362</v>
      </c>
      <c r="AY91" s="173">
        <f t="shared" si="215"/>
        <v>0.53584788147359752</v>
      </c>
      <c r="AZ91" s="173">
        <f t="shared" si="288"/>
        <v>155.87255415305592</v>
      </c>
      <c r="BA91" s="460">
        <f t="shared" si="216"/>
        <v>0.48919970768952897</v>
      </c>
      <c r="BB91" s="5">
        <f t="shared" si="217"/>
        <v>29.024474008877753</v>
      </c>
      <c r="BC91" s="5"/>
      <c r="BD91" s="173">
        <f t="shared" si="289"/>
        <v>13.397311571717594</v>
      </c>
      <c r="BE91" s="173">
        <f t="shared" si="218"/>
        <v>0.80496308581311693</v>
      </c>
      <c r="BF91" s="173"/>
      <c r="BG91" s="528">
        <f t="shared" si="219"/>
        <v>7.1795182939871269</v>
      </c>
      <c r="BH91" s="528">
        <f t="shared" si="220"/>
        <v>4.3569802077353108</v>
      </c>
      <c r="BI91" s="528">
        <f t="shared" si="221"/>
        <v>0.11428364459049302</v>
      </c>
      <c r="BJ91" s="528">
        <f t="shared" si="222"/>
        <v>2.2447344532941987E-2</v>
      </c>
      <c r="BK91">
        <f t="shared" si="223"/>
        <v>5.0644090463990024E-3</v>
      </c>
      <c r="BL91" s="460">
        <f t="shared" si="290"/>
        <v>119.34805363689202</v>
      </c>
      <c r="BM91" s="528">
        <f t="shared" si="224"/>
        <v>-19.122119382505563</v>
      </c>
      <c r="BN91" s="460">
        <f t="shared" si="291"/>
        <v>-19122.119382505563</v>
      </c>
      <c r="BO91" s="528">
        <f t="shared" si="225"/>
        <v>0.44788799999999995</v>
      </c>
      <c r="BP91" s="528"/>
      <c r="BR91" s="460">
        <f t="shared" si="292"/>
        <v>447.88799999999998</v>
      </c>
      <c r="BS91" s="528">
        <f t="shared" si="226"/>
        <v>5.3846387204903445</v>
      </c>
      <c r="BT91" s="528">
        <f t="shared" si="227"/>
        <v>1.943896708565326E-2</v>
      </c>
      <c r="BU91" s="528">
        <f t="shared" si="228"/>
        <v>1.3157999999999999</v>
      </c>
      <c r="BV91" s="528">
        <f t="shared" si="229"/>
        <v>14.122294431264072</v>
      </c>
      <c r="BW91" s="528">
        <f t="shared" si="230"/>
        <v>8.3523977922793637</v>
      </c>
      <c r="BX91" s="460">
        <f t="shared" si="293"/>
        <v>22474.692223543436</v>
      </c>
      <c r="BY91" s="173">
        <f t="shared" si="231"/>
        <v>3.9198088946747633</v>
      </c>
      <c r="BZ91" s="5">
        <f t="shared" si="294"/>
        <v>87.72</v>
      </c>
      <c r="CA91" s="173">
        <f t="shared" si="295"/>
        <v>0.95722591587701855</v>
      </c>
      <c r="CB91" s="5">
        <f t="shared" si="296"/>
        <v>95.722591587701856</v>
      </c>
      <c r="CE91" s="562">
        <f t="shared" si="232"/>
        <v>-50</v>
      </c>
      <c r="CF91">
        <f t="shared" si="233"/>
        <v>-50</v>
      </c>
      <c r="CG91" s="173">
        <f t="shared" si="234"/>
        <v>0.57988805904166763</v>
      </c>
      <c r="CI91" s="170">
        <v>86</v>
      </c>
      <c r="CJ91" s="217">
        <f t="shared" si="297"/>
        <v>0.51600000000000001</v>
      </c>
      <c r="CK91" s="217"/>
      <c r="CL91" s="217">
        <f t="shared" si="235"/>
        <v>87.72</v>
      </c>
      <c r="CM91" s="541">
        <f t="shared" si="236"/>
        <v>12.5</v>
      </c>
      <c r="CN91" s="172">
        <f t="shared" si="237"/>
        <v>8.5250000000000004</v>
      </c>
      <c r="CO91" s="443">
        <f t="shared" si="238"/>
        <v>21.024999999999999</v>
      </c>
      <c r="CP91" s="443"/>
      <c r="CQ91" s="217">
        <f t="shared" si="239"/>
        <v>0.40546967895362668</v>
      </c>
      <c r="CR91" s="172">
        <f t="shared" si="240"/>
        <v>170.84633868410626</v>
      </c>
      <c r="CS91" s="172">
        <f t="shared" si="298"/>
        <v>87.72</v>
      </c>
      <c r="CT91" s="217">
        <f t="shared" si="241"/>
        <v>1.0049784628476839</v>
      </c>
      <c r="CU91" s="217">
        <f t="shared" si="242"/>
        <v>170</v>
      </c>
      <c r="CV91" s="217">
        <f t="shared" si="243"/>
        <v>0.99379823272947732</v>
      </c>
      <c r="CW91" s="172">
        <f t="shared" si="244"/>
        <v>557.71746711839307</v>
      </c>
      <c r="CX91" s="172">
        <f t="shared" si="245"/>
        <v>170</v>
      </c>
      <c r="CY91" s="217">
        <f t="shared" si="246"/>
        <v>34.614672140762458</v>
      </c>
      <c r="CZ91" s="217">
        <f t="shared" si="247"/>
        <v>1.3845868856304984</v>
      </c>
      <c r="DA91" s="217">
        <f t="shared" si="248"/>
        <v>2.0301860493115811</v>
      </c>
      <c r="DB91" s="197">
        <f t="shared" si="249"/>
        <v>350</v>
      </c>
      <c r="DC91" s="443">
        <f t="shared" si="299"/>
        <v>292.8452400941153</v>
      </c>
      <c r="DE91" s="217">
        <f t="shared" si="250"/>
        <v>28.962119925259049</v>
      </c>
      <c r="DF91" s="173">
        <f t="shared" si="251"/>
        <v>1.6986580601324954</v>
      </c>
      <c r="DG91" s="173">
        <f t="shared" si="252"/>
        <v>0.4304714614336958</v>
      </c>
      <c r="DH91" s="173"/>
      <c r="DI91" s="173">
        <f t="shared" si="253"/>
        <v>0.78201368523949166</v>
      </c>
      <c r="DJ91" s="545">
        <f t="shared" si="300"/>
        <v>1979.5050000000001</v>
      </c>
      <c r="DK91" s="528">
        <f t="shared" si="254"/>
        <v>9.1234929944607357E-2</v>
      </c>
      <c r="DM91" s="173">
        <f t="shared" si="255"/>
        <v>31.709034314259039</v>
      </c>
      <c r="DN91" s="173">
        <f t="shared" si="256"/>
        <v>34.614672140762458</v>
      </c>
      <c r="DO91" s="173">
        <f t="shared" si="257"/>
        <v>16.96395467216972</v>
      </c>
      <c r="DQ91" s="545">
        <f t="shared" si="258"/>
        <v>516</v>
      </c>
      <c r="DR91" s="460">
        <f t="shared" si="259"/>
        <v>292.8452400941153</v>
      </c>
      <c r="DT91">
        <f t="shared" si="260"/>
        <v>516</v>
      </c>
      <c r="DU91">
        <f t="shared" si="261"/>
        <v>292.8452400941153</v>
      </c>
      <c r="DW91" s="5">
        <f t="shared" si="301"/>
        <v>3.4147729349420795</v>
      </c>
      <c r="DX91" s="5">
        <f t="shared" si="262"/>
        <v>1.3845868856304984</v>
      </c>
      <c r="DY91" s="5">
        <f t="shared" si="302"/>
        <v>2.0301860493115811</v>
      </c>
      <c r="DZ91" s="5">
        <f t="shared" si="263"/>
        <v>2.0301860493115811</v>
      </c>
      <c r="EA91" s="173">
        <f t="shared" si="303"/>
        <v>0.40546967895362662</v>
      </c>
      <c r="EB91" s="173">
        <f t="shared" si="264"/>
        <v>87.72</v>
      </c>
      <c r="EC91" s="173">
        <f t="shared" si="265"/>
        <v>0.51448680351906151</v>
      </c>
      <c r="ED91" s="173">
        <f t="shared" si="304"/>
        <v>170.50000000000003</v>
      </c>
      <c r="EE91" s="460">
        <f t="shared" si="266"/>
        <v>0.42026284293255123</v>
      </c>
      <c r="EF91" s="5">
        <f t="shared" si="267"/>
        <v>22.79525379143832</v>
      </c>
      <c r="EG91" s="5"/>
      <c r="EH91" s="173">
        <f t="shared" si="305"/>
        <v>12.72561519704816</v>
      </c>
      <c r="EI91" s="173">
        <f t="shared" si="268"/>
        <v>0.77047154445748756</v>
      </c>
      <c r="EJ91" s="173"/>
      <c r="EK91" s="528">
        <f t="shared" si="269"/>
        <v>6.4776512857337245</v>
      </c>
      <c r="EL91" s="528">
        <f t="shared" si="270"/>
        <v>5.8609375000000004</v>
      </c>
      <c r="EM91" s="528">
        <f t="shared" si="271"/>
        <v>5.856904801882306E-2</v>
      </c>
      <c r="EN91" s="528">
        <f t="shared" si="272"/>
        <v>2.5890484282375746E-2</v>
      </c>
      <c r="EO91">
        <f t="shared" si="273"/>
        <v>5.6249999999999998E-3</v>
      </c>
      <c r="EP91" s="460">
        <f t="shared" si="306"/>
        <v>64.194048018823054</v>
      </c>
      <c r="EQ91" s="528">
        <f t="shared" si="274"/>
        <v>-26.299209035122463</v>
      </c>
      <c r="ER91" s="460">
        <f t="shared" si="307"/>
        <v>-26299.209035122462</v>
      </c>
      <c r="ES91" s="528">
        <f t="shared" si="308"/>
        <v>0.44788799999999995</v>
      </c>
      <c r="ET91" s="528"/>
      <c r="EV91" s="460">
        <f t="shared" si="309"/>
        <v>447.88799999999998</v>
      </c>
      <c r="EW91" s="528">
        <f t="shared" si="275"/>
        <v>4.8582384643002925</v>
      </c>
      <c r="EX91" s="528">
        <f t="shared" si="276"/>
        <v>1.7808792024561187E-2</v>
      </c>
      <c r="EY91" s="528">
        <f t="shared" si="277"/>
        <v>517.26844275253927</v>
      </c>
      <c r="EZ91" s="528">
        <f t="shared" si="278"/>
        <v>858.01086218780256</v>
      </c>
      <c r="FA91" s="528">
        <f t="shared" si="279"/>
        <v>8.7720000000000002</v>
      </c>
      <c r="FB91" s="460">
        <f t="shared" si="310"/>
        <v>866782.86218780256</v>
      </c>
      <c r="FC91" s="173">
        <f t="shared" si="311"/>
        <v>840.9315411526801</v>
      </c>
      <c r="FD91" s="5">
        <f t="shared" si="312"/>
        <v>87.72</v>
      </c>
      <c r="FE91" s="173">
        <f t="shared" si="313"/>
        <v>9.4459542802371663E-2</v>
      </c>
      <c r="FF91" s="5">
        <f t="shared" si="314"/>
        <v>9.4459542802371654</v>
      </c>
      <c r="FI91" s="562">
        <f t="shared" si="280"/>
        <v>-50</v>
      </c>
      <c r="FJ91">
        <f t="shared" si="281"/>
        <v>-50</v>
      </c>
      <c r="FL91">
        <f t="shared" si="282"/>
        <v>0.59453032104637338</v>
      </c>
    </row>
    <row r="92" spans="5:168">
      <c r="E92" s="170">
        <v>87</v>
      </c>
      <c r="F92" s="217">
        <f t="shared" si="283"/>
        <v>0.52200000000000002</v>
      </c>
      <c r="G92" s="217"/>
      <c r="H92" s="217">
        <f t="shared" si="183"/>
        <v>88.740000000000009</v>
      </c>
      <c r="I92" s="541">
        <f t="shared" si="184"/>
        <v>11.240122427308039</v>
      </c>
      <c r="J92" s="172">
        <f t="shared" si="185"/>
        <v>8.526349868827884</v>
      </c>
      <c r="K92" s="172">
        <f t="shared" si="186"/>
        <v>21.026349868827886</v>
      </c>
      <c r="L92" s="443"/>
      <c r="M92" s="217">
        <f t="shared" si="187"/>
        <v>0.43135320525316617</v>
      </c>
      <c r="N92" s="172">
        <f t="shared" si="188"/>
        <v>163.43360144558221</v>
      </c>
      <c r="O92" s="172">
        <f t="shared" si="284"/>
        <v>88.740000000000009</v>
      </c>
      <c r="P92" s="217">
        <f t="shared" si="189"/>
        <v>0.96137412615048357</v>
      </c>
      <c r="Q92" s="217">
        <f t="shared" si="190"/>
        <v>170</v>
      </c>
      <c r="R92" s="217">
        <f t="shared" si="191"/>
        <v>0.95067898754065139</v>
      </c>
      <c r="S92" s="172">
        <f t="shared" si="192"/>
        <v>493.18528217504598</v>
      </c>
      <c r="T92" s="172">
        <f t="shared" si="193"/>
        <v>170</v>
      </c>
      <c r="U92" s="217">
        <f t="shared" si="194"/>
        <v>36.718750888758535</v>
      </c>
      <c r="V92" s="217">
        <f t="shared" si="195"/>
        <v>1.6333786009105113</v>
      </c>
      <c r="W92" s="217">
        <f t="shared" si="196"/>
        <v>2.1532514765199431</v>
      </c>
      <c r="X92" s="197">
        <f t="shared" si="197"/>
        <v>350</v>
      </c>
      <c r="Y92" s="443">
        <f t="shared" si="198"/>
        <v>250.838422571813</v>
      </c>
      <c r="AA92" s="217">
        <f t="shared" si="199"/>
        <v>27.70556264535222</v>
      </c>
      <c r="AB92" s="173">
        <f t="shared" si="200"/>
        <v>1.6247024266880628</v>
      </c>
      <c r="AC92" s="173">
        <f t="shared" si="201"/>
        <v>0.39386633004829158</v>
      </c>
      <c r="AD92" s="173"/>
      <c r="AE92" s="173">
        <f t="shared" si="202"/>
        <v>0.7818898789316433</v>
      </c>
      <c r="AF92" s="545">
        <f t="shared" si="203"/>
        <v>2002.8395841876697</v>
      </c>
      <c r="AG92" s="528">
        <f t="shared" si="204"/>
        <v>9.1220485875358387E-2</v>
      </c>
      <c r="AI92" s="173">
        <f t="shared" si="205"/>
        <v>31.895381238500548</v>
      </c>
      <c r="AJ92" s="173">
        <f t="shared" si="206"/>
        <v>36.718750888758535</v>
      </c>
      <c r="AK92" s="173">
        <f t="shared" si="207"/>
        <v>18.522531522537186</v>
      </c>
      <c r="AM92" s="545">
        <f t="shared" si="208"/>
        <v>522</v>
      </c>
      <c r="AN92" s="460">
        <f t="shared" si="209"/>
        <v>250.838422571813</v>
      </c>
      <c r="AP92">
        <f t="shared" si="210"/>
        <v>522</v>
      </c>
      <c r="AQ92">
        <f t="shared" si="211"/>
        <v>250.838422571813</v>
      </c>
      <c r="AS92" s="5">
        <f t="shared" si="285"/>
        <v>3.9866300774304548</v>
      </c>
      <c r="AT92" s="5">
        <f t="shared" si="212"/>
        <v>1.6333786009105113</v>
      </c>
      <c r="AU92" s="5">
        <f t="shared" si="286"/>
        <v>2.3532514765199437</v>
      </c>
      <c r="AV92" s="5">
        <f t="shared" si="213"/>
        <v>2.1532514765199431</v>
      </c>
      <c r="AW92" s="173">
        <f t="shared" si="287"/>
        <v>0.40971411171494754</v>
      </c>
      <c r="AX92" s="173">
        <f t="shared" si="214"/>
        <v>84.549270978492572</v>
      </c>
      <c r="AY92" s="173">
        <f t="shared" si="215"/>
        <v>0.5418640121272098</v>
      </c>
      <c r="AZ92" s="173">
        <f t="shared" si="288"/>
        <v>156.03411388509687</v>
      </c>
      <c r="BA92" s="460">
        <f t="shared" si="216"/>
        <v>0.50154331157369814</v>
      </c>
      <c r="BB92" s="5">
        <f t="shared" si="217"/>
        <v>29.726015868870654</v>
      </c>
      <c r="BC92" s="5"/>
      <c r="BD92" s="173">
        <f t="shared" si="289"/>
        <v>13.569621460642834</v>
      </c>
      <c r="BE92" s="173">
        <f t="shared" si="218"/>
        <v>0.81438258160977905</v>
      </c>
      <c r="BF92" s="173"/>
      <c r="BG92" s="528">
        <f t="shared" si="219"/>
        <v>7.3653850634055429</v>
      </c>
      <c r="BH92" s="528">
        <f t="shared" si="220"/>
        <v>4.3574093855222769</v>
      </c>
      <c r="BI92" s="528">
        <f t="shared" si="221"/>
        <v>0.11277818316720026</v>
      </c>
      <c r="BJ92" s="528">
        <f t="shared" si="222"/>
        <v>2.2179504003106035E-2</v>
      </c>
      <c r="BK92">
        <f t="shared" si="223"/>
        <v>5.0580550922886174E-3</v>
      </c>
      <c r="BL92" s="460">
        <f t="shared" si="290"/>
        <v>117.83623825948887</v>
      </c>
      <c r="BM92" s="528">
        <f t="shared" si="224"/>
        <v>-18.311125681612531</v>
      </c>
      <c r="BN92" s="460">
        <f t="shared" si="291"/>
        <v>-18311.125681612531</v>
      </c>
      <c r="BO92" s="528">
        <f t="shared" si="225"/>
        <v>0.453096</v>
      </c>
      <c r="BP92" s="528"/>
      <c r="BR92" s="460">
        <f t="shared" si="292"/>
        <v>453.096</v>
      </c>
      <c r="BS92" s="528">
        <f t="shared" si="226"/>
        <v>5.5240387975541569</v>
      </c>
      <c r="BT92" s="528">
        <f t="shared" si="227"/>
        <v>1.9896569676882254E-2</v>
      </c>
      <c r="BU92" s="528">
        <f t="shared" si="228"/>
        <v>1.3311000000000002</v>
      </c>
      <c r="BV92" s="528">
        <f t="shared" si="229"/>
        <v>14.745370206724456</v>
      </c>
      <c r="BW92" s="528">
        <f t="shared" si="230"/>
        <v>8.454927097849259</v>
      </c>
      <c r="BX92" s="460">
        <f t="shared" si="293"/>
        <v>23200.297304573716</v>
      </c>
      <c r="BY92" s="173">
        <f t="shared" si="231"/>
        <v>5.4601038612206718</v>
      </c>
      <c r="BZ92" s="5">
        <f t="shared" si="294"/>
        <v>88.740000000000009</v>
      </c>
      <c r="CA92" s="173">
        <f t="shared" si="295"/>
        <v>0.9420371779073119</v>
      </c>
      <c r="CB92" s="5">
        <f t="shared" si="296"/>
        <v>94.20371779073119</v>
      </c>
      <c r="CE92" s="562">
        <f t="shared" si="232"/>
        <v>-50</v>
      </c>
      <c r="CF92">
        <f t="shared" si="233"/>
        <v>-50</v>
      </c>
      <c r="CG92" s="173">
        <f t="shared" si="234"/>
        <v>0.58005636090379054</v>
      </c>
      <c r="CI92" s="170">
        <v>87</v>
      </c>
      <c r="CJ92" s="217">
        <f t="shared" si="297"/>
        <v>0.52200000000000002</v>
      </c>
      <c r="CK92" s="217"/>
      <c r="CL92" s="217">
        <f t="shared" si="235"/>
        <v>88.740000000000009</v>
      </c>
      <c r="CM92" s="541">
        <f t="shared" si="236"/>
        <v>12.5</v>
      </c>
      <c r="CN92" s="172">
        <f t="shared" si="237"/>
        <v>8.5250000000000004</v>
      </c>
      <c r="CO92" s="443">
        <f t="shared" si="238"/>
        <v>21.024999999999999</v>
      </c>
      <c r="CP92" s="443"/>
      <c r="CQ92" s="217">
        <f t="shared" si="239"/>
        <v>0.40546967895362668</v>
      </c>
      <c r="CR92" s="172">
        <f t="shared" si="240"/>
        <v>170.84633868410626</v>
      </c>
      <c r="CS92" s="172">
        <f t="shared" si="298"/>
        <v>88.740000000000009</v>
      </c>
      <c r="CT92" s="217">
        <f t="shared" si="241"/>
        <v>1.0049784628476839</v>
      </c>
      <c r="CU92" s="217">
        <f t="shared" si="242"/>
        <v>170</v>
      </c>
      <c r="CV92" s="217">
        <f t="shared" si="243"/>
        <v>0.99379823272947732</v>
      </c>
      <c r="CW92" s="172">
        <f t="shared" si="244"/>
        <v>548.43971681563676</v>
      </c>
      <c r="CX92" s="172">
        <f t="shared" si="245"/>
        <v>170</v>
      </c>
      <c r="CY92" s="217">
        <f t="shared" si="246"/>
        <v>35.017168328445749</v>
      </c>
      <c r="CZ92" s="217">
        <f t="shared" si="247"/>
        <v>1.4006867331378299</v>
      </c>
      <c r="DA92" s="217">
        <f t="shared" si="248"/>
        <v>2.0537928638384599</v>
      </c>
      <c r="DB92" s="197">
        <f t="shared" si="249"/>
        <v>350</v>
      </c>
      <c r="DC92" s="443">
        <f t="shared" si="299"/>
        <v>289.47920285165418</v>
      </c>
      <c r="DE92" s="217">
        <f t="shared" si="250"/>
        <v>28.962119925259049</v>
      </c>
      <c r="DF92" s="173">
        <f t="shared" si="251"/>
        <v>1.6986580601324954</v>
      </c>
      <c r="DG92" s="173">
        <f t="shared" si="252"/>
        <v>0.4304714614336958</v>
      </c>
      <c r="DH92" s="173"/>
      <c r="DI92" s="173">
        <f t="shared" si="253"/>
        <v>0.78201368523949166</v>
      </c>
      <c r="DJ92" s="545">
        <f t="shared" si="300"/>
        <v>2002.5225</v>
      </c>
      <c r="DK92" s="528">
        <f t="shared" si="254"/>
        <v>9.1234929944607357E-2</v>
      </c>
      <c r="DM92" s="173">
        <f t="shared" si="255"/>
        <v>31.892856342985112</v>
      </c>
      <c r="DN92" s="173">
        <f t="shared" si="256"/>
        <v>35.017168328445749</v>
      </c>
      <c r="DO92" s="173">
        <f t="shared" si="257"/>
        <v>17.262099996379565</v>
      </c>
      <c r="DQ92" s="545">
        <f t="shared" si="258"/>
        <v>522</v>
      </c>
      <c r="DR92" s="460">
        <f t="shared" si="259"/>
        <v>289.47920285165418</v>
      </c>
      <c r="DT92">
        <f t="shared" si="260"/>
        <v>522</v>
      </c>
      <c r="DU92">
        <f t="shared" si="261"/>
        <v>289.47920285165418</v>
      </c>
      <c r="DW92" s="5">
        <f t="shared" si="301"/>
        <v>3.4544795969762898</v>
      </c>
      <c r="DX92" s="5">
        <f t="shared" si="262"/>
        <v>1.4006867331378299</v>
      </c>
      <c r="DY92" s="5">
        <f t="shared" si="302"/>
        <v>2.0537928638384599</v>
      </c>
      <c r="DZ92" s="5">
        <f t="shared" si="263"/>
        <v>2.0537928638384599</v>
      </c>
      <c r="EA92" s="173">
        <f t="shared" si="303"/>
        <v>0.40546967895362668</v>
      </c>
      <c r="EB92" s="173">
        <f t="shared" si="264"/>
        <v>88.740000000000009</v>
      </c>
      <c r="EC92" s="173">
        <f t="shared" si="265"/>
        <v>0.52046920821114362</v>
      </c>
      <c r="ED92" s="173">
        <f t="shared" si="304"/>
        <v>170.50000000000003</v>
      </c>
      <c r="EE92" s="460">
        <f t="shared" si="266"/>
        <v>0.4300932204105572</v>
      </c>
      <c r="EF92" s="5">
        <f t="shared" si="267"/>
        <v>23.328458078339192</v>
      </c>
      <c r="EG92" s="5"/>
      <c r="EH92" s="173">
        <f t="shared" si="305"/>
        <v>12.873587466781279</v>
      </c>
      <c r="EI92" s="173">
        <f t="shared" si="268"/>
        <v>0.77943051590466772</v>
      </c>
      <c r="EJ92" s="173"/>
      <c r="EK92" s="528">
        <f t="shared" si="269"/>
        <v>6.6291701705947208</v>
      </c>
      <c r="EL92" s="528">
        <f t="shared" si="270"/>
        <v>5.8609375000000012</v>
      </c>
      <c r="EM92" s="528">
        <f t="shared" si="271"/>
        <v>5.7895840570330835E-2</v>
      </c>
      <c r="EN92" s="528">
        <f t="shared" si="272"/>
        <v>2.5592892509015103E-2</v>
      </c>
      <c r="EO92">
        <f t="shared" si="273"/>
        <v>5.6249999999999998E-3</v>
      </c>
      <c r="EP92" s="460">
        <f t="shared" si="306"/>
        <v>63.520840570330833</v>
      </c>
      <c r="EQ92" s="528">
        <f t="shared" si="274"/>
        <v>-24.985787525838322</v>
      </c>
      <c r="ER92" s="460">
        <f t="shared" si="307"/>
        <v>-24985.787525838321</v>
      </c>
      <c r="ES92" s="528">
        <f t="shared" si="308"/>
        <v>0.453096</v>
      </c>
      <c r="ET92" s="528"/>
      <c r="EV92" s="460">
        <f t="shared" si="309"/>
        <v>453.096</v>
      </c>
      <c r="EW92" s="528">
        <f t="shared" si="275"/>
        <v>4.9718776279460402</v>
      </c>
      <c r="EX92" s="528">
        <f t="shared" si="276"/>
        <v>1.8225357873702493E-2</v>
      </c>
      <c r="EY92" s="528">
        <f t="shared" si="277"/>
        <v>517.2684427525403</v>
      </c>
      <c r="EZ92" s="528">
        <f t="shared" si="278"/>
        <v>871.27721170237407</v>
      </c>
      <c r="FA92" s="528">
        <f t="shared" si="279"/>
        <v>8.8740000000000023</v>
      </c>
      <c r="FB92" s="460">
        <f t="shared" si="310"/>
        <v>880151.21170237404</v>
      </c>
      <c r="FC92" s="173">
        <f t="shared" si="311"/>
        <v>855.61852017653575</v>
      </c>
      <c r="FD92" s="5">
        <f t="shared" si="312"/>
        <v>88.740000000000009</v>
      </c>
      <c r="FE92" s="173">
        <f t="shared" si="313"/>
        <v>9.3968549130484039E-2</v>
      </c>
      <c r="FF92" s="5">
        <f t="shared" si="314"/>
        <v>9.3968549130484043</v>
      </c>
      <c r="FI92" s="562">
        <f t="shared" si="280"/>
        <v>-50</v>
      </c>
      <c r="FJ92">
        <f t="shared" si="281"/>
        <v>-50</v>
      </c>
      <c r="FL92">
        <f t="shared" si="282"/>
        <v>0.59453032104637327</v>
      </c>
    </row>
    <row r="93" spans="5:168">
      <c r="E93" s="170">
        <v>88</v>
      </c>
      <c r="F93" s="217">
        <f t="shared" si="283"/>
        <v>0.52800000000000002</v>
      </c>
      <c r="G93" s="217"/>
      <c r="H93" s="217">
        <f t="shared" si="183"/>
        <v>89.76</v>
      </c>
      <c r="I93" s="541">
        <f t="shared" si="184"/>
        <v>11.226002321977719</v>
      </c>
      <c r="J93" s="172">
        <f t="shared" si="185"/>
        <v>8.5263649975121663</v>
      </c>
      <c r="K93" s="172">
        <f t="shared" si="186"/>
        <v>21.026364997512168</v>
      </c>
      <c r="L93" s="443"/>
      <c r="M93" s="217">
        <f t="shared" si="187"/>
        <v>0.4316619971520898</v>
      </c>
      <c r="N93" s="172">
        <f t="shared" si="188"/>
        <v>163.34514221300708</v>
      </c>
      <c r="O93" s="172">
        <f t="shared" si="284"/>
        <v>89.76</v>
      </c>
      <c r="P93" s="217">
        <f t="shared" si="189"/>
        <v>0.96085377772357106</v>
      </c>
      <c r="Q93" s="217">
        <f t="shared" si="190"/>
        <v>170</v>
      </c>
      <c r="R93" s="217">
        <f t="shared" si="191"/>
        <v>0.95016442790958844</v>
      </c>
      <c r="S93" s="172">
        <f t="shared" si="192"/>
        <v>484.4237217366391</v>
      </c>
      <c r="T93" s="172">
        <f t="shared" si="193"/>
        <v>170</v>
      </c>
      <c r="U93" s="217">
        <f t="shared" si="194"/>
        <v>37.160985002179793</v>
      </c>
      <c r="V93" s="217">
        <f t="shared" si="195"/>
        <v>1.6551299356774509</v>
      </c>
      <c r="W93" s="217">
        <f t="shared" si="196"/>
        <v>2.1791809882067374</v>
      </c>
      <c r="X93" s="197">
        <f t="shared" si="197"/>
        <v>350</v>
      </c>
      <c r="Y93" s="443">
        <f t="shared" si="198"/>
        <v>247.87380518435884</v>
      </c>
      <c r="AA93" s="217">
        <f t="shared" si="199"/>
        <v>27.690566824407522</v>
      </c>
      <c r="AB93" s="173">
        <f t="shared" si="200"/>
        <v>1.6238201644245296</v>
      </c>
      <c r="AC93" s="173">
        <f t="shared" si="201"/>
        <v>0.39343938177090615</v>
      </c>
      <c r="AD93" s="173"/>
      <c r="AE93" s="173">
        <f t="shared" si="202"/>
        <v>0.78188849159188878</v>
      </c>
      <c r="AF93" s="545">
        <f t="shared" si="203"/>
        <v>2025.8643234088909</v>
      </c>
      <c r="AG93" s="528">
        <f t="shared" si="204"/>
        <v>9.1220324019053695E-2</v>
      </c>
      <c r="AI93" s="173">
        <f t="shared" si="205"/>
        <v>32.078192748118909</v>
      </c>
      <c r="AJ93" s="173">
        <f t="shared" si="206"/>
        <v>37.160985002179793</v>
      </c>
      <c r="AK93" s="173">
        <f t="shared" si="207"/>
        <v>18.85011234729367</v>
      </c>
      <c r="AM93" s="545">
        <f t="shared" si="208"/>
        <v>528</v>
      </c>
      <c r="AN93" s="460">
        <f t="shared" si="209"/>
        <v>247.87380518435884</v>
      </c>
      <c r="AP93">
        <f t="shared" si="210"/>
        <v>528</v>
      </c>
      <c r="AQ93">
        <f t="shared" si="211"/>
        <v>247.87380518435884</v>
      </c>
      <c r="AS93" s="5">
        <f t="shared" si="285"/>
        <v>4.0343109238841883</v>
      </c>
      <c r="AT93" s="5">
        <f t="shared" si="212"/>
        <v>1.6551299356774509</v>
      </c>
      <c r="AU93" s="5">
        <f t="shared" si="286"/>
        <v>2.3791809882067376</v>
      </c>
      <c r="AV93" s="5">
        <f t="shared" si="213"/>
        <v>2.1791809882067374</v>
      </c>
      <c r="AW93" s="173">
        <f t="shared" si="287"/>
        <v>0.41026335523091284</v>
      </c>
      <c r="AX93" s="173">
        <f t="shared" si="214"/>
        <v>85.574639163079141</v>
      </c>
      <c r="AY93" s="173">
        <f t="shared" si="215"/>
        <v>0.5478798652874971</v>
      </c>
      <c r="AZ93" s="173">
        <f t="shared" si="288"/>
        <v>156.19234176122586</v>
      </c>
      <c r="BA93" s="460">
        <f t="shared" si="216"/>
        <v>0.51406388590452601</v>
      </c>
      <c r="BB93" s="5">
        <f t="shared" si="217"/>
        <v>30.437233754473567</v>
      </c>
      <c r="BC93" s="5"/>
      <c r="BD93" s="173">
        <f t="shared" si="289"/>
        <v>13.742253430623295</v>
      </c>
      <c r="BE93" s="173">
        <f t="shared" si="218"/>
        <v>0.82380732894985753</v>
      </c>
      <c r="BF93" s="173"/>
      <c r="BG93" s="528">
        <f t="shared" si="219"/>
        <v>7.5539811740591087</v>
      </c>
      <c r="BH93" s="528">
        <f t="shared" si="220"/>
        <v>4.3577726417127556</v>
      </c>
      <c r="BI93" s="528">
        <f t="shared" si="221"/>
        <v>0.1113052765022826</v>
      </c>
      <c r="BJ93" s="528">
        <f t="shared" si="222"/>
        <v>2.1917399692284914E-2</v>
      </c>
      <c r="BK93">
        <f t="shared" si="223"/>
        <v>5.0517010448899733E-3</v>
      </c>
      <c r="BL93" s="460">
        <f t="shared" si="290"/>
        <v>116.35697754717258</v>
      </c>
      <c r="BM93" s="528">
        <f t="shared" si="224"/>
        <v>-17.580259599691992</v>
      </c>
      <c r="BN93" s="460">
        <f t="shared" si="291"/>
        <v>-17580.259599691992</v>
      </c>
      <c r="BO93" s="528">
        <f t="shared" si="225"/>
        <v>0.45830399999999999</v>
      </c>
      <c r="BP93" s="528"/>
      <c r="BR93" s="460">
        <f t="shared" si="292"/>
        <v>458.30399999999997</v>
      </c>
      <c r="BS93" s="528">
        <f t="shared" si="226"/>
        <v>5.6654858805443311</v>
      </c>
      <c r="BT93" s="528">
        <f t="shared" si="227"/>
        <v>2.0359755456944961E-2</v>
      </c>
      <c r="BU93" s="528">
        <f t="shared" si="228"/>
        <v>1.3464</v>
      </c>
      <c r="BV93" s="528">
        <f t="shared" si="229"/>
        <v>15.403321050746808</v>
      </c>
      <c r="BW93" s="528">
        <f t="shared" si="230"/>
        <v>8.5574639163079169</v>
      </c>
      <c r="BX93" s="460">
        <f t="shared" si="293"/>
        <v>23960.784967054726</v>
      </c>
      <c r="BY93" s="173">
        <f t="shared" si="231"/>
        <v>6.9551863449099027</v>
      </c>
      <c r="BZ93" s="5">
        <f t="shared" si="294"/>
        <v>89.76</v>
      </c>
      <c r="CA93" s="173">
        <f t="shared" si="295"/>
        <v>0.92808589211516368</v>
      </c>
      <c r="CB93" s="5">
        <f t="shared" si="296"/>
        <v>92.808589211516363</v>
      </c>
      <c r="CE93" s="562">
        <f t="shared" si="232"/>
        <v>-50</v>
      </c>
      <c r="CF93">
        <f t="shared" si="233"/>
        <v>-50</v>
      </c>
      <c r="CG93" s="173">
        <f t="shared" si="234"/>
        <v>0.58022083772359268</v>
      </c>
      <c r="CI93" s="170">
        <v>88</v>
      </c>
      <c r="CJ93" s="217">
        <f t="shared" si="297"/>
        <v>0.52800000000000002</v>
      </c>
      <c r="CK93" s="217"/>
      <c r="CL93" s="217">
        <f t="shared" si="235"/>
        <v>89.76</v>
      </c>
      <c r="CM93" s="541">
        <f t="shared" si="236"/>
        <v>12.5</v>
      </c>
      <c r="CN93" s="172">
        <f t="shared" si="237"/>
        <v>8.5250000000000004</v>
      </c>
      <c r="CO93" s="443">
        <f t="shared" si="238"/>
        <v>21.024999999999999</v>
      </c>
      <c r="CP93" s="443"/>
      <c r="CQ93" s="217">
        <f t="shared" si="239"/>
        <v>0.40546967895362668</v>
      </c>
      <c r="CR93" s="172">
        <f t="shared" si="240"/>
        <v>170.84633868410626</v>
      </c>
      <c r="CS93" s="172">
        <f t="shared" si="298"/>
        <v>89.76</v>
      </c>
      <c r="CT93" s="217">
        <f t="shared" si="241"/>
        <v>1.0049784628476839</v>
      </c>
      <c r="CU93" s="217">
        <f t="shared" si="242"/>
        <v>170</v>
      </c>
      <c r="CV93" s="217">
        <f t="shared" si="243"/>
        <v>0.99379823272947732</v>
      </c>
      <c r="CW93" s="172">
        <f t="shared" si="244"/>
        <v>539.37295009811896</v>
      </c>
      <c r="CX93" s="172">
        <f t="shared" si="245"/>
        <v>170</v>
      </c>
      <c r="CY93" s="217">
        <f t="shared" si="246"/>
        <v>35.419664516129032</v>
      </c>
      <c r="CZ93" s="217">
        <f t="shared" si="247"/>
        <v>1.4167865806451609</v>
      </c>
      <c r="DA93" s="217">
        <f t="shared" si="248"/>
        <v>2.0773996783653383</v>
      </c>
      <c r="DB93" s="197">
        <f t="shared" si="249"/>
        <v>350</v>
      </c>
      <c r="DC93" s="443">
        <f t="shared" si="299"/>
        <v>286.18966645561272</v>
      </c>
      <c r="DE93" s="217">
        <f t="shared" si="250"/>
        <v>28.962119925259049</v>
      </c>
      <c r="DF93" s="173">
        <f t="shared" si="251"/>
        <v>1.6986580601324954</v>
      </c>
      <c r="DG93" s="173">
        <f t="shared" si="252"/>
        <v>0.4304714614336958</v>
      </c>
      <c r="DH93" s="173"/>
      <c r="DI93" s="173">
        <f t="shared" si="253"/>
        <v>0.78201368523949166</v>
      </c>
      <c r="DJ93" s="545">
        <f t="shared" si="300"/>
        <v>2025.54</v>
      </c>
      <c r="DK93" s="528">
        <f t="shared" si="254"/>
        <v>9.1234929944607357E-2</v>
      </c>
      <c r="DM93" s="173">
        <f t="shared" si="255"/>
        <v>32.07562492432087</v>
      </c>
      <c r="DN93" s="173">
        <f t="shared" si="256"/>
        <v>35.419664516129032</v>
      </c>
      <c r="DO93" s="173">
        <f t="shared" si="257"/>
        <v>17.560245320589402</v>
      </c>
      <c r="DQ93" s="545">
        <f t="shared" si="258"/>
        <v>528</v>
      </c>
      <c r="DR93" s="460">
        <f t="shared" si="259"/>
        <v>286.18966645561272</v>
      </c>
      <c r="DT93">
        <f t="shared" si="260"/>
        <v>528</v>
      </c>
      <c r="DU93">
        <f t="shared" si="261"/>
        <v>286.18966645561272</v>
      </c>
      <c r="DW93" s="5">
        <f t="shared" si="301"/>
        <v>3.4941862590104993</v>
      </c>
      <c r="DX93" s="5">
        <f t="shared" si="262"/>
        <v>1.4167865806451609</v>
      </c>
      <c r="DY93" s="5">
        <f t="shared" si="302"/>
        <v>2.0773996783653383</v>
      </c>
      <c r="DZ93" s="5">
        <f t="shared" si="263"/>
        <v>2.0773996783653383</v>
      </c>
      <c r="EA93" s="173">
        <f t="shared" si="303"/>
        <v>0.40546967895362668</v>
      </c>
      <c r="EB93" s="173">
        <f t="shared" si="264"/>
        <v>89.760000000000019</v>
      </c>
      <c r="EC93" s="173">
        <f t="shared" si="265"/>
        <v>0.52645161290322573</v>
      </c>
      <c r="ED93" s="173">
        <f t="shared" si="304"/>
        <v>170.50000000000006</v>
      </c>
      <c r="EE93" s="460">
        <f t="shared" si="266"/>
        <v>0.44003724387096765</v>
      </c>
      <c r="EF93" s="5">
        <f t="shared" si="267"/>
        <v>23.867826576649314</v>
      </c>
      <c r="EG93" s="5"/>
      <c r="EH93" s="173">
        <f t="shared" si="305"/>
        <v>13.021559736514398</v>
      </c>
      <c r="EI93" s="173">
        <f t="shared" si="268"/>
        <v>0.78838948735184777</v>
      </c>
      <c r="EJ93" s="173"/>
      <c r="EK93" s="528">
        <f t="shared" si="269"/>
        <v>6.7824407188645175</v>
      </c>
      <c r="EL93" s="528">
        <f t="shared" si="270"/>
        <v>5.8609375000000021</v>
      </c>
      <c r="EM93" s="528">
        <f t="shared" si="271"/>
        <v>5.7237933291122541E-2</v>
      </c>
      <c r="EN93" s="528">
        <f t="shared" si="272"/>
        <v>2.5302064185049031E-2</v>
      </c>
      <c r="EO93">
        <f t="shared" si="273"/>
        <v>5.6249999999999998E-3</v>
      </c>
      <c r="EP93" s="460">
        <f t="shared" si="306"/>
        <v>62.862933291122538</v>
      </c>
      <c r="EQ93" s="528">
        <f t="shared" si="274"/>
        <v>-23.814576815648277</v>
      </c>
      <c r="ER93" s="460">
        <f t="shared" si="307"/>
        <v>-23814.576815648277</v>
      </c>
      <c r="ES93" s="528">
        <f t="shared" si="308"/>
        <v>0.45830399999999999</v>
      </c>
      <c r="ET93" s="528"/>
      <c r="EV93" s="460">
        <f t="shared" si="309"/>
        <v>458.30399999999997</v>
      </c>
      <c r="EW93" s="528">
        <f t="shared" si="275"/>
        <v>5.0868305391483872</v>
      </c>
      <c r="EX93" s="528">
        <f t="shared" si="276"/>
        <v>1.8646739513007278E-2</v>
      </c>
      <c r="EY93" s="528">
        <f t="shared" si="277"/>
        <v>517.2684427525403</v>
      </c>
      <c r="EZ93" s="528">
        <f t="shared" si="278"/>
        <v>885.11330330204032</v>
      </c>
      <c r="FA93" s="528">
        <f t="shared" si="279"/>
        <v>8.9760000000000044</v>
      </c>
      <c r="FB93" s="460">
        <f t="shared" si="310"/>
        <v>894089.30330204032</v>
      </c>
      <c r="FC93" s="173">
        <f t="shared" si="311"/>
        <v>870.73303048639207</v>
      </c>
      <c r="FD93" s="5">
        <f t="shared" si="312"/>
        <v>89.76</v>
      </c>
      <c r="FE93" s="173">
        <f t="shared" si="313"/>
        <v>9.3452005533601515E-2</v>
      </c>
      <c r="FF93" s="5">
        <f t="shared" si="314"/>
        <v>9.3452005533601508</v>
      </c>
      <c r="FI93" s="562">
        <f t="shared" si="280"/>
        <v>-50</v>
      </c>
      <c r="FJ93">
        <f t="shared" si="281"/>
        <v>-50</v>
      </c>
      <c r="FL93">
        <f t="shared" si="282"/>
        <v>0.59453032104637327</v>
      </c>
    </row>
    <row r="94" spans="5:168">
      <c r="E94" s="170">
        <v>89</v>
      </c>
      <c r="F94" s="217">
        <f t="shared" si="283"/>
        <v>0.53400000000000003</v>
      </c>
      <c r="G94" s="217"/>
      <c r="H94" s="217">
        <f t="shared" si="183"/>
        <v>90.78</v>
      </c>
      <c r="I94" s="541">
        <f t="shared" si="184"/>
        <v>11.211882016498393</v>
      </c>
      <c r="J94" s="172">
        <f t="shared" si="185"/>
        <v>8.5263801264108956</v>
      </c>
      <c r="K94" s="172">
        <f t="shared" si="186"/>
        <v>21.026380126410896</v>
      </c>
      <c r="L94" s="443"/>
      <c r="M94" s="217">
        <f t="shared" si="187"/>
        <v>0.43197123475754995</v>
      </c>
      <c r="N94" s="172">
        <f t="shared" si="188"/>
        <v>163.25655456524288</v>
      </c>
      <c r="O94" s="172">
        <f t="shared" si="284"/>
        <v>90.78</v>
      </c>
      <c r="P94" s="217">
        <f t="shared" si="189"/>
        <v>0.96033267391319344</v>
      </c>
      <c r="Q94" s="217">
        <f t="shared" si="190"/>
        <v>170</v>
      </c>
      <c r="R94" s="217">
        <f t="shared" si="191"/>
        <v>0.94964912129858425</v>
      </c>
      <c r="S94" s="172">
        <f t="shared" si="192"/>
        <v>475.86551396983498</v>
      </c>
      <c r="T94" s="172">
        <f t="shared" si="193"/>
        <v>170</v>
      </c>
      <c r="U94" s="217">
        <f t="shared" si="194"/>
        <v>37.603729435925622</v>
      </c>
      <c r="V94" s="217">
        <f t="shared" si="195"/>
        <v>1.6769588451158943</v>
      </c>
      <c r="W94" s="217">
        <f t="shared" si="196"/>
        <v>2.2051403337886706</v>
      </c>
      <c r="X94" s="197">
        <f t="shared" si="197"/>
        <v>350</v>
      </c>
      <c r="Y94" s="443">
        <f t="shared" si="198"/>
        <v>244.97199998662228</v>
      </c>
      <c r="AA94" s="217">
        <f t="shared" si="199"/>
        <v>27.67554923470664</v>
      </c>
      <c r="AB94" s="173">
        <f t="shared" si="200"/>
        <v>1.6229366286978115</v>
      </c>
      <c r="AC94" s="173">
        <f t="shared" si="201"/>
        <v>0.39301204750793212</v>
      </c>
      <c r="AD94" s="173"/>
      <c r="AE94" s="173">
        <f t="shared" si="202"/>
        <v>0.78188710423739238</v>
      </c>
      <c r="AF94" s="545">
        <f t="shared" si="203"/>
        <v>2048.8891443765378</v>
      </c>
      <c r="AG94" s="528">
        <f t="shared" si="204"/>
        <v>9.1220162161029128E-2</v>
      </c>
      <c r="AI94" s="173">
        <f t="shared" si="205"/>
        <v>32.259968957574003</v>
      </c>
      <c r="AJ94" s="173">
        <f t="shared" si="206"/>
        <v>37.603729435925622</v>
      </c>
      <c r="AK94" s="173">
        <f t="shared" si="207"/>
        <v>19.178071187105395</v>
      </c>
      <c r="AM94" s="545">
        <f t="shared" si="208"/>
        <v>534</v>
      </c>
      <c r="AN94" s="460">
        <f t="shared" si="209"/>
        <v>244.97199998662228</v>
      </c>
      <c r="AP94">
        <f t="shared" si="210"/>
        <v>534</v>
      </c>
      <c r="AQ94">
        <f t="shared" si="211"/>
        <v>244.97199998662228</v>
      </c>
      <c r="AS94" s="5">
        <f t="shared" si="285"/>
        <v>4.0820991789045653</v>
      </c>
      <c r="AT94" s="5">
        <f t="shared" si="212"/>
        <v>1.6769588451158943</v>
      </c>
      <c r="AU94" s="5">
        <f t="shared" si="286"/>
        <v>2.4051403337886708</v>
      </c>
      <c r="AV94" s="5">
        <f t="shared" si="213"/>
        <v>2.2051403337886706</v>
      </c>
      <c r="AW94" s="173">
        <f t="shared" si="287"/>
        <v>0.41080796218329696</v>
      </c>
      <c r="AX94" s="173">
        <f t="shared" si="214"/>
        <v>86.600080345779219</v>
      </c>
      <c r="AY94" s="173">
        <f t="shared" si="215"/>
        <v>0.55389544939652402</v>
      </c>
      <c r="AZ94" s="173">
        <f t="shared" si="288"/>
        <v>156.34734035119999</v>
      </c>
      <c r="BA94" s="460">
        <f t="shared" si="216"/>
        <v>0.52676236664228682</v>
      </c>
      <c r="BB94" s="5">
        <f t="shared" si="217"/>
        <v>31.158178679375773</v>
      </c>
      <c r="BC94" s="5"/>
      <c r="BD94" s="173">
        <f t="shared" si="289"/>
        <v>13.915208501185628</v>
      </c>
      <c r="BE94" s="173">
        <f t="shared" si="218"/>
        <v>0.83323735343732885</v>
      </c>
      <c r="BF94" s="173"/>
      <c r="BG94" s="528">
        <f t="shared" si="219"/>
        <v>7.7453211052587507</v>
      </c>
      <c r="BH94" s="528">
        <f t="shared" si="220"/>
        <v>4.358071957430921</v>
      </c>
      <c r="BI94" s="528">
        <f t="shared" si="221"/>
        <v>0.1098638864478262</v>
      </c>
      <c r="BJ94" s="528">
        <f t="shared" si="222"/>
        <v>2.1660848590110311E-2</v>
      </c>
      <c r="BK94">
        <f t="shared" si="223"/>
        <v>5.0453469074242764E-3</v>
      </c>
      <c r="BL94" s="460">
        <f t="shared" si="290"/>
        <v>114.90923335525048</v>
      </c>
      <c r="BM94" s="528">
        <f t="shared" si="224"/>
        <v>-16.918348977247881</v>
      </c>
      <c r="BN94" s="460">
        <f t="shared" si="291"/>
        <v>-16918.348977247882</v>
      </c>
      <c r="BO94" s="528">
        <f t="shared" si="225"/>
        <v>0.46351200000000004</v>
      </c>
      <c r="BP94" s="528"/>
      <c r="BR94" s="460">
        <f t="shared" si="292"/>
        <v>463.51200000000006</v>
      </c>
      <c r="BS94" s="528">
        <f t="shared" si="226"/>
        <v>5.8089908289440624</v>
      </c>
      <c r="BT94" s="528">
        <f t="shared" si="227"/>
        <v>2.0828534614897323E-2</v>
      </c>
      <c r="BU94" s="528">
        <f t="shared" si="228"/>
        <v>1.3616999999999999</v>
      </c>
      <c r="BV94" s="528">
        <f t="shared" si="229"/>
        <v>16.09903179360667</v>
      </c>
      <c r="BW94" s="528">
        <f t="shared" si="230"/>
        <v>8.6600080345779222</v>
      </c>
      <c r="BX94" s="460">
        <f t="shared" si="293"/>
        <v>24759.039828184592</v>
      </c>
      <c r="BY94" s="173">
        <f t="shared" si="231"/>
        <v>8.4191120842919638</v>
      </c>
      <c r="BZ94" s="5">
        <f t="shared" si="294"/>
        <v>90.78</v>
      </c>
      <c r="CA94" s="173">
        <f t="shared" si="295"/>
        <v>0.91512915884632073</v>
      </c>
      <c r="CB94" s="5">
        <f t="shared" si="296"/>
        <v>91.512915884632079</v>
      </c>
      <c r="CE94" s="562">
        <f t="shared" si="232"/>
        <v>-50</v>
      </c>
      <c r="CF94">
        <f t="shared" si="233"/>
        <v>-50</v>
      </c>
      <c r="CG94" s="173">
        <f t="shared" si="234"/>
        <v>0.58038161843508462</v>
      </c>
      <c r="CI94" s="170">
        <v>89</v>
      </c>
      <c r="CJ94" s="217">
        <f t="shared" si="297"/>
        <v>0.53400000000000003</v>
      </c>
      <c r="CK94" s="217"/>
      <c r="CL94" s="217">
        <f t="shared" si="235"/>
        <v>90.78</v>
      </c>
      <c r="CM94" s="541">
        <f t="shared" si="236"/>
        <v>12.5</v>
      </c>
      <c r="CN94" s="172">
        <f t="shared" si="237"/>
        <v>8.5250000000000004</v>
      </c>
      <c r="CO94" s="443">
        <f t="shared" si="238"/>
        <v>21.024999999999999</v>
      </c>
      <c r="CP94" s="443"/>
      <c r="CQ94" s="217">
        <f t="shared" si="239"/>
        <v>0.40546967895362668</v>
      </c>
      <c r="CR94" s="172">
        <f t="shared" si="240"/>
        <v>170.84633868410626</v>
      </c>
      <c r="CS94" s="172">
        <f t="shared" si="298"/>
        <v>90.78</v>
      </c>
      <c r="CT94" s="217">
        <f t="shared" si="241"/>
        <v>1.0049784628476839</v>
      </c>
      <c r="CU94" s="217">
        <f t="shared" si="242"/>
        <v>170</v>
      </c>
      <c r="CV94" s="217">
        <f t="shared" si="243"/>
        <v>0.99379823272947732</v>
      </c>
      <c r="CW94" s="172">
        <f t="shared" si="244"/>
        <v>530.51005711709888</v>
      </c>
      <c r="CX94" s="172">
        <f t="shared" si="245"/>
        <v>170</v>
      </c>
      <c r="CY94" s="217">
        <f t="shared" si="246"/>
        <v>35.822160703812308</v>
      </c>
      <c r="CZ94" s="217">
        <f t="shared" si="247"/>
        <v>1.4328864281524925</v>
      </c>
      <c r="DA94" s="217">
        <f t="shared" si="248"/>
        <v>2.1010064928922172</v>
      </c>
      <c r="DB94" s="197">
        <f t="shared" si="249"/>
        <v>350</v>
      </c>
      <c r="DC94" s="443">
        <f t="shared" si="299"/>
        <v>282.97405222577436</v>
      </c>
      <c r="DE94" s="217">
        <f t="shared" si="250"/>
        <v>28.962119925259049</v>
      </c>
      <c r="DF94" s="173">
        <f t="shared" si="251"/>
        <v>1.6986580601324954</v>
      </c>
      <c r="DG94" s="173">
        <f t="shared" si="252"/>
        <v>0.4304714614336958</v>
      </c>
      <c r="DH94" s="173"/>
      <c r="DI94" s="173">
        <f t="shared" si="253"/>
        <v>0.78201368523949166</v>
      </c>
      <c r="DJ94" s="545">
        <f t="shared" si="300"/>
        <v>2048.5574999999999</v>
      </c>
      <c r="DK94" s="528">
        <f t="shared" si="254"/>
        <v>9.1234929944607357E-2</v>
      </c>
      <c r="DM94" s="173">
        <f t="shared" si="255"/>
        <v>32.257357964612396</v>
      </c>
      <c r="DN94" s="173">
        <f t="shared" si="256"/>
        <v>35.822160703812308</v>
      </c>
      <c r="DO94" s="173">
        <f t="shared" si="257"/>
        <v>17.858390644799236</v>
      </c>
      <c r="DQ94" s="545">
        <f t="shared" si="258"/>
        <v>534</v>
      </c>
      <c r="DR94" s="460">
        <f t="shared" si="259"/>
        <v>282.97405222577436</v>
      </c>
      <c r="DT94">
        <f t="shared" si="260"/>
        <v>534</v>
      </c>
      <c r="DU94">
        <f t="shared" si="261"/>
        <v>282.97405222577436</v>
      </c>
      <c r="DW94" s="5">
        <f t="shared" si="301"/>
        <v>3.5338929210447101</v>
      </c>
      <c r="DX94" s="5">
        <f t="shared" si="262"/>
        <v>1.4328864281524925</v>
      </c>
      <c r="DY94" s="5">
        <f t="shared" si="302"/>
        <v>2.1010064928922176</v>
      </c>
      <c r="DZ94" s="5">
        <f t="shared" si="263"/>
        <v>2.1010064928922172</v>
      </c>
      <c r="EA94" s="173">
        <f t="shared" si="303"/>
        <v>0.40546967895362662</v>
      </c>
      <c r="EB94" s="173">
        <f t="shared" si="264"/>
        <v>90.779999999999973</v>
      </c>
      <c r="EC94" s="173">
        <f t="shared" si="265"/>
        <v>0.53243401759530784</v>
      </c>
      <c r="ED94" s="173">
        <f t="shared" si="304"/>
        <v>170.49999999999997</v>
      </c>
      <c r="EE94" s="460">
        <f t="shared" si="266"/>
        <v>0.45009491331378293</v>
      </c>
      <c r="EF94" s="5">
        <f t="shared" si="267"/>
        <v>24.41335928636871</v>
      </c>
      <c r="EG94" s="5"/>
      <c r="EH94" s="173">
        <f t="shared" si="305"/>
        <v>13.169532006247513</v>
      </c>
      <c r="EI94" s="173">
        <f t="shared" si="268"/>
        <v>0.79734845879902772</v>
      </c>
      <c r="EJ94" s="173"/>
      <c r="EK94" s="528">
        <f t="shared" si="269"/>
        <v>6.9374629305431066</v>
      </c>
      <c r="EL94" s="528">
        <f t="shared" si="270"/>
        <v>5.8609374999999995</v>
      </c>
      <c r="EM94" s="528">
        <f t="shared" si="271"/>
        <v>5.6594810445154867E-2</v>
      </c>
      <c r="EN94" s="528">
        <f t="shared" si="272"/>
        <v>2.501777132903724E-2</v>
      </c>
      <c r="EO94">
        <f t="shared" si="273"/>
        <v>5.6249999999999998E-3</v>
      </c>
      <c r="EP94" s="460">
        <f t="shared" si="306"/>
        <v>62.219810445154863</v>
      </c>
      <c r="EQ94" s="528">
        <f t="shared" si="274"/>
        <v>-22.763867511293519</v>
      </c>
      <c r="ER94" s="460">
        <f t="shared" si="307"/>
        <v>-22763.86751129352</v>
      </c>
      <c r="ES94" s="528">
        <f t="shared" si="308"/>
        <v>0.46351200000000004</v>
      </c>
      <c r="ET94" s="528"/>
      <c r="EV94" s="460">
        <f t="shared" si="309"/>
        <v>463.51200000000006</v>
      </c>
      <c r="EW94" s="528">
        <f t="shared" si="275"/>
        <v>5.2030971979073293</v>
      </c>
      <c r="EX94" s="528">
        <f t="shared" si="276"/>
        <v>1.9072936942475541E-2</v>
      </c>
      <c r="EY94" s="528">
        <f t="shared" si="277"/>
        <v>517.26844275253927</v>
      </c>
      <c r="EZ94" s="528">
        <f t="shared" si="278"/>
        <v>899.55375335801477</v>
      </c>
      <c r="FA94" s="528">
        <f t="shared" si="279"/>
        <v>9.0779999999999976</v>
      </c>
      <c r="FB94" s="460">
        <f t="shared" si="310"/>
        <v>908631.75335801474</v>
      </c>
      <c r="FC94" s="173">
        <f t="shared" si="311"/>
        <v>886.33139784672119</v>
      </c>
      <c r="FD94" s="5">
        <f t="shared" si="312"/>
        <v>90.78</v>
      </c>
      <c r="FE94" s="173">
        <f t="shared" si="313"/>
        <v>9.2906499913984836E-2</v>
      </c>
      <c r="FF94" s="5">
        <f t="shared" si="314"/>
        <v>9.2906499913984835</v>
      </c>
      <c r="FI94" s="562">
        <f t="shared" si="280"/>
        <v>-50</v>
      </c>
      <c r="FJ94">
        <f t="shared" si="281"/>
        <v>-50</v>
      </c>
      <c r="FL94">
        <f t="shared" si="282"/>
        <v>0.59453032104637338</v>
      </c>
    </row>
    <row r="95" spans="5:168">
      <c r="E95" s="170">
        <v>90</v>
      </c>
      <c r="F95" s="217">
        <f t="shared" si="283"/>
        <v>0.54</v>
      </c>
      <c r="G95" s="217"/>
      <c r="H95" s="217">
        <f t="shared" si="183"/>
        <v>91.800000000000011</v>
      </c>
      <c r="I95" s="541">
        <f t="shared" si="184"/>
        <v>11.197761517702489</v>
      </c>
      <c r="J95" s="172">
        <f t="shared" si="185"/>
        <v>8.5263952555167482</v>
      </c>
      <c r="K95" s="172">
        <f t="shared" si="186"/>
        <v>21.026395255516746</v>
      </c>
      <c r="L95" s="443"/>
      <c r="M95" s="217">
        <f t="shared" si="187"/>
        <v>0.43228091888542308</v>
      </c>
      <c r="N95" s="172">
        <f t="shared" si="188"/>
        <v>163.16783826711665</v>
      </c>
      <c r="O95" s="172">
        <f t="shared" si="284"/>
        <v>91.800000000000011</v>
      </c>
      <c r="P95" s="217">
        <f t="shared" si="189"/>
        <v>0.95981081333598028</v>
      </c>
      <c r="Q95" s="217">
        <f t="shared" si="190"/>
        <v>170</v>
      </c>
      <c r="R95" s="217">
        <f t="shared" si="191"/>
        <v>0.94913306633965899</v>
      </c>
      <c r="S95" s="172">
        <f t="shared" si="192"/>
        <v>467.50388284109249</v>
      </c>
      <c r="T95" s="172">
        <f t="shared" si="193"/>
        <v>170</v>
      </c>
      <c r="U95" s="217">
        <f t="shared" si="194"/>
        <v>38.046986121364291</v>
      </c>
      <c r="V95" s="217">
        <f t="shared" si="195"/>
        <v>1.6988657090622974</v>
      </c>
      <c r="W95" s="217">
        <f t="shared" si="196"/>
        <v>2.2311296263650884</v>
      </c>
      <c r="X95" s="197">
        <f t="shared" si="197"/>
        <v>350</v>
      </c>
      <c r="Y95" s="443">
        <f t="shared" si="198"/>
        <v>242.1310240769356</v>
      </c>
      <c r="AA95" s="217">
        <f t="shared" si="199"/>
        <v>27.660509836367961</v>
      </c>
      <c r="AB95" s="173">
        <f t="shared" si="200"/>
        <v>1.6220518171774325</v>
      </c>
      <c r="AC95" s="173">
        <f t="shared" si="201"/>
        <v>0.39258432713618036</v>
      </c>
      <c r="AD95" s="173"/>
      <c r="AE95" s="173">
        <f t="shared" si="202"/>
        <v>0.78188571686882569</v>
      </c>
      <c r="AF95" s="545">
        <f t="shared" si="203"/>
        <v>2071.91404709057</v>
      </c>
      <c r="AG95" s="528">
        <f t="shared" si="204"/>
        <v>9.1220000301362986E-2</v>
      </c>
      <c r="AI95" s="173">
        <f t="shared" si="205"/>
        <v>32.440727270266024</v>
      </c>
      <c r="AJ95" s="173">
        <f t="shared" si="206"/>
        <v>38.046986121364291</v>
      </c>
      <c r="AK95" s="173">
        <f t="shared" si="207"/>
        <v>19.506409472615523</v>
      </c>
      <c r="AM95" s="545">
        <f t="shared" si="208"/>
        <v>540</v>
      </c>
      <c r="AN95" s="460">
        <f t="shared" si="209"/>
        <v>242.1310240769356</v>
      </c>
      <c r="AP95">
        <f t="shared" si="210"/>
        <v>540</v>
      </c>
      <c r="AQ95">
        <f t="shared" si="211"/>
        <v>242.1310240769356</v>
      </c>
      <c r="AS95" s="5">
        <f t="shared" si="285"/>
        <v>4.1299953354273855</v>
      </c>
      <c r="AT95" s="5">
        <f t="shared" si="212"/>
        <v>1.6988657090622974</v>
      </c>
      <c r="AU95" s="5">
        <f t="shared" si="286"/>
        <v>2.4311296263650881</v>
      </c>
      <c r="AV95" s="5">
        <f t="shared" si="213"/>
        <v>2.2311296263650884</v>
      </c>
      <c r="AW95" s="173">
        <f t="shared" si="287"/>
        <v>0.41134809390444338</v>
      </c>
      <c r="AX95" s="173">
        <f t="shared" si="214"/>
        <v>87.625592485656355</v>
      </c>
      <c r="AY95" s="173">
        <f t="shared" si="215"/>
        <v>0.55991077253830701</v>
      </c>
      <c r="AZ95" s="173">
        <f t="shared" si="288"/>
        <v>156.49920805847924</v>
      </c>
      <c r="BA95" s="460">
        <f t="shared" si="216"/>
        <v>0.53963969581978866</v>
      </c>
      <c r="BB95" s="5">
        <f t="shared" si="217"/>
        <v>31.888901987775977</v>
      </c>
      <c r="BC95" s="5"/>
      <c r="BD95" s="173">
        <f t="shared" si="289"/>
        <v>14.088487702619634</v>
      </c>
      <c r="BE95" s="173">
        <f t="shared" si="218"/>
        <v>0.84267268046312671</v>
      </c>
      <c r="BF95" s="173"/>
      <c r="BG95" s="528">
        <f t="shared" si="219"/>
        <v>7.9394194298745866</v>
      </c>
      <c r="BH95" s="528">
        <f t="shared" si="220"/>
        <v>4.3583092300730284</v>
      </c>
      <c r="BI95" s="528">
        <f t="shared" si="221"/>
        <v>0.10845301854602417</v>
      </c>
      <c r="BJ95" s="528">
        <f t="shared" si="222"/>
        <v>2.1409675388675289E-2</v>
      </c>
      <c r="BK95">
        <f t="shared" si="223"/>
        <v>5.0389926829661194E-3</v>
      </c>
      <c r="BL95" s="460">
        <f t="shared" si="290"/>
        <v>113.49201122899029</v>
      </c>
      <c r="BM95" s="528">
        <f t="shared" si="224"/>
        <v>-16.31620347663895</v>
      </c>
      <c r="BN95" s="460">
        <f t="shared" si="291"/>
        <v>-16316.20347663895</v>
      </c>
      <c r="BO95" s="528">
        <f t="shared" si="225"/>
        <v>0.46872000000000003</v>
      </c>
      <c r="BP95" s="528"/>
      <c r="BR95" s="460">
        <f t="shared" si="292"/>
        <v>468.72</v>
      </c>
      <c r="BS95" s="528">
        <f t="shared" si="226"/>
        <v>5.9545645724059399</v>
      </c>
      <c r="BT95" s="528">
        <f t="shared" si="227"/>
        <v>2.1302917391967324E-2</v>
      </c>
      <c r="BU95" s="528">
        <f t="shared" si="228"/>
        <v>1.3770000000000002</v>
      </c>
      <c r="BV95" s="528">
        <f t="shared" si="229"/>
        <v>16.835716613681285</v>
      </c>
      <c r="BW95" s="528">
        <f t="shared" si="230"/>
        <v>8.7625592485656369</v>
      </c>
      <c r="BX95" s="460">
        <f t="shared" si="293"/>
        <v>25598.275862246923</v>
      </c>
      <c r="BY95" s="173">
        <f t="shared" si="231"/>
        <v>9.8642843968369611</v>
      </c>
      <c r="BZ95" s="5">
        <f t="shared" si="294"/>
        <v>91.800000000000011</v>
      </c>
      <c r="CA95" s="173">
        <f t="shared" si="295"/>
        <v>0.90297197825804132</v>
      </c>
      <c r="CB95" s="5">
        <f t="shared" si="296"/>
        <v>90.297197825804133</v>
      </c>
      <c r="CE95" s="562">
        <f t="shared" si="232"/>
        <v>-50</v>
      </c>
      <c r="CF95">
        <f t="shared" si="233"/>
        <v>-50</v>
      </c>
      <c r="CG95" s="173">
        <f t="shared" si="234"/>
        <v>0.5805388262418768</v>
      </c>
      <c r="CI95" s="170">
        <v>90</v>
      </c>
      <c r="CJ95" s="217">
        <f t="shared" si="297"/>
        <v>0.54</v>
      </c>
      <c r="CK95" s="217"/>
      <c r="CL95" s="217">
        <f t="shared" si="235"/>
        <v>91.800000000000011</v>
      </c>
      <c r="CM95" s="541">
        <f t="shared" si="236"/>
        <v>12.5</v>
      </c>
      <c r="CN95" s="172">
        <f t="shared" si="237"/>
        <v>8.5250000000000004</v>
      </c>
      <c r="CO95" s="443">
        <f t="shared" si="238"/>
        <v>21.024999999999999</v>
      </c>
      <c r="CP95" s="443"/>
      <c r="CQ95" s="217">
        <f t="shared" si="239"/>
        <v>0.40546967895362668</v>
      </c>
      <c r="CR95" s="172">
        <f t="shared" si="240"/>
        <v>170.84633868410626</v>
      </c>
      <c r="CS95" s="172">
        <f t="shared" si="298"/>
        <v>91.800000000000011</v>
      </c>
      <c r="CT95" s="217">
        <f t="shared" si="241"/>
        <v>1.0049784628476839</v>
      </c>
      <c r="CU95" s="217">
        <f t="shared" si="242"/>
        <v>170</v>
      </c>
      <c r="CV95" s="217">
        <f t="shared" si="243"/>
        <v>0.99379823272947732</v>
      </c>
      <c r="CW95" s="172">
        <f t="shared" si="244"/>
        <v>521.8442440578217</v>
      </c>
      <c r="CX95" s="172">
        <f t="shared" si="245"/>
        <v>170</v>
      </c>
      <c r="CY95" s="217">
        <f t="shared" si="246"/>
        <v>36.224656891495599</v>
      </c>
      <c r="CZ95" s="217">
        <f t="shared" si="247"/>
        <v>1.4489862756598237</v>
      </c>
      <c r="DA95" s="217">
        <f t="shared" si="248"/>
        <v>2.1246133074190965</v>
      </c>
      <c r="DB95" s="197">
        <f t="shared" si="249"/>
        <v>350</v>
      </c>
      <c r="DC95" s="443">
        <f t="shared" si="299"/>
        <v>279.82989608993239</v>
      </c>
      <c r="DE95" s="217">
        <f t="shared" si="250"/>
        <v>28.962119925259049</v>
      </c>
      <c r="DF95" s="173">
        <f t="shared" si="251"/>
        <v>1.6986580601324954</v>
      </c>
      <c r="DG95" s="173">
        <f t="shared" si="252"/>
        <v>0.4304714614336958</v>
      </c>
      <c r="DH95" s="173"/>
      <c r="DI95" s="173">
        <f t="shared" si="253"/>
        <v>0.78201368523949166</v>
      </c>
      <c r="DJ95" s="545">
        <f t="shared" si="300"/>
        <v>2071.5749999999998</v>
      </c>
      <c r="DK95" s="528">
        <f t="shared" si="254"/>
        <v>9.1234929944607357E-2</v>
      </c>
      <c r="DM95" s="173">
        <f t="shared" si="255"/>
        <v>32.438072868599505</v>
      </c>
      <c r="DN95" s="173">
        <f t="shared" si="256"/>
        <v>36.224656891495599</v>
      </c>
      <c r="DO95" s="173">
        <f t="shared" si="257"/>
        <v>18.156535969009081</v>
      </c>
      <c r="DQ95" s="545">
        <f t="shared" si="258"/>
        <v>540</v>
      </c>
      <c r="DR95" s="460">
        <f t="shared" si="259"/>
        <v>279.82989608993239</v>
      </c>
      <c r="DT95">
        <f t="shared" si="260"/>
        <v>540</v>
      </c>
      <c r="DU95">
        <f t="shared" si="261"/>
        <v>279.82989608993239</v>
      </c>
      <c r="DW95" s="5">
        <f t="shared" si="301"/>
        <v>3.5735995830789204</v>
      </c>
      <c r="DX95" s="5">
        <f t="shared" si="262"/>
        <v>1.4489862756598237</v>
      </c>
      <c r="DY95" s="5">
        <f t="shared" si="302"/>
        <v>2.1246133074190965</v>
      </c>
      <c r="DZ95" s="5">
        <f t="shared" si="263"/>
        <v>2.1246133074190965</v>
      </c>
      <c r="EA95" s="173">
        <f t="shared" si="303"/>
        <v>0.40546967895362662</v>
      </c>
      <c r="EB95" s="173">
        <f t="shared" si="264"/>
        <v>91.8</v>
      </c>
      <c r="EC95" s="173">
        <f t="shared" si="265"/>
        <v>0.53841642228739006</v>
      </c>
      <c r="ED95" s="173">
        <f t="shared" si="304"/>
        <v>170.49999999999997</v>
      </c>
      <c r="EE95" s="460">
        <f t="shared" si="266"/>
        <v>0.46026622873900286</v>
      </c>
      <c r="EF95" s="5">
        <f t="shared" si="267"/>
        <v>24.965056207497355</v>
      </c>
      <c r="EG95" s="5"/>
      <c r="EH95" s="173">
        <f t="shared" si="305"/>
        <v>13.317504275980633</v>
      </c>
      <c r="EI95" s="173">
        <f t="shared" si="268"/>
        <v>0.80630743024620799</v>
      </c>
      <c r="EJ95" s="173"/>
      <c r="EK95" s="528">
        <f t="shared" si="269"/>
        <v>7.0942368056304987</v>
      </c>
      <c r="EL95" s="528">
        <f t="shared" si="270"/>
        <v>5.8609375000000012</v>
      </c>
      <c r="EM95" s="528">
        <f t="shared" si="271"/>
        <v>5.5965979217986475E-2</v>
      </c>
      <c r="EN95" s="528">
        <f t="shared" si="272"/>
        <v>2.4739796092047933E-2</v>
      </c>
      <c r="EO95">
        <f t="shared" si="273"/>
        <v>5.6249999999999998E-3</v>
      </c>
      <c r="EP95" s="460">
        <f t="shared" si="306"/>
        <v>61.590979217986472</v>
      </c>
      <c r="EQ95" s="528">
        <f t="shared" si="274"/>
        <v>-21.816150338150102</v>
      </c>
      <c r="ER95" s="460">
        <f t="shared" si="307"/>
        <v>-21816.150338150102</v>
      </c>
      <c r="ES95" s="528">
        <f t="shared" si="308"/>
        <v>0.46872000000000003</v>
      </c>
      <c r="ET95" s="528"/>
      <c r="EV95" s="460">
        <f t="shared" si="309"/>
        <v>468.72</v>
      </c>
      <c r="EW95" s="528">
        <f t="shared" si="275"/>
        <v>5.3206776042228734</v>
      </c>
      <c r="EX95" s="528">
        <f t="shared" si="276"/>
        <v>1.9503950162107306E-2</v>
      </c>
      <c r="EY95" s="528">
        <f t="shared" si="277"/>
        <v>517.2684427525403</v>
      </c>
      <c r="EZ95" s="528">
        <f t="shared" si="278"/>
        <v>914.63609004085629</v>
      </c>
      <c r="FA95" s="528">
        <f t="shared" si="279"/>
        <v>9.1800000000000015</v>
      </c>
      <c r="FB95" s="460">
        <f t="shared" si="310"/>
        <v>923816.09004085627</v>
      </c>
      <c r="FC95" s="173">
        <f t="shared" si="311"/>
        <v>902.46865970270619</v>
      </c>
      <c r="FD95" s="5">
        <f t="shared" si="312"/>
        <v>91.800000000000011</v>
      </c>
      <c r="FE95" s="173">
        <f t="shared" si="313"/>
        <v>9.2329169892017823E-2</v>
      </c>
      <c r="FF95" s="5">
        <f t="shared" si="314"/>
        <v>9.2329169892017831</v>
      </c>
      <c r="FI95" s="562">
        <f t="shared" si="280"/>
        <v>-50</v>
      </c>
      <c r="FJ95">
        <f t="shared" si="281"/>
        <v>-50</v>
      </c>
      <c r="FL95">
        <f t="shared" si="282"/>
        <v>0.59453032104637338</v>
      </c>
    </row>
    <row r="96" spans="5:168">
      <c r="E96" s="170">
        <v>91</v>
      </c>
      <c r="F96" s="217">
        <f t="shared" si="283"/>
        <v>0.54600000000000004</v>
      </c>
      <c r="G96" s="217"/>
      <c r="H96" s="217">
        <f t="shared" si="183"/>
        <v>92.820000000000007</v>
      </c>
      <c r="I96" s="541">
        <f t="shared" si="184"/>
        <v>11.183640832114948</v>
      </c>
      <c r="J96" s="172">
        <f t="shared" si="185"/>
        <v>8.5264103848227339</v>
      </c>
      <c r="K96" s="172">
        <f t="shared" si="186"/>
        <v>21.026410384822732</v>
      </c>
      <c r="L96" s="443"/>
      <c r="M96" s="217">
        <f t="shared" si="187"/>
        <v>0.43259105036026685</v>
      </c>
      <c r="N96" s="172">
        <f t="shared" si="188"/>
        <v>163.0789930809587</v>
      </c>
      <c r="O96" s="172">
        <f t="shared" si="284"/>
        <v>92.820000000000007</v>
      </c>
      <c r="P96" s="217">
        <f t="shared" si="189"/>
        <v>0.95928819459387471</v>
      </c>
      <c r="Q96" s="217">
        <f t="shared" si="190"/>
        <v>170</v>
      </c>
      <c r="R96" s="217">
        <f t="shared" si="191"/>
        <v>0.94861626165030888</v>
      </c>
      <c r="S96" s="172">
        <f t="shared" si="192"/>
        <v>459.33235018689277</v>
      </c>
      <c r="T96" s="217">
        <f t="shared" si="193"/>
        <v>170</v>
      </c>
      <c r="U96" s="217">
        <f t="shared" si="194"/>
        <v>38.490756999633049</v>
      </c>
      <c r="V96" s="217">
        <f t="shared" si="195"/>
        <v>1.7208509097101443</v>
      </c>
      <c r="W96" s="217">
        <f t="shared" si="196"/>
        <v>2.2571489796073947</v>
      </c>
      <c r="X96" s="197">
        <f t="shared" si="197"/>
        <v>350</v>
      </c>
      <c r="Y96" s="443">
        <f t="shared" si="198"/>
        <v>239.34897714019476</v>
      </c>
      <c r="AA96" s="217">
        <f t="shared" si="199"/>
        <v>27.645448589087305</v>
      </c>
      <c r="AB96" s="173">
        <f t="shared" si="200"/>
        <v>1.6211657275080866</v>
      </c>
      <c r="AC96" s="173">
        <f t="shared" si="201"/>
        <v>0.39215622052438237</v>
      </c>
      <c r="AD96" s="173"/>
      <c r="AE96" s="173">
        <f t="shared" si="202"/>
        <v>0.78188432948682995</v>
      </c>
      <c r="AF96" s="545">
        <f t="shared" si="203"/>
        <v>2094.9390315509459</v>
      </c>
      <c r="AG96" s="528">
        <f t="shared" si="204"/>
        <v>9.1219838440130166E-2</v>
      </c>
      <c r="AI96" s="173">
        <f t="shared" si="205"/>
        <v>32.620484607465251</v>
      </c>
      <c r="AJ96" s="173">
        <f t="shared" si="206"/>
        <v>38.490756999633049</v>
      </c>
      <c r="AK96" s="173">
        <f t="shared" si="207"/>
        <v>19.835128641703491</v>
      </c>
      <c r="AM96" s="545">
        <f t="shared" si="208"/>
        <v>546</v>
      </c>
      <c r="AN96" s="460">
        <f t="shared" si="209"/>
        <v>239.34897714019476</v>
      </c>
      <c r="AP96">
        <f t="shared" si="210"/>
        <v>546</v>
      </c>
      <c r="AQ96">
        <f t="shared" si="211"/>
        <v>239.34897714019476</v>
      </c>
      <c r="AS96" s="5">
        <f t="shared" si="285"/>
        <v>4.1779998893175394</v>
      </c>
      <c r="AT96" s="5">
        <f t="shared" si="212"/>
        <v>1.7208509097101443</v>
      </c>
      <c r="AU96" s="5">
        <f t="shared" si="286"/>
        <v>2.4571489796073953</v>
      </c>
      <c r="AV96" s="5">
        <f t="shared" si="213"/>
        <v>2.2571489796073947</v>
      </c>
      <c r="AW96" s="173">
        <f t="shared" si="287"/>
        <v>0.41188390504989669</v>
      </c>
      <c r="AX96" s="173">
        <f t="shared" si="214"/>
        <v>88.651173626933982</v>
      </c>
      <c r="AY96" s="173">
        <f t="shared" si="215"/>
        <v>0.5659258424574386</v>
      </c>
      <c r="AZ96" s="173">
        <f t="shared" si="288"/>
        <v>156.64803932964264</v>
      </c>
      <c r="BA96" s="460">
        <f t="shared" si="216"/>
        <v>0.55269682158925815</v>
      </c>
      <c r="BB96" s="5">
        <f t="shared" si="217"/>
        <v>32.629455356931729</v>
      </c>
      <c r="BC96" s="5"/>
      <c r="BD96" s="173">
        <f t="shared" si="289"/>
        <v>14.262092075745469</v>
      </c>
      <c r="BE96" s="173">
        <f t="shared" si="218"/>
        <v>0.85211333522096477</v>
      </c>
      <c r="BF96" s="173"/>
      <c r="BG96" s="528">
        <f t="shared" si="219"/>
        <v>8.1362908150816686</v>
      </c>
      <c r="BH96" s="528">
        <f t="shared" si="220"/>
        <v>4.3584862776652402</v>
      </c>
      <c r="BI96" s="528">
        <f t="shared" si="221"/>
        <v>0.10707171975480118</v>
      </c>
      <c r="BJ96" s="528">
        <f t="shared" si="222"/>
        <v>2.1163712081533746E-2</v>
      </c>
      <c r="BK96">
        <f t="shared" si="223"/>
        <v>5.0326383744517264E-3</v>
      </c>
      <c r="BL96" s="460">
        <f t="shared" si="290"/>
        <v>112.1043581292529</v>
      </c>
      <c r="BM96" s="528">
        <f t="shared" si="224"/>
        <v>-15.766193867224192</v>
      </c>
      <c r="BN96" s="460">
        <f t="shared" si="291"/>
        <v>-15766.193867224192</v>
      </c>
      <c r="BO96" s="528">
        <f t="shared" si="225"/>
        <v>0.47392799999999996</v>
      </c>
      <c r="BP96" s="528"/>
      <c r="BR96" s="460">
        <f t="shared" si="292"/>
        <v>473.92799999999994</v>
      </c>
      <c r="BS96" s="528">
        <f t="shared" si="226"/>
        <v>6.1022181113112515</v>
      </c>
      <c r="BT96" s="528">
        <f t="shared" si="227"/>
        <v>2.1782914081841888E-2</v>
      </c>
      <c r="BU96" s="528">
        <f t="shared" si="228"/>
        <v>1.3923000000000001</v>
      </c>
      <c r="BV96" s="528">
        <f t="shared" si="229"/>
        <v>17.616967371064874</v>
      </c>
      <c r="BW96" s="528">
        <f t="shared" si="230"/>
        <v>8.8651173626933986</v>
      </c>
      <c r="BX96" s="460">
        <f t="shared" si="293"/>
        <v>26482.084733758271</v>
      </c>
      <c r="BY96" s="173">
        <f t="shared" si="231"/>
        <v>11.301923224663334</v>
      </c>
      <c r="BZ96" s="5">
        <f t="shared" si="294"/>
        <v>92.820000000000007</v>
      </c>
      <c r="CA96" s="173">
        <f t="shared" si="295"/>
        <v>0.89145491290746492</v>
      </c>
      <c r="CB96" s="5">
        <f t="shared" si="296"/>
        <v>89.145491290746492</v>
      </c>
      <c r="CE96" s="562">
        <f t="shared" si="232"/>
        <v>-50</v>
      </c>
      <c r="CF96">
        <f t="shared" si="233"/>
        <v>-50</v>
      </c>
      <c r="CG96" s="173">
        <f t="shared" si="234"/>
        <v>0.58069257893203596</v>
      </c>
      <c r="CI96" s="170">
        <v>91</v>
      </c>
      <c r="CJ96" s="217">
        <f t="shared" si="297"/>
        <v>0.54600000000000004</v>
      </c>
      <c r="CK96" s="217"/>
      <c r="CL96" s="217">
        <f t="shared" si="235"/>
        <v>92.820000000000007</v>
      </c>
      <c r="CM96" s="541">
        <f t="shared" si="236"/>
        <v>12.5</v>
      </c>
      <c r="CN96" s="172">
        <f t="shared" si="237"/>
        <v>8.5250000000000004</v>
      </c>
      <c r="CO96" s="443">
        <f t="shared" si="238"/>
        <v>21.024999999999999</v>
      </c>
      <c r="CP96" s="443"/>
      <c r="CQ96" s="217">
        <f t="shared" si="239"/>
        <v>0.40546967895362668</v>
      </c>
      <c r="CR96" s="172">
        <f t="shared" si="240"/>
        <v>170.84633868410626</v>
      </c>
      <c r="CS96" s="172">
        <f t="shared" si="298"/>
        <v>92.820000000000007</v>
      </c>
      <c r="CT96" s="217">
        <f t="shared" si="241"/>
        <v>1.0049784628476839</v>
      </c>
      <c r="CU96" s="217">
        <f t="shared" si="242"/>
        <v>170</v>
      </c>
      <c r="CV96" s="217">
        <f t="shared" si="243"/>
        <v>0.99379823272947732</v>
      </c>
      <c r="CW96" s="172">
        <f t="shared" si="244"/>
        <v>513.36901577607375</v>
      </c>
      <c r="CX96" s="217">
        <f t="shared" si="245"/>
        <v>170</v>
      </c>
      <c r="CY96" s="217">
        <f t="shared" si="246"/>
        <v>36.627153079178882</v>
      </c>
      <c r="CZ96" s="217">
        <f t="shared" si="247"/>
        <v>1.4650861231671553</v>
      </c>
      <c r="DA96" s="217">
        <f t="shared" si="248"/>
        <v>2.1482201219459753</v>
      </c>
      <c r="DB96" s="197">
        <f t="shared" si="249"/>
        <v>350</v>
      </c>
      <c r="DC96" s="443">
        <f t="shared" si="299"/>
        <v>276.75484228674634</v>
      </c>
      <c r="DE96" s="217">
        <f t="shared" si="250"/>
        <v>28.962119925259049</v>
      </c>
      <c r="DF96" s="173">
        <f t="shared" si="251"/>
        <v>1.6986580601324954</v>
      </c>
      <c r="DG96" s="173">
        <f t="shared" si="252"/>
        <v>0.4304714614336958</v>
      </c>
      <c r="DH96" s="173"/>
      <c r="DI96" s="173">
        <f t="shared" si="253"/>
        <v>0.78201368523949166</v>
      </c>
      <c r="DJ96" s="545">
        <f t="shared" si="300"/>
        <v>2094.5925000000002</v>
      </c>
      <c r="DK96" s="528">
        <f t="shared" si="254"/>
        <v>9.1234929944607357E-2</v>
      </c>
      <c r="DM96" s="173">
        <f t="shared" si="255"/>
        <v>32.617786558869994</v>
      </c>
      <c r="DN96" s="173">
        <f t="shared" si="256"/>
        <v>36.627153079178882</v>
      </c>
      <c r="DO96" s="173">
        <f t="shared" si="257"/>
        <v>18.454681293218922</v>
      </c>
      <c r="DQ96" s="545">
        <f t="shared" si="258"/>
        <v>546</v>
      </c>
      <c r="DR96" s="460">
        <f t="shared" si="259"/>
        <v>276.75484228674634</v>
      </c>
      <c r="DT96">
        <f t="shared" si="260"/>
        <v>546</v>
      </c>
      <c r="DU96">
        <f t="shared" si="261"/>
        <v>276.75484228674634</v>
      </c>
      <c r="DW96" s="5">
        <f t="shared" si="301"/>
        <v>3.6133062451131304</v>
      </c>
      <c r="DX96" s="5">
        <f t="shared" si="262"/>
        <v>1.4650861231671553</v>
      </c>
      <c r="DY96" s="5">
        <f t="shared" si="302"/>
        <v>2.1482201219459753</v>
      </c>
      <c r="DZ96" s="5">
        <f t="shared" si="263"/>
        <v>2.1482201219459753</v>
      </c>
      <c r="EA96" s="173">
        <f t="shared" si="303"/>
        <v>0.40546967895362668</v>
      </c>
      <c r="EB96" s="173">
        <f t="shared" si="264"/>
        <v>92.82</v>
      </c>
      <c r="EC96" s="173">
        <f t="shared" si="265"/>
        <v>0.54439882697947206</v>
      </c>
      <c r="ED96" s="173">
        <f t="shared" si="304"/>
        <v>170.5</v>
      </c>
      <c r="EE96" s="460">
        <f t="shared" si="266"/>
        <v>0.47055119014662755</v>
      </c>
      <c r="EF96" s="5">
        <f t="shared" si="267"/>
        <v>25.522917340035256</v>
      </c>
      <c r="EG96" s="5"/>
      <c r="EH96" s="173">
        <f t="shared" si="305"/>
        <v>13.46547654571375</v>
      </c>
      <c r="EI96" s="173">
        <f t="shared" si="268"/>
        <v>0.81526640169338793</v>
      </c>
      <c r="EJ96" s="173"/>
      <c r="EK96" s="528">
        <f t="shared" si="269"/>
        <v>7.2527623441266851</v>
      </c>
      <c r="EL96" s="528">
        <f t="shared" si="270"/>
        <v>5.8609375000000004</v>
      </c>
      <c r="EM96" s="528">
        <f t="shared" si="271"/>
        <v>5.5350968457349263E-2</v>
      </c>
      <c r="EN96" s="528">
        <f t="shared" si="272"/>
        <v>2.4467930200926531E-2</v>
      </c>
      <c r="EO96">
        <f t="shared" si="273"/>
        <v>5.6249999999999998E-3</v>
      </c>
      <c r="EP96" s="460">
        <f t="shared" si="306"/>
        <v>60.975968457349261</v>
      </c>
      <c r="EQ96" s="528">
        <f t="shared" si="274"/>
        <v>-20.957147396928697</v>
      </c>
      <c r="ER96" s="460">
        <f t="shared" si="307"/>
        <v>-20957.147396928696</v>
      </c>
      <c r="ES96" s="528">
        <f t="shared" si="308"/>
        <v>0.47392799999999996</v>
      </c>
      <c r="ET96" s="528"/>
      <c r="EV96" s="460">
        <f t="shared" si="309"/>
        <v>473.92799999999994</v>
      </c>
      <c r="EW96" s="528">
        <f t="shared" si="275"/>
        <v>5.4395717580950134</v>
      </c>
      <c r="EX96" s="528">
        <f t="shared" si="276"/>
        <v>1.9939779171902535E-2</v>
      </c>
      <c r="EY96" s="528">
        <f t="shared" si="277"/>
        <v>517.26844275253927</v>
      </c>
      <c r="EZ96" s="528">
        <f t="shared" si="278"/>
        <v>930.40106491297536</v>
      </c>
      <c r="FA96" s="528">
        <f t="shared" si="279"/>
        <v>9.282</v>
      </c>
      <c r="FB96" s="460">
        <f t="shared" si="310"/>
        <v>939683.06491297542</v>
      </c>
      <c r="FC96" s="173">
        <f t="shared" si="311"/>
        <v>919.19984551604671</v>
      </c>
      <c r="FD96" s="5">
        <f t="shared" si="312"/>
        <v>92.820000000000007</v>
      </c>
      <c r="FE96" s="173">
        <f t="shared" si="313"/>
        <v>9.1717568989637205E-2</v>
      </c>
      <c r="FF96" s="5">
        <f t="shared" si="314"/>
        <v>9.1717568989637197</v>
      </c>
      <c r="FI96" s="562">
        <f t="shared" si="280"/>
        <v>-50</v>
      </c>
      <c r="FJ96">
        <f t="shared" si="281"/>
        <v>-50</v>
      </c>
      <c r="FL96">
        <f t="shared" si="282"/>
        <v>0.59453032104637327</v>
      </c>
    </row>
    <row r="97" spans="5:168" ht="13">
      <c r="E97" s="170">
        <v>92</v>
      </c>
      <c r="F97" s="217">
        <f t="shared" si="283"/>
        <v>0.55200000000000005</v>
      </c>
      <c r="G97" s="217"/>
      <c r="H97" s="217">
        <f t="shared" si="183"/>
        <v>93.84</v>
      </c>
      <c r="I97" s="541">
        <f t="shared" si="184"/>
        <v>11.169519965970334</v>
      </c>
      <c r="J97" s="172">
        <f t="shared" si="185"/>
        <v>8.5264255143221757</v>
      </c>
      <c r="K97" s="172">
        <f t="shared" si="186"/>
        <v>21.026425514322177</v>
      </c>
      <c r="L97" s="443"/>
      <c r="M97" s="217">
        <f t="shared" si="187"/>
        <v>0.43290163001499826</v>
      </c>
      <c r="N97" s="172">
        <f t="shared" si="188"/>
        <v>162.99001876669513</v>
      </c>
      <c r="O97" s="172">
        <f t="shared" si="284"/>
        <v>93.84</v>
      </c>
      <c r="P97" s="217">
        <f t="shared" si="189"/>
        <v>0.95876481627467725</v>
      </c>
      <c r="Q97" s="217">
        <f t="shared" si="190"/>
        <v>170</v>
      </c>
      <c r="R97" s="217">
        <f t="shared" si="191"/>
        <v>0.94809870583404421</v>
      </c>
      <c r="S97" s="172">
        <f t="shared" si="192"/>
        <v>451.34471952724249</v>
      </c>
      <c r="T97" s="532">
        <f t="shared" si="193"/>
        <v>170</v>
      </c>
      <c r="U97" s="217">
        <f t="shared" si="194"/>
        <v>38.935044021699369</v>
      </c>
      <c r="V97" s="217">
        <f t="shared" si="195"/>
        <v>1.7429148316275445</v>
      </c>
      <c r="W97" s="217">
        <f t="shared" si="196"/>
        <v>2.2831985077626391</v>
      </c>
      <c r="X97" s="197">
        <f t="shared" si="197"/>
        <v>350</v>
      </c>
      <c r="Y97" s="443">
        <f t="shared" si="198"/>
        <v>236.62403719259859</v>
      </c>
      <c r="AA97" s="217">
        <f t="shared" si="199"/>
        <v>27.630365452153541</v>
      </c>
      <c r="AB97" s="173">
        <f t="shared" si="200"/>
        <v>1.6202783573105586</v>
      </c>
      <c r="AC97" s="173">
        <f t="shared" si="201"/>
        <v>0.3917277275336753</v>
      </c>
      <c r="AD97" s="173"/>
      <c r="AE97" s="173">
        <f t="shared" si="202"/>
        <v>0.78188294209201759</v>
      </c>
      <c r="AF97" s="545">
        <f t="shared" si="203"/>
        <v>2117.9640977576282</v>
      </c>
      <c r="AG97" s="528">
        <f t="shared" si="204"/>
        <v>9.1219676577402056E-2</v>
      </c>
      <c r="AI97" s="173">
        <f t="shared" si="205"/>
        <v>32.799257426806278</v>
      </c>
      <c r="AJ97" s="173">
        <f t="shared" si="206"/>
        <v>38.935044021699369</v>
      </c>
      <c r="AK97" s="173">
        <f t="shared" si="207"/>
        <v>20.164230139530396</v>
      </c>
      <c r="AM97" s="545">
        <f t="shared" si="208"/>
        <v>552</v>
      </c>
      <c r="AN97" s="460">
        <f t="shared" si="209"/>
        <v>236.62403719259859</v>
      </c>
      <c r="AP97">
        <f t="shared" si="210"/>
        <v>552</v>
      </c>
      <c r="AQ97">
        <f t="shared" si="211"/>
        <v>236.62403719259859</v>
      </c>
      <c r="AS97" s="5">
        <f t="shared" si="285"/>
        <v>4.2261133393901842</v>
      </c>
      <c r="AT97" s="5">
        <f t="shared" si="212"/>
        <v>1.7429148316275445</v>
      </c>
      <c r="AU97" s="5">
        <f t="shared" si="286"/>
        <v>2.4831985077626397</v>
      </c>
      <c r="AV97" s="5">
        <f t="shared" si="213"/>
        <v>2.2831985077626391</v>
      </c>
      <c r="AW97" s="173">
        <f t="shared" si="287"/>
        <v>0.4124155439425678</v>
      </c>
      <c r="AX97" s="173">
        <f t="shared" si="214"/>
        <v>89.676821894607144</v>
      </c>
      <c r="AY97" s="173">
        <f t="shared" si="215"/>
        <v>0.57194066657655995</v>
      </c>
      <c r="AZ97" s="173">
        <f t="shared" si="288"/>
        <v>156.79392485129927</v>
      </c>
      <c r="BA97" s="460">
        <f t="shared" si="216"/>
        <v>0.56593469826964982</v>
      </c>
      <c r="BB97" s="5">
        <f t="shared" si="217"/>
        <v>33.379890799731797</v>
      </c>
      <c r="BC97" s="5"/>
      <c r="BD97" s="173">
        <f t="shared" si="289"/>
        <v>14.436022671697931</v>
      </c>
      <c r="BE97" s="173">
        <f t="shared" si="218"/>
        <v>0.86155934272222257</v>
      </c>
      <c r="BF97" s="173"/>
      <c r="BG97" s="528">
        <f t="shared" si="219"/>
        <v>8.3359500231110673</v>
      </c>
      <c r="BH97" s="528">
        <f t="shared" si="220"/>
        <v>4.3586048429520048</v>
      </c>
      <c r="BI97" s="528">
        <f t="shared" si="221"/>
        <v>0.10571907631404948</v>
      </c>
      <c r="BJ97" s="528">
        <f t="shared" si="222"/>
        <v>2.0922797587493665E-2</v>
      </c>
      <c r="BK97">
        <f t="shared" si="223"/>
        <v>5.0262839846866502E-3</v>
      </c>
      <c r="BL97" s="460">
        <f t="shared" si="290"/>
        <v>110.74536029873612</v>
      </c>
      <c r="BM97" s="528">
        <f t="shared" si="224"/>
        <v>-15.261934118779649</v>
      </c>
      <c r="BN97" s="460">
        <f t="shared" si="291"/>
        <v>-15261.934118779649</v>
      </c>
      <c r="BO97" s="528">
        <f t="shared" si="225"/>
        <v>0.47913600000000001</v>
      </c>
      <c r="BP97" s="528"/>
      <c r="BR97" s="460">
        <f t="shared" si="292"/>
        <v>479.13600000000002</v>
      </c>
      <c r="BS97" s="528">
        <f t="shared" si="226"/>
        <v>6.2519625173332996</v>
      </c>
      <c r="BT97" s="528">
        <f t="shared" si="227"/>
        <v>2.2268535030958447E-2</v>
      </c>
      <c r="BU97" s="528">
        <f t="shared" si="228"/>
        <v>1.4076</v>
      </c>
      <c r="BV97" s="528">
        <f t="shared" si="229"/>
        <v>18.446810711672654</v>
      </c>
      <c r="BW97" s="528">
        <f t="shared" si="230"/>
        <v>8.9676821894607155</v>
      </c>
      <c r="BX97" s="460">
        <f t="shared" si="293"/>
        <v>27414.492901133373</v>
      </c>
      <c r="BY97" s="173">
        <f t="shared" si="231"/>
        <v>12.742440142652457</v>
      </c>
      <c r="BZ97" s="5">
        <f t="shared" si="294"/>
        <v>93.84</v>
      </c>
      <c r="CA97" s="173">
        <f t="shared" si="295"/>
        <v>0.88044522037966411</v>
      </c>
      <c r="CB97" s="5">
        <f t="shared" si="296"/>
        <v>88.044522037966416</v>
      </c>
      <c r="CE97" s="562">
        <f t="shared" si="232"/>
        <v>-50</v>
      </c>
      <c r="CF97">
        <f t="shared" si="233"/>
        <v>-50</v>
      </c>
      <c r="CG97" s="173">
        <f t="shared" si="234"/>
        <v>0.58084298917240917</v>
      </c>
      <c r="CI97" s="170">
        <v>92</v>
      </c>
      <c r="CJ97" s="217">
        <f t="shared" si="297"/>
        <v>0.55200000000000005</v>
      </c>
      <c r="CK97" s="217"/>
      <c r="CL97" s="217">
        <f t="shared" si="235"/>
        <v>93.84</v>
      </c>
      <c r="CM97" s="541">
        <f t="shared" si="236"/>
        <v>12.5</v>
      </c>
      <c r="CN97" s="172">
        <f t="shared" si="237"/>
        <v>8.5250000000000004</v>
      </c>
      <c r="CO97" s="443">
        <f t="shared" si="238"/>
        <v>21.024999999999999</v>
      </c>
      <c r="CP97" s="443"/>
      <c r="CQ97" s="217">
        <f t="shared" si="239"/>
        <v>0.40546967895362668</v>
      </c>
      <c r="CR97" s="172">
        <f t="shared" si="240"/>
        <v>170.84633868410626</v>
      </c>
      <c r="CS97" s="172">
        <f t="shared" si="298"/>
        <v>93.84</v>
      </c>
      <c r="CT97" s="217">
        <f t="shared" si="241"/>
        <v>1.0049784628476839</v>
      </c>
      <c r="CU97" s="217">
        <f t="shared" si="242"/>
        <v>170</v>
      </c>
      <c r="CV97" s="217">
        <f t="shared" si="243"/>
        <v>0.99379823272947732</v>
      </c>
      <c r="CW97" s="172">
        <f t="shared" si="244"/>
        <v>505.07815956716843</v>
      </c>
      <c r="CX97" s="532">
        <f t="shared" si="245"/>
        <v>170</v>
      </c>
      <c r="CY97" s="217">
        <f t="shared" si="246"/>
        <v>37.029649266862165</v>
      </c>
      <c r="CZ97" s="217">
        <f t="shared" si="247"/>
        <v>1.4811859706744868</v>
      </c>
      <c r="DA97" s="217">
        <f t="shared" si="248"/>
        <v>2.1718269364728542</v>
      </c>
      <c r="DB97" s="197">
        <f t="shared" si="249"/>
        <v>350</v>
      </c>
      <c r="DC97" s="443">
        <f t="shared" si="299"/>
        <v>273.74663747928167</v>
      </c>
      <c r="DE97" s="217">
        <f t="shared" si="250"/>
        <v>28.962119925259049</v>
      </c>
      <c r="DF97" s="173">
        <f t="shared" si="251"/>
        <v>1.6986580601324954</v>
      </c>
      <c r="DG97" s="173">
        <f t="shared" si="252"/>
        <v>0.4304714614336958</v>
      </c>
      <c r="DH97" s="173"/>
      <c r="DI97" s="173">
        <f t="shared" si="253"/>
        <v>0.78201368523949166</v>
      </c>
      <c r="DJ97" s="545">
        <f t="shared" si="300"/>
        <v>2117.61</v>
      </c>
      <c r="DK97" s="528">
        <f t="shared" si="254"/>
        <v>9.1234929944607357E-2</v>
      </c>
      <c r="DM97" s="173">
        <f t="shared" si="255"/>
        <v>32.796515494354409</v>
      </c>
      <c r="DN97" s="173">
        <f t="shared" si="256"/>
        <v>37.029649266862165</v>
      </c>
      <c r="DO97" s="173">
        <f t="shared" si="257"/>
        <v>18.752826617428759</v>
      </c>
      <c r="DQ97" s="545">
        <f t="shared" si="258"/>
        <v>552</v>
      </c>
      <c r="DR97" s="460">
        <f t="shared" si="259"/>
        <v>273.74663747928167</v>
      </c>
      <c r="DT97">
        <f t="shared" si="260"/>
        <v>552</v>
      </c>
      <c r="DU97">
        <f t="shared" si="261"/>
        <v>273.74663747928167</v>
      </c>
      <c r="DW97" s="5">
        <f t="shared" si="301"/>
        <v>3.6530129071473407</v>
      </c>
      <c r="DX97" s="5">
        <f t="shared" si="262"/>
        <v>1.4811859706744868</v>
      </c>
      <c r="DY97" s="5">
        <f t="shared" si="302"/>
        <v>2.1718269364728542</v>
      </c>
      <c r="DZ97" s="5">
        <f t="shared" si="263"/>
        <v>2.1718269364728542</v>
      </c>
      <c r="EA97" s="173">
        <f t="shared" si="303"/>
        <v>0.40546967895362668</v>
      </c>
      <c r="EB97" s="173">
        <f t="shared" si="264"/>
        <v>93.839999999999975</v>
      </c>
      <c r="EC97" s="173">
        <f t="shared" si="265"/>
        <v>0.55038123167155417</v>
      </c>
      <c r="ED97" s="173">
        <f t="shared" si="304"/>
        <v>170.49999999999997</v>
      </c>
      <c r="EE97" s="460">
        <f t="shared" si="266"/>
        <v>0.4809497975366569</v>
      </c>
      <c r="EF97" s="5">
        <f t="shared" si="267"/>
        <v>26.086942683982421</v>
      </c>
      <c r="EG97" s="5"/>
      <c r="EH97" s="173">
        <f t="shared" si="305"/>
        <v>13.613448815446869</v>
      </c>
      <c r="EI97" s="173">
        <f t="shared" si="268"/>
        <v>0.8242253731405681</v>
      </c>
      <c r="EJ97" s="173"/>
      <c r="EK97" s="528">
        <f t="shared" si="269"/>
        <v>7.4130395460316709</v>
      </c>
      <c r="EL97" s="528">
        <f t="shared" si="270"/>
        <v>5.8609374999999995</v>
      </c>
      <c r="EM97" s="528">
        <f t="shared" si="271"/>
        <v>5.4749327495856336E-2</v>
      </c>
      <c r="EN97" s="528">
        <f t="shared" si="272"/>
        <v>2.4201974437872975E-2</v>
      </c>
      <c r="EO97">
        <f t="shared" si="273"/>
        <v>5.6249999999999998E-3</v>
      </c>
      <c r="EP97" s="460">
        <f t="shared" si="306"/>
        <v>60.374327495856335</v>
      </c>
      <c r="EQ97" s="528">
        <f t="shared" si="274"/>
        <v>-20.175099716956076</v>
      </c>
      <c r="ER97" s="460">
        <f t="shared" si="307"/>
        <v>-20175.099716956076</v>
      </c>
      <c r="ES97" s="528">
        <f t="shared" si="308"/>
        <v>0.47913600000000001</v>
      </c>
      <c r="ET97" s="528"/>
      <c r="EV97" s="460">
        <f t="shared" si="309"/>
        <v>479.13600000000002</v>
      </c>
      <c r="EW97" s="528">
        <f t="shared" si="275"/>
        <v>5.5597796595237527</v>
      </c>
      <c r="EX97" s="528">
        <f t="shared" si="276"/>
        <v>2.0380423971861263E-2</v>
      </c>
      <c r="EY97" s="528">
        <f t="shared" si="277"/>
        <v>517.26844275253927</v>
      </c>
      <c r="EZ97" s="528">
        <f t="shared" si="278"/>
        <v>946.89300543976969</v>
      </c>
      <c r="FA97" s="528">
        <f t="shared" si="279"/>
        <v>9.3839999999999986</v>
      </c>
      <c r="FB97" s="460">
        <f t="shared" si="310"/>
        <v>956277.00543976971</v>
      </c>
      <c r="FC97" s="173">
        <f t="shared" si="311"/>
        <v>936.58104172281367</v>
      </c>
      <c r="FD97" s="5">
        <f t="shared" si="312"/>
        <v>93.84</v>
      </c>
      <c r="FE97" s="173">
        <f t="shared" si="313"/>
        <v>9.1069568846443683E-2</v>
      </c>
      <c r="FF97" s="5">
        <f t="shared" si="314"/>
        <v>9.1069568846443687</v>
      </c>
      <c r="FI97" s="562">
        <f t="shared" si="280"/>
        <v>-50</v>
      </c>
      <c r="FJ97">
        <f t="shared" si="281"/>
        <v>-50</v>
      </c>
      <c r="FL97">
        <f t="shared" si="282"/>
        <v>0.59453032104637327</v>
      </c>
    </row>
    <row r="98" spans="5:168" ht="13">
      <c r="E98" s="170">
        <v>93</v>
      </c>
      <c r="F98" s="217">
        <f t="shared" si="283"/>
        <v>0.55800000000000005</v>
      </c>
      <c r="G98" s="217"/>
      <c r="H98" s="217">
        <f t="shared" si="183"/>
        <v>94.860000000000014</v>
      </c>
      <c r="I98" s="541">
        <f t="shared" si="184"/>
        <v>11.155398925228809</v>
      </c>
      <c r="J98" s="172">
        <f t="shared" si="185"/>
        <v>8.5264406440086837</v>
      </c>
      <c r="K98" s="172">
        <f t="shared" si="186"/>
        <v>21.026440644008684</v>
      </c>
      <c r="L98" s="443"/>
      <c r="M98" s="217">
        <f t="shared" si="187"/>
        <v>0.43321265869059322</v>
      </c>
      <c r="N98" s="172">
        <f t="shared" si="188"/>
        <v>162.90091508193416</v>
      </c>
      <c r="O98" s="172">
        <f t="shared" si="284"/>
        <v>94.860000000000014</v>
      </c>
      <c r="P98" s="217">
        <f t="shared" si="189"/>
        <v>0.95824067695255388</v>
      </c>
      <c r="Q98" s="217">
        <f t="shared" si="190"/>
        <v>170</v>
      </c>
      <c r="R98" s="217">
        <f t="shared" si="191"/>
        <v>0.94758039748089373</v>
      </c>
      <c r="S98" s="172">
        <f t="shared" si="192"/>
        <v>443.53506092343252</v>
      </c>
      <c r="T98" s="532">
        <f t="shared" si="193"/>
        <v>170</v>
      </c>
      <c r="U98" s="217">
        <f t="shared" si="194"/>
        <v>39.379849148422686</v>
      </c>
      <c r="V98" s="217">
        <f t="shared" si="195"/>
        <v>1.7650578617749861</v>
      </c>
      <c r="W98" s="217">
        <f t="shared" si="196"/>
        <v>2.3092783256571381</v>
      </c>
      <c r="X98" s="197">
        <f t="shared" si="197"/>
        <v>350</v>
      </c>
      <c r="Y98" s="443">
        <f t="shared" si="198"/>
        <v>233.95445658680535</v>
      </c>
      <c r="AA98" s="217">
        <f t="shared" si="199"/>
        <v>27.615260384463188</v>
      </c>
      <c r="AB98" s="173">
        <f t="shared" si="200"/>
        <v>1.6193897041825851</v>
      </c>
      <c r="AC98" s="173">
        <f t="shared" si="201"/>
        <v>0.39129884801805792</v>
      </c>
      <c r="AD98" s="173"/>
      <c r="AE98" s="173">
        <f t="shared" si="202"/>
        <v>0.78188155468497467</v>
      </c>
      <c r="AF98" s="545">
        <f t="shared" si="203"/>
        <v>2140.9892457105807</v>
      </c>
      <c r="AG98" s="528">
        <f t="shared" si="204"/>
        <v>9.1219514713247046E-2</v>
      </c>
      <c r="AI98" s="173">
        <f t="shared" si="205"/>
        <v>32.977061739879893</v>
      </c>
      <c r="AJ98" s="173">
        <f t="shared" si="206"/>
        <v>39.379849148422686</v>
      </c>
      <c r="AK98" s="173">
        <f t="shared" si="207"/>
        <v>20.493715418584703</v>
      </c>
      <c r="AM98" s="545">
        <f t="shared" si="208"/>
        <v>558</v>
      </c>
      <c r="AN98" s="460">
        <f t="shared" si="209"/>
        <v>233.95445658680535</v>
      </c>
      <c r="AP98">
        <f t="shared" si="210"/>
        <v>558</v>
      </c>
      <c r="AQ98">
        <f t="shared" si="211"/>
        <v>233.95445658680535</v>
      </c>
      <c r="AS98" s="5">
        <f t="shared" si="285"/>
        <v>4.2743361874321248</v>
      </c>
      <c r="AT98" s="5">
        <f t="shared" si="212"/>
        <v>1.7650578617749861</v>
      </c>
      <c r="AU98" s="5">
        <f t="shared" si="286"/>
        <v>2.5092783256571387</v>
      </c>
      <c r="AV98" s="5">
        <f t="shared" si="213"/>
        <v>2.3092783256571381</v>
      </c>
      <c r="AW98" s="173">
        <f t="shared" si="287"/>
        <v>0.41294315289583539</v>
      </c>
      <c r="AX98" s="173">
        <f t="shared" si="214"/>
        <v>90.702535490322433</v>
      </c>
      <c r="AY98" s="173">
        <f t="shared" si="215"/>
        <v>0.5779552520127661</v>
      </c>
      <c r="AZ98" s="173">
        <f t="shared" si="288"/>
        <v>156.93695173535505</v>
      </c>
      <c r="BA98" s="460">
        <f t="shared" si="216"/>
        <v>0.5793542863943778</v>
      </c>
      <c r="BB98" s="5">
        <f t="shared" si="217"/>
        <v>34.14026066729177</v>
      </c>
      <c r="BC98" s="5"/>
      <c r="BD98" s="173">
        <f t="shared" si="289"/>
        <v>14.610280551726504</v>
      </c>
      <c r="BE98" s="173">
        <f t="shared" si="218"/>
        <v>0.87101072780996502</v>
      </c>
      <c r="BF98" s="173"/>
      <c r="BG98" s="528">
        <f t="shared" si="219"/>
        <v>8.5384119120063087</v>
      </c>
      <c r="BH98" s="528">
        <f t="shared" si="220"/>
        <v>4.35866659723421</v>
      </c>
      <c r="BI98" s="528">
        <f t="shared" si="221"/>
        <v>0.10439421174243754</v>
      </c>
      <c r="BJ98" s="528">
        <f t="shared" si="222"/>
        <v>2.0686777397433763E-2</v>
      </c>
      <c r="BK98">
        <f t="shared" si="223"/>
        <v>5.0199295163529641E-3</v>
      </c>
      <c r="BL98" s="460">
        <f t="shared" si="290"/>
        <v>109.41414125879051</v>
      </c>
      <c r="BM98" s="528">
        <f t="shared" si="224"/>
        <v>-14.79803814024603</v>
      </c>
      <c r="BN98" s="460">
        <f t="shared" si="291"/>
        <v>-14798.03814024603</v>
      </c>
      <c r="BO98" s="528">
        <f t="shared" si="225"/>
        <v>0.484344</v>
      </c>
      <c r="BP98" s="528"/>
      <c r="BR98" s="460">
        <f t="shared" si="292"/>
        <v>484.34399999999999</v>
      </c>
      <c r="BS98" s="528">
        <f t="shared" si="226"/>
        <v>6.4038089340047311</v>
      </c>
      <c r="BT98" s="528">
        <f t="shared" si="227"/>
        <v>2.2759790638801351E-2</v>
      </c>
      <c r="BU98" s="528">
        <f t="shared" si="228"/>
        <v>1.4229000000000001</v>
      </c>
      <c r="BV98" s="528">
        <f t="shared" si="229"/>
        <v>19.329775856413935</v>
      </c>
      <c r="BW98" s="528">
        <f t="shared" si="230"/>
        <v>9.0702535490322447</v>
      </c>
      <c r="BX98" s="460">
        <f t="shared" si="293"/>
        <v>28400.029405446181</v>
      </c>
      <c r="BY98" s="173">
        <f t="shared" si="231"/>
        <v>14.19574940645894</v>
      </c>
      <c r="BZ98" s="5">
        <f t="shared" si="294"/>
        <v>94.860000000000014</v>
      </c>
      <c r="CA98" s="173">
        <f t="shared" si="295"/>
        <v>0.86983034380378865</v>
      </c>
      <c r="CB98" s="5">
        <f t="shared" si="296"/>
        <v>86.983034380378868</v>
      </c>
      <c r="CE98" s="562">
        <f t="shared" si="232"/>
        <v>-50</v>
      </c>
      <c r="CF98">
        <f t="shared" si="233"/>
        <v>-50</v>
      </c>
      <c r="CG98" s="173">
        <f t="shared" si="234"/>
        <v>0.58099016478395715</v>
      </c>
      <c r="CI98" s="170">
        <v>93</v>
      </c>
      <c r="CJ98" s="217">
        <f t="shared" si="297"/>
        <v>0.55800000000000005</v>
      </c>
      <c r="CK98" s="217"/>
      <c r="CL98" s="217">
        <f t="shared" si="235"/>
        <v>94.860000000000014</v>
      </c>
      <c r="CM98" s="541">
        <f t="shared" si="236"/>
        <v>12.5</v>
      </c>
      <c r="CN98" s="172">
        <f t="shared" si="237"/>
        <v>8.5250000000000004</v>
      </c>
      <c r="CO98" s="443">
        <f t="shared" si="238"/>
        <v>21.024999999999999</v>
      </c>
      <c r="CP98" s="443"/>
      <c r="CQ98" s="217">
        <f t="shared" si="239"/>
        <v>0.40546967895362668</v>
      </c>
      <c r="CR98" s="172">
        <f t="shared" si="240"/>
        <v>170.84633868410626</v>
      </c>
      <c r="CS98" s="172">
        <f t="shared" si="298"/>
        <v>94.860000000000014</v>
      </c>
      <c r="CT98" s="217">
        <f t="shared" si="241"/>
        <v>1.0049784628476839</v>
      </c>
      <c r="CU98" s="217">
        <f t="shared" si="242"/>
        <v>170</v>
      </c>
      <c r="CV98" s="217">
        <f t="shared" si="243"/>
        <v>0.99379823272947732</v>
      </c>
      <c r="CW98" s="172">
        <f t="shared" si="244"/>
        <v>496.96572998212793</v>
      </c>
      <c r="CX98" s="532">
        <f t="shared" si="245"/>
        <v>170</v>
      </c>
      <c r="CY98" s="217">
        <f t="shared" si="246"/>
        <v>37.432145454545456</v>
      </c>
      <c r="CZ98" s="217">
        <f t="shared" si="247"/>
        <v>1.4972858181818181</v>
      </c>
      <c r="DA98" s="217">
        <f t="shared" si="248"/>
        <v>2.195433750999733</v>
      </c>
      <c r="DB98" s="197">
        <f t="shared" si="249"/>
        <v>350</v>
      </c>
      <c r="DC98" s="443">
        <f t="shared" si="299"/>
        <v>270.80312524832169</v>
      </c>
      <c r="DE98" s="217">
        <f t="shared" si="250"/>
        <v>28.962119925259049</v>
      </c>
      <c r="DF98" s="173">
        <f t="shared" si="251"/>
        <v>1.6986580601324954</v>
      </c>
      <c r="DG98" s="173">
        <f t="shared" si="252"/>
        <v>0.4304714614336958</v>
      </c>
      <c r="DH98" s="173"/>
      <c r="DI98" s="173">
        <f t="shared" si="253"/>
        <v>0.78201368523949166</v>
      </c>
      <c r="DJ98" s="545">
        <f t="shared" si="300"/>
        <v>2140.6275000000001</v>
      </c>
      <c r="DK98" s="528">
        <f t="shared" si="254"/>
        <v>9.1234929944607357E-2</v>
      </c>
      <c r="DM98" s="173">
        <f t="shared" si="255"/>
        <v>32.974275687918563</v>
      </c>
      <c r="DN98" s="173">
        <f t="shared" si="256"/>
        <v>37.432145454545456</v>
      </c>
      <c r="DO98" s="173">
        <f t="shared" si="257"/>
        <v>19.050971941638608</v>
      </c>
      <c r="DQ98" s="545">
        <f t="shared" si="258"/>
        <v>558</v>
      </c>
      <c r="DR98" s="460">
        <f t="shared" si="259"/>
        <v>270.80312524832169</v>
      </c>
      <c r="DT98">
        <f t="shared" si="260"/>
        <v>558</v>
      </c>
      <c r="DU98">
        <f t="shared" si="261"/>
        <v>270.80312524832169</v>
      </c>
      <c r="DW98" s="5">
        <f t="shared" si="301"/>
        <v>3.6927195691815506</v>
      </c>
      <c r="DX98" s="5">
        <f t="shared" si="262"/>
        <v>1.4972858181818181</v>
      </c>
      <c r="DY98" s="5">
        <f t="shared" si="302"/>
        <v>2.1954337509997326</v>
      </c>
      <c r="DZ98" s="5">
        <f t="shared" si="263"/>
        <v>2.195433750999733</v>
      </c>
      <c r="EA98" s="173">
        <f t="shared" si="303"/>
        <v>0.40546967895362668</v>
      </c>
      <c r="EB98" s="173">
        <f t="shared" si="264"/>
        <v>94.860000000000028</v>
      </c>
      <c r="EC98" s="173">
        <f t="shared" si="265"/>
        <v>0.55636363636363628</v>
      </c>
      <c r="ED98" s="173">
        <f t="shared" si="304"/>
        <v>170.50000000000009</v>
      </c>
      <c r="EE98" s="460">
        <f t="shared" si="266"/>
        <v>0.4914620509090909</v>
      </c>
      <c r="EF98" s="5">
        <f t="shared" si="267"/>
        <v>26.657132239338836</v>
      </c>
      <c r="EG98" s="5"/>
      <c r="EH98" s="173">
        <f t="shared" si="305"/>
        <v>13.76142108517999</v>
      </c>
      <c r="EI98" s="173">
        <f t="shared" si="268"/>
        <v>0.83318434458774826</v>
      </c>
      <c r="EJ98" s="173"/>
      <c r="EK98" s="528">
        <f t="shared" si="269"/>
        <v>7.5750684113454563</v>
      </c>
      <c r="EL98" s="528">
        <f t="shared" si="270"/>
        <v>5.8609375000000021</v>
      </c>
      <c r="EM98" s="528">
        <f t="shared" si="271"/>
        <v>5.4160625049664332E-2</v>
      </c>
      <c r="EN98" s="528">
        <f t="shared" si="272"/>
        <v>2.3941738153594776E-2</v>
      </c>
      <c r="EO98">
        <f t="shared" si="273"/>
        <v>5.6249999999999998E-3</v>
      </c>
      <c r="EP98" s="460">
        <f t="shared" si="306"/>
        <v>59.785625049664333</v>
      </c>
      <c r="EQ98" s="528">
        <f t="shared" si="274"/>
        <v>-19.4602353386041</v>
      </c>
      <c r="ER98" s="460">
        <f t="shared" si="307"/>
        <v>-19460.2353386041</v>
      </c>
      <c r="ES98" s="528">
        <f t="shared" si="308"/>
        <v>0.484344</v>
      </c>
      <c r="ET98" s="528"/>
      <c r="EV98" s="460">
        <f t="shared" si="309"/>
        <v>484.34399999999999</v>
      </c>
      <c r="EW98" s="528">
        <f t="shared" si="275"/>
        <v>5.6813013085090924</v>
      </c>
      <c r="EX98" s="528">
        <f t="shared" si="276"/>
        <v>2.082588456198347E-2</v>
      </c>
      <c r="EY98" s="528">
        <f t="shared" si="277"/>
        <v>517.2684427525403</v>
      </c>
      <c r="EZ98" s="528">
        <f t="shared" si="278"/>
        <v>964.16021482760948</v>
      </c>
      <c r="FA98" s="528">
        <f t="shared" si="279"/>
        <v>9.4860000000000042</v>
      </c>
      <c r="FB98" s="460">
        <f t="shared" si="310"/>
        <v>973646.21482760948</v>
      </c>
      <c r="FC98" s="173">
        <f t="shared" si="311"/>
        <v>954.67032348900534</v>
      </c>
      <c r="FD98" s="5">
        <f t="shared" si="312"/>
        <v>94.860000000000014</v>
      </c>
      <c r="FE98" s="173">
        <f t="shared" si="313"/>
        <v>9.0383286577802008E-2</v>
      </c>
      <c r="FF98" s="5">
        <f t="shared" si="314"/>
        <v>9.0383286577802</v>
      </c>
      <c r="FI98" s="562">
        <f t="shared" si="280"/>
        <v>-50</v>
      </c>
      <c r="FJ98">
        <f t="shared" si="281"/>
        <v>-50</v>
      </c>
      <c r="FL98">
        <f t="shared" si="282"/>
        <v>0.59453032104637327</v>
      </c>
    </row>
    <row r="99" spans="5:168" ht="13">
      <c r="E99" s="170">
        <v>94</v>
      </c>
      <c r="F99" s="217">
        <f t="shared" si="283"/>
        <v>0.56399999999999995</v>
      </c>
      <c r="G99" s="217"/>
      <c r="H99" s="217">
        <f t="shared" si="183"/>
        <v>95.88</v>
      </c>
      <c r="I99" s="541">
        <f t="shared" si="184"/>
        <v>11.141277715591066</v>
      </c>
      <c r="J99" s="172">
        <f t="shared" si="185"/>
        <v>8.5264557738761528</v>
      </c>
      <c r="K99" s="172">
        <f t="shared" si="186"/>
        <v>21.026455773876151</v>
      </c>
      <c r="L99" s="443"/>
      <c r="M99" s="217">
        <f t="shared" si="187"/>
        <v>0.43352413723580679</v>
      </c>
      <c r="N99" s="172">
        <f t="shared" si="188"/>
        <v>162.81168178204649</v>
      </c>
      <c r="O99" s="172">
        <f t="shared" si="284"/>
        <v>95.88</v>
      </c>
      <c r="P99" s="217">
        <f t="shared" si="189"/>
        <v>0.95771577518850881</v>
      </c>
      <c r="Q99" s="217">
        <f t="shared" si="190"/>
        <v>170</v>
      </c>
      <c r="R99" s="217">
        <f t="shared" si="191"/>
        <v>0.94706133516787006</v>
      </c>
      <c r="S99" s="172">
        <f t="shared" si="192"/>
        <v>435.89769680229745</v>
      </c>
      <c r="T99" s="532">
        <f t="shared" si="193"/>
        <v>170</v>
      </c>
      <c r="U99" s="217">
        <f t="shared" si="194"/>
        <v>39.825174350616663</v>
      </c>
      <c r="V99" s="217">
        <f t="shared" si="195"/>
        <v>1.7872803895232523</v>
      </c>
      <c r="W99" s="217">
        <f t="shared" si="196"/>
        <v>2.3353885487001129</v>
      </c>
      <c r="X99" s="197">
        <f t="shared" si="197"/>
        <v>350</v>
      </c>
      <c r="Y99" s="443">
        <f t="shared" si="198"/>
        <v>231.33855825910283</v>
      </c>
      <c r="AA99" s="217">
        <f t="shared" si="199"/>
        <v>27.600133344534008</v>
      </c>
      <c r="AB99" s="173">
        <f t="shared" si="200"/>
        <v>1.6184997656996525</v>
      </c>
      <c r="AC99" s="173">
        <f t="shared" si="201"/>
        <v>0.39086958182481524</v>
      </c>
      <c r="AD99" s="173"/>
      <c r="AE99" s="173">
        <f t="shared" si="202"/>
        <v>0.78188016726626131</v>
      </c>
      <c r="AF99" s="545">
        <f t="shared" si="203"/>
        <v>2164.0144754097678</v>
      </c>
      <c r="AG99" s="528">
        <f t="shared" si="204"/>
        <v>9.1219352847730487E-2</v>
      </c>
      <c r="AI99" s="173">
        <f t="shared" si="205"/>
        <v>33.153913128976065</v>
      </c>
      <c r="AJ99" s="173">
        <f t="shared" si="206"/>
        <v>39.825174350616663</v>
      </c>
      <c r="AK99" s="173">
        <f t="shared" si="207"/>
        <v>20.823585938728392</v>
      </c>
      <c r="AM99" s="545">
        <f t="shared" si="208"/>
        <v>564</v>
      </c>
      <c r="AN99" s="460">
        <f t="shared" si="209"/>
        <v>231.33855825910283</v>
      </c>
      <c r="AP99">
        <f t="shared" si="210"/>
        <v>564</v>
      </c>
      <c r="AQ99">
        <f t="shared" si="211"/>
        <v>231.33855825910283</v>
      </c>
      <c r="AS99" s="5">
        <f t="shared" si="285"/>
        <v>4.3226689382233641</v>
      </c>
      <c r="AT99" s="5">
        <f t="shared" si="212"/>
        <v>1.7872803895232523</v>
      </c>
      <c r="AU99" s="5">
        <f t="shared" si="286"/>
        <v>2.5353885487001118</v>
      </c>
      <c r="AV99" s="5">
        <f t="shared" si="213"/>
        <v>2.3353885487001129</v>
      </c>
      <c r="AW99" s="173">
        <f t="shared" si="287"/>
        <v>0.41346686851707692</v>
      </c>
      <c r="AX99" s="173">
        <f t="shared" si="214"/>
        <v>91.728312688508055</v>
      </c>
      <c r="AY99" s="173">
        <f t="shared" si="215"/>
        <v>0.58396960559301447</v>
      </c>
      <c r="AZ99" s="173">
        <f t="shared" si="288"/>
        <v>157.07720369343366</v>
      </c>
      <c r="BA99" s="460">
        <f t="shared" si="216"/>
        <v>0.59295655275947889</v>
      </c>
      <c r="BB99" s="5">
        <f t="shared" si="217"/>
        <v>34.910617651572672</v>
      </c>
      <c r="BC99" s="5"/>
      <c r="BD99" s="173">
        <f t="shared" si="289"/>
        <v>14.784866787010172</v>
      </c>
      <c r="BE99" s="173">
        <f t="shared" si="218"/>
        <v>0.88046751517215094</v>
      </c>
      <c r="BF99" s="173"/>
      <c r="BG99" s="528">
        <f t="shared" si="219"/>
        <v>8.7436914363854594</v>
      </c>
      <c r="BH99" s="528">
        <f t="shared" si="220"/>
        <v>4.358673143974821</v>
      </c>
      <c r="BI99" s="528">
        <f t="shared" si="221"/>
        <v>0.10309628495556432</v>
      </c>
      <c r="BJ99" s="528">
        <f t="shared" si="222"/>
        <v>2.0455503242516628E-2</v>
      </c>
      <c r="BK99">
        <f t="shared" si="223"/>
        <v>5.0135749720159797E-3</v>
      </c>
      <c r="BL99" s="460">
        <f t="shared" si="290"/>
        <v>108.10985992758029</v>
      </c>
      <c r="BM99" s="528">
        <f t="shared" si="224"/>
        <v>-14.369931485803365</v>
      </c>
      <c r="BN99" s="460">
        <f t="shared" si="291"/>
        <v>-14369.931485803365</v>
      </c>
      <c r="BO99" s="528">
        <f t="shared" si="225"/>
        <v>0.48955199999999993</v>
      </c>
      <c r="BP99" s="528"/>
      <c r="BR99" s="460">
        <f t="shared" si="292"/>
        <v>489.55199999999991</v>
      </c>
      <c r="BS99" s="528">
        <f t="shared" si="226"/>
        <v>6.5577685772890941</v>
      </c>
      <c r="BT99" s="528">
        <f t="shared" si="227"/>
        <v>2.3256691358202655E-2</v>
      </c>
      <c r="BU99" s="528">
        <f t="shared" si="228"/>
        <v>1.4381999999999999</v>
      </c>
      <c r="BV99" s="528">
        <f t="shared" si="229"/>
        <v>20.270975483048311</v>
      </c>
      <c r="BW99" s="528">
        <f t="shared" si="230"/>
        <v>9.1728312688508051</v>
      </c>
      <c r="BX99" s="460">
        <f t="shared" si="293"/>
        <v>29443.806751899119</v>
      </c>
      <c r="BY99" s="173">
        <f t="shared" si="231"/>
        <v>15.671537126023331</v>
      </c>
      <c r="BZ99" s="5">
        <f t="shared" si="294"/>
        <v>95.88</v>
      </c>
      <c r="CA99" s="173">
        <f t="shared" si="295"/>
        <v>0.85951303290138703</v>
      </c>
      <c r="CB99" s="5">
        <f t="shared" si="296"/>
        <v>85.951303290138696</v>
      </c>
      <c r="CE99" s="562">
        <f t="shared" si="232"/>
        <v>-50</v>
      </c>
      <c r="CF99">
        <f t="shared" si="233"/>
        <v>-50</v>
      </c>
      <c r="CG99" s="173">
        <f t="shared" si="234"/>
        <v>0.58113420899951496</v>
      </c>
      <c r="CI99" s="170">
        <v>94</v>
      </c>
      <c r="CJ99" s="217">
        <f t="shared" si="297"/>
        <v>0.56399999999999995</v>
      </c>
      <c r="CK99" s="217"/>
      <c r="CL99" s="217">
        <f t="shared" si="235"/>
        <v>95.88</v>
      </c>
      <c r="CM99" s="541">
        <f t="shared" si="236"/>
        <v>12.5</v>
      </c>
      <c r="CN99" s="172">
        <f t="shared" si="237"/>
        <v>8.5250000000000004</v>
      </c>
      <c r="CO99" s="443">
        <f t="shared" si="238"/>
        <v>21.024999999999999</v>
      </c>
      <c r="CP99" s="443"/>
      <c r="CQ99" s="217">
        <f t="shared" si="239"/>
        <v>0.40546967895362668</v>
      </c>
      <c r="CR99" s="172">
        <f t="shared" si="240"/>
        <v>170.84633868410626</v>
      </c>
      <c r="CS99" s="172">
        <f t="shared" si="298"/>
        <v>95.88</v>
      </c>
      <c r="CT99" s="217">
        <f t="shared" si="241"/>
        <v>1.0049784628476839</v>
      </c>
      <c r="CU99" s="217">
        <f t="shared" si="242"/>
        <v>170</v>
      </c>
      <c r="CV99" s="217">
        <f t="shared" si="243"/>
        <v>0.99379823272947732</v>
      </c>
      <c r="CW99" s="172">
        <f t="shared" si="244"/>
        <v>489.02603461308144</v>
      </c>
      <c r="CX99" s="532">
        <f t="shared" si="245"/>
        <v>170</v>
      </c>
      <c r="CY99" s="217">
        <f t="shared" si="246"/>
        <v>37.834641642228732</v>
      </c>
      <c r="CZ99" s="217">
        <f t="shared" si="247"/>
        <v>1.5133856656891493</v>
      </c>
      <c r="DA99" s="217">
        <f t="shared" si="248"/>
        <v>2.2190405655266119</v>
      </c>
      <c r="DB99" s="197">
        <f t="shared" si="249"/>
        <v>350</v>
      </c>
      <c r="DC99" s="443">
        <f t="shared" si="299"/>
        <v>267.92224093716931</v>
      </c>
      <c r="DE99" s="217">
        <f t="shared" si="250"/>
        <v>28.962119925259049</v>
      </c>
      <c r="DF99" s="173">
        <f t="shared" si="251"/>
        <v>1.6986580601324954</v>
      </c>
      <c r="DG99" s="173">
        <f t="shared" si="252"/>
        <v>0.4304714614336958</v>
      </c>
      <c r="DH99" s="173"/>
      <c r="DI99" s="173">
        <f t="shared" si="253"/>
        <v>0.78201368523949166</v>
      </c>
      <c r="DJ99" s="545">
        <f t="shared" si="300"/>
        <v>2163.6449999999995</v>
      </c>
      <c r="DK99" s="528">
        <f t="shared" si="254"/>
        <v>9.1234929944607357E-2</v>
      </c>
      <c r="DM99" s="173">
        <f t="shared" si="255"/>
        <v>33.151082723107031</v>
      </c>
      <c r="DN99" s="173">
        <f t="shared" si="256"/>
        <v>37.834641642228732</v>
      </c>
      <c r="DO99" s="173">
        <f t="shared" si="257"/>
        <v>19.349117265848442</v>
      </c>
      <c r="DQ99" s="545">
        <f t="shared" si="258"/>
        <v>564</v>
      </c>
      <c r="DR99" s="460">
        <f t="shared" si="259"/>
        <v>267.92224093716931</v>
      </c>
      <c r="DT99">
        <f t="shared" si="260"/>
        <v>564</v>
      </c>
      <c r="DU99">
        <f t="shared" si="261"/>
        <v>267.92224093716931</v>
      </c>
      <c r="DW99" s="5">
        <f t="shared" si="301"/>
        <v>3.7324262312157614</v>
      </c>
      <c r="DX99" s="5">
        <f t="shared" si="262"/>
        <v>1.5133856656891493</v>
      </c>
      <c r="DY99" s="5">
        <f t="shared" si="302"/>
        <v>2.2190405655266119</v>
      </c>
      <c r="DZ99" s="5">
        <f t="shared" si="263"/>
        <v>2.2190405655266119</v>
      </c>
      <c r="EA99" s="173">
        <f t="shared" si="303"/>
        <v>0.40546967895362662</v>
      </c>
      <c r="EB99" s="173">
        <f t="shared" si="264"/>
        <v>95.879999999999981</v>
      </c>
      <c r="EC99" s="173">
        <f t="shared" si="265"/>
        <v>0.56234604105571839</v>
      </c>
      <c r="ED99" s="173">
        <f t="shared" si="304"/>
        <v>170.5</v>
      </c>
      <c r="EE99" s="460">
        <f t="shared" si="266"/>
        <v>0.50208795026392949</v>
      </c>
      <c r="EF99" s="5">
        <f t="shared" si="267"/>
        <v>27.233486006104517</v>
      </c>
      <c r="EG99" s="5"/>
      <c r="EH99" s="173">
        <f t="shared" si="305"/>
        <v>13.909393354913105</v>
      </c>
      <c r="EI99" s="173">
        <f t="shared" si="268"/>
        <v>0.84214331603492831</v>
      </c>
      <c r="EJ99" s="173"/>
      <c r="EK99" s="528">
        <f t="shared" si="269"/>
        <v>7.738848940068034</v>
      </c>
      <c r="EL99" s="528">
        <f t="shared" si="270"/>
        <v>5.8609374999999995</v>
      </c>
      <c r="EM99" s="528">
        <f t="shared" si="271"/>
        <v>5.3584448187433853E-2</v>
      </c>
      <c r="EN99" s="528">
        <f t="shared" si="272"/>
        <v>2.3687038811535256E-2</v>
      </c>
      <c r="EO99">
        <f t="shared" si="273"/>
        <v>5.6249999999999998E-3</v>
      </c>
      <c r="EP99" s="460">
        <f t="shared" si="306"/>
        <v>59.20944818743385</v>
      </c>
      <c r="EQ99" s="528">
        <f t="shared" si="274"/>
        <v>-18.804366718635215</v>
      </c>
      <c r="ER99" s="460">
        <f t="shared" si="307"/>
        <v>-18804.366718635214</v>
      </c>
      <c r="ES99" s="528">
        <f t="shared" si="308"/>
        <v>0.48955199999999993</v>
      </c>
      <c r="ET99" s="528"/>
      <c r="EV99" s="460">
        <f t="shared" si="309"/>
        <v>489.55199999999991</v>
      </c>
      <c r="EW99" s="528">
        <f t="shared" si="275"/>
        <v>5.8041367050510253</v>
      </c>
      <c r="EX99" s="528">
        <f t="shared" si="276"/>
        <v>2.1276160942269154E-2</v>
      </c>
      <c r="EY99" s="528">
        <f t="shared" si="277"/>
        <v>517.26844275254041</v>
      </c>
      <c r="EZ99" s="528">
        <f t="shared" si="278"/>
        <v>982.25542677035105</v>
      </c>
      <c r="FA99" s="528">
        <f t="shared" si="279"/>
        <v>9.5879999999999992</v>
      </c>
      <c r="FB99" s="460">
        <f t="shared" si="310"/>
        <v>991843.42677035101</v>
      </c>
      <c r="FC99" s="173">
        <f t="shared" si="311"/>
        <v>973.52861205171575</v>
      </c>
      <c r="FD99" s="5">
        <f t="shared" si="312"/>
        <v>95.88</v>
      </c>
      <c r="FE99" s="173">
        <f t="shared" si="313"/>
        <v>8.9657029987863332E-2</v>
      </c>
      <c r="FF99" s="5">
        <f t="shared" si="314"/>
        <v>8.9657029987863339</v>
      </c>
      <c r="FI99" s="562">
        <f t="shared" si="280"/>
        <v>-50</v>
      </c>
      <c r="FJ99">
        <f t="shared" si="281"/>
        <v>-50</v>
      </c>
      <c r="FL99">
        <f t="shared" si="282"/>
        <v>0.59453032104637338</v>
      </c>
    </row>
    <row r="100" spans="5:168" ht="13">
      <c r="E100" s="170">
        <v>95</v>
      </c>
      <c r="F100" s="217">
        <f t="shared" si="283"/>
        <v>0.56999999999999995</v>
      </c>
      <c r="G100" s="217"/>
      <c r="H100" s="217">
        <f t="shared" si="183"/>
        <v>96.899999999999991</v>
      </c>
      <c r="I100" s="541">
        <f t="shared" si="184"/>
        <v>11.12715634251229</v>
      </c>
      <c r="J100" s="172">
        <f t="shared" si="185"/>
        <v>8.526470903918737</v>
      </c>
      <c r="K100" s="172">
        <f t="shared" si="186"/>
        <v>21.026470903918735</v>
      </c>
      <c r="L100" s="443"/>
      <c r="M100" s="217">
        <f t="shared" si="187"/>
        <v>0.43383606650691209</v>
      </c>
      <c r="N100" s="172">
        <f t="shared" si="188"/>
        <v>162.72231862024015</v>
      </c>
      <c r="O100" s="172">
        <f t="shared" si="284"/>
        <v>96.899999999999991</v>
      </c>
      <c r="P100" s="217">
        <f t="shared" si="189"/>
        <v>0.9571901095308244</v>
      </c>
      <c r="Q100" s="217">
        <f t="shared" si="190"/>
        <v>170</v>
      </c>
      <c r="R100" s="217">
        <f t="shared" si="191"/>
        <v>0.94654151745940629</v>
      </c>
      <c r="S100" s="172">
        <f t="shared" si="192"/>
        <v>428.42718867576133</v>
      </c>
      <c r="T100" s="532">
        <f t="shared" si="193"/>
        <v>170</v>
      </c>
      <c r="U100" s="217">
        <f t="shared" si="194"/>
        <v>40.271021609112005</v>
      </c>
      <c r="V100" s="217">
        <f t="shared" si="195"/>
        <v>1.8095828066715027</v>
      </c>
      <c r="W100" s="217">
        <f t="shared" si="196"/>
        <v>2.3615292928873761</v>
      </c>
      <c r="X100" s="197">
        <f t="shared" si="197"/>
        <v>350</v>
      </c>
      <c r="Y100" s="443">
        <f t="shared" si="198"/>
        <v>228.77473220165578</v>
      </c>
      <c r="AA100" s="217">
        <f t="shared" si="199"/>
        <v>27.584984290517706</v>
      </c>
      <c r="AB100" s="173">
        <f t="shared" si="200"/>
        <v>1.6176085394157469</v>
      </c>
      <c r="AC100" s="173">
        <f t="shared" si="201"/>
        <v>0.3904399287949184</v>
      </c>
      <c r="AD100" s="173"/>
      <c r="AE100" s="173">
        <f t="shared" si="202"/>
        <v>0.78187877983641385</v>
      </c>
      <c r="AF100" s="545">
        <f t="shared" si="203"/>
        <v>2187.0397868551554</v>
      </c>
      <c r="AG100" s="528">
        <f t="shared" si="204"/>
        <v>9.1219190980914952E-2</v>
      </c>
      <c r="AI100" s="173">
        <f t="shared" si="205"/>
        <v>33.32982676302732</v>
      </c>
      <c r="AJ100" s="173">
        <f t="shared" si="206"/>
        <v>40.271021609112005</v>
      </c>
      <c r="AK100" s="173">
        <f t="shared" si="207"/>
        <v>21.153843167243458</v>
      </c>
      <c r="AM100" s="545">
        <f t="shared" si="208"/>
        <v>570</v>
      </c>
      <c r="AN100" s="460">
        <f t="shared" si="209"/>
        <v>228.77473220165578</v>
      </c>
      <c r="AP100">
        <f t="shared" si="210"/>
        <v>570</v>
      </c>
      <c r="AQ100">
        <f t="shared" si="211"/>
        <v>228.77473220165578</v>
      </c>
      <c r="AS100" s="5">
        <f t="shared" si="285"/>
        <v>4.3711120995588795</v>
      </c>
      <c r="AT100" s="5">
        <f t="shared" si="212"/>
        <v>1.8095828066715027</v>
      </c>
      <c r="AU100" s="5">
        <f t="shared" si="286"/>
        <v>2.5615292928873767</v>
      </c>
      <c r="AV100" s="5">
        <f t="shared" si="213"/>
        <v>2.3615292928873761</v>
      </c>
      <c r="AW100" s="173">
        <f t="shared" si="287"/>
        <v>0.41398682199299369</v>
      </c>
      <c r="AX100" s="173">
        <f t="shared" si="214"/>
        <v>92.754151832735488</v>
      </c>
      <c r="AY100" s="173">
        <f t="shared" si="215"/>
        <v>0.58998373386861391</v>
      </c>
      <c r="AZ100" s="173">
        <f t="shared" si="288"/>
        <v>157.21476120118137</v>
      </c>
      <c r="BA100" s="460">
        <f t="shared" si="216"/>
        <v>0.60674247047220964</v>
      </c>
      <c r="BB100" s="5">
        <f t="shared" si="217"/>
        <v>35.691014788023793</v>
      </c>
      <c r="BC100" s="5"/>
      <c r="BD100" s="173">
        <f t="shared" si="289"/>
        <v>14.95978245848587</v>
      </c>
      <c r="BE100" s="173">
        <f t="shared" si="218"/>
        <v>0.8899297293540942</v>
      </c>
      <c r="BF100" s="173"/>
      <c r="BG100" s="528">
        <f t="shared" si="219"/>
        <v>8.9518036482088625</v>
      </c>
      <c r="BH100" s="528">
        <f t="shared" si="220"/>
        <v>4.3586260221882425</v>
      </c>
      <c r="BI100" s="528">
        <f t="shared" si="221"/>
        <v>0.10182448849696819</v>
      </c>
      <c r="BJ100" s="528">
        <f t="shared" si="222"/>
        <v>2.0228832782300775E-2</v>
      </c>
      <c r="BK100">
        <f t="shared" si="223"/>
        <v>5.0072203541305302E-3</v>
      </c>
      <c r="BL100" s="460">
        <f t="shared" si="290"/>
        <v>106.83170885109871</v>
      </c>
      <c r="BM100" s="528">
        <f t="shared" si="224"/>
        <v>-13.973704063694901</v>
      </c>
      <c r="BN100" s="460">
        <f t="shared" si="291"/>
        <v>-13973.704063694902</v>
      </c>
      <c r="BO100" s="528">
        <f t="shared" si="225"/>
        <v>0.49475999999999998</v>
      </c>
      <c r="BP100" s="528"/>
      <c r="BR100" s="460">
        <f t="shared" si="292"/>
        <v>494.76</v>
      </c>
      <c r="BS100" s="528">
        <f t="shared" si="226"/>
        <v>6.713852736156646</v>
      </c>
      <c r="BT100" s="528">
        <f t="shared" si="227"/>
        <v>2.375924769564754E-2</v>
      </c>
      <c r="BU100" s="528">
        <f t="shared" si="228"/>
        <v>1.4534999999999998</v>
      </c>
      <c r="BV100" s="528">
        <f t="shared" si="229"/>
        <v>21.27620274895558</v>
      </c>
      <c r="BW100" s="528">
        <f t="shared" si="230"/>
        <v>9.2754151832735499</v>
      </c>
      <c r="BX100" s="460">
        <f t="shared" si="293"/>
        <v>30551.617932229128</v>
      </c>
      <c r="BY100" s="173">
        <f t="shared" si="231"/>
        <v>17.179505577385328</v>
      </c>
      <c r="BZ100" s="5">
        <f t="shared" si="294"/>
        <v>96.899999999999991</v>
      </c>
      <c r="CA100" s="173">
        <f t="shared" si="295"/>
        <v>0.84940760840051421</v>
      </c>
      <c r="CB100" s="5">
        <f t="shared" si="296"/>
        <v>84.940760840051425</v>
      </c>
      <c r="CE100" s="562">
        <f t="shared" si="232"/>
        <v>-50</v>
      </c>
      <c r="CF100">
        <f t="shared" si="233"/>
        <v>-50</v>
      </c>
      <c r="CG100" s="173">
        <f t="shared" si="234"/>
        <v>0.58127522070527116</v>
      </c>
      <c r="CI100" s="170">
        <v>95</v>
      </c>
      <c r="CJ100" s="217">
        <f t="shared" si="297"/>
        <v>0.56999999999999995</v>
      </c>
      <c r="CK100" s="217"/>
      <c r="CL100" s="217">
        <f t="shared" si="235"/>
        <v>96.899999999999991</v>
      </c>
      <c r="CM100" s="541">
        <f t="shared" si="236"/>
        <v>12.5</v>
      </c>
      <c r="CN100" s="172">
        <f t="shared" si="237"/>
        <v>8.5250000000000004</v>
      </c>
      <c r="CO100" s="443">
        <f t="shared" si="238"/>
        <v>21.024999999999999</v>
      </c>
      <c r="CP100" s="443"/>
      <c r="CQ100" s="217">
        <f t="shared" si="239"/>
        <v>0.40546967895362668</v>
      </c>
      <c r="CR100" s="172">
        <f t="shared" si="240"/>
        <v>170.84633868410626</v>
      </c>
      <c r="CS100" s="172">
        <f t="shared" si="298"/>
        <v>96.899999999999991</v>
      </c>
      <c r="CT100" s="217">
        <f t="shared" si="241"/>
        <v>1.0049784628476839</v>
      </c>
      <c r="CU100" s="217">
        <f t="shared" si="242"/>
        <v>170</v>
      </c>
      <c r="CV100" s="217">
        <f t="shared" si="243"/>
        <v>0.99379823272947732</v>
      </c>
      <c r="CW100" s="172">
        <f t="shared" si="244"/>
        <v>481.25362077646054</v>
      </c>
      <c r="CX100" s="532">
        <f t="shared" si="245"/>
        <v>170</v>
      </c>
      <c r="CY100" s="217">
        <f t="shared" si="246"/>
        <v>38.237137829912015</v>
      </c>
      <c r="CZ100" s="217">
        <f t="shared" si="247"/>
        <v>1.5294855131964804</v>
      </c>
      <c r="DA100" s="217">
        <f t="shared" si="248"/>
        <v>2.2426473800534903</v>
      </c>
      <c r="DB100" s="197">
        <f t="shared" si="249"/>
        <v>350</v>
      </c>
      <c r="DC100" s="443">
        <f t="shared" si="299"/>
        <v>265.10200682204129</v>
      </c>
      <c r="DE100" s="217">
        <f t="shared" si="250"/>
        <v>28.962119925259049</v>
      </c>
      <c r="DF100" s="173">
        <f t="shared" si="251"/>
        <v>1.6986580601324954</v>
      </c>
      <c r="DG100" s="173">
        <f t="shared" si="252"/>
        <v>0.4304714614336958</v>
      </c>
      <c r="DH100" s="173"/>
      <c r="DI100" s="173">
        <f t="shared" si="253"/>
        <v>0.78201368523949166</v>
      </c>
      <c r="DJ100" s="545">
        <f t="shared" si="300"/>
        <v>2186.6624999999995</v>
      </c>
      <c r="DK100" s="528">
        <f t="shared" si="254"/>
        <v>9.1234929944607357E-2</v>
      </c>
      <c r="DM100" s="173">
        <f t="shared" si="255"/>
        <v>33.326951770087135</v>
      </c>
      <c r="DN100" s="173">
        <f t="shared" si="256"/>
        <v>38.237137829912015</v>
      </c>
      <c r="DO100" s="173">
        <f t="shared" si="257"/>
        <v>19.647262590058283</v>
      </c>
      <c r="DQ100" s="545">
        <f t="shared" si="258"/>
        <v>570</v>
      </c>
      <c r="DR100" s="460">
        <f t="shared" si="259"/>
        <v>265.10200682204129</v>
      </c>
      <c r="DT100">
        <f t="shared" si="260"/>
        <v>570</v>
      </c>
      <c r="DU100">
        <f t="shared" si="261"/>
        <v>265.10200682204129</v>
      </c>
      <c r="DW100" s="5">
        <f t="shared" si="301"/>
        <v>3.7721328932499705</v>
      </c>
      <c r="DX100" s="5">
        <f t="shared" si="262"/>
        <v>1.5294855131964804</v>
      </c>
      <c r="DY100" s="5">
        <f t="shared" si="302"/>
        <v>2.2426473800534898</v>
      </c>
      <c r="DZ100" s="5">
        <f t="shared" si="263"/>
        <v>2.2426473800534903</v>
      </c>
      <c r="EA100" s="173">
        <f t="shared" si="303"/>
        <v>0.40546967895362668</v>
      </c>
      <c r="EB100" s="173">
        <f t="shared" si="264"/>
        <v>96.899999999999991</v>
      </c>
      <c r="EC100" s="173">
        <f t="shared" si="265"/>
        <v>0.56832844574780039</v>
      </c>
      <c r="ED100" s="173">
        <f t="shared" si="304"/>
        <v>170.50000000000006</v>
      </c>
      <c r="EE100" s="460">
        <f t="shared" si="266"/>
        <v>0.5128274956011728</v>
      </c>
      <c r="EF100" s="5">
        <f t="shared" si="267"/>
        <v>27.81600398427944</v>
      </c>
      <c r="EG100" s="5"/>
      <c r="EH100" s="173">
        <f t="shared" si="305"/>
        <v>14.057365624646222</v>
      </c>
      <c r="EI100" s="173">
        <f t="shared" si="268"/>
        <v>0.85110228748210826</v>
      </c>
      <c r="EJ100" s="173"/>
      <c r="EK100" s="528">
        <f t="shared" si="269"/>
        <v>7.9043811321994104</v>
      </c>
      <c r="EL100" s="528">
        <f t="shared" si="270"/>
        <v>5.8609375000000012</v>
      </c>
      <c r="EM100" s="528">
        <f t="shared" si="271"/>
        <v>5.3020401364408255E-2</v>
      </c>
      <c r="EN100" s="528">
        <f t="shared" si="272"/>
        <v>2.3437701560887522E-2</v>
      </c>
      <c r="EO100">
        <f t="shared" si="273"/>
        <v>5.6249999999999998E-3</v>
      </c>
      <c r="EP100" s="460">
        <f t="shared" si="306"/>
        <v>58.645401364408251</v>
      </c>
      <c r="EQ100" s="528">
        <f t="shared" si="274"/>
        <v>-18.200582205116646</v>
      </c>
      <c r="ER100" s="460">
        <f t="shared" si="307"/>
        <v>-18200.582205116647</v>
      </c>
      <c r="ES100" s="528">
        <f t="shared" si="308"/>
        <v>0.49475999999999998</v>
      </c>
      <c r="ET100" s="528"/>
      <c r="EV100" s="460">
        <f t="shared" si="309"/>
        <v>494.76</v>
      </c>
      <c r="EW100" s="528">
        <f t="shared" si="275"/>
        <v>5.9282858491495576</v>
      </c>
      <c r="EX100" s="528">
        <f t="shared" si="276"/>
        <v>2.1731253112718316E-2</v>
      </c>
      <c r="EY100" s="528">
        <f t="shared" si="277"/>
        <v>517.26844275254109</v>
      </c>
      <c r="EZ100" s="528">
        <f t="shared" si="278"/>
        <v>1001.2363241065715</v>
      </c>
      <c r="FA100" s="528">
        <f t="shared" si="279"/>
        <v>9.69</v>
      </c>
      <c r="FB100" s="460">
        <f t="shared" si="310"/>
        <v>1010926.3241065715</v>
      </c>
      <c r="FC100" s="173">
        <f t="shared" si="311"/>
        <v>993.2205019014549</v>
      </c>
      <c r="FD100" s="5">
        <f t="shared" si="312"/>
        <v>96.899999999999991</v>
      </c>
      <c r="FE100" s="173">
        <f t="shared" si="313"/>
        <v>8.8889255665755382E-2</v>
      </c>
      <c r="FF100" s="5">
        <f t="shared" si="314"/>
        <v>8.8889255665755389</v>
      </c>
      <c r="FI100" s="562">
        <f t="shared" si="280"/>
        <v>-50</v>
      </c>
      <c r="FJ100">
        <f t="shared" si="281"/>
        <v>-50</v>
      </c>
      <c r="FL100">
        <f t="shared" si="282"/>
        <v>0.59453032104637327</v>
      </c>
    </row>
    <row r="101" spans="5:168" ht="13">
      <c r="E101" s="170">
        <v>96</v>
      </c>
      <c r="F101" s="217">
        <f t="shared" si="283"/>
        <v>0.57599999999999996</v>
      </c>
      <c r="G101" s="217"/>
      <c r="H101" s="217">
        <f>F101*Vout</f>
        <v>97.919999999999987</v>
      </c>
      <c r="I101" s="541">
        <f t="shared" si="184"/>
        <v>11.113034811215247</v>
      </c>
      <c r="J101" s="172">
        <f t="shared" si="185"/>
        <v>8.5264860341308406</v>
      </c>
      <c r="K101" s="172">
        <f t="shared" si="186"/>
        <v>21.026486034130841</v>
      </c>
      <c r="L101" s="443"/>
      <c r="M101" s="217">
        <f t="shared" si="187"/>
        <v>0.4341484473674565</v>
      </c>
      <c r="N101" s="172">
        <f>M101*I101*(Isw_max+VIN_nom/Lmag*ILIM_delay)*0.5*Efficiency</f>
        <v>162.63282534763093</v>
      </c>
      <c r="O101" s="172">
        <f t="shared" si="284"/>
        <v>97.919999999999987</v>
      </c>
      <c r="P101" s="217">
        <f>N101/Vout</f>
        <v>0.95666367851547607</v>
      </c>
      <c r="Q101" s="217">
        <f t="shared" si="190"/>
        <v>170</v>
      </c>
      <c r="R101" s="217">
        <f>Isw_max/2*I101*Nps*(Q101+Vfwd1+F101/FL101*Rdcr_sec)/Q101/(I101+Nps*(Q101+Vfwd1+F101/FL101*Rdcr_sec))</f>
        <v>0.94602094290776362</v>
      </c>
      <c r="S101" s="172">
        <f t="shared" si="192"/>
        <v>421.11832469039916</v>
      </c>
      <c r="T101" s="532">
        <f>MIN(Vout, S101)</f>
        <v>170</v>
      </c>
      <c r="U101" s="217">
        <f t="shared" si="194"/>
        <v>40.717392914819591</v>
      </c>
      <c r="V101" s="217">
        <f t="shared" si="195"/>
        <v>1.8319655074655079</v>
      </c>
      <c r="W101" s="217">
        <f t="shared" si="196"/>
        <v>2.3877006748050205</v>
      </c>
      <c r="X101" s="197">
        <f t="shared" si="197"/>
        <v>350</v>
      </c>
      <c r="Y101" s="443">
        <f t="shared" si="198"/>
        <v>226.26143214424101</v>
      </c>
      <c r="AA101" s="217">
        <f t="shared" si="199"/>
        <v>27.569813180211789</v>
      </c>
      <c r="AB101" s="173">
        <f>L*AA101/J101*1000000</f>
        <v>1.6167160228640516</v>
      </c>
      <c r="AC101" s="173">
        <f>0.5*AB101*AA101*Nps*X101/1000</f>
        <v>0.39000988876339798</v>
      </c>
      <c r="AD101" s="173"/>
      <c r="AE101" s="173">
        <f t="shared" si="202"/>
        <v>0.78187739239594523</v>
      </c>
      <c r="AF101" s="545">
        <f>MAX(12, F101/(0.5*AE101/1000000*Isw_min*Nps)/1000)</f>
        <v>2210.0651800467135</v>
      </c>
      <c r="AG101" s="528">
        <f t="shared" si="204"/>
        <v>9.1219029112860298E-2</v>
      </c>
      <c r="AI101" s="173">
        <f t="shared" si="205"/>
        <v>33.504817412798978</v>
      </c>
      <c r="AJ101" s="173">
        <f>MAX(IF(F101&gt;AC101,U101,AI101),Isw_min)</f>
        <v>40.717392914819591</v>
      </c>
      <c r="AK101" s="173">
        <f>IF(F101&gt;AG101, (AJ101-Isw_min)/1.08*0.8+1.2, AF101*0.2/350+1)</f>
        <v>21.484488578878707</v>
      </c>
      <c r="AM101" s="545">
        <f t="shared" si="208"/>
        <v>576</v>
      </c>
      <c r="AN101" s="460">
        <f t="shared" si="209"/>
        <v>226.26143214424101</v>
      </c>
      <c r="AP101">
        <f t="shared" si="210"/>
        <v>576</v>
      </c>
      <c r="AQ101">
        <f t="shared" si="211"/>
        <v>226.26143214424101</v>
      </c>
      <c r="AS101" s="5">
        <f t="shared" si="285"/>
        <v>4.4196661822705288</v>
      </c>
      <c r="AT101" s="5">
        <f t="shared" si="212"/>
        <v>1.8319655074655079</v>
      </c>
      <c r="AU101" s="5">
        <f t="shared" si="286"/>
        <v>2.5877006748050206</v>
      </c>
      <c r="AV101" s="5">
        <f t="shared" si="213"/>
        <v>2.3877006748050205</v>
      </c>
      <c r="AW101" s="173">
        <f t="shared" si="287"/>
        <v>0.4145031393579971</v>
      </c>
      <c r="AX101" s="173">
        <f t="shared" si="214"/>
        <v>93.780051332297631</v>
      </c>
      <c r="AY101" s="173">
        <f t="shared" si="215"/>
        <v>0.59599764312884507</v>
      </c>
      <c r="AZ101" s="173">
        <f t="shared" si="288"/>
        <v>157.34970165313874</v>
      </c>
      <c r="BA101" s="460">
        <f t="shared" si="216"/>
        <v>0.62071301900007791</v>
      </c>
      <c r="BB101" s="5">
        <f t="shared" si="217"/>
        <v>36.481505458248279</v>
      </c>
      <c r="BC101" s="5"/>
      <c r="BD101" s="173">
        <f t="shared" si="289"/>
        <v>15.135028656689711</v>
      </c>
      <c r="BE101" s="173">
        <f t="shared" si="218"/>
        <v>0.89939739477021718</v>
      </c>
      <c r="BF101" s="173"/>
      <c r="BG101" s="528">
        <f t="shared" si="219"/>
        <v>9.1627636975527498</v>
      </c>
      <c r="BH101" s="528">
        <f t="shared" si="220"/>
        <v>4.3585267096284319</v>
      </c>
      <c r="BI101" s="528">
        <f t="shared" si="221"/>
        <v>0.10057804687417467</v>
      </c>
      <c r="BJ101" s="528">
        <f t="shared" si="222"/>
        <v>2.0006629311373519E-2</v>
      </c>
      <c r="BK101">
        <f t="shared" si="223"/>
        <v>5.0008656650468606E-3</v>
      </c>
      <c r="BL101" s="460">
        <f t="shared" si="290"/>
        <v>105.57891253922152</v>
      </c>
      <c r="BM101" s="528">
        <f t="shared" si="224"/>
        <v>-13.605993795778492</v>
      </c>
      <c r="BN101" s="460">
        <f t="shared" si="291"/>
        <v>-13605.993795778491</v>
      </c>
      <c r="BO101" s="528">
        <f t="shared" si="225"/>
        <v>0.49996799999999991</v>
      </c>
      <c r="BP101" s="528"/>
      <c r="BR101" s="460">
        <f t="shared" si="292"/>
        <v>499.9679999999999</v>
      </c>
      <c r="BS101" s="528">
        <f t="shared" si="226"/>
        <v>6.8720727731645628</v>
      </c>
      <c r="BT101" s="528">
        <f t="shared" si="227"/>
        <v>2.4267470211583618E-2</v>
      </c>
      <c r="BU101" s="528">
        <f t="shared" si="228"/>
        <v>1.4687999999999997</v>
      </c>
      <c r="BV101" s="528">
        <f>(BU101+(BS101+BT101)*(1+Ltc*(Ta-25)))/(1-(BS101+BT101)*Ltc*ThetaCa)</f>
        <v>22.352048342027469</v>
      </c>
      <c r="BW101" s="528">
        <f t="shared" si="230"/>
        <v>9.3780051332297649</v>
      </c>
      <c r="BX101" s="460">
        <f t="shared" si="293"/>
        <v>31730.053475257235</v>
      </c>
      <c r="BY101" s="173">
        <f t="shared" si="231"/>
        <v>18.729606592017966</v>
      </c>
      <c r="BZ101" s="5">
        <f t="shared" si="294"/>
        <v>97.919999999999987</v>
      </c>
      <c r="CA101" s="173">
        <f t="shared" si="295"/>
        <v>0.83943703592996433</v>
      </c>
      <c r="CB101" s="5">
        <f t="shared" si="296"/>
        <v>83.943703592996428</v>
      </c>
      <c r="CE101" s="562">
        <f t="shared" si="232"/>
        <v>-50</v>
      </c>
      <c r="CF101">
        <f t="shared" si="233"/>
        <v>-50</v>
      </c>
      <c r="CG101" s="173">
        <f t="shared" si="234"/>
        <v>0.58141329466715785</v>
      </c>
      <c r="CI101" s="170">
        <v>96</v>
      </c>
      <c r="CJ101" s="217">
        <f t="shared" si="297"/>
        <v>0.57599999999999996</v>
      </c>
      <c r="CK101" s="217"/>
      <c r="CL101" s="217">
        <f t="shared" si="235"/>
        <v>97.919999999999987</v>
      </c>
      <c r="CM101" s="541">
        <f t="shared" si="236"/>
        <v>12.5</v>
      </c>
      <c r="CN101" s="172">
        <f t="shared" si="237"/>
        <v>8.5250000000000004</v>
      </c>
      <c r="CO101" s="443">
        <f t="shared" si="238"/>
        <v>21.024999999999999</v>
      </c>
      <c r="CP101" s="443"/>
      <c r="CQ101" s="217">
        <f t="shared" si="239"/>
        <v>0.40546967895362668</v>
      </c>
      <c r="CR101" s="172">
        <f t="shared" si="240"/>
        <v>170.84633868410626</v>
      </c>
      <c r="CS101" s="172">
        <f t="shared" si="298"/>
        <v>97.919999999999987</v>
      </c>
      <c r="CT101" s="217">
        <f t="shared" si="241"/>
        <v>1.0049784628476839</v>
      </c>
      <c r="CU101" s="217">
        <f t="shared" si="242"/>
        <v>170</v>
      </c>
      <c r="CV101" s="217">
        <f t="shared" si="243"/>
        <v>0.99379823272947732</v>
      </c>
      <c r="CW101" s="172">
        <f t="shared" si="244"/>
        <v>473.64326302853459</v>
      </c>
      <c r="CX101" s="532">
        <f t="shared" si="245"/>
        <v>170</v>
      </c>
      <c r="CY101" s="217">
        <f t="shared" si="246"/>
        <v>38.639634017595299</v>
      </c>
      <c r="CZ101" s="217">
        <f t="shared" si="247"/>
        <v>1.5455853607038119</v>
      </c>
      <c r="DA101" s="217">
        <f t="shared" si="248"/>
        <v>2.2662541945803691</v>
      </c>
      <c r="DB101" s="197">
        <f t="shared" si="249"/>
        <v>350</v>
      </c>
      <c r="DC101" s="443">
        <f t="shared" si="299"/>
        <v>262.34052758431164</v>
      </c>
      <c r="DE101" s="217">
        <f t="shared" si="250"/>
        <v>28.962119925259049</v>
      </c>
      <c r="DF101" s="173">
        <f t="shared" si="251"/>
        <v>1.6986580601324954</v>
      </c>
      <c r="DG101" s="173">
        <f t="shared" si="252"/>
        <v>0.4304714614336958</v>
      </c>
      <c r="DH101" s="173"/>
      <c r="DI101" s="173">
        <f t="shared" si="253"/>
        <v>0.78201368523949166</v>
      </c>
      <c r="DJ101" s="545">
        <f t="shared" si="300"/>
        <v>2209.6799999999998</v>
      </c>
      <c r="DK101" s="528">
        <f t="shared" si="254"/>
        <v>9.1234929944607357E-2</v>
      </c>
      <c r="DM101" s="173">
        <f t="shared" si="255"/>
        <v>33.501897600839612</v>
      </c>
      <c r="DN101" s="173">
        <f t="shared" si="256"/>
        <v>38.639634017595299</v>
      </c>
      <c r="DO101" s="173">
        <f t="shared" si="257"/>
        <v>19.94540791426812</v>
      </c>
      <c r="DQ101" s="545">
        <f t="shared" si="258"/>
        <v>576</v>
      </c>
      <c r="DR101" s="460">
        <f t="shared" si="259"/>
        <v>262.34052758431164</v>
      </c>
      <c r="DT101">
        <f t="shared" si="260"/>
        <v>576</v>
      </c>
      <c r="DU101">
        <f t="shared" si="261"/>
        <v>262.34052758431164</v>
      </c>
      <c r="DW101" s="5">
        <f t="shared" si="301"/>
        <v>3.8118395552841817</v>
      </c>
      <c r="DX101" s="5">
        <f t="shared" si="262"/>
        <v>1.5455853607038119</v>
      </c>
      <c r="DY101" s="5">
        <f t="shared" si="302"/>
        <v>2.2662541945803696</v>
      </c>
      <c r="DZ101" s="5">
        <f t="shared" si="263"/>
        <v>2.2662541945803691</v>
      </c>
      <c r="EA101" s="173">
        <f t="shared" si="303"/>
        <v>0.40546967895362657</v>
      </c>
      <c r="EB101" s="173">
        <f t="shared" si="264"/>
        <v>97.919999999999973</v>
      </c>
      <c r="EC101" s="173">
        <f t="shared" si="265"/>
        <v>0.57431085043988273</v>
      </c>
      <c r="ED101" s="173">
        <f t="shared" si="304"/>
        <v>170.49999999999994</v>
      </c>
      <c r="EE101" s="460">
        <f t="shared" si="266"/>
        <v>0.52368068692082104</v>
      </c>
      <c r="EF101" s="5">
        <f t="shared" si="267"/>
        <v>28.404686173863649</v>
      </c>
      <c r="EG101" s="5"/>
      <c r="EH101" s="173">
        <f t="shared" si="305"/>
        <v>14.205337894379337</v>
      </c>
      <c r="EI101" s="173">
        <f t="shared" si="268"/>
        <v>0.86006125892928853</v>
      </c>
      <c r="EJ101" s="173"/>
      <c r="EK101" s="528">
        <f t="shared" si="269"/>
        <v>8.0716649877395827</v>
      </c>
      <c r="EL101" s="528">
        <f t="shared" si="270"/>
        <v>5.8609375000000004</v>
      </c>
      <c r="EM101" s="528">
        <f t="shared" si="271"/>
        <v>5.2468105516862325E-2</v>
      </c>
      <c r="EN101" s="528">
        <f t="shared" si="272"/>
        <v>2.3193558836294939E-2</v>
      </c>
      <c r="EO101">
        <f t="shared" si="273"/>
        <v>5.6249999999999998E-3</v>
      </c>
      <c r="EP101" s="460">
        <f t="shared" si="306"/>
        <v>58.093105516862323</v>
      </c>
      <c r="EQ101" s="528">
        <f t="shared" si="274"/>
        <v>-17.643006899777053</v>
      </c>
      <c r="ER101" s="460">
        <f t="shared" si="307"/>
        <v>-17643.006899777054</v>
      </c>
      <c r="ES101" s="528">
        <f t="shared" si="308"/>
        <v>0.49996799999999991</v>
      </c>
      <c r="ET101" s="528"/>
      <c r="EV101" s="460">
        <f t="shared" si="309"/>
        <v>499.9679999999999</v>
      </c>
      <c r="EW101" s="528">
        <f t="shared" si="275"/>
        <v>6.0537487408046875</v>
      </c>
      <c r="EX101" s="528">
        <f t="shared" si="276"/>
        <v>2.2191161073330981E-2</v>
      </c>
      <c r="EY101" s="528">
        <f t="shared" si="277"/>
        <v>517.2684427525403</v>
      </c>
      <c r="EZ101" s="528">
        <f t="shared" si="278"/>
        <v>1021.1661321169197</v>
      </c>
      <c r="FA101" s="528">
        <f t="shared" si="279"/>
        <v>9.7919999999999998</v>
      </c>
      <c r="FB101" s="460">
        <f t="shared" si="310"/>
        <v>1030958.1321169196</v>
      </c>
      <c r="FC101" s="173">
        <f t="shared" si="311"/>
        <v>1013.8150932171427</v>
      </c>
      <c r="FD101" s="5">
        <f t="shared" si="312"/>
        <v>97.919999999999987</v>
      </c>
      <c r="FE101" s="173">
        <f t="shared" si="313"/>
        <v>8.8078536512361735E-2</v>
      </c>
      <c r="FF101" s="5">
        <f t="shared" si="314"/>
        <v>8.807853651236174</v>
      </c>
      <c r="FI101" s="562">
        <f t="shared" si="280"/>
        <v>-50</v>
      </c>
      <c r="FJ101">
        <f t="shared" si="281"/>
        <v>-50</v>
      </c>
      <c r="FL101">
        <f t="shared" si="282"/>
        <v>0.59453032104637349</v>
      </c>
    </row>
    <row r="102" spans="5:168" ht="13">
      <c r="E102" s="170">
        <v>97</v>
      </c>
      <c r="F102" s="217">
        <f>IF(PLOT_TYPE=1, E102/100*Iout_max, min_I*EXP(N102*rr/100))</f>
        <v>0.58199999999999996</v>
      </c>
      <c r="G102" s="217"/>
      <c r="H102" s="217">
        <f>F102*Vout</f>
        <v>98.94</v>
      </c>
      <c r="I102" s="541">
        <f t="shared" si="184"/>
        <v>11.098913126702515</v>
      </c>
      <c r="J102" s="172">
        <f t="shared" si="185"/>
        <v>8.5265011645071045</v>
      </c>
      <c r="K102" s="172">
        <f t="shared" si="186"/>
        <v>21.026501164507103</v>
      </c>
      <c r="L102" s="443"/>
      <c r="M102" s="217">
        <f t="shared" si="187"/>
        <v>0.43446128068803397</v>
      </c>
      <c r="N102" s="172">
        <f>M102*I102*(Isw_max+VIN_nom/Lmag*ILIM_delay)*0.5*Efficiency</f>
        <v>162.54320171330735</v>
      </c>
      <c r="O102" s="172">
        <f t="shared" si="284"/>
        <v>98.94</v>
      </c>
      <c r="P102" s="217">
        <f>N102/Vout</f>
        <v>0.9561364806665138</v>
      </c>
      <c r="Q102" s="217">
        <f t="shared" si="190"/>
        <v>170</v>
      </c>
      <c r="R102" s="217">
        <f>Isw_max/2*I102*Nps*(Q102+Vfwd1+F102/FL102*Rdcr_sec)/Q102/(I102+Nps*(Q102+Vfwd1+F102/FL102*Rdcr_sec))</f>
        <v>0.94549961005341299</v>
      </c>
      <c r="S102" s="172">
        <f t="shared" si="192"/>
        <v>413.96610794711631</v>
      </c>
      <c r="T102" s="532">
        <f>MIN(Vout, S102)</f>
        <v>170</v>
      </c>
      <c r="U102" s="217">
        <f t="shared" si="194"/>
        <v>41.164290268794382</v>
      </c>
      <c r="V102" s="217">
        <f t="shared" si="195"/>
        <v>1.8544288886160643</v>
      </c>
      <c r="W102" s="217">
        <f t="shared" si="196"/>
        <v>2.4139028116331689</v>
      </c>
      <c r="X102" s="197">
        <f t="shared" si="197"/>
        <v>350</v>
      </c>
      <c r="Y102" s="443">
        <f t="shared" si="198"/>
        <v>223.7971724310938</v>
      </c>
      <c r="AA102" s="217">
        <f t="shared" si="199"/>
        <v>27.554619971070561</v>
      </c>
      <c r="AB102" s="173">
        <f>L*AA102/J102*1000000</f>
        <v>1.6158222135575948</v>
      </c>
      <c r="AC102" s="173">
        <f>0.5*AB102*AA102*Nps*X102/1000</f>
        <v>0.38957946155969353</v>
      </c>
      <c r="AD102" s="173"/>
      <c r="AE102" s="173">
        <f t="shared" si="202"/>
        <v>0.78187600494534726</v>
      </c>
      <c r="AF102" s="545">
        <f>MAX(12, F102/(0.5*AE102/1000000*Isw_min*Nps)/1000)</f>
        <v>2233.0906549844108</v>
      </c>
      <c r="AG102" s="528">
        <f t="shared" si="204"/>
        <v>9.1218867243623838E-2</v>
      </c>
      <c r="AI102" s="173">
        <f t="shared" si="205"/>
        <v>33.678899465368978</v>
      </c>
      <c r="AJ102" s="173">
        <f>MAX(IF(F102&gt;AC102,U102,AI102),Isw_min)</f>
        <v>41.164290268794382</v>
      </c>
      <c r="AK102" s="173">
        <f>IF(F102&gt;AG102, (AJ102-Isw_min)/1.08*0.8+1.2, AF102*0.2/350+1)</f>
        <v>21.815523655897071</v>
      </c>
      <c r="AM102" s="545">
        <f t="shared" si="208"/>
        <v>582</v>
      </c>
      <c r="AN102" s="460">
        <f t="shared" si="209"/>
        <v>223.7971724310938</v>
      </c>
      <c r="AP102">
        <f t="shared" si="210"/>
        <v>582</v>
      </c>
      <c r="AQ102">
        <f t="shared" si="211"/>
        <v>223.7971724310938</v>
      </c>
      <c r="AS102" s="5">
        <f t="shared" si="285"/>
        <v>4.4683317002492329</v>
      </c>
      <c r="AT102" s="5">
        <f t="shared" si="212"/>
        <v>1.8544288886160643</v>
      </c>
      <c r="AU102" s="5">
        <f t="shared" si="286"/>
        <v>2.6139028116331686</v>
      </c>
      <c r="AV102" s="5">
        <f t="shared" si="213"/>
        <v>2.4139028116331689</v>
      </c>
      <c r="AW102" s="173">
        <f t="shared" si="287"/>
        <v>0.41501594174681095</v>
      </c>
      <c r="AX102" s="173">
        <f t="shared" si="214"/>
        <v>94.806009658987762</v>
      </c>
      <c r="AY102" s="173">
        <f t="shared" si="215"/>
        <v>0.60201133941378993</v>
      </c>
      <c r="AZ102" s="173">
        <f t="shared" si="288"/>
        <v>157.48209950879888</v>
      </c>
      <c r="BA102" s="460">
        <f t="shared" si="216"/>
        <v>0.63486918422032312</v>
      </c>
      <c r="BB102" s="5">
        <f t="shared" si="217"/>
        <v>37.282143392694024</v>
      </c>
      <c r="BC102" s="5"/>
      <c r="BD102" s="173">
        <f t="shared" si="289"/>
        <v>15.310606481610083</v>
      </c>
      <c r="BE102" s="173">
        <f t="shared" si="218"/>
        <v>0.90887053571516163</v>
      </c>
      <c r="BF102" s="173"/>
      <c r="BG102" s="528">
        <f t="shared" si="219"/>
        <v>9.3765868333888278</v>
      </c>
      <c r="BH102" s="528">
        <f t="shared" si="220"/>
        <v>4.3583766257895098</v>
      </c>
      <c r="BI102" s="528">
        <f t="shared" si="221"/>
        <v>9.9356214992574937E-2</v>
      </c>
      <c r="BJ102" s="528">
        <f t="shared" si="222"/>
        <v>1.9788761483233601E-2</v>
      </c>
      <c r="BK102">
        <f t="shared" si="223"/>
        <v>4.9945109070161312E-3</v>
      </c>
      <c r="BL102" s="460">
        <f t="shared" si="290"/>
        <v>104.35072589959107</v>
      </c>
      <c r="BM102" s="528">
        <f t="shared" si="224"/>
        <v>-13.263893896833819</v>
      </c>
      <c r="BN102" s="460">
        <f t="shared" si="291"/>
        <v>-13263.893896833819</v>
      </c>
      <c r="BO102" s="528">
        <f t="shared" si="225"/>
        <v>0.50517599999999996</v>
      </c>
      <c r="BP102" s="528"/>
      <c r="BR102" s="460">
        <f t="shared" si="292"/>
        <v>505.17599999999993</v>
      </c>
      <c r="BS102" s="528">
        <f t="shared" si="226"/>
        <v>7.03244012504162</v>
      </c>
      <c r="BT102" s="528">
        <f t="shared" si="227"/>
        <v>2.4781369520734946E-2</v>
      </c>
      <c r="BU102" s="528">
        <f t="shared" si="228"/>
        <v>1.4841</v>
      </c>
      <c r="BV102" s="528">
        <f>(BU102+(BS102+BT102)*(1+Ltc*(Ta-25)))/(1-(BS102+BT102)*Ltc*ThetaCa)</f>
        <v>23.50604255490077</v>
      </c>
      <c r="BW102" s="528">
        <f t="shared" si="230"/>
        <v>9.4806009658987787</v>
      </c>
      <c r="BX102" s="460">
        <f t="shared" si="293"/>
        <v>32986.643520799546</v>
      </c>
      <c r="BY102" s="173">
        <f t="shared" si="231"/>
        <v>20.332276349865321</v>
      </c>
      <c r="BZ102" s="5">
        <f t="shared" si="294"/>
        <v>98.94</v>
      </c>
      <c r="CA102" s="173">
        <f t="shared" si="295"/>
        <v>0.82953057515038964</v>
      </c>
      <c r="CB102" s="5">
        <f t="shared" si="296"/>
        <v>82.953057515038964</v>
      </c>
      <c r="CE102" s="562">
        <f t="shared" si="232"/>
        <v>-50</v>
      </c>
      <c r="CF102">
        <f t="shared" si="233"/>
        <v>-50</v>
      </c>
      <c r="CG102" s="173">
        <f t="shared" si="234"/>
        <v>0.58154852174323213</v>
      </c>
      <c r="CI102" s="170">
        <v>97</v>
      </c>
      <c r="CJ102" s="217">
        <f t="shared" si="297"/>
        <v>0.58199999999999996</v>
      </c>
      <c r="CK102" s="217"/>
      <c r="CL102" s="217">
        <f t="shared" si="235"/>
        <v>98.94</v>
      </c>
      <c r="CM102" s="541">
        <f t="shared" si="236"/>
        <v>12.5</v>
      </c>
      <c r="CN102" s="172">
        <f t="shared" si="237"/>
        <v>8.5250000000000004</v>
      </c>
      <c r="CO102" s="443">
        <f t="shared" si="238"/>
        <v>21.024999999999999</v>
      </c>
      <c r="CP102" s="443"/>
      <c r="CQ102" s="217">
        <f t="shared" si="239"/>
        <v>0.40546967895362668</v>
      </c>
      <c r="CR102" s="172">
        <f t="shared" si="240"/>
        <v>170.84633868410626</v>
      </c>
      <c r="CS102" s="172">
        <f t="shared" si="298"/>
        <v>98.94</v>
      </c>
      <c r="CT102" s="217">
        <f t="shared" si="241"/>
        <v>1.0049784628476839</v>
      </c>
      <c r="CU102" s="217">
        <f t="shared" si="242"/>
        <v>170</v>
      </c>
      <c r="CV102" s="217">
        <f t="shared" si="243"/>
        <v>0.99379823272947732</v>
      </c>
      <c r="CW102" s="172">
        <f t="shared" si="244"/>
        <v>466.18995145321691</v>
      </c>
      <c r="CX102" s="532">
        <f t="shared" si="245"/>
        <v>170</v>
      </c>
      <c r="CY102" s="217">
        <f t="shared" si="246"/>
        <v>39.042130205278582</v>
      </c>
      <c r="CZ102" s="217">
        <f t="shared" si="247"/>
        <v>1.5616852082111432</v>
      </c>
      <c r="DA102" s="217">
        <f t="shared" si="248"/>
        <v>2.289861009107248</v>
      </c>
      <c r="DB102" s="197">
        <f t="shared" si="249"/>
        <v>350</v>
      </c>
      <c r="DC102" s="443">
        <f t="shared" si="299"/>
        <v>259.63598606282392</v>
      </c>
      <c r="DE102" s="217">
        <f t="shared" si="250"/>
        <v>28.962119925259049</v>
      </c>
      <c r="DF102" s="173">
        <f t="shared" si="251"/>
        <v>1.6986580601324954</v>
      </c>
      <c r="DG102" s="173">
        <f t="shared" si="252"/>
        <v>0.4304714614336958</v>
      </c>
      <c r="DH102" s="173"/>
      <c r="DI102" s="173">
        <f t="shared" si="253"/>
        <v>0.78201368523949166</v>
      </c>
      <c r="DJ102" s="545">
        <f t="shared" si="300"/>
        <v>2232.6975000000002</v>
      </c>
      <c r="DK102" s="528">
        <f t="shared" si="254"/>
        <v>9.1234929944607357E-2</v>
      </c>
      <c r="DM102" s="173">
        <f t="shared" si="255"/>
        <v>33.675934603639014</v>
      </c>
      <c r="DN102" s="173">
        <f t="shared" si="256"/>
        <v>39.042130205278582</v>
      </c>
      <c r="DO102" s="173">
        <f t="shared" si="257"/>
        <v>20.243553238477958</v>
      </c>
      <c r="DQ102" s="545">
        <f t="shared" si="258"/>
        <v>582</v>
      </c>
      <c r="DR102" s="460">
        <f t="shared" si="259"/>
        <v>259.63598606282392</v>
      </c>
      <c r="DT102">
        <f t="shared" si="260"/>
        <v>582</v>
      </c>
      <c r="DU102">
        <f t="shared" si="261"/>
        <v>259.63598606282392</v>
      </c>
      <c r="DW102" s="5">
        <f t="shared" si="301"/>
        <v>3.8515462173183912</v>
      </c>
      <c r="DX102" s="5">
        <f t="shared" si="262"/>
        <v>1.5616852082111432</v>
      </c>
      <c r="DY102" s="5">
        <f t="shared" si="302"/>
        <v>2.289861009107248</v>
      </c>
      <c r="DZ102" s="5">
        <f t="shared" si="263"/>
        <v>2.289861009107248</v>
      </c>
      <c r="EA102" s="173">
        <f t="shared" si="303"/>
        <v>0.40546967895362662</v>
      </c>
      <c r="EB102" s="173">
        <f t="shared" si="264"/>
        <v>98.939999999999969</v>
      </c>
      <c r="EC102" s="173">
        <f t="shared" si="265"/>
        <v>0.58029325513196472</v>
      </c>
      <c r="ED102" s="173">
        <f t="shared" si="304"/>
        <v>170.49999999999997</v>
      </c>
      <c r="EE102" s="460">
        <f t="shared" si="266"/>
        <v>0.53464752422287376</v>
      </c>
      <c r="EF102" s="5">
        <f t="shared" si="267"/>
        <v>28.999532574857103</v>
      </c>
      <c r="EG102" s="5"/>
      <c r="EH102" s="173">
        <f t="shared" si="305"/>
        <v>14.353310164112457</v>
      </c>
      <c r="EI102" s="173">
        <f t="shared" si="268"/>
        <v>0.86902023037646847</v>
      </c>
      <c r="EJ102" s="173"/>
      <c r="EK102" s="528">
        <f t="shared" si="269"/>
        <v>8.2407005066885599</v>
      </c>
      <c r="EL102" s="528">
        <f t="shared" si="270"/>
        <v>5.8609375000000004</v>
      </c>
      <c r="EM102" s="528">
        <f t="shared" si="271"/>
        <v>5.192719721256478E-2</v>
      </c>
      <c r="EN102" s="528">
        <f t="shared" si="272"/>
        <v>2.2954449982312521E-2</v>
      </c>
      <c r="EO102">
        <f t="shared" si="273"/>
        <v>5.6249999999999998E-3</v>
      </c>
      <c r="EP102" s="460">
        <f t="shared" si="306"/>
        <v>57.552197212564778</v>
      </c>
      <c r="EQ102" s="528">
        <f t="shared" si="274"/>
        <v>-17.126615359568355</v>
      </c>
      <c r="ER102" s="460">
        <f t="shared" si="307"/>
        <v>-17126.615359568354</v>
      </c>
      <c r="ES102" s="528">
        <f t="shared" si="308"/>
        <v>0.50517599999999996</v>
      </c>
      <c r="ET102" s="528"/>
      <c r="EV102" s="460">
        <f t="shared" si="309"/>
        <v>505.17599999999993</v>
      </c>
      <c r="EW102" s="528">
        <f t="shared" si="275"/>
        <v>6.1805253800164195</v>
      </c>
      <c r="EX102" s="528">
        <f t="shared" si="276"/>
        <v>2.265588482410711E-2</v>
      </c>
      <c r="EY102" s="528">
        <f t="shared" si="277"/>
        <v>517.26844275253939</v>
      </c>
      <c r="EZ102" s="528">
        <f t="shared" si="278"/>
        <v>1042.1142993003086</v>
      </c>
      <c r="FA102" s="528">
        <f t="shared" si="279"/>
        <v>9.8940000000000001</v>
      </c>
      <c r="FB102" s="460">
        <f t="shared" si="310"/>
        <v>1052008.2993003086</v>
      </c>
      <c r="FC102" s="173">
        <f t="shared" si="311"/>
        <v>1035.3868599407404</v>
      </c>
      <c r="FD102" s="5">
        <f t="shared" si="312"/>
        <v>98.94</v>
      </c>
      <c r="FE102" s="173">
        <f t="shared" si="313"/>
        <v>8.7223536261116855E-2</v>
      </c>
      <c r="FF102" s="5">
        <f t="shared" si="314"/>
        <v>8.7223536261116852</v>
      </c>
      <c r="FI102" s="562">
        <f t="shared" si="280"/>
        <v>-50</v>
      </c>
      <c r="FJ102">
        <f t="shared" si="281"/>
        <v>-50</v>
      </c>
      <c r="FL102">
        <f t="shared" si="282"/>
        <v>0.59453032104637338</v>
      </c>
    </row>
    <row r="103" spans="5:168" ht="13">
      <c r="E103" s="170">
        <v>98</v>
      </c>
      <c r="F103" s="217">
        <f>IF(PLOT_TYPE=1, E103/100*Iout_max, min_I*EXP(N103*rr/100))</f>
        <v>0.58799999999999997</v>
      </c>
      <c r="G103" s="217"/>
      <c r="H103" s="217">
        <f>F103*Vout</f>
        <v>99.96</v>
      </c>
      <c r="I103" s="541">
        <f t="shared" si="184"/>
        <v>11.084791293767978</v>
      </c>
      <c r="J103" s="172">
        <f t="shared" si="185"/>
        <v>8.5265162950423914</v>
      </c>
      <c r="K103" s="172">
        <f t="shared" si="186"/>
        <v>21.026516295042391</v>
      </c>
      <c r="L103" s="443"/>
      <c r="M103" s="217">
        <f t="shared" si="187"/>
        <v>0.4347745673460725</v>
      </c>
      <c r="N103" s="172">
        <f>M103*I103*(Isw_max+VIN_nom/Lmag*ILIM_delay)*0.5*Efficiency</f>
        <v>162.45344746439221</v>
      </c>
      <c r="O103" s="172">
        <f t="shared" si="284"/>
        <v>99.96</v>
      </c>
      <c r="P103" s="217">
        <f>N103/Vout</f>
        <v>0.95560851449642481</v>
      </c>
      <c r="Q103" s="217">
        <f t="shared" si="190"/>
        <v>170</v>
      </c>
      <c r="R103" s="217">
        <f>Isw_max/2*I103*Nps*(Q103+Vfwd1+F103/FL103*Rdcr_sec)/Q103/(I103+Nps*(Q103+Vfwd1+F103/FL103*Rdcr_sec))</f>
        <v>0.94497751742538905</v>
      </c>
      <c r="S103" s="172">
        <f t="shared" si="192"/>
        <v>406.9657455359453</v>
      </c>
      <c r="T103" s="532">
        <f>MIN(Vout, S103)</f>
        <v>170</v>
      </c>
      <c r="U103" s="217">
        <f t="shared" si="194"/>
        <v>41.611715682299575</v>
      </c>
      <c r="V103" s="217">
        <f t="shared" si="195"/>
        <v>1.876973349317558</v>
      </c>
      <c r="W103" s="217">
        <f t="shared" si="196"/>
        <v>2.4401358211497262</v>
      </c>
      <c r="X103" s="197">
        <f t="shared" si="197"/>
        <v>350</v>
      </c>
      <c r="Y103" s="443">
        <f t="shared" si="198"/>
        <v>221.38052507961686</v>
      </c>
      <c r="AA103" s="217">
        <f t="shared" si="199"/>
        <v>27.539404620215549</v>
      </c>
      <c r="AB103" s="173">
        <f>L*AA103/J103*1000000</f>
        <v>1.614927108989864</v>
      </c>
      <c r="AC103" s="173">
        <f>0.5*AB103*AA103*Nps*X103/1000</f>
        <v>0.38914864700798452</v>
      </c>
      <c r="AD103" s="173"/>
      <c r="AE103" s="173">
        <f t="shared" si="202"/>
        <v>0.78187461748509124</v>
      </c>
      <c r="AF103" s="545">
        <f>MAX(12, F103/(0.5*AE103/1000000*Isw_min*Nps)/1000)</f>
        <v>2256.1162116682162</v>
      </c>
      <c r="AG103" s="528">
        <f t="shared" si="204"/>
        <v>9.1218705373260656E-2</v>
      </c>
      <c r="AI103" s="173">
        <f t="shared" si="205"/>
        <v>33.852086937937777</v>
      </c>
      <c r="AJ103" s="173">
        <f>MAX(IF(F103&gt;AC103,U103,AI103),Isw_min)</f>
        <v>41.611715682299575</v>
      </c>
      <c r="AK103" s="173">
        <f>IF(F103&gt;AG103, (AJ103-Isw_min)/1.08*0.8+1.2, AF103*0.2/350+1)</f>
        <v>22.146949888123142</v>
      </c>
      <c r="AM103" s="545">
        <f t="shared" si="208"/>
        <v>588</v>
      </c>
      <c r="AN103" s="460">
        <f t="shared" si="209"/>
        <v>221.38052507961686</v>
      </c>
      <c r="AP103">
        <f t="shared" si="210"/>
        <v>588</v>
      </c>
      <c r="AQ103">
        <f t="shared" si="211"/>
        <v>221.38052507961686</v>
      </c>
      <c r="AS103" s="5">
        <f t="shared" si="285"/>
        <v>4.5171091704672843</v>
      </c>
      <c r="AT103" s="5">
        <f t="shared" si="212"/>
        <v>1.876973349317558</v>
      </c>
      <c r="AU103" s="5">
        <f t="shared" si="286"/>
        <v>2.6401358211497263</v>
      </c>
      <c r="AV103" s="5">
        <f t="shared" si="213"/>
        <v>2.4401358211497262</v>
      </c>
      <c r="AW103" s="173">
        <f t="shared" si="287"/>
        <v>0.41552534563236815</v>
      </c>
      <c r="AX103" s="173">
        <f t="shared" si="214"/>
        <v>95.832025344066068</v>
      </c>
      <c r="AY103" s="173">
        <f t="shared" si="215"/>
        <v>0.60802482852640527</v>
      </c>
      <c r="AZ103" s="173">
        <f t="shared" si="288"/>
        <v>157.6120264304376</v>
      </c>
      <c r="BA103" s="460">
        <f t="shared" si="216"/>
        <v>0.64921195846983759</v>
      </c>
      <c r="BB103" s="5">
        <f t="shared" si="217"/>
        <v>38.092982673367871</v>
      </c>
      <c r="BC103" s="5"/>
      <c r="BD103" s="173">
        <f t="shared" si="289"/>
        <v>15.486517042551856</v>
      </c>
      <c r="BE103" s="173">
        <f t="shared" si="218"/>
        <v>0.91834917637428315</v>
      </c>
      <c r="BF103" s="173"/>
      <c r="BG103" s="528">
        <f t="shared" si="219"/>
        <v>9.5932884043699644</v>
      </c>
      <c r="BH103" s="528">
        <f t="shared" si="220"/>
        <v>4.35817713473166</v>
      </c>
      <c r="BI103" s="528">
        <f t="shared" si="221"/>
        <v>9.8158276680492818E-2</v>
      </c>
      <c r="BJ103" s="528">
        <f t="shared" si="222"/>
        <v>1.9575103050252271E-2</v>
      </c>
      <c r="BK103">
        <f t="shared" si="223"/>
        <v>4.9881560821955903E-3</v>
      </c>
      <c r="BL103" s="460">
        <f t="shared" si="290"/>
        <v>103.14643276268841</v>
      </c>
      <c r="BM103" s="528">
        <f t="shared" si="224"/>
        <v>-12.944878362173149</v>
      </c>
      <c r="BN103" s="460">
        <f t="shared" si="291"/>
        <v>-12944.878362173149</v>
      </c>
      <c r="BO103" s="528">
        <f t="shared" si="225"/>
        <v>0.51038399999999995</v>
      </c>
      <c r="BP103" s="528"/>
      <c r="BR103" s="460">
        <f t="shared" si="292"/>
        <v>510.38399999999996</v>
      </c>
      <c r="BS103" s="528">
        <f t="shared" si="226"/>
        <v>7.1949663032774724</v>
      </c>
      <c r="BT103" s="528">
        <f t="shared" si="227"/>
        <v>2.5300956292419727E-2</v>
      </c>
      <c r="BU103" s="528">
        <f t="shared" si="228"/>
        <v>1.4993999999999998</v>
      </c>
      <c r="BV103" s="528">
        <f>(BU103+(BS103+BT103)*(1+Ltc*(Ta-25)))/(1-(BS103+BT103)*Ltc*ThetaCa)</f>
        <v>24.746828854198696</v>
      </c>
      <c r="BW103" s="528">
        <f t="shared" si="230"/>
        <v>9.5832025344066096</v>
      </c>
      <c r="BX103" s="460">
        <f t="shared" si="293"/>
        <v>34330.031388605305</v>
      </c>
      <c r="BY103" s="173">
        <f t="shared" si="231"/>
        <v>21.998683459194847</v>
      </c>
      <c r="BZ103" s="5">
        <f t="shared" si="294"/>
        <v>99.96</v>
      </c>
      <c r="CA103" s="173">
        <f t="shared" si="295"/>
        <v>0.81962183556568802</v>
      </c>
      <c r="CB103" s="5">
        <f t="shared" si="296"/>
        <v>81.962183556568803</v>
      </c>
      <c r="CE103" s="562">
        <f t="shared" si="232"/>
        <v>-50</v>
      </c>
      <c r="CF103">
        <f t="shared" si="233"/>
        <v>-50</v>
      </c>
      <c r="CG103" s="173">
        <f t="shared" si="234"/>
        <v>0.5816809890830601</v>
      </c>
      <c r="CI103" s="170">
        <v>98</v>
      </c>
      <c r="CJ103" s="217">
        <f t="shared" si="297"/>
        <v>0.58799999999999997</v>
      </c>
      <c r="CK103" s="217"/>
      <c r="CL103" s="217">
        <f t="shared" si="235"/>
        <v>99.96</v>
      </c>
      <c r="CM103" s="541">
        <f t="shared" si="236"/>
        <v>12.5</v>
      </c>
      <c r="CN103" s="172">
        <f t="shared" si="237"/>
        <v>8.5250000000000004</v>
      </c>
      <c r="CO103" s="443">
        <f t="shared" si="238"/>
        <v>21.024999999999999</v>
      </c>
      <c r="CP103" s="443"/>
      <c r="CQ103" s="217">
        <f t="shared" si="239"/>
        <v>0.40546967895362668</v>
      </c>
      <c r="CR103" s="172">
        <f t="shared" si="240"/>
        <v>170.84633868410626</v>
      </c>
      <c r="CS103" s="172">
        <f t="shared" si="298"/>
        <v>99.96</v>
      </c>
      <c r="CT103" s="217">
        <f t="shared" si="241"/>
        <v>1.0049784628476839</v>
      </c>
      <c r="CU103" s="217">
        <f t="shared" si="242"/>
        <v>170</v>
      </c>
      <c r="CV103" s="217">
        <f t="shared" si="243"/>
        <v>0.99379823272947732</v>
      </c>
      <c r="CW103" s="172">
        <f t="shared" si="244"/>
        <v>458.88888066698297</v>
      </c>
      <c r="CX103" s="532">
        <f t="shared" si="245"/>
        <v>170</v>
      </c>
      <c r="CY103" s="217">
        <f t="shared" si="246"/>
        <v>39.444626392961865</v>
      </c>
      <c r="CZ103" s="217">
        <f t="shared" si="247"/>
        <v>1.5777850557184745</v>
      </c>
      <c r="DA103" s="217">
        <f t="shared" si="248"/>
        <v>2.3134678236341268</v>
      </c>
      <c r="DB103" s="197">
        <f t="shared" si="249"/>
        <v>350</v>
      </c>
      <c r="DC103" s="443">
        <f t="shared" si="299"/>
        <v>256.98663926626455</v>
      </c>
      <c r="DE103" s="217">
        <f t="shared" si="250"/>
        <v>28.962119925259049</v>
      </c>
      <c r="DF103" s="173">
        <f t="shared" si="251"/>
        <v>1.6986580601324954</v>
      </c>
      <c r="DG103" s="173">
        <f t="shared" si="252"/>
        <v>0.4304714614336958</v>
      </c>
      <c r="DH103" s="173"/>
      <c r="DI103" s="173">
        <f t="shared" si="253"/>
        <v>0.78201368523949166</v>
      </c>
      <c r="DJ103" s="545">
        <f t="shared" si="300"/>
        <v>2255.7150000000001</v>
      </c>
      <c r="DK103" s="528">
        <f t="shared" si="254"/>
        <v>9.1234929944607357E-2</v>
      </c>
      <c r="DM103" s="173">
        <f t="shared" si="255"/>
        <v>33.849076796864047</v>
      </c>
      <c r="DN103" s="173">
        <f t="shared" si="256"/>
        <v>39.444626392961865</v>
      </c>
      <c r="DO103" s="173">
        <f t="shared" si="257"/>
        <v>20.541698562687799</v>
      </c>
      <c r="DQ103" s="545">
        <f t="shared" si="258"/>
        <v>588</v>
      </c>
      <c r="DR103" s="460">
        <f t="shared" si="259"/>
        <v>256.98663926626455</v>
      </c>
      <c r="DT103">
        <f t="shared" si="260"/>
        <v>588</v>
      </c>
      <c r="DU103">
        <f t="shared" si="261"/>
        <v>256.98663926626455</v>
      </c>
      <c r="DW103" s="5">
        <f t="shared" si="301"/>
        <v>3.8912528793526007</v>
      </c>
      <c r="DX103" s="5">
        <f t="shared" si="262"/>
        <v>1.5777850557184745</v>
      </c>
      <c r="DY103" s="5">
        <f t="shared" si="302"/>
        <v>2.3134678236341264</v>
      </c>
      <c r="DZ103" s="5">
        <f t="shared" si="263"/>
        <v>2.3134678236341268</v>
      </c>
      <c r="EA103" s="173">
        <f t="shared" si="303"/>
        <v>0.40546967895362668</v>
      </c>
      <c r="EB103" s="173">
        <f t="shared" si="264"/>
        <v>99.96</v>
      </c>
      <c r="EC103" s="173">
        <f t="shared" si="265"/>
        <v>0.58627565982404672</v>
      </c>
      <c r="ED103" s="173">
        <f t="shared" si="304"/>
        <v>170.50000000000006</v>
      </c>
      <c r="EE103" s="460">
        <f t="shared" si="266"/>
        <v>0.54572800750733108</v>
      </c>
      <c r="EF103" s="5">
        <f t="shared" si="267"/>
        <v>29.600543187259809</v>
      </c>
      <c r="EG103" s="5"/>
      <c r="EH103" s="173">
        <f t="shared" si="305"/>
        <v>14.501282433845574</v>
      </c>
      <c r="EI103" s="173">
        <f t="shared" si="268"/>
        <v>0.87797920182364841</v>
      </c>
      <c r="EJ103" s="173"/>
      <c r="EK103" s="528">
        <f t="shared" si="269"/>
        <v>8.4114876890463286</v>
      </c>
      <c r="EL103" s="528">
        <f t="shared" si="270"/>
        <v>5.8609375000000021</v>
      </c>
      <c r="EM103" s="528">
        <f t="shared" si="271"/>
        <v>5.1397327853252905E-2</v>
      </c>
      <c r="EN103" s="528">
        <f t="shared" si="272"/>
        <v>2.2720220900860358E-2</v>
      </c>
      <c r="EO103">
        <f t="shared" si="273"/>
        <v>5.6249999999999998E-3</v>
      </c>
      <c r="EP103" s="460">
        <f t="shared" si="306"/>
        <v>57.022327853252904</v>
      </c>
      <c r="EQ103" s="528">
        <f t="shared" si="274"/>
        <v>-16.647083484319285</v>
      </c>
      <c r="ER103" s="460">
        <f t="shared" si="307"/>
        <v>-16647.083484319286</v>
      </c>
      <c r="ES103" s="528">
        <f t="shared" si="308"/>
        <v>0.51038399999999995</v>
      </c>
      <c r="ET103" s="528"/>
      <c r="EV103" s="460">
        <f t="shared" si="309"/>
        <v>510.38399999999996</v>
      </c>
      <c r="EW103" s="528">
        <f t="shared" si="275"/>
        <v>6.3086157667847464</v>
      </c>
      <c r="EX103" s="528">
        <f t="shared" si="276"/>
        <v>2.3125424365046724E-2</v>
      </c>
      <c r="EY103" s="528">
        <f t="shared" si="277"/>
        <v>517.2684427525403</v>
      </c>
      <c r="EZ103" s="528">
        <f t="shared" si="278"/>
        <v>1064.1572810549981</v>
      </c>
      <c r="FA103" s="528">
        <f t="shared" si="279"/>
        <v>9.9960000000000004</v>
      </c>
      <c r="FB103" s="460">
        <f t="shared" si="310"/>
        <v>1074153.281054998</v>
      </c>
      <c r="FC103" s="173">
        <f t="shared" si="311"/>
        <v>1058.0165815706789</v>
      </c>
      <c r="FD103" s="5">
        <f t="shared" si="312"/>
        <v>99.96</v>
      </c>
      <c r="FE103" s="173">
        <f t="shared" si="313"/>
        <v>8.6322989247687804E-2</v>
      </c>
      <c r="FF103" s="5">
        <f t="shared" si="314"/>
        <v>8.6322989247687811</v>
      </c>
      <c r="FI103" s="562">
        <f t="shared" si="280"/>
        <v>-50</v>
      </c>
      <c r="FJ103">
        <f t="shared" si="281"/>
        <v>-50</v>
      </c>
      <c r="FL103">
        <f t="shared" si="282"/>
        <v>0.59453032104637327</v>
      </c>
    </row>
    <row r="104" spans="5:168" ht="13">
      <c r="E104" s="170">
        <v>99</v>
      </c>
      <c r="F104" s="217">
        <f>IF(PLOT_TYPE=1, E104/100*Iout_max, min_I*EXP(N104*rr/100))</f>
        <v>0.59399999999999997</v>
      </c>
      <c r="G104" s="217"/>
      <c r="H104" s="217">
        <f>F104*Vout</f>
        <v>100.97999999999999</v>
      </c>
      <c r="I104" s="541">
        <f t="shared" si="184"/>
        <v>11.070669317007598</v>
      </c>
      <c r="J104" s="172">
        <f t="shared" si="185"/>
        <v>8.5265314257317772</v>
      </c>
      <c r="K104" s="172">
        <f t="shared" si="186"/>
        <v>21.026531425731775</v>
      </c>
      <c r="L104" s="443"/>
      <c r="M104" s="217">
        <f t="shared" si="187"/>
        <v>0.43508830822563488</v>
      </c>
      <c r="N104" s="172">
        <f>M104*I104*(Isw_max+VIN_nom/Lmag*ILIM_delay)*0.5*Efficiency</f>
        <v>162.3635623460994</v>
      </c>
      <c r="O104" s="172">
        <f t="shared" si="284"/>
        <v>100.97999999999999</v>
      </c>
      <c r="P104" s="217">
        <f>N104/Vout</f>
        <v>0.95507977850646708</v>
      </c>
      <c r="Q104" s="217">
        <f t="shared" si="190"/>
        <v>170</v>
      </c>
      <c r="R104" s="217">
        <f>Isw_max/2*I104*Nps*(Q104+Vfwd1+F104/FL104*Rdcr_sec)/Q104/(I104+Nps*(Q104+Vfwd1+F104/FL104*Rdcr_sec))</f>
        <v>0.94445466354162377</v>
      </c>
      <c r="S104" s="172">
        <f t="shared" si="192"/>
        <v>400.11263823539934</v>
      </c>
      <c r="T104" s="532">
        <f>MIN(Vout, S104)</f>
        <v>170</v>
      </c>
      <c r="U104" s="217">
        <f t="shared" si="194"/>
        <v>42.059671176871532</v>
      </c>
      <c r="V104" s="217">
        <f t="shared" si="195"/>
        <v>1.8995992912667119</v>
      </c>
      <c r="W104" s="217">
        <f t="shared" si="196"/>
        <v>2.4663998217341829</v>
      </c>
      <c r="X104" s="197">
        <f t="shared" si="197"/>
        <v>350</v>
      </c>
      <c r="Y104" s="443">
        <f t="shared" si="198"/>
        <v>219.01011700871175</v>
      </c>
      <c r="AA104" s="217">
        <f t="shared" si="199"/>
        <v>27.524167084445118</v>
      </c>
      <c r="AB104" s="173">
        <f>L*AA104/J104*1000000</f>
        <v>1.614030706635371</v>
      </c>
      <c r="AC104" s="173">
        <f>0.5*AB104*AA104*Nps*X104/1000</f>
        <v>0.38871744492749849</v>
      </c>
      <c r="AD104" s="173"/>
      <c r="AE104" s="173">
        <f t="shared" si="202"/>
        <v>0.78187323001562847</v>
      </c>
      <c r="AF104" s="545">
        <f>MAX(12, F104/(0.5*AE104/1000000*Isw_min*Nps)/1000)</f>
        <v>2279.1418500981035</v>
      </c>
      <c r="AG104" s="528">
        <f t="shared" si="204"/>
        <v>9.1218543501823332E-2</v>
      </c>
      <c r="AI104" s="173">
        <f t="shared" si="205"/>
        <v>34.024393491005583</v>
      </c>
      <c r="AJ104" s="173">
        <f>MAX(IF(F104&gt;AC104,U104,AI104),Isw_min)</f>
        <v>42.059671176871532</v>
      </c>
      <c r="AK104" s="173">
        <f>IF(F104&gt;AG104, (AJ104-Isw_min)/1.08*0.8+1.2, AF104*0.2/350+1)</f>
        <v>22.478768772991256</v>
      </c>
      <c r="AM104" s="545">
        <f t="shared" si="208"/>
        <v>594</v>
      </c>
      <c r="AN104" s="460">
        <f t="shared" si="209"/>
        <v>219.01011700871175</v>
      </c>
      <c r="AP104">
        <f t="shared" si="210"/>
        <v>594</v>
      </c>
      <c r="AQ104">
        <f t="shared" si="211"/>
        <v>219.01011700871175</v>
      </c>
      <c r="AS104" s="5">
        <f t="shared" si="285"/>
        <v>4.5659991130008946</v>
      </c>
      <c r="AT104" s="5">
        <f t="shared" si="212"/>
        <v>1.8995992912667119</v>
      </c>
      <c r="AU104" s="5">
        <f t="shared" si="286"/>
        <v>2.6663998217341827</v>
      </c>
      <c r="AV104" s="5">
        <f t="shared" si="213"/>
        <v>2.4663998217341829</v>
      </c>
      <c r="AW104" s="173">
        <f t="shared" si="287"/>
        <v>0.4160314630499885</v>
      </c>
      <c r="AX104" s="173">
        <f t="shared" si="214"/>
        <v>96.85809697540185</v>
      </c>
      <c r="AY104" s="173">
        <f t="shared" si="215"/>
        <v>0.61403811604390601</v>
      </c>
      <c r="AZ104" s="173">
        <f t="shared" si="288"/>
        <v>157.73955141324831</v>
      </c>
      <c r="BA104" s="460">
        <f t="shared" si="216"/>
        <v>0.66374234059554515</v>
      </c>
      <c r="BB104" s="5">
        <f t="shared" si="217"/>
        <v>38.914077736574924</v>
      </c>
      <c r="BC104" s="5"/>
      <c r="BD104" s="173">
        <f t="shared" si="289"/>
        <v>15.662761458010985</v>
      </c>
      <c r="BE104" s="173">
        <f t="shared" si="218"/>
        <v>0.92783334083358548</v>
      </c>
      <c r="BF104" s="173"/>
      <c r="BG104" s="528">
        <f t="shared" si="219"/>
        <v>9.8128838596221755</v>
      </c>
      <c r="BH104" s="528">
        <f t="shared" si="220"/>
        <v>4.3579295477440603</v>
      </c>
      <c r="BI104" s="528">
        <f t="shared" si="221"/>
        <v>9.698354329930356E-2</v>
      </c>
      <c r="BJ104" s="528">
        <f t="shared" si="222"/>
        <v>1.9365532618630596E-2</v>
      </c>
      <c r="BK104">
        <f t="shared" si="223"/>
        <v>4.9818011926534185E-3</v>
      </c>
      <c r="BL104" s="460">
        <f t="shared" si="290"/>
        <v>101.96534449195697</v>
      </c>
      <c r="BM104" s="528">
        <f t="shared" si="224"/>
        <v>-12.646741624115352</v>
      </c>
      <c r="BN104" s="460">
        <f t="shared" si="291"/>
        <v>-12646.741624115351</v>
      </c>
      <c r="BO104" s="528">
        <f t="shared" si="225"/>
        <v>0.51559199999999994</v>
      </c>
      <c r="BP104" s="528"/>
      <c r="BR104" s="460">
        <f t="shared" si="292"/>
        <v>515.59199999999998</v>
      </c>
      <c r="BS104" s="528">
        <f t="shared" si="226"/>
        <v>7.3596628947166316</v>
      </c>
      <c r="BT104" s="528">
        <f t="shared" si="227"/>
        <v>2.5826241250872371E-2</v>
      </c>
      <c r="BU104" s="528">
        <f t="shared" si="228"/>
        <v>1.5146999999999997</v>
      </c>
      <c r="BV104" s="528">
        <f>(BU104+(BS104+BT104)*(1+Ltc*(Ta-25)))/(1-(BS104+BT104)*Ltc*ThetaCa)</f>
        <v>26.084377402673297</v>
      </c>
      <c r="BW104" s="528">
        <f t="shared" si="230"/>
        <v>9.6858096975401846</v>
      </c>
      <c r="BX104" s="460">
        <f t="shared" si="293"/>
        <v>35770.187100213487</v>
      </c>
      <c r="BY104" s="173">
        <f t="shared" si="231"/>
        <v>23.741002820590086</v>
      </c>
      <c r="BZ104" s="5">
        <f t="shared" si="294"/>
        <v>100.97999999999999</v>
      </c>
      <c r="CA104" s="173">
        <f t="shared" si="295"/>
        <v>0.8096471140891861</v>
      </c>
      <c r="CB104" s="5">
        <f t="shared" si="296"/>
        <v>80.964711408918618</v>
      </c>
      <c r="CE104" s="562">
        <f t="shared" si="232"/>
        <v>-50</v>
      </c>
      <c r="CF104">
        <f t="shared" si="233"/>
        <v>-50</v>
      </c>
      <c r="CG104" s="173">
        <f t="shared" si="234"/>
        <v>0.58181078031501265</v>
      </c>
      <c r="CI104" s="170">
        <v>99</v>
      </c>
      <c r="CJ104" s="217">
        <f t="shared" si="297"/>
        <v>0.59399999999999997</v>
      </c>
      <c r="CK104" s="217"/>
      <c r="CL104" s="217">
        <f t="shared" si="235"/>
        <v>100.97999999999999</v>
      </c>
      <c r="CM104" s="541">
        <f t="shared" si="236"/>
        <v>12.5</v>
      </c>
      <c r="CN104" s="172">
        <f t="shared" si="237"/>
        <v>8.5250000000000004</v>
      </c>
      <c r="CO104" s="443">
        <f t="shared" si="238"/>
        <v>21.024999999999999</v>
      </c>
      <c r="CP104" s="443"/>
      <c r="CQ104" s="217">
        <f t="shared" si="239"/>
        <v>0.40546967895362668</v>
      </c>
      <c r="CR104" s="172">
        <f t="shared" si="240"/>
        <v>170.84633868410626</v>
      </c>
      <c r="CS104" s="172">
        <f t="shared" si="298"/>
        <v>100.97999999999999</v>
      </c>
      <c r="CT104" s="217">
        <f t="shared" si="241"/>
        <v>1.0049784628476839</v>
      </c>
      <c r="CU104" s="217">
        <f t="shared" si="242"/>
        <v>170</v>
      </c>
      <c r="CV104" s="217">
        <f t="shared" si="243"/>
        <v>0.99379823272947732</v>
      </c>
      <c r="CW104" s="172">
        <f t="shared" si="244"/>
        <v>451.73543949019762</v>
      </c>
      <c r="CX104" s="532">
        <f t="shared" si="245"/>
        <v>170</v>
      </c>
      <c r="CY104" s="217">
        <f t="shared" si="246"/>
        <v>39.847122580645149</v>
      </c>
      <c r="CZ104" s="217">
        <f t="shared" si="247"/>
        <v>1.5938849032258058</v>
      </c>
      <c r="DA104" s="217">
        <f t="shared" si="248"/>
        <v>2.3370746381610052</v>
      </c>
      <c r="DB104" s="197">
        <f t="shared" si="249"/>
        <v>350</v>
      </c>
      <c r="DC104" s="443">
        <f t="shared" si="299"/>
        <v>254.39081462721137</v>
      </c>
      <c r="DE104" s="217">
        <f t="shared" si="250"/>
        <v>28.962119925259049</v>
      </c>
      <c r="DF104" s="173">
        <f t="shared" si="251"/>
        <v>1.6986580601324954</v>
      </c>
      <c r="DG104" s="173">
        <f t="shared" si="252"/>
        <v>0.4304714614336958</v>
      </c>
      <c r="DH104" s="173"/>
      <c r="DI104" s="173">
        <f t="shared" si="253"/>
        <v>0.78201368523949166</v>
      </c>
      <c r="DJ104" s="545">
        <f t="shared" si="300"/>
        <v>2278.7325000000001</v>
      </c>
      <c r="DK104" s="528">
        <f t="shared" si="254"/>
        <v>9.1234929944607357E-2</v>
      </c>
      <c r="DM104" s="173">
        <f t="shared" si="255"/>
        <v>34.021337842175292</v>
      </c>
      <c r="DN104" s="173">
        <f t="shared" si="256"/>
        <v>39.847122580645149</v>
      </c>
      <c r="DO104" s="173">
        <f t="shared" si="257"/>
        <v>20.839843886897636</v>
      </c>
      <c r="DQ104" s="545">
        <f t="shared" si="258"/>
        <v>594</v>
      </c>
      <c r="DR104" s="460">
        <f t="shared" si="259"/>
        <v>254.39081462721137</v>
      </c>
      <c r="DT104">
        <f t="shared" si="260"/>
        <v>594</v>
      </c>
      <c r="DU104">
        <f t="shared" si="261"/>
        <v>254.39081462721137</v>
      </c>
      <c r="DW104" s="5">
        <f t="shared" si="301"/>
        <v>3.9309595413868106</v>
      </c>
      <c r="DX104" s="5">
        <f t="shared" si="262"/>
        <v>1.5938849032258058</v>
      </c>
      <c r="DY104" s="5">
        <f t="shared" si="302"/>
        <v>2.3370746381610048</v>
      </c>
      <c r="DZ104" s="5">
        <f t="shared" si="263"/>
        <v>2.3370746381610052</v>
      </c>
      <c r="EA104" s="173">
        <f t="shared" si="303"/>
        <v>0.40546967895362673</v>
      </c>
      <c r="EB104" s="173">
        <f t="shared" si="264"/>
        <v>100.97999999999999</v>
      </c>
      <c r="EC104" s="173">
        <f t="shared" si="265"/>
        <v>0.59225806451612883</v>
      </c>
      <c r="ED104" s="173">
        <f t="shared" si="304"/>
        <v>170.50000000000003</v>
      </c>
      <c r="EE104" s="460">
        <f t="shared" si="266"/>
        <v>0.55692213677419322</v>
      </c>
      <c r="EF104" s="5">
        <f t="shared" si="267"/>
        <v>30.207718011071773</v>
      </c>
      <c r="EG104" s="5"/>
      <c r="EH104" s="173">
        <f t="shared" si="305"/>
        <v>14.649254703578693</v>
      </c>
      <c r="EI104" s="173">
        <f t="shared" si="268"/>
        <v>0.88693817327082847</v>
      </c>
      <c r="EJ104" s="173"/>
      <c r="EK104" s="528">
        <f t="shared" si="269"/>
        <v>8.5840265348128977</v>
      </c>
      <c r="EL104" s="528">
        <f t="shared" si="270"/>
        <v>5.8609375000000021</v>
      </c>
      <c r="EM104" s="528">
        <f t="shared" si="271"/>
        <v>5.0878162925442269E-2</v>
      </c>
      <c r="EN104" s="528">
        <f t="shared" si="272"/>
        <v>2.2490723720043588E-2</v>
      </c>
      <c r="EO104">
        <f t="shared" si="273"/>
        <v>5.6249999999999998E-3</v>
      </c>
      <c r="EP104" s="460">
        <f t="shared" si="306"/>
        <v>56.503162925442268</v>
      </c>
      <c r="EQ104" s="528">
        <f t="shared" si="274"/>
        <v>-16.20067034805599</v>
      </c>
      <c r="ER104" s="460">
        <f t="shared" si="307"/>
        <v>-16200.67034805599</v>
      </c>
      <c r="ES104" s="528">
        <f t="shared" si="308"/>
        <v>0.51559199999999994</v>
      </c>
      <c r="ET104" s="528"/>
      <c r="EV104" s="460">
        <f t="shared" si="309"/>
        <v>515.59199999999998</v>
      </c>
      <c r="EW104" s="528">
        <f t="shared" si="275"/>
        <v>6.4380199011096737</v>
      </c>
      <c r="EX104" s="528">
        <f t="shared" si="276"/>
        <v>2.3599779696149823E-2</v>
      </c>
      <c r="EY104" s="528">
        <f t="shared" si="277"/>
        <v>517.2684427525412</v>
      </c>
      <c r="EZ104" s="528">
        <f t="shared" si="278"/>
        <v>1087.3794448799299</v>
      </c>
      <c r="FA104" s="528">
        <f t="shared" si="279"/>
        <v>10.098000000000001</v>
      </c>
      <c r="FB104" s="460">
        <f t="shared" si="310"/>
        <v>1097477.4448799298</v>
      </c>
      <c r="FC104" s="173">
        <f t="shared" si="311"/>
        <v>1081.7923665318738</v>
      </c>
      <c r="FD104" s="5">
        <f t="shared" si="312"/>
        <v>100.97999999999999</v>
      </c>
      <c r="FE104" s="173">
        <f t="shared" si="313"/>
        <v>8.5375684161520984E-2</v>
      </c>
      <c r="FF104" s="5">
        <f t="shared" si="314"/>
        <v>8.5375684161520979</v>
      </c>
      <c r="FI104" s="562">
        <f t="shared" si="280"/>
        <v>-50</v>
      </c>
      <c r="FJ104">
        <f t="shared" si="281"/>
        <v>-50</v>
      </c>
      <c r="FL104">
        <f t="shared" si="282"/>
        <v>0.59453032104637327</v>
      </c>
    </row>
    <row r="105" spans="5:168" ht="13">
      <c r="E105" s="170">
        <v>100</v>
      </c>
      <c r="F105" s="217">
        <f>IF(PLOT_TYPE=1, E105/100*Iout_max, min_I*EXP(N105*rr/100))</f>
        <v>0.6</v>
      </c>
      <c r="G105" s="217"/>
      <c r="H105" s="217">
        <f>F105*Vout</f>
        <v>102</v>
      </c>
      <c r="I105" s="541">
        <f t="shared" si="184"/>
        <v>11.056547200829511</v>
      </c>
      <c r="J105" s="172">
        <f t="shared" si="185"/>
        <v>8.5265465565705405</v>
      </c>
      <c r="K105" s="172">
        <f t="shared" si="186"/>
        <v>21.026546556570541</v>
      </c>
      <c r="L105" s="443"/>
      <c r="M105" s="217">
        <f t="shared" si="187"/>
        <v>0.43540250421723292</v>
      </c>
      <c r="N105" s="172">
        <f>M105*I105*(Isw_max+VIN_nom/Lmag*ILIM_delay)*0.5*Efficiency</f>
        <v>162.2735461017875</v>
      </c>
      <c r="O105" s="172">
        <f t="shared" si="284"/>
        <v>102</v>
      </c>
      <c r="P105" s="217">
        <f>N105/Vout</f>
        <v>0.95455027118698532</v>
      </c>
      <c r="Q105" s="217">
        <f t="shared" si="190"/>
        <v>170</v>
      </c>
      <c r="R105" s="217">
        <f>Isw_max/2*I105*Nps*(Q105+Vfwd1+F105/FL105*Rdcr_sec)/Q105/(I105+Nps*(Q105+Vfwd1+F105/FL105*Rdcr_sec))</f>
        <v>0.94393104690925633</v>
      </c>
      <c r="S105" s="172">
        <f t="shared" si="192"/>
        <v>393.40237082986783</v>
      </c>
      <c r="T105" s="532">
        <f>MIN(Vout, S105)</f>
        <v>170</v>
      </c>
      <c r="U105" s="217">
        <f t="shared" si="194"/>
        <v>42.508158784384982</v>
      </c>
      <c r="V105" s="217">
        <f>L*U105/I105*1000000</f>
        <v>1.9223071186814917</v>
      </c>
      <c r="W105" s="217">
        <f t="shared" si="196"/>
        <v>2.492694932371434</v>
      </c>
      <c r="X105" s="197">
        <f t="shared" si="197"/>
        <v>350</v>
      </c>
      <c r="Y105" s="443">
        <f>MIN(1/(V105+W105+0.2)*1000, 350)</f>
        <v>216.68462742543031</v>
      </c>
      <c r="AA105" s="217">
        <f t="shared" si="199"/>
        <v>27.508907320243512</v>
      </c>
      <c r="AB105" s="173">
        <f>L*AA105/J105*1000000</f>
        <v>1.6131330039501866</v>
      </c>
      <c r="AC105" s="173">
        <f>0.5*AB105*AA105*Nps*X105/1000</f>
        <v>0.38828585513280234</v>
      </c>
      <c r="AD105" s="173"/>
      <c r="AE105" s="173">
        <f t="shared" si="202"/>
        <v>0.78187184253739228</v>
      </c>
      <c r="AF105" s="545">
        <f>MAX(12, F105/(0.5*AE105/1000000*Isw_min*Nps)/1000)</f>
        <v>2302.1675702740463</v>
      </c>
      <c r="AG105" s="528">
        <f t="shared" si="204"/>
        <v>9.1218381629362424E-2</v>
      </c>
      <c r="AI105" s="173">
        <f t="shared" si="205"/>
        <v>34.195832440952131</v>
      </c>
      <c r="AJ105" s="173">
        <f>MAX(IF(F105&gt;AC105,U105,AI105),Isw_min)</f>
        <v>42.508158784384982</v>
      </c>
      <c r="AK105" s="173">
        <f>IF(F105&gt;AG105, (AJ105-Isw_min)/1.08*0.8+1.2, AF105*0.2/350+1)</f>
        <v>22.810981815593813</v>
      </c>
      <c r="AM105" s="545">
        <f t="shared" si="208"/>
        <v>600</v>
      </c>
      <c r="AN105" s="460">
        <f t="shared" si="209"/>
        <v>216.68462742543031</v>
      </c>
      <c r="AP105">
        <f t="shared" si="210"/>
        <v>600</v>
      </c>
      <c r="AQ105" s="3">
        <f t="shared" si="211"/>
        <v>216.68462742543031</v>
      </c>
      <c r="AS105" s="5">
        <f t="shared" si="285"/>
        <v>4.6150020510529259</v>
      </c>
      <c r="AT105" s="5">
        <f t="shared" si="212"/>
        <v>1.9223071186814917</v>
      </c>
      <c r="AU105" s="5">
        <f t="shared" si="286"/>
        <v>2.6926949323714342</v>
      </c>
      <c r="AV105" s="5">
        <f t="shared" si="213"/>
        <v>2.492694932371434</v>
      </c>
      <c r="AW105" s="173">
        <f t="shared" si="287"/>
        <v>0.41653440180875151</v>
      </c>
      <c r="AX105" s="173">
        <f t="shared" si="214"/>
        <v>97.884223194777704</v>
      </c>
      <c r="AY105" s="173">
        <f t="shared" si="215"/>
        <v>0.62005120732849384</v>
      </c>
      <c r="AZ105" s="173">
        <f t="shared" si="288"/>
        <v>157.86474090827809</v>
      </c>
      <c r="BA105" s="460">
        <f t="shared" si="216"/>
        <v>0.6784613360052324</v>
      </c>
      <c r="BB105" s="5">
        <f t="shared" si="217"/>
        <v>39.74548337568249</v>
      </c>
      <c r="BC105" s="5"/>
      <c r="BD105" s="173">
        <f t="shared" si="289"/>
        <v>15.839340855558738</v>
      </c>
      <c r="BE105" s="173">
        <f t="shared" si="218"/>
        <v>0.93732305308911912</v>
      </c>
      <c r="BF105" s="173"/>
      <c r="BG105" s="528">
        <f t="shared" si="219"/>
        <v>10.035388749542889</v>
      </c>
      <c r="BH105" s="528">
        <f t="shared" si="220"/>
        <v>4.3576351258556683</v>
      </c>
      <c r="BI105" s="528">
        <f t="shared" si="221"/>
        <v>9.5831352432937084E-2</v>
      </c>
      <c r="BJ105" s="528">
        <f t="shared" si="222"/>
        <v>1.9159933417353888E-2</v>
      </c>
      <c r="BK105">
        <f t="shared" si="223"/>
        <v>4.97544624037328E-3</v>
      </c>
      <c r="BL105" s="460">
        <f t="shared" si="290"/>
        <v>100.80679867331037</v>
      </c>
      <c r="BM105" s="528">
        <f t="shared" si="224"/>
        <v>-12.36754933057677</v>
      </c>
      <c r="BN105" s="460">
        <f t="shared" si="291"/>
        <v>-12367.54933057677</v>
      </c>
      <c r="BO105" s="528">
        <f t="shared" si="225"/>
        <v>0.52079999999999993</v>
      </c>
      <c r="BP105" s="528"/>
      <c r="BR105" s="460">
        <f t="shared" si="292"/>
        <v>520.79999999999995</v>
      </c>
      <c r="BS105" s="528">
        <f t="shared" si="226"/>
        <v>7.5265415621571661</v>
      </c>
      <c r="BT105" s="528">
        <f t="shared" si="227"/>
        <v>2.6357235175569226E-2</v>
      </c>
      <c r="BU105" s="528">
        <f t="shared" si="228"/>
        <v>1.53</v>
      </c>
      <c r="BV105" s="528">
        <f>(BU105+(BS105+BT105)*(1+Ltc*(Ta-25)))/(1-(BS105+BT105)*Ltc*ThetaCa)</f>
        <v>27.53024969152176</v>
      </c>
      <c r="BW105" s="528">
        <f t="shared" si="230"/>
        <v>9.7884223194777729</v>
      </c>
      <c r="BX105" s="460">
        <f t="shared" si="293"/>
        <v>37318.672010999537</v>
      </c>
      <c r="BY105" s="173">
        <f>SUM(BM105,BO105:BQ105,BV105, BW105)+BK105+BI105</f>
        <v>25.572729479096076</v>
      </c>
      <c r="BZ105" s="5">
        <f t="shared" si="294"/>
        <v>102</v>
      </c>
      <c r="CA105" s="173">
        <f>BZ105/(BZ105+BY105)</f>
        <v>0.79954391833180627</v>
      </c>
      <c r="CB105" s="5">
        <f>CA105*100</f>
        <v>79.954391833180622</v>
      </c>
      <c r="CE105" s="562">
        <f t="shared" si="232"/>
        <v>-50</v>
      </c>
      <c r="CF105">
        <f t="shared" si="233"/>
        <v>-50</v>
      </c>
      <c r="CG105" s="173">
        <f t="shared" si="234"/>
        <v>0.58193797572232642</v>
      </c>
      <c r="CI105" s="170">
        <v>100</v>
      </c>
      <c r="CJ105" s="217">
        <f t="shared" si="297"/>
        <v>0.6</v>
      </c>
      <c r="CK105" s="217"/>
      <c r="CL105" s="217">
        <f t="shared" si="235"/>
        <v>102</v>
      </c>
      <c r="CM105" s="541">
        <f t="shared" si="236"/>
        <v>12.5</v>
      </c>
      <c r="CN105" s="172">
        <f t="shared" si="237"/>
        <v>8.5250000000000004</v>
      </c>
      <c r="CO105" s="443">
        <f t="shared" si="238"/>
        <v>21.024999999999999</v>
      </c>
      <c r="CP105" s="443"/>
      <c r="CQ105" s="217">
        <f t="shared" si="239"/>
        <v>0.40546967895362668</v>
      </c>
      <c r="CR105" s="172">
        <f t="shared" si="240"/>
        <v>170.84633868410626</v>
      </c>
      <c r="CS105" s="172">
        <f t="shared" si="298"/>
        <v>102</v>
      </c>
      <c r="CT105" s="217">
        <f t="shared" si="241"/>
        <v>1.0049784628476839</v>
      </c>
      <c r="CU105" s="217">
        <f t="shared" si="242"/>
        <v>170</v>
      </c>
      <c r="CV105" s="217">
        <f t="shared" si="243"/>
        <v>0.99379823272947732</v>
      </c>
      <c r="CW105" s="172">
        <f t="shared" si="244"/>
        <v>444.72520123820289</v>
      </c>
      <c r="CX105" s="532">
        <f t="shared" si="245"/>
        <v>170</v>
      </c>
      <c r="CY105" s="217">
        <f t="shared" si="246"/>
        <v>40.249618768328439</v>
      </c>
      <c r="CZ105" s="217">
        <f t="shared" si="247"/>
        <v>1.6099847507331375</v>
      </c>
      <c r="DA105" s="217">
        <f t="shared" si="248"/>
        <v>2.360681452687885</v>
      </c>
      <c r="DB105" s="197">
        <f t="shared" si="249"/>
        <v>350</v>
      </c>
      <c r="DC105" s="443">
        <f t="shared" si="299"/>
        <v>251.84690648093917</v>
      </c>
      <c r="DE105" s="217">
        <f t="shared" si="250"/>
        <v>28.962119925259049</v>
      </c>
      <c r="DF105" s="173">
        <f t="shared" si="251"/>
        <v>1.6986580601324954</v>
      </c>
      <c r="DG105" s="173">
        <f t="shared" si="252"/>
        <v>0.4304714614336958</v>
      </c>
      <c r="DH105" s="173"/>
      <c r="DI105" s="173">
        <f t="shared" si="253"/>
        <v>0.78201368523949166</v>
      </c>
      <c r="DJ105" s="545">
        <f t="shared" si="300"/>
        <v>2301.75</v>
      </c>
      <c r="DK105" s="528">
        <f t="shared" si="254"/>
        <v>9.1234929944607357E-2</v>
      </c>
      <c r="DM105" s="173">
        <f t="shared" si="255"/>
        <v>34.192731057095415</v>
      </c>
      <c r="DN105" s="173">
        <f t="shared" si="256"/>
        <v>40.249618768328439</v>
      </c>
      <c r="DO105" s="173">
        <f t="shared" si="257"/>
        <v>21.137989211107485</v>
      </c>
      <c r="DQ105" s="545">
        <f t="shared" si="258"/>
        <v>600</v>
      </c>
      <c r="DR105" s="460">
        <f t="shared" si="259"/>
        <v>251.84690648093917</v>
      </c>
      <c r="DT105">
        <f t="shared" si="260"/>
        <v>600</v>
      </c>
      <c r="DU105" s="3">
        <f t="shared" si="261"/>
        <v>251.84690648093917</v>
      </c>
      <c r="DW105" s="5">
        <f t="shared" si="301"/>
        <v>3.9706662034210227</v>
      </c>
      <c r="DX105" s="5">
        <f t="shared" si="262"/>
        <v>1.6099847507331375</v>
      </c>
      <c r="DY105" s="5">
        <f t="shared" si="302"/>
        <v>2.360681452687885</v>
      </c>
      <c r="DZ105" s="5">
        <f t="shared" si="263"/>
        <v>2.360681452687885</v>
      </c>
      <c r="EA105" s="173">
        <f t="shared" si="303"/>
        <v>0.40546967895362662</v>
      </c>
      <c r="EB105" s="173">
        <f t="shared" si="264"/>
        <v>101.99999999999997</v>
      </c>
      <c r="EC105" s="173">
        <f t="shared" si="265"/>
        <v>0.59824046920821106</v>
      </c>
      <c r="ED105" s="173">
        <f t="shared" si="304"/>
        <v>170.49999999999997</v>
      </c>
      <c r="EE105" s="460">
        <f t="shared" si="266"/>
        <v>0.56822991202346029</v>
      </c>
      <c r="EF105" s="5">
        <f t="shared" si="267"/>
        <v>30.821057046293028</v>
      </c>
      <c r="EG105" s="5"/>
      <c r="EH105" s="173">
        <f t="shared" si="305"/>
        <v>14.797226973311814</v>
      </c>
      <c r="EI105" s="173">
        <f t="shared" si="268"/>
        <v>0.89589714471800874</v>
      </c>
      <c r="EJ105" s="173"/>
      <c r="EK105" s="528">
        <f t="shared" si="269"/>
        <v>8.7583170439882689</v>
      </c>
      <c r="EL105" s="528">
        <f t="shared" si="270"/>
        <v>5.8609375000000004</v>
      </c>
      <c r="EM105" s="528">
        <f t="shared" si="271"/>
        <v>5.0369381296187829E-2</v>
      </c>
      <c r="EN105" s="528">
        <f t="shared" si="272"/>
        <v>2.2265816482843141E-2</v>
      </c>
      <c r="EO105">
        <f t="shared" si="273"/>
        <v>5.6249999999999998E-3</v>
      </c>
      <c r="EP105" s="460">
        <f t="shared" si="306"/>
        <v>55.994381296187825</v>
      </c>
      <c r="EQ105" s="528">
        <f t="shared" si="274"/>
        <v>-15.784123141685958</v>
      </c>
      <c r="ER105" s="460">
        <f t="shared" si="307"/>
        <v>-15784.123141685957</v>
      </c>
      <c r="ES105" s="528">
        <f t="shared" si="308"/>
        <v>0.52079999999999993</v>
      </c>
      <c r="ET105" s="528"/>
      <c r="EV105" s="460">
        <f t="shared" si="309"/>
        <v>520.79999999999995</v>
      </c>
      <c r="EW105" s="528">
        <f t="shared" si="275"/>
        <v>6.5687377829912004</v>
      </c>
      <c r="EX105" s="528">
        <f t="shared" si="276"/>
        <v>2.4078950817416421E-2</v>
      </c>
      <c r="EY105" s="528">
        <f t="shared" si="277"/>
        <v>517.26844275254041</v>
      </c>
      <c r="EZ105" s="528">
        <f t="shared" si="278"/>
        <v>1111.8741196623632</v>
      </c>
      <c r="FA105" s="528">
        <f t="shared" si="279"/>
        <v>10.199999999999999</v>
      </c>
      <c r="FB105" s="460">
        <f t="shared" si="310"/>
        <v>1122074.1196623633</v>
      </c>
      <c r="FC105" s="173">
        <f t="shared" si="311"/>
        <v>1106.8107965206773</v>
      </c>
      <c r="FD105" s="5">
        <f t="shared" si="312"/>
        <v>102</v>
      </c>
      <c r="FE105" s="173">
        <f t="shared" si="313"/>
        <v>8.4380450847714811E-2</v>
      </c>
      <c r="FF105" s="5">
        <f t="shared" si="314"/>
        <v>8.4380450847714812</v>
      </c>
      <c r="FI105" s="562">
        <f t="shared" si="280"/>
        <v>-50</v>
      </c>
      <c r="FJ105">
        <f t="shared" si="281"/>
        <v>-50</v>
      </c>
      <c r="FL105">
        <f t="shared" si="282"/>
        <v>0.59453032104637338</v>
      </c>
    </row>
    <row r="106" spans="5:168" ht="13">
      <c r="E106" s="170"/>
      <c r="F106" s="217"/>
      <c r="G106" s="217"/>
      <c r="H106" s="217"/>
      <c r="I106" s="541"/>
      <c r="J106" s="443"/>
      <c r="K106" s="443"/>
      <c r="L106" s="443"/>
      <c r="M106" s="217"/>
      <c r="N106" s="172"/>
      <c r="O106" s="172"/>
      <c r="P106" s="217"/>
      <c r="Q106" s="217"/>
      <c r="R106" s="217"/>
      <c r="S106" s="172"/>
      <c r="T106" s="172"/>
      <c r="U106" s="217"/>
      <c r="V106" s="217"/>
      <c r="W106" s="217"/>
      <c r="X106" s="197"/>
      <c r="Y106" s="443"/>
      <c r="AA106" s="217"/>
      <c r="AB106" s="173"/>
      <c r="AC106" s="173"/>
      <c r="AD106" s="173"/>
      <c r="AE106" s="173"/>
      <c r="AF106" s="545"/>
      <c r="AI106" s="173"/>
      <c r="AJ106" s="173"/>
      <c r="AK106" s="173"/>
      <c r="AM106" s="545"/>
      <c r="AN106" s="460"/>
      <c r="AQ106" s="3"/>
      <c r="AS106" s="5"/>
      <c r="AT106" s="5"/>
      <c r="AU106" s="5"/>
      <c r="AV106" s="5"/>
      <c r="AW106" s="173"/>
      <c r="AX106" s="173"/>
      <c r="AY106" s="173"/>
      <c r="AZ106" s="173"/>
      <c r="BA106" s="460"/>
      <c r="BB106" s="5"/>
      <c r="BC106" s="5"/>
      <c r="BD106" s="173"/>
      <c r="BE106" s="173"/>
      <c r="BF106" s="173"/>
      <c r="BG106" s="528"/>
      <c r="BH106" s="528"/>
      <c r="BI106" s="528"/>
      <c r="BJ106" s="528"/>
      <c r="BN106" s="460"/>
      <c r="BO106" s="528"/>
      <c r="BP106" s="528"/>
      <c r="BR106" s="460"/>
      <c r="BS106" s="528"/>
      <c r="BT106" s="528"/>
      <c r="BU106" s="528"/>
      <c r="BV106" s="528"/>
      <c r="BW106" s="528"/>
      <c r="BX106" s="460"/>
      <c r="BY106" s="173"/>
      <c r="BZ106" s="5"/>
      <c r="CA106" s="173"/>
      <c r="CB106" s="5"/>
      <c r="CE106" s="562"/>
      <c r="CI106" s="170"/>
      <c r="CJ106" s="217"/>
      <c r="CK106" s="217"/>
      <c r="CL106" s="217"/>
      <c r="CM106" s="541"/>
      <c r="CN106" s="443"/>
      <c r="CO106" s="443"/>
      <c r="CP106" s="443"/>
      <c r="CQ106" s="217"/>
      <c r="CR106" s="172"/>
      <c r="CS106" s="172"/>
      <c r="CT106" s="217"/>
      <c r="CU106" s="217"/>
      <c r="CV106" s="217"/>
      <c r="CW106" s="172"/>
      <c r="CX106" s="172"/>
      <c r="CY106" s="217"/>
      <c r="CZ106" s="217"/>
      <c r="DA106" s="217"/>
      <c r="DB106" s="197"/>
      <c r="DC106" s="443"/>
      <c r="DE106" s="217"/>
      <c r="DF106" s="173"/>
      <c r="DG106" s="173"/>
      <c r="DH106" s="173"/>
      <c r="DI106" s="173"/>
      <c r="DJ106" s="545"/>
      <c r="DM106" s="173"/>
      <c r="DN106" s="173"/>
      <c r="DO106" s="173"/>
      <c r="DQ106" s="545"/>
      <c r="DR106" s="460"/>
      <c r="DU106" s="3"/>
      <c r="DW106" s="5"/>
      <c r="DX106" s="5"/>
      <c r="DY106" s="5"/>
      <c r="DZ106" s="5"/>
      <c r="EA106" s="173"/>
      <c r="EB106" s="173"/>
      <c r="EC106" s="173"/>
      <c r="ED106" s="173"/>
      <c r="EE106" s="460"/>
      <c r="EF106" s="5"/>
      <c r="EG106" s="5"/>
      <c r="EH106" s="173"/>
      <c r="EI106" s="173"/>
      <c r="EJ106" s="173"/>
      <c r="EK106" s="528"/>
      <c r="EL106" s="528"/>
      <c r="EM106" s="528"/>
      <c r="EN106" s="528"/>
      <c r="ER106" s="460"/>
      <c r="ES106" s="528"/>
      <c r="ET106" s="528"/>
      <c r="EV106" s="460"/>
      <c r="EW106" s="528"/>
      <c r="EX106" s="528"/>
      <c r="EY106" s="528"/>
      <c r="EZ106" s="528"/>
      <c r="FA106" s="528"/>
      <c r="FB106" s="460"/>
      <c r="FC106" s="173"/>
      <c r="FD106" s="5"/>
      <c r="FE106" s="173"/>
      <c r="FF106" s="5"/>
      <c r="FI106" s="562"/>
      <c r="FL106" t="e">
        <f>MIN(SQRT(2*L*DJ106*1000*CJ106*CN106)/CM106, 1-EA106)</f>
        <v>#DIV/0!</v>
      </c>
    </row>
    <row r="107" spans="5:168">
      <c r="H107" s="217"/>
      <c r="I107" s="541"/>
      <c r="J107" s="443"/>
      <c r="K107" s="443"/>
      <c r="L107" s="443"/>
      <c r="M107" s="217"/>
      <c r="N107" s="172"/>
      <c r="O107" s="172"/>
      <c r="P107" s="217"/>
      <c r="Q107" s="736"/>
      <c r="R107" s="217"/>
      <c r="S107" s="172"/>
      <c r="T107" s="172"/>
      <c r="U107" s="217"/>
      <c r="V107" s="217"/>
      <c r="W107" s="217"/>
      <c r="X107" s="197"/>
      <c r="Y107" s="443"/>
      <c r="AA107" s="217"/>
      <c r="AB107" s="173"/>
      <c r="AC107" s="173"/>
      <c r="AD107" s="173"/>
      <c r="AE107" s="173"/>
      <c r="AF107" s="545"/>
      <c r="AI107" s="173"/>
      <c r="AJ107" s="173"/>
      <c r="AK107" s="173"/>
      <c r="AM107" s="545"/>
      <c r="AN107" s="460"/>
      <c r="AS107" s="5"/>
      <c r="AT107" s="5"/>
      <c r="AU107" s="5"/>
      <c r="AV107" s="5"/>
      <c r="AW107" s="173"/>
      <c r="AX107" s="173"/>
      <c r="AY107" s="173"/>
      <c r="AZ107" s="173"/>
      <c r="BA107" s="460"/>
      <c r="BB107" s="5"/>
      <c r="BD107" s="173"/>
      <c r="BE107" s="173"/>
      <c r="BG107" s="528"/>
      <c r="BH107" s="528"/>
      <c r="BI107" s="528"/>
      <c r="BJ107" s="528"/>
      <c r="BN107" s="460"/>
      <c r="BO107" s="528"/>
      <c r="BR107" s="460"/>
      <c r="BS107" s="528"/>
      <c r="BT107" s="528"/>
      <c r="BU107" s="528"/>
      <c r="BV107" s="528"/>
      <c r="BW107" s="528"/>
      <c r="BX107" s="460"/>
      <c r="BY107" s="173"/>
      <c r="BZ107" s="5"/>
      <c r="CA107" s="173"/>
      <c r="CB107" s="5"/>
      <c r="CE107" s="562"/>
      <c r="CL107" s="217"/>
      <c r="CM107" s="541"/>
      <c r="CN107" s="443"/>
      <c r="CO107" s="443"/>
      <c r="CP107" s="443"/>
      <c r="CQ107" s="217"/>
      <c r="CR107" s="172"/>
      <c r="CS107" s="172"/>
      <c r="CT107" s="217"/>
      <c r="CU107" s="736"/>
      <c r="CV107" s="217"/>
      <c r="CW107" s="172"/>
      <c r="CX107" s="172"/>
      <c r="CY107" s="217"/>
      <c r="CZ107" s="217"/>
      <c r="DA107" s="217"/>
      <c r="DB107" s="197"/>
      <c r="DC107" s="443"/>
      <c r="DE107" s="217"/>
      <c r="DF107" s="173"/>
      <c r="DG107" s="173"/>
      <c r="DH107" s="173"/>
      <c r="DI107" s="173"/>
      <c r="DJ107" s="545"/>
      <c r="DM107" s="173"/>
      <c r="DN107" s="173"/>
      <c r="DO107" s="173"/>
      <c r="DQ107" s="545"/>
      <c r="DR107" s="460"/>
      <c r="DW107" s="5"/>
      <c r="DX107" s="5"/>
      <c r="DY107" s="5"/>
      <c r="DZ107" s="5"/>
      <c r="EA107" s="173"/>
      <c r="EB107" s="173"/>
      <c r="EC107" s="173"/>
      <c r="ED107" s="173"/>
      <c r="EE107" s="460"/>
      <c r="EF107" s="5"/>
      <c r="EH107" s="173"/>
      <c r="EI107" s="173"/>
      <c r="EK107" s="528"/>
      <c r="EL107" s="528"/>
      <c r="EM107" s="528"/>
      <c r="EN107" s="528"/>
      <c r="ER107" s="460"/>
      <c r="ES107" s="528"/>
      <c r="EV107" s="460"/>
      <c r="EW107" s="528"/>
      <c r="EX107" s="528"/>
      <c r="EY107" s="528"/>
      <c r="EZ107" s="528"/>
      <c r="FA107" s="528"/>
      <c r="FB107" s="460"/>
      <c r="FC107" s="173"/>
      <c r="FD107" s="5"/>
      <c r="FE107" s="173"/>
      <c r="FF107" s="5"/>
      <c r="FI107" s="562"/>
      <c r="FL107" t="e">
        <f>MIN(SQRT(2*L*DJ107*1000*CJ107*CN107)/CM107, 1-EA107)</f>
        <v>#DIV/0!</v>
      </c>
    </row>
    <row r="108" spans="5:168" ht="13">
      <c r="E108" s="445" t="s">
        <v>434</v>
      </c>
      <c r="H108" s="217"/>
      <c r="I108" s="541"/>
      <c r="J108" s="443"/>
      <c r="K108" s="443"/>
      <c r="L108" s="443"/>
      <c r="M108" s="217"/>
      <c r="N108" s="172">
        <f>Efficiency</f>
        <v>1</v>
      </c>
      <c r="O108" s="172"/>
      <c r="P108" s="217"/>
      <c r="Q108" s="217"/>
      <c r="R108" s="217"/>
      <c r="S108" s="172"/>
      <c r="T108" s="172"/>
      <c r="U108" s="217"/>
      <c r="V108" s="217"/>
      <c r="W108" s="217"/>
      <c r="X108" s="197"/>
      <c r="Y108" s="443"/>
      <c r="AA108" s="217"/>
      <c r="AB108" s="173"/>
      <c r="AC108" s="173"/>
      <c r="AD108" s="173"/>
      <c r="AE108" s="173"/>
      <c r="AF108" s="545"/>
      <c r="AI108" s="173"/>
      <c r="AJ108" s="173"/>
      <c r="AK108" s="173"/>
      <c r="AM108" s="545"/>
      <c r="AN108" s="460"/>
      <c r="AS108" s="5"/>
      <c r="AT108" s="5"/>
      <c r="AU108" s="5"/>
      <c r="AV108" s="5"/>
      <c r="AW108" s="173"/>
      <c r="AX108" s="173"/>
      <c r="AY108" s="173"/>
      <c r="AZ108" s="173"/>
      <c r="BA108" s="460"/>
      <c r="BB108" s="5"/>
      <c r="BD108" s="173"/>
      <c r="BE108" s="173"/>
      <c r="BG108" s="528"/>
      <c r="BH108" s="528"/>
      <c r="BI108" s="528"/>
      <c r="BJ108" s="528"/>
      <c r="BN108" s="460"/>
      <c r="BO108" s="528"/>
      <c r="BR108" s="460"/>
      <c r="BS108" s="528"/>
      <c r="BT108" s="528"/>
      <c r="BU108" s="528"/>
      <c r="BV108" s="528"/>
      <c r="BW108" s="528"/>
      <c r="BX108" s="460"/>
      <c r="BY108" s="173"/>
      <c r="BZ108" s="5"/>
      <c r="CA108" s="173"/>
      <c r="CB108" s="5"/>
      <c r="CE108" s="562">
        <f>Ioutmax_Vinmin</f>
        <v>0.8653785611250181</v>
      </c>
      <c r="CI108" s="445" t="s">
        <v>434</v>
      </c>
      <c r="CL108" s="217"/>
      <c r="CM108" s="541"/>
      <c r="CN108" s="443"/>
      <c r="CO108" s="443"/>
      <c r="CP108" s="443"/>
      <c r="CQ108" s="217"/>
      <c r="CR108" s="172">
        <f>Efficiency</f>
        <v>1</v>
      </c>
      <c r="CS108" s="172"/>
      <c r="CT108" s="217"/>
      <c r="CU108" s="217"/>
      <c r="CV108" s="217"/>
      <c r="CW108" s="172"/>
      <c r="CX108" s="172"/>
      <c r="CY108" s="217"/>
      <c r="CZ108" s="217"/>
      <c r="DA108" s="217"/>
      <c r="DB108" s="197"/>
      <c r="DC108" s="443"/>
      <c r="DE108" s="217"/>
      <c r="DF108" s="173"/>
      <c r="DG108" s="173"/>
      <c r="DH108" s="173"/>
      <c r="DI108" s="173"/>
      <c r="DJ108" s="545"/>
      <c r="DM108" s="173"/>
      <c r="DN108" s="173"/>
      <c r="DO108" s="173"/>
      <c r="DQ108" s="545"/>
      <c r="DR108" s="460"/>
      <c r="DW108" s="5"/>
      <c r="DX108" s="5"/>
      <c r="DY108" s="5"/>
      <c r="DZ108" s="5"/>
      <c r="EA108" s="173"/>
      <c r="EB108" s="173"/>
      <c r="EC108" s="173"/>
      <c r="ED108" s="173"/>
      <c r="EE108" s="460"/>
      <c r="EF108" s="5"/>
      <c r="EH108" s="173"/>
      <c r="EI108" s="173"/>
      <c r="EK108" s="528"/>
      <c r="EL108" s="528"/>
      <c r="EM108" s="528"/>
      <c r="EN108" s="528"/>
      <c r="ER108" s="460"/>
      <c r="ES108" s="528"/>
      <c r="EV108" s="460"/>
      <c r="EW108" s="528"/>
      <c r="EX108" s="528"/>
      <c r="EY108" s="528"/>
      <c r="EZ108" s="528"/>
      <c r="FA108" s="528"/>
      <c r="FB108" s="460"/>
      <c r="FC108" s="173"/>
      <c r="FD108" s="5"/>
      <c r="FE108" s="173"/>
      <c r="FF108" s="5"/>
      <c r="FI108" s="562">
        <f>Ioutmax_Vinmin</f>
        <v>0.8653785611250181</v>
      </c>
      <c r="FL108" t="e">
        <f>MIN(SQRT(2*L*DJ108*1000*CJ108*CN108)/CM108, 1-EA108)</f>
        <v>#DIV/0!</v>
      </c>
    </row>
    <row r="109" spans="5:168" ht="45" customHeight="1" thickBot="1">
      <c r="E109" s="241" t="s">
        <v>25</v>
      </c>
      <c r="F109" s="444" t="s">
        <v>194</v>
      </c>
      <c r="G109" s="260"/>
      <c r="H109" s="527" t="s">
        <v>223</v>
      </c>
      <c r="I109" s="242" t="s">
        <v>412</v>
      </c>
      <c r="J109" s="243" t="s">
        <v>418</v>
      </c>
      <c r="K109" s="527" t="s">
        <v>413</v>
      </c>
      <c r="L109" s="527"/>
      <c r="M109" s="244" t="s">
        <v>48</v>
      </c>
      <c r="N109" s="527" t="s">
        <v>402</v>
      </c>
      <c r="O109" s="527" t="s">
        <v>656</v>
      </c>
      <c r="P109" s="527" t="s">
        <v>403</v>
      </c>
      <c r="Q109" s="527" t="s">
        <v>433</v>
      </c>
      <c r="R109" s="527" t="s">
        <v>654</v>
      </c>
      <c r="S109" s="527" t="s">
        <v>657</v>
      </c>
      <c r="T109" s="527" t="s">
        <v>655</v>
      </c>
      <c r="U109" s="527" t="s">
        <v>414</v>
      </c>
      <c r="V109" s="527" t="s">
        <v>466</v>
      </c>
      <c r="W109" s="527" t="s">
        <v>465</v>
      </c>
      <c r="X109" s="546" t="s">
        <v>420</v>
      </c>
      <c r="Y109" s="542" t="s">
        <v>425</v>
      </c>
      <c r="AA109" s="245" t="s">
        <v>417</v>
      </c>
      <c r="AB109" s="245" t="s">
        <v>464</v>
      </c>
      <c r="AC109" s="245" t="s">
        <v>423</v>
      </c>
      <c r="AD109" s="544"/>
      <c r="AE109" s="245" t="s">
        <v>463</v>
      </c>
      <c r="AF109" s="245" t="s">
        <v>681</v>
      </c>
      <c r="AG109" s="245" t="s">
        <v>427</v>
      </c>
      <c r="AH109" s="544"/>
      <c r="AI109" s="245" t="s">
        <v>429</v>
      </c>
      <c r="AJ109" s="547" t="s">
        <v>430</v>
      </c>
      <c r="AK109" s="547" t="s">
        <v>431</v>
      </c>
      <c r="AM109" s="543" t="s">
        <v>275</v>
      </c>
      <c r="AN109" s="543" t="s">
        <v>432</v>
      </c>
      <c r="AP109" s="245" t="s">
        <v>275</v>
      </c>
      <c r="AQ109" s="245" t="s">
        <v>432</v>
      </c>
      <c r="AR109" s="548"/>
      <c r="AS109" s="245" t="s">
        <v>467</v>
      </c>
      <c r="AT109" s="245" t="s">
        <v>461</v>
      </c>
      <c r="AU109" s="245" t="s">
        <v>462</v>
      </c>
      <c r="AV109" s="245" t="s">
        <v>653</v>
      </c>
      <c r="AW109" s="245" t="s">
        <v>48</v>
      </c>
      <c r="AX109" s="548" t="s">
        <v>651</v>
      </c>
      <c r="AY109" s="544" t="s">
        <v>650</v>
      </c>
      <c r="AZ109" s="544" t="s">
        <v>652</v>
      </c>
      <c r="BA109" s="245" t="s">
        <v>481</v>
      </c>
      <c r="BB109" s="245" t="s">
        <v>514</v>
      </c>
      <c r="BC109" s="544"/>
      <c r="BD109" s="557" t="s">
        <v>456</v>
      </c>
      <c r="BE109" s="245" t="s">
        <v>457</v>
      </c>
      <c r="BF109" s="544"/>
      <c r="BG109" s="557" t="s">
        <v>474</v>
      </c>
      <c r="BH109" s="245" t="s">
        <v>475</v>
      </c>
      <c r="BI109" s="245" t="s">
        <v>473</v>
      </c>
      <c r="BJ109" s="245" t="s">
        <v>469</v>
      </c>
      <c r="BK109" s="245" t="s">
        <v>478</v>
      </c>
      <c r="BL109" s="245" t="s">
        <v>777</v>
      </c>
      <c r="BM109" s="245" t="s">
        <v>776</v>
      </c>
      <c r="BN109" s="245" t="s">
        <v>491</v>
      </c>
      <c r="BO109" s="557" t="s">
        <v>476</v>
      </c>
      <c r="BP109" s="245" t="s">
        <v>477</v>
      </c>
      <c r="BQ109" s="245" t="s">
        <v>483</v>
      </c>
      <c r="BR109" s="245" t="s">
        <v>487</v>
      </c>
      <c r="BS109" s="557" t="s">
        <v>458</v>
      </c>
      <c r="BT109" s="245" t="s">
        <v>459</v>
      </c>
      <c r="BU109" s="245" t="s">
        <v>468</v>
      </c>
      <c r="BV109" s="245" t="s">
        <v>666</v>
      </c>
      <c r="BW109" s="245" t="s">
        <v>484</v>
      </c>
      <c r="BX109" s="245" t="s">
        <v>667</v>
      </c>
      <c r="BY109" s="557" t="s">
        <v>482</v>
      </c>
      <c r="BZ109" s="245" t="s">
        <v>223</v>
      </c>
      <c r="CA109" s="245" t="s">
        <v>47</v>
      </c>
      <c r="CB109" s="245" t="s">
        <v>485</v>
      </c>
      <c r="CC109" s="245"/>
      <c r="CE109" s="569" t="s">
        <v>664</v>
      </c>
      <c r="CF109" s="569" t="s">
        <v>665</v>
      </c>
      <c r="CG109" s="781" t="s">
        <v>828</v>
      </c>
      <c r="CI109" s="241" t="s">
        <v>25</v>
      </c>
      <c r="CJ109" s="444" t="s">
        <v>194</v>
      </c>
      <c r="CK109" s="260"/>
      <c r="CL109" s="527" t="s">
        <v>223</v>
      </c>
      <c r="CM109" s="242" t="s">
        <v>412</v>
      </c>
      <c r="CN109" s="243" t="s">
        <v>418</v>
      </c>
      <c r="CO109" s="527" t="s">
        <v>413</v>
      </c>
      <c r="CP109" s="527"/>
      <c r="CQ109" s="244" t="s">
        <v>48</v>
      </c>
      <c r="CR109" s="527" t="s">
        <v>402</v>
      </c>
      <c r="CS109" s="527" t="s">
        <v>656</v>
      </c>
      <c r="CT109" s="527" t="s">
        <v>403</v>
      </c>
      <c r="CU109" s="527" t="s">
        <v>433</v>
      </c>
      <c r="CV109" s="527" t="s">
        <v>654</v>
      </c>
      <c r="CW109" s="527" t="s">
        <v>657</v>
      </c>
      <c r="CX109" s="527" t="s">
        <v>655</v>
      </c>
      <c r="CY109" s="527" t="s">
        <v>414</v>
      </c>
      <c r="CZ109" s="527" t="s">
        <v>466</v>
      </c>
      <c r="DA109" s="527" t="s">
        <v>465</v>
      </c>
      <c r="DB109" s="546" t="s">
        <v>420</v>
      </c>
      <c r="DC109" s="542" t="s">
        <v>425</v>
      </c>
      <c r="DE109" s="245" t="s">
        <v>417</v>
      </c>
      <c r="DF109" s="245" t="s">
        <v>464</v>
      </c>
      <c r="DG109" s="245" t="s">
        <v>423</v>
      </c>
      <c r="DH109" s="544"/>
      <c r="DI109" s="245" t="s">
        <v>463</v>
      </c>
      <c r="DJ109" s="245" t="s">
        <v>681</v>
      </c>
      <c r="DK109" s="245" t="s">
        <v>427</v>
      </c>
      <c r="DL109" s="544"/>
      <c r="DM109" s="245" t="s">
        <v>429</v>
      </c>
      <c r="DN109" s="547" t="s">
        <v>430</v>
      </c>
      <c r="DO109" s="547" t="s">
        <v>431</v>
      </c>
      <c r="DQ109" s="543" t="s">
        <v>275</v>
      </c>
      <c r="DR109" s="543" t="s">
        <v>432</v>
      </c>
      <c r="DT109" s="245" t="s">
        <v>275</v>
      </c>
      <c r="DU109" s="245" t="s">
        <v>432</v>
      </c>
      <c r="DV109" s="548"/>
      <c r="DW109" s="245" t="s">
        <v>467</v>
      </c>
      <c r="DX109" s="245" t="s">
        <v>461</v>
      </c>
      <c r="DY109" s="245" t="s">
        <v>462</v>
      </c>
      <c r="DZ109" s="245" t="s">
        <v>653</v>
      </c>
      <c r="EA109" s="245" t="s">
        <v>48</v>
      </c>
      <c r="EB109" s="548" t="s">
        <v>651</v>
      </c>
      <c r="EC109" s="544" t="s">
        <v>650</v>
      </c>
      <c r="ED109" s="544" t="s">
        <v>652</v>
      </c>
      <c r="EE109" s="245" t="s">
        <v>481</v>
      </c>
      <c r="EF109" s="245" t="s">
        <v>514</v>
      </c>
      <c r="EG109" s="544"/>
      <c r="EH109" s="557" t="s">
        <v>456</v>
      </c>
      <c r="EI109" s="245" t="s">
        <v>457</v>
      </c>
      <c r="EJ109" s="544"/>
      <c r="EK109" s="557" t="s">
        <v>474</v>
      </c>
      <c r="EL109" s="245" t="s">
        <v>475</v>
      </c>
      <c r="EM109" s="245" t="s">
        <v>473</v>
      </c>
      <c r="EN109" s="245" t="s">
        <v>469</v>
      </c>
      <c r="EO109" s="245" t="s">
        <v>478</v>
      </c>
      <c r="EP109" s="245" t="s">
        <v>777</v>
      </c>
      <c r="EQ109" s="245" t="s">
        <v>776</v>
      </c>
      <c r="ER109" s="245" t="s">
        <v>491</v>
      </c>
      <c r="ES109" s="557" t="s">
        <v>476</v>
      </c>
      <c r="ET109" s="245" t="s">
        <v>477</v>
      </c>
      <c r="EU109" s="245" t="s">
        <v>483</v>
      </c>
      <c r="EV109" s="245" t="s">
        <v>487</v>
      </c>
      <c r="EW109" s="557" t="s">
        <v>458</v>
      </c>
      <c r="EX109" s="245" t="s">
        <v>459</v>
      </c>
      <c r="EY109" s="245" t="s">
        <v>468</v>
      </c>
      <c r="EZ109" s="245" t="s">
        <v>666</v>
      </c>
      <c r="FA109" s="245" t="s">
        <v>484</v>
      </c>
      <c r="FB109" s="245" t="s">
        <v>667</v>
      </c>
      <c r="FC109" s="557" t="s">
        <v>482</v>
      </c>
      <c r="FD109" s="245" t="s">
        <v>223</v>
      </c>
      <c r="FE109" s="245" t="s">
        <v>47</v>
      </c>
      <c r="FF109" s="245" t="s">
        <v>485</v>
      </c>
      <c r="FG109" s="245"/>
      <c r="FI109" s="569" t="s">
        <v>664</v>
      </c>
      <c r="FJ109" s="569" t="s">
        <v>665</v>
      </c>
      <c r="FL109" t="s">
        <v>825</v>
      </c>
    </row>
    <row r="110" spans="5:168">
      <c r="E110" s="170">
        <v>0.1</v>
      </c>
      <c r="F110" s="217">
        <v>1.0000000000000001E-9</v>
      </c>
      <c r="G110" s="217"/>
      <c r="H110" s="217">
        <f t="shared" ref="H110:H141" si="315">F110*Vout</f>
        <v>1.7000000000000001E-7</v>
      </c>
      <c r="I110" s="541">
        <f t="shared" ref="I110:I141" si="316">VIN_min-F110*(Rdcr_pri+RON/1000)/CG110/Nps</f>
        <v>8.9997365295715515</v>
      </c>
      <c r="J110" s="172">
        <f t="shared" ref="J110:J141" si="317">(T110+Vfwd1+F110/CG110*Rdcr_sec)*Nps</f>
        <v>8.5250002822897439</v>
      </c>
      <c r="K110" s="172">
        <f t="shared" ref="K110:K141" si="318">(Vout+Vfwd1+F110/CG110*Rdcr_sec)*Nps++I110</f>
        <v>17.524736811861295</v>
      </c>
      <c r="L110" s="443"/>
      <c r="M110" s="217">
        <f t="shared" ref="M110:M141" si="319">(Vout+Vfwd1+F110/FL110*Rdcr_sec)*Nps/((Vout+Vfwd1+F110/FL110*Rdcr_sec)*Nps+I110)</f>
        <v>0.48645525316721377</v>
      </c>
      <c r="N110" s="172">
        <f>M110*I110*(Isw_max+VIN_min/Lmag*ILIM_delay)*0.5*Efficiency</f>
        <v>147.11435539125307</v>
      </c>
      <c r="O110" s="172">
        <f t="shared" si="284"/>
        <v>1.7000000000000001E-7</v>
      </c>
      <c r="P110" s="217">
        <f t="shared" ref="P110:P141" si="320">N110/Vout</f>
        <v>0.8653785611250181</v>
      </c>
      <c r="Q110" s="217">
        <f t="shared" ref="Q110:Q141" si="321">MIN(Vout,N110/F110)</f>
        <v>170</v>
      </c>
      <c r="R110" s="217"/>
      <c r="S110" s="172">
        <f t="shared" ref="S110:S141" si="322">(SQRT(Isw_max^2*Nps^2*I110^2+4*Isw_max*F110/Efficiency*(Nps^2*Vfwd1*I110-Nps*I110^2)+4*(F110/Efficiency)^2*Nps^2*Vfwd1^2+8*(F110/Efficiency)^2*Nps*Vfwd1*I110+4*(F110/Efficiency)^2*I110^2)-2*F110/Efficiency*I110-2*F110/Efficiency*Nps*Vfwd1+Isw_max*Nps*I110)/(4*F110/Efficiency*Nps)</f>
        <v>299991217472.39032</v>
      </c>
      <c r="T110" s="172">
        <f t="shared" ref="T110:T141" si="323">MIN(Vout, S110)</f>
        <v>170</v>
      </c>
      <c r="U110" s="217">
        <f t="shared" ref="U110:U141" si="324">MIN(2*(Vout+Vfwd1+F110/FL110*Rdcr_sec)*F110/(I110*M110), Isw_max)</f>
        <v>7.7889999355838569E-8</v>
      </c>
      <c r="V110" s="217">
        <f t="shared" ref="V110:V141" si="325">L*U110/I110*1000000</f>
        <v>4.3273488673754904E-9</v>
      </c>
      <c r="W110" s="217">
        <f t="shared" ref="W110:W141" si="326">L*U110/J110*1000000</f>
        <v>4.5683282566952565E-9</v>
      </c>
      <c r="X110" s="197">
        <f t="shared" ref="X110:X141" si="327">IF(1/((350000*L)*(1/I110+1/J110))&gt;Isw_min, 350, 0.001/((Isw_min*L)*(1/I110+1/J110)))</f>
        <v>350</v>
      </c>
      <c r="Y110" s="443">
        <f t="shared" ref="Y110:Y173" si="328">MIN(1/(V110+W110+0.2)*1000, 350)</f>
        <v>350</v>
      </c>
      <c r="AA110" s="217">
        <f t="shared" ref="AA110:AA141" si="329">1/((X110*1000*L)*(1/I110+1/J110))</f>
        <v>25.016966353265996</v>
      </c>
      <c r="AB110" s="173">
        <f t="shared" ref="AB110:AB141" si="330">L*AA110/J110*1000000</f>
        <v>1.4672707052712641</v>
      </c>
      <c r="AC110" s="173">
        <f t="shared" ref="AC110:AC141" si="331">0.5*AB110*AA110*Nps*X110/1000</f>
        <v>0.32118329131791074</v>
      </c>
      <c r="AD110" s="173"/>
      <c r="AE110" s="173">
        <f t="shared" ref="AE110:AE141" si="332">L*Isw_min/J110*1000000</f>
        <v>0.78201365934454325</v>
      </c>
      <c r="AF110" s="545">
        <f t="shared" ref="AF110:AF141" si="333">MAX(12000,F110/(0.5*AE110/1000000*Isw_min*Nps))/1000</f>
        <v>12</v>
      </c>
      <c r="AG110" s="528">
        <f t="shared" ref="AG110:AG141" si="334">0.5*AE110/1000000*Isw_min*Nps*X110*1000</f>
        <v>9.1234926923530066E-2</v>
      </c>
      <c r="AI110" s="173">
        <f t="shared" ref="AI110:AI141" si="335">SQRT(F110/(0.5*L/J110*Fsw_DCM*Nps))</f>
        <v>1.3959124231465235E-3</v>
      </c>
      <c r="AJ110" s="173">
        <f t="shared" ref="AJ110:AJ141" si="336">MAX(IF(F110&gt;AC110,U110,AI110),Isw_min)</f>
        <v>13.333333333333334</v>
      </c>
      <c r="AK110" s="173">
        <f t="shared" ref="AK110:AK141" si="337">IF(F110&gt;AG110, (AJ110-Isw_min)/1.08*0.8+1.2, AF110*0.2/350+1)</f>
        <v>1.0068571428571429</v>
      </c>
      <c r="AM110" s="545">
        <f t="shared" ref="AM110:AM141" si="338">F110*1000</f>
        <v>1.0000000000000002E-6</v>
      </c>
      <c r="AN110" s="460">
        <f t="shared" ref="AN110:AN141" si="339">IF(F110&gt;AG110, Y110, AF110)</f>
        <v>12</v>
      </c>
      <c r="AP110" s="460">
        <f t="shared" ref="AP110:AP141" si="340">IF(H110&gt;N110, "",AM110)</f>
        <v>1.0000000000000002E-6</v>
      </c>
      <c r="AQ110" s="460">
        <f t="shared" ref="AQ110:AQ141" si="341">IF(H110&gt;N110, "",AN110)</f>
        <v>12</v>
      </c>
      <c r="AS110" s="5">
        <f t="shared" si="285"/>
        <v>83.333333333333329</v>
      </c>
      <c r="AT110" s="5">
        <f t="shared" ref="AT110:AT141" si="342">L*AJ110/I110*1000000</f>
        <v>0.74076242618449695</v>
      </c>
      <c r="AU110" s="5">
        <f t="shared" ref="AU110:AU169" si="343">AS110-AT110</f>
        <v>82.592570907148826</v>
      </c>
      <c r="AV110" s="5"/>
      <c r="AW110" s="173">
        <f t="shared" ref="AW110:AW169" si="344">AT110/AS110</f>
        <v>8.8891491142139636E-3</v>
      </c>
      <c r="AX110" s="173">
        <f t="shared" si="214"/>
        <v>0.53333333333333333</v>
      </c>
      <c r="AY110" s="173">
        <f t="shared" si="215"/>
        <v>0.33037028362859538</v>
      </c>
      <c r="AZ110" s="173">
        <f t="shared" si="288"/>
        <v>1.6143501996472251</v>
      </c>
      <c r="BA110" s="460">
        <f t="shared" ref="BA110:BA116" si="345">F110*AT110/Vout_ripple*1000</f>
        <v>4.3574260363793939E-10</v>
      </c>
      <c r="BB110" s="5">
        <f t="shared" ref="BB110:BB116" si="346">H110/Efficiency/I110*AU110/Vinripple1</f>
        <v>2.4962041069677824E-6</v>
      </c>
      <c r="BD110" s="173">
        <f t="shared" si="289"/>
        <v>0.72578536217908118</v>
      </c>
      <c r="BE110" s="173">
        <f t="shared" si="218"/>
        <v>0.38318564321783327</v>
      </c>
      <c r="BG110" s="528">
        <f t="shared" ref="BG110:BG169" si="347">Rdson*BD110^2</f>
        <v>2.1070575678136801E-2</v>
      </c>
      <c r="BH110" s="528">
        <f t="shared" ref="BH110:BH141" si="348">0.5*K110*AJ110*AN110*1000*Tfall</f>
        <v>6.3089052522700667E-2</v>
      </c>
      <c r="BI110" s="528">
        <f t="shared" ref="BI110:BI141" si="349">Qg*Vdd*AN110*1000*0+Qg*I110*AN110*1000</f>
        <v>4.3198735341943451E-3</v>
      </c>
      <c r="BJ110" s="528">
        <f t="shared" ref="BJ110:BJ169" si="350">0.5*(Coss+Csw)*K110^2*AN110*1000</f>
        <v>7.3707936078001553E-4</v>
      </c>
      <c r="BK110">
        <f t="shared" ref="BK110:BK169" si="351">I110*IQ</f>
        <v>4.0498814383071978E-3</v>
      </c>
      <c r="BL110" s="460">
        <f>(BK110+BI110)*1000</f>
        <v>8.3697549725015428</v>
      </c>
      <c r="BM110" s="528">
        <f t="shared" ref="BM110:BM141" si="352">(BH110+BI110*0+BJ110+BK110*0+BG110*(1+RdsonTC*(Ta-25)))/(1-BG110*RdsonTC*ThetaJA)</f>
        <v>9.1041550571279717E-2</v>
      </c>
      <c r="BN110" s="460">
        <f t="shared" ref="BN110:BN173" si="353">BM110*1000</f>
        <v>91.041550571279714</v>
      </c>
      <c r="BO110" s="528">
        <f t="shared" ref="BO110:BO169" si="354">Vfwd2*F110</f>
        <v>6.9999999999999996E-10</v>
      </c>
      <c r="BR110" s="460">
        <f t="shared" ref="BR110:BR169" si="355">SUM(BO110:BQ110)*1000</f>
        <v>6.9999999999999997E-7</v>
      </c>
      <c r="BS110" s="528">
        <f t="shared" ref="BS110:BS169" si="356">Rdcr_pri*BD110^2</f>
        <v>1.58029317586026E-2</v>
      </c>
      <c r="BT110" s="528">
        <f t="shared" ref="BT110:BT169" si="357">Rdcr_sec*BE110^2</f>
        <v>4.4049371150479376E-3</v>
      </c>
      <c r="BU110" s="528">
        <f t="shared" ref="BU110:BU169" si="358">AJ110^2.5*AN110^2.5*k_core</f>
        <v>1.6190861620062107E-2</v>
      </c>
      <c r="BV110" s="528"/>
      <c r="BW110" s="528">
        <f t="shared" ref="BW110:BW169" si="359">0.5*Lleak*0.000000001*AJ110^2*AN110*1000</f>
        <v>5.3333333333333337E-2</v>
      </c>
      <c r="BX110" s="460">
        <f t="shared" ref="BX110:BX169" si="360">SUM(BS110:BW110)*1000</f>
        <v>89.732063827045991</v>
      </c>
      <c r="BY110" s="173">
        <f t="shared" ref="BY110:BY169" si="361">SUM(BG110:BK110,BO110:BQ110,BS110:BW110)</f>
        <v>0.18299852706116504</v>
      </c>
      <c r="BZ110" s="5">
        <f t="shared" ref="BZ110:BZ169" si="362">MIN(H110,O110)</f>
        <v>1.7000000000000001E-7</v>
      </c>
      <c r="CA110" s="173">
        <f t="shared" ref="CA110:CA169" si="363">BZ110/(BZ110+BY110)</f>
        <v>9.289683627811822E-7</v>
      </c>
      <c r="CB110" s="5">
        <f t="shared" ref="CB110:CB169" si="364">CA110*100</f>
        <v>9.289683627811822E-5</v>
      </c>
      <c r="CE110" s="562">
        <f t="shared" ref="CE110:CE141" si="365">IF(ABS(F110-Ioutmax_Vinmin)&lt;Iout/200, AN110, -50)</f>
        <v>-50</v>
      </c>
      <c r="CF110">
        <f t="shared" ref="CF110:CF141" si="366">IF(ABS(F110-Ioutmax_Vinmin)&lt;Iout/200, N110*CA110, -50)</f>
        <v>-50</v>
      </c>
      <c r="CG110" s="173">
        <f t="shared" ref="CG110:CG141" si="367">MIN(SQRT(2*DU110*1000*Ls1_*CL110)/CU110,1-EA110-0.00000005*DU110*1000)</f>
        <v>5.313689313240571E-6</v>
      </c>
      <c r="CI110" s="170">
        <v>0.1</v>
      </c>
      <c r="CJ110" s="217">
        <v>1.0000000000000001E-9</v>
      </c>
      <c r="CK110" s="217"/>
      <c r="CL110" s="217">
        <f t="shared" ref="CL110:CL173" si="368">CJ110*Vout</f>
        <v>1.7000000000000001E-7</v>
      </c>
      <c r="CM110" s="541">
        <f t="shared" ref="CM110:CM173" si="369">VIN_min</f>
        <v>9</v>
      </c>
      <c r="CN110" s="443">
        <f t="shared" ref="CN110:CN173" si="370">(CX110+Vfwd1)*Nps</f>
        <v>8.5250000000000004</v>
      </c>
      <c r="CO110" s="443">
        <f t="shared" ref="CO110:CO173" si="371">(Vout+Vfwd1)*Nps+CM110</f>
        <v>17.524999999999999</v>
      </c>
      <c r="CP110" s="443"/>
      <c r="CQ110" s="217">
        <f t="shared" ref="CQ110:CQ173" si="372">(Vout+Vfwd1)*Nps/((Vout+Vfwd1)*Nps+CM110)</f>
        <v>0.48644793152639093</v>
      </c>
      <c r="CR110" s="172">
        <f>CQ110*CM110*(Isw_max+VIN_min/Lmag*ILIM_delay)*0.5*Efficiency</f>
        <v>147.11644793152644</v>
      </c>
      <c r="CS110" s="172">
        <f t="shared" ref="CS110:CS173" si="373">CX110*CJ110</f>
        <v>1.7000000000000001E-7</v>
      </c>
      <c r="CT110" s="217">
        <f t="shared" ref="CT110:CT173" si="374">CR110/Vout</f>
        <v>0.86539087018544958</v>
      </c>
      <c r="CU110" s="217">
        <f t="shared" ref="CU110:CU173" si="375">MIN(Vout,CR110/CJ110)</f>
        <v>170</v>
      </c>
      <c r="CV110" s="217"/>
      <c r="CW110" s="172">
        <f t="shared" ref="CW110:CW173" si="376">(SQRT(Isw_max^2*Nps^2*CM110^2+4*Isw_max*CJ110/Efficiency*(Nps^2*Vfwd1*CM110-Nps*CM110^2)+4*(CJ110/Efficiency)^2*Nps^2*Vfwd1^2+8*(CJ110/Efficiency)^2*Nps*Vfwd1*CM110+4*(CJ110/Efficiency)^2*CM110^2)-2*CJ110/Efficiency*CM110-2*CJ110/Efficiency*Nps*Vfwd1+Isw_max*Nps*CM110)/(4*CJ110/Efficiency*Nps)</f>
        <v>299999999820</v>
      </c>
      <c r="CX110" s="172">
        <f t="shared" ref="CX110:CX173" si="377">MIN(Vout, CW110)</f>
        <v>170</v>
      </c>
      <c r="CY110" s="217">
        <f t="shared" ref="CY110:CY173" si="378">MIN(2*Vout*CJ110/(Efficiency*CM110*CQ110), Isw_max)</f>
        <v>7.7660475724991856E-8</v>
      </c>
      <c r="CZ110" s="217">
        <f t="shared" ref="CZ110:CZ173" si="379">L*CY110/CM110*1000000</f>
        <v>4.3144708736106581E-9</v>
      </c>
      <c r="DA110" s="217">
        <f t="shared" ref="DA110:DA173" si="380">L*CY110/CN110*1000000</f>
        <v>4.5548666114364723E-9</v>
      </c>
      <c r="DB110" s="197">
        <f t="shared" ref="DB110:DB173" si="381">IF(1/((350000*L)*(1/CM110+1/CN110))&gt;Isw_min, 350, 0.001/((Isw_min*L)*(1/CM110+1/CN110)))</f>
        <v>350</v>
      </c>
      <c r="DC110" s="443">
        <f t="shared" ref="DC110:DC173" si="382">MIN(1/(CZ110+DA110)*1000, 350)</f>
        <v>350</v>
      </c>
      <c r="DE110" s="217">
        <f t="shared" ref="DE110:DE173" si="383">1/((DB110*1000*L)*(1/CM110+1/CN110))</f>
        <v>25.017322192785819</v>
      </c>
      <c r="DF110" s="173">
        <f t="shared" ref="DF110:DF173" si="384">L*DE110/CN110*1000000</f>
        <v>1.467291624210312</v>
      </c>
      <c r="DG110" s="173">
        <f t="shared" ref="DG110:DG173" si="385">0.5*DF110*DE110*Nps*DB110/1000</f>
        <v>0.32119243899439714</v>
      </c>
      <c r="DH110" s="173"/>
      <c r="DI110" s="173">
        <f t="shared" ref="DI110:DI173" si="386">L*Isw_min/CN110*1000000</f>
        <v>0.78201368523949166</v>
      </c>
      <c r="DJ110" s="545">
        <f t="shared" ref="DJ110:DJ173" si="387">MAX(12000,CJ110/(0.5*DI110/1000000*Isw_min*Nps))/1000</f>
        <v>12</v>
      </c>
      <c r="DK110" s="528">
        <f t="shared" ref="DK110:DK173" si="388">0.5*DI110/1000000*Isw_min*Nps*DB110*1000</f>
        <v>9.1234929944607357E-2</v>
      </c>
      <c r="DM110" s="173">
        <f t="shared" ref="DM110:DM173" si="389">SQRT(CJ110/(0.5*L/CN110*Fsw_DCM*Nps))</f>
        <v>1.3959124000349839E-3</v>
      </c>
      <c r="DN110" s="173">
        <f t="shared" ref="DN110:DN173" si="390">MAX(IF(CJ110&gt;DG110,CY110,DM110),Isw_min)</f>
        <v>13.333333333333334</v>
      </c>
      <c r="DO110" s="173">
        <f t="shared" ref="DO110:DO173" si="391">IF(CJ110&gt;DK110, (DN110-Isw_min)/1.08*0.8+1.2, DJ110*0.2/350+1)</f>
        <v>1.0068571428571429</v>
      </c>
      <c r="DQ110" s="545">
        <f t="shared" ref="DQ110:DQ173" si="392">CJ110*1000</f>
        <v>1.0000000000000002E-6</v>
      </c>
      <c r="DR110" s="460">
        <f t="shared" ref="DR110:DR173" si="393">IF(CJ110&gt;DK110, DC110, DJ110)</f>
        <v>12</v>
      </c>
      <c r="DT110" s="460">
        <f>IF(CL110&gt;CR110, "",DQ110)</f>
        <v>1.0000000000000002E-6</v>
      </c>
      <c r="DU110" s="460">
        <f>IF(CL110&gt;CR110, "",DR110)</f>
        <v>12</v>
      </c>
      <c r="DW110" s="5">
        <f t="shared" ref="DW110:DW173" si="394">1/DR110*1000</f>
        <v>83.333333333333329</v>
      </c>
      <c r="DX110" s="5">
        <f t="shared" ref="DX110:DX173" si="395">L*DN110/CM110*1000000</f>
        <v>0.7407407407407407</v>
      </c>
      <c r="DY110" s="5">
        <f t="shared" ref="DY110:DY173" si="396">DW110-DX110</f>
        <v>82.592592592592581</v>
      </c>
      <c r="DZ110" s="5"/>
      <c r="EA110" s="173">
        <f t="shared" ref="EA110:EA173" si="397">DX110/DW110</f>
        <v>8.8888888888888889E-3</v>
      </c>
      <c r="EB110" s="173">
        <f t="shared" ref="EB110:EB173" si="398">0.5*L*DN110^2*DR110*1000</f>
        <v>0.53333333333333333</v>
      </c>
      <c r="EC110" s="173">
        <f t="shared" ref="EC110:EC173" si="399">DN110*Nps/2*(1-EA110)</f>
        <v>0.33037037037037043</v>
      </c>
      <c r="ED110" s="173">
        <f t="shared" ref="ED110:ED173" si="400">EB110/EC110</f>
        <v>1.6143497757847531</v>
      </c>
      <c r="EE110" s="460">
        <f t="shared" ref="EE110:EE173" si="401">CJ110*DX110/Vout_ripple*1000</f>
        <v>4.3572984749455332E-10</v>
      </c>
      <c r="EF110" s="5">
        <f t="shared" ref="EF110:EF173" si="402">CL110/Efficiency/CM110*DY110/Vinripple1</f>
        <v>2.4961316872427982E-6</v>
      </c>
      <c r="EH110" s="173">
        <f t="shared" ref="EH110:EH173" si="403">DN110*SQRT(EA110/3)</f>
        <v>0.72577473860242314</v>
      </c>
      <c r="EI110" s="173">
        <f t="shared" ref="EI110:EI173" si="404">DN110*Nps*SQRT((1-EA110)/3)</f>
        <v>0.3831856935222982</v>
      </c>
      <c r="EK110" s="528">
        <f t="shared" ref="EK110:EK173" si="405">Rdson*EH110^2</f>
        <v>2.1069958847736627E-2</v>
      </c>
      <c r="EL110" s="528">
        <f t="shared" ref="EL110:EL173" si="406">0.5*CO110*DN110*DR110*1000*Trise</f>
        <v>7.7109999999999998E-2</v>
      </c>
      <c r="EM110" s="528">
        <f t="shared" ref="EM110:EM173" si="407">Qg*Vdd*DR110*1000</f>
        <v>2.3999999999999998E-3</v>
      </c>
      <c r="EN110" s="528">
        <f t="shared" ref="EN110:EN173" si="408">0.5*(Coss+Csw)*CO110^2*DR110*1000</f>
        <v>7.3710150000000005E-4</v>
      </c>
      <c r="EO110">
        <f t="shared" ref="EO110:EO173" si="409">CM110*IQ</f>
        <v>4.0499999999999998E-3</v>
      </c>
      <c r="EP110" s="460">
        <f t="shared" ref="EP110:EP173" si="410">(EO110+EM110)*1000</f>
        <v>6.4499999999999993</v>
      </c>
      <c r="EQ110" s="460"/>
      <c r="ER110" s="460">
        <f>SUM(EK110:EO110)*1000</f>
        <v>105.36706034773663</v>
      </c>
      <c r="ES110" s="528">
        <f t="shared" ref="ES110:ES173" si="411">Vfwd2*CJ110</f>
        <v>6.9999999999999996E-10</v>
      </c>
      <c r="EV110" s="460">
        <f t="shared" ref="EV110:EV169" si="412">SUM(ES110:EU110)*1000</f>
        <v>6.9999999999999997E-7</v>
      </c>
      <c r="EW110" s="528">
        <f t="shared" ref="EW110:EW173" si="413">Rdcr_pri*EH110^2</f>
        <v>1.580246913580247E-2</v>
      </c>
      <c r="EX110" s="528">
        <f t="shared" ref="EX110:EX173" si="414">Rdcr_sec*EI110^2</f>
        <v>4.4049382716049388E-3</v>
      </c>
      <c r="EY110" s="528">
        <f t="shared" ref="EY110:EY173" si="415">DN110^2.5*DR110^2.5*k_core</f>
        <v>1.6190861620062107E-2</v>
      </c>
      <c r="EZ110" s="528"/>
      <c r="FA110" s="528">
        <f t="shared" ref="FA110:FA173" si="416">0.5*Lleak*0.000000001*DN110^2*DR110*1000</f>
        <v>5.3333333333333337E-2</v>
      </c>
      <c r="FB110" s="460">
        <f t="shared" ref="FB110:FB173" si="417">SUM(EW110:FA110)*1000</f>
        <v>89.731602360802853</v>
      </c>
      <c r="FC110" s="173">
        <f t="shared" ref="FC110:FC173" si="418">SUM(EK110:EO110,ES110:EU110,EW110:FA110)</f>
        <v>0.19509866340853949</v>
      </c>
      <c r="FD110" s="5">
        <f t="shared" ref="FD110:FD173" si="419">MIN(CL110,CS110)</f>
        <v>1.7000000000000001E-7</v>
      </c>
      <c r="FE110" s="173">
        <f t="shared" ref="FE110:FE173" si="420">FD110/(FD110+FC110)</f>
        <v>8.7135323686952974E-7</v>
      </c>
      <c r="FF110" s="5">
        <f t="shared" ref="FF110:FF173" si="421">FE110*100</f>
        <v>8.7135323686952972E-5</v>
      </c>
      <c r="FI110" s="562">
        <f t="shared" ref="FI110:FI173" si="422">IF(ABS(CJ110-Ioutmax_Vinmin)&lt;Iout/200, DR110, -50)</f>
        <v>-50</v>
      </c>
      <c r="FJ110">
        <f t="shared" ref="FJ110:FJ173" si="423">IF(ABS(CJ110-Ioutmax_Vinmin)&lt;Iout/200, CR110*FE110, -50)</f>
        <v>-50</v>
      </c>
      <c r="FL110">
        <f t="shared" ref="FL110:FL141" si="424">MIN(SQRT(2*L*DR110*1000*CJ110*(CX110+Vfwd1))/(Nps*(CX110+Vfwd1)), 1-EA110)</f>
        <v>5.3058922594245823E-6</v>
      </c>
    </row>
    <row r="111" spans="5:168">
      <c r="E111" s="170">
        <v>1</v>
      </c>
      <c r="F111" s="217">
        <f t="shared" ref="F111:F142" si="425">IF(PLOT_TYPE=1, E111/100*Iout_max, min_I*EXP(N111*rr/100))</f>
        <v>6.0000000000000001E-3</v>
      </c>
      <c r="G111" s="217"/>
      <c r="H111" s="217">
        <f t="shared" si="315"/>
        <v>1.02</v>
      </c>
      <c r="I111" s="541">
        <f t="shared" si="316"/>
        <v>8.5340180977031768</v>
      </c>
      <c r="J111" s="172">
        <f t="shared" si="317"/>
        <v>8.5254992663238891</v>
      </c>
      <c r="K111" s="172">
        <f t="shared" si="318"/>
        <v>17.059517364027066</v>
      </c>
      <c r="L111" s="443"/>
      <c r="M111" s="217">
        <f t="shared" si="319"/>
        <v>0.49975034178414673</v>
      </c>
      <c r="N111" s="172">
        <f t="shared" ref="N111:N141" si="426">M111*I111*(Isw_max+VIN_min/Lmag*ILIM_delay)*0.5*Efficiency</f>
        <v>143.31413255514408</v>
      </c>
      <c r="O111" s="172">
        <f t="shared" si="284"/>
        <v>1.02</v>
      </c>
      <c r="P111" s="217">
        <f t="shared" si="320"/>
        <v>0.84302430914790638</v>
      </c>
      <c r="Q111" s="217">
        <f t="shared" si="321"/>
        <v>170</v>
      </c>
      <c r="R111" s="217"/>
      <c r="S111" s="172">
        <f t="shared" si="322"/>
        <v>47240.533098436703</v>
      </c>
      <c r="T111" s="172">
        <f t="shared" si="323"/>
        <v>170</v>
      </c>
      <c r="U111" s="217">
        <f t="shared" si="324"/>
        <v>0.47976044772516796</v>
      </c>
      <c r="V111" s="217">
        <f t="shared" si="325"/>
        <v>2.8108708127434684E-2</v>
      </c>
      <c r="W111" s="217">
        <f t="shared" si="326"/>
        <v>2.8136794851431373E-2</v>
      </c>
      <c r="X111" s="197">
        <f t="shared" si="327"/>
        <v>350</v>
      </c>
      <c r="Y111" s="443">
        <f t="shared" si="328"/>
        <v>350</v>
      </c>
      <c r="AA111" s="217">
        <f t="shared" si="329"/>
        <v>24.370733014382896</v>
      </c>
      <c r="AB111" s="173">
        <f t="shared" si="330"/>
        <v>1.4292847992286153</v>
      </c>
      <c r="AC111" s="173">
        <f t="shared" si="331"/>
        <v>0.30478628463076896</v>
      </c>
      <c r="AD111" s="173"/>
      <c r="AE111" s="173">
        <f t="shared" si="332"/>
        <v>0.78196788931767369</v>
      </c>
      <c r="AF111" s="545">
        <f t="shared" si="333"/>
        <v>23.018848019074497</v>
      </c>
      <c r="AG111" s="528">
        <f t="shared" si="334"/>
        <v>9.1229587087061942E-2</v>
      </c>
      <c r="AI111" s="173">
        <f t="shared" si="335"/>
        <v>3.4193732290479648</v>
      </c>
      <c r="AJ111" s="173">
        <f t="shared" si="336"/>
        <v>13.333333333333334</v>
      </c>
      <c r="AK111" s="173">
        <f t="shared" si="337"/>
        <v>1.0131536274394712</v>
      </c>
      <c r="AM111" s="545">
        <f t="shared" si="338"/>
        <v>6</v>
      </c>
      <c r="AN111" s="460">
        <f t="shared" si="339"/>
        <v>23.018848019074497</v>
      </c>
      <c r="AP111" s="460">
        <f t="shared" si="340"/>
        <v>6</v>
      </c>
      <c r="AQ111" s="460">
        <f t="shared" si="341"/>
        <v>23.018848019074497</v>
      </c>
      <c r="AS111" s="5">
        <f t="shared" si="285"/>
        <v>43.442660517648541</v>
      </c>
      <c r="AT111" s="5">
        <f t="shared" si="342"/>
        <v>0.78118731297990984</v>
      </c>
      <c r="AU111" s="5">
        <f t="shared" si="343"/>
        <v>42.661473204668631</v>
      </c>
      <c r="AV111" s="5"/>
      <c r="AW111" s="173">
        <f t="shared" si="344"/>
        <v>1.7982032031913727E-2</v>
      </c>
      <c r="AX111" s="173">
        <f t="shared" si="214"/>
        <v>1.0230599119588666</v>
      </c>
      <c r="AY111" s="173">
        <f t="shared" si="215"/>
        <v>0.32733932265602877</v>
      </c>
      <c r="AZ111" s="173">
        <f t="shared" si="288"/>
        <v>3.1253804268236589</v>
      </c>
      <c r="BA111" s="460">
        <f t="shared" si="345"/>
        <v>2.7571316928702702E-3</v>
      </c>
      <c r="BB111" s="5">
        <f t="shared" si="346"/>
        <v>8.1583520767031779</v>
      </c>
      <c r="BD111" s="173">
        <f t="shared" si="289"/>
        <v>1.0322799514605909</v>
      </c>
      <c r="BE111" s="173">
        <f t="shared" si="218"/>
        <v>0.38142383696182319</v>
      </c>
      <c r="BG111" s="528">
        <f t="shared" si="347"/>
        <v>4.26240759274992E-2</v>
      </c>
      <c r="BH111" s="528">
        <f t="shared" si="348"/>
        <v>0.11780713124439041</v>
      </c>
      <c r="BI111" s="528">
        <f t="shared" si="349"/>
        <v>7.8577306233224269E-3</v>
      </c>
      <c r="BJ111" s="528">
        <f t="shared" si="350"/>
        <v>1.3398218673799293E-3</v>
      </c>
      <c r="BK111">
        <f t="shared" si="351"/>
        <v>3.8403081439664292E-3</v>
      </c>
      <c r="BL111" s="460">
        <f t="shared" ref="BL111:BL174" si="427">(BK111+BI111)*1000</f>
        <v>11.698038767288857</v>
      </c>
      <c r="BM111" s="528">
        <f t="shared" si="352"/>
        <v>0.17505236898260676</v>
      </c>
      <c r="BN111" s="460">
        <f t="shared" si="353"/>
        <v>175.05236898260677</v>
      </c>
      <c r="BO111" s="528">
        <f t="shared" si="354"/>
        <v>4.1999999999999997E-3</v>
      </c>
      <c r="BR111" s="460">
        <f t="shared" si="355"/>
        <v>4.2</v>
      </c>
      <c r="BS111" s="528">
        <f t="shared" si="356"/>
        <v>3.19680569456244E-2</v>
      </c>
      <c r="BT111" s="528">
        <f t="shared" si="357"/>
        <v>4.364524302080384E-3</v>
      </c>
      <c r="BU111" s="528">
        <f t="shared" si="358"/>
        <v>8.2513652100190932E-2</v>
      </c>
      <c r="BV111" s="528"/>
      <c r="BW111" s="528">
        <f t="shared" si="359"/>
        <v>0.10230599119588667</v>
      </c>
      <c r="BX111" s="460">
        <f t="shared" si="360"/>
        <v>221.15222454378235</v>
      </c>
      <c r="BY111" s="173">
        <f t="shared" si="361"/>
        <v>0.39882129235034081</v>
      </c>
      <c r="BZ111" s="5">
        <f t="shared" si="362"/>
        <v>1.02</v>
      </c>
      <c r="CA111" s="173">
        <f t="shared" si="363"/>
        <v>0.71890660613806023</v>
      </c>
      <c r="CB111" s="5">
        <f t="shared" si="364"/>
        <v>71.89066061380602</v>
      </c>
      <c r="CE111" s="562">
        <f t="shared" si="365"/>
        <v>-50</v>
      </c>
      <c r="CF111">
        <f t="shared" si="366"/>
        <v>-50</v>
      </c>
      <c r="CG111" s="173">
        <f t="shared" si="367"/>
        <v>1.8026451153138005E-2</v>
      </c>
      <c r="CI111" s="170">
        <v>1</v>
      </c>
      <c r="CJ111" s="217">
        <f t="shared" ref="CJ111:CJ174" si="428">IF(PLOT_TYPE=1, CI111/100*Iout_max, min_I*EXP(CR111*rr/100))</f>
        <v>6.0000000000000001E-3</v>
      </c>
      <c r="CK111" s="217"/>
      <c r="CL111" s="217">
        <f t="shared" si="368"/>
        <v>1.02</v>
      </c>
      <c r="CM111" s="541">
        <f t="shared" si="369"/>
        <v>9</v>
      </c>
      <c r="CN111" s="443">
        <f t="shared" si="370"/>
        <v>8.5250000000000004</v>
      </c>
      <c r="CO111" s="443">
        <f t="shared" si="371"/>
        <v>17.524999999999999</v>
      </c>
      <c r="CP111" s="443"/>
      <c r="CQ111" s="217">
        <f t="shared" si="372"/>
        <v>0.48644793152639093</v>
      </c>
      <c r="CR111" s="172">
        <f t="shared" ref="CR111:CR174" si="429">CQ111*CM111*(Isw_max+VIN_min/Lmag*ILIM_delay)*0.5*Efficiency</f>
        <v>147.11644793152644</v>
      </c>
      <c r="CS111" s="172">
        <f t="shared" si="373"/>
        <v>1.02</v>
      </c>
      <c r="CT111" s="217">
        <f t="shared" si="374"/>
        <v>0.86539087018544958</v>
      </c>
      <c r="CU111" s="217">
        <f t="shared" si="375"/>
        <v>170</v>
      </c>
      <c r="CV111" s="217"/>
      <c r="CW111" s="172">
        <f t="shared" si="376"/>
        <v>49820.001806485227</v>
      </c>
      <c r="CX111" s="172">
        <f t="shared" si="377"/>
        <v>170</v>
      </c>
      <c r="CY111" s="217">
        <f t="shared" si="378"/>
        <v>0.46596285434995111</v>
      </c>
      <c r="CZ111" s="217">
        <f t="shared" si="379"/>
        <v>2.5886825241663948E-2</v>
      </c>
      <c r="DA111" s="217">
        <f t="shared" si="380"/>
        <v>2.7329199668618832E-2</v>
      </c>
      <c r="DB111" s="197">
        <f t="shared" si="381"/>
        <v>350</v>
      </c>
      <c r="DC111" s="443">
        <f t="shared" si="382"/>
        <v>350</v>
      </c>
      <c r="DE111" s="217">
        <f t="shared" si="383"/>
        <v>25.017322192785819</v>
      </c>
      <c r="DF111" s="173">
        <f t="shared" si="384"/>
        <v>1.467291624210312</v>
      </c>
      <c r="DG111" s="173">
        <f t="shared" si="385"/>
        <v>0.32119243899439714</v>
      </c>
      <c r="DH111" s="173"/>
      <c r="DI111" s="173">
        <f t="shared" si="386"/>
        <v>0.78201368523949166</v>
      </c>
      <c r="DJ111" s="545">
        <f t="shared" si="387"/>
        <v>23.017499999999998</v>
      </c>
      <c r="DK111" s="528">
        <f t="shared" si="388"/>
        <v>9.1234929944607357E-2</v>
      </c>
      <c r="DM111" s="173">
        <f t="shared" si="389"/>
        <v>3.4192731057095411</v>
      </c>
      <c r="DN111" s="173">
        <f t="shared" si="390"/>
        <v>13.333333333333334</v>
      </c>
      <c r="DO111" s="173">
        <f t="shared" si="391"/>
        <v>1.0131528571428572</v>
      </c>
      <c r="DQ111" s="545">
        <f t="shared" si="392"/>
        <v>6</v>
      </c>
      <c r="DR111" s="460">
        <f t="shared" si="393"/>
        <v>23.017499999999998</v>
      </c>
      <c r="DT111">
        <f t="shared" ref="DT111:DT174" si="430">IF(CL111&gt;CR111, " ",DQ111)</f>
        <v>6</v>
      </c>
      <c r="DU111">
        <f t="shared" ref="DU111:DU174" si="431">IF(CL111&gt;CR111, " ",DR111)</f>
        <v>23.017499999999998</v>
      </c>
      <c r="DW111" s="5">
        <f t="shared" si="394"/>
        <v>43.445204735527319</v>
      </c>
      <c r="DX111" s="5">
        <f t="shared" si="395"/>
        <v>0.7407407407407407</v>
      </c>
      <c r="DY111" s="5">
        <f t="shared" si="396"/>
        <v>42.704463994786579</v>
      </c>
      <c r="DZ111" s="5"/>
      <c r="EA111" s="173">
        <f t="shared" si="397"/>
        <v>1.7049999999999999E-2</v>
      </c>
      <c r="EB111" s="173">
        <f t="shared" si="398"/>
        <v>1.0230000000000001</v>
      </c>
      <c r="EC111" s="173">
        <f t="shared" si="399"/>
        <v>0.32765000000000005</v>
      </c>
      <c r="ED111" s="173">
        <f t="shared" si="400"/>
        <v>3.1222340912559132</v>
      </c>
      <c r="EE111" s="460">
        <f t="shared" si="401"/>
        <v>2.6143790849673205E-3</v>
      </c>
      <c r="EF111" s="5">
        <f t="shared" si="402"/>
        <v>7.7437428043879661</v>
      </c>
      <c r="EH111" s="173">
        <f t="shared" si="403"/>
        <v>1.005171811368768</v>
      </c>
      <c r="EI111" s="173">
        <f t="shared" si="404"/>
        <v>0.3816047984790315</v>
      </c>
      <c r="EK111" s="528">
        <f t="shared" si="405"/>
        <v>4.0414814814814806E-2</v>
      </c>
      <c r="EL111" s="528">
        <f t="shared" si="406"/>
        <v>0.14790661875</v>
      </c>
      <c r="EM111" s="528">
        <f t="shared" si="407"/>
        <v>4.6034999999999991E-3</v>
      </c>
      <c r="EN111" s="528">
        <f t="shared" si="408"/>
        <v>1.4138528146874999E-3</v>
      </c>
      <c r="EO111">
        <f t="shared" si="409"/>
        <v>4.0499999999999998E-3</v>
      </c>
      <c r="EP111" s="460">
        <f t="shared" si="410"/>
        <v>8.6534999999999975</v>
      </c>
      <c r="EQ111" s="460"/>
      <c r="ER111" s="460">
        <f t="shared" ref="ER111:ER174" si="432">SUM(EK111:EO111)*1000</f>
        <v>198.38878637950231</v>
      </c>
      <c r="ES111" s="528">
        <f t="shared" si="411"/>
        <v>4.1999999999999997E-3</v>
      </c>
      <c r="EV111" s="460">
        <f t="shared" si="412"/>
        <v>4.2</v>
      </c>
      <c r="EW111" s="528">
        <f t="shared" si="413"/>
        <v>3.0311111111111105E-2</v>
      </c>
      <c r="EX111" s="528">
        <f t="shared" si="414"/>
        <v>4.3686666666666665E-3</v>
      </c>
      <c r="EY111" s="528">
        <f t="shared" si="415"/>
        <v>8.2501572315448427E-2</v>
      </c>
      <c r="EZ111" s="528"/>
      <c r="FA111" s="528">
        <f t="shared" si="416"/>
        <v>0.1023</v>
      </c>
      <c r="FB111" s="460">
        <f t="shared" si="417"/>
        <v>219.48135009322618</v>
      </c>
      <c r="FC111" s="173">
        <f t="shared" si="418"/>
        <v>0.42207013647272851</v>
      </c>
      <c r="FD111" s="5">
        <f t="shared" si="419"/>
        <v>1.02</v>
      </c>
      <c r="FE111" s="173">
        <f t="shared" si="420"/>
        <v>0.70731649883194825</v>
      </c>
      <c r="FF111" s="5">
        <f t="shared" si="421"/>
        <v>70.731649883194819</v>
      </c>
      <c r="FI111" s="562">
        <f t="shared" si="422"/>
        <v>-50</v>
      </c>
      <c r="FJ111">
        <f t="shared" si="423"/>
        <v>-50</v>
      </c>
      <c r="FL111">
        <f t="shared" si="424"/>
        <v>1.7999999999999999E-2</v>
      </c>
    </row>
    <row r="112" spans="5:168">
      <c r="E112" s="170">
        <v>2</v>
      </c>
      <c r="F112" s="217">
        <f t="shared" si="425"/>
        <v>1.2E-2</v>
      </c>
      <c r="G112" s="217"/>
      <c r="H112" s="217">
        <f t="shared" si="315"/>
        <v>2.04</v>
      </c>
      <c r="I112" s="541">
        <f t="shared" si="316"/>
        <v>8.5340180977031768</v>
      </c>
      <c r="J112" s="172">
        <f t="shared" si="317"/>
        <v>8.5254992663238891</v>
      </c>
      <c r="K112" s="172">
        <f t="shared" si="318"/>
        <v>17.059517364027066</v>
      </c>
      <c r="L112" s="443"/>
      <c r="M112" s="217">
        <f t="shared" si="319"/>
        <v>0.49975034178414673</v>
      </c>
      <c r="N112" s="172">
        <f t="shared" si="426"/>
        <v>143.31413255514408</v>
      </c>
      <c r="O112" s="172">
        <f t="shared" si="284"/>
        <v>2.04</v>
      </c>
      <c r="P112" s="217">
        <f t="shared" si="320"/>
        <v>0.84302430914790638</v>
      </c>
      <c r="Q112" s="217">
        <f t="shared" si="321"/>
        <v>170</v>
      </c>
      <c r="R112" s="217"/>
      <c r="S112" s="172">
        <f t="shared" si="322"/>
        <v>23534.929091029589</v>
      </c>
      <c r="T112" s="172">
        <f t="shared" si="323"/>
        <v>170</v>
      </c>
      <c r="U112" s="217">
        <f t="shared" si="324"/>
        <v>0.95952089545033592</v>
      </c>
      <c r="V112" s="217">
        <f t="shared" si="325"/>
        <v>5.6217416254869368E-2</v>
      </c>
      <c r="W112" s="217">
        <f t="shared" si="326"/>
        <v>5.6273589702862746E-2</v>
      </c>
      <c r="X112" s="197">
        <f t="shared" si="327"/>
        <v>350</v>
      </c>
      <c r="Y112" s="443">
        <f t="shared" si="328"/>
        <v>350</v>
      </c>
      <c r="AA112" s="217">
        <f t="shared" si="329"/>
        <v>24.370733014382896</v>
      </c>
      <c r="AB112" s="173">
        <f t="shared" si="330"/>
        <v>1.4292847992286153</v>
      </c>
      <c r="AC112" s="173">
        <f t="shared" si="331"/>
        <v>0.30478628463076896</v>
      </c>
      <c r="AD112" s="173"/>
      <c r="AE112" s="173">
        <f t="shared" si="332"/>
        <v>0.78196788931767369</v>
      </c>
      <c r="AF112" s="545">
        <f t="shared" si="333"/>
        <v>46.037696038148994</v>
      </c>
      <c r="AG112" s="528">
        <f t="shared" si="334"/>
        <v>9.1229587087061942E-2</v>
      </c>
      <c r="AI112" s="173">
        <f t="shared" si="335"/>
        <v>4.8357239953351154</v>
      </c>
      <c r="AJ112" s="173">
        <f t="shared" si="336"/>
        <v>13.333333333333334</v>
      </c>
      <c r="AK112" s="173">
        <f t="shared" si="337"/>
        <v>1.0263072548789423</v>
      </c>
      <c r="AM112" s="545">
        <f t="shared" si="338"/>
        <v>12</v>
      </c>
      <c r="AN112" s="460">
        <f t="shared" si="339"/>
        <v>46.037696038148994</v>
      </c>
      <c r="AP112" s="460">
        <f t="shared" si="340"/>
        <v>12</v>
      </c>
      <c r="AQ112" s="460">
        <f t="shared" si="341"/>
        <v>46.037696038148994</v>
      </c>
      <c r="AS112" s="5">
        <f t="shared" si="285"/>
        <v>21.72133025882427</v>
      </c>
      <c r="AT112" s="5">
        <f t="shared" si="342"/>
        <v>0.78118731297990984</v>
      </c>
      <c r="AU112" s="5">
        <f t="shared" si="343"/>
        <v>20.940142945844361</v>
      </c>
      <c r="AV112" s="5"/>
      <c r="AW112" s="173">
        <f t="shared" si="344"/>
        <v>3.5964064063827454E-2</v>
      </c>
      <c r="AX112" s="173">
        <f t="shared" si="214"/>
        <v>2.0461198239177332</v>
      </c>
      <c r="AY112" s="173">
        <f t="shared" si="215"/>
        <v>0.32134531197872424</v>
      </c>
      <c r="AZ112" s="173">
        <f t="shared" si="288"/>
        <v>6.3673554511142321</v>
      </c>
      <c r="BA112" s="460">
        <f t="shared" si="345"/>
        <v>5.5142633857405404E-3</v>
      </c>
      <c r="BB112" s="5">
        <f t="shared" si="346"/>
        <v>8.0089619910263785</v>
      </c>
      <c r="BD112" s="173">
        <f t="shared" si="289"/>
        <v>1.4598643075214079</v>
      </c>
      <c r="BE112" s="173">
        <f t="shared" si="218"/>
        <v>0.37791551788357508</v>
      </c>
      <c r="BG112" s="528">
        <f t="shared" si="347"/>
        <v>8.52481518549984E-2</v>
      </c>
      <c r="BH112" s="528">
        <f t="shared" si="348"/>
        <v>0.23561426248878081</v>
      </c>
      <c r="BI112" s="528">
        <f t="shared" si="349"/>
        <v>1.5715461246644854E-2</v>
      </c>
      <c r="BJ112" s="528">
        <f t="shared" si="350"/>
        <v>2.6796437347598586E-3</v>
      </c>
      <c r="BK112">
        <f t="shared" si="351"/>
        <v>3.8403081439664292E-3</v>
      </c>
      <c r="BL112" s="460">
        <f t="shared" si="427"/>
        <v>19.555769390611285</v>
      </c>
      <c r="BM112" s="528">
        <f t="shared" si="352"/>
        <v>0.35372371917384743</v>
      </c>
      <c r="BN112" s="460">
        <f t="shared" si="353"/>
        <v>353.72371917384743</v>
      </c>
      <c r="BO112" s="528">
        <f t="shared" si="354"/>
        <v>8.3999999999999995E-3</v>
      </c>
      <c r="BR112" s="460">
        <f t="shared" si="355"/>
        <v>8.4</v>
      </c>
      <c r="BS112" s="528">
        <f t="shared" si="356"/>
        <v>6.39361138912488E-2</v>
      </c>
      <c r="BT112" s="528">
        <f t="shared" si="357"/>
        <v>4.2846041597163218E-3</v>
      </c>
      <c r="BU112" s="528">
        <f t="shared" si="358"/>
        <v>0.4667677035241003</v>
      </c>
      <c r="BV112" s="528"/>
      <c r="BW112" s="528">
        <f t="shared" si="359"/>
        <v>0.20461198239177333</v>
      </c>
      <c r="BX112" s="460">
        <f t="shared" si="360"/>
        <v>739.60040396683883</v>
      </c>
      <c r="BY112" s="173">
        <f>SUM(BG112:BK112,BO112:BQ112,BS112:BW112)</f>
        <v>1.0910982314359892</v>
      </c>
      <c r="BZ112" s="5">
        <f t="shared" si="362"/>
        <v>2.04</v>
      </c>
      <c r="CA112" s="173">
        <f t="shared" si="363"/>
        <v>0.65152858492862165</v>
      </c>
      <c r="CB112" s="5">
        <f t="shared" si="364"/>
        <v>65.152858492862165</v>
      </c>
      <c r="CE112" s="562">
        <f t="shared" si="365"/>
        <v>-50</v>
      </c>
      <c r="CF112">
        <f t="shared" si="366"/>
        <v>-50</v>
      </c>
      <c r="CG112" s="173">
        <f t="shared" si="367"/>
        <v>3.6052902306276009E-2</v>
      </c>
      <c r="CI112" s="170">
        <v>2</v>
      </c>
      <c r="CJ112" s="217">
        <f t="shared" si="428"/>
        <v>1.2E-2</v>
      </c>
      <c r="CK112" s="217"/>
      <c r="CL112" s="217">
        <f t="shared" si="368"/>
        <v>2.04</v>
      </c>
      <c r="CM112" s="541">
        <f t="shared" si="369"/>
        <v>9</v>
      </c>
      <c r="CN112" s="443">
        <f t="shared" si="370"/>
        <v>8.5250000000000004</v>
      </c>
      <c r="CO112" s="443">
        <f t="shared" si="371"/>
        <v>17.524999999999999</v>
      </c>
      <c r="CP112" s="443"/>
      <c r="CQ112" s="217">
        <f t="shared" si="372"/>
        <v>0.48644793152639093</v>
      </c>
      <c r="CR112" s="172">
        <f t="shared" si="429"/>
        <v>147.11644793152644</v>
      </c>
      <c r="CS112" s="172">
        <f t="shared" si="373"/>
        <v>2.04</v>
      </c>
      <c r="CT112" s="217">
        <f t="shared" si="374"/>
        <v>0.86539087018544958</v>
      </c>
      <c r="CU112" s="217">
        <f t="shared" si="375"/>
        <v>170</v>
      </c>
      <c r="CV112" s="217"/>
      <c r="CW112" s="172">
        <f t="shared" si="376"/>
        <v>24820.003626034402</v>
      </c>
      <c r="CX112" s="172">
        <f t="shared" si="377"/>
        <v>170</v>
      </c>
      <c r="CY112" s="217">
        <f t="shared" si="378"/>
        <v>0.93192570869990221</v>
      </c>
      <c r="CZ112" s="217">
        <f t="shared" si="379"/>
        <v>5.1773650483327896E-2</v>
      </c>
      <c r="DA112" s="217">
        <f t="shared" si="380"/>
        <v>5.4658399337237665E-2</v>
      </c>
      <c r="DB112" s="197">
        <f t="shared" si="381"/>
        <v>350</v>
      </c>
      <c r="DC112" s="443">
        <f t="shared" si="382"/>
        <v>350</v>
      </c>
      <c r="DE112" s="217">
        <f t="shared" si="383"/>
        <v>25.017322192785819</v>
      </c>
      <c r="DF112" s="173">
        <f t="shared" si="384"/>
        <v>1.467291624210312</v>
      </c>
      <c r="DG112" s="173">
        <f t="shared" si="385"/>
        <v>0.32119243899439714</v>
      </c>
      <c r="DH112" s="173"/>
      <c r="DI112" s="173">
        <f t="shared" si="386"/>
        <v>0.78201368523949166</v>
      </c>
      <c r="DJ112" s="545">
        <f t="shared" si="387"/>
        <v>46.034999999999997</v>
      </c>
      <c r="DK112" s="528">
        <f t="shared" si="388"/>
        <v>9.1234929944607357E-2</v>
      </c>
      <c r="DM112" s="173">
        <f t="shared" si="389"/>
        <v>4.8355823995520071</v>
      </c>
      <c r="DN112" s="173">
        <f t="shared" si="390"/>
        <v>13.333333333333334</v>
      </c>
      <c r="DO112" s="173">
        <f t="shared" si="391"/>
        <v>1.0263057142857144</v>
      </c>
      <c r="DQ112" s="545">
        <f t="shared" si="392"/>
        <v>12</v>
      </c>
      <c r="DR112" s="460">
        <f t="shared" si="393"/>
        <v>46.034999999999997</v>
      </c>
      <c r="DT112">
        <f t="shared" si="430"/>
        <v>12</v>
      </c>
      <c r="DU112">
        <f t="shared" si="431"/>
        <v>46.034999999999997</v>
      </c>
      <c r="DW112" s="5">
        <f t="shared" si="394"/>
        <v>21.72260236776366</v>
      </c>
      <c r="DX112" s="5">
        <f t="shared" si="395"/>
        <v>0.7407407407407407</v>
      </c>
      <c r="DY112" s="5">
        <f t="shared" si="396"/>
        <v>20.981861627022919</v>
      </c>
      <c r="DZ112" s="5"/>
      <c r="EA112" s="173">
        <f t="shared" si="397"/>
        <v>3.4099999999999998E-2</v>
      </c>
      <c r="EB112" s="173">
        <f t="shared" si="398"/>
        <v>2.0460000000000003</v>
      </c>
      <c r="EC112" s="173">
        <f t="shared" si="399"/>
        <v>0.32196666666666668</v>
      </c>
      <c r="ED112" s="173">
        <f t="shared" si="400"/>
        <v>6.3546951030127348</v>
      </c>
      <c r="EE112" s="460">
        <f t="shared" si="401"/>
        <v>5.228758169934641E-3</v>
      </c>
      <c r="EF112" s="5">
        <f t="shared" si="402"/>
        <v>7.6094218167336463</v>
      </c>
      <c r="EH112" s="173">
        <f t="shared" si="403"/>
        <v>1.4215276081528423</v>
      </c>
      <c r="EI112" s="173">
        <f t="shared" si="404"/>
        <v>0.37828071097572014</v>
      </c>
      <c r="EK112" s="528">
        <f t="shared" si="405"/>
        <v>8.0829629629629626E-2</v>
      </c>
      <c r="EL112" s="528">
        <f t="shared" si="406"/>
        <v>0.29581323749999999</v>
      </c>
      <c r="EM112" s="528">
        <f t="shared" si="407"/>
        <v>9.2069999999999982E-3</v>
      </c>
      <c r="EN112" s="528">
        <f t="shared" si="408"/>
        <v>2.8277056293749998E-3</v>
      </c>
      <c r="EO112">
        <f t="shared" si="409"/>
        <v>4.0499999999999998E-3</v>
      </c>
      <c r="EP112" s="460">
        <f t="shared" si="410"/>
        <v>13.256999999999998</v>
      </c>
      <c r="EQ112" s="460"/>
      <c r="ER112" s="460">
        <f t="shared" si="432"/>
        <v>392.72757275900466</v>
      </c>
      <c r="ES112" s="528">
        <f t="shared" si="411"/>
        <v>8.3999999999999995E-3</v>
      </c>
      <c r="EV112" s="460">
        <f t="shared" si="412"/>
        <v>8.4</v>
      </c>
      <c r="EW112" s="528">
        <f t="shared" si="413"/>
        <v>6.0622222222222216E-2</v>
      </c>
      <c r="EX112" s="528">
        <f t="shared" si="414"/>
        <v>4.2928888888888886E-3</v>
      </c>
      <c r="EY112" s="528">
        <f t="shared" si="415"/>
        <v>0.46669936994244704</v>
      </c>
      <c r="EZ112" s="528"/>
      <c r="FA112" s="528">
        <f t="shared" si="416"/>
        <v>0.2046</v>
      </c>
      <c r="FB112" s="460">
        <f t="shared" si="417"/>
        <v>736.21448105355819</v>
      </c>
      <c r="FC112" s="173">
        <f t="shared" si="418"/>
        <v>1.1373420538125627</v>
      </c>
      <c r="FD112" s="5">
        <f t="shared" si="419"/>
        <v>2.04</v>
      </c>
      <c r="FE112" s="173">
        <f t="shared" si="420"/>
        <v>0.64204607670494873</v>
      </c>
      <c r="FF112" s="5">
        <f t="shared" si="421"/>
        <v>64.20460767049488</v>
      </c>
      <c r="FI112" s="562">
        <f t="shared" si="422"/>
        <v>-50</v>
      </c>
      <c r="FJ112">
        <f t="shared" si="423"/>
        <v>-50</v>
      </c>
      <c r="FL112">
        <f t="shared" si="424"/>
        <v>3.5999999999999997E-2</v>
      </c>
    </row>
    <row r="113" spans="5:168">
      <c r="E113" s="170">
        <v>3</v>
      </c>
      <c r="F113" s="217">
        <f t="shared" si="425"/>
        <v>1.7999999999999999E-2</v>
      </c>
      <c r="G113" s="217"/>
      <c r="H113" s="217">
        <f t="shared" si="315"/>
        <v>3.0599999999999996</v>
      </c>
      <c r="I113" s="541">
        <f t="shared" si="316"/>
        <v>8.5340180977031768</v>
      </c>
      <c r="J113" s="172">
        <f t="shared" si="317"/>
        <v>8.5254992663238891</v>
      </c>
      <c r="K113" s="172">
        <f t="shared" si="318"/>
        <v>17.059517364027066</v>
      </c>
      <c r="L113" s="443"/>
      <c r="M113" s="217">
        <f t="shared" si="319"/>
        <v>0.49975034178414673</v>
      </c>
      <c r="N113" s="172">
        <f t="shared" si="426"/>
        <v>143.31413255514408</v>
      </c>
      <c r="O113" s="172">
        <f t="shared" si="284"/>
        <v>3.0599999999999996</v>
      </c>
      <c r="P113" s="217">
        <f t="shared" si="320"/>
        <v>0.84302430914790638</v>
      </c>
      <c r="Q113" s="217">
        <f t="shared" si="321"/>
        <v>170</v>
      </c>
      <c r="R113" s="217"/>
      <c r="S113" s="172">
        <f t="shared" si="322"/>
        <v>15633.062314795021</v>
      </c>
      <c r="T113" s="172">
        <f t="shared" si="323"/>
        <v>170</v>
      </c>
      <c r="U113" s="217">
        <f t="shared" si="324"/>
        <v>1.439281343175504</v>
      </c>
      <c r="V113" s="217">
        <f t="shared" si="325"/>
        <v>8.4326124382304066E-2</v>
      </c>
      <c r="W113" s="217">
        <f t="shared" si="326"/>
        <v>8.4410384554294143E-2</v>
      </c>
      <c r="X113" s="197">
        <f t="shared" si="327"/>
        <v>350</v>
      </c>
      <c r="Y113" s="443">
        <f t="shared" si="328"/>
        <v>350</v>
      </c>
      <c r="AA113" s="217">
        <f t="shared" si="329"/>
        <v>24.370733014382896</v>
      </c>
      <c r="AB113" s="173">
        <f t="shared" si="330"/>
        <v>1.4292847992286153</v>
      </c>
      <c r="AC113" s="173">
        <f t="shared" si="331"/>
        <v>0.30478628463076896</v>
      </c>
      <c r="AD113" s="173"/>
      <c r="AE113" s="173">
        <f t="shared" si="332"/>
        <v>0.78196788931767369</v>
      </c>
      <c r="AF113" s="545">
        <f t="shared" si="333"/>
        <v>69.056544057223476</v>
      </c>
      <c r="AG113" s="528">
        <f t="shared" si="334"/>
        <v>9.1229587087061942E-2</v>
      </c>
      <c r="AI113" s="173">
        <f t="shared" si="335"/>
        <v>5.9225281627519273</v>
      </c>
      <c r="AJ113" s="173">
        <f t="shared" si="336"/>
        <v>13.333333333333334</v>
      </c>
      <c r="AK113" s="173">
        <f t="shared" si="337"/>
        <v>1.0394608823184135</v>
      </c>
      <c r="AM113" s="545">
        <f t="shared" si="338"/>
        <v>18</v>
      </c>
      <c r="AN113" s="460">
        <f t="shared" si="339"/>
        <v>69.056544057223476</v>
      </c>
      <c r="AP113" s="460">
        <f t="shared" si="340"/>
        <v>18</v>
      </c>
      <c r="AQ113" s="460">
        <f t="shared" si="341"/>
        <v>69.056544057223476</v>
      </c>
      <c r="AS113" s="5">
        <f t="shared" si="285"/>
        <v>14.480886839216184</v>
      </c>
      <c r="AT113" s="5">
        <f t="shared" si="342"/>
        <v>0.78118731297990984</v>
      </c>
      <c r="AU113" s="5">
        <f t="shared" si="343"/>
        <v>13.699699526236275</v>
      </c>
      <c r="AV113" s="5"/>
      <c r="AW113" s="173">
        <f t="shared" si="344"/>
        <v>5.3946096095741164E-2</v>
      </c>
      <c r="AX113" s="173">
        <f t="shared" si="214"/>
        <v>3.0691797358765993</v>
      </c>
      <c r="AY113" s="173">
        <f t="shared" si="215"/>
        <v>0.31535130130141964</v>
      </c>
      <c r="AZ113" s="173">
        <f t="shared" si="288"/>
        <v>9.7325735559372575</v>
      </c>
      <c r="BA113" s="460">
        <f t="shared" si="345"/>
        <v>8.2713950786108079E-3</v>
      </c>
      <c r="BB113" s="5">
        <f t="shared" si="346"/>
        <v>7.8595719053495845</v>
      </c>
      <c r="BD113" s="173">
        <f t="shared" si="289"/>
        <v>1.787961323564478</v>
      </c>
      <c r="BE113" s="173">
        <f t="shared" si="218"/>
        <v>0.37437432325380177</v>
      </c>
      <c r="BG113" s="528">
        <f t="shared" si="347"/>
        <v>0.1278722277824976</v>
      </c>
      <c r="BH113" s="528">
        <f t="shared" si="348"/>
        <v>0.35342139373317116</v>
      </c>
      <c r="BI113" s="528">
        <f t="shared" si="349"/>
        <v>2.3573191869967276E-2</v>
      </c>
      <c r="BJ113" s="528">
        <f t="shared" si="350"/>
        <v>4.0194656021397875E-3</v>
      </c>
      <c r="BK113">
        <f t="shared" si="351"/>
        <v>3.8403081439664292E-3</v>
      </c>
      <c r="BL113" s="460">
        <f t="shared" si="427"/>
        <v>27.413500013933707</v>
      </c>
      <c r="BM113" s="528">
        <f t="shared" si="352"/>
        <v>0.53612744939084256</v>
      </c>
      <c r="BN113" s="460">
        <f t="shared" si="353"/>
        <v>536.12744939084257</v>
      </c>
      <c r="BO113" s="528">
        <f t="shared" si="354"/>
        <v>1.2599999999999998E-2</v>
      </c>
      <c r="BR113" s="460">
        <f t="shared" si="355"/>
        <v>12.599999999999998</v>
      </c>
      <c r="BS113" s="528">
        <f t="shared" si="356"/>
        <v>9.5904170836873193E-2</v>
      </c>
      <c r="BT113" s="528">
        <f t="shared" si="357"/>
        <v>4.2046840173522613E-3</v>
      </c>
      <c r="BU113" s="528">
        <f t="shared" si="358"/>
        <v>1.2862605398003384</v>
      </c>
      <c r="BV113" s="528"/>
      <c r="BW113" s="528">
        <f t="shared" si="359"/>
        <v>0.30691797358765993</v>
      </c>
      <c r="BX113" s="460">
        <f t="shared" si="360"/>
        <v>1693.2873682422239</v>
      </c>
      <c r="BY113" s="173">
        <f t="shared" si="361"/>
        <v>2.2186139553739661</v>
      </c>
      <c r="BZ113" s="5">
        <f t="shared" si="362"/>
        <v>3.0599999999999996</v>
      </c>
      <c r="CA113" s="173">
        <f t="shared" si="363"/>
        <v>0.57969763007289521</v>
      </c>
      <c r="CB113" s="5">
        <f t="shared" si="364"/>
        <v>57.969763007289522</v>
      </c>
      <c r="CE113" s="562">
        <f t="shared" si="365"/>
        <v>-50</v>
      </c>
      <c r="CF113">
        <f t="shared" si="366"/>
        <v>-50</v>
      </c>
      <c r="CG113" s="173">
        <f t="shared" si="367"/>
        <v>5.4079353459414017E-2</v>
      </c>
      <c r="CI113" s="170">
        <v>3</v>
      </c>
      <c r="CJ113" s="217">
        <f t="shared" si="428"/>
        <v>1.7999999999999999E-2</v>
      </c>
      <c r="CK113" s="217"/>
      <c r="CL113" s="217">
        <f t="shared" si="368"/>
        <v>3.0599999999999996</v>
      </c>
      <c r="CM113" s="541">
        <f t="shared" si="369"/>
        <v>9</v>
      </c>
      <c r="CN113" s="443">
        <f t="shared" si="370"/>
        <v>8.5250000000000004</v>
      </c>
      <c r="CO113" s="443">
        <f t="shared" si="371"/>
        <v>17.524999999999999</v>
      </c>
      <c r="CP113" s="443"/>
      <c r="CQ113" s="217">
        <f t="shared" si="372"/>
        <v>0.48644793152639093</v>
      </c>
      <c r="CR113" s="172">
        <f t="shared" si="429"/>
        <v>147.11644793152644</v>
      </c>
      <c r="CS113" s="172">
        <f t="shared" si="373"/>
        <v>3.0599999999999996</v>
      </c>
      <c r="CT113" s="217">
        <f t="shared" si="374"/>
        <v>0.86539087018544958</v>
      </c>
      <c r="CU113" s="217">
        <f t="shared" si="375"/>
        <v>170</v>
      </c>
      <c r="CV113" s="217"/>
      <c r="CW113" s="172">
        <f t="shared" si="376"/>
        <v>16486.672125456043</v>
      </c>
      <c r="CX113" s="172">
        <f t="shared" si="377"/>
        <v>170</v>
      </c>
      <c r="CY113" s="217">
        <f t="shared" si="378"/>
        <v>1.397888563049853</v>
      </c>
      <c r="CZ113" s="217">
        <f t="shared" si="379"/>
        <v>7.7660475724991823E-2</v>
      </c>
      <c r="DA113" s="217">
        <f t="shared" si="380"/>
        <v>8.1987599005856476E-2</v>
      </c>
      <c r="DB113" s="197">
        <f t="shared" si="381"/>
        <v>350</v>
      </c>
      <c r="DC113" s="443">
        <f t="shared" si="382"/>
        <v>350</v>
      </c>
      <c r="DE113" s="217">
        <f t="shared" si="383"/>
        <v>25.017322192785819</v>
      </c>
      <c r="DF113" s="173">
        <f t="shared" si="384"/>
        <v>1.467291624210312</v>
      </c>
      <c r="DG113" s="173">
        <f t="shared" si="385"/>
        <v>0.32119243899439714</v>
      </c>
      <c r="DH113" s="173"/>
      <c r="DI113" s="173">
        <f t="shared" si="386"/>
        <v>0.78201368523949166</v>
      </c>
      <c r="DJ113" s="545">
        <f t="shared" si="387"/>
        <v>69.052499999999995</v>
      </c>
      <c r="DK113" s="528">
        <f t="shared" si="388"/>
        <v>9.1234929944607357E-2</v>
      </c>
      <c r="DM113" s="173">
        <f t="shared" si="389"/>
        <v>5.922354744042754</v>
      </c>
      <c r="DN113" s="173">
        <f t="shared" si="390"/>
        <v>13.333333333333334</v>
      </c>
      <c r="DO113" s="173">
        <f t="shared" si="391"/>
        <v>1.0394585714285713</v>
      </c>
      <c r="DQ113" s="545">
        <f t="shared" si="392"/>
        <v>18</v>
      </c>
      <c r="DR113" s="460">
        <f t="shared" si="393"/>
        <v>69.052499999999995</v>
      </c>
      <c r="DT113">
        <f t="shared" si="430"/>
        <v>18</v>
      </c>
      <c r="DU113">
        <f t="shared" si="431"/>
        <v>69.052499999999995</v>
      </c>
      <c r="DW113" s="5">
        <f t="shared" si="394"/>
        <v>14.481734911842439</v>
      </c>
      <c r="DX113" s="5">
        <f t="shared" si="395"/>
        <v>0.7407407407407407</v>
      </c>
      <c r="DY113" s="5">
        <f t="shared" si="396"/>
        <v>13.740994171101699</v>
      </c>
      <c r="DZ113" s="5"/>
      <c r="EA113" s="173">
        <f t="shared" si="397"/>
        <v>5.1149999999999994E-2</v>
      </c>
      <c r="EB113" s="173">
        <f t="shared" si="398"/>
        <v>3.069</v>
      </c>
      <c r="EC113" s="173">
        <f t="shared" si="399"/>
        <v>0.31628333333333336</v>
      </c>
      <c r="ED113" s="173">
        <f t="shared" si="400"/>
        <v>9.7033250777256672</v>
      </c>
      <c r="EE113" s="460">
        <f t="shared" si="401"/>
        <v>7.8431372549019589E-3</v>
      </c>
      <c r="EF113" s="5">
        <f t="shared" si="402"/>
        <v>7.4751008290793237</v>
      </c>
      <c r="EH113" s="173">
        <f t="shared" si="403"/>
        <v>1.7410086476267461</v>
      </c>
      <c r="EI113" s="173">
        <f t="shared" si="404"/>
        <v>0.37492715341832789</v>
      </c>
      <c r="EK113" s="528">
        <f t="shared" si="405"/>
        <v>0.12124444444444446</v>
      </c>
      <c r="EL113" s="528">
        <f t="shared" si="406"/>
        <v>0.44371985624999999</v>
      </c>
      <c r="EM113" s="528">
        <f t="shared" si="407"/>
        <v>1.3810499999999998E-2</v>
      </c>
      <c r="EN113" s="528">
        <f t="shared" si="408"/>
        <v>4.2415584440624998E-3</v>
      </c>
      <c r="EO113">
        <f t="shared" si="409"/>
        <v>4.0499999999999998E-3</v>
      </c>
      <c r="EP113" s="460">
        <f t="shared" si="410"/>
        <v>17.860499999999998</v>
      </c>
      <c r="EQ113" s="460"/>
      <c r="ER113" s="460">
        <f t="shared" si="432"/>
        <v>587.06635913850687</v>
      </c>
      <c r="ES113" s="528">
        <f t="shared" si="411"/>
        <v>1.2599999999999998E-2</v>
      </c>
      <c r="EV113" s="460">
        <f t="shared" si="412"/>
        <v>12.599999999999998</v>
      </c>
      <c r="EW113" s="528">
        <f t="shared" si="413"/>
        <v>9.0933333333333338E-2</v>
      </c>
      <c r="EX113" s="528">
        <f t="shared" si="414"/>
        <v>4.2171111111111107E-3</v>
      </c>
      <c r="EY113" s="528">
        <f t="shared" si="415"/>
        <v>1.2860722345920703</v>
      </c>
      <c r="EZ113" s="528"/>
      <c r="FA113" s="528">
        <f t="shared" si="416"/>
        <v>0.30690000000000001</v>
      </c>
      <c r="FB113" s="460">
        <f t="shared" si="417"/>
        <v>1688.1226790365147</v>
      </c>
      <c r="FC113" s="173">
        <f t="shared" si="418"/>
        <v>2.2877890381750219</v>
      </c>
      <c r="FD113" s="5">
        <f t="shared" si="419"/>
        <v>3.0599999999999996</v>
      </c>
      <c r="FE113" s="173">
        <f t="shared" si="420"/>
        <v>0.57219908604402447</v>
      </c>
      <c r="FF113" s="5">
        <f t="shared" si="421"/>
        <v>57.219908604402448</v>
      </c>
      <c r="FI113" s="562">
        <f t="shared" si="422"/>
        <v>-50</v>
      </c>
      <c r="FJ113">
        <f t="shared" si="423"/>
        <v>-50</v>
      </c>
      <c r="FL113">
        <f t="shared" si="424"/>
        <v>5.3999999999999992E-2</v>
      </c>
    </row>
    <row r="114" spans="5:168">
      <c r="E114" s="170">
        <v>4</v>
      </c>
      <c r="F114" s="217">
        <f t="shared" si="425"/>
        <v>2.4E-2</v>
      </c>
      <c r="G114" s="217"/>
      <c r="H114" s="217">
        <f t="shared" si="315"/>
        <v>4.08</v>
      </c>
      <c r="I114" s="541">
        <f t="shared" si="316"/>
        <v>8.5340180977031768</v>
      </c>
      <c r="J114" s="172">
        <f t="shared" si="317"/>
        <v>8.5254992663238891</v>
      </c>
      <c r="K114" s="172">
        <f t="shared" si="318"/>
        <v>17.059517364027066</v>
      </c>
      <c r="L114" s="443"/>
      <c r="M114" s="217">
        <f t="shared" si="319"/>
        <v>0.49975034178414673</v>
      </c>
      <c r="N114" s="172">
        <f t="shared" si="426"/>
        <v>143.31413255514408</v>
      </c>
      <c r="O114" s="172">
        <f t="shared" si="284"/>
        <v>4.08</v>
      </c>
      <c r="P114" s="217">
        <f t="shared" si="320"/>
        <v>0.84302430914790638</v>
      </c>
      <c r="Q114" s="217">
        <f t="shared" si="321"/>
        <v>170</v>
      </c>
      <c r="R114" s="217"/>
      <c r="S114" s="172">
        <f t="shared" si="322"/>
        <v>11682.129856400157</v>
      </c>
      <c r="T114" s="172">
        <f t="shared" si="323"/>
        <v>170</v>
      </c>
      <c r="U114" s="217">
        <f t="shared" si="324"/>
        <v>1.9190417909006718</v>
      </c>
      <c r="V114" s="217">
        <f t="shared" si="325"/>
        <v>0.11243483250973874</v>
      </c>
      <c r="W114" s="217">
        <f t="shared" si="326"/>
        <v>0.11254717940572549</v>
      </c>
      <c r="X114" s="197">
        <f t="shared" si="327"/>
        <v>350</v>
      </c>
      <c r="Y114" s="443">
        <f t="shared" si="328"/>
        <v>350</v>
      </c>
      <c r="AA114" s="217">
        <f t="shared" si="329"/>
        <v>24.370733014382896</v>
      </c>
      <c r="AB114" s="173">
        <f t="shared" si="330"/>
        <v>1.4292847992286153</v>
      </c>
      <c r="AC114" s="173">
        <f t="shared" si="331"/>
        <v>0.30478628463076896</v>
      </c>
      <c r="AD114" s="173"/>
      <c r="AE114" s="173">
        <f t="shared" si="332"/>
        <v>0.78196788931767369</v>
      </c>
      <c r="AF114" s="545">
        <f t="shared" si="333"/>
        <v>92.075392076297987</v>
      </c>
      <c r="AG114" s="528">
        <f t="shared" si="334"/>
        <v>9.1229587087061942E-2</v>
      </c>
      <c r="AI114" s="173">
        <f t="shared" si="335"/>
        <v>6.8387464580959296</v>
      </c>
      <c r="AJ114" s="173">
        <f t="shared" si="336"/>
        <v>13.333333333333334</v>
      </c>
      <c r="AK114" s="173">
        <f t="shared" si="337"/>
        <v>1.0526145097578845</v>
      </c>
      <c r="AM114" s="545">
        <f t="shared" si="338"/>
        <v>24</v>
      </c>
      <c r="AN114" s="460">
        <f t="shared" si="339"/>
        <v>92.075392076297987</v>
      </c>
      <c r="AP114" s="460">
        <f t="shared" si="340"/>
        <v>24</v>
      </c>
      <c r="AQ114" s="460">
        <f t="shared" si="341"/>
        <v>92.075392076297987</v>
      </c>
      <c r="AS114" s="5">
        <f t="shared" si="285"/>
        <v>10.860665129412135</v>
      </c>
      <c r="AT114" s="5">
        <f t="shared" si="342"/>
        <v>0.78118731297990984</v>
      </c>
      <c r="AU114" s="5">
        <f t="shared" si="343"/>
        <v>10.079477816432226</v>
      </c>
      <c r="AV114" s="5"/>
      <c r="AW114" s="173">
        <f t="shared" si="344"/>
        <v>7.1928128127654908E-2</v>
      </c>
      <c r="AX114" s="173">
        <f t="shared" si="214"/>
        <v>4.0922396478354663</v>
      </c>
      <c r="AY114" s="173">
        <f t="shared" si="215"/>
        <v>0.30935729062411504</v>
      </c>
      <c r="AZ114" s="173">
        <f t="shared" si="288"/>
        <v>13.228198500121167</v>
      </c>
      <c r="BA114" s="460">
        <f t="shared" si="345"/>
        <v>1.1028526771481081E-2</v>
      </c>
      <c r="BB114" s="5">
        <f t="shared" si="346"/>
        <v>7.710181819672786</v>
      </c>
      <c r="BD114" s="173">
        <f t="shared" si="289"/>
        <v>2.0645599029211819</v>
      </c>
      <c r="BE114" s="173">
        <f t="shared" si="218"/>
        <v>0.37079931117286796</v>
      </c>
      <c r="BG114" s="528">
        <f t="shared" si="347"/>
        <v>0.1704963037099968</v>
      </c>
      <c r="BH114" s="528">
        <f t="shared" si="348"/>
        <v>0.47122852497756162</v>
      </c>
      <c r="BI114" s="528">
        <f t="shared" si="349"/>
        <v>3.1430922493289708E-2</v>
      </c>
      <c r="BJ114" s="528">
        <f t="shared" si="350"/>
        <v>5.3592874695197173E-3</v>
      </c>
      <c r="BK114">
        <f t="shared" si="351"/>
        <v>3.8403081439664292E-3</v>
      </c>
      <c r="BL114" s="460">
        <f t="shared" si="427"/>
        <v>35.271230637256139</v>
      </c>
      <c r="BM114" s="528">
        <f t="shared" si="352"/>
        <v>0.72238174617839634</v>
      </c>
      <c r="BN114" s="460">
        <f t="shared" si="353"/>
        <v>722.38174617839638</v>
      </c>
      <c r="BO114" s="528">
        <f t="shared" si="354"/>
        <v>1.6799999999999999E-2</v>
      </c>
      <c r="BR114" s="460">
        <f t="shared" si="355"/>
        <v>16.8</v>
      </c>
      <c r="BS114" s="528">
        <f t="shared" si="356"/>
        <v>0.1278722277824976</v>
      </c>
      <c r="BT114" s="528">
        <f t="shared" si="357"/>
        <v>4.1247638749882009E-3</v>
      </c>
      <c r="BU114" s="528">
        <f t="shared" si="358"/>
        <v>2.6404368672061089</v>
      </c>
      <c r="BV114" s="528"/>
      <c r="BW114" s="528">
        <f t="shared" si="359"/>
        <v>0.40922396478354667</v>
      </c>
      <c r="BX114" s="460">
        <f t="shared" si="360"/>
        <v>3181.6578236471414</v>
      </c>
      <c r="BY114" s="173">
        <f t="shared" si="361"/>
        <v>3.8808131704414759</v>
      </c>
      <c r="BZ114" s="5">
        <f t="shared" si="362"/>
        <v>4.08</v>
      </c>
      <c r="CA114" s="173">
        <f t="shared" si="363"/>
        <v>0.51251045749309287</v>
      </c>
      <c r="CB114" s="5">
        <f t="shared" si="364"/>
        <v>51.251045749309284</v>
      </c>
      <c r="CE114" s="562">
        <f t="shared" si="365"/>
        <v>-50</v>
      </c>
      <c r="CF114">
        <f t="shared" si="366"/>
        <v>-50</v>
      </c>
      <c r="CG114" s="173">
        <f t="shared" si="367"/>
        <v>7.2105804612552019E-2</v>
      </c>
      <c r="CI114" s="170">
        <v>4</v>
      </c>
      <c r="CJ114" s="217">
        <f t="shared" si="428"/>
        <v>2.4E-2</v>
      </c>
      <c r="CK114" s="217"/>
      <c r="CL114" s="217">
        <f t="shared" si="368"/>
        <v>4.08</v>
      </c>
      <c r="CM114" s="541">
        <f t="shared" si="369"/>
        <v>9</v>
      </c>
      <c r="CN114" s="443">
        <f t="shared" si="370"/>
        <v>8.5250000000000004</v>
      </c>
      <c r="CO114" s="443">
        <f t="shared" si="371"/>
        <v>17.524999999999999</v>
      </c>
      <c r="CP114" s="443"/>
      <c r="CQ114" s="217">
        <f t="shared" si="372"/>
        <v>0.48644793152639093</v>
      </c>
      <c r="CR114" s="172">
        <f t="shared" si="429"/>
        <v>147.11644793152644</v>
      </c>
      <c r="CS114" s="172">
        <f t="shared" si="373"/>
        <v>4.08</v>
      </c>
      <c r="CT114" s="217">
        <f t="shared" si="374"/>
        <v>0.86539087018544958</v>
      </c>
      <c r="CU114" s="217">
        <f t="shared" si="375"/>
        <v>170</v>
      </c>
      <c r="CV114" s="217"/>
      <c r="CW114" s="172">
        <f t="shared" si="376"/>
        <v>12320.007304894012</v>
      </c>
      <c r="CX114" s="172">
        <f t="shared" si="377"/>
        <v>170</v>
      </c>
      <c r="CY114" s="217">
        <f t="shared" si="378"/>
        <v>1.8638514173998044</v>
      </c>
      <c r="CZ114" s="217">
        <f t="shared" si="379"/>
        <v>0.10354730096665579</v>
      </c>
      <c r="DA114" s="217">
        <f t="shared" si="380"/>
        <v>0.10931679867447533</v>
      </c>
      <c r="DB114" s="197">
        <f t="shared" si="381"/>
        <v>350</v>
      </c>
      <c r="DC114" s="443">
        <f t="shared" si="382"/>
        <v>350</v>
      </c>
      <c r="DE114" s="217">
        <f t="shared" si="383"/>
        <v>25.017322192785819</v>
      </c>
      <c r="DF114" s="173">
        <f t="shared" si="384"/>
        <v>1.467291624210312</v>
      </c>
      <c r="DG114" s="173">
        <f t="shared" si="385"/>
        <v>0.32119243899439714</v>
      </c>
      <c r="DH114" s="173"/>
      <c r="DI114" s="173">
        <f t="shared" si="386"/>
        <v>0.78201368523949166</v>
      </c>
      <c r="DJ114" s="545">
        <f t="shared" si="387"/>
        <v>92.07</v>
      </c>
      <c r="DK114" s="528">
        <f t="shared" si="388"/>
        <v>9.1234929944607357E-2</v>
      </c>
      <c r="DM114" s="173">
        <f t="shared" si="389"/>
        <v>6.8385462114190823</v>
      </c>
      <c r="DN114" s="173">
        <f t="shared" si="390"/>
        <v>13.333333333333334</v>
      </c>
      <c r="DO114" s="173">
        <f t="shared" si="391"/>
        <v>1.0526114285714285</v>
      </c>
      <c r="DQ114" s="545">
        <f t="shared" si="392"/>
        <v>24</v>
      </c>
      <c r="DR114" s="460">
        <f t="shared" si="393"/>
        <v>92.07</v>
      </c>
      <c r="DT114">
        <f t="shared" si="430"/>
        <v>24</v>
      </c>
      <c r="DU114">
        <f t="shared" si="431"/>
        <v>92.07</v>
      </c>
      <c r="DW114" s="5">
        <f t="shared" si="394"/>
        <v>10.86130118388183</v>
      </c>
      <c r="DX114" s="5">
        <f t="shared" si="395"/>
        <v>0.7407407407407407</v>
      </c>
      <c r="DY114" s="5">
        <f t="shared" si="396"/>
        <v>10.120560443141089</v>
      </c>
      <c r="DZ114" s="5"/>
      <c r="EA114" s="173">
        <f t="shared" si="397"/>
        <v>6.8199999999999997E-2</v>
      </c>
      <c r="EB114" s="173">
        <f t="shared" si="398"/>
        <v>4.0920000000000005</v>
      </c>
      <c r="EC114" s="173">
        <f t="shared" si="399"/>
        <v>0.31060000000000004</v>
      </c>
      <c r="ED114" s="173">
        <f t="shared" si="400"/>
        <v>13.174500965872504</v>
      </c>
      <c r="EE114" s="460">
        <f t="shared" si="401"/>
        <v>1.0457516339869282E-2</v>
      </c>
      <c r="EF114" s="5">
        <f t="shared" si="402"/>
        <v>7.3407798414250038</v>
      </c>
      <c r="EH114" s="173">
        <f t="shared" si="403"/>
        <v>2.010343622737536</v>
      </c>
      <c r="EI114" s="173">
        <f t="shared" si="404"/>
        <v>0.37154332781580729</v>
      </c>
      <c r="EK114" s="528">
        <f t="shared" si="405"/>
        <v>0.16165925925925922</v>
      </c>
      <c r="EL114" s="528">
        <f t="shared" si="406"/>
        <v>0.59162647499999999</v>
      </c>
      <c r="EM114" s="528">
        <f t="shared" si="407"/>
        <v>1.8413999999999996E-2</v>
      </c>
      <c r="EN114" s="528">
        <f t="shared" si="408"/>
        <v>5.6554112587499997E-3</v>
      </c>
      <c r="EO114">
        <f t="shared" si="409"/>
        <v>4.0499999999999998E-3</v>
      </c>
      <c r="EP114" s="460">
        <f t="shared" si="410"/>
        <v>22.463999999999999</v>
      </c>
      <c r="EQ114" s="460"/>
      <c r="ER114" s="460">
        <f t="shared" si="432"/>
        <v>781.40514551800925</v>
      </c>
      <c r="ES114" s="528">
        <f t="shared" si="411"/>
        <v>1.6799999999999999E-2</v>
      </c>
      <c r="EV114" s="460">
        <f t="shared" si="412"/>
        <v>16.8</v>
      </c>
      <c r="EW114" s="528">
        <f t="shared" si="413"/>
        <v>0.12124444444444442</v>
      </c>
      <c r="EX114" s="528">
        <f t="shared" si="414"/>
        <v>4.1413333333333328E-3</v>
      </c>
      <c r="EY114" s="528">
        <f t="shared" si="415"/>
        <v>2.6400503140943461</v>
      </c>
      <c r="EZ114" s="528"/>
      <c r="FA114" s="528">
        <f t="shared" si="416"/>
        <v>0.40920000000000001</v>
      </c>
      <c r="FB114" s="460">
        <f t="shared" si="417"/>
        <v>3174.6360918721239</v>
      </c>
      <c r="FC114" s="173">
        <f t="shared" si="418"/>
        <v>3.9728412373901332</v>
      </c>
      <c r="FD114" s="5">
        <f t="shared" si="419"/>
        <v>4.08</v>
      </c>
      <c r="FE114" s="173">
        <f t="shared" si="420"/>
        <v>0.50665347542879136</v>
      </c>
      <c r="FF114" s="5">
        <f t="shared" si="421"/>
        <v>50.665347542879132</v>
      </c>
      <c r="FI114" s="562">
        <f t="shared" si="422"/>
        <v>-50</v>
      </c>
      <c r="FJ114">
        <f t="shared" si="423"/>
        <v>-50</v>
      </c>
      <c r="FL114">
        <f t="shared" si="424"/>
        <v>7.1999999999999995E-2</v>
      </c>
    </row>
    <row r="115" spans="5:168">
      <c r="E115" s="170">
        <v>5</v>
      </c>
      <c r="F115" s="217">
        <f t="shared" si="425"/>
        <v>0.03</v>
      </c>
      <c r="G115" s="217"/>
      <c r="H115" s="217">
        <f t="shared" si="315"/>
        <v>5.0999999999999996</v>
      </c>
      <c r="I115" s="541">
        <f t="shared" si="316"/>
        <v>8.5340180977031768</v>
      </c>
      <c r="J115" s="172">
        <f t="shared" si="317"/>
        <v>8.5254992663238891</v>
      </c>
      <c r="K115" s="172">
        <f t="shared" si="318"/>
        <v>17.059517364027066</v>
      </c>
      <c r="L115" s="443"/>
      <c r="M115" s="217">
        <f t="shared" si="319"/>
        <v>0.49975034178414673</v>
      </c>
      <c r="N115" s="172">
        <f t="shared" si="426"/>
        <v>143.31413255514408</v>
      </c>
      <c r="O115" s="172">
        <f t="shared" si="284"/>
        <v>5.0999999999999996</v>
      </c>
      <c r="P115" s="217">
        <f t="shared" si="320"/>
        <v>0.84302430914790638</v>
      </c>
      <c r="Q115" s="217">
        <f t="shared" si="321"/>
        <v>170</v>
      </c>
      <c r="R115" s="217"/>
      <c r="S115" s="172">
        <f t="shared" si="322"/>
        <v>9311.5711332955743</v>
      </c>
      <c r="T115" s="172">
        <f t="shared" si="323"/>
        <v>170</v>
      </c>
      <c r="U115" s="217">
        <f t="shared" si="324"/>
        <v>2.3988022386258399</v>
      </c>
      <c r="V115" s="217">
        <f t="shared" si="325"/>
        <v>0.14054354063717342</v>
      </c>
      <c r="W115" s="217">
        <f t="shared" si="326"/>
        <v>0.14068397425715687</v>
      </c>
      <c r="X115" s="197">
        <f t="shared" si="327"/>
        <v>350</v>
      </c>
      <c r="Y115" s="443">
        <f t="shared" si="328"/>
        <v>350</v>
      </c>
      <c r="AA115" s="217">
        <f t="shared" si="329"/>
        <v>24.370733014382896</v>
      </c>
      <c r="AB115" s="173">
        <f t="shared" si="330"/>
        <v>1.4292847992286153</v>
      </c>
      <c r="AC115" s="173">
        <f t="shared" si="331"/>
        <v>0.30478628463076896</v>
      </c>
      <c r="AD115" s="173"/>
      <c r="AE115" s="173">
        <f t="shared" si="332"/>
        <v>0.78196788931767369</v>
      </c>
      <c r="AF115" s="545">
        <f t="shared" si="333"/>
        <v>115.09424009537247</v>
      </c>
      <c r="AG115" s="528">
        <f t="shared" si="334"/>
        <v>9.1229587087061942E-2</v>
      </c>
      <c r="AI115" s="173">
        <f t="shared" si="335"/>
        <v>7.6459509805942076</v>
      </c>
      <c r="AJ115" s="173">
        <f t="shared" si="336"/>
        <v>13.333333333333334</v>
      </c>
      <c r="AK115" s="173">
        <f t="shared" si="337"/>
        <v>1.0657681371973557</v>
      </c>
      <c r="AM115" s="545">
        <f t="shared" si="338"/>
        <v>30</v>
      </c>
      <c r="AN115" s="460">
        <f t="shared" si="339"/>
        <v>115.09424009537247</v>
      </c>
      <c r="AP115" s="460">
        <f t="shared" si="340"/>
        <v>30</v>
      </c>
      <c r="AQ115" s="460">
        <f t="shared" si="341"/>
        <v>115.09424009537247</v>
      </c>
      <c r="AS115" s="5">
        <f t="shared" si="285"/>
        <v>8.6885321035297096</v>
      </c>
      <c r="AT115" s="5">
        <f t="shared" si="342"/>
        <v>0.78118731297990984</v>
      </c>
      <c r="AU115" s="5">
        <f t="shared" si="343"/>
        <v>7.9073447905498</v>
      </c>
      <c r="AV115" s="5"/>
      <c r="AW115" s="173">
        <f t="shared" si="344"/>
        <v>8.9910160159568625E-2</v>
      </c>
      <c r="AX115" s="173">
        <f t="shared" si="214"/>
        <v>5.1152995597943329</v>
      </c>
      <c r="AY115" s="173">
        <f t="shared" si="215"/>
        <v>0.3033632799468105</v>
      </c>
      <c r="AZ115" s="173">
        <f t="shared" si="288"/>
        <v>16.861960223700152</v>
      </c>
      <c r="BA115" s="460">
        <f t="shared" si="345"/>
        <v>1.3785658464351348E-2</v>
      </c>
      <c r="BB115" s="5">
        <f t="shared" si="346"/>
        <v>7.5607917339959911</v>
      </c>
      <c r="BD115" s="173">
        <f t="shared" si="289"/>
        <v>2.3082481432760651</v>
      </c>
      <c r="BE115" s="173">
        <f t="shared" si="218"/>
        <v>0.36718949388674599</v>
      </c>
      <c r="BG115" s="528">
        <f t="shared" si="347"/>
        <v>0.21312037963749608</v>
      </c>
      <c r="BH115" s="528">
        <f t="shared" si="348"/>
        <v>0.58903565622195209</v>
      </c>
      <c r="BI115" s="528">
        <f t="shared" si="349"/>
        <v>3.9288653116612129E-2</v>
      </c>
      <c r="BJ115" s="528">
        <f t="shared" si="350"/>
        <v>6.6991093368996453E-3</v>
      </c>
      <c r="BK115">
        <f t="shared" si="351"/>
        <v>3.8403081439664292E-3</v>
      </c>
      <c r="BL115" s="460">
        <f t="shared" si="427"/>
        <v>43.128961260578556</v>
      </c>
      <c r="BM115" s="528">
        <f t="shared" si="352"/>
        <v>0.91260983917832783</v>
      </c>
      <c r="BN115" s="460">
        <f t="shared" si="353"/>
        <v>912.60983917832777</v>
      </c>
      <c r="BO115" s="528">
        <f t="shared" si="354"/>
        <v>2.0999999999999998E-2</v>
      </c>
      <c r="BR115" s="460">
        <f t="shared" si="355"/>
        <v>20.999999999999996</v>
      </c>
      <c r="BS115" s="528">
        <f t="shared" si="356"/>
        <v>0.15984028472812203</v>
      </c>
      <c r="BT115" s="528">
        <f t="shared" si="357"/>
        <v>4.0448437326241395E-3</v>
      </c>
      <c r="BU115" s="528">
        <f t="shared" si="358"/>
        <v>4.6126533791948754</v>
      </c>
      <c r="BV115" s="528"/>
      <c r="BW115" s="528">
        <f t="shared" si="359"/>
        <v>0.51152995597943329</v>
      </c>
      <c r="BX115" s="460">
        <f t="shared" si="360"/>
        <v>5288.0684636350552</v>
      </c>
      <c r="BY115" s="173">
        <f t="shared" si="361"/>
        <v>6.1610525700919805</v>
      </c>
      <c r="BZ115" s="5">
        <f t="shared" si="362"/>
        <v>5.0999999999999996</v>
      </c>
      <c r="CA115" s="173">
        <f t="shared" si="363"/>
        <v>0.45288839282617283</v>
      </c>
      <c r="CB115" s="5">
        <f t="shared" si="364"/>
        <v>45.288839282617282</v>
      </c>
      <c r="CE115" s="562">
        <f t="shared" si="365"/>
        <v>-50</v>
      </c>
      <c r="CF115">
        <f t="shared" si="366"/>
        <v>-50</v>
      </c>
      <c r="CG115" s="173">
        <f t="shared" si="367"/>
        <v>9.013225576569002E-2</v>
      </c>
      <c r="CI115" s="170">
        <v>5</v>
      </c>
      <c r="CJ115" s="217">
        <f t="shared" si="428"/>
        <v>0.03</v>
      </c>
      <c r="CK115" s="217"/>
      <c r="CL115" s="217">
        <f t="shared" si="368"/>
        <v>5.0999999999999996</v>
      </c>
      <c r="CM115" s="541">
        <f t="shared" si="369"/>
        <v>9</v>
      </c>
      <c r="CN115" s="443">
        <f t="shared" si="370"/>
        <v>8.5250000000000004</v>
      </c>
      <c r="CO115" s="443">
        <f t="shared" si="371"/>
        <v>17.524999999999999</v>
      </c>
      <c r="CP115" s="443"/>
      <c r="CQ115" s="217">
        <f t="shared" si="372"/>
        <v>0.48644793152639093</v>
      </c>
      <c r="CR115" s="172">
        <f t="shared" si="429"/>
        <v>147.11644793152644</v>
      </c>
      <c r="CS115" s="172">
        <f t="shared" si="373"/>
        <v>5.0999999999999996</v>
      </c>
      <c r="CT115" s="217">
        <f t="shared" si="374"/>
        <v>0.86539087018544958</v>
      </c>
      <c r="CU115" s="217">
        <f t="shared" si="375"/>
        <v>170</v>
      </c>
      <c r="CV115" s="217"/>
      <c r="CW115" s="172">
        <f t="shared" si="376"/>
        <v>9820.009164494275</v>
      </c>
      <c r="CX115" s="172">
        <f t="shared" si="377"/>
        <v>170</v>
      </c>
      <c r="CY115" s="217">
        <f t="shared" si="378"/>
        <v>2.3298142717497554</v>
      </c>
      <c r="CZ115" s="217">
        <f t="shared" si="379"/>
        <v>0.12943412620831973</v>
      </c>
      <c r="DA115" s="217">
        <f t="shared" si="380"/>
        <v>0.13664599834309415</v>
      </c>
      <c r="DB115" s="197">
        <f t="shared" si="381"/>
        <v>350</v>
      </c>
      <c r="DC115" s="443">
        <f t="shared" si="382"/>
        <v>350</v>
      </c>
      <c r="DE115" s="217">
        <f t="shared" si="383"/>
        <v>25.017322192785819</v>
      </c>
      <c r="DF115" s="173">
        <f t="shared" si="384"/>
        <v>1.467291624210312</v>
      </c>
      <c r="DG115" s="173">
        <f t="shared" si="385"/>
        <v>0.32119243899439714</v>
      </c>
      <c r="DH115" s="173"/>
      <c r="DI115" s="173">
        <f t="shared" si="386"/>
        <v>0.78201368523949166</v>
      </c>
      <c r="DJ115" s="545">
        <f t="shared" si="387"/>
        <v>115.08750000000001</v>
      </c>
      <c r="DK115" s="528">
        <f t="shared" si="388"/>
        <v>9.1234929944607357E-2</v>
      </c>
      <c r="DM115" s="173">
        <f t="shared" si="389"/>
        <v>7.6457270980033583</v>
      </c>
      <c r="DN115" s="173">
        <f t="shared" si="390"/>
        <v>13.333333333333334</v>
      </c>
      <c r="DO115" s="173">
        <f t="shared" si="391"/>
        <v>1.0657642857142857</v>
      </c>
      <c r="DQ115" s="545">
        <f t="shared" si="392"/>
        <v>30</v>
      </c>
      <c r="DR115" s="460">
        <f t="shared" si="393"/>
        <v>115.08750000000001</v>
      </c>
      <c r="DT115">
        <f t="shared" si="430"/>
        <v>30</v>
      </c>
      <c r="DU115">
        <f t="shared" si="431"/>
        <v>115.08750000000001</v>
      </c>
      <c r="DW115" s="5">
        <f t="shared" si="394"/>
        <v>8.6890409471054628</v>
      </c>
      <c r="DX115" s="5">
        <f t="shared" si="395"/>
        <v>0.7407407407407407</v>
      </c>
      <c r="DY115" s="5">
        <f t="shared" si="396"/>
        <v>7.9483002063647223</v>
      </c>
      <c r="DZ115" s="5"/>
      <c r="EA115" s="173">
        <f t="shared" si="397"/>
        <v>8.5249999999999992E-2</v>
      </c>
      <c r="EB115" s="173">
        <f t="shared" si="398"/>
        <v>5.1150000000000002</v>
      </c>
      <c r="EC115" s="173">
        <f t="shared" si="399"/>
        <v>0.30491666666666667</v>
      </c>
      <c r="ED115" s="173">
        <f t="shared" si="400"/>
        <v>16.775075157146762</v>
      </c>
      <c r="EE115" s="460">
        <f t="shared" si="401"/>
        <v>1.30718954248366E-2</v>
      </c>
      <c r="EF115" s="5">
        <f t="shared" si="402"/>
        <v>7.2064588537706813</v>
      </c>
      <c r="EH115" s="173">
        <f t="shared" si="403"/>
        <v>2.2476324992871617</v>
      </c>
      <c r="EI115" s="173">
        <f t="shared" si="404"/>
        <v>0.36812839950011805</v>
      </c>
      <c r="EK115" s="528">
        <f t="shared" si="405"/>
        <v>0.20207407407407413</v>
      </c>
      <c r="EL115" s="528">
        <f t="shared" si="406"/>
        <v>0.73953309375000009</v>
      </c>
      <c r="EM115" s="528">
        <f t="shared" si="407"/>
        <v>2.30175E-2</v>
      </c>
      <c r="EN115" s="528">
        <f t="shared" si="408"/>
        <v>7.0692640734374996E-3</v>
      </c>
      <c r="EO115">
        <f t="shared" si="409"/>
        <v>4.0499999999999998E-3</v>
      </c>
      <c r="EP115" s="460">
        <f t="shared" si="410"/>
        <v>27.067500000000003</v>
      </c>
      <c r="EQ115" s="460"/>
      <c r="ER115" s="460">
        <f t="shared" si="432"/>
        <v>975.74393189751186</v>
      </c>
      <c r="ES115" s="528">
        <f t="shared" si="411"/>
        <v>2.0999999999999998E-2</v>
      </c>
      <c r="EV115" s="460">
        <f t="shared" si="412"/>
        <v>20.999999999999996</v>
      </c>
      <c r="EW115" s="528">
        <f t="shared" si="413"/>
        <v>0.15155555555555558</v>
      </c>
      <c r="EX115" s="528">
        <f t="shared" si="414"/>
        <v>4.0655555555555549E-3</v>
      </c>
      <c r="EY115" s="528">
        <f t="shared" si="415"/>
        <v>4.6119780986989349</v>
      </c>
      <c r="EZ115" s="528"/>
      <c r="FA115" s="528">
        <f t="shared" si="416"/>
        <v>0.51150000000000018</v>
      </c>
      <c r="FB115" s="460">
        <f t="shared" si="417"/>
        <v>5279.099209810046</v>
      </c>
      <c r="FC115" s="173">
        <f t="shared" si="418"/>
        <v>6.2758431417075577</v>
      </c>
      <c r="FD115" s="5">
        <f t="shared" si="419"/>
        <v>5.0999999999999996</v>
      </c>
      <c r="FE115" s="173">
        <f t="shared" si="420"/>
        <v>0.44831841793789629</v>
      </c>
      <c r="FF115" s="5">
        <f t="shared" si="421"/>
        <v>44.831841793789629</v>
      </c>
      <c r="FI115" s="562">
        <f t="shared" si="422"/>
        <v>-50</v>
      </c>
      <c r="FJ115">
        <f t="shared" si="423"/>
        <v>-50</v>
      </c>
      <c r="FL115">
        <f t="shared" si="424"/>
        <v>8.9999999999999983E-2</v>
      </c>
    </row>
    <row r="116" spans="5:168">
      <c r="E116" s="170">
        <v>6</v>
      </c>
      <c r="F116" s="217">
        <f t="shared" si="425"/>
        <v>3.5999999999999997E-2</v>
      </c>
      <c r="G116" s="217"/>
      <c r="H116" s="217">
        <f t="shared" si="315"/>
        <v>6.1199999999999992</v>
      </c>
      <c r="I116" s="541">
        <f t="shared" si="316"/>
        <v>8.5340180977031768</v>
      </c>
      <c r="J116" s="172">
        <f t="shared" si="317"/>
        <v>8.5254992663238891</v>
      </c>
      <c r="K116" s="172">
        <f t="shared" si="318"/>
        <v>17.059517364027066</v>
      </c>
      <c r="L116" s="443"/>
      <c r="M116" s="217">
        <f t="shared" si="319"/>
        <v>0.49975034178414673</v>
      </c>
      <c r="N116" s="172">
        <f t="shared" si="426"/>
        <v>143.31413255514408</v>
      </c>
      <c r="O116" s="172">
        <f t="shared" si="284"/>
        <v>6.1199999999999992</v>
      </c>
      <c r="P116" s="217">
        <f t="shared" si="320"/>
        <v>0.84302430914790638</v>
      </c>
      <c r="Q116" s="217">
        <f t="shared" si="321"/>
        <v>170</v>
      </c>
      <c r="R116" s="217"/>
      <c r="S116" s="172">
        <f t="shared" si="322"/>
        <v>7731.1992847308502</v>
      </c>
      <c r="T116" s="172">
        <f t="shared" si="323"/>
        <v>170</v>
      </c>
      <c r="U116" s="217">
        <f t="shared" si="324"/>
        <v>2.8785626863510081</v>
      </c>
      <c r="V116" s="217">
        <f t="shared" si="325"/>
        <v>0.16865224876460813</v>
      </c>
      <c r="W116" s="217">
        <f t="shared" si="326"/>
        <v>0.16882076910858829</v>
      </c>
      <c r="X116" s="197">
        <f t="shared" si="327"/>
        <v>350</v>
      </c>
      <c r="Y116" s="443">
        <f t="shared" si="328"/>
        <v>350</v>
      </c>
      <c r="AA116" s="217">
        <f t="shared" si="329"/>
        <v>24.370733014382896</v>
      </c>
      <c r="AB116" s="173">
        <f t="shared" si="330"/>
        <v>1.4292847992286153</v>
      </c>
      <c r="AC116" s="173">
        <f t="shared" si="331"/>
        <v>0.30478628463076896</v>
      </c>
      <c r="AD116" s="173"/>
      <c r="AE116" s="173">
        <f t="shared" si="332"/>
        <v>0.78196788931767369</v>
      </c>
      <c r="AF116" s="545">
        <f t="shared" si="333"/>
        <v>138.11308811444695</v>
      </c>
      <c r="AG116" s="528">
        <f t="shared" si="334"/>
        <v>9.1229587087061942E-2</v>
      </c>
      <c r="AI116" s="173">
        <f t="shared" si="335"/>
        <v>8.3757196513003844</v>
      </c>
      <c r="AJ116" s="173">
        <f t="shared" si="336"/>
        <v>13.333333333333334</v>
      </c>
      <c r="AK116" s="173">
        <f t="shared" si="337"/>
        <v>1.0789217646368268</v>
      </c>
      <c r="AM116" s="545">
        <f t="shared" si="338"/>
        <v>36</v>
      </c>
      <c r="AN116" s="460">
        <f t="shared" si="339"/>
        <v>138.11308811444695</v>
      </c>
      <c r="AP116" s="460">
        <f t="shared" si="340"/>
        <v>36</v>
      </c>
      <c r="AQ116" s="460">
        <f t="shared" si="341"/>
        <v>138.11308811444695</v>
      </c>
      <c r="AS116" s="5">
        <f t="shared" si="285"/>
        <v>7.2404434196080922</v>
      </c>
      <c r="AT116" s="5">
        <f t="shared" si="342"/>
        <v>0.78118731297990984</v>
      </c>
      <c r="AU116" s="5">
        <f t="shared" si="343"/>
        <v>6.4592561066281826</v>
      </c>
      <c r="AV116" s="5"/>
      <c r="AW116" s="173">
        <f t="shared" si="344"/>
        <v>0.10789219219148233</v>
      </c>
      <c r="AX116" s="173">
        <f t="shared" si="214"/>
        <v>6.1383594717531986</v>
      </c>
      <c r="AY116" s="173">
        <f t="shared" si="215"/>
        <v>0.29736926926950591</v>
      </c>
      <c r="AZ116" s="173">
        <f t="shared" si="288"/>
        <v>20.64221190989981</v>
      </c>
      <c r="BA116" s="460">
        <f t="shared" si="345"/>
        <v>1.6542790157221616E-2</v>
      </c>
      <c r="BB116" s="5">
        <f t="shared" si="346"/>
        <v>7.4114016483191945</v>
      </c>
      <c r="BD116" s="173">
        <f t="shared" si="289"/>
        <v>2.5285591527834343</v>
      </c>
      <c r="BE116" s="173">
        <f t="shared" si="218"/>
        <v>0.3635438345995376</v>
      </c>
      <c r="BG116" s="528">
        <f t="shared" si="347"/>
        <v>0.25574445556499514</v>
      </c>
      <c r="BH116" s="528">
        <f t="shared" si="348"/>
        <v>0.70684278746634233</v>
      </c>
      <c r="BI116" s="528">
        <f t="shared" si="349"/>
        <v>4.7146383739934551E-2</v>
      </c>
      <c r="BJ116" s="528">
        <f t="shared" si="350"/>
        <v>8.0389312042795751E-3</v>
      </c>
      <c r="BK116">
        <f t="shared" si="351"/>
        <v>3.8403081439664292E-3</v>
      </c>
      <c r="BL116" s="460">
        <f t="shared" si="427"/>
        <v>50.986691883900981</v>
      </c>
      <c r="BM116" s="528">
        <f t="shared" si="352"/>
        <v>1.1069402730202111</v>
      </c>
      <c r="BN116" s="460">
        <f t="shared" si="353"/>
        <v>1106.9402730202112</v>
      </c>
      <c r="BO116" s="528">
        <f t="shared" si="354"/>
        <v>2.5199999999999997E-2</v>
      </c>
      <c r="BR116" s="460">
        <f t="shared" si="355"/>
        <v>25.199999999999996</v>
      </c>
      <c r="BS116" s="528">
        <f t="shared" si="356"/>
        <v>0.19180834167374636</v>
      </c>
      <c r="BT116" s="528">
        <f t="shared" si="357"/>
        <v>3.9649235902600782E-3</v>
      </c>
      <c r="BU116" s="528">
        <f t="shared" si="358"/>
        <v>7.2761884005239024</v>
      </c>
      <c r="BV116" s="528"/>
      <c r="BW116" s="528">
        <f t="shared" si="359"/>
        <v>0.61383594717531986</v>
      </c>
      <c r="BX116" s="460">
        <f t="shared" si="360"/>
        <v>8085.7976129632279</v>
      </c>
      <c r="BY116" s="173">
        <f t="shared" si="361"/>
        <v>9.1326104790827465</v>
      </c>
      <c r="BZ116" s="5">
        <f t="shared" si="362"/>
        <v>6.1199999999999992</v>
      </c>
      <c r="CA116" s="173">
        <f t="shared" si="363"/>
        <v>0.40124279108765654</v>
      </c>
      <c r="CB116" s="5">
        <f t="shared" si="364"/>
        <v>40.124279108765656</v>
      </c>
      <c r="CE116" s="562">
        <f t="shared" si="365"/>
        <v>-50</v>
      </c>
      <c r="CF116">
        <f t="shared" si="366"/>
        <v>-50</v>
      </c>
      <c r="CG116" s="173">
        <f t="shared" si="367"/>
        <v>0.10815870691882803</v>
      </c>
      <c r="CI116" s="170">
        <v>6</v>
      </c>
      <c r="CJ116" s="217">
        <f t="shared" si="428"/>
        <v>3.5999999999999997E-2</v>
      </c>
      <c r="CK116" s="217"/>
      <c r="CL116" s="217">
        <f t="shared" si="368"/>
        <v>6.1199999999999992</v>
      </c>
      <c r="CM116" s="541">
        <f t="shared" si="369"/>
        <v>9</v>
      </c>
      <c r="CN116" s="443">
        <f t="shared" si="370"/>
        <v>8.5250000000000004</v>
      </c>
      <c r="CO116" s="443">
        <f t="shared" si="371"/>
        <v>17.524999999999999</v>
      </c>
      <c r="CP116" s="443"/>
      <c r="CQ116" s="217">
        <f t="shared" si="372"/>
        <v>0.48644793152639093</v>
      </c>
      <c r="CR116" s="172">
        <f t="shared" si="429"/>
        <v>147.11644793152644</v>
      </c>
      <c r="CS116" s="172">
        <f t="shared" si="373"/>
        <v>6.1199999999999992</v>
      </c>
      <c r="CT116" s="217">
        <f t="shared" si="374"/>
        <v>0.86539087018544958</v>
      </c>
      <c r="CU116" s="217">
        <f t="shared" si="375"/>
        <v>170</v>
      </c>
      <c r="CV116" s="217"/>
      <c r="CW116" s="172">
        <f t="shared" si="376"/>
        <v>8153.3443710715974</v>
      </c>
      <c r="CX116" s="172">
        <f t="shared" si="377"/>
        <v>170</v>
      </c>
      <c r="CY116" s="217">
        <f t="shared" si="378"/>
        <v>2.795777126099706</v>
      </c>
      <c r="CZ116" s="217">
        <f t="shared" si="379"/>
        <v>0.15532095144998365</v>
      </c>
      <c r="DA116" s="217">
        <f t="shared" si="380"/>
        <v>0.16397519801171295</v>
      </c>
      <c r="DB116" s="197">
        <f t="shared" si="381"/>
        <v>350</v>
      </c>
      <c r="DC116" s="443">
        <f t="shared" si="382"/>
        <v>350</v>
      </c>
      <c r="DE116" s="217">
        <f t="shared" si="383"/>
        <v>25.017322192785819</v>
      </c>
      <c r="DF116" s="173">
        <f t="shared" si="384"/>
        <v>1.467291624210312</v>
      </c>
      <c r="DG116" s="173">
        <f t="shared" si="385"/>
        <v>0.32119243899439714</v>
      </c>
      <c r="DH116" s="173"/>
      <c r="DI116" s="173">
        <f t="shared" si="386"/>
        <v>0.78201368523949166</v>
      </c>
      <c r="DJ116" s="545">
        <f t="shared" si="387"/>
        <v>138.10499999999999</v>
      </c>
      <c r="DK116" s="528">
        <f t="shared" si="388"/>
        <v>9.1234929944607357E-2</v>
      </c>
      <c r="DM116" s="173">
        <f t="shared" si="389"/>
        <v>8.3754744002099031</v>
      </c>
      <c r="DN116" s="173">
        <f t="shared" si="390"/>
        <v>13.333333333333334</v>
      </c>
      <c r="DO116" s="173">
        <f t="shared" si="391"/>
        <v>1.0789171428571429</v>
      </c>
      <c r="DQ116" s="545">
        <f t="shared" si="392"/>
        <v>36</v>
      </c>
      <c r="DR116" s="460">
        <f t="shared" si="393"/>
        <v>138.10499999999999</v>
      </c>
      <c r="DT116">
        <f t="shared" si="430"/>
        <v>36</v>
      </c>
      <c r="DU116">
        <f t="shared" si="431"/>
        <v>138.10499999999999</v>
      </c>
      <c r="DW116" s="5">
        <f t="shared" si="394"/>
        <v>7.2408674559212196</v>
      </c>
      <c r="DX116" s="5">
        <f t="shared" si="395"/>
        <v>0.7407407407407407</v>
      </c>
      <c r="DY116" s="5">
        <f t="shared" si="396"/>
        <v>6.5001267151804791</v>
      </c>
      <c r="DZ116" s="5"/>
      <c r="EA116" s="173">
        <f t="shared" si="397"/>
        <v>0.10229999999999999</v>
      </c>
      <c r="EB116" s="173">
        <f t="shared" si="398"/>
        <v>6.1379999999999999</v>
      </c>
      <c r="EC116" s="173">
        <f t="shared" si="399"/>
        <v>0.29923333333333341</v>
      </c>
      <c r="ED116" s="173">
        <f t="shared" si="400"/>
        <v>20.512420630500163</v>
      </c>
      <c r="EE116" s="460">
        <f t="shared" si="401"/>
        <v>1.5686274509803918E-2</v>
      </c>
      <c r="EF116" s="5">
        <f t="shared" si="402"/>
        <v>7.0721378661163614</v>
      </c>
      <c r="EH116" s="173">
        <f t="shared" si="403"/>
        <v>2.462158041682585</v>
      </c>
      <c r="EI116" s="173">
        <f t="shared" si="404"/>
        <v>0.36468149472189099</v>
      </c>
      <c r="EK116" s="528">
        <f t="shared" si="405"/>
        <v>0.24248888888888889</v>
      </c>
      <c r="EL116" s="528">
        <f t="shared" si="406"/>
        <v>0.88743971249999998</v>
      </c>
      <c r="EM116" s="528">
        <f t="shared" si="407"/>
        <v>2.7620999999999996E-2</v>
      </c>
      <c r="EN116" s="528">
        <f t="shared" si="408"/>
        <v>8.4831168881249995E-3</v>
      </c>
      <c r="EO116">
        <f t="shared" si="409"/>
        <v>4.0499999999999998E-3</v>
      </c>
      <c r="EP116" s="460">
        <f t="shared" si="410"/>
        <v>31.670999999999999</v>
      </c>
      <c r="EQ116" s="460"/>
      <c r="ER116" s="460">
        <f t="shared" si="432"/>
        <v>1170.082718277014</v>
      </c>
      <c r="ES116" s="528">
        <f t="shared" si="411"/>
        <v>2.5199999999999997E-2</v>
      </c>
      <c r="EV116" s="460">
        <f t="shared" si="412"/>
        <v>25.199999999999996</v>
      </c>
      <c r="EW116" s="528">
        <f t="shared" si="413"/>
        <v>0.18186666666666665</v>
      </c>
      <c r="EX116" s="528">
        <f t="shared" si="414"/>
        <v>3.9897777777777779E-3</v>
      </c>
      <c r="EY116" s="528">
        <f t="shared" si="415"/>
        <v>7.2751231854063105</v>
      </c>
      <c r="EZ116" s="528"/>
      <c r="FA116" s="528">
        <f t="shared" si="416"/>
        <v>0.61380000000000001</v>
      </c>
      <c r="FB116" s="460">
        <f t="shared" si="417"/>
        <v>8074.7796298507537</v>
      </c>
      <c r="FC116" s="173">
        <f t="shared" si="418"/>
        <v>9.2700623481277677</v>
      </c>
      <c r="FD116" s="5">
        <f t="shared" si="419"/>
        <v>6.1199999999999992</v>
      </c>
      <c r="FE116" s="173">
        <f t="shared" si="420"/>
        <v>0.39765920771233976</v>
      </c>
      <c r="FF116" s="5">
        <f t="shared" si="421"/>
        <v>39.765920771233979</v>
      </c>
      <c r="FI116" s="562">
        <f t="shared" si="422"/>
        <v>-50</v>
      </c>
      <c r="FJ116">
        <f t="shared" si="423"/>
        <v>-50</v>
      </c>
      <c r="FL116">
        <f t="shared" si="424"/>
        <v>0.10799999999999998</v>
      </c>
    </row>
    <row r="117" spans="5:168">
      <c r="E117" s="170">
        <v>7</v>
      </c>
      <c r="F117" s="217">
        <f t="shared" si="425"/>
        <v>4.2000000000000003E-2</v>
      </c>
      <c r="G117" s="217"/>
      <c r="H117" s="217">
        <f t="shared" si="315"/>
        <v>7.1400000000000006</v>
      </c>
      <c r="I117" s="541">
        <f t="shared" si="316"/>
        <v>8.5340180977031768</v>
      </c>
      <c r="J117" s="172">
        <f t="shared" si="317"/>
        <v>8.5254992663238891</v>
      </c>
      <c r="K117" s="172">
        <f t="shared" si="318"/>
        <v>17.059517364027066</v>
      </c>
      <c r="L117" s="443"/>
      <c r="M117" s="217">
        <f t="shared" si="319"/>
        <v>0.49975034178414673</v>
      </c>
      <c r="N117" s="172">
        <f t="shared" si="426"/>
        <v>143.31413255514408</v>
      </c>
      <c r="O117" s="172">
        <f t="shared" si="284"/>
        <v>7.1400000000000006</v>
      </c>
      <c r="P117" s="217">
        <f t="shared" si="320"/>
        <v>0.84302430914790638</v>
      </c>
      <c r="Q117" s="217">
        <f t="shared" si="321"/>
        <v>170</v>
      </c>
      <c r="R117" s="217"/>
      <c r="S117" s="172">
        <f t="shared" si="322"/>
        <v>6602.3627990425548</v>
      </c>
      <c r="T117" s="172">
        <f t="shared" si="323"/>
        <v>170</v>
      </c>
      <c r="U117" s="217">
        <f t="shared" si="324"/>
        <v>3.3583231340761763</v>
      </c>
      <c r="V117" s="217">
        <f t="shared" si="325"/>
        <v>0.19676095689204282</v>
      </c>
      <c r="W117" s="217">
        <f t="shared" si="326"/>
        <v>0.19695756396001968</v>
      </c>
      <c r="X117" s="197">
        <f t="shared" si="327"/>
        <v>350</v>
      </c>
      <c r="Y117" s="443">
        <f t="shared" si="328"/>
        <v>350</v>
      </c>
      <c r="AA117" s="217">
        <f t="shared" si="329"/>
        <v>24.370733014382896</v>
      </c>
      <c r="AB117" s="173">
        <f t="shared" si="330"/>
        <v>1.4292847992286153</v>
      </c>
      <c r="AC117" s="173">
        <f t="shared" si="331"/>
        <v>0.30478628463076896</v>
      </c>
      <c r="AD117" s="173"/>
      <c r="AE117" s="173">
        <f t="shared" si="332"/>
        <v>0.78196788931767369</v>
      </c>
      <c r="AF117" s="545">
        <f t="shared" si="333"/>
        <v>161.13193613352149</v>
      </c>
      <c r="AG117" s="528">
        <f t="shared" si="334"/>
        <v>9.1229587087061942E-2</v>
      </c>
      <c r="AI117" s="173">
        <f t="shared" si="335"/>
        <v>9.0468112037728172</v>
      </c>
      <c r="AJ117" s="173">
        <f t="shared" si="336"/>
        <v>13.333333333333334</v>
      </c>
      <c r="AK117" s="173">
        <f t="shared" si="337"/>
        <v>1.092075392076298</v>
      </c>
      <c r="AM117" s="545">
        <f t="shared" si="338"/>
        <v>42</v>
      </c>
      <c r="AN117" s="460">
        <f t="shared" si="339"/>
        <v>161.13193613352149</v>
      </c>
      <c r="AP117" s="460">
        <f t="shared" si="340"/>
        <v>42</v>
      </c>
      <c r="AQ117" s="460">
        <f t="shared" si="341"/>
        <v>161.13193613352149</v>
      </c>
      <c r="AS117" s="5">
        <f t="shared" si="285"/>
        <v>6.2060943596640765</v>
      </c>
      <c r="AT117" s="5">
        <f t="shared" si="342"/>
        <v>0.78118731297990984</v>
      </c>
      <c r="AU117" s="5">
        <f t="shared" si="343"/>
        <v>5.4249070466841669</v>
      </c>
      <c r="AV117" s="5"/>
      <c r="AW117" s="173">
        <f t="shared" si="344"/>
        <v>0.12587422422339611</v>
      </c>
      <c r="AX117" s="173">
        <f t="shared" si="214"/>
        <v>7.161419383712067</v>
      </c>
      <c r="AY117" s="173">
        <f t="shared" si="215"/>
        <v>0.29137525859220131</v>
      </c>
      <c r="AZ117" s="173">
        <f t="shared" si="288"/>
        <v>24.577994090208396</v>
      </c>
      <c r="BA117" s="460">
        <f t="shared" ref="BA117:BA180" si="433">F117*AT117/Vout_ripple*1000</f>
        <v>1.929992185009189E-2</v>
      </c>
      <c r="BB117" s="5">
        <f t="shared" ref="BB117:BB180" si="434">H117/Efficiency/I117*AU117/Vinripple1</f>
        <v>7.2620115626423951</v>
      </c>
      <c r="BD117" s="173">
        <f t="shared" si="289"/>
        <v>2.731156034962551</v>
      </c>
      <c r="BE117" s="173">
        <f t="shared" si="218"/>
        <v>0.35986124399533115</v>
      </c>
      <c r="BG117" s="528">
        <f t="shared" si="347"/>
        <v>0.29836853149249454</v>
      </c>
      <c r="BH117" s="528">
        <f t="shared" si="348"/>
        <v>0.8246499187107329</v>
      </c>
      <c r="BI117" s="528">
        <f t="shared" si="349"/>
        <v>5.5004114363256994E-2</v>
      </c>
      <c r="BJ117" s="528">
        <f t="shared" si="350"/>
        <v>9.3787530716595065E-3</v>
      </c>
      <c r="BK117">
        <f t="shared" si="351"/>
        <v>3.8403081439664292E-3</v>
      </c>
      <c r="BL117" s="460">
        <f t="shared" si="427"/>
        <v>58.84442250722342</v>
      </c>
      <c r="BM117" s="528">
        <f t="shared" si="352"/>
        <v>1.3055071969941381</v>
      </c>
      <c r="BN117" s="460">
        <f t="shared" si="353"/>
        <v>1305.507196994138</v>
      </c>
      <c r="BO117" s="528">
        <f t="shared" si="354"/>
        <v>2.9399999999999999E-2</v>
      </c>
      <c r="BR117" s="460">
        <f t="shared" si="355"/>
        <v>29.4</v>
      </c>
      <c r="BS117" s="528">
        <f t="shared" si="356"/>
        <v>0.2237763986193709</v>
      </c>
      <c r="BT117" s="528">
        <f t="shared" si="357"/>
        <v>3.8850034478960177E-3</v>
      </c>
      <c r="BU117" s="528">
        <f t="shared" si="358"/>
        <v>10.697219558015561</v>
      </c>
      <c r="BV117" s="528"/>
      <c r="BW117" s="528">
        <f t="shared" si="359"/>
        <v>0.71614193837120665</v>
      </c>
      <c r="BX117" s="460">
        <f t="shared" si="360"/>
        <v>11641.022898454034</v>
      </c>
      <c r="BY117" s="173">
        <f t="shared" si="361"/>
        <v>12.861664524236145</v>
      </c>
      <c r="BZ117" s="5">
        <f t="shared" si="362"/>
        <v>7.1400000000000006</v>
      </c>
      <c r="CA117" s="173">
        <f t="shared" si="363"/>
        <v>0.35697029071497605</v>
      </c>
      <c r="CB117" s="5">
        <f t="shared" si="364"/>
        <v>35.697029071497603</v>
      </c>
      <c r="CE117" s="562">
        <f t="shared" si="365"/>
        <v>-50</v>
      </c>
      <c r="CF117">
        <f t="shared" si="366"/>
        <v>-50</v>
      </c>
      <c r="CG117" s="173">
        <f t="shared" si="367"/>
        <v>0.12618515807196604</v>
      </c>
      <c r="CI117" s="170">
        <v>7</v>
      </c>
      <c r="CJ117" s="217">
        <f t="shared" si="428"/>
        <v>4.2000000000000003E-2</v>
      </c>
      <c r="CK117" s="217"/>
      <c r="CL117" s="217">
        <f t="shared" si="368"/>
        <v>7.1400000000000006</v>
      </c>
      <c r="CM117" s="541">
        <f t="shared" si="369"/>
        <v>9</v>
      </c>
      <c r="CN117" s="443">
        <f t="shared" si="370"/>
        <v>8.5250000000000004</v>
      </c>
      <c r="CO117" s="443">
        <f t="shared" si="371"/>
        <v>17.524999999999999</v>
      </c>
      <c r="CP117" s="443"/>
      <c r="CQ117" s="217">
        <f t="shared" si="372"/>
        <v>0.48644793152639093</v>
      </c>
      <c r="CR117" s="172">
        <f t="shared" si="429"/>
        <v>147.11644793152644</v>
      </c>
      <c r="CS117" s="172">
        <f t="shared" si="373"/>
        <v>7.1400000000000006</v>
      </c>
      <c r="CT117" s="217">
        <f t="shared" si="374"/>
        <v>0.86539087018544958</v>
      </c>
      <c r="CU117" s="217">
        <f t="shared" si="375"/>
        <v>170</v>
      </c>
      <c r="CV117" s="217"/>
      <c r="CW117" s="172">
        <f t="shared" si="376"/>
        <v>6962.8700676333838</v>
      </c>
      <c r="CX117" s="172">
        <f t="shared" si="377"/>
        <v>170</v>
      </c>
      <c r="CY117" s="217">
        <f t="shared" si="378"/>
        <v>3.2617399804496578</v>
      </c>
      <c r="CZ117" s="217">
        <f t="shared" si="379"/>
        <v>0.18120777669164767</v>
      </c>
      <c r="DA117" s="217">
        <f t="shared" si="380"/>
        <v>0.19130439768033183</v>
      </c>
      <c r="DB117" s="197">
        <f t="shared" si="381"/>
        <v>350</v>
      </c>
      <c r="DC117" s="443">
        <f t="shared" si="382"/>
        <v>350</v>
      </c>
      <c r="DE117" s="217">
        <f t="shared" si="383"/>
        <v>25.017322192785819</v>
      </c>
      <c r="DF117" s="173">
        <f t="shared" si="384"/>
        <v>1.467291624210312</v>
      </c>
      <c r="DG117" s="173">
        <f t="shared" si="385"/>
        <v>0.32119243899439714</v>
      </c>
      <c r="DH117" s="173"/>
      <c r="DI117" s="173">
        <f t="shared" si="386"/>
        <v>0.78201368523949166</v>
      </c>
      <c r="DJ117" s="545">
        <f t="shared" si="387"/>
        <v>161.1225</v>
      </c>
      <c r="DK117" s="528">
        <f t="shared" si="388"/>
        <v>9.1234929944607357E-2</v>
      </c>
      <c r="DM117" s="173">
        <f t="shared" si="389"/>
        <v>9.0465463023189141</v>
      </c>
      <c r="DN117" s="173">
        <f t="shared" si="390"/>
        <v>13.333333333333334</v>
      </c>
      <c r="DO117" s="173">
        <f t="shared" si="391"/>
        <v>1.0920700000000001</v>
      </c>
      <c r="DQ117" s="545">
        <f t="shared" si="392"/>
        <v>42</v>
      </c>
      <c r="DR117" s="460">
        <f t="shared" si="393"/>
        <v>161.1225</v>
      </c>
      <c r="DT117">
        <f t="shared" si="430"/>
        <v>42</v>
      </c>
      <c r="DU117">
        <f t="shared" si="431"/>
        <v>161.1225</v>
      </c>
      <c r="DW117" s="5">
        <f t="shared" si="394"/>
        <v>6.2064578193610451</v>
      </c>
      <c r="DX117" s="5">
        <f t="shared" si="395"/>
        <v>0.7407407407407407</v>
      </c>
      <c r="DY117" s="5">
        <f t="shared" si="396"/>
        <v>5.4657170786203046</v>
      </c>
      <c r="DZ117" s="5"/>
      <c r="EA117" s="173">
        <f t="shared" si="397"/>
        <v>0.11935</v>
      </c>
      <c r="EB117" s="173">
        <f t="shared" si="398"/>
        <v>7.1610000000000005</v>
      </c>
      <c r="EC117" s="173">
        <f t="shared" si="399"/>
        <v>0.29355000000000003</v>
      </c>
      <c r="ED117" s="173">
        <f t="shared" si="400"/>
        <v>24.394481349003577</v>
      </c>
      <c r="EE117" s="460">
        <f t="shared" si="401"/>
        <v>1.8300653594771243E-2</v>
      </c>
      <c r="EF117" s="5">
        <f t="shared" si="402"/>
        <v>6.9378168784620415</v>
      </c>
      <c r="EH117" s="173">
        <f t="shared" si="403"/>
        <v>2.6594346377740874</v>
      </c>
      <c r="EI117" s="173">
        <f t="shared" si="404"/>
        <v>0.36120169803956725</v>
      </c>
      <c r="EK117" s="528">
        <f t="shared" si="405"/>
        <v>0.28290370370370366</v>
      </c>
      <c r="EL117" s="528">
        <f t="shared" si="406"/>
        <v>1.03534633125</v>
      </c>
      <c r="EM117" s="528">
        <f t="shared" si="407"/>
        <v>3.2224499999999996E-2</v>
      </c>
      <c r="EN117" s="528">
        <f t="shared" si="408"/>
        <v>9.8969697028124994E-3</v>
      </c>
      <c r="EO117">
        <f t="shared" si="409"/>
        <v>4.0499999999999998E-3</v>
      </c>
      <c r="EP117" s="460">
        <f t="shared" si="410"/>
        <v>36.274499999999996</v>
      </c>
      <c r="EQ117" s="460"/>
      <c r="ER117" s="460">
        <f t="shared" si="432"/>
        <v>1364.4215046565162</v>
      </c>
      <c r="ES117" s="528">
        <f t="shared" si="411"/>
        <v>2.9399999999999999E-2</v>
      </c>
      <c r="EV117" s="460">
        <f t="shared" si="412"/>
        <v>29.4</v>
      </c>
      <c r="EW117" s="528">
        <f t="shared" si="413"/>
        <v>0.21217777777777772</v>
      </c>
      <c r="EX117" s="528">
        <f t="shared" si="414"/>
        <v>3.9140000000000017E-3</v>
      </c>
      <c r="EY117" s="528">
        <f t="shared" si="415"/>
        <v>10.695653512805897</v>
      </c>
      <c r="EZ117" s="528"/>
      <c r="FA117" s="528">
        <f t="shared" si="416"/>
        <v>0.71610000000000007</v>
      </c>
      <c r="FB117" s="460">
        <f t="shared" si="417"/>
        <v>11627.845290583675</v>
      </c>
      <c r="FC117" s="173">
        <f t="shared" si="418"/>
        <v>13.021666795240192</v>
      </c>
      <c r="FD117" s="5">
        <f t="shared" si="419"/>
        <v>7.1400000000000006</v>
      </c>
      <c r="FE117" s="173">
        <f t="shared" si="420"/>
        <v>0.35413738717701781</v>
      </c>
      <c r="FF117" s="5">
        <f t="shared" si="421"/>
        <v>35.413738717701783</v>
      </c>
      <c r="FI117" s="562">
        <f t="shared" si="422"/>
        <v>-50</v>
      </c>
      <c r="FJ117">
        <f t="shared" si="423"/>
        <v>-50</v>
      </c>
      <c r="FL117">
        <f t="shared" si="424"/>
        <v>0.126</v>
      </c>
    </row>
    <row r="118" spans="5:168">
      <c r="E118" s="170">
        <v>8</v>
      </c>
      <c r="F118" s="217">
        <f t="shared" si="425"/>
        <v>4.8000000000000001E-2</v>
      </c>
      <c r="G118" s="217"/>
      <c r="H118" s="217">
        <f t="shared" si="315"/>
        <v>8.16</v>
      </c>
      <c r="I118" s="541">
        <f t="shared" si="316"/>
        <v>8.5340180977031768</v>
      </c>
      <c r="J118" s="172">
        <f t="shared" si="317"/>
        <v>8.5254992663238891</v>
      </c>
      <c r="K118" s="172">
        <f t="shared" si="318"/>
        <v>17.059517364027066</v>
      </c>
      <c r="L118" s="443"/>
      <c r="M118" s="217">
        <f t="shared" si="319"/>
        <v>0.49975034178414673</v>
      </c>
      <c r="N118" s="172">
        <f t="shared" si="426"/>
        <v>143.31413255514408</v>
      </c>
      <c r="O118" s="172">
        <f t="shared" si="284"/>
        <v>8.16</v>
      </c>
      <c r="P118" s="217">
        <f t="shared" si="320"/>
        <v>0.84302430914790638</v>
      </c>
      <c r="Q118" s="217">
        <f t="shared" si="321"/>
        <v>170</v>
      </c>
      <c r="R118" s="217"/>
      <c r="S118" s="172">
        <f t="shared" si="322"/>
        <v>5755.7359204762779</v>
      </c>
      <c r="T118" s="172">
        <f t="shared" si="323"/>
        <v>170</v>
      </c>
      <c r="U118" s="217">
        <f t="shared" si="324"/>
        <v>3.8380835818013437</v>
      </c>
      <c r="V118" s="217">
        <f t="shared" si="325"/>
        <v>0.22486966501947747</v>
      </c>
      <c r="W118" s="217">
        <f t="shared" si="326"/>
        <v>0.22509435881145098</v>
      </c>
      <c r="X118" s="197">
        <f t="shared" si="327"/>
        <v>350</v>
      </c>
      <c r="Y118" s="443">
        <f t="shared" si="328"/>
        <v>350</v>
      </c>
      <c r="AA118" s="217">
        <f t="shared" si="329"/>
        <v>24.370733014382896</v>
      </c>
      <c r="AB118" s="173">
        <f t="shared" si="330"/>
        <v>1.4292847992286153</v>
      </c>
      <c r="AC118" s="173">
        <f t="shared" si="331"/>
        <v>0.30478628463076896</v>
      </c>
      <c r="AD118" s="173"/>
      <c r="AE118" s="173">
        <f t="shared" si="332"/>
        <v>0.78196788931767369</v>
      </c>
      <c r="AF118" s="545">
        <f t="shared" si="333"/>
        <v>184.15078415259597</v>
      </c>
      <c r="AG118" s="528">
        <f t="shared" si="334"/>
        <v>9.1229587087061942E-2</v>
      </c>
      <c r="AI118" s="173">
        <f t="shared" si="335"/>
        <v>9.6714479906702309</v>
      </c>
      <c r="AJ118" s="173">
        <f t="shared" si="336"/>
        <v>13.333333333333334</v>
      </c>
      <c r="AK118" s="173">
        <f t="shared" si="337"/>
        <v>1.105229019515769</v>
      </c>
      <c r="AM118" s="545">
        <f t="shared" si="338"/>
        <v>48</v>
      </c>
      <c r="AN118" s="460">
        <f t="shared" si="339"/>
        <v>184.15078415259597</v>
      </c>
      <c r="AP118" s="460">
        <f t="shared" si="340"/>
        <v>48</v>
      </c>
      <c r="AQ118" s="460">
        <f t="shared" si="341"/>
        <v>184.15078415259597</v>
      </c>
      <c r="AS118" s="5">
        <f t="shared" si="285"/>
        <v>5.4303325647060676</v>
      </c>
      <c r="AT118" s="5">
        <f t="shared" si="342"/>
        <v>0.78118731297990984</v>
      </c>
      <c r="AU118" s="5">
        <f t="shared" si="343"/>
        <v>4.649145251726158</v>
      </c>
      <c r="AV118" s="5"/>
      <c r="AW118" s="173">
        <f t="shared" si="344"/>
        <v>0.14385625625530982</v>
      </c>
      <c r="AX118" s="173">
        <f t="shared" si="214"/>
        <v>8.1844792956709327</v>
      </c>
      <c r="AY118" s="173">
        <f t="shared" si="215"/>
        <v>0.28538124791489677</v>
      </c>
      <c r="AZ118" s="173">
        <f t="shared" si="288"/>
        <v>28.679106828040844</v>
      </c>
      <c r="BA118" s="460">
        <f t="shared" si="433"/>
        <v>2.2057053542962161E-2</v>
      </c>
      <c r="BB118" s="5">
        <f t="shared" si="434"/>
        <v>7.1126214769655984</v>
      </c>
      <c r="BD118" s="173">
        <f t="shared" si="289"/>
        <v>2.9197286150428159</v>
      </c>
      <c r="BE118" s="173">
        <f t="shared" si="218"/>
        <v>0.35614057643632602</v>
      </c>
      <c r="BG118" s="528">
        <f t="shared" si="347"/>
        <v>0.3409926074199936</v>
      </c>
      <c r="BH118" s="528">
        <f t="shared" si="348"/>
        <v>0.94245704995512325</v>
      </c>
      <c r="BI118" s="528">
        <f t="shared" si="349"/>
        <v>6.2861844986579415E-2</v>
      </c>
      <c r="BJ118" s="528">
        <f t="shared" si="350"/>
        <v>1.0718574939039435E-2</v>
      </c>
      <c r="BK118">
        <f t="shared" si="351"/>
        <v>3.8403081439664292E-3</v>
      </c>
      <c r="BL118" s="460">
        <f t="shared" si="427"/>
        <v>66.702153130545838</v>
      </c>
      <c r="BM118" s="528">
        <f t="shared" si="352"/>
        <v>1.5084506738772379</v>
      </c>
      <c r="BN118" s="460">
        <f t="shared" si="353"/>
        <v>1508.4506738772379</v>
      </c>
      <c r="BO118" s="528">
        <f t="shared" si="354"/>
        <v>3.3599999999999998E-2</v>
      </c>
      <c r="BR118" s="460">
        <f t="shared" si="355"/>
        <v>33.6</v>
      </c>
      <c r="BS118" s="528">
        <f t="shared" si="356"/>
        <v>0.2557444555649952</v>
      </c>
      <c r="BT118" s="528">
        <f t="shared" si="357"/>
        <v>3.8050833055319573E-3</v>
      </c>
      <c r="BU118" s="528">
        <f t="shared" si="358"/>
        <v>14.93656651277124</v>
      </c>
      <c r="BV118" s="528"/>
      <c r="BW118" s="528">
        <f t="shared" si="359"/>
        <v>0.81844792956709334</v>
      </c>
      <c r="BX118" s="460">
        <f t="shared" si="360"/>
        <v>16014.563981208859</v>
      </c>
      <c r="BY118" s="173">
        <f t="shared" si="361"/>
        <v>17.409034366653561</v>
      </c>
      <c r="BZ118" s="5">
        <f t="shared" si="362"/>
        <v>8.16</v>
      </c>
      <c r="CA118" s="173">
        <f t="shared" si="363"/>
        <v>0.31913602535737723</v>
      </c>
      <c r="CB118" s="5">
        <f t="shared" si="364"/>
        <v>31.913602535737724</v>
      </c>
      <c r="CE118" s="562">
        <f t="shared" si="365"/>
        <v>-50</v>
      </c>
      <c r="CF118">
        <f t="shared" si="366"/>
        <v>-50</v>
      </c>
      <c r="CG118" s="173">
        <f t="shared" si="367"/>
        <v>0.14421160922510404</v>
      </c>
      <c r="CI118" s="170">
        <v>8</v>
      </c>
      <c r="CJ118" s="217">
        <f t="shared" si="428"/>
        <v>4.8000000000000001E-2</v>
      </c>
      <c r="CK118" s="217"/>
      <c r="CL118" s="217">
        <f t="shared" si="368"/>
        <v>8.16</v>
      </c>
      <c r="CM118" s="541">
        <f t="shared" si="369"/>
        <v>9</v>
      </c>
      <c r="CN118" s="443">
        <f t="shared" si="370"/>
        <v>8.5250000000000004</v>
      </c>
      <c r="CO118" s="443">
        <f t="shared" si="371"/>
        <v>17.524999999999999</v>
      </c>
      <c r="CP118" s="443"/>
      <c r="CQ118" s="217">
        <f t="shared" si="372"/>
        <v>0.48644793152639093</v>
      </c>
      <c r="CR118" s="172">
        <f t="shared" si="429"/>
        <v>147.11644793152644</v>
      </c>
      <c r="CS118" s="172">
        <f t="shared" si="373"/>
        <v>8.16</v>
      </c>
      <c r="CT118" s="217">
        <f t="shared" si="374"/>
        <v>0.86539087018544958</v>
      </c>
      <c r="CU118" s="217">
        <f t="shared" si="375"/>
        <v>170</v>
      </c>
      <c r="CV118" s="217"/>
      <c r="CW118" s="172">
        <f t="shared" si="376"/>
        <v>6070.0148257606788</v>
      </c>
      <c r="CX118" s="172">
        <f t="shared" si="377"/>
        <v>170</v>
      </c>
      <c r="CY118" s="217">
        <f t="shared" si="378"/>
        <v>3.7277028347996088</v>
      </c>
      <c r="CZ118" s="217">
        <f t="shared" si="379"/>
        <v>0.20709460193331158</v>
      </c>
      <c r="DA118" s="217">
        <f t="shared" si="380"/>
        <v>0.21863359734895066</v>
      </c>
      <c r="DB118" s="197">
        <f t="shared" si="381"/>
        <v>350</v>
      </c>
      <c r="DC118" s="443">
        <f t="shared" si="382"/>
        <v>350</v>
      </c>
      <c r="DE118" s="217">
        <f t="shared" si="383"/>
        <v>25.017322192785819</v>
      </c>
      <c r="DF118" s="173">
        <f t="shared" si="384"/>
        <v>1.467291624210312</v>
      </c>
      <c r="DG118" s="173">
        <f t="shared" si="385"/>
        <v>0.32119243899439714</v>
      </c>
      <c r="DH118" s="173"/>
      <c r="DI118" s="173">
        <f t="shared" si="386"/>
        <v>0.78201368523949166</v>
      </c>
      <c r="DJ118" s="545">
        <f t="shared" si="387"/>
        <v>184.14</v>
      </c>
      <c r="DK118" s="528">
        <f t="shared" si="388"/>
        <v>9.1234929944607357E-2</v>
      </c>
      <c r="DM118" s="173">
        <f t="shared" si="389"/>
        <v>9.6711647991040142</v>
      </c>
      <c r="DN118" s="173">
        <f t="shared" si="390"/>
        <v>13.333333333333334</v>
      </c>
      <c r="DO118" s="173">
        <f t="shared" si="391"/>
        <v>1.1052228571428571</v>
      </c>
      <c r="DQ118" s="545">
        <f t="shared" si="392"/>
        <v>48</v>
      </c>
      <c r="DR118" s="460">
        <f t="shared" si="393"/>
        <v>184.14</v>
      </c>
      <c r="DT118">
        <f t="shared" si="430"/>
        <v>48</v>
      </c>
      <c r="DU118">
        <f t="shared" si="431"/>
        <v>184.14</v>
      </c>
      <c r="DW118" s="5">
        <f t="shared" si="394"/>
        <v>5.4306505919409149</v>
      </c>
      <c r="DX118" s="5">
        <f t="shared" si="395"/>
        <v>0.7407407407407407</v>
      </c>
      <c r="DY118" s="5">
        <f t="shared" si="396"/>
        <v>4.6899098512001745</v>
      </c>
      <c r="DZ118" s="5"/>
      <c r="EA118" s="173">
        <f t="shared" si="397"/>
        <v>0.13639999999999999</v>
      </c>
      <c r="EB118" s="173">
        <f t="shared" si="398"/>
        <v>8.1840000000000011</v>
      </c>
      <c r="EC118" s="173">
        <f t="shared" si="399"/>
        <v>0.28786666666666672</v>
      </c>
      <c r="ED118" s="173">
        <f t="shared" si="400"/>
        <v>28.429828624363129</v>
      </c>
      <c r="EE118" s="460">
        <f t="shared" si="401"/>
        <v>2.0915032679738564E-2</v>
      </c>
      <c r="EF118" s="5">
        <f t="shared" si="402"/>
        <v>6.8034958908077199</v>
      </c>
      <c r="EH118" s="173">
        <f t="shared" si="403"/>
        <v>2.8430552163056846</v>
      </c>
      <c r="EI118" s="173">
        <f t="shared" si="404"/>
        <v>0.35768804947990757</v>
      </c>
      <c r="EK118" s="528">
        <f t="shared" si="405"/>
        <v>0.32331851851851851</v>
      </c>
      <c r="EL118" s="528">
        <f t="shared" si="406"/>
        <v>1.18325295</v>
      </c>
      <c r="EM118" s="528">
        <f t="shared" si="407"/>
        <v>3.6827999999999993E-2</v>
      </c>
      <c r="EN118" s="528">
        <f t="shared" si="408"/>
        <v>1.1310822517499999E-2</v>
      </c>
      <c r="EO118">
        <f t="shared" si="409"/>
        <v>4.0499999999999998E-3</v>
      </c>
      <c r="EP118" s="460">
        <f t="shared" si="410"/>
        <v>40.877999999999993</v>
      </c>
      <c r="EQ118" s="460"/>
      <c r="ER118" s="460">
        <f t="shared" si="432"/>
        <v>1558.7602910360188</v>
      </c>
      <c r="ES118" s="528">
        <f t="shared" si="411"/>
        <v>3.3599999999999998E-2</v>
      </c>
      <c r="EV118" s="460">
        <f t="shared" si="412"/>
        <v>33.6</v>
      </c>
      <c r="EW118" s="528">
        <f t="shared" si="413"/>
        <v>0.24248888888888886</v>
      </c>
      <c r="EX118" s="528">
        <f t="shared" si="414"/>
        <v>3.8382222222222238E-3</v>
      </c>
      <c r="EY118" s="528">
        <f t="shared" si="415"/>
        <v>14.934379838158312</v>
      </c>
      <c r="EZ118" s="528"/>
      <c r="FA118" s="528">
        <f t="shared" si="416"/>
        <v>0.81840000000000002</v>
      </c>
      <c r="FB118" s="460">
        <f t="shared" si="417"/>
        <v>15999.106949269424</v>
      </c>
      <c r="FC118" s="173">
        <f t="shared" si="418"/>
        <v>17.591467240305441</v>
      </c>
      <c r="FD118" s="5">
        <f t="shared" si="419"/>
        <v>8.16</v>
      </c>
      <c r="FE118" s="173">
        <f t="shared" si="420"/>
        <v>0.31687514827225871</v>
      </c>
      <c r="FF118" s="5">
        <f t="shared" si="421"/>
        <v>31.687514827225872</v>
      </c>
      <c r="FI118" s="562">
        <f t="shared" si="422"/>
        <v>-50</v>
      </c>
      <c r="FJ118">
        <f t="shared" si="423"/>
        <v>-50</v>
      </c>
      <c r="FL118">
        <f t="shared" si="424"/>
        <v>0.14399999999999999</v>
      </c>
    </row>
    <row r="119" spans="5:168">
      <c r="E119" s="170">
        <v>9</v>
      </c>
      <c r="F119" s="217">
        <f t="shared" si="425"/>
        <v>5.3999999999999999E-2</v>
      </c>
      <c r="G119" s="217"/>
      <c r="H119" s="217">
        <f t="shared" si="315"/>
        <v>9.18</v>
      </c>
      <c r="I119" s="541">
        <f t="shared" si="316"/>
        <v>8.5340180977031768</v>
      </c>
      <c r="J119" s="172">
        <f t="shared" si="317"/>
        <v>8.5254992663238891</v>
      </c>
      <c r="K119" s="172">
        <f t="shared" si="318"/>
        <v>17.059517364027066</v>
      </c>
      <c r="L119" s="443"/>
      <c r="M119" s="217">
        <f t="shared" si="319"/>
        <v>0.49975034178414673</v>
      </c>
      <c r="N119" s="172">
        <f t="shared" si="426"/>
        <v>143.31413255514408</v>
      </c>
      <c r="O119" s="172">
        <f t="shared" si="284"/>
        <v>9.18</v>
      </c>
      <c r="P119" s="217">
        <f t="shared" si="320"/>
        <v>0.84302430914790638</v>
      </c>
      <c r="Q119" s="217">
        <f t="shared" si="321"/>
        <v>170</v>
      </c>
      <c r="R119" s="217"/>
      <c r="S119" s="172">
        <f t="shared" si="322"/>
        <v>5097.2487847939892</v>
      </c>
      <c r="T119" s="172">
        <f t="shared" si="323"/>
        <v>170</v>
      </c>
      <c r="U119" s="217">
        <f t="shared" si="324"/>
        <v>4.3178440295265128</v>
      </c>
      <c r="V119" s="217">
        <f t="shared" si="325"/>
        <v>0.25297837314691218</v>
      </c>
      <c r="W119" s="217">
        <f t="shared" si="326"/>
        <v>0.2532311536628824</v>
      </c>
      <c r="X119" s="197">
        <f t="shared" si="327"/>
        <v>350</v>
      </c>
      <c r="Y119" s="443">
        <f t="shared" si="328"/>
        <v>350</v>
      </c>
      <c r="AA119" s="217">
        <f t="shared" si="329"/>
        <v>24.370733014382896</v>
      </c>
      <c r="AB119" s="173">
        <f t="shared" si="330"/>
        <v>1.4292847992286153</v>
      </c>
      <c r="AC119" s="173">
        <f t="shared" si="331"/>
        <v>0.30478628463076896</v>
      </c>
      <c r="AD119" s="173"/>
      <c r="AE119" s="173">
        <f t="shared" si="332"/>
        <v>0.78196788931767369</v>
      </c>
      <c r="AF119" s="545">
        <f t="shared" si="333"/>
        <v>207.16963217167046</v>
      </c>
      <c r="AG119" s="528">
        <f t="shared" si="334"/>
        <v>9.1229587087061942E-2</v>
      </c>
      <c r="AI119" s="173">
        <f t="shared" si="335"/>
        <v>10.258119687143894</v>
      </c>
      <c r="AJ119" s="173">
        <f t="shared" si="336"/>
        <v>13.333333333333334</v>
      </c>
      <c r="AK119" s="173">
        <f t="shared" si="337"/>
        <v>1.1183826469552403</v>
      </c>
      <c r="AM119" s="545">
        <f t="shared" si="338"/>
        <v>54</v>
      </c>
      <c r="AN119" s="460">
        <f t="shared" si="339"/>
        <v>207.16963217167046</v>
      </c>
      <c r="AP119" s="460">
        <f t="shared" si="340"/>
        <v>54</v>
      </c>
      <c r="AQ119" s="460">
        <f t="shared" si="341"/>
        <v>207.16963217167046</v>
      </c>
      <c r="AS119" s="5">
        <f t="shared" si="285"/>
        <v>4.8269622797387273</v>
      </c>
      <c r="AT119" s="5">
        <f t="shared" si="342"/>
        <v>0.78118731297990984</v>
      </c>
      <c r="AU119" s="5">
        <f t="shared" si="343"/>
        <v>4.0457749667588176</v>
      </c>
      <c r="AV119" s="5"/>
      <c r="AW119" s="173">
        <f t="shared" si="344"/>
        <v>0.16183828828722352</v>
      </c>
      <c r="AX119" s="173">
        <f t="shared" si="214"/>
        <v>9.2075392076297984</v>
      </c>
      <c r="AY119" s="173">
        <f t="shared" si="215"/>
        <v>0.27938723723759218</v>
      </c>
      <c r="AZ119" s="173">
        <f t="shared" si="288"/>
        <v>32.956191194230051</v>
      </c>
      <c r="BA119" s="460">
        <f t="shared" si="433"/>
        <v>2.4814185235832429E-2</v>
      </c>
      <c r="BB119" s="5">
        <f t="shared" si="434"/>
        <v>6.9632313912888026</v>
      </c>
      <c r="BD119" s="173">
        <f t="shared" si="289"/>
        <v>3.096839854381773</v>
      </c>
      <c r="BE119" s="173">
        <f t="shared" si="218"/>
        <v>0.35238062579961721</v>
      </c>
      <c r="BG119" s="528">
        <f t="shared" si="347"/>
        <v>0.38361668334749283</v>
      </c>
      <c r="BH119" s="528">
        <f t="shared" si="348"/>
        <v>1.0602641811995137</v>
      </c>
      <c r="BI119" s="528">
        <f t="shared" si="349"/>
        <v>7.071957560990183E-2</v>
      </c>
      <c r="BJ119" s="528">
        <f t="shared" si="350"/>
        <v>1.2058396806419363E-2</v>
      </c>
      <c r="BK119">
        <f t="shared" si="351"/>
        <v>3.8403081439664292E-3</v>
      </c>
      <c r="BL119" s="460">
        <f t="shared" si="427"/>
        <v>74.559883753868249</v>
      </c>
      <c r="BM119" s="528">
        <f t="shared" si="352"/>
        <v>1.7159170094080076</v>
      </c>
      <c r="BN119" s="460">
        <f t="shared" si="353"/>
        <v>1715.9170094080075</v>
      </c>
      <c r="BO119" s="528">
        <f t="shared" si="354"/>
        <v>3.78E-2</v>
      </c>
      <c r="BR119" s="460">
        <f t="shared" si="355"/>
        <v>37.799999999999997</v>
      </c>
      <c r="BS119" s="528">
        <f t="shared" si="356"/>
        <v>0.28771251251061963</v>
      </c>
      <c r="BT119" s="528">
        <f t="shared" si="357"/>
        <v>3.7251631631678955E-3</v>
      </c>
      <c r="BU119" s="528">
        <f t="shared" si="358"/>
        <v>20.050817460346391</v>
      </c>
      <c r="BV119" s="528"/>
      <c r="BW119" s="528">
        <f t="shared" si="359"/>
        <v>0.9207539207629799</v>
      </c>
      <c r="BX119" s="460">
        <f t="shared" si="360"/>
        <v>21263.009056783158</v>
      </c>
      <c r="BY119" s="173">
        <f t="shared" si="361"/>
        <v>22.831308201890451</v>
      </c>
      <c r="BZ119" s="5">
        <f t="shared" si="362"/>
        <v>9.18</v>
      </c>
      <c r="CA119" s="173">
        <f t="shared" si="363"/>
        <v>0.28677365954877998</v>
      </c>
      <c r="CB119" s="5">
        <f t="shared" si="364"/>
        <v>28.677365954877999</v>
      </c>
      <c r="CE119" s="562">
        <f t="shared" si="365"/>
        <v>-50</v>
      </c>
      <c r="CF119">
        <f t="shared" si="366"/>
        <v>-50</v>
      </c>
      <c r="CG119" s="173">
        <f t="shared" si="367"/>
        <v>0.16223806037824204</v>
      </c>
      <c r="CI119" s="170">
        <v>9</v>
      </c>
      <c r="CJ119" s="217">
        <f t="shared" si="428"/>
        <v>5.3999999999999999E-2</v>
      </c>
      <c r="CK119" s="217"/>
      <c r="CL119" s="217">
        <f t="shared" si="368"/>
        <v>9.18</v>
      </c>
      <c r="CM119" s="541">
        <f t="shared" si="369"/>
        <v>9</v>
      </c>
      <c r="CN119" s="443">
        <f t="shared" si="370"/>
        <v>8.5250000000000004</v>
      </c>
      <c r="CO119" s="443">
        <f t="shared" si="371"/>
        <v>17.524999999999999</v>
      </c>
      <c r="CP119" s="443"/>
      <c r="CQ119" s="217">
        <f t="shared" si="372"/>
        <v>0.48644793152639093</v>
      </c>
      <c r="CR119" s="172">
        <f t="shared" si="429"/>
        <v>147.11644793152644</v>
      </c>
      <c r="CS119" s="172">
        <f t="shared" si="373"/>
        <v>9.18</v>
      </c>
      <c r="CT119" s="217">
        <f t="shared" si="374"/>
        <v>0.86539087018544958</v>
      </c>
      <c r="CU119" s="217">
        <f t="shared" si="375"/>
        <v>170</v>
      </c>
      <c r="CV119" s="217"/>
      <c r="CW119" s="172">
        <f t="shared" si="376"/>
        <v>5375.5722964018541</v>
      </c>
      <c r="CX119" s="172">
        <f t="shared" si="377"/>
        <v>170</v>
      </c>
      <c r="CY119" s="217">
        <f t="shared" si="378"/>
        <v>4.1936656891495598</v>
      </c>
      <c r="CZ119" s="217">
        <f t="shared" si="379"/>
        <v>0.23298142717497553</v>
      </c>
      <c r="DA119" s="217">
        <f t="shared" si="380"/>
        <v>0.24596279701756946</v>
      </c>
      <c r="DB119" s="197">
        <f t="shared" si="381"/>
        <v>350</v>
      </c>
      <c r="DC119" s="443">
        <f t="shared" si="382"/>
        <v>350</v>
      </c>
      <c r="DE119" s="217">
        <f t="shared" si="383"/>
        <v>25.017322192785819</v>
      </c>
      <c r="DF119" s="173">
        <f t="shared" si="384"/>
        <v>1.467291624210312</v>
      </c>
      <c r="DG119" s="173">
        <f t="shared" si="385"/>
        <v>0.32119243899439714</v>
      </c>
      <c r="DH119" s="173"/>
      <c r="DI119" s="173">
        <f t="shared" si="386"/>
        <v>0.78201368523949166</v>
      </c>
      <c r="DJ119" s="545">
        <f t="shared" si="387"/>
        <v>207.1575</v>
      </c>
      <c r="DK119" s="528">
        <f t="shared" si="388"/>
        <v>9.1234929944607357E-2</v>
      </c>
      <c r="DM119" s="173">
        <f t="shared" si="389"/>
        <v>10.257819317128623</v>
      </c>
      <c r="DN119" s="173">
        <f t="shared" si="390"/>
        <v>13.333333333333334</v>
      </c>
      <c r="DO119" s="173">
        <f t="shared" si="391"/>
        <v>1.1183757142857143</v>
      </c>
      <c r="DQ119" s="545">
        <f t="shared" si="392"/>
        <v>54</v>
      </c>
      <c r="DR119" s="460">
        <f t="shared" si="393"/>
        <v>207.1575</v>
      </c>
      <c r="DT119">
        <f t="shared" si="430"/>
        <v>54</v>
      </c>
      <c r="DU119">
        <f t="shared" si="431"/>
        <v>207.1575</v>
      </c>
      <c r="DW119" s="5">
        <f t="shared" si="394"/>
        <v>4.8272449706141458</v>
      </c>
      <c r="DX119" s="5">
        <f t="shared" si="395"/>
        <v>0.7407407407407407</v>
      </c>
      <c r="DY119" s="5">
        <f t="shared" si="396"/>
        <v>4.0865042298734053</v>
      </c>
      <c r="DZ119" s="5"/>
      <c r="EA119" s="173">
        <f t="shared" si="397"/>
        <v>0.15345</v>
      </c>
      <c r="EB119" s="173">
        <f t="shared" si="398"/>
        <v>9.2070000000000007</v>
      </c>
      <c r="EC119" s="173">
        <f t="shared" si="399"/>
        <v>0.2821833333333334</v>
      </c>
      <c r="ED119" s="173">
        <f t="shared" si="400"/>
        <v>32.627724292717495</v>
      </c>
      <c r="EE119" s="460">
        <f t="shared" si="401"/>
        <v>2.3529411764705882E-2</v>
      </c>
      <c r="EF119" s="5">
        <f t="shared" si="402"/>
        <v>6.6691749031533973</v>
      </c>
      <c r="EH119" s="173">
        <f t="shared" si="403"/>
        <v>3.0155154341063044</v>
      </c>
      <c r="EI119" s="173">
        <f t="shared" si="404"/>
        <v>0.35413954144491522</v>
      </c>
      <c r="EK119" s="528">
        <f t="shared" si="405"/>
        <v>0.36373333333333335</v>
      </c>
      <c r="EL119" s="528">
        <f t="shared" si="406"/>
        <v>1.33115956875</v>
      </c>
      <c r="EM119" s="528">
        <f t="shared" si="407"/>
        <v>4.1431499999999996E-2</v>
      </c>
      <c r="EN119" s="528">
        <f t="shared" si="408"/>
        <v>1.2724675332187499E-2</v>
      </c>
      <c r="EO119">
        <f t="shared" si="409"/>
        <v>4.0499999999999998E-3</v>
      </c>
      <c r="EP119" s="460">
        <f t="shared" si="410"/>
        <v>45.481499999999997</v>
      </c>
      <c r="EQ119" s="460"/>
      <c r="ER119" s="460">
        <f t="shared" si="432"/>
        <v>1753.0990774155209</v>
      </c>
      <c r="ES119" s="528">
        <f t="shared" si="411"/>
        <v>3.78E-2</v>
      </c>
      <c r="EV119" s="460">
        <f t="shared" si="412"/>
        <v>37.799999999999997</v>
      </c>
      <c r="EW119" s="528">
        <f t="shared" si="413"/>
        <v>0.27279999999999999</v>
      </c>
      <c r="EX119" s="528">
        <f t="shared" si="414"/>
        <v>3.7624444444444441E-3</v>
      </c>
      <c r="EY119" s="528">
        <f t="shared" si="415"/>
        <v>20.04788207265398</v>
      </c>
      <c r="EZ119" s="528"/>
      <c r="FA119" s="528">
        <f t="shared" si="416"/>
        <v>0.92070000000000007</v>
      </c>
      <c r="FB119" s="460">
        <f t="shared" si="417"/>
        <v>21245.144517098423</v>
      </c>
      <c r="FC119" s="173">
        <f t="shared" si="418"/>
        <v>23.036043594513945</v>
      </c>
      <c r="FD119" s="5">
        <f t="shared" si="419"/>
        <v>9.18</v>
      </c>
      <c r="FE119" s="173">
        <f t="shared" si="420"/>
        <v>0.28495119126183627</v>
      </c>
      <c r="FF119" s="5">
        <f t="shared" si="421"/>
        <v>28.495119126183628</v>
      </c>
      <c r="FI119" s="562">
        <f t="shared" si="422"/>
        <v>-50</v>
      </c>
      <c r="FJ119">
        <f t="shared" si="423"/>
        <v>-50</v>
      </c>
      <c r="FL119">
        <f t="shared" si="424"/>
        <v>0.16199999999999998</v>
      </c>
    </row>
    <row r="120" spans="5:168">
      <c r="E120" s="170">
        <v>10</v>
      </c>
      <c r="F120" s="217">
        <f t="shared" si="425"/>
        <v>0.06</v>
      </c>
      <c r="G120" s="217"/>
      <c r="H120" s="217">
        <f t="shared" si="315"/>
        <v>10.199999999999999</v>
      </c>
      <c r="I120" s="541">
        <f t="shared" si="316"/>
        <v>8.5340180977031768</v>
      </c>
      <c r="J120" s="172">
        <f t="shared" si="317"/>
        <v>8.5254992663238891</v>
      </c>
      <c r="K120" s="172">
        <f t="shared" si="318"/>
        <v>17.059517364027066</v>
      </c>
      <c r="L120" s="443"/>
      <c r="M120" s="217">
        <f t="shared" si="319"/>
        <v>0.49975034178414673</v>
      </c>
      <c r="N120" s="172">
        <f t="shared" si="426"/>
        <v>143.31413255514408</v>
      </c>
      <c r="O120" s="172">
        <f t="shared" si="284"/>
        <v>10.199999999999999</v>
      </c>
      <c r="P120" s="217">
        <f t="shared" si="320"/>
        <v>0.84302430914790638</v>
      </c>
      <c r="Q120" s="217">
        <f t="shared" si="321"/>
        <v>170</v>
      </c>
      <c r="R120" s="217"/>
      <c r="S120" s="172">
        <f t="shared" si="322"/>
        <v>4570.4594735170131</v>
      </c>
      <c r="T120" s="172">
        <f t="shared" si="323"/>
        <v>170</v>
      </c>
      <c r="U120" s="217">
        <f t="shared" si="324"/>
        <v>4.7976044772516797</v>
      </c>
      <c r="V120" s="217">
        <f t="shared" si="325"/>
        <v>0.28108708127434684</v>
      </c>
      <c r="W120" s="217">
        <f t="shared" si="326"/>
        <v>0.28136794851431374</v>
      </c>
      <c r="X120" s="197">
        <f t="shared" si="327"/>
        <v>350</v>
      </c>
      <c r="Y120" s="443">
        <f t="shared" si="328"/>
        <v>350</v>
      </c>
      <c r="AA120" s="217">
        <f t="shared" si="329"/>
        <v>24.370733014382896</v>
      </c>
      <c r="AB120" s="173">
        <f t="shared" si="330"/>
        <v>1.4292847992286153</v>
      </c>
      <c r="AC120" s="173">
        <f t="shared" si="331"/>
        <v>0.30478628463076896</v>
      </c>
      <c r="AD120" s="173"/>
      <c r="AE120" s="173">
        <f t="shared" si="332"/>
        <v>0.78196788931767369</v>
      </c>
      <c r="AF120" s="545">
        <f t="shared" si="333"/>
        <v>230.18848019074494</v>
      </c>
      <c r="AG120" s="528">
        <f t="shared" si="334"/>
        <v>9.1229587087061942E-2</v>
      </c>
      <c r="AI120" s="173">
        <f t="shared" si="335"/>
        <v>10.813007573996193</v>
      </c>
      <c r="AJ120" s="173">
        <f t="shared" si="336"/>
        <v>13.333333333333334</v>
      </c>
      <c r="AK120" s="173">
        <f t="shared" si="337"/>
        <v>1.1315362743947115</v>
      </c>
      <c r="AM120" s="545">
        <f t="shared" si="338"/>
        <v>60</v>
      </c>
      <c r="AN120" s="460">
        <f t="shared" si="339"/>
        <v>230.18848019074494</v>
      </c>
      <c r="AP120" s="460">
        <f t="shared" si="340"/>
        <v>60</v>
      </c>
      <c r="AQ120" s="460">
        <f t="shared" si="341"/>
        <v>230.18848019074494</v>
      </c>
      <c r="AS120" s="5">
        <f t="shared" si="285"/>
        <v>4.3442660517648548</v>
      </c>
      <c r="AT120" s="5">
        <f t="shared" si="342"/>
        <v>0.78118731297990984</v>
      </c>
      <c r="AU120" s="5">
        <f t="shared" si="343"/>
        <v>3.5630787387849452</v>
      </c>
      <c r="AV120" s="5"/>
      <c r="AW120" s="173">
        <f t="shared" si="344"/>
        <v>0.17982032031913725</v>
      </c>
      <c r="AX120" s="173">
        <f t="shared" si="214"/>
        <v>10.230599119588666</v>
      </c>
      <c r="AY120" s="173">
        <f t="shared" si="215"/>
        <v>0.27339322656028758</v>
      </c>
      <c r="AZ120" s="173">
        <f t="shared" si="288"/>
        <v>37.420821460376068</v>
      </c>
      <c r="BA120" s="460">
        <f t="shared" si="433"/>
        <v>2.7571316928702697E-2</v>
      </c>
      <c r="BB120" s="5">
        <f t="shared" si="434"/>
        <v>6.813841305612006</v>
      </c>
      <c r="BD120" s="173">
        <f t="shared" si="289"/>
        <v>3.2643558295435255</v>
      </c>
      <c r="BE120" s="173">
        <f t="shared" si="218"/>
        <v>0.34858012090975754</v>
      </c>
      <c r="BG120" s="528">
        <f t="shared" si="347"/>
        <v>0.426240759274992</v>
      </c>
      <c r="BH120" s="528">
        <f t="shared" si="348"/>
        <v>1.1780713124439042</v>
      </c>
      <c r="BI120" s="528">
        <f t="shared" si="349"/>
        <v>7.8577306233224259E-2</v>
      </c>
      <c r="BJ120" s="528">
        <f t="shared" si="350"/>
        <v>1.3398218673799291E-2</v>
      </c>
      <c r="BK120">
        <f t="shared" si="351"/>
        <v>3.8403081439664292E-3</v>
      </c>
      <c r="BL120" s="460">
        <f t="shared" si="427"/>
        <v>82.417614377190688</v>
      </c>
      <c r="BM120" s="528">
        <f t="shared" si="352"/>
        <v>1.9280591040371522</v>
      </c>
      <c r="BN120" s="460">
        <f t="shared" si="353"/>
        <v>1928.0591040371521</v>
      </c>
      <c r="BO120" s="528">
        <f t="shared" si="354"/>
        <v>4.1999999999999996E-2</v>
      </c>
      <c r="BR120" s="460">
        <f t="shared" si="355"/>
        <v>41.999999999999993</v>
      </c>
      <c r="BS120" s="528">
        <f t="shared" si="356"/>
        <v>0.31968056945624396</v>
      </c>
      <c r="BT120" s="528">
        <f t="shared" si="357"/>
        <v>3.6452430208038355E-3</v>
      </c>
      <c r="BU120" s="528">
        <f t="shared" si="358"/>
        <v>26.093107869533949</v>
      </c>
      <c r="BV120" s="528"/>
      <c r="BW120" s="528">
        <f t="shared" si="359"/>
        <v>1.0230599119588666</v>
      </c>
      <c r="BX120" s="460">
        <f t="shared" si="360"/>
        <v>27439.493593969863</v>
      </c>
      <c r="BY120" s="173">
        <f t="shared" si="361"/>
        <v>29.181621498739752</v>
      </c>
      <c r="BZ120" s="5">
        <f t="shared" si="362"/>
        <v>10.199999999999999</v>
      </c>
      <c r="CA120" s="173">
        <f t="shared" si="363"/>
        <v>0.2590040636169948</v>
      </c>
      <c r="CB120" s="5">
        <f t="shared" si="364"/>
        <v>25.900406361699481</v>
      </c>
      <c r="CE120" s="562">
        <f t="shared" si="365"/>
        <v>-50</v>
      </c>
      <c r="CF120">
        <f t="shared" si="366"/>
        <v>-50</v>
      </c>
      <c r="CG120" s="173">
        <f t="shared" si="367"/>
        <v>0.18026451153138004</v>
      </c>
      <c r="CI120" s="170">
        <v>10</v>
      </c>
      <c r="CJ120" s="217">
        <f t="shared" si="428"/>
        <v>0.06</v>
      </c>
      <c r="CK120" s="217"/>
      <c r="CL120" s="217">
        <f t="shared" si="368"/>
        <v>10.199999999999999</v>
      </c>
      <c r="CM120" s="541">
        <f t="shared" si="369"/>
        <v>9</v>
      </c>
      <c r="CN120" s="443">
        <f t="shared" si="370"/>
        <v>8.5250000000000004</v>
      </c>
      <c r="CO120" s="443">
        <f t="shared" si="371"/>
        <v>17.524999999999999</v>
      </c>
      <c r="CP120" s="443"/>
      <c r="CQ120" s="217">
        <f t="shared" si="372"/>
        <v>0.48644793152639093</v>
      </c>
      <c r="CR120" s="172">
        <f t="shared" si="429"/>
        <v>147.11644793152644</v>
      </c>
      <c r="CS120" s="172">
        <f t="shared" si="373"/>
        <v>10.199999999999999</v>
      </c>
      <c r="CT120" s="217">
        <f t="shared" si="374"/>
        <v>0.86539087018544958</v>
      </c>
      <c r="CU120" s="217">
        <f t="shared" si="375"/>
        <v>170</v>
      </c>
      <c r="CV120" s="217"/>
      <c r="CW120" s="172">
        <f t="shared" si="376"/>
        <v>4820.0186701901102</v>
      </c>
      <c r="CX120" s="172">
        <f t="shared" si="377"/>
        <v>170</v>
      </c>
      <c r="CY120" s="217">
        <f t="shared" si="378"/>
        <v>4.6596285434995108</v>
      </c>
      <c r="CZ120" s="217">
        <f t="shared" si="379"/>
        <v>0.25886825241663947</v>
      </c>
      <c r="DA120" s="217">
        <f t="shared" si="380"/>
        <v>0.27329199668618831</v>
      </c>
      <c r="DB120" s="197">
        <f t="shared" si="381"/>
        <v>350</v>
      </c>
      <c r="DC120" s="443">
        <f t="shared" si="382"/>
        <v>350</v>
      </c>
      <c r="DE120" s="217">
        <f t="shared" si="383"/>
        <v>25.017322192785819</v>
      </c>
      <c r="DF120" s="173">
        <f t="shared" si="384"/>
        <v>1.467291624210312</v>
      </c>
      <c r="DG120" s="173">
        <f t="shared" si="385"/>
        <v>0.32119243899439714</v>
      </c>
      <c r="DH120" s="173"/>
      <c r="DI120" s="173">
        <f t="shared" si="386"/>
        <v>0.78201368523949166</v>
      </c>
      <c r="DJ120" s="545">
        <f t="shared" si="387"/>
        <v>230.17500000000001</v>
      </c>
      <c r="DK120" s="528">
        <f t="shared" si="388"/>
        <v>9.1234929944607357E-2</v>
      </c>
      <c r="DM120" s="173">
        <f t="shared" si="389"/>
        <v>10.812690956199836</v>
      </c>
      <c r="DN120" s="173">
        <f t="shared" si="390"/>
        <v>13.333333333333334</v>
      </c>
      <c r="DO120" s="173">
        <f t="shared" si="391"/>
        <v>1.1315285714285714</v>
      </c>
      <c r="DQ120" s="545">
        <f t="shared" si="392"/>
        <v>60</v>
      </c>
      <c r="DR120" s="460">
        <f t="shared" si="393"/>
        <v>230.17500000000001</v>
      </c>
      <c r="DT120">
        <f t="shared" si="430"/>
        <v>60</v>
      </c>
      <c r="DU120">
        <f t="shared" si="431"/>
        <v>230.17500000000001</v>
      </c>
      <c r="DW120" s="5">
        <f t="shared" si="394"/>
        <v>4.3445204735527314</v>
      </c>
      <c r="DX120" s="5">
        <f t="shared" si="395"/>
        <v>0.7407407407407407</v>
      </c>
      <c r="DY120" s="5">
        <f t="shared" si="396"/>
        <v>3.6037797328119909</v>
      </c>
      <c r="DZ120" s="5"/>
      <c r="EA120" s="173">
        <f t="shared" si="397"/>
        <v>0.17049999999999998</v>
      </c>
      <c r="EB120" s="173">
        <f t="shared" si="398"/>
        <v>10.23</v>
      </c>
      <c r="EC120" s="173">
        <f t="shared" si="399"/>
        <v>0.27650000000000002</v>
      </c>
      <c r="ED120" s="173">
        <f t="shared" si="400"/>
        <v>36.998191681735982</v>
      </c>
      <c r="EE120" s="460">
        <f t="shared" si="401"/>
        <v>2.61437908496732E-2</v>
      </c>
      <c r="EF120" s="5">
        <f t="shared" si="402"/>
        <v>6.5348539154990757</v>
      </c>
      <c r="EH120" s="173">
        <f t="shared" si="403"/>
        <v>3.1786323637224396</v>
      </c>
      <c r="EI120" s="173">
        <f t="shared" si="404"/>
        <v>0.3505551153369309</v>
      </c>
      <c r="EK120" s="528">
        <f t="shared" si="405"/>
        <v>0.4041481481481482</v>
      </c>
      <c r="EL120" s="528">
        <f t="shared" si="406"/>
        <v>1.4790661875000002</v>
      </c>
      <c r="EM120" s="528">
        <f t="shared" si="407"/>
        <v>4.6035E-2</v>
      </c>
      <c r="EN120" s="528">
        <f t="shared" si="408"/>
        <v>1.4138528146874999E-2</v>
      </c>
      <c r="EO120">
        <f t="shared" si="409"/>
        <v>4.0499999999999998E-3</v>
      </c>
      <c r="EP120" s="460">
        <f t="shared" si="410"/>
        <v>50.085000000000001</v>
      </c>
      <c r="EQ120" s="460"/>
      <c r="ER120" s="460">
        <f t="shared" si="432"/>
        <v>1947.4378637950235</v>
      </c>
      <c r="ES120" s="528">
        <f t="shared" si="411"/>
        <v>4.1999999999999996E-2</v>
      </c>
      <c r="EV120" s="460">
        <f t="shared" si="412"/>
        <v>41.999999999999993</v>
      </c>
      <c r="EW120" s="528">
        <f t="shared" si="413"/>
        <v>0.30311111111111111</v>
      </c>
      <c r="EX120" s="528">
        <f t="shared" si="414"/>
        <v>3.6866666666666675E-3</v>
      </c>
      <c r="EY120" s="528">
        <f t="shared" si="415"/>
        <v>26.089287906190837</v>
      </c>
      <c r="EZ120" s="528"/>
      <c r="FA120" s="528">
        <f t="shared" si="416"/>
        <v>1.0230000000000004</v>
      </c>
      <c r="FB120" s="460">
        <f t="shared" si="417"/>
        <v>27419.085683968613</v>
      </c>
      <c r="FC120" s="173">
        <f t="shared" si="418"/>
        <v>29.40852354776364</v>
      </c>
      <c r="FD120" s="5">
        <f t="shared" si="419"/>
        <v>10.199999999999999</v>
      </c>
      <c r="FE120" s="173">
        <f t="shared" si="420"/>
        <v>0.25752032861562968</v>
      </c>
      <c r="FF120" s="5">
        <f t="shared" si="421"/>
        <v>25.752032861562967</v>
      </c>
      <c r="FI120" s="562">
        <f t="shared" si="422"/>
        <v>-50</v>
      </c>
      <c r="FJ120">
        <f t="shared" si="423"/>
        <v>-50</v>
      </c>
      <c r="FL120">
        <f t="shared" si="424"/>
        <v>0.17999999999999997</v>
      </c>
    </row>
    <row r="121" spans="5:168">
      <c r="E121" s="170">
        <v>11</v>
      </c>
      <c r="F121" s="217">
        <f t="shared" si="425"/>
        <v>6.6000000000000003E-2</v>
      </c>
      <c r="G121" s="217"/>
      <c r="H121" s="217">
        <f t="shared" si="315"/>
        <v>11.22</v>
      </c>
      <c r="I121" s="541">
        <f t="shared" si="316"/>
        <v>8.5340180977031768</v>
      </c>
      <c r="J121" s="172">
        <f t="shared" si="317"/>
        <v>8.5254992663238891</v>
      </c>
      <c r="K121" s="172">
        <f t="shared" si="318"/>
        <v>17.059517364027066</v>
      </c>
      <c r="L121" s="443"/>
      <c r="M121" s="217">
        <f t="shared" si="319"/>
        <v>0.49975034178414673</v>
      </c>
      <c r="N121" s="172">
        <f t="shared" si="426"/>
        <v>143.31413255514408</v>
      </c>
      <c r="O121" s="172">
        <f t="shared" si="284"/>
        <v>11.22</v>
      </c>
      <c r="P121" s="217">
        <f t="shared" si="320"/>
        <v>0.84302430914790638</v>
      </c>
      <c r="Q121" s="217">
        <f t="shared" si="321"/>
        <v>170</v>
      </c>
      <c r="R121" s="217"/>
      <c r="S121" s="172">
        <f t="shared" si="322"/>
        <v>4139.4504022183173</v>
      </c>
      <c r="T121" s="172">
        <f t="shared" si="323"/>
        <v>170</v>
      </c>
      <c r="U121" s="217">
        <f t="shared" si="324"/>
        <v>5.2773649249768484</v>
      </c>
      <c r="V121" s="217">
        <f t="shared" si="325"/>
        <v>0.30919578940178155</v>
      </c>
      <c r="W121" s="217">
        <f t="shared" si="326"/>
        <v>0.30950474336574518</v>
      </c>
      <c r="X121" s="197">
        <f t="shared" si="327"/>
        <v>350</v>
      </c>
      <c r="Y121" s="443">
        <f t="shared" si="328"/>
        <v>350</v>
      </c>
      <c r="AA121" s="217">
        <f t="shared" si="329"/>
        <v>24.370733014382896</v>
      </c>
      <c r="AB121" s="173">
        <f t="shared" si="330"/>
        <v>1.4292847992286153</v>
      </c>
      <c r="AC121" s="173">
        <f t="shared" si="331"/>
        <v>0.30478628463076896</v>
      </c>
      <c r="AD121" s="173"/>
      <c r="AE121" s="173">
        <f t="shared" si="332"/>
        <v>0.78196788931767369</v>
      </c>
      <c r="AF121" s="545">
        <f t="shared" si="333"/>
        <v>253.20732820981948</v>
      </c>
      <c r="AG121" s="528">
        <f t="shared" si="334"/>
        <v>9.1229587087061942E-2</v>
      </c>
      <c r="AI121" s="173">
        <f t="shared" si="335"/>
        <v>11.340778018938073</v>
      </c>
      <c r="AJ121" s="173">
        <f t="shared" si="336"/>
        <v>13.333333333333334</v>
      </c>
      <c r="AK121" s="173">
        <f t="shared" si="337"/>
        <v>1.1446899018341825</v>
      </c>
      <c r="AM121" s="545">
        <f t="shared" si="338"/>
        <v>66</v>
      </c>
      <c r="AN121" s="460">
        <f t="shared" si="339"/>
        <v>253.20732820981948</v>
      </c>
      <c r="AP121" s="460">
        <f t="shared" si="340"/>
        <v>66</v>
      </c>
      <c r="AQ121" s="460">
        <f t="shared" si="341"/>
        <v>253.20732820981948</v>
      </c>
      <c r="AS121" s="5">
        <f t="shared" si="285"/>
        <v>3.9493327743316855</v>
      </c>
      <c r="AT121" s="5">
        <f t="shared" si="342"/>
        <v>0.78118731297990984</v>
      </c>
      <c r="AU121" s="5">
        <f t="shared" si="343"/>
        <v>3.1681454613517754</v>
      </c>
      <c r="AV121" s="5"/>
      <c r="AW121" s="173">
        <f t="shared" si="344"/>
        <v>0.19780235235105101</v>
      </c>
      <c r="AX121" s="173">
        <f t="shared" si="214"/>
        <v>11.253659031547533</v>
      </c>
      <c r="AY121" s="173">
        <f t="shared" si="215"/>
        <v>0.26739921588298304</v>
      </c>
      <c r="AZ121" s="173">
        <f t="shared" si="288"/>
        <v>42.085609691811001</v>
      </c>
      <c r="BA121" s="460">
        <f t="shared" si="433"/>
        <v>3.0328448621572971E-2</v>
      </c>
      <c r="BB121" s="5">
        <f t="shared" si="434"/>
        <v>6.6644512199352075</v>
      </c>
      <c r="BD121" s="173">
        <f t="shared" si="289"/>
        <v>3.4236852776010651</v>
      </c>
      <c r="BE121" s="173">
        <f t="shared" si="218"/>
        <v>0.34473772051806645</v>
      </c>
      <c r="BG121" s="528">
        <f t="shared" si="347"/>
        <v>0.46886483520249128</v>
      </c>
      <c r="BH121" s="528">
        <f t="shared" si="348"/>
        <v>1.2958784436882949</v>
      </c>
      <c r="BI121" s="528">
        <f t="shared" si="349"/>
        <v>8.6435036856546701E-2</v>
      </c>
      <c r="BJ121" s="528">
        <f t="shared" si="350"/>
        <v>1.4738040541179224E-2</v>
      </c>
      <c r="BK121">
        <f t="shared" si="351"/>
        <v>3.8403081439664292E-3</v>
      </c>
      <c r="BL121" s="460">
        <f t="shared" si="427"/>
        <v>90.275345000513127</v>
      </c>
      <c r="BM121" s="528">
        <f t="shared" si="352"/>
        <v>2.1450368287321693</v>
      </c>
      <c r="BN121" s="460">
        <f t="shared" si="353"/>
        <v>2145.0368287321694</v>
      </c>
      <c r="BO121" s="528">
        <f t="shared" si="354"/>
        <v>4.6199999999999998E-2</v>
      </c>
      <c r="BR121" s="460">
        <f t="shared" si="355"/>
        <v>46.199999999999996</v>
      </c>
      <c r="BS121" s="528">
        <f t="shared" si="356"/>
        <v>0.35164862640186845</v>
      </c>
      <c r="BT121" s="528">
        <f t="shared" si="357"/>
        <v>3.5653228784397746E-3</v>
      </c>
      <c r="BU121" s="528">
        <f t="shared" si="358"/>
        <v>33.113685715888707</v>
      </c>
      <c r="BV121" s="528"/>
      <c r="BW121" s="528">
        <f t="shared" si="359"/>
        <v>1.1253659031547534</v>
      </c>
      <c r="BX121" s="460">
        <f t="shared" si="360"/>
        <v>34594.265568323761</v>
      </c>
      <c r="BY121" s="173">
        <f t="shared" si="361"/>
        <v>36.510222232756242</v>
      </c>
      <c r="BZ121" s="5">
        <f t="shared" si="362"/>
        <v>11.22</v>
      </c>
      <c r="CA121" s="173">
        <f t="shared" si="363"/>
        <v>0.23507118708322192</v>
      </c>
      <c r="CB121" s="5">
        <f t="shared" si="364"/>
        <v>23.507118708322192</v>
      </c>
      <c r="CE121" s="562">
        <f t="shared" si="365"/>
        <v>-50</v>
      </c>
      <c r="CF121">
        <f t="shared" si="366"/>
        <v>-50</v>
      </c>
      <c r="CG121" s="173">
        <f t="shared" si="367"/>
        <v>0.19829096268451804</v>
      </c>
      <c r="CI121" s="170">
        <v>11</v>
      </c>
      <c r="CJ121" s="217">
        <f t="shared" si="428"/>
        <v>6.6000000000000003E-2</v>
      </c>
      <c r="CK121" s="217"/>
      <c r="CL121" s="217">
        <f t="shared" si="368"/>
        <v>11.22</v>
      </c>
      <c r="CM121" s="541">
        <f t="shared" si="369"/>
        <v>9</v>
      </c>
      <c r="CN121" s="443">
        <f t="shared" si="370"/>
        <v>8.5250000000000004</v>
      </c>
      <c r="CO121" s="443">
        <f t="shared" si="371"/>
        <v>17.524999999999999</v>
      </c>
      <c r="CP121" s="443"/>
      <c r="CQ121" s="217">
        <f t="shared" si="372"/>
        <v>0.48644793152639093</v>
      </c>
      <c r="CR121" s="172">
        <f t="shared" si="429"/>
        <v>147.11644793152644</v>
      </c>
      <c r="CS121" s="172">
        <f t="shared" si="373"/>
        <v>11.22</v>
      </c>
      <c r="CT121" s="217">
        <f t="shared" si="374"/>
        <v>0.86539087018544958</v>
      </c>
      <c r="CU121" s="217">
        <f t="shared" si="375"/>
        <v>170</v>
      </c>
      <c r="CV121" s="217"/>
      <c r="CW121" s="172">
        <f t="shared" si="376"/>
        <v>4365.4751594060035</v>
      </c>
      <c r="CX121" s="172">
        <f t="shared" si="377"/>
        <v>170</v>
      </c>
      <c r="CY121" s="217">
        <f t="shared" si="378"/>
        <v>5.1255913978494618</v>
      </c>
      <c r="CZ121" s="217">
        <f t="shared" si="379"/>
        <v>0.28475507765830343</v>
      </c>
      <c r="DA121" s="217">
        <f t="shared" si="380"/>
        <v>0.30062119635480711</v>
      </c>
      <c r="DB121" s="197">
        <f t="shared" si="381"/>
        <v>350</v>
      </c>
      <c r="DC121" s="443">
        <f t="shared" si="382"/>
        <v>350</v>
      </c>
      <c r="DE121" s="217">
        <f t="shared" si="383"/>
        <v>25.017322192785819</v>
      </c>
      <c r="DF121" s="173">
        <f t="shared" si="384"/>
        <v>1.467291624210312</v>
      </c>
      <c r="DG121" s="173">
        <f t="shared" si="385"/>
        <v>0.32119243899439714</v>
      </c>
      <c r="DH121" s="173"/>
      <c r="DI121" s="173">
        <f t="shared" si="386"/>
        <v>0.78201368523949166</v>
      </c>
      <c r="DJ121" s="545">
        <f t="shared" si="387"/>
        <v>253.1925</v>
      </c>
      <c r="DK121" s="528">
        <f t="shared" si="388"/>
        <v>9.1234929944607357E-2</v>
      </c>
      <c r="DM121" s="173">
        <f t="shared" si="389"/>
        <v>11.340445947391764</v>
      </c>
      <c r="DN121" s="173">
        <f t="shared" si="390"/>
        <v>13.333333333333334</v>
      </c>
      <c r="DO121" s="173">
        <f t="shared" si="391"/>
        <v>1.1446814285714286</v>
      </c>
      <c r="DQ121" s="545">
        <f t="shared" si="392"/>
        <v>66</v>
      </c>
      <c r="DR121" s="460">
        <f t="shared" si="393"/>
        <v>253.1925</v>
      </c>
      <c r="DT121">
        <f t="shared" si="430"/>
        <v>66</v>
      </c>
      <c r="DU121">
        <f t="shared" si="431"/>
        <v>253.1925</v>
      </c>
      <c r="DW121" s="5">
        <f t="shared" si="394"/>
        <v>3.9495640668661194</v>
      </c>
      <c r="DX121" s="5">
        <f t="shared" si="395"/>
        <v>0.7407407407407407</v>
      </c>
      <c r="DY121" s="5">
        <f t="shared" si="396"/>
        <v>3.2088233261253789</v>
      </c>
      <c r="DZ121" s="5"/>
      <c r="EA121" s="173">
        <f t="shared" si="397"/>
        <v>0.18754999999999999</v>
      </c>
      <c r="EB121" s="173">
        <f t="shared" si="398"/>
        <v>11.253</v>
      </c>
      <c r="EC121" s="173">
        <f t="shared" si="399"/>
        <v>0.27081666666666671</v>
      </c>
      <c r="ED121" s="173">
        <f t="shared" si="400"/>
        <v>41.552095513570059</v>
      </c>
      <c r="EE121" s="460">
        <f t="shared" si="401"/>
        <v>2.8758169934640525E-2</v>
      </c>
      <c r="EF121" s="5">
        <f t="shared" si="402"/>
        <v>6.4005329278447558</v>
      </c>
      <c r="EH121" s="173">
        <f t="shared" si="403"/>
        <v>3.333777748152098</v>
      </c>
      <c r="EI121" s="173">
        <f t="shared" si="404"/>
        <v>0.3469336578698628</v>
      </c>
      <c r="EK121" s="528">
        <f t="shared" si="405"/>
        <v>0.44456296296296294</v>
      </c>
      <c r="EL121" s="528">
        <f t="shared" si="406"/>
        <v>1.6269728062500002</v>
      </c>
      <c r="EM121" s="528">
        <f t="shared" si="407"/>
        <v>5.0638500000000003E-2</v>
      </c>
      <c r="EN121" s="528">
        <f t="shared" si="408"/>
        <v>1.5552380961562501E-2</v>
      </c>
      <c r="EO121">
        <f t="shared" si="409"/>
        <v>4.0499999999999998E-3</v>
      </c>
      <c r="EP121" s="460">
        <f t="shared" si="410"/>
        <v>54.688499999999998</v>
      </c>
      <c r="EQ121" s="460"/>
      <c r="ER121" s="460">
        <f t="shared" si="432"/>
        <v>2141.776650174525</v>
      </c>
      <c r="ES121" s="528">
        <f t="shared" si="411"/>
        <v>4.6199999999999998E-2</v>
      </c>
      <c r="EV121" s="460">
        <f t="shared" si="412"/>
        <v>46.199999999999996</v>
      </c>
      <c r="EW121" s="528">
        <f t="shared" si="413"/>
        <v>0.33342222222222218</v>
      </c>
      <c r="EX121" s="528">
        <f t="shared" si="414"/>
        <v>3.6108888888888905E-3</v>
      </c>
      <c r="EY121" s="528">
        <f t="shared" si="415"/>
        <v>33.108837958150495</v>
      </c>
      <c r="EZ121" s="528"/>
      <c r="FA121" s="528">
        <f t="shared" si="416"/>
        <v>1.1253000000000002</v>
      </c>
      <c r="FB121" s="460">
        <f t="shared" si="417"/>
        <v>34571.171069261611</v>
      </c>
      <c r="FC121" s="173">
        <f t="shared" si="418"/>
        <v>36.759147719436136</v>
      </c>
      <c r="FD121" s="5">
        <f t="shared" si="419"/>
        <v>11.22</v>
      </c>
      <c r="FE121" s="173">
        <f t="shared" si="420"/>
        <v>0.23385159039527562</v>
      </c>
      <c r="FF121" s="5">
        <f t="shared" si="421"/>
        <v>23.385159039527561</v>
      </c>
      <c r="FI121" s="562">
        <f t="shared" si="422"/>
        <v>-50</v>
      </c>
      <c r="FJ121">
        <f t="shared" si="423"/>
        <v>-50</v>
      </c>
      <c r="FL121">
        <f t="shared" si="424"/>
        <v>0.19799999999999998</v>
      </c>
    </row>
    <row r="122" spans="5:168">
      <c r="E122" s="170">
        <v>12</v>
      </c>
      <c r="F122" s="217">
        <f t="shared" si="425"/>
        <v>7.1999999999999995E-2</v>
      </c>
      <c r="G122" s="217"/>
      <c r="H122" s="217">
        <f t="shared" si="315"/>
        <v>12.239999999999998</v>
      </c>
      <c r="I122" s="541">
        <f t="shared" si="316"/>
        <v>8.5340180977031768</v>
      </c>
      <c r="J122" s="172">
        <f t="shared" si="317"/>
        <v>8.5254992663238891</v>
      </c>
      <c r="K122" s="172">
        <f t="shared" si="318"/>
        <v>17.059517364027066</v>
      </c>
      <c r="L122" s="443"/>
      <c r="M122" s="217">
        <f t="shared" si="319"/>
        <v>0.49975034178414673</v>
      </c>
      <c r="N122" s="172">
        <f t="shared" si="426"/>
        <v>143.31413255514408</v>
      </c>
      <c r="O122" s="172">
        <f t="shared" si="284"/>
        <v>12.239999999999998</v>
      </c>
      <c r="P122" s="217">
        <f t="shared" si="320"/>
        <v>0.84302430914790638</v>
      </c>
      <c r="Q122" s="217">
        <f t="shared" si="321"/>
        <v>170</v>
      </c>
      <c r="R122" s="217"/>
      <c r="S122" s="172">
        <f t="shared" si="322"/>
        <v>3780.2765146686747</v>
      </c>
      <c r="T122" s="172">
        <f t="shared" si="323"/>
        <v>170</v>
      </c>
      <c r="U122" s="217">
        <f t="shared" si="324"/>
        <v>5.7571253727020162</v>
      </c>
      <c r="V122" s="217">
        <f t="shared" si="325"/>
        <v>0.33730449752921626</v>
      </c>
      <c r="W122" s="217">
        <f t="shared" si="326"/>
        <v>0.33764153821717657</v>
      </c>
      <c r="X122" s="197">
        <f t="shared" si="327"/>
        <v>350</v>
      </c>
      <c r="Y122" s="443">
        <f t="shared" si="328"/>
        <v>350</v>
      </c>
      <c r="AA122" s="217">
        <f t="shared" si="329"/>
        <v>24.370733014382896</v>
      </c>
      <c r="AB122" s="173">
        <f t="shared" si="330"/>
        <v>1.4292847992286153</v>
      </c>
      <c r="AC122" s="173">
        <f t="shared" si="331"/>
        <v>0.30478628463076896</v>
      </c>
      <c r="AD122" s="173"/>
      <c r="AE122" s="173">
        <f t="shared" si="332"/>
        <v>0.78196788931767369</v>
      </c>
      <c r="AF122" s="545">
        <f t="shared" si="333"/>
        <v>276.22617622889391</v>
      </c>
      <c r="AG122" s="528">
        <f t="shared" si="334"/>
        <v>9.1229587087061942E-2</v>
      </c>
      <c r="AI122" s="173">
        <f t="shared" si="335"/>
        <v>11.845056325503855</v>
      </c>
      <c r="AJ122" s="173">
        <f t="shared" si="336"/>
        <v>13.333333333333334</v>
      </c>
      <c r="AK122" s="173">
        <f t="shared" si="337"/>
        <v>1.1578435292736537</v>
      </c>
      <c r="AM122" s="545">
        <f t="shared" si="338"/>
        <v>72</v>
      </c>
      <c r="AN122" s="460">
        <f t="shared" si="339"/>
        <v>276.22617622889391</v>
      </c>
      <c r="AP122" s="460">
        <f t="shared" si="340"/>
        <v>72</v>
      </c>
      <c r="AQ122" s="460">
        <f t="shared" si="341"/>
        <v>276.22617622889391</v>
      </c>
      <c r="AS122" s="5">
        <f t="shared" si="285"/>
        <v>3.6202217098040461</v>
      </c>
      <c r="AT122" s="5">
        <f t="shared" si="342"/>
        <v>0.78118731297990984</v>
      </c>
      <c r="AU122" s="5">
        <f t="shared" si="343"/>
        <v>2.8390343968241361</v>
      </c>
      <c r="AV122" s="5"/>
      <c r="AW122" s="173">
        <f t="shared" si="344"/>
        <v>0.21578438438296466</v>
      </c>
      <c r="AX122" s="173">
        <f t="shared" si="214"/>
        <v>12.276718943506397</v>
      </c>
      <c r="AY122" s="173">
        <f t="shared" si="215"/>
        <v>0.2614052052056785</v>
      </c>
      <c r="AZ122" s="173">
        <f t="shared" si="288"/>
        <v>46.964324730438499</v>
      </c>
      <c r="BA122" s="460">
        <f t="shared" si="433"/>
        <v>3.3085580314443232E-2</v>
      </c>
      <c r="BB122" s="5">
        <f t="shared" si="434"/>
        <v>6.5150611342584117</v>
      </c>
      <c r="BD122" s="173">
        <f t="shared" si="289"/>
        <v>3.575922647128956</v>
      </c>
      <c r="BE122" s="173">
        <f t="shared" si="218"/>
        <v>0.34085200777246977</v>
      </c>
      <c r="BG122" s="528">
        <f t="shared" si="347"/>
        <v>0.5114889111299904</v>
      </c>
      <c r="BH122" s="528">
        <f t="shared" si="348"/>
        <v>1.4136855749326847</v>
      </c>
      <c r="BI122" s="528">
        <f t="shared" si="349"/>
        <v>9.4292767479869102E-2</v>
      </c>
      <c r="BJ122" s="528">
        <f t="shared" si="350"/>
        <v>1.607786240855915E-2</v>
      </c>
      <c r="BK122">
        <f t="shared" si="351"/>
        <v>3.8403081439664292E-3</v>
      </c>
      <c r="BL122" s="460">
        <f t="shared" si="427"/>
        <v>98.133075623835524</v>
      </c>
      <c r="BM122" s="528">
        <f t="shared" si="352"/>
        <v>2.3670174267768034</v>
      </c>
      <c r="BN122" s="460">
        <f t="shared" si="353"/>
        <v>2367.0174267768034</v>
      </c>
      <c r="BO122" s="528">
        <f t="shared" si="354"/>
        <v>5.0399999999999993E-2</v>
      </c>
      <c r="BR122" s="460">
        <f t="shared" si="355"/>
        <v>50.399999999999991</v>
      </c>
      <c r="BS122" s="528">
        <f t="shared" si="356"/>
        <v>0.38361668334749277</v>
      </c>
      <c r="BT122" s="528">
        <f t="shared" si="357"/>
        <v>3.4854027360757137E-3</v>
      </c>
      <c r="BU122" s="528">
        <f t="shared" si="358"/>
        <v>41.16033727361085</v>
      </c>
      <c r="BV122" s="528"/>
      <c r="BW122" s="528">
        <f t="shared" si="359"/>
        <v>1.2276718943506397</v>
      </c>
      <c r="BX122" s="460">
        <f t="shared" si="360"/>
        <v>42775.111254045056</v>
      </c>
      <c r="BY122" s="173">
        <f t="shared" si="361"/>
        <v>44.864896678140134</v>
      </c>
      <c r="BZ122" s="5">
        <f t="shared" si="362"/>
        <v>12.239999999999998</v>
      </c>
      <c r="CA122" s="173">
        <f t="shared" si="363"/>
        <v>0.21434238939242306</v>
      </c>
      <c r="CB122" s="5">
        <f t="shared" si="364"/>
        <v>21.434238939242306</v>
      </c>
      <c r="CE122" s="562">
        <f t="shared" si="365"/>
        <v>-50</v>
      </c>
      <c r="CF122">
        <f t="shared" si="366"/>
        <v>-50</v>
      </c>
      <c r="CG122" s="173">
        <f t="shared" si="367"/>
        <v>0.21631741383765607</v>
      </c>
      <c r="CI122" s="170">
        <v>12</v>
      </c>
      <c r="CJ122" s="217">
        <f t="shared" si="428"/>
        <v>7.1999999999999995E-2</v>
      </c>
      <c r="CK122" s="217"/>
      <c r="CL122" s="217">
        <f t="shared" si="368"/>
        <v>12.239999999999998</v>
      </c>
      <c r="CM122" s="541">
        <f t="shared" si="369"/>
        <v>9</v>
      </c>
      <c r="CN122" s="443">
        <f t="shared" si="370"/>
        <v>8.5250000000000004</v>
      </c>
      <c r="CO122" s="443">
        <f t="shared" si="371"/>
        <v>17.524999999999999</v>
      </c>
      <c r="CP122" s="443"/>
      <c r="CQ122" s="217">
        <f t="shared" si="372"/>
        <v>0.48644793152639093</v>
      </c>
      <c r="CR122" s="172">
        <f t="shared" si="429"/>
        <v>147.11644793152644</v>
      </c>
      <c r="CS122" s="172">
        <f t="shared" si="373"/>
        <v>12.239999999999998</v>
      </c>
      <c r="CT122" s="217">
        <f t="shared" si="374"/>
        <v>0.86539087018544958</v>
      </c>
      <c r="CU122" s="217">
        <f t="shared" si="375"/>
        <v>170</v>
      </c>
      <c r="CV122" s="217"/>
      <c r="CW122" s="172">
        <f t="shared" si="376"/>
        <v>3986.6892389587279</v>
      </c>
      <c r="CX122" s="172">
        <f t="shared" si="377"/>
        <v>170</v>
      </c>
      <c r="CY122" s="217">
        <f t="shared" si="378"/>
        <v>5.5915542521994119</v>
      </c>
      <c r="CZ122" s="217">
        <f t="shared" si="379"/>
        <v>0.31064190289996729</v>
      </c>
      <c r="DA122" s="217">
        <f t="shared" si="380"/>
        <v>0.32795039602342591</v>
      </c>
      <c r="DB122" s="197">
        <f t="shared" si="381"/>
        <v>350</v>
      </c>
      <c r="DC122" s="443">
        <f t="shared" si="382"/>
        <v>350</v>
      </c>
      <c r="DE122" s="217">
        <f t="shared" si="383"/>
        <v>25.017322192785819</v>
      </c>
      <c r="DF122" s="173">
        <f t="shared" si="384"/>
        <v>1.467291624210312</v>
      </c>
      <c r="DG122" s="173">
        <f t="shared" si="385"/>
        <v>0.32119243899439714</v>
      </c>
      <c r="DH122" s="173"/>
      <c r="DI122" s="173">
        <f t="shared" si="386"/>
        <v>0.78201368523949166</v>
      </c>
      <c r="DJ122" s="545">
        <f t="shared" si="387"/>
        <v>276.20999999999998</v>
      </c>
      <c r="DK122" s="528">
        <f t="shared" si="388"/>
        <v>9.1234929944607357E-2</v>
      </c>
      <c r="DM122" s="173">
        <f t="shared" si="389"/>
        <v>11.844709488085508</v>
      </c>
      <c r="DN122" s="173">
        <f t="shared" si="390"/>
        <v>13.333333333333334</v>
      </c>
      <c r="DO122" s="173">
        <f t="shared" si="391"/>
        <v>1.1578342857142858</v>
      </c>
      <c r="DQ122" s="545">
        <f t="shared" si="392"/>
        <v>72</v>
      </c>
      <c r="DR122" s="460">
        <f t="shared" si="393"/>
        <v>276.20999999999998</v>
      </c>
      <c r="DT122">
        <f t="shared" si="430"/>
        <v>72</v>
      </c>
      <c r="DU122">
        <f t="shared" si="431"/>
        <v>276.20999999999998</v>
      </c>
      <c r="DW122" s="5">
        <f t="shared" si="394"/>
        <v>3.6204337279606098</v>
      </c>
      <c r="DX122" s="5">
        <f t="shared" si="395"/>
        <v>0.7407407407407407</v>
      </c>
      <c r="DY122" s="5">
        <f t="shared" si="396"/>
        <v>2.8796929872198689</v>
      </c>
      <c r="DZ122" s="5"/>
      <c r="EA122" s="173">
        <f t="shared" si="397"/>
        <v>0.20459999999999998</v>
      </c>
      <c r="EB122" s="173">
        <f t="shared" si="398"/>
        <v>12.276</v>
      </c>
      <c r="EC122" s="173">
        <f t="shared" si="399"/>
        <v>0.26513333333333339</v>
      </c>
      <c r="ED122" s="173">
        <f t="shared" si="400"/>
        <v>46.301232084485783</v>
      </c>
      <c r="EE122" s="460">
        <f t="shared" si="401"/>
        <v>3.1372549019607836E-2</v>
      </c>
      <c r="EF122" s="5">
        <f t="shared" si="402"/>
        <v>6.2662119401904341</v>
      </c>
      <c r="EH122" s="173">
        <f t="shared" si="403"/>
        <v>3.4820172952534922</v>
      </c>
      <c r="EI122" s="173">
        <f t="shared" si="404"/>
        <v>0.34327399703012323</v>
      </c>
      <c r="EK122" s="528">
        <f t="shared" si="405"/>
        <v>0.48497777777777784</v>
      </c>
      <c r="EL122" s="528">
        <f t="shared" si="406"/>
        <v>1.774879425</v>
      </c>
      <c r="EM122" s="528">
        <f t="shared" si="407"/>
        <v>5.5241999999999992E-2</v>
      </c>
      <c r="EN122" s="528">
        <f t="shared" si="408"/>
        <v>1.6966233776249999E-2</v>
      </c>
      <c r="EO122">
        <f t="shared" si="409"/>
        <v>4.0499999999999998E-3</v>
      </c>
      <c r="EP122" s="460">
        <f t="shared" si="410"/>
        <v>59.291999999999987</v>
      </c>
      <c r="EQ122" s="460"/>
      <c r="ER122" s="460">
        <f t="shared" si="432"/>
        <v>2336.1154365540274</v>
      </c>
      <c r="ES122" s="528">
        <f t="shared" si="411"/>
        <v>5.0399999999999993E-2</v>
      </c>
      <c r="EV122" s="460">
        <f t="shared" si="412"/>
        <v>50.399999999999991</v>
      </c>
      <c r="EW122" s="528">
        <f t="shared" si="413"/>
        <v>0.36373333333333335</v>
      </c>
      <c r="EX122" s="528">
        <f t="shared" si="414"/>
        <v>3.5351111111111117E-3</v>
      </c>
      <c r="EY122" s="528">
        <f t="shared" si="415"/>
        <v>41.154311506946279</v>
      </c>
      <c r="EZ122" s="528"/>
      <c r="FA122" s="528">
        <f t="shared" si="416"/>
        <v>1.2276</v>
      </c>
      <c r="FB122" s="460">
        <f t="shared" si="417"/>
        <v>42749.179951390724</v>
      </c>
      <c r="FC122" s="173">
        <f t="shared" si="418"/>
        <v>45.13569538794475</v>
      </c>
      <c r="FD122" s="5">
        <f t="shared" si="419"/>
        <v>12.239999999999998</v>
      </c>
      <c r="FE122" s="173">
        <f t="shared" si="420"/>
        <v>0.21333074775372143</v>
      </c>
      <c r="FF122" s="5">
        <f t="shared" si="421"/>
        <v>21.333074775372143</v>
      </c>
      <c r="FI122" s="562">
        <f t="shared" si="422"/>
        <v>-50</v>
      </c>
      <c r="FJ122">
        <f t="shared" si="423"/>
        <v>-50</v>
      </c>
      <c r="FL122">
        <f t="shared" si="424"/>
        <v>0.21599999999999997</v>
      </c>
    </row>
    <row r="123" spans="5:168">
      <c r="E123" s="170">
        <v>13</v>
      </c>
      <c r="F123" s="217">
        <f t="shared" si="425"/>
        <v>7.8E-2</v>
      </c>
      <c r="G123" s="217"/>
      <c r="H123" s="217">
        <f t="shared" si="315"/>
        <v>13.26</v>
      </c>
      <c r="I123" s="541">
        <f t="shared" si="316"/>
        <v>8.5340180977031768</v>
      </c>
      <c r="J123" s="172">
        <f t="shared" si="317"/>
        <v>8.5254992663238891</v>
      </c>
      <c r="K123" s="172">
        <f t="shared" si="318"/>
        <v>17.059517364027066</v>
      </c>
      <c r="L123" s="443"/>
      <c r="M123" s="217">
        <f t="shared" si="319"/>
        <v>0.49975034178414673</v>
      </c>
      <c r="N123" s="172">
        <f t="shared" si="426"/>
        <v>143.31413255514408</v>
      </c>
      <c r="O123" s="172">
        <f t="shared" si="284"/>
        <v>13.26</v>
      </c>
      <c r="P123" s="217">
        <f t="shared" si="320"/>
        <v>0.84302430914790638</v>
      </c>
      <c r="Q123" s="217">
        <f t="shared" si="321"/>
        <v>170</v>
      </c>
      <c r="R123" s="217"/>
      <c r="S123" s="172">
        <f t="shared" si="322"/>
        <v>3476.3604642999976</v>
      </c>
      <c r="T123" s="172">
        <f t="shared" si="323"/>
        <v>170</v>
      </c>
      <c r="U123" s="217">
        <f t="shared" si="324"/>
        <v>6.2368858204271849</v>
      </c>
      <c r="V123" s="217">
        <f t="shared" si="325"/>
        <v>0.36541320565665097</v>
      </c>
      <c r="W123" s="217">
        <f t="shared" si="326"/>
        <v>0.36577833306860796</v>
      </c>
      <c r="X123" s="197">
        <f t="shared" si="327"/>
        <v>350</v>
      </c>
      <c r="Y123" s="443">
        <f t="shared" si="328"/>
        <v>350</v>
      </c>
      <c r="AA123" s="217">
        <f t="shared" si="329"/>
        <v>24.370733014382896</v>
      </c>
      <c r="AB123" s="173">
        <f t="shared" si="330"/>
        <v>1.4292847992286153</v>
      </c>
      <c r="AC123" s="173">
        <f t="shared" si="331"/>
        <v>0.30478628463076896</v>
      </c>
      <c r="AD123" s="173"/>
      <c r="AE123" s="173">
        <f t="shared" si="332"/>
        <v>0.78196788931767369</v>
      </c>
      <c r="AF123" s="545">
        <f t="shared" si="333"/>
        <v>299.24502424796844</v>
      </c>
      <c r="AG123" s="528">
        <f t="shared" si="334"/>
        <v>9.1229587087061942E-2</v>
      </c>
      <c r="AI123" s="173">
        <f t="shared" si="335"/>
        <v>12.328725507281309</v>
      </c>
      <c r="AJ123" s="173">
        <f t="shared" si="336"/>
        <v>13.333333333333334</v>
      </c>
      <c r="AK123" s="173">
        <f t="shared" si="337"/>
        <v>1.1709971567131248</v>
      </c>
      <c r="AM123" s="545">
        <f t="shared" si="338"/>
        <v>78</v>
      </c>
      <c r="AN123" s="460">
        <f t="shared" si="339"/>
        <v>299.24502424796844</v>
      </c>
      <c r="AP123" s="460">
        <f t="shared" si="340"/>
        <v>78</v>
      </c>
      <c r="AQ123" s="460">
        <f t="shared" si="341"/>
        <v>299.24502424796844</v>
      </c>
      <c r="AS123" s="5">
        <f t="shared" si="285"/>
        <v>3.3417431167421956</v>
      </c>
      <c r="AT123" s="5">
        <f t="shared" si="342"/>
        <v>0.78118731297990984</v>
      </c>
      <c r="AU123" s="5">
        <f t="shared" si="343"/>
        <v>2.560555803762286</v>
      </c>
      <c r="AV123" s="5"/>
      <c r="AW123" s="173">
        <f t="shared" si="344"/>
        <v>0.23376641641487844</v>
      </c>
      <c r="AX123" s="173">
        <f t="shared" si="214"/>
        <v>13.299778855465265</v>
      </c>
      <c r="AY123" s="173">
        <f t="shared" si="215"/>
        <v>0.25541119452837385</v>
      </c>
      <c r="AZ123" s="173">
        <f t="shared" si="288"/>
        <v>52.07202793136689</v>
      </c>
      <c r="BA123" s="460">
        <f t="shared" si="433"/>
        <v>3.584271200731351E-2</v>
      </c>
      <c r="BB123" s="5">
        <f t="shared" si="434"/>
        <v>6.365671048581615</v>
      </c>
      <c r="BD123" s="173">
        <f t="shared" si="289"/>
        <v>3.7219382956246392</v>
      </c>
      <c r="BE123" s="173">
        <f t="shared" si="218"/>
        <v>0.33692148411322048</v>
      </c>
      <c r="BG123" s="528">
        <f t="shared" si="347"/>
        <v>0.55411298705748979</v>
      </c>
      <c r="BH123" s="528">
        <f t="shared" si="348"/>
        <v>1.5314927061770753</v>
      </c>
      <c r="BI123" s="528">
        <f t="shared" si="349"/>
        <v>0.10215049810319154</v>
      </c>
      <c r="BJ123" s="528">
        <f t="shared" si="350"/>
        <v>1.741768427593908E-2</v>
      </c>
      <c r="BK123">
        <f t="shared" si="351"/>
        <v>3.8403081439664292E-3</v>
      </c>
      <c r="BL123" s="460">
        <f t="shared" si="427"/>
        <v>105.99080624715796</v>
      </c>
      <c r="BM123" s="528">
        <f t="shared" si="352"/>
        <v>2.5941759436876279</v>
      </c>
      <c r="BN123" s="460">
        <f t="shared" si="353"/>
        <v>2594.1759436876278</v>
      </c>
      <c r="BO123" s="528">
        <f t="shared" si="354"/>
        <v>5.4599999999999996E-2</v>
      </c>
      <c r="BR123" s="460">
        <f t="shared" si="355"/>
        <v>54.599999999999994</v>
      </c>
      <c r="BS123" s="528">
        <f t="shared" si="356"/>
        <v>0.41558474029311732</v>
      </c>
      <c r="BT123" s="528">
        <f t="shared" si="357"/>
        <v>3.4054825937116524E-3</v>
      </c>
      <c r="BU123" s="528">
        <f t="shared" si="358"/>
        <v>50.278717403842961</v>
      </c>
      <c r="BV123" s="528"/>
      <c r="BW123" s="528">
        <f t="shared" si="359"/>
        <v>1.3299778855465265</v>
      </c>
      <c r="BX123" s="460">
        <f t="shared" si="360"/>
        <v>52027.685512276315</v>
      </c>
      <c r="BY123" s="173">
        <f t="shared" si="361"/>
        <v>54.291299696033981</v>
      </c>
      <c r="BZ123" s="5">
        <f t="shared" si="362"/>
        <v>13.26</v>
      </c>
      <c r="CA123" s="173">
        <f t="shared" si="363"/>
        <v>0.19629526093009445</v>
      </c>
      <c r="CB123" s="5">
        <f t="shared" si="364"/>
        <v>19.629526093009446</v>
      </c>
      <c r="CE123" s="562">
        <f t="shared" si="365"/>
        <v>-50</v>
      </c>
      <c r="CF123">
        <f t="shared" si="366"/>
        <v>-50</v>
      </c>
      <c r="CG123" s="173">
        <f t="shared" si="367"/>
        <v>0.23434386499079404</v>
      </c>
      <c r="CI123" s="170">
        <v>13</v>
      </c>
      <c r="CJ123" s="217">
        <f t="shared" si="428"/>
        <v>7.8E-2</v>
      </c>
      <c r="CK123" s="217"/>
      <c r="CL123" s="217">
        <f t="shared" si="368"/>
        <v>13.26</v>
      </c>
      <c r="CM123" s="541">
        <f t="shared" si="369"/>
        <v>9</v>
      </c>
      <c r="CN123" s="443">
        <f t="shared" si="370"/>
        <v>8.5250000000000004</v>
      </c>
      <c r="CO123" s="443">
        <f t="shared" si="371"/>
        <v>17.524999999999999</v>
      </c>
      <c r="CP123" s="443"/>
      <c r="CQ123" s="217">
        <f t="shared" si="372"/>
        <v>0.48644793152639093</v>
      </c>
      <c r="CR123" s="172">
        <f t="shared" si="429"/>
        <v>147.11644793152644</v>
      </c>
      <c r="CS123" s="172">
        <f t="shared" si="373"/>
        <v>13.26</v>
      </c>
      <c r="CT123" s="217">
        <f t="shared" si="374"/>
        <v>0.86539087018544958</v>
      </c>
      <c r="CU123" s="217">
        <f t="shared" si="375"/>
        <v>170</v>
      </c>
      <c r="CV123" s="217"/>
      <c r="CW123" s="172">
        <f t="shared" si="376"/>
        <v>3666.1783915299038</v>
      </c>
      <c r="CX123" s="172">
        <f t="shared" si="377"/>
        <v>170</v>
      </c>
      <c r="CY123" s="217">
        <f t="shared" si="378"/>
        <v>6.0575171065493638</v>
      </c>
      <c r="CZ123" s="217">
        <f t="shared" si="379"/>
        <v>0.33652872814163132</v>
      </c>
      <c r="DA123" s="217">
        <f t="shared" si="380"/>
        <v>0.35527959569204476</v>
      </c>
      <c r="DB123" s="197">
        <f t="shared" si="381"/>
        <v>350</v>
      </c>
      <c r="DC123" s="443">
        <f t="shared" si="382"/>
        <v>350</v>
      </c>
      <c r="DE123" s="217">
        <f t="shared" si="383"/>
        <v>25.017322192785819</v>
      </c>
      <c r="DF123" s="173">
        <f t="shared" si="384"/>
        <v>1.467291624210312</v>
      </c>
      <c r="DG123" s="173">
        <f t="shared" si="385"/>
        <v>0.32119243899439714</v>
      </c>
      <c r="DH123" s="173"/>
      <c r="DI123" s="173">
        <f t="shared" si="386"/>
        <v>0.78201368523949166</v>
      </c>
      <c r="DJ123" s="545">
        <f t="shared" si="387"/>
        <v>299.22750000000002</v>
      </c>
      <c r="DK123" s="528">
        <f t="shared" si="388"/>
        <v>9.1234929944607357E-2</v>
      </c>
      <c r="DM123" s="173">
        <f t="shared" si="389"/>
        <v>12.328364507450752</v>
      </c>
      <c r="DN123" s="173">
        <f t="shared" si="390"/>
        <v>13.333333333333334</v>
      </c>
      <c r="DO123" s="173">
        <f t="shared" si="391"/>
        <v>1.1709871428571428</v>
      </c>
      <c r="DQ123" s="545">
        <f t="shared" si="392"/>
        <v>78</v>
      </c>
      <c r="DR123" s="460">
        <f t="shared" si="393"/>
        <v>299.22750000000002</v>
      </c>
      <c r="DT123">
        <f t="shared" si="430"/>
        <v>78</v>
      </c>
      <c r="DU123">
        <f t="shared" si="431"/>
        <v>299.22750000000002</v>
      </c>
      <c r="DW123" s="5">
        <f t="shared" si="394"/>
        <v>3.3419388258097933</v>
      </c>
      <c r="DX123" s="5">
        <f t="shared" si="395"/>
        <v>0.7407407407407407</v>
      </c>
      <c r="DY123" s="5">
        <f t="shared" si="396"/>
        <v>2.6011980850690524</v>
      </c>
      <c r="DZ123" s="5"/>
      <c r="EA123" s="173">
        <f t="shared" si="397"/>
        <v>0.22165000000000001</v>
      </c>
      <c r="EB123" s="173">
        <f t="shared" si="398"/>
        <v>13.299000000000001</v>
      </c>
      <c r="EC123" s="173">
        <f t="shared" si="399"/>
        <v>0.25945000000000001</v>
      </c>
      <c r="ED123" s="173">
        <f t="shared" si="400"/>
        <v>51.258431296974372</v>
      </c>
      <c r="EE123" s="460">
        <f t="shared" si="401"/>
        <v>3.3986928104575161E-2</v>
      </c>
      <c r="EF123" s="5">
        <f t="shared" si="402"/>
        <v>6.1318909525361125</v>
      </c>
      <c r="EH123" s="173">
        <f t="shared" si="403"/>
        <v>3.6241985065411106</v>
      </c>
      <c r="EI123" s="173">
        <f t="shared" si="404"/>
        <v>0.33957489764573462</v>
      </c>
      <c r="EK123" s="528">
        <f t="shared" si="405"/>
        <v>0.52539259259259263</v>
      </c>
      <c r="EL123" s="528">
        <f t="shared" si="406"/>
        <v>1.9227860437500006</v>
      </c>
      <c r="EM123" s="528">
        <f t="shared" si="407"/>
        <v>5.9845500000000003E-2</v>
      </c>
      <c r="EN123" s="528">
        <f t="shared" si="408"/>
        <v>1.8380086590937501E-2</v>
      </c>
      <c r="EO123">
        <f t="shared" si="409"/>
        <v>4.0499999999999998E-3</v>
      </c>
      <c r="EP123" s="460">
        <f t="shared" si="410"/>
        <v>63.895500000000006</v>
      </c>
      <c r="EQ123" s="460"/>
      <c r="ER123" s="460">
        <f t="shared" si="432"/>
        <v>2530.4542229335311</v>
      </c>
      <c r="ES123" s="528">
        <f t="shared" si="411"/>
        <v>5.4599999999999996E-2</v>
      </c>
      <c r="EV123" s="460">
        <f t="shared" si="412"/>
        <v>54.599999999999994</v>
      </c>
      <c r="EW123" s="528">
        <f t="shared" si="413"/>
        <v>0.39404444444444447</v>
      </c>
      <c r="EX123" s="528">
        <f t="shared" si="414"/>
        <v>3.4593333333333342E-3</v>
      </c>
      <c r="EY123" s="528">
        <f t="shared" si="415"/>
        <v>50.271356729967628</v>
      </c>
      <c r="EZ123" s="528"/>
      <c r="FA123" s="528">
        <f t="shared" si="416"/>
        <v>1.3299000000000001</v>
      </c>
      <c r="FB123" s="460">
        <f t="shared" si="417"/>
        <v>51998.760507745406</v>
      </c>
      <c r="FC123" s="173">
        <f t="shared" si="418"/>
        <v>54.583814730678938</v>
      </c>
      <c r="FD123" s="5">
        <f t="shared" si="419"/>
        <v>13.26</v>
      </c>
      <c r="FE123" s="173">
        <f t="shared" si="420"/>
        <v>0.19544891531583988</v>
      </c>
      <c r="FF123" s="5">
        <f t="shared" si="421"/>
        <v>19.544891531583989</v>
      </c>
      <c r="FI123" s="562">
        <f t="shared" si="422"/>
        <v>-50</v>
      </c>
      <c r="FJ123">
        <f t="shared" si="423"/>
        <v>-50</v>
      </c>
      <c r="FL123">
        <f t="shared" si="424"/>
        <v>0.23399999999999999</v>
      </c>
    </row>
    <row r="124" spans="5:168">
      <c r="E124" s="170">
        <v>14</v>
      </c>
      <c r="F124" s="217">
        <f t="shared" si="425"/>
        <v>8.4000000000000005E-2</v>
      </c>
      <c r="G124" s="217"/>
      <c r="H124" s="217">
        <f t="shared" si="315"/>
        <v>14.280000000000001</v>
      </c>
      <c r="I124" s="541">
        <f t="shared" si="316"/>
        <v>8.5340180977031768</v>
      </c>
      <c r="J124" s="172">
        <f t="shared" si="317"/>
        <v>8.5254992663238891</v>
      </c>
      <c r="K124" s="172">
        <f t="shared" si="318"/>
        <v>17.059517364027066</v>
      </c>
      <c r="L124" s="443"/>
      <c r="M124" s="217">
        <f t="shared" si="319"/>
        <v>0.49975034178414673</v>
      </c>
      <c r="N124" s="172">
        <f t="shared" si="426"/>
        <v>143.31413255514408</v>
      </c>
      <c r="O124" s="172">
        <f t="shared" si="284"/>
        <v>14.280000000000001</v>
      </c>
      <c r="P124" s="217">
        <f t="shared" si="320"/>
        <v>0.84302430914790638</v>
      </c>
      <c r="Q124" s="217">
        <f t="shared" si="321"/>
        <v>170</v>
      </c>
      <c r="R124" s="217"/>
      <c r="S124" s="172">
        <f t="shared" si="322"/>
        <v>3215.861289327278</v>
      </c>
      <c r="T124" s="172">
        <f t="shared" si="323"/>
        <v>170</v>
      </c>
      <c r="U124" s="217">
        <f t="shared" si="324"/>
        <v>6.7166462681523527</v>
      </c>
      <c r="V124" s="217">
        <f t="shared" si="325"/>
        <v>0.39352191378408563</v>
      </c>
      <c r="W124" s="217">
        <f t="shared" si="326"/>
        <v>0.39391512792003935</v>
      </c>
      <c r="X124" s="197">
        <f t="shared" si="327"/>
        <v>350</v>
      </c>
      <c r="Y124" s="443">
        <f t="shared" si="328"/>
        <v>350</v>
      </c>
      <c r="AA124" s="217">
        <f t="shared" si="329"/>
        <v>24.370733014382896</v>
      </c>
      <c r="AB124" s="173">
        <f t="shared" si="330"/>
        <v>1.4292847992286153</v>
      </c>
      <c r="AC124" s="173">
        <f t="shared" si="331"/>
        <v>0.30478628463076896</v>
      </c>
      <c r="AD124" s="173"/>
      <c r="AE124" s="173">
        <f t="shared" si="332"/>
        <v>0.78196788931767369</v>
      </c>
      <c r="AF124" s="545">
        <f t="shared" si="333"/>
        <v>322.26387226704298</v>
      </c>
      <c r="AG124" s="528">
        <f t="shared" si="334"/>
        <v>9.1229587087061942E-2</v>
      </c>
      <c r="AI124" s="173">
        <f t="shared" si="335"/>
        <v>12.794123100604383</v>
      </c>
      <c r="AJ124" s="173">
        <f t="shared" si="336"/>
        <v>13.333333333333334</v>
      </c>
      <c r="AK124" s="173">
        <f t="shared" si="337"/>
        <v>1.184150784152596</v>
      </c>
      <c r="AM124" s="545">
        <f t="shared" si="338"/>
        <v>84</v>
      </c>
      <c r="AN124" s="460">
        <f t="shared" si="339"/>
        <v>322.26387226704298</v>
      </c>
      <c r="AP124" s="460">
        <f t="shared" si="340"/>
        <v>84</v>
      </c>
      <c r="AQ124" s="460">
        <f t="shared" si="341"/>
        <v>322.26387226704298</v>
      </c>
      <c r="AS124" s="5">
        <f t="shared" si="285"/>
        <v>3.1030471798320383</v>
      </c>
      <c r="AT124" s="5">
        <f t="shared" si="342"/>
        <v>0.78118731297990984</v>
      </c>
      <c r="AU124" s="5">
        <f t="shared" si="343"/>
        <v>2.3218598668521286</v>
      </c>
      <c r="AV124" s="5"/>
      <c r="AW124" s="173">
        <f t="shared" si="344"/>
        <v>0.25174844844679223</v>
      </c>
      <c r="AX124" s="173">
        <f t="shared" si="214"/>
        <v>14.322838767424134</v>
      </c>
      <c r="AY124" s="173">
        <f t="shared" si="215"/>
        <v>0.24941718385106929</v>
      </c>
      <c r="AZ124" s="173">
        <f t="shared" si="288"/>
        <v>57.425228471733988</v>
      </c>
      <c r="BA124" s="460">
        <f t="shared" si="433"/>
        <v>3.8599843700183781E-2</v>
      </c>
      <c r="BB124" s="5">
        <f t="shared" si="434"/>
        <v>6.2162809629048166</v>
      </c>
      <c r="BD124" s="173">
        <f t="shared" si="289"/>
        <v>3.862437905601166</v>
      </c>
      <c r="BE124" s="173">
        <f t="shared" si="218"/>
        <v>0.33294456251992816</v>
      </c>
      <c r="BG124" s="528">
        <f t="shared" si="347"/>
        <v>0.59673706298498885</v>
      </c>
      <c r="BH124" s="528">
        <f t="shared" si="348"/>
        <v>1.6492998374214658</v>
      </c>
      <c r="BI124" s="528">
        <f t="shared" si="349"/>
        <v>0.11000822872651399</v>
      </c>
      <c r="BJ124" s="528">
        <f t="shared" si="350"/>
        <v>1.8757506143319013E-2</v>
      </c>
      <c r="BK124">
        <f t="shared" si="351"/>
        <v>3.8403081439664292E-3</v>
      </c>
      <c r="BL124" s="460">
        <f t="shared" si="427"/>
        <v>113.84853687048042</v>
      </c>
      <c r="BM124" s="528">
        <f t="shared" si="352"/>
        <v>2.8266956875703251</v>
      </c>
      <c r="BN124" s="460">
        <f t="shared" si="353"/>
        <v>2826.6956875703249</v>
      </c>
      <c r="BO124" s="528">
        <f t="shared" si="354"/>
        <v>5.8799999999999998E-2</v>
      </c>
      <c r="BR124" s="460">
        <f t="shared" si="355"/>
        <v>58.8</v>
      </c>
      <c r="BS124" s="528">
        <f t="shared" si="356"/>
        <v>0.44755279723874164</v>
      </c>
      <c r="BT124" s="528">
        <f t="shared" si="357"/>
        <v>3.3255624513475906E-3</v>
      </c>
      <c r="BU124" s="528">
        <f t="shared" si="358"/>
        <v>60.512611914513393</v>
      </c>
      <c r="BV124" s="528"/>
      <c r="BW124" s="528">
        <f t="shared" si="359"/>
        <v>1.4322838767424133</v>
      </c>
      <c r="BX124" s="460">
        <f t="shared" si="360"/>
        <v>62395.774150945887</v>
      </c>
      <c r="BY124" s="173">
        <f t="shared" si="361"/>
        <v>64.833217094366148</v>
      </c>
      <c r="BZ124" s="5">
        <f t="shared" si="362"/>
        <v>14.280000000000001</v>
      </c>
      <c r="CA124" s="173">
        <f t="shared" si="363"/>
        <v>0.18050081294212614</v>
      </c>
      <c r="CB124" s="5">
        <f t="shared" si="364"/>
        <v>18.050081294212614</v>
      </c>
      <c r="CE124" s="562">
        <f t="shared" si="365"/>
        <v>-50</v>
      </c>
      <c r="CF124">
        <f t="shared" si="366"/>
        <v>-50</v>
      </c>
      <c r="CG124" s="173">
        <f t="shared" si="367"/>
        <v>0.25237031614393207</v>
      </c>
      <c r="CI124" s="170">
        <v>14</v>
      </c>
      <c r="CJ124" s="217">
        <f t="shared" si="428"/>
        <v>8.4000000000000005E-2</v>
      </c>
      <c r="CK124" s="217"/>
      <c r="CL124" s="217">
        <f t="shared" si="368"/>
        <v>14.280000000000001</v>
      </c>
      <c r="CM124" s="541">
        <f t="shared" si="369"/>
        <v>9</v>
      </c>
      <c r="CN124" s="443">
        <f t="shared" si="370"/>
        <v>8.5250000000000004</v>
      </c>
      <c r="CO124" s="443">
        <f t="shared" si="371"/>
        <v>17.524999999999999</v>
      </c>
      <c r="CP124" s="443"/>
      <c r="CQ124" s="217">
        <f t="shared" si="372"/>
        <v>0.48644793152639093</v>
      </c>
      <c r="CR124" s="172">
        <f t="shared" si="429"/>
        <v>147.11644793152644</v>
      </c>
      <c r="CS124" s="172">
        <f t="shared" si="373"/>
        <v>14.280000000000001</v>
      </c>
      <c r="CT124" s="217">
        <f t="shared" si="374"/>
        <v>0.86539087018544958</v>
      </c>
      <c r="CU124" s="217">
        <f t="shared" si="375"/>
        <v>170</v>
      </c>
      <c r="CV124" s="217"/>
      <c r="CW124" s="172">
        <f t="shared" si="376"/>
        <v>3391.4551047986251</v>
      </c>
      <c r="CX124" s="172">
        <f t="shared" si="377"/>
        <v>170</v>
      </c>
      <c r="CY124" s="217">
        <f t="shared" si="378"/>
        <v>6.5234799608993157</v>
      </c>
      <c r="CZ124" s="217">
        <f t="shared" si="379"/>
        <v>0.36241555338329534</v>
      </c>
      <c r="DA124" s="217">
        <f t="shared" si="380"/>
        <v>0.38260879536066367</v>
      </c>
      <c r="DB124" s="197">
        <f t="shared" si="381"/>
        <v>350</v>
      </c>
      <c r="DC124" s="443">
        <f t="shared" si="382"/>
        <v>350</v>
      </c>
      <c r="DE124" s="217">
        <f t="shared" si="383"/>
        <v>25.017322192785819</v>
      </c>
      <c r="DF124" s="173">
        <f t="shared" si="384"/>
        <v>1.467291624210312</v>
      </c>
      <c r="DG124" s="173">
        <f t="shared" si="385"/>
        <v>0.32119243899439714</v>
      </c>
      <c r="DH124" s="173"/>
      <c r="DI124" s="173">
        <f t="shared" si="386"/>
        <v>0.78201368523949166</v>
      </c>
      <c r="DJ124" s="545">
        <f t="shared" si="387"/>
        <v>322.245</v>
      </c>
      <c r="DK124" s="528">
        <f t="shared" si="388"/>
        <v>9.1234929944607357E-2</v>
      </c>
      <c r="DM124" s="173">
        <f t="shared" si="389"/>
        <v>12.793748473375581</v>
      </c>
      <c r="DN124" s="173">
        <f t="shared" si="390"/>
        <v>13.333333333333334</v>
      </c>
      <c r="DO124" s="173">
        <f t="shared" si="391"/>
        <v>1.18414</v>
      </c>
      <c r="DQ124" s="545">
        <f t="shared" si="392"/>
        <v>84</v>
      </c>
      <c r="DR124" s="460">
        <f t="shared" si="393"/>
        <v>322.245</v>
      </c>
      <c r="DT124">
        <f t="shared" si="430"/>
        <v>84</v>
      </c>
      <c r="DU124">
        <f t="shared" si="431"/>
        <v>322.245</v>
      </c>
      <c r="DW124" s="5">
        <f t="shared" si="394"/>
        <v>3.1032289096805226</v>
      </c>
      <c r="DX124" s="5">
        <f t="shared" si="395"/>
        <v>0.7407407407407407</v>
      </c>
      <c r="DY124" s="5">
        <f t="shared" si="396"/>
        <v>2.3624881689397821</v>
      </c>
      <c r="DZ124" s="5"/>
      <c r="EA124" s="173">
        <f t="shared" si="397"/>
        <v>0.2387</v>
      </c>
      <c r="EB124" s="173">
        <f t="shared" si="398"/>
        <v>14.322000000000001</v>
      </c>
      <c r="EC124" s="173">
        <f t="shared" si="399"/>
        <v>0.2537666666666667</v>
      </c>
      <c r="ED124" s="173">
        <f t="shared" si="400"/>
        <v>56.43767240246946</v>
      </c>
      <c r="EE124" s="460">
        <f t="shared" si="401"/>
        <v>3.6601307189542485E-2</v>
      </c>
      <c r="EF124" s="5">
        <f t="shared" si="402"/>
        <v>5.9975699648817944</v>
      </c>
      <c r="EH124" s="173">
        <f t="shared" si="403"/>
        <v>3.7610085329848939</v>
      </c>
      <c r="EI124" s="173">
        <f t="shared" si="404"/>
        <v>0.33583505651611956</v>
      </c>
      <c r="EK124" s="528">
        <f t="shared" si="405"/>
        <v>0.56580740740740743</v>
      </c>
      <c r="EL124" s="528">
        <f t="shared" si="406"/>
        <v>2.0706926624999999</v>
      </c>
      <c r="EM124" s="528">
        <f t="shared" si="407"/>
        <v>6.4448999999999992E-2</v>
      </c>
      <c r="EN124" s="528">
        <f t="shared" si="408"/>
        <v>1.9793939405624999E-2</v>
      </c>
      <c r="EO124">
        <f t="shared" si="409"/>
        <v>4.0499999999999998E-3</v>
      </c>
      <c r="EP124" s="460">
        <f t="shared" si="410"/>
        <v>68.498999999999995</v>
      </c>
      <c r="EQ124" s="460"/>
      <c r="ER124" s="460">
        <f t="shared" si="432"/>
        <v>2724.7930093130321</v>
      </c>
      <c r="ES124" s="528">
        <f t="shared" si="411"/>
        <v>5.8799999999999998E-2</v>
      </c>
      <c r="EV124" s="460">
        <f t="shared" si="412"/>
        <v>58.8</v>
      </c>
      <c r="EW124" s="528">
        <f t="shared" si="413"/>
        <v>0.42435555555555549</v>
      </c>
      <c r="EX124" s="528">
        <f t="shared" si="414"/>
        <v>3.3835555555555563E-3</v>
      </c>
      <c r="EY124" s="528">
        <f t="shared" si="415"/>
        <v>60.503753025014099</v>
      </c>
      <c r="EZ124" s="528"/>
      <c r="FA124" s="528">
        <f t="shared" si="416"/>
        <v>1.4322000000000001</v>
      </c>
      <c r="FB124" s="460">
        <f t="shared" si="417"/>
        <v>62363.69213612521</v>
      </c>
      <c r="FC124" s="173">
        <f t="shared" si="418"/>
        <v>65.147285145438246</v>
      </c>
      <c r="FD124" s="5">
        <f t="shared" si="419"/>
        <v>14.280000000000001</v>
      </c>
      <c r="FE124" s="173">
        <f t="shared" si="420"/>
        <v>0.17978708417204595</v>
      </c>
      <c r="FF124" s="5">
        <f t="shared" si="421"/>
        <v>17.978708417204594</v>
      </c>
      <c r="FI124" s="562">
        <f t="shared" si="422"/>
        <v>-50</v>
      </c>
      <c r="FJ124">
        <f t="shared" si="423"/>
        <v>-50</v>
      </c>
      <c r="FL124">
        <f t="shared" si="424"/>
        <v>0.252</v>
      </c>
    </row>
    <row r="125" spans="5:168">
      <c r="E125" s="170">
        <v>15</v>
      </c>
      <c r="F125" s="217">
        <f t="shared" si="425"/>
        <v>0.09</v>
      </c>
      <c r="G125" s="217"/>
      <c r="H125" s="217">
        <f t="shared" si="315"/>
        <v>15.299999999999999</v>
      </c>
      <c r="I125" s="541">
        <f t="shared" si="316"/>
        <v>8.5340180977031768</v>
      </c>
      <c r="J125" s="172">
        <f t="shared" si="317"/>
        <v>8.5254992663238891</v>
      </c>
      <c r="K125" s="172">
        <f t="shared" si="318"/>
        <v>17.059517364027066</v>
      </c>
      <c r="L125" s="443"/>
      <c r="M125" s="217">
        <f t="shared" si="319"/>
        <v>0.49975034178414673</v>
      </c>
      <c r="N125" s="172">
        <f t="shared" si="426"/>
        <v>143.31413255514408</v>
      </c>
      <c r="O125" s="172">
        <f t="shared" si="284"/>
        <v>15.299999999999999</v>
      </c>
      <c r="P125" s="217">
        <f t="shared" si="320"/>
        <v>0.84302430914790638</v>
      </c>
      <c r="Q125" s="217">
        <f t="shared" si="321"/>
        <v>170</v>
      </c>
      <c r="R125" s="217"/>
      <c r="S125" s="172">
        <f t="shared" si="322"/>
        <v>2990.095617821753</v>
      </c>
      <c r="T125" s="172">
        <f t="shared" si="323"/>
        <v>170</v>
      </c>
      <c r="U125" s="217">
        <f t="shared" si="324"/>
        <v>7.1964067158775205</v>
      </c>
      <c r="V125" s="217">
        <f t="shared" si="325"/>
        <v>0.42163062191152034</v>
      </c>
      <c r="W125" s="217">
        <f t="shared" si="326"/>
        <v>0.42205192277147069</v>
      </c>
      <c r="X125" s="197">
        <f t="shared" si="327"/>
        <v>350</v>
      </c>
      <c r="Y125" s="443">
        <f t="shared" si="328"/>
        <v>350</v>
      </c>
      <c r="AA125" s="217">
        <f t="shared" si="329"/>
        <v>24.370733014382896</v>
      </c>
      <c r="AB125" s="173">
        <f t="shared" si="330"/>
        <v>1.4292847992286153</v>
      </c>
      <c r="AC125" s="173">
        <f t="shared" si="331"/>
        <v>0.30478628463076896</v>
      </c>
      <c r="AD125" s="173"/>
      <c r="AE125" s="173">
        <f t="shared" si="332"/>
        <v>0.78196788931767369</v>
      </c>
      <c r="AF125" s="545">
        <f t="shared" si="333"/>
        <v>345.28272028611741</v>
      </c>
      <c r="AG125" s="528">
        <f t="shared" si="334"/>
        <v>9.1229587087061942E-2</v>
      </c>
      <c r="AI125" s="173">
        <f t="shared" si="335"/>
        <v>13.243175570570248</v>
      </c>
      <c r="AJ125" s="173">
        <f t="shared" si="336"/>
        <v>13.333333333333334</v>
      </c>
      <c r="AK125" s="173">
        <f t="shared" si="337"/>
        <v>1.197304411592067</v>
      </c>
      <c r="AM125" s="545">
        <f t="shared" si="338"/>
        <v>90</v>
      </c>
      <c r="AN125" s="460">
        <f t="shared" si="339"/>
        <v>345.28272028611741</v>
      </c>
      <c r="AP125" s="460">
        <f t="shared" si="340"/>
        <v>90</v>
      </c>
      <c r="AQ125" s="460">
        <f t="shared" si="341"/>
        <v>345.28272028611741</v>
      </c>
      <c r="AS125" s="5">
        <f t="shared" si="285"/>
        <v>2.8961773678432365</v>
      </c>
      <c r="AT125" s="5">
        <f t="shared" si="342"/>
        <v>0.78118731297990984</v>
      </c>
      <c r="AU125" s="5">
        <f t="shared" si="343"/>
        <v>2.1149900548633269</v>
      </c>
      <c r="AV125" s="5"/>
      <c r="AW125" s="173">
        <f t="shared" si="344"/>
        <v>0.26973048047870585</v>
      </c>
      <c r="AX125" s="173">
        <f t="shared" si="214"/>
        <v>15.345898679382996</v>
      </c>
      <c r="AY125" s="173">
        <f t="shared" si="215"/>
        <v>0.24342317317376475</v>
      </c>
      <c r="AZ125" s="173">
        <f t="shared" si="288"/>
        <v>63.042061605320164</v>
      </c>
      <c r="BA125" s="460">
        <f t="shared" si="433"/>
        <v>4.1356975393054045E-2</v>
      </c>
      <c r="BB125" s="5">
        <f t="shared" si="434"/>
        <v>6.0668908772280217</v>
      </c>
      <c r="BD125" s="173">
        <f t="shared" si="289"/>
        <v>3.9980030606306691</v>
      </c>
      <c r="BE125" s="173">
        <f t="shared" si="218"/>
        <v>0.32891956002359862</v>
      </c>
      <c r="BG125" s="528">
        <f t="shared" si="347"/>
        <v>0.63936113891248791</v>
      </c>
      <c r="BH125" s="528">
        <f t="shared" si="348"/>
        <v>1.767106968665856</v>
      </c>
      <c r="BI125" s="528">
        <f t="shared" si="349"/>
        <v>0.11786595934983639</v>
      </c>
      <c r="BJ125" s="528">
        <f t="shared" si="350"/>
        <v>2.0097328010698939E-2</v>
      </c>
      <c r="BK125">
        <f t="shared" si="351"/>
        <v>3.8403081439664292E-3</v>
      </c>
      <c r="BL125" s="460">
        <f t="shared" si="427"/>
        <v>121.70626749380281</v>
      </c>
      <c r="BM125" s="528">
        <f t="shared" si="352"/>
        <v>3.0647687224601894</v>
      </c>
      <c r="BN125" s="460">
        <f t="shared" si="353"/>
        <v>3064.7687224601896</v>
      </c>
      <c r="BO125" s="528">
        <f t="shared" si="354"/>
        <v>6.3E-2</v>
      </c>
      <c r="BR125" s="460">
        <f t="shared" si="355"/>
        <v>63</v>
      </c>
      <c r="BS125" s="528">
        <f t="shared" si="356"/>
        <v>0.47952085418436596</v>
      </c>
      <c r="BT125" s="528">
        <f t="shared" si="357"/>
        <v>3.2456423089835306E-3</v>
      </c>
      <c r="BU125" s="528">
        <f t="shared" si="358"/>
        <v>71.904150094228243</v>
      </c>
      <c r="BV125" s="528"/>
      <c r="BW125" s="528">
        <f t="shared" si="359"/>
        <v>1.5345898679382999</v>
      </c>
      <c r="BX125" s="460">
        <f t="shared" si="360"/>
        <v>73921.506458659889</v>
      </c>
      <c r="BY125" s="173">
        <f t="shared" si="361"/>
        <v>76.532778161742726</v>
      </c>
      <c r="BZ125" s="5">
        <f t="shared" si="362"/>
        <v>15.299999999999999</v>
      </c>
      <c r="CA125" s="173">
        <f t="shared" si="363"/>
        <v>0.16660717781022044</v>
      </c>
      <c r="CB125" s="5">
        <f t="shared" si="364"/>
        <v>16.660717781022043</v>
      </c>
      <c r="CE125" s="562">
        <f t="shared" si="365"/>
        <v>-50</v>
      </c>
      <c r="CF125">
        <f t="shared" si="366"/>
        <v>-50</v>
      </c>
      <c r="CG125" s="173">
        <f t="shared" si="367"/>
        <v>0.27039676729707002</v>
      </c>
      <c r="CI125" s="170">
        <v>15</v>
      </c>
      <c r="CJ125" s="217">
        <f t="shared" si="428"/>
        <v>0.09</v>
      </c>
      <c r="CK125" s="217"/>
      <c r="CL125" s="217">
        <f t="shared" si="368"/>
        <v>15.299999999999999</v>
      </c>
      <c r="CM125" s="541">
        <f t="shared" si="369"/>
        <v>9</v>
      </c>
      <c r="CN125" s="443">
        <f t="shared" si="370"/>
        <v>8.5250000000000004</v>
      </c>
      <c r="CO125" s="443">
        <f t="shared" si="371"/>
        <v>17.524999999999999</v>
      </c>
      <c r="CP125" s="443"/>
      <c r="CQ125" s="217">
        <f t="shared" si="372"/>
        <v>0.48644793152639093</v>
      </c>
      <c r="CR125" s="172">
        <f t="shared" si="429"/>
        <v>147.11644793152644</v>
      </c>
      <c r="CS125" s="172">
        <f t="shared" si="373"/>
        <v>15.299999999999999</v>
      </c>
      <c r="CT125" s="217">
        <f t="shared" si="374"/>
        <v>0.86539087018544958</v>
      </c>
      <c r="CU125" s="217">
        <f t="shared" si="375"/>
        <v>170</v>
      </c>
      <c r="CV125" s="217"/>
      <c r="CW125" s="172">
        <f t="shared" si="376"/>
        <v>3153.3618697765005</v>
      </c>
      <c r="CX125" s="172">
        <f t="shared" si="377"/>
        <v>170</v>
      </c>
      <c r="CY125" s="217">
        <f t="shared" si="378"/>
        <v>6.9894428152492658</v>
      </c>
      <c r="CZ125" s="217">
        <f t="shared" si="379"/>
        <v>0.3883023786249592</v>
      </c>
      <c r="DA125" s="217">
        <f t="shared" si="380"/>
        <v>0.40993799502928241</v>
      </c>
      <c r="DB125" s="197">
        <f t="shared" si="381"/>
        <v>350</v>
      </c>
      <c r="DC125" s="443">
        <f t="shared" si="382"/>
        <v>350</v>
      </c>
      <c r="DE125" s="217">
        <f t="shared" si="383"/>
        <v>25.017322192785819</v>
      </c>
      <c r="DF125" s="173">
        <f t="shared" si="384"/>
        <v>1.467291624210312</v>
      </c>
      <c r="DG125" s="173">
        <f t="shared" si="385"/>
        <v>0.32119243899439714</v>
      </c>
      <c r="DH125" s="173"/>
      <c r="DI125" s="173">
        <f t="shared" si="386"/>
        <v>0.78201368523949166</v>
      </c>
      <c r="DJ125" s="545">
        <f t="shared" si="387"/>
        <v>345.26249999999999</v>
      </c>
      <c r="DK125" s="528">
        <f t="shared" si="388"/>
        <v>9.1234929944607357E-2</v>
      </c>
      <c r="DM125" s="173">
        <f t="shared" si="389"/>
        <v>13.242787794547965</v>
      </c>
      <c r="DN125" s="173">
        <f t="shared" si="390"/>
        <v>13.333333333333334</v>
      </c>
      <c r="DO125" s="173">
        <f t="shared" si="391"/>
        <v>1.1972928571428572</v>
      </c>
      <c r="DQ125" s="545">
        <f t="shared" si="392"/>
        <v>90</v>
      </c>
      <c r="DR125" s="460">
        <f t="shared" si="393"/>
        <v>345.26249999999999</v>
      </c>
      <c r="DT125">
        <f t="shared" si="430"/>
        <v>90</v>
      </c>
      <c r="DU125">
        <f t="shared" si="431"/>
        <v>345.26249999999999</v>
      </c>
      <c r="DW125" s="5">
        <f t="shared" si="394"/>
        <v>2.8963469823684878</v>
      </c>
      <c r="DX125" s="5">
        <f t="shared" si="395"/>
        <v>0.7407407407407407</v>
      </c>
      <c r="DY125" s="5">
        <f t="shared" si="396"/>
        <v>2.1556062416277468</v>
      </c>
      <c r="DZ125" s="5"/>
      <c r="EA125" s="173">
        <f t="shared" si="397"/>
        <v>0.25574999999999998</v>
      </c>
      <c r="EB125" s="173">
        <f t="shared" si="398"/>
        <v>15.345000000000001</v>
      </c>
      <c r="EC125" s="173">
        <f t="shared" si="399"/>
        <v>0.24808333333333338</v>
      </c>
      <c r="ED125" s="173">
        <f t="shared" si="400"/>
        <v>61.85421565334228</v>
      </c>
      <c r="EE125" s="460">
        <f t="shared" si="401"/>
        <v>3.9215686274509803E-2</v>
      </c>
      <c r="EF125" s="5">
        <f t="shared" si="402"/>
        <v>5.863248977227471</v>
      </c>
      <c r="EH125" s="173">
        <f t="shared" si="403"/>
        <v>3.8930136855083819</v>
      </c>
      <c r="EI125" s="173">
        <f t="shared" si="404"/>
        <v>0.33205309704813674</v>
      </c>
      <c r="EK125" s="528">
        <f t="shared" si="405"/>
        <v>0.60622222222222222</v>
      </c>
      <c r="EL125" s="528">
        <f t="shared" si="406"/>
        <v>2.2185992812499999</v>
      </c>
      <c r="EM125" s="528">
        <f t="shared" si="407"/>
        <v>6.9052500000000003E-2</v>
      </c>
      <c r="EN125" s="528">
        <f t="shared" si="408"/>
        <v>2.12077922203125E-2</v>
      </c>
      <c r="EO125">
        <f t="shared" si="409"/>
        <v>4.0499999999999998E-3</v>
      </c>
      <c r="EP125" s="460">
        <f t="shared" si="410"/>
        <v>73.102500000000006</v>
      </c>
      <c r="EQ125" s="460"/>
      <c r="ER125" s="460">
        <f t="shared" si="432"/>
        <v>2919.1317956925345</v>
      </c>
      <c r="ES125" s="528">
        <f t="shared" si="411"/>
        <v>6.3E-2</v>
      </c>
      <c r="EV125" s="460">
        <f t="shared" si="412"/>
        <v>63</v>
      </c>
      <c r="EW125" s="528">
        <f t="shared" si="413"/>
        <v>0.45466666666666661</v>
      </c>
      <c r="EX125" s="528">
        <f t="shared" si="414"/>
        <v>3.3077777777777793E-3</v>
      </c>
      <c r="EY125" s="528">
        <f t="shared" si="415"/>
        <v>71.893623513073138</v>
      </c>
      <c r="EZ125" s="528"/>
      <c r="FA125" s="528">
        <f t="shared" si="416"/>
        <v>1.5345</v>
      </c>
      <c r="FB125" s="460">
        <f t="shared" si="417"/>
        <v>73886.097957517573</v>
      </c>
      <c r="FC125" s="173">
        <f t="shared" si="418"/>
        <v>76.868229753210116</v>
      </c>
      <c r="FD125" s="5">
        <f t="shared" si="419"/>
        <v>15.299999999999999</v>
      </c>
      <c r="FE125" s="173">
        <f t="shared" si="420"/>
        <v>0.1660008013712243</v>
      </c>
      <c r="FF125" s="5">
        <f t="shared" si="421"/>
        <v>16.600080137122429</v>
      </c>
      <c r="FI125" s="562">
        <f t="shared" si="422"/>
        <v>-50</v>
      </c>
      <c r="FJ125">
        <f t="shared" si="423"/>
        <v>-50</v>
      </c>
      <c r="FL125">
        <f t="shared" si="424"/>
        <v>0.26999999999999996</v>
      </c>
    </row>
    <row r="126" spans="5:168">
      <c r="E126" s="170">
        <v>16</v>
      </c>
      <c r="F126" s="217">
        <f t="shared" si="425"/>
        <v>9.6000000000000002E-2</v>
      </c>
      <c r="G126" s="217"/>
      <c r="H126" s="217">
        <f t="shared" si="315"/>
        <v>16.32</v>
      </c>
      <c r="I126" s="541">
        <f t="shared" si="316"/>
        <v>8.5220041841187317</v>
      </c>
      <c r="J126" s="172">
        <f t="shared" si="317"/>
        <v>8.5255121383741592</v>
      </c>
      <c r="K126" s="172">
        <f t="shared" si="318"/>
        <v>17.047516322492889</v>
      </c>
      <c r="L126" s="443"/>
      <c r="M126" s="217">
        <f t="shared" si="319"/>
        <v>0.50010290961527337</v>
      </c>
      <c r="N126" s="172">
        <f t="shared" si="426"/>
        <v>143.21334362819954</v>
      </c>
      <c r="O126" s="172">
        <f t="shared" si="284"/>
        <v>16.32</v>
      </c>
      <c r="P126" s="217">
        <f t="shared" si="320"/>
        <v>0.84243143310705615</v>
      </c>
      <c r="Q126" s="217">
        <f t="shared" si="321"/>
        <v>170</v>
      </c>
      <c r="R126" s="217"/>
      <c r="S126" s="172">
        <f t="shared" si="322"/>
        <v>2788.619701372791</v>
      </c>
      <c r="T126" s="172">
        <f t="shared" si="323"/>
        <v>170</v>
      </c>
      <c r="U126" s="217">
        <f t="shared" si="324"/>
        <v>7.6815810170943193</v>
      </c>
      <c r="V126" s="217">
        <f t="shared" si="325"/>
        <v>0.45069099070670532</v>
      </c>
      <c r="W126" s="217">
        <f t="shared" si="326"/>
        <v>0.45050554690543315</v>
      </c>
      <c r="X126" s="197">
        <f t="shared" si="327"/>
        <v>350</v>
      </c>
      <c r="Y126" s="443">
        <f t="shared" si="328"/>
        <v>350</v>
      </c>
      <c r="AA126" s="217">
        <f t="shared" si="329"/>
        <v>24.353593715204681</v>
      </c>
      <c r="AB126" s="173">
        <f t="shared" si="330"/>
        <v>1.4282774641529621</v>
      </c>
      <c r="AC126" s="173">
        <f t="shared" si="331"/>
        <v>0.30435727940243557</v>
      </c>
      <c r="AD126" s="173"/>
      <c r="AE126" s="173">
        <f t="shared" si="332"/>
        <v>0.78196670868127105</v>
      </c>
      <c r="AF126" s="545">
        <f t="shared" si="333"/>
        <v>368.30212437776368</v>
      </c>
      <c r="AG126" s="528">
        <f t="shared" si="334"/>
        <v>9.1229449346148295E-2</v>
      </c>
      <c r="AI126" s="173">
        <f t="shared" si="335"/>
        <v>13.677503241529088</v>
      </c>
      <c r="AJ126" s="173">
        <f t="shared" si="336"/>
        <v>13.677503241529088</v>
      </c>
      <c r="AK126" s="173">
        <f t="shared" si="337"/>
        <v>1.4549406727375955</v>
      </c>
      <c r="AM126" s="545">
        <f t="shared" si="338"/>
        <v>96</v>
      </c>
      <c r="AN126" s="460">
        <f t="shared" si="339"/>
        <v>350</v>
      </c>
      <c r="AP126" s="460">
        <f t="shared" si="340"/>
        <v>96</v>
      </c>
      <c r="AQ126" s="460">
        <f t="shared" si="341"/>
        <v>350</v>
      </c>
      <c r="AS126" s="5">
        <f t="shared" si="285"/>
        <v>2.8571428571428572</v>
      </c>
      <c r="AT126" s="5">
        <f t="shared" si="342"/>
        <v>0.80248160796599577</v>
      </c>
      <c r="AU126" s="5">
        <f t="shared" si="343"/>
        <v>2.0546612491768617</v>
      </c>
      <c r="AV126" s="5"/>
      <c r="AW126" s="173">
        <f t="shared" si="344"/>
        <v>0.28086856278809852</v>
      </c>
      <c r="AX126" s="173">
        <f t="shared" si="214"/>
        <v>16.368983305678384</v>
      </c>
      <c r="AY126" s="173">
        <f t="shared" si="215"/>
        <v>0.2458980640887814</v>
      </c>
      <c r="AZ126" s="173">
        <f t="shared" si="288"/>
        <v>66.568166635782745</v>
      </c>
      <c r="BA126" s="460">
        <f t="shared" si="433"/>
        <v>4.5316608449844469E-2</v>
      </c>
      <c r="BB126" s="5">
        <f t="shared" si="434"/>
        <v>6.2956217081527219</v>
      </c>
      <c r="BD126" s="173">
        <f t="shared" si="289"/>
        <v>4.1850221893333419</v>
      </c>
      <c r="BE126" s="173">
        <f t="shared" si="218"/>
        <v>0.33482689899210283</v>
      </c>
      <c r="BG126" s="528">
        <f t="shared" si="347"/>
        <v>0.70057642900849759</v>
      </c>
      <c r="BH126" s="528">
        <f t="shared" si="348"/>
        <v>1.8361937456172177</v>
      </c>
      <c r="BI126" s="528">
        <f t="shared" si="349"/>
        <v>0.11930805857766225</v>
      </c>
      <c r="BJ126" s="528">
        <f t="shared" si="350"/>
        <v>2.0343246893596303E-2</v>
      </c>
      <c r="BK126">
        <f t="shared" si="351"/>
        <v>3.8349018828534292E-3</v>
      </c>
      <c r="BL126" s="460">
        <f t="shared" si="427"/>
        <v>123.14296046051568</v>
      </c>
      <c r="BM126" s="528">
        <f t="shared" si="352"/>
        <v>3.2946937638769915</v>
      </c>
      <c r="BN126" s="460">
        <f t="shared" si="353"/>
        <v>3294.6937638769914</v>
      </c>
      <c r="BO126" s="528">
        <f t="shared" si="354"/>
        <v>6.7199999999999996E-2</v>
      </c>
      <c r="BR126" s="460">
        <f t="shared" si="355"/>
        <v>67.2</v>
      </c>
      <c r="BS126" s="528">
        <f t="shared" si="356"/>
        <v>0.52543232175637311</v>
      </c>
      <c r="BT126" s="528">
        <f t="shared" si="357"/>
        <v>3.3632715686600346E-3</v>
      </c>
      <c r="BU126" s="528">
        <f t="shared" si="358"/>
        <v>79.278820683187988</v>
      </c>
      <c r="BV126" s="528"/>
      <c r="BW126" s="528">
        <f t="shared" si="359"/>
        <v>1.6368983305678391</v>
      </c>
      <c r="BX126" s="460">
        <f t="shared" si="360"/>
        <v>81444.514607080855</v>
      </c>
      <c r="BY126" s="173">
        <f t="shared" si="361"/>
        <v>84.191970989060692</v>
      </c>
      <c r="BZ126" s="5">
        <f t="shared" si="362"/>
        <v>16.32</v>
      </c>
      <c r="CA126" s="173">
        <f t="shared" si="363"/>
        <v>0.16236871926206881</v>
      </c>
      <c r="CB126" s="5">
        <f t="shared" si="364"/>
        <v>16.236871926206881</v>
      </c>
      <c r="CE126" s="562">
        <f t="shared" si="365"/>
        <v>-50</v>
      </c>
      <c r="CF126">
        <f t="shared" si="366"/>
        <v>-50</v>
      </c>
      <c r="CG126" s="173">
        <f t="shared" si="367"/>
        <v>0.28117400934192294</v>
      </c>
      <c r="CI126" s="170">
        <v>16</v>
      </c>
      <c r="CJ126" s="217">
        <f t="shared" si="428"/>
        <v>9.6000000000000002E-2</v>
      </c>
      <c r="CK126" s="217"/>
      <c r="CL126" s="217">
        <f t="shared" si="368"/>
        <v>16.32</v>
      </c>
      <c r="CM126" s="541">
        <f t="shared" si="369"/>
        <v>9</v>
      </c>
      <c r="CN126" s="443">
        <f t="shared" si="370"/>
        <v>8.5250000000000004</v>
      </c>
      <c r="CO126" s="443">
        <f t="shared" si="371"/>
        <v>17.524999999999999</v>
      </c>
      <c r="CP126" s="443"/>
      <c r="CQ126" s="217">
        <f t="shared" si="372"/>
        <v>0.48644793152639093</v>
      </c>
      <c r="CR126" s="172">
        <f t="shared" si="429"/>
        <v>147.11644793152644</v>
      </c>
      <c r="CS126" s="172">
        <f t="shared" si="373"/>
        <v>16.32</v>
      </c>
      <c r="CT126" s="217">
        <f t="shared" si="374"/>
        <v>0.86539087018544958</v>
      </c>
      <c r="CU126" s="217">
        <f t="shared" si="375"/>
        <v>170</v>
      </c>
      <c r="CV126" s="217"/>
      <c r="CW126" s="172">
        <f t="shared" si="376"/>
        <v>2945.030554767071</v>
      </c>
      <c r="CX126" s="172">
        <f t="shared" si="377"/>
        <v>170</v>
      </c>
      <c r="CY126" s="217">
        <f t="shared" si="378"/>
        <v>7.4554056695992177</v>
      </c>
      <c r="CZ126" s="217">
        <f t="shared" si="379"/>
        <v>0.41418920386662317</v>
      </c>
      <c r="DA126" s="217">
        <f t="shared" si="380"/>
        <v>0.43726719469790132</v>
      </c>
      <c r="DB126" s="197">
        <f t="shared" si="381"/>
        <v>350</v>
      </c>
      <c r="DC126" s="443">
        <f t="shared" si="382"/>
        <v>350</v>
      </c>
      <c r="DE126" s="217">
        <f t="shared" si="383"/>
        <v>25.017322192785819</v>
      </c>
      <c r="DF126" s="173">
        <f t="shared" si="384"/>
        <v>1.467291624210312</v>
      </c>
      <c r="DG126" s="173">
        <f t="shared" si="385"/>
        <v>0.32119243899439714</v>
      </c>
      <c r="DH126" s="173"/>
      <c r="DI126" s="173">
        <f t="shared" si="386"/>
        <v>0.78201368523949166</v>
      </c>
      <c r="DJ126" s="545">
        <f t="shared" si="387"/>
        <v>368.28</v>
      </c>
      <c r="DK126" s="528">
        <f t="shared" si="388"/>
        <v>9.1234929944607357E-2</v>
      </c>
      <c r="DM126" s="173">
        <f t="shared" si="389"/>
        <v>13.677092422838165</v>
      </c>
      <c r="DN126" s="173">
        <f t="shared" si="390"/>
        <v>13.677092422838165</v>
      </c>
      <c r="DO126" s="173">
        <f t="shared" si="391"/>
        <v>1.4546363625961707</v>
      </c>
      <c r="DQ126" s="545">
        <f t="shared" si="392"/>
        <v>96</v>
      </c>
      <c r="DR126" s="460">
        <f t="shared" si="393"/>
        <v>350</v>
      </c>
      <c r="DT126">
        <f t="shared" si="430"/>
        <v>96</v>
      </c>
      <c r="DU126">
        <f t="shared" si="431"/>
        <v>350</v>
      </c>
      <c r="DW126" s="5">
        <f t="shared" si="394"/>
        <v>2.8571428571428572</v>
      </c>
      <c r="DX126" s="5">
        <f t="shared" si="395"/>
        <v>0.75983846793545351</v>
      </c>
      <c r="DY126" s="5">
        <f t="shared" si="396"/>
        <v>2.0973043892074035</v>
      </c>
      <c r="DZ126" s="5"/>
      <c r="EA126" s="173">
        <f t="shared" si="397"/>
        <v>0.26594346377740874</v>
      </c>
      <c r="EB126" s="173">
        <f t="shared" si="398"/>
        <v>16.367999999999999</v>
      </c>
      <c r="EC126" s="173">
        <f t="shared" si="399"/>
        <v>0.25099397723762085</v>
      </c>
      <c r="ED126" s="173">
        <f t="shared" si="400"/>
        <v>65.212720162221643</v>
      </c>
      <c r="EE126" s="460">
        <f t="shared" si="401"/>
        <v>4.2908525248119729E-2</v>
      </c>
      <c r="EF126" s="5">
        <f t="shared" si="402"/>
        <v>6.0849791345537465</v>
      </c>
      <c r="EH126" s="173">
        <f t="shared" si="403"/>
        <v>4.0721879529588678</v>
      </c>
      <c r="EI126" s="173">
        <f t="shared" si="404"/>
        <v>0.33827345073942172</v>
      </c>
      <c r="EK126" s="528">
        <f t="shared" si="405"/>
        <v>0.6633085889689333</v>
      </c>
      <c r="EL126" s="528">
        <f t="shared" si="406"/>
        <v>2.3070263053360489</v>
      </c>
      <c r="EM126" s="528">
        <f t="shared" si="407"/>
        <v>6.9999999999999993E-2</v>
      </c>
      <c r="EN126" s="528">
        <f t="shared" si="408"/>
        <v>2.1498793749999998E-2</v>
      </c>
      <c r="EO126">
        <f t="shared" si="409"/>
        <v>4.0499999999999998E-3</v>
      </c>
      <c r="EP126" s="460">
        <f t="shared" si="410"/>
        <v>74.05</v>
      </c>
      <c r="EQ126" s="460"/>
      <c r="ER126" s="460">
        <f t="shared" si="432"/>
        <v>3065.883688054982</v>
      </c>
      <c r="ES126" s="528">
        <f t="shared" si="411"/>
        <v>6.7199999999999996E-2</v>
      </c>
      <c r="EV126" s="460">
        <f t="shared" si="412"/>
        <v>67.2</v>
      </c>
      <c r="EW126" s="528">
        <f t="shared" si="413"/>
        <v>0.49748144172669995</v>
      </c>
      <c r="EX126" s="528">
        <f t="shared" si="414"/>
        <v>3.4328678242546789E-3</v>
      </c>
      <c r="EY126" s="528">
        <f t="shared" si="415"/>
        <v>79.272867753206839</v>
      </c>
      <c r="EZ126" s="528"/>
      <c r="FA126" s="528">
        <f t="shared" si="416"/>
        <v>1.6367999999999998</v>
      </c>
      <c r="FB126" s="460">
        <f t="shared" si="417"/>
        <v>81410.582062757778</v>
      </c>
      <c r="FC126" s="173">
        <f t="shared" si="418"/>
        <v>84.543665750812764</v>
      </c>
      <c r="FD126" s="5">
        <f t="shared" si="419"/>
        <v>16.32</v>
      </c>
      <c r="FE126" s="173">
        <f t="shared" si="420"/>
        <v>0.16180256664792586</v>
      </c>
      <c r="FF126" s="5">
        <f t="shared" si="421"/>
        <v>16.180256664792587</v>
      </c>
      <c r="FI126" s="562">
        <f t="shared" si="422"/>
        <v>-50</v>
      </c>
      <c r="FJ126">
        <f t="shared" si="423"/>
        <v>-50</v>
      </c>
      <c r="FL126">
        <f t="shared" si="424"/>
        <v>0.28076142803480103</v>
      </c>
    </row>
    <row r="127" spans="5:168">
      <c r="E127" s="170">
        <v>17</v>
      </c>
      <c r="F127" s="217">
        <f t="shared" si="425"/>
        <v>0.10200000000000001</v>
      </c>
      <c r="G127" s="217"/>
      <c r="H127" s="217">
        <f t="shared" si="315"/>
        <v>17.34</v>
      </c>
      <c r="I127" s="541">
        <f t="shared" si="316"/>
        <v>8.507293190629559</v>
      </c>
      <c r="J127" s="172">
        <f t="shared" si="317"/>
        <v>8.5255279001528983</v>
      </c>
      <c r="K127" s="172">
        <f t="shared" si="318"/>
        <v>17.032821090782456</v>
      </c>
      <c r="L127" s="443"/>
      <c r="M127" s="217">
        <f t="shared" si="319"/>
        <v>0.5005353042913262</v>
      </c>
      <c r="N127" s="172">
        <f t="shared" si="426"/>
        <v>143.089733687094</v>
      </c>
      <c r="O127" s="172">
        <f t="shared" si="284"/>
        <v>17.34</v>
      </c>
      <c r="P127" s="217">
        <f t="shared" si="320"/>
        <v>0.84170431580643523</v>
      </c>
      <c r="Q127" s="217">
        <f t="shared" si="321"/>
        <v>170</v>
      </c>
      <c r="R127" s="217"/>
      <c r="S127" s="172">
        <f t="shared" si="322"/>
        <v>2610.0478977478429</v>
      </c>
      <c r="T127" s="172">
        <f t="shared" si="323"/>
        <v>170</v>
      </c>
      <c r="U127" s="217">
        <f t="shared" si="324"/>
        <v>8.1687455290729289</v>
      </c>
      <c r="V127" s="217">
        <f t="shared" si="325"/>
        <v>0.48010250417080214</v>
      </c>
      <c r="W127" s="217">
        <f t="shared" si="326"/>
        <v>0.47907564345232095</v>
      </c>
      <c r="X127" s="197">
        <f t="shared" si="327"/>
        <v>350</v>
      </c>
      <c r="Y127" s="443">
        <f t="shared" si="328"/>
        <v>350</v>
      </c>
      <c r="AA127" s="217">
        <f t="shared" si="329"/>
        <v>24.332573670536497</v>
      </c>
      <c r="AB127" s="173">
        <f t="shared" si="330"/>
        <v>1.4270420527331868</v>
      </c>
      <c r="AC127" s="173">
        <f t="shared" si="331"/>
        <v>0.30383155144198409</v>
      </c>
      <c r="AD127" s="173"/>
      <c r="AE127" s="173">
        <f t="shared" si="332"/>
        <v>0.78196526300114566</v>
      </c>
      <c r="AF127" s="545">
        <f t="shared" si="333"/>
        <v>391.32173061701809</v>
      </c>
      <c r="AG127" s="528">
        <f t="shared" si="334"/>
        <v>9.1229280683467001E-2</v>
      </c>
      <c r="AI127" s="173">
        <f t="shared" si="335"/>
        <v>14.098460672331537</v>
      </c>
      <c r="AJ127" s="173">
        <f t="shared" si="336"/>
        <v>14.098460672331537</v>
      </c>
      <c r="AK127" s="173">
        <f t="shared" si="337"/>
        <v>1.7667609918505209</v>
      </c>
      <c r="AM127" s="545">
        <f t="shared" si="338"/>
        <v>102.00000000000001</v>
      </c>
      <c r="AN127" s="460">
        <f t="shared" si="339"/>
        <v>350</v>
      </c>
      <c r="AP127" s="460">
        <f t="shared" si="340"/>
        <v>102.00000000000001</v>
      </c>
      <c r="AQ127" s="460">
        <f t="shared" si="341"/>
        <v>350</v>
      </c>
      <c r="AS127" s="5">
        <f t="shared" si="285"/>
        <v>2.8571428571428572</v>
      </c>
      <c r="AT127" s="5">
        <f t="shared" si="342"/>
        <v>0.82861024984189002</v>
      </c>
      <c r="AU127" s="5">
        <f t="shared" si="343"/>
        <v>2.0285326073009671</v>
      </c>
      <c r="AV127" s="5"/>
      <c r="AW127" s="173">
        <f t="shared" si="344"/>
        <v>0.29001358744466149</v>
      </c>
      <c r="AX127" s="173">
        <f t="shared" si="214"/>
        <v>17.392076916311915</v>
      </c>
      <c r="AY127" s="173">
        <f t="shared" si="215"/>
        <v>0.25024288788252991</v>
      </c>
      <c r="AZ127" s="173">
        <f t="shared" si="288"/>
        <v>69.500784072137861</v>
      </c>
      <c r="BA127" s="460">
        <f t="shared" si="433"/>
        <v>4.9716614990513407E-2</v>
      </c>
      <c r="BB127" s="5">
        <f t="shared" si="434"/>
        <v>6.6154542221429198</v>
      </c>
      <c r="BD127" s="173">
        <f t="shared" si="289"/>
        <v>4.3834922453670178</v>
      </c>
      <c r="BE127" s="173">
        <f t="shared" si="218"/>
        <v>0.34293048437171236</v>
      </c>
      <c r="BG127" s="528">
        <f t="shared" si="347"/>
        <v>0.76860017060771113</v>
      </c>
      <c r="BH127" s="528">
        <f t="shared" si="348"/>
        <v>1.8910753965121379</v>
      </c>
      <c r="BI127" s="528">
        <f t="shared" si="349"/>
        <v>0.11910210466881382</v>
      </c>
      <c r="BJ127" s="528">
        <f t="shared" si="350"/>
        <v>2.0308189601742254E-2</v>
      </c>
      <c r="BK127">
        <f t="shared" si="351"/>
        <v>3.8282819357833013E-3</v>
      </c>
      <c r="BL127" s="460">
        <f t="shared" si="427"/>
        <v>122.93038660459713</v>
      </c>
      <c r="BM127" s="528">
        <f t="shared" si="352"/>
        <v>3.5326331511667273</v>
      </c>
      <c r="BN127" s="460">
        <f t="shared" si="353"/>
        <v>3532.6331511667272</v>
      </c>
      <c r="BO127" s="528">
        <f t="shared" si="354"/>
        <v>7.1400000000000005E-2</v>
      </c>
      <c r="BR127" s="460">
        <f t="shared" si="355"/>
        <v>71.400000000000006</v>
      </c>
      <c r="BS127" s="528">
        <f t="shared" si="356"/>
        <v>0.57645012795578332</v>
      </c>
      <c r="BT127" s="528">
        <f t="shared" si="357"/>
        <v>3.5280395133425175E-3</v>
      </c>
      <c r="BU127" s="528">
        <f t="shared" si="358"/>
        <v>85.520328063639397</v>
      </c>
      <c r="BV127" s="528"/>
      <c r="BW127" s="528">
        <f t="shared" si="359"/>
        <v>1.7392076916311918</v>
      </c>
      <c r="BX127" s="460">
        <f t="shared" si="360"/>
        <v>87839.513922739716</v>
      </c>
      <c r="BY127" s="173">
        <f t="shared" si="361"/>
        <v>90.713828066065901</v>
      </c>
      <c r="BZ127" s="5">
        <f t="shared" si="362"/>
        <v>17.34</v>
      </c>
      <c r="CA127" s="173">
        <f t="shared" si="363"/>
        <v>0.16047557324297698</v>
      </c>
      <c r="CB127" s="5">
        <f t="shared" si="364"/>
        <v>16.047557324297699</v>
      </c>
      <c r="CE127" s="562">
        <f t="shared" si="365"/>
        <v>-50</v>
      </c>
      <c r="CF127">
        <f t="shared" si="366"/>
        <v>-50</v>
      </c>
      <c r="CG127" s="173">
        <f t="shared" si="367"/>
        <v>0.28982753492378871</v>
      </c>
      <c r="CI127" s="170">
        <v>17</v>
      </c>
      <c r="CJ127" s="217">
        <f t="shared" si="428"/>
        <v>0.10200000000000001</v>
      </c>
      <c r="CK127" s="217"/>
      <c r="CL127" s="217">
        <f t="shared" si="368"/>
        <v>17.34</v>
      </c>
      <c r="CM127" s="541">
        <f t="shared" si="369"/>
        <v>9</v>
      </c>
      <c r="CN127" s="443">
        <f t="shared" si="370"/>
        <v>8.5250000000000004</v>
      </c>
      <c r="CO127" s="443">
        <f t="shared" si="371"/>
        <v>17.524999999999999</v>
      </c>
      <c r="CP127" s="443"/>
      <c r="CQ127" s="217">
        <f t="shared" si="372"/>
        <v>0.48644793152639093</v>
      </c>
      <c r="CR127" s="172">
        <f t="shared" si="429"/>
        <v>147.11644793152644</v>
      </c>
      <c r="CS127" s="172">
        <f t="shared" si="373"/>
        <v>17.34</v>
      </c>
      <c r="CT127" s="217">
        <f t="shared" si="374"/>
        <v>0.86539087018544958</v>
      </c>
      <c r="CU127" s="217">
        <f t="shared" si="375"/>
        <v>170</v>
      </c>
      <c r="CV127" s="217"/>
      <c r="CW127" s="172">
        <f t="shared" si="376"/>
        <v>2761.209059104287</v>
      </c>
      <c r="CX127" s="172">
        <f t="shared" si="377"/>
        <v>170</v>
      </c>
      <c r="CY127" s="217">
        <f t="shared" si="378"/>
        <v>7.9213685239491687</v>
      </c>
      <c r="CZ127" s="217">
        <f t="shared" si="379"/>
        <v>0.44007602910828708</v>
      </c>
      <c r="DA127" s="217">
        <f t="shared" si="380"/>
        <v>0.46459639436652006</v>
      </c>
      <c r="DB127" s="197">
        <f t="shared" si="381"/>
        <v>350</v>
      </c>
      <c r="DC127" s="443">
        <f t="shared" si="382"/>
        <v>350</v>
      </c>
      <c r="DE127" s="217">
        <f t="shared" si="383"/>
        <v>25.017322192785819</v>
      </c>
      <c r="DF127" s="173">
        <f t="shared" si="384"/>
        <v>1.467291624210312</v>
      </c>
      <c r="DG127" s="173">
        <f t="shared" si="385"/>
        <v>0.32119243899439714</v>
      </c>
      <c r="DH127" s="173"/>
      <c r="DI127" s="173">
        <f t="shared" si="386"/>
        <v>0.78201368523949166</v>
      </c>
      <c r="DJ127" s="545">
        <f t="shared" si="387"/>
        <v>391.29750000000001</v>
      </c>
      <c r="DK127" s="528">
        <f t="shared" si="388"/>
        <v>9.1234929944607357E-2</v>
      </c>
      <c r="DM127" s="173">
        <f t="shared" si="389"/>
        <v>14.09802417767418</v>
      </c>
      <c r="DN127" s="173">
        <f t="shared" si="390"/>
        <v>14.09802417767418</v>
      </c>
      <c r="DO127" s="173">
        <f t="shared" si="391"/>
        <v>1.7664376624747007</v>
      </c>
      <c r="DQ127" s="545">
        <f t="shared" si="392"/>
        <v>102.00000000000001</v>
      </c>
      <c r="DR127" s="460">
        <f t="shared" si="393"/>
        <v>350</v>
      </c>
      <c r="DT127">
        <f t="shared" si="430"/>
        <v>102.00000000000001</v>
      </c>
      <c r="DU127">
        <f t="shared" si="431"/>
        <v>350</v>
      </c>
      <c r="DW127" s="5">
        <f t="shared" si="394"/>
        <v>2.8571428571428572</v>
      </c>
      <c r="DX127" s="5">
        <f t="shared" si="395"/>
        <v>0.7832235654263433</v>
      </c>
      <c r="DY127" s="5">
        <f t="shared" si="396"/>
        <v>2.0739192917165141</v>
      </c>
      <c r="DZ127" s="5"/>
      <c r="EA127" s="173">
        <f t="shared" si="397"/>
        <v>0.27412824789922013</v>
      </c>
      <c r="EB127" s="173">
        <f t="shared" si="398"/>
        <v>17.391000000000005</v>
      </c>
      <c r="EC127" s="173">
        <f t="shared" si="399"/>
        <v>0.25583393777518781</v>
      </c>
      <c r="ED127" s="173">
        <f t="shared" si="400"/>
        <v>67.977689556114399</v>
      </c>
      <c r="EE127" s="460">
        <f t="shared" si="401"/>
        <v>4.6993413925580603E-2</v>
      </c>
      <c r="EF127" s="5">
        <f t="shared" si="402"/>
        <v>6.393201869931441</v>
      </c>
      <c r="EH127" s="173">
        <f t="shared" si="403"/>
        <v>4.26161800670896</v>
      </c>
      <c r="EI127" s="173">
        <f t="shared" si="404"/>
        <v>0.34673491508760163</v>
      </c>
      <c r="EK127" s="528">
        <f t="shared" si="405"/>
        <v>0.72645552140424197</v>
      </c>
      <c r="EL127" s="528">
        <f t="shared" si="406"/>
        <v>2.3780282844947473</v>
      </c>
      <c r="EM127" s="528">
        <f t="shared" si="407"/>
        <v>6.9999999999999993E-2</v>
      </c>
      <c r="EN127" s="528">
        <f t="shared" si="408"/>
        <v>2.1498793749999998E-2</v>
      </c>
      <c r="EO127">
        <f t="shared" si="409"/>
        <v>4.0499999999999998E-3</v>
      </c>
      <c r="EP127" s="460">
        <f t="shared" si="410"/>
        <v>74.05</v>
      </c>
      <c r="EQ127" s="460"/>
      <c r="ER127" s="460">
        <f t="shared" si="432"/>
        <v>3200.0325996489892</v>
      </c>
      <c r="ES127" s="528">
        <f t="shared" si="411"/>
        <v>7.1400000000000005E-2</v>
      </c>
      <c r="EV127" s="460">
        <f t="shared" si="412"/>
        <v>71.400000000000006</v>
      </c>
      <c r="EW127" s="528">
        <f t="shared" si="413"/>
        <v>0.54484164105318145</v>
      </c>
      <c r="EX127" s="528">
        <f t="shared" si="414"/>
        <v>3.6067530402241893E-3</v>
      </c>
      <c r="EY127" s="528">
        <f t="shared" si="415"/>
        <v>85.513708848185431</v>
      </c>
      <c r="EZ127" s="528"/>
      <c r="FA127" s="528">
        <f t="shared" si="416"/>
        <v>1.7391000000000003</v>
      </c>
      <c r="FB127" s="460">
        <f t="shared" si="417"/>
        <v>87801.257242278836</v>
      </c>
      <c r="FC127" s="173">
        <f t="shared" si="418"/>
        <v>91.072689841927826</v>
      </c>
      <c r="FD127" s="5">
        <f t="shared" si="419"/>
        <v>17.34</v>
      </c>
      <c r="FE127" s="173">
        <f t="shared" si="420"/>
        <v>0.15994437574865777</v>
      </c>
      <c r="FF127" s="5">
        <f t="shared" si="421"/>
        <v>15.994437574865778</v>
      </c>
      <c r="FI127" s="562">
        <f t="shared" si="422"/>
        <v>-50</v>
      </c>
      <c r="FJ127">
        <f t="shared" si="423"/>
        <v>-50</v>
      </c>
      <c r="FL127">
        <f t="shared" si="424"/>
        <v>0.28940225584668405</v>
      </c>
    </row>
    <row r="128" spans="5:168">
      <c r="E128" s="170">
        <v>18</v>
      </c>
      <c r="F128" s="217">
        <f t="shared" si="425"/>
        <v>0.108</v>
      </c>
      <c r="G128" s="217"/>
      <c r="H128" s="217">
        <f t="shared" si="315"/>
        <v>18.36</v>
      </c>
      <c r="I128" s="541">
        <f t="shared" si="316"/>
        <v>8.4930088758173365</v>
      </c>
      <c r="J128" s="172">
        <f t="shared" si="317"/>
        <v>8.5255432047759108</v>
      </c>
      <c r="K128" s="172">
        <f t="shared" si="318"/>
        <v>17.018552080593246</v>
      </c>
      <c r="L128" s="443"/>
      <c r="M128" s="217">
        <f t="shared" si="319"/>
        <v>0.50095587231870553</v>
      </c>
      <c r="N128" s="172">
        <f t="shared" si="426"/>
        <v>142.96950378741823</v>
      </c>
      <c r="O128" s="172">
        <f t="shared" si="284"/>
        <v>18.36</v>
      </c>
      <c r="P128" s="217">
        <f t="shared" si="320"/>
        <v>0.84099708110246019</v>
      </c>
      <c r="Q128" s="217">
        <f t="shared" si="321"/>
        <v>170</v>
      </c>
      <c r="R128" s="217"/>
      <c r="S128" s="172">
        <f t="shared" si="322"/>
        <v>2451.4734956713442</v>
      </c>
      <c r="T128" s="172">
        <f t="shared" si="323"/>
        <v>170</v>
      </c>
      <c r="U128" s="217">
        <f t="shared" si="324"/>
        <v>8.6565491113420929</v>
      </c>
      <c r="V128" s="217">
        <f t="shared" si="325"/>
        <v>0.50962793268651907</v>
      </c>
      <c r="W128" s="217">
        <f t="shared" si="326"/>
        <v>0.507683141321294</v>
      </c>
      <c r="X128" s="197">
        <f t="shared" si="327"/>
        <v>350</v>
      </c>
      <c r="Y128" s="443">
        <f t="shared" si="328"/>
        <v>350</v>
      </c>
      <c r="AA128" s="217">
        <f t="shared" si="329"/>
        <v>24.312128406839161</v>
      </c>
      <c r="AB128" s="173">
        <f t="shared" si="330"/>
        <v>1.425840431681807</v>
      </c>
      <c r="AC128" s="173">
        <f t="shared" si="331"/>
        <v>0.30332063704872192</v>
      </c>
      <c r="AD128" s="173"/>
      <c r="AE128" s="173">
        <f t="shared" si="332"/>
        <v>0.78196385925674239</v>
      </c>
      <c r="AF128" s="545">
        <f t="shared" si="333"/>
        <v>414.34139975210917</v>
      </c>
      <c r="AG128" s="528">
        <f t="shared" si="334"/>
        <v>9.1229116913286612E-2</v>
      </c>
      <c r="AI128" s="173">
        <f t="shared" si="335"/>
        <v>14.507209369262272</v>
      </c>
      <c r="AJ128" s="173">
        <f t="shared" si="336"/>
        <v>14.507209369262272</v>
      </c>
      <c r="AK128" s="173">
        <f t="shared" si="337"/>
        <v>2.069537804391806</v>
      </c>
      <c r="AM128" s="545">
        <f t="shared" si="338"/>
        <v>108</v>
      </c>
      <c r="AN128" s="460">
        <f t="shared" si="339"/>
        <v>350</v>
      </c>
      <c r="AP128" s="460">
        <f t="shared" si="340"/>
        <v>108</v>
      </c>
      <c r="AQ128" s="460">
        <f t="shared" si="341"/>
        <v>350</v>
      </c>
      <c r="AS128" s="5">
        <f t="shared" si="285"/>
        <v>2.8571428571428572</v>
      </c>
      <c r="AT128" s="5">
        <f t="shared" si="342"/>
        <v>0.85406771506912793</v>
      </c>
      <c r="AU128" s="5">
        <f t="shared" si="343"/>
        <v>2.0030751420737292</v>
      </c>
      <c r="AV128" s="5"/>
      <c r="AW128" s="173">
        <f t="shared" si="344"/>
        <v>0.29892370027419479</v>
      </c>
      <c r="AX128" s="173">
        <f t="shared" si="214"/>
        <v>18.415173322315965</v>
      </c>
      <c r="AY128" s="173">
        <f t="shared" si="215"/>
        <v>0.25426651659874816</v>
      </c>
      <c r="AZ128" s="173">
        <f t="shared" si="288"/>
        <v>72.424688742546877</v>
      </c>
      <c r="BA128" s="460">
        <f t="shared" si="433"/>
        <v>5.4258419545568128E-2</v>
      </c>
      <c r="BB128" s="5">
        <f t="shared" si="434"/>
        <v>6.9283261367008873</v>
      </c>
      <c r="BD128" s="173">
        <f t="shared" si="289"/>
        <v>4.5793456595154662</v>
      </c>
      <c r="BE128" s="173">
        <f t="shared" si="218"/>
        <v>0.35065165962300537</v>
      </c>
      <c r="BG128" s="528">
        <f t="shared" si="347"/>
        <v>0.83881626677292564</v>
      </c>
      <c r="BH128" s="528">
        <f t="shared" si="348"/>
        <v>1.9442721232845241</v>
      </c>
      <c r="BI128" s="528">
        <f t="shared" si="349"/>
        <v>0.11890212426144271</v>
      </c>
      <c r="BJ128" s="528">
        <f t="shared" si="350"/>
        <v>2.027417804439053E-2</v>
      </c>
      <c r="BK128">
        <f t="shared" si="351"/>
        <v>3.8218539941178012E-3</v>
      </c>
      <c r="BL128" s="460">
        <f t="shared" si="427"/>
        <v>122.72397825556051</v>
      </c>
      <c r="BM128" s="528">
        <f t="shared" si="352"/>
        <v>3.784005678993748</v>
      </c>
      <c r="BN128" s="460">
        <f t="shared" si="353"/>
        <v>3784.005678993748</v>
      </c>
      <c r="BO128" s="528">
        <f t="shared" si="354"/>
        <v>7.5600000000000001E-2</v>
      </c>
      <c r="BR128" s="460">
        <f t="shared" si="355"/>
        <v>75.599999999999994</v>
      </c>
      <c r="BS128" s="528">
        <f t="shared" si="356"/>
        <v>0.62911220007969415</v>
      </c>
      <c r="BT128" s="528">
        <f t="shared" si="357"/>
        <v>3.6886975918910404E-3</v>
      </c>
      <c r="BU128" s="528">
        <f t="shared" si="358"/>
        <v>91.854367790978756</v>
      </c>
      <c r="BV128" s="528"/>
      <c r="BW128" s="528">
        <f t="shared" si="359"/>
        <v>1.8415173322315967</v>
      </c>
      <c r="BX128" s="460">
        <f t="shared" si="360"/>
        <v>94328.686020881942</v>
      </c>
      <c r="BY128" s="173">
        <f t="shared" si="361"/>
        <v>97.330372567239351</v>
      </c>
      <c r="BZ128" s="5">
        <f t="shared" si="362"/>
        <v>18.36</v>
      </c>
      <c r="CA128" s="173">
        <f t="shared" si="363"/>
        <v>0.15869946299402873</v>
      </c>
      <c r="CB128" s="5">
        <f t="shared" si="364"/>
        <v>15.869946299402873</v>
      </c>
      <c r="CE128" s="562">
        <f t="shared" si="365"/>
        <v>-50</v>
      </c>
      <c r="CF128">
        <f t="shared" si="366"/>
        <v>-50</v>
      </c>
      <c r="CG128" s="173">
        <f t="shared" si="367"/>
        <v>0.29823007304862503</v>
      </c>
      <c r="CI128" s="170">
        <v>18</v>
      </c>
      <c r="CJ128" s="217">
        <f t="shared" si="428"/>
        <v>0.108</v>
      </c>
      <c r="CK128" s="217"/>
      <c r="CL128" s="217">
        <f t="shared" si="368"/>
        <v>18.36</v>
      </c>
      <c r="CM128" s="541">
        <f t="shared" si="369"/>
        <v>9</v>
      </c>
      <c r="CN128" s="443">
        <f t="shared" si="370"/>
        <v>8.5250000000000004</v>
      </c>
      <c r="CO128" s="443">
        <f t="shared" si="371"/>
        <v>17.524999999999999</v>
      </c>
      <c r="CP128" s="443"/>
      <c r="CQ128" s="217">
        <f t="shared" si="372"/>
        <v>0.48644793152639093</v>
      </c>
      <c r="CR128" s="172">
        <f t="shared" si="429"/>
        <v>147.11644793152644</v>
      </c>
      <c r="CS128" s="172">
        <f t="shared" si="373"/>
        <v>18.36</v>
      </c>
      <c r="CT128" s="217">
        <f t="shared" si="374"/>
        <v>0.86539087018544958</v>
      </c>
      <c r="CU128" s="217">
        <f t="shared" si="375"/>
        <v>170</v>
      </c>
      <c r="CV128" s="217"/>
      <c r="CW128" s="172">
        <f t="shared" si="376"/>
        <v>2597.8124156448253</v>
      </c>
      <c r="CX128" s="172">
        <f t="shared" si="377"/>
        <v>170</v>
      </c>
      <c r="CY128" s="217">
        <f t="shared" si="378"/>
        <v>8.3873313782991197</v>
      </c>
      <c r="CZ128" s="217">
        <f t="shared" si="379"/>
        <v>0.46596285434995105</v>
      </c>
      <c r="DA128" s="217">
        <f t="shared" si="380"/>
        <v>0.49192559403513891</v>
      </c>
      <c r="DB128" s="197">
        <f t="shared" si="381"/>
        <v>350</v>
      </c>
      <c r="DC128" s="443">
        <f t="shared" si="382"/>
        <v>350</v>
      </c>
      <c r="DE128" s="217">
        <f t="shared" si="383"/>
        <v>25.017322192785819</v>
      </c>
      <c r="DF128" s="173">
        <f t="shared" si="384"/>
        <v>1.467291624210312</v>
      </c>
      <c r="DG128" s="173">
        <f t="shared" si="385"/>
        <v>0.32119243899439714</v>
      </c>
      <c r="DH128" s="173"/>
      <c r="DI128" s="173">
        <f t="shared" si="386"/>
        <v>0.78201368523949166</v>
      </c>
      <c r="DJ128" s="545">
        <f t="shared" si="387"/>
        <v>414.315</v>
      </c>
      <c r="DK128" s="528">
        <f t="shared" si="388"/>
        <v>9.1234929944607357E-2</v>
      </c>
      <c r="DM128" s="173">
        <f t="shared" si="389"/>
        <v>14.50674719865602</v>
      </c>
      <c r="DN128" s="173">
        <f t="shared" si="390"/>
        <v>14.50674719865602</v>
      </c>
      <c r="DO128" s="173">
        <f t="shared" si="391"/>
        <v>2.0691954557945826</v>
      </c>
      <c r="DQ128" s="545">
        <f t="shared" si="392"/>
        <v>108</v>
      </c>
      <c r="DR128" s="460">
        <f t="shared" si="393"/>
        <v>350</v>
      </c>
      <c r="DT128">
        <f t="shared" si="430"/>
        <v>108</v>
      </c>
      <c r="DU128">
        <f t="shared" si="431"/>
        <v>350</v>
      </c>
      <c r="DW128" s="5">
        <f t="shared" si="394"/>
        <v>2.8571428571428572</v>
      </c>
      <c r="DX128" s="5">
        <f t="shared" si="395"/>
        <v>0.80593039992533444</v>
      </c>
      <c r="DY128" s="5">
        <f t="shared" si="396"/>
        <v>2.051212457217523</v>
      </c>
      <c r="DZ128" s="5"/>
      <c r="EA128" s="173">
        <f t="shared" si="397"/>
        <v>0.28207563997386703</v>
      </c>
      <c r="EB128" s="173">
        <f t="shared" si="398"/>
        <v>18.414000000000001</v>
      </c>
      <c r="EC128" s="173">
        <f t="shared" si="399"/>
        <v>0.26036867996640051</v>
      </c>
      <c r="ED128" s="173">
        <f t="shared" si="400"/>
        <v>70.722792013141714</v>
      </c>
      <c r="EE128" s="460">
        <f t="shared" si="401"/>
        <v>5.1200284230550661E-2</v>
      </c>
      <c r="EF128" s="5">
        <f t="shared" si="402"/>
        <v>6.6951574603579953</v>
      </c>
      <c r="EH128" s="173">
        <f t="shared" si="403"/>
        <v>4.4482809240162444</v>
      </c>
      <c r="EI128" s="173">
        <f t="shared" si="404"/>
        <v>0.35482872012283834</v>
      </c>
      <c r="EK128" s="528">
        <f t="shared" si="405"/>
        <v>0.79148812715867256</v>
      </c>
      <c r="EL128" s="528">
        <f t="shared" si="406"/>
        <v>2.4469709173182999</v>
      </c>
      <c r="EM128" s="528">
        <f t="shared" si="407"/>
        <v>6.9999999999999993E-2</v>
      </c>
      <c r="EN128" s="528">
        <f t="shared" si="408"/>
        <v>2.1498793749999998E-2</v>
      </c>
      <c r="EO128">
        <f t="shared" si="409"/>
        <v>4.0499999999999998E-3</v>
      </c>
      <c r="EP128" s="460">
        <f t="shared" si="410"/>
        <v>74.05</v>
      </c>
      <c r="EQ128" s="460"/>
      <c r="ER128" s="460">
        <f t="shared" si="432"/>
        <v>3334.0078382269726</v>
      </c>
      <c r="ES128" s="528">
        <f t="shared" si="411"/>
        <v>7.5600000000000001E-2</v>
      </c>
      <c r="EV128" s="460">
        <f t="shared" si="412"/>
        <v>75.599999999999994</v>
      </c>
      <c r="EW128" s="528">
        <f t="shared" si="413"/>
        <v>0.59361609536900439</v>
      </c>
      <c r="EX128" s="528">
        <f t="shared" si="414"/>
        <v>3.7771026187203463E-3</v>
      </c>
      <c r="EY128" s="528">
        <f t="shared" si="415"/>
        <v>91.847052225759143</v>
      </c>
      <c r="EZ128" s="528"/>
      <c r="FA128" s="528">
        <f t="shared" si="416"/>
        <v>1.8414000000000004</v>
      </c>
      <c r="FB128" s="460">
        <f t="shared" si="417"/>
        <v>94285.845423746883</v>
      </c>
      <c r="FC128" s="173">
        <f t="shared" si="418"/>
        <v>97.695453261973853</v>
      </c>
      <c r="FD128" s="5">
        <f t="shared" si="419"/>
        <v>18.36</v>
      </c>
      <c r="FE128" s="173">
        <f t="shared" si="420"/>
        <v>0.15820023518029502</v>
      </c>
      <c r="FF128" s="5">
        <f t="shared" si="421"/>
        <v>15.820023518029503</v>
      </c>
      <c r="FI128" s="562">
        <f t="shared" si="422"/>
        <v>-50</v>
      </c>
      <c r="FJ128">
        <f t="shared" si="423"/>
        <v>-50</v>
      </c>
      <c r="FL128">
        <f t="shared" si="424"/>
        <v>0.29779246448853997</v>
      </c>
    </row>
    <row r="129" spans="5:168">
      <c r="E129" s="170">
        <v>19</v>
      </c>
      <c r="F129" s="217">
        <f t="shared" si="425"/>
        <v>0.11399999999999999</v>
      </c>
      <c r="G129" s="217"/>
      <c r="H129" s="217">
        <f t="shared" si="315"/>
        <v>19.38</v>
      </c>
      <c r="I129" s="541">
        <f t="shared" si="316"/>
        <v>8.4791161357845688</v>
      </c>
      <c r="J129" s="172">
        <f t="shared" si="317"/>
        <v>8.5255580898545169</v>
      </c>
      <c r="K129" s="172">
        <f t="shared" si="318"/>
        <v>17.004674225639086</v>
      </c>
      <c r="L129" s="443"/>
      <c r="M129" s="217">
        <f t="shared" si="319"/>
        <v>0.50136558840621082</v>
      </c>
      <c r="N129" s="172">
        <f t="shared" si="426"/>
        <v>142.85237535639814</v>
      </c>
      <c r="O129" s="172">
        <f t="shared" si="284"/>
        <v>19.38</v>
      </c>
      <c r="P129" s="217">
        <f t="shared" si="320"/>
        <v>0.8403080903317538</v>
      </c>
      <c r="Q129" s="217">
        <f t="shared" si="321"/>
        <v>170</v>
      </c>
      <c r="R129" s="217"/>
      <c r="S129" s="172">
        <f t="shared" si="322"/>
        <v>2309.7281037041507</v>
      </c>
      <c r="T129" s="172">
        <f t="shared" si="323"/>
        <v>170</v>
      </c>
      <c r="U129" s="217">
        <f t="shared" si="324"/>
        <v>9.1449765478977572</v>
      </c>
      <c r="V129" s="217">
        <f t="shared" si="325"/>
        <v>0.53926473004084974</v>
      </c>
      <c r="W129" s="217">
        <f t="shared" si="326"/>
        <v>0.5363271501709872</v>
      </c>
      <c r="X129" s="197">
        <f t="shared" si="327"/>
        <v>350</v>
      </c>
      <c r="Y129" s="443">
        <f t="shared" si="328"/>
        <v>350</v>
      </c>
      <c r="AA129" s="217">
        <f t="shared" si="329"/>
        <v>24.292210552406768</v>
      </c>
      <c r="AB129" s="173">
        <f t="shared" si="330"/>
        <v>1.4246698161211697</v>
      </c>
      <c r="AC129" s="173">
        <f t="shared" si="331"/>
        <v>0.30282331748264835</v>
      </c>
      <c r="AD129" s="173"/>
      <c r="AE129" s="173">
        <f t="shared" si="332"/>
        <v>0.78196249399790652</v>
      </c>
      <c r="AF129" s="545">
        <f t="shared" si="333"/>
        <v>437.36113000953668</v>
      </c>
      <c r="AG129" s="528">
        <f t="shared" si="334"/>
        <v>9.1228957633089108E-2</v>
      </c>
      <c r="AI129" s="173">
        <f t="shared" si="335"/>
        <v>14.904753774692461</v>
      </c>
      <c r="AJ129" s="173">
        <f t="shared" si="336"/>
        <v>14.904753774692461</v>
      </c>
      <c r="AK129" s="173">
        <f t="shared" si="337"/>
        <v>2.364015141747501</v>
      </c>
      <c r="AM129" s="545">
        <f t="shared" si="338"/>
        <v>113.99999999999999</v>
      </c>
      <c r="AN129" s="460">
        <f t="shared" si="339"/>
        <v>350</v>
      </c>
      <c r="AP129" s="460">
        <f t="shared" si="340"/>
        <v>113.99999999999999</v>
      </c>
      <c r="AQ129" s="460">
        <f t="shared" si="341"/>
        <v>350</v>
      </c>
      <c r="AS129" s="5">
        <f t="shared" si="285"/>
        <v>2.8571428571428572</v>
      </c>
      <c r="AT129" s="5">
        <f t="shared" si="342"/>
        <v>0.87890963727868143</v>
      </c>
      <c r="AU129" s="5">
        <f t="shared" si="343"/>
        <v>1.9782332198641757</v>
      </c>
      <c r="AV129" s="5"/>
      <c r="AW129" s="173">
        <f t="shared" si="344"/>
        <v>0.30761837304753847</v>
      </c>
      <c r="AX129" s="173">
        <f t="shared" si="214"/>
        <v>19.4382724448683</v>
      </c>
      <c r="AY129" s="173">
        <f t="shared" si="215"/>
        <v>0.25799444169618518</v>
      </c>
      <c r="AZ129" s="173">
        <f t="shared" si="288"/>
        <v>75.343764451169264</v>
      </c>
      <c r="BA129" s="460">
        <f t="shared" si="433"/>
        <v>5.8938646264570391E-2</v>
      </c>
      <c r="BB129" s="5">
        <f t="shared" si="434"/>
        <v>7.2343690898004782</v>
      </c>
      <c r="BD129" s="173">
        <f t="shared" si="289"/>
        <v>4.7727678879022788</v>
      </c>
      <c r="BE129" s="173">
        <f t="shared" si="218"/>
        <v>0.35801972146428335</v>
      </c>
      <c r="BG129" s="528">
        <f t="shared" si="347"/>
        <v>0.91117253247164709</v>
      </c>
      <c r="BH129" s="528">
        <f t="shared" si="348"/>
        <v>1.9959225485220768</v>
      </c>
      <c r="BI129" s="528">
        <f t="shared" si="349"/>
        <v>0.11870762590098397</v>
      </c>
      <c r="BJ129" s="528">
        <f t="shared" si="350"/>
        <v>2.0241126186407998E-2</v>
      </c>
      <c r="BK129">
        <f t="shared" si="351"/>
        <v>3.8156022611030558E-3</v>
      </c>
      <c r="BL129" s="460">
        <f t="shared" si="427"/>
        <v>122.52322816208702</v>
      </c>
      <c r="BM129" s="528">
        <f t="shared" si="352"/>
        <v>4.0501989718169691</v>
      </c>
      <c r="BN129" s="460">
        <f t="shared" si="353"/>
        <v>4050.1989718169689</v>
      </c>
      <c r="BO129" s="528">
        <f t="shared" si="354"/>
        <v>7.9799999999999982E-2</v>
      </c>
      <c r="BR129" s="460">
        <f t="shared" si="355"/>
        <v>79.799999999999983</v>
      </c>
      <c r="BS129" s="528">
        <f t="shared" si="356"/>
        <v>0.68337939935373526</v>
      </c>
      <c r="BT129" s="528">
        <f t="shared" si="357"/>
        <v>3.8453436287208907E-3</v>
      </c>
      <c r="BU129" s="528">
        <f t="shared" si="358"/>
        <v>98.277054141353346</v>
      </c>
      <c r="BV129" s="528"/>
      <c r="BW129" s="528">
        <f t="shared" si="359"/>
        <v>1.9438272444868303</v>
      </c>
      <c r="BX129" s="460">
        <f t="shared" si="360"/>
        <v>100908.10612882262</v>
      </c>
      <c r="BY129" s="173">
        <f t="shared" si="361"/>
        <v>104.03776556416484</v>
      </c>
      <c r="BZ129" s="5">
        <f t="shared" si="362"/>
        <v>19.38</v>
      </c>
      <c r="CA129" s="173">
        <f t="shared" si="363"/>
        <v>0.15702763626784627</v>
      </c>
      <c r="CB129" s="5">
        <f t="shared" si="364"/>
        <v>15.702763626784627</v>
      </c>
      <c r="CE129" s="562">
        <f t="shared" si="365"/>
        <v>-50</v>
      </c>
      <c r="CF129">
        <f t="shared" si="366"/>
        <v>-50</v>
      </c>
      <c r="CG129" s="173">
        <f t="shared" si="367"/>
        <v>0.3064022730679008</v>
      </c>
      <c r="CI129" s="170">
        <v>19</v>
      </c>
      <c r="CJ129" s="217">
        <f t="shared" si="428"/>
        <v>0.11399999999999999</v>
      </c>
      <c r="CK129" s="217"/>
      <c r="CL129" s="217">
        <f t="shared" si="368"/>
        <v>19.38</v>
      </c>
      <c r="CM129" s="541">
        <f t="shared" si="369"/>
        <v>9</v>
      </c>
      <c r="CN129" s="443">
        <f t="shared" si="370"/>
        <v>8.5250000000000004</v>
      </c>
      <c r="CO129" s="443">
        <f t="shared" si="371"/>
        <v>17.524999999999999</v>
      </c>
      <c r="CP129" s="443"/>
      <c r="CQ129" s="217">
        <f t="shared" si="372"/>
        <v>0.48644793152639093</v>
      </c>
      <c r="CR129" s="172">
        <f t="shared" si="429"/>
        <v>147.11644793152644</v>
      </c>
      <c r="CS129" s="172">
        <f t="shared" si="373"/>
        <v>19.38</v>
      </c>
      <c r="CT129" s="217">
        <f t="shared" si="374"/>
        <v>0.86539087018544958</v>
      </c>
      <c r="CU129" s="217">
        <f t="shared" si="375"/>
        <v>170</v>
      </c>
      <c r="CV129" s="217"/>
      <c r="CW129" s="172">
        <f t="shared" si="376"/>
        <v>2451.61565036813</v>
      </c>
      <c r="CX129" s="172">
        <f t="shared" si="377"/>
        <v>170</v>
      </c>
      <c r="CY129" s="217">
        <f t="shared" si="378"/>
        <v>8.8532942326490698</v>
      </c>
      <c r="CZ129" s="217">
        <f t="shared" si="379"/>
        <v>0.49184967959161502</v>
      </c>
      <c r="DA129" s="217">
        <f t="shared" si="380"/>
        <v>0.51925479370375771</v>
      </c>
      <c r="DB129" s="197">
        <f t="shared" si="381"/>
        <v>350</v>
      </c>
      <c r="DC129" s="443">
        <f t="shared" si="382"/>
        <v>350</v>
      </c>
      <c r="DE129" s="217">
        <f t="shared" si="383"/>
        <v>25.017322192785819</v>
      </c>
      <c r="DF129" s="173">
        <f t="shared" si="384"/>
        <v>1.467291624210312</v>
      </c>
      <c r="DG129" s="173">
        <f t="shared" si="385"/>
        <v>0.32119243899439714</v>
      </c>
      <c r="DH129" s="173"/>
      <c r="DI129" s="173">
        <f t="shared" si="386"/>
        <v>0.78201368523949166</v>
      </c>
      <c r="DJ129" s="545">
        <f t="shared" si="387"/>
        <v>437.33249999999992</v>
      </c>
      <c r="DK129" s="528">
        <f t="shared" si="388"/>
        <v>9.1234929944607357E-2</v>
      </c>
      <c r="DM129" s="173">
        <f t="shared" si="389"/>
        <v>14.904265928154356</v>
      </c>
      <c r="DN129" s="173">
        <f t="shared" si="390"/>
        <v>14.904265928154356</v>
      </c>
      <c r="DO129" s="173">
        <f t="shared" si="391"/>
        <v>2.3636537739414978</v>
      </c>
      <c r="DQ129" s="545">
        <f t="shared" si="392"/>
        <v>113.99999999999999</v>
      </c>
      <c r="DR129" s="460">
        <f t="shared" si="393"/>
        <v>350</v>
      </c>
      <c r="DT129">
        <f t="shared" si="430"/>
        <v>113.99999999999999</v>
      </c>
      <c r="DU129">
        <f t="shared" si="431"/>
        <v>350</v>
      </c>
      <c r="DW129" s="5">
        <f t="shared" si="394"/>
        <v>2.8571428571428572</v>
      </c>
      <c r="DX129" s="5">
        <f t="shared" si="395"/>
        <v>0.82801477378635302</v>
      </c>
      <c r="DY129" s="5">
        <f t="shared" si="396"/>
        <v>2.029128083356504</v>
      </c>
      <c r="DZ129" s="5"/>
      <c r="EA129" s="173">
        <f t="shared" si="397"/>
        <v>0.28980517082522356</v>
      </c>
      <c r="EB129" s="173">
        <f t="shared" si="398"/>
        <v>19.436999999999998</v>
      </c>
      <c r="EC129" s="173">
        <f t="shared" si="399"/>
        <v>0.26462331487052559</v>
      </c>
      <c r="ED129" s="173">
        <f t="shared" si="400"/>
        <v>73.451577800354045</v>
      </c>
      <c r="EE129" s="460">
        <f t="shared" si="401"/>
        <v>5.5525696595084842E-2</v>
      </c>
      <c r="EF129" s="5">
        <f t="shared" si="402"/>
        <v>6.9910226231909416</v>
      </c>
      <c r="EH129" s="173">
        <f t="shared" si="403"/>
        <v>4.6323677398763499</v>
      </c>
      <c r="EI129" s="173">
        <f t="shared" si="404"/>
        <v>0.36258407096929657</v>
      </c>
      <c r="EK129" s="528">
        <f t="shared" si="405"/>
        <v>0.85835323509788486</v>
      </c>
      <c r="EL129" s="528">
        <f t="shared" si="406"/>
        <v>2.5140236312624613</v>
      </c>
      <c r="EM129" s="528">
        <f t="shared" si="407"/>
        <v>6.9999999999999993E-2</v>
      </c>
      <c r="EN129" s="528">
        <f t="shared" si="408"/>
        <v>2.1498793749999998E-2</v>
      </c>
      <c r="EO129">
        <f t="shared" si="409"/>
        <v>4.0499999999999998E-3</v>
      </c>
      <c r="EP129" s="460">
        <f t="shared" si="410"/>
        <v>74.05</v>
      </c>
      <c r="EQ129" s="460"/>
      <c r="ER129" s="460">
        <f t="shared" si="432"/>
        <v>3467.9256601103461</v>
      </c>
      <c r="ES129" s="528">
        <f t="shared" si="411"/>
        <v>7.9799999999999982E-2</v>
      </c>
      <c r="EV129" s="460">
        <f t="shared" si="412"/>
        <v>79.799999999999983</v>
      </c>
      <c r="EW129" s="528">
        <f t="shared" si="413"/>
        <v>0.64376492632341353</v>
      </c>
      <c r="EX129" s="528">
        <f t="shared" si="414"/>
        <v>3.9440162556200371E-3</v>
      </c>
      <c r="EY129" s="528">
        <f t="shared" si="415"/>
        <v>98.269012588901745</v>
      </c>
      <c r="EZ129" s="528"/>
      <c r="FA129" s="528">
        <f t="shared" si="416"/>
        <v>1.9436999999999995</v>
      </c>
      <c r="FB129" s="460">
        <f t="shared" si="417"/>
        <v>100860.42153148077</v>
      </c>
      <c r="FC129" s="173">
        <f t="shared" si="418"/>
        <v>104.40814719159111</v>
      </c>
      <c r="FD129" s="5">
        <f t="shared" si="419"/>
        <v>19.38</v>
      </c>
      <c r="FE129" s="173">
        <f t="shared" si="420"/>
        <v>0.15655780007761905</v>
      </c>
      <c r="FF129" s="5">
        <f t="shared" si="421"/>
        <v>15.655780007761905</v>
      </c>
      <c r="FI129" s="562">
        <f t="shared" si="422"/>
        <v>-50</v>
      </c>
      <c r="FJ129">
        <f t="shared" si="423"/>
        <v>-50</v>
      </c>
      <c r="FL129">
        <f t="shared" si="424"/>
        <v>0.30595267301196621</v>
      </c>
    </row>
    <row r="130" spans="5:168">
      <c r="E130" s="170">
        <v>20</v>
      </c>
      <c r="F130" s="217">
        <f t="shared" si="425"/>
        <v>0.12</v>
      </c>
      <c r="G130" s="217"/>
      <c r="H130" s="217">
        <f t="shared" si="315"/>
        <v>20.399999999999999</v>
      </c>
      <c r="I130" s="541">
        <f t="shared" si="316"/>
        <v>8.4655844313645048</v>
      </c>
      <c r="J130" s="172">
        <f t="shared" si="317"/>
        <v>8.5255725881092523</v>
      </c>
      <c r="K130" s="172">
        <f t="shared" si="318"/>
        <v>16.991157019473757</v>
      </c>
      <c r="L130" s="443"/>
      <c r="M130" s="217">
        <f t="shared" si="319"/>
        <v>0.50176530047742962</v>
      </c>
      <c r="N130" s="172">
        <f t="shared" si="426"/>
        <v>142.73810605665395</v>
      </c>
      <c r="O130" s="172">
        <f t="shared" si="284"/>
        <v>20.399999999999999</v>
      </c>
      <c r="P130" s="217">
        <f t="shared" si="320"/>
        <v>0.83963591798031734</v>
      </c>
      <c r="Q130" s="217">
        <f t="shared" si="321"/>
        <v>170</v>
      </c>
      <c r="R130" s="217"/>
      <c r="S130" s="172">
        <f t="shared" si="322"/>
        <v>2182.2783258352929</v>
      </c>
      <c r="T130" s="172">
        <f t="shared" si="323"/>
        <v>170</v>
      </c>
      <c r="U130" s="217">
        <f t="shared" si="324"/>
        <v>9.6340138585280464</v>
      </c>
      <c r="V130" s="217">
        <f t="shared" si="325"/>
        <v>0.56901055896593378</v>
      </c>
      <c r="W130" s="217">
        <f t="shared" si="326"/>
        <v>0.56500685197172296</v>
      </c>
      <c r="X130" s="197">
        <f t="shared" si="327"/>
        <v>350</v>
      </c>
      <c r="Y130" s="443">
        <f t="shared" si="328"/>
        <v>350</v>
      </c>
      <c r="AA130" s="217">
        <f t="shared" si="329"/>
        <v>24.272778897414959</v>
      </c>
      <c r="AB130" s="173">
        <f t="shared" si="330"/>
        <v>1.4235277834164812</v>
      </c>
      <c r="AC130" s="173">
        <f t="shared" si="331"/>
        <v>0.30233853248546028</v>
      </c>
      <c r="AD130" s="173"/>
      <c r="AE130" s="173">
        <f t="shared" si="332"/>
        <v>0.78196116422312445</v>
      </c>
      <c r="AF130" s="545">
        <f t="shared" si="333"/>
        <v>460.38091975789956</v>
      </c>
      <c r="AG130" s="528">
        <f t="shared" si="334"/>
        <v>9.1228802492697866E-2</v>
      </c>
      <c r="AI130" s="173">
        <f t="shared" si="335"/>
        <v>15.29196771846008</v>
      </c>
      <c r="AJ130" s="173">
        <f t="shared" si="336"/>
        <v>15.29196771846008</v>
      </c>
      <c r="AK130" s="173">
        <f t="shared" si="337"/>
        <v>2.6508402852790711</v>
      </c>
      <c r="AM130" s="545">
        <f t="shared" si="338"/>
        <v>120</v>
      </c>
      <c r="AN130" s="460">
        <f t="shared" si="339"/>
        <v>350</v>
      </c>
      <c r="AP130" s="460">
        <f t="shared" si="340"/>
        <v>120</v>
      </c>
      <c r="AQ130" s="460">
        <f t="shared" si="341"/>
        <v>350</v>
      </c>
      <c r="AS130" s="5">
        <f t="shared" si="285"/>
        <v>2.8571428571428572</v>
      </c>
      <c r="AT130" s="5">
        <f t="shared" si="342"/>
        <v>0.90318440755278606</v>
      </c>
      <c r="AU130" s="5">
        <f t="shared" si="343"/>
        <v>1.953958449590071</v>
      </c>
      <c r="AV130" s="5"/>
      <c r="AW130" s="173">
        <f t="shared" si="344"/>
        <v>0.3161145426434751</v>
      </c>
      <c r="AX130" s="173">
        <f t="shared" si="214"/>
        <v>20.461374211462203</v>
      </c>
      <c r="AY130" s="173">
        <f t="shared" si="215"/>
        <v>0.26144885842550719</v>
      </c>
      <c r="AZ130" s="173">
        <f t="shared" si="288"/>
        <v>78.261478495964141</v>
      </c>
      <c r="BA130" s="460">
        <f t="shared" si="433"/>
        <v>6.3754193474314297E-2</v>
      </c>
      <c r="BB130" s="5">
        <f t="shared" si="434"/>
        <v>7.5337035867634885</v>
      </c>
      <c r="BD130" s="173">
        <f t="shared" si="289"/>
        <v>4.963922393282064</v>
      </c>
      <c r="BE130" s="173">
        <f t="shared" si="218"/>
        <v>0.36506015500056499</v>
      </c>
      <c r="BG130" s="528">
        <f t="shared" si="347"/>
        <v>0.9856210210610854</v>
      </c>
      <c r="BH130" s="528">
        <f t="shared" si="348"/>
        <v>2.0461472690484976</v>
      </c>
      <c r="BI130" s="528">
        <f t="shared" si="349"/>
        <v>0.11851818203910308</v>
      </c>
      <c r="BJ130" s="528">
        <f t="shared" si="350"/>
        <v>2.0208959180228862E-2</v>
      </c>
      <c r="BK130">
        <f t="shared" si="351"/>
        <v>3.8095129941140269E-3</v>
      </c>
      <c r="BL130" s="460">
        <f t="shared" si="427"/>
        <v>122.32769503321711</v>
      </c>
      <c r="BM130" s="528">
        <f t="shared" si="352"/>
        <v>4.3327548591112164</v>
      </c>
      <c r="BN130" s="460">
        <f t="shared" si="353"/>
        <v>4332.7548591112163</v>
      </c>
      <c r="BO130" s="528">
        <f t="shared" si="354"/>
        <v>8.3999999999999991E-2</v>
      </c>
      <c r="BR130" s="460">
        <f t="shared" si="355"/>
        <v>83.999999999999986</v>
      </c>
      <c r="BS130" s="528">
        <f t="shared" si="356"/>
        <v>0.73921576579581405</v>
      </c>
      <c r="BT130" s="528">
        <f t="shared" si="357"/>
        <v>3.9980675030710962E-3</v>
      </c>
      <c r="BU130" s="528">
        <f t="shared" si="358"/>
        <v>104.78486219496982</v>
      </c>
      <c r="BV130" s="528"/>
      <c r="BW130" s="528">
        <f t="shared" si="359"/>
        <v>2.0461374211462209</v>
      </c>
      <c r="BX130" s="460">
        <f t="shared" si="360"/>
        <v>107574.21344941492</v>
      </c>
      <c r="BY130" s="173">
        <f t="shared" si="361"/>
        <v>110.83251839373796</v>
      </c>
      <c r="BZ130" s="5">
        <f t="shared" si="362"/>
        <v>20.399999999999999</v>
      </c>
      <c r="CA130" s="173">
        <f t="shared" si="363"/>
        <v>0.1554492762136418</v>
      </c>
      <c r="CB130" s="5">
        <f t="shared" si="364"/>
        <v>15.544927621364179</v>
      </c>
      <c r="CE130" s="562">
        <f t="shared" si="365"/>
        <v>-50</v>
      </c>
      <c r="CF130">
        <f t="shared" si="366"/>
        <v>-50</v>
      </c>
      <c r="CG130" s="173">
        <f t="shared" si="367"/>
        <v>0.31436209919735025</v>
      </c>
      <c r="CI130" s="170">
        <v>20</v>
      </c>
      <c r="CJ130" s="217">
        <f t="shared" si="428"/>
        <v>0.12</v>
      </c>
      <c r="CK130" s="217"/>
      <c r="CL130" s="217">
        <f t="shared" si="368"/>
        <v>20.399999999999999</v>
      </c>
      <c r="CM130" s="541">
        <f t="shared" si="369"/>
        <v>9</v>
      </c>
      <c r="CN130" s="443">
        <f t="shared" si="370"/>
        <v>8.5250000000000004</v>
      </c>
      <c r="CO130" s="443">
        <f t="shared" si="371"/>
        <v>17.524999999999999</v>
      </c>
      <c r="CP130" s="443"/>
      <c r="CQ130" s="217">
        <f t="shared" si="372"/>
        <v>0.48644793152639093</v>
      </c>
      <c r="CR130" s="172">
        <f t="shared" si="429"/>
        <v>147.11644793152644</v>
      </c>
      <c r="CS130" s="172">
        <f t="shared" si="373"/>
        <v>20.399999999999999</v>
      </c>
      <c r="CT130" s="217">
        <f t="shared" si="374"/>
        <v>0.86539087018544958</v>
      </c>
      <c r="CU130" s="217">
        <f t="shared" si="375"/>
        <v>170</v>
      </c>
      <c r="CV130" s="217"/>
      <c r="CW130" s="172">
        <f t="shared" si="376"/>
        <v>2320.0387840964427</v>
      </c>
      <c r="CX130" s="172">
        <f t="shared" si="377"/>
        <v>170</v>
      </c>
      <c r="CY130" s="217">
        <f t="shared" si="378"/>
        <v>9.3192570869990217</v>
      </c>
      <c r="CZ130" s="217">
        <f t="shared" si="379"/>
        <v>0.51773650483327893</v>
      </c>
      <c r="DA130" s="217">
        <f t="shared" si="380"/>
        <v>0.54658399337237662</v>
      </c>
      <c r="DB130" s="197">
        <f t="shared" si="381"/>
        <v>350</v>
      </c>
      <c r="DC130" s="443">
        <f t="shared" si="382"/>
        <v>350</v>
      </c>
      <c r="DE130" s="217">
        <f t="shared" si="383"/>
        <v>25.017322192785819</v>
      </c>
      <c r="DF130" s="173">
        <f t="shared" si="384"/>
        <v>1.467291624210312</v>
      </c>
      <c r="DG130" s="173">
        <f t="shared" si="385"/>
        <v>0.32119243899439714</v>
      </c>
      <c r="DH130" s="173"/>
      <c r="DI130" s="173">
        <f t="shared" si="386"/>
        <v>0.78201368523949166</v>
      </c>
      <c r="DJ130" s="545">
        <f t="shared" si="387"/>
        <v>460.35</v>
      </c>
      <c r="DK130" s="528">
        <f t="shared" si="388"/>
        <v>9.1234929944607357E-2</v>
      </c>
      <c r="DM130" s="173">
        <f t="shared" si="389"/>
        <v>15.291454196006717</v>
      </c>
      <c r="DN130" s="173">
        <f t="shared" si="390"/>
        <v>15.291454196006717</v>
      </c>
      <c r="DO130" s="173">
        <f t="shared" si="391"/>
        <v>2.6504598982765799</v>
      </c>
      <c r="DQ130" s="545">
        <f t="shared" si="392"/>
        <v>120</v>
      </c>
      <c r="DR130" s="460">
        <f t="shared" si="393"/>
        <v>350</v>
      </c>
      <c r="DT130">
        <f t="shared" si="430"/>
        <v>120</v>
      </c>
      <c r="DU130">
        <f t="shared" si="431"/>
        <v>350</v>
      </c>
      <c r="DW130" s="5">
        <f t="shared" si="394"/>
        <v>2.8571428571428572</v>
      </c>
      <c r="DX130" s="5">
        <f t="shared" si="395"/>
        <v>0.8495252331114842</v>
      </c>
      <c r="DY130" s="5">
        <f t="shared" si="396"/>
        <v>2.007617624031373</v>
      </c>
      <c r="DZ130" s="5"/>
      <c r="EA130" s="173">
        <f t="shared" si="397"/>
        <v>0.29733383158901944</v>
      </c>
      <c r="EB130" s="173">
        <f t="shared" si="398"/>
        <v>20.459999999999997</v>
      </c>
      <c r="EC130" s="173">
        <f t="shared" si="399"/>
        <v>0.26861968823350124</v>
      </c>
      <c r="ED130" s="173">
        <f t="shared" si="400"/>
        <v>76.167164568424596</v>
      </c>
      <c r="EE130" s="460">
        <f t="shared" si="401"/>
        <v>5.9966487043163597E-2</v>
      </c>
      <c r="EF130" s="5">
        <f t="shared" si="402"/>
        <v>7.280959916487113</v>
      </c>
      <c r="EH130" s="173">
        <f t="shared" si="403"/>
        <v>4.8140469834933359</v>
      </c>
      <c r="EI130" s="173">
        <f t="shared" si="404"/>
        <v>0.37002638008517669</v>
      </c>
      <c r="EK130" s="528">
        <f t="shared" si="405"/>
        <v>0.92700193437125156</v>
      </c>
      <c r="EL130" s="528">
        <f t="shared" si="406"/>
        <v>2.5793338223057951</v>
      </c>
      <c r="EM130" s="528">
        <f t="shared" si="407"/>
        <v>6.9999999999999993E-2</v>
      </c>
      <c r="EN130" s="528">
        <f t="shared" si="408"/>
        <v>2.1498793749999998E-2</v>
      </c>
      <c r="EO130">
        <f t="shared" si="409"/>
        <v>4.0499999999999998E-3</v>
      </c>
      <c r="EP130" s="460">
        <f t="shared" si="410"/>
        <v>74.05</v>
      </c>
      <c r="EQ130" s="460"/>
      <c r="ER130" s="460">
        <f t="shared" si="432"/>
        <v>3601.8845504270466</v>
      </c>
      <c r="ES130" s="528">
        <f t="shared" si="411"/>
        <v>8.3999999999999991E-2</v>
      </c>
      <c r="EV130" s="460">
        <f t="shared" si="412"/>
        <v>83.999999999999986</v>
      </c>
      <c r="EW130" s="528">
        <f t="shared" si="413"/>
        <v>0.69525145077843864</v>
      </c>
      <c r="EX130" s="528">
        <f t="shared" si="414"/>
        <v>4.1075856587681888E-3</v>
      </c>
      <c r="EY130" s="528">
        <f t="shared" si="415"/>
        <v>104.7760654159563</v>
      </c>
      <c r="EZ130" s="528"/>
      <c r="FA130" s="528">
        <f t="shared" si="416"/>
        <v>2.0460000000000003</v>
      </c>
      <c r="FB130" s="460">
        <f t="shared" si="417"/>
        <v>107521.4244523935</v>
      </c>
      <c r="FC130" s="173">
        <f t="shared" si="418"/>
        <v>111.20730900282055</v>
      </c>
      <c r="FD130" s="5">
        <f t="shared" si="419"/>
        <v>20.399999999999999</v>
      </c>
      <c r="FE130" s="173">
        <f t="shared" si="420"/>
        <v>0.15500658857452054</v>
      </c>
      <c r="FF130" s="5">
        <f t="shared" si="421"/>
        <v>15.500658857452054</v>
      </c>
      <c r="FI130" s="562">
        <f t="shared" si="422"/>
        <v>-50</v>
      </c>
      <c r="FJ130">
        <f t="shared" si="423"/>
        <v>-50</v>
      </c>
      <c r="FL130">
        <f t="shared" si="424"/>
        <v>0.31390081927286512</v>
      </c>
    </row>
    <row r="131" spans="5:168">
      <c r="E131" s="170">
        <v>21</v>
      </c>
      <c r="F131" s="217">
        <f t="shared" si="425"/>
        <v>0.126</v>
      </c>
      <c r="G131" s="217"/>
      <c r="H131" s="217">
        <f t="shared" si="315"/>
        <v>21.42</v>
      </c>
      <c r="I131" s="541">
        <f t="shared" si="316"/>
        <v>8.4523869979629769</v>
      </c>
      <c r="J131" s="172">
        <f t="shared" si="317"/>
        <v>8.525586728216469</v>
      </c>
      <c r="K131" s="172">
        <f t="shared" si="318"/>
        <v>16.977973726179446</v>
      </c>
      <c r="L131" s="443"/>
      <c r="M131" s="217">
        <f t="shared" si="319"/>
        <v>0.5021557516202696</v>
      </c>
      <c r="N131" s="172">
        <f t="shared" si="426"/>
        <v>142.62648351298895</v>
      </c>
      <c r="O131" s="172">
        <f t="shared" si="284"/>
        <v>21.42</v>
      </c>
      <c r="P131" s="217">
        <f t="shared" si="320"/>
        <v>0.83897931478228793</v>
      </c>
      <c r="Q131" s="217">
        <f t="shared" si="321"/>
        <v>170</v>
      </c>
      <c r="R131" s="217"/>
      <c r="S131" s="172">
        <f t="shared" si="322"/>
        <v>2067.0743571248204</v>
      </c>
      <c r="T131" s="172">
        <f t="shared" si="323"/>
        <v>170</v>
      </c>
      <c r="U131" s="217">
        <f t="shared" si="324"/>
        <v>10.123648141769316</v>
      </c>
      <c r="V131" s="217">
        <f t="shared" si="325"/>
        <v>0.59886326455527372</v>
      </c>
      <c r="W131" s="217">
        <f t="shared" si="326"/>
        <v>0.59372149181615086</v>
      </c>
      <c r="X131" s="197">
        <f t="shared" si="327"/>
        <v>350</v>
      </c>
      <c r="Y131" s="443">
        <f t="shared" si="328"/>
        <v>350</v>
      </c>
      <c r="AA131" s="217">
        <f t="shared" si="329"/>
        <v>24.253797327152242</v>
      </c>
      <c r="AB131" s="173">
        <f t="shared" si="330"/>
        <v>1.4224122104629668</v>
      </c>
      <c r="AC131" s="173">
        <f t="shared" si="331"/>
        <v>0.30186535284705995</v>
      </c>
      <c r="AD131" s="173"/>
      <c r="AE131" s="173">
        <f t="shared" si="332"/>
        <v>0.78195986730186207</v>
      </c>
      <c r="AF131" s="545">
        <f t="shared" si="333"/>
        <v>483.40076748987383</v>
      </c>
      <c r="AG131" s="528">
        <f t="shared" si="334"/>
        <v>9.1228651185217238E-2</v>
      </c>
      <c r="AI131" s="173">
        <f t="shared" si="335"/>
        <v>15.669617026993173</v>
      </c>
      <c r="AJ131" s="173">
        <f t="shared" si="336"/>
        <v>15.669617026993173</v>
      </c>
      <c r="AK131" s="173">
        <f t="shared" si="337"/>
        <v>2.9305805138221026</v>
      </c>
      <c r="AM131" s="545">
        <f t="shared" si="338"/>
        <v>126</v>
      </c>
      <c r="AN131" s="460">
        <f t="shared" si="339"/>
        <v>350</v>
      </c>
      <c r="AP131" s="460">
        <f t="shared" si="340"/>
        <v>126</v>
      </c>
      <c r="AQ131" s="460">
        <f t="shared" si="341"/>
        <v>350</v>
      </c>
      <c r="AS131" s="5">
        <f t="shared" si="285"/>
        <v>2.8571428571428572</v>
      </c>
      <c r="AT131" s="5">
        <f t="shared" si="342"/>
        <v>0.92693442874595933</v>
      </c>
      <c r="AU131" s="5">
        <f t="shared" si="343"/>
        <v>1.9302084283968979</v>
      </c>
      <c r="AV131" s="5"/>
      <c r="AW131" s="173">
        <f t="shared" si="344"/>
        <v>0.32442705006108574</v>
      </c>
      <c r="AX131" s="173">
        <f t="shared" si="214"/>
        <v>21.4844785551055</v>
      </c>
      <c r="AY131" s="173">
        <f t="shared" si="215"/>
        <v>0.26464923498347048</v>
      </c>
      <c r="AZ131" s="173">
        <f t="shared" si="288"/>
        <v>81.180958473004395</v>
      </c>
      <c r="BA131" s="460">
        <f t="shared" si="433"/>
        <v>6.8702198836465223E-2</v>
      </c>
      <c r="BB131" s="5">
        <f t="shared" si="434"/>
        <v>7.826440421381692</v>
      </c>
      <c r="BD131" s="173">
        <f t="shared" si="289"/>
        <v>5.1529542149957095</v>
      </c>
      <c r="BE131" s="173">
        <f t="shared" si="218"/>
        <v>0.37179529128619987</v>
      </c>
      <c r="BG131" s="528">
        <f t="shared" si="347"/>
        <v>1.0621174856736819</v>
      </c>
      <c r="BH131" s="528">
        <f t="shared" si="348"/>
        <v>2.0950519761957254</v>
      </c>
      <c r="BI131" s="528">
        <f t="shared" si="349"/>
        <v>0.11833341797148168</v>
      </c>
      <c r="BJ131" s="528">
        <f t="shared" si="350"/>
        <v>2.0177611429278774E-2</v>
      </c>
      <c r="BK131">
        <f t="shared" si="351"/>
        <v>3.8035741490833395E-3</v>
      </c>
      <c r="BL131" s="460">
        <f t="shared" si="427"/>
        <v>122.13699212056501</v>
      </c>
      <c r="BM131" s="528">
        <f t="shared" si="352"/>
        <v>4.6333993526303692</v>
      </c>
      <c r="BN131" s="460">
        <f t="shared" si="353"/>
        <v>4633.3993526303693</v>
      </c>
      <c r="BO131" s="528">
        <f t="shared" si="354"/>
        <v>8.8200000000000001E-2</v>
      </c>
      <c r="BR131" s="460">
        <f t="shared" si="355"/>
        <v>88.2</v>
      </c>
      <c r="BS131" s="528">
        <f t="shared" si="356"/>
        <v>0.79658811425526144</v>
      </c>
      <c r="BT131" s="528">
        <f t="shared" si="357"/>
        <v>4.1469521586777061E-3</v>
      </c>
      <c r="BU131" s="528">
        <f t="shared" si="358"/>
        <v>111.37457781812186</v>
      </c>
      <c r="BV131" s="528"/>
      <c r="BW131" s="528">
        <f t="shared" si="359"/>
        <v>2.1484478555105508</v>
      </c>
      <c r="BX131" s="460">
        <f t="shared" si="360"/>
        <v>114323.76074004636</v>
      </c>
      <c r="BY131" s="173">
        <f t="shared" si="361"/>
        <v>117.7114448054656</v>
      </c>
      <c r="BZ131" s="5">
        <f t="shared" si="362"/>
        <v>21.42</v>
      </c>
      <c r="CA131" s="173">
        <f t="shared" si="363"/>
        <v>0.15395513235666869</v>
      </c>
      <c r="CB131" s="5">
        <f t="shared" si="364"/>
        <v>15.395513235666868</v>
      </c>
      <c r="CE131" s="562">
        <f t="shared" si="365"/>
        <v>-50</v>
      </c>
      <c r="CF131">
        <f t="shared" si="366"/>
        <v>-50</v>
      </c>
      <c r="CG131" s="173">
        <f t="shared" si="367"/>
        <v>0.32212529531589557</v>
      </c>
      <c r="CI131" s="170">
        <v>21</v>
      </c>
      <c r="CJ131" s="217">
        <f t="shared" si="428"/>
        <v>0.126</v>
      </c>
      <c r="CK131" s="217"/>
      <c r="CL131" s="217">
        <f t="shared" si="368"/>
        <v>21.42</v>
      </c>
      <c r="CM131" s="541">
        <f t="shared" si="369"/>
        <v>9</v>
      </c>
      <c r="CN131" s="443">
        <f t="shared" si="370"/>
        <v>8.5250000000000004</v>
      </c>
      <c r="CO131" s="443">
        <f t="shared" si="371"/>
        <v>17.524999999999999</v>
      </c>
      <c r="CP131" s="443"/>
      <c r="CQ131" s="217">
        <f t="shared" si="372"/>
        <v>0.48644793152639093</v>
      </c>
      <c r="CR131" s="172">
        <f t="shared" si="429"/>
        <v>147.11644793152644</v>
      </c>
      <c r="CS131" s="172">
        <f t="shared" si="373"/>
        <v>21.42</v>
      </c>
      <c r="CT131" s="217">
        <f t="shared" si="374"/>
        <v>0.86539087018544958</v>
      </c>
      <c r="CU131" s="217">
        <f t="shared" si="375"/>
        <v>170</v>
      </c>
      <c r="CV131" s="217"/>
      <c r="CW131" s="172">
        <f t="shared" si="376"/>
        <v>2200.9932622948509</v>
      </c>
      <c r="CX131" s="172">
        <f t="shared" si="377"/>
        <v>170</v>
      </c>
      <c r="CY131" s="217">
        <f t="shared" si="378"/>
        <v>9.7852199413489735</v>
      </c>
      <c r="CZ131" s="217">
        <f t="shared" si="379"/>
        <v>0.5436233300749429</v>
      </c>
      <c r="DA131" s="217">
        <f t="shared" si="380"/>
        <v>0.57391319304099542</v>
      </c>
      <c r="DB131" s="197">
        <f t="shared" si="381"/>
        <v>350</v>
      </c>
      <c r="DC131" s="443">
        <f t="shared" si="382"/>
        <v>350</v>
      </c>
      <c r="DE131" s="217">
        <f t="shared" si="383"/>
        <v>25.017322192785819</v>
      </c>
      <c r="DF131" s="173">
        <f t="shared" si="384"/>
        <v>1.467291624210312</v>
      </c>
      <c r="DG131" s="173">
        <f t="shared" si="385"/>
        <v>0.32119243899439714</v>
      </c>
      <c r="DH131" s="173"/>
      <c r="DI131" s="173">
        <f t="shared" si="386"/>
        <v>0.78201368523949166</v>
      </c>
      <c r="DJ131" s="545">
        <f t="shared" si="387"/>
        <v>483.36750000000001</v>
      </c>
      <c r="DK131" s="528">
        <f t="shared" si="388"/>
        <v>9.1234929944607357E-2</v>
      </c>
      <c r="DM131" s="173">
        <f t="shared" si="389"/>
        <v>15.669077828640715</v>
      </c>
      <c r="DN131" s="173">
        <f t="shared" si="390"/>
        <v>15.669077828640715</v>
      </c>
      <c r="DO131" s="173">
        <f t="shared" si="391"/>
        <v>2.930181107635097</v>
      </c>
      <c r="DQ131" s="545">
        <f t="shared" si="392"/>
        <v>126</v>
      </c>
      <c r="DR131" s="460">
        <f t="shared" si="393"/>
        <v>350</v>
      </c>
      <c r="DT131">
        <f t="shared" si="430"/>
        <v>126</v>
      </c>
      <c r="DU131">
        <f t="shared" si="431"/>
        <v>350</v>
      </c>
      <c r="DW131" s="5">
        <f t="shared" si="394"/>
        <v>2.8571428571428572</v>
      </c>
      <c r="DX131" s="5">
        <f t="shared" si="395"/>
        <v>0.87050432381337295</v>
      </c>
      <c r="DY131" s="5">
        <f t="shared" si="396"/>
        <v>1.9866385333294843</v>
      </c>
      <c r="DZ131" s="5"/>
      <c r="EA131" s="173">
        <f t="shared" si="397"/>
        <v>0.30467651333468054</v>
      </c>
      <c r="EB131" s="173">
        <f t="shared" si="398"/>
        <v>21.482999999999997</v>
      </c>
      <c r="EC131" s="173">
        <f t="shared" si="399"/>
        <v>0.27237694571601789</v>
      </c>
      <c r="ED131" s="173">
        <f t="shared" si="400"/>
        <v>78.872314040845154</v>
      </c>
      <c r="EE131" s="460">
        <f t="shared" si="401"/>
        <v>6.45197322355794E-2</v>
      </c>
      <c r="EF131" s="5">
        <f t="shared" si="402"/>
        <v>7.5651195349186766</v>
      </c>
      <c r="EH131" s="173">
        <f t="shared" si="403"/>
        <v>4.9934683188451547</v>
      </c>
      <c r="EI131" s="173">
        <f t="shared" si="404"/>
        <v>0.37717792269925399</v>
      </c>
      <c r="EK131" s="528">
        <f t="shared" si="405"/>
        <v>0.99738903405241019</v>
      </c>
      <c r="EL131" s="528">
        <f t="shared" si="406"/>
        <v>2.6430306686141871</v>
      </c>
      <c r="EM131" s="528">
        <f t="shared" si="407"/>
        <v>6.9999999999999993E-2</v>
      </c>
      <c r="EN131" s="528">
        <f t="shared" si="408"/>
        <v>2.1498793749999998E-2</v>
      </c>
      <c r="EO131">
        <f t="shared" si="409"/>
        <v>4.0499999999999998E-3</v>
      </c>
      <c r="EP131" s="460">
        <f t="shared" si="410"/>
        <v>74.05</v>
      </c>
      <c r="EQ131" s="460"/>
      <c r="ER131" s="460">
        <f t="shared" si="432"/>
        <v>3735.9684964165972</v>
      </c>
      <c r="ES131" s="528">
        <f t="shared" si="411"/>
        <v>8.8200000000000001E-2</v>
      </c>
      <c r="EV131" s="460">
        <f t="shared" si="412"/>
        <v>88.2</v>
      </c>
      <c r="EW131" s="528">
        <f t="shared" si="413"/>
        <v>0.74804177553930762</v>
      </c>
      <c r="EX131" s="528">
        <f t="shared" si="414"/>
        <v>4.2678955611517326E-3</v>
      </c>
      <c r="EY131" s="528">
        <f t="shared" si="415"/>
        <v>111.36499694595797</v>
      </c>
      <c r="EZ131" s="528"/>
      <c r="FA131" s="528">
        <f t="shared" si="416"/>
        <v>2.1483000000000008</v>
      </c>
      <c r="FB131" s="460">
        <f t="shared" si="417"/>
        <v>114265.60661705844</v>
      </c>
      <c r="FC131" s="173">
        <f t="shared" si="418"/>
        <v>118.08977511347503</v>
      </c>
      <c r="FD131" s="5">
        <f t="shared" si="419"/>
        <v>21.42</v>
      </c>
      <c r="FE131" s="173">
        <f t="shared" si="420"/>
        <v>0.15353762833161558</v>
      </c>
      <c r="FF131" s="5">
        <f t="shared" si="421"/>
        <v>15.353762833161557</v>
      </c>
      <c r="FI131" s="562">
        <f t="shared" si="422"/>
        <v>-50</v>
      </c>
      <c r="FJ131">
        <f t="shared" si="423"/>
        <v>-50</v>
      </c>
      <c r="FL131">
        <f t="shared" si="424"/>
        <v>0.32165262404834311</v>
      </c>
    </row>
    <row r="132" spans="5:168">
      <c r="E132" s="170">
        <v>22</v>
      </c>
      <c r="F132" s="217">
        <f t="shared" si="425"/>
        <v>0.13200000000000001</v>
      </c>
      <c r="G132" s="217"/>
      <c r="H132" s="217">
        <f t="shared" si="315"/>
        <v>22.44</v>
      </c>
      <c r="I132" s="541">
        <f t="shared" si="316"/>
        <v>8.4395002230152087</v>
      </c>
      <c r="J132" s="172">
        <f t="shared" si="317"/>
        <v>8.5256005354753412</v>
      </c>
      <c r="K132" s="172">
        <f t="shared" si="318"/>
        <v>16.96510075849055</v>
      </c>
      <c r="L132" s="443"/>
      <c r="M132" s="217">
        <f t="shared" si="319"/>
        <v>0.50253759738002779</v>
      </c>
      <c r="N132" s="172">
        <f t="shared" si="426"/>
        <v>142.51732037000289</v>
      </c>
      <c r="O132" s="172">
        <f t="shared" si="284"/>
        <v>22.44</v>
      </c>
      <c r="P132" s="217">
        <f t="shared" si="320"/>
        <v>0.8383371786470758</v>
      </c>
      <c r="Q132" s="217">
        <f t="shared" si="321"/>
        <v>170</v>
      </c>
      <c r="R132" s="217"/>
      <c r="S132" s="172">
        <f t="shared" si="322"/>
        <v>1962.4399147287363</v>
      </c>
      <c r="T132" s="172">
        <f t="shared" si="323"/>
        <v>170</v>
      </c>
      <c r="U132" s="217">
        <f t="shared" si="324"/>
        <v>10.613867444437933</v>
      </c>
      <c r="V132" s="217">
        <f t="shared" si="325"/>
        <v>0.62882085218109507</v>
      </c>
      <c r="W132" s="217">
        <f t="shared" si="326"/>
        <v>0.62247037028495733</v>
      </c>
      <c r="X132" s="197">
        <f t="shared" si="327"/>
        <v>350</v>
      </c>
      <c r="Y132" s="443">
        <f t="shared" si="328"/>
        <v>350</v>
      </c>
      <c r="AA132" s="217">
        <f t="shared" si="329"/>
        <v>24.23523398155994</v>
      </c>
      <c r="AB132" s="173">
        <f t="shared" si="330"/>
        <v>1.4213212242771771</v>
      </c>
      <c r="AC132" s="173">
        <f t="shared" si="331"/>
        <v>0.30140295879150297</v>
      </c>
      <c r="AD132" s="173"/>
      <c r="AE132" s="173">
        <f t="shared" si="332"/>
        <v>0.78195860091338065</v>
      </c>
      <c r="AF132" s="545">
        <f t="shared" si="333"/>
        <v>506.42067180723529</v>
      </c>
      <c r="AG132" s="528">
        <f t="shared" si="334"/>
        <v>9.1228503439894415E-2</v>
      </c>
      <c r="AI132" s="173">
        <f t="shared" si="335"/>
        <v>16.038377336396206</v>
      </c>
      <c r="AJ132" s="173">
        <f t="shared" si="336"/>
        <v>16.038377336396206</v>
      </c>
      <c r="AK132" s="173">
        <f t="shared" si="337"/>
        <v>3.2037362985650901</v>
      </c>
      <c r="AM132" s="545">
        <f t="shared" si="338"/>
        <v>132</v>
      </c>
      <c r="AN132" s="460">
        <f t="shared" si="339"/>
        <v>350</v>
      </c>
      <c r="AP132" s="460">
        <f t="shared" si="340"/>
        <v>132</v>
      </c>
      <c r="AQ132" s="460">
        <f t="shared" si="341"/>
        <v>350</v>
      </c>
      <c r="AS132" s="5">
        <f t="shared" si="285"/>
        <v>2.8571428571428572</v>
      </c>
      <c r="AT132" s="5">
        <f t="shared" si="342"/>
        <v>0.95019710365420895</v>
      </c>
      <c r="AU132" s="5">
        <f t="shared" si="343"/>
        <v>1.9069457534886483</v>
      </c>
      <c r="AV132" s="5"/>
      <c r="AW132" s="173">
        <f t="shared" si="344"/>
        <v>0.33256898627897313</v>
      </c>
      <c r="AX132" s="173">
        <f t="shared" si="214"/>
        <v>22.507585413654898</v>
      </c>
      <c r="AY132" s="173">
        <f t="shared" si="215"/>
        <v>0.26761276110178156</v>
      </c>
      <c r="AZ132" s="173">
        <f t="shared" si="288"/>
        <v>84.105052841985199</v>
      </c>
      <c r="BA132" s="460">
        <f t="shared" si="433"/>
        <v>7.378001040138564E-2</v>
      </c>
      <c r="BB132" s="5">
        <f t="shared" si="434"/>
        <v>8.1126818560347154</v>
      </c>
      <c r="BD132" s="173">
        <f t="shared" si="289"/>
        <v>5.339992817761039</v>
      </c>
      <c r="BE132" s="173">
        <f t="shared" si="218"/>
        <v>0.3782448255907464</v>
      </c>
      <c r="BG132" s="528">
        <f t="shared" si="347"/>
        <v>1.1406209317495792</v>
      </c>
      <c r="BH132" s="528">
        <f t="shared" si="348"/>
        <v>2.1427299141778922</v>
      </c>
      <c r="BI132" s="528">
        <f t="shared" si="349"/>
        <v>0.11815300312221293</v>
      </c>
      <c r="BJ132" s="528">
        <f t="shared" si="350"/>
        <v>2.0147025062201566E-2</v>
      </c>
      <c r="BK132">
        <f t="shared" si="351"/>
        <v>3.7977751003568437E-3</v>
      </c>
      <c r="BL132" s="460">
        <f t="shared" si="427"/>
        <v>121.95077822256977</v>
      </c>
      <c r="BM132" s="528">
        <f t="shared" si="352"/>
        <v>4.9540777226904176</v>
      </c>
      <c r="BN132" s="460">
        <f t="shared" si="353"/>
        <v>4954.0777226904174</v>
      </c>
      <c r="BO132" s="528">
        <f t="shared" si="354"/>
        <v>9.2399999999999996E-2</v>
      </c>
      <c r="BR132" s="460">
        <f t="shared" si="355"/>
        <v>92.399999999999991</v>
      </c>
      <c r="BS132" s="528">
        <f t="shared" si="356"/>
        <v>0.85546569881218437</v>
      </c>
      <c r="BT132" s="528">
        <f t="shared" si="357"/>
        <v>4.2920744425852244E-3</v>
      </c>
      <c r="BU132" s="528">
        <f t="shared" si="358"/>
        <v>118.0432566507568</v>
      </c>
      <c r="BV132" s="528"/>
      <c r="BW132" s="528">
        <f t="shared" si="359"/>
        <v>2.25075854136549</v>
      </c>
      <c r="BX132" s="460">
        <f t="shared" si="360"/>
        <v>121153.77296537705</v>
      </c>
      <c r="BY132" s="173">
        <f t="shared" si="361"/>
        <v>124.6716216145893</v>
      </c>
      <c r="BZ132" s="5">
        <f t="shared" si="362"/>
        <v>22.44</v>
      </c>
      <c r="CA132" s="173">
        <f t="shared" si="363"/>
        <v>0.15253723501729513</v>
      </c>
      <c r="CB132" s="5">
        <f t="shared" si="364"/>
        <v>15.253723501729514</v>
      </c>
      <c r="CE132" s="562">
        <f t="shared" si="365"/>
        <v>-50</v>
      </c>
      <c r="CF132">
        <f t="shared" si="366"/>
        <v>-50</v>
      </c>
      <c r="CG132" s="173">
        <f t="shared" si="367"/>
        <v>0.32970575116752388</v>
      </c>
      <c r="CI132" s="170">
        <v>22</v>
      </c>
      <c r="CJ132" s="217">
        <f t="shared" si="428"/>
        <v>0.13200000000000001</v>
      </c>
      <c r="CK132" s="217"/>
      <c r="CL132" s="217">
        <f t="shared" si="368"/>
        <v>22.44</v>
      </c>
      <c r="CM132" s="541">
        <f t="shared" si="369"/>
        <v>9</v>
      </c>
      <c r="CN132" s="443">
        <f t="shared" si="370"/>
        <v>8.5250000000000004</v>
      </c>
      <c r="CO132" s="443">
        <f t="shared" si="371"/>
        <v>17.524999999999999</v>
      </c>
      <c r="CP132" s="443"/>
      <c r="CQ132" s="217">
        <f t="shared" si="372"/>
        <v>0.48644793152639093</v>
      </c>
      <c r="CR132" s="172">
        <f t="shared" si="429"/>
        <v>147.11644793152644</v>
      </c>
      <c r="CS132" s="172">
        <f t="shared" si="373"/>
        <v>22.44</v>
      </c>
      <c r="CT132" s="217">
        <f t="shared" si="374"/>
        <v>0.86539087018544958</v>
      </c>
      <c r="CU132" s="217">
        <f t="shared" si="375"/>
        <v>170</v>
      </c>
      <c r="CV132" s="217"/>
      <c r="CW132" s="172">
        <f t="shared" si="376"/>
        <v>2092.7702676531512</v>
      </c>
      <c r="CX132" s="172">
        <f t="shared" si="377"/>
        <v>170</v>
      </c>
      <c r="CY132" s="217">
        <f t="shared" si="378"/>
        <v>10.251182795698924</v>
      </c>
      <c r="CZ132" s="217">
        <f t="shared" si="379"/>
        <v>0.56951015531660687</v>
      </c>
      <c r="DA132" s="217">
        <f t="shared" si="380"/>
        <v>0.60124239270961422</v>
      </c>
      <c r="DB132" s="197">
        <f t="shared" si="381"/>
        <v>350</v>
      </c>
      <c r="DC132" s="443">
        <f t="shared" si="382"/>
        <v>350</v>
      </c>
      <c r="DE132" s="217">
        <f t="shared" si="383"/>
        <v>25.017322192785819</v>
      </c>
      <c r="DF132" s="173">
        <f t="shared" si="384"/>
        <v>1.467291624210312</v>
      </c>
      <c r="DG132" s="173">
        <f t="shared" si="385"/>
        <v>0.32119243899439714</v>
      </c>
      <c r="DH132" s="173"/>
      <c r="DI132" s="173">
        <f t="shared" si="386"/>
        <v>0.78201368523949166</v>
      </c>
      <c r="DJ132" s="545">
        <f t="shared" si="387"/>
        <v>506.38499999999999</v>
      </c>
      <c r="DK132" s="528">
        <f t="shared" si="388"/>
        <v>9.1234929944607357E-2</v>
      </c>
      <c r="DM132" s="173">
        <f t="shared" si="389"/>
        <v>16.037812462160435</v>
      </c>
      <c r="DN132" s="173">
        <f t="shared" si="390"/>
        <v>16.037812462160435</v>
      </c>
      <c r="DO132" s="173">
        <f t="shared" si="391"/>
        <v>3.2033178732052594</v>
      </c>
      <c r="DQ132" s="545">
        <f t="shared" si="392"/>
        <v>132</v>
      </c>
      <c r="DR132" s="460">
        <f t="shared" si="393"/>
        <v>350</v>
      </c>
      <c r="DT132">
        <f t="shared" si="430"/>
        <v>132</v>
      </c>
      <c r="DU132">
        <f t="shared" si="431"/>
        <v>350</v>
      </c>
      <c r="DW132" s="5">
        <f t="shared" si="394"/>
        <v>2.8571428571428572</v>
      </c>
      <c r="DX132" s="5">
        <f t="shared" si="395"/>
        <v>0.89098958123113525</v>
      </c>
      <c r="DY132" s="5">
        <f t="shared" si="396"/>
        <v>1.966153275911722</v>
      </c>
      <c r="DZ132" s="5"/>
      <c r="EA132" s="173">
        <f t="shared" si="397"/>
        <v>0.31184635343089734</v>
      </c>
      <c r="EB132" s="173">
        <f t="shared" si="398"/>
        <v>22.505999999999997</v>
      </c>
      <c r="EC132" s="173">
        <f t="shared" si="399"/>
        <v>0.27591197822067759</v>
      </c>
      <c r="ED132" s="173">
        <f t="shared" si="400"/>
        <v>81.569492361797487</v>
      </c>
      <c r="EE132" s="460">
        <f t="shared" si="401"/>
        <v>6.9182720425005798E-2</v>
      </c>
      <c r="EF132" s="5">
        <f t="shared" si="402"/>
        <v>7.8436408020371626</v>
      </c>
      <c r="EH132" s="173">
        <f t="shared" si="403"/>
        <v>5.1707654514185712</v>
      </c>
      <c r="EI132" s="173">
        <f t="shared" si="404"/>
        <v>0.3840583533252433</v>
      </c>
      <c r="EK132" s="528">
        <f t="shared" si="405"/>
        <v>1.0694726141433559</v>
      </c>
      <c r="EL132" s="528">
        <f t="shared" si="406"/>
        <v>2.7052281352188556</v>
      </c>
      <c r="EM132" s="528">
        <f t="shared" si="407"/>
        <v>6.9999999999999993E-2</v>
      </c>
      <c r="EN132" s="528">
        <f t="shared" si="408"/>
        <v>2.1498793749999998E-2</v>
      </c>
      <c r="EO132">
        <f t="shared" si="409"/>
        <v>4.0499999999999998E-3</v>
      </c>
      <c r="EP132" s="460">
        <f t="shared" si="410"/>
        <v>74.05</v>
      </c>
      <c r="EQ132" s="460"/>
      <c r="ER132" s="460">
        <f t="shared" si="432"/>
        <v>3870.2495431122115</v>
      </c>
      <c r="ES132" s="528">
        <f t="shared" si="411"/>
        <v>9.2399999999999996E-2</v>
      </c>
      <c r="EV132" s="460">
        <f t="shared" si="412"/>
        <v>92.399999999999991</v>
      </c>
      <c r="EW132" s="528">
        <f t="shared" si="413"/>
        <v>0.80210446060751694</v>
      </c>
      <c r="EX132" s="528">
        <f t="shared" si="414"/>
        <v>4.4250245627669221E-3</v>
      </c>
      <c r="EY132" s="528">
        <f t="shared" si="415"/>
        <v>118.03286316897709</v>
      </c>
      <c r="EZ132" s="528"/>
      <c r="FA132" s="528">
        <f t="shared" si="416"/>
        <v>2.2505999999999999</v>
      </c>
      <c r="FB132" s="460">
        <f t="shared" si="417"/>
        <v>121089.99265414738</v>
      </c>
      <c r="FC132" s="173">
        <f t="shared" si="418"/>
        <v>125.05264219725959</v>
      </c>
      <c r="FD132" s="5">
        <f t="shared" si="419"/>
        <v>22.44</v>
      </c>
      <c r="FE132" s="173">
        <f t="shared" si="420"/>
        <v>0.15214318264085541</v>
      </c>
      <c r="FF132" s="5">
        <f t="shared" si="421"/>
        <v>15.214318264085541</v>
      </c>
      <c r="FI132" s="562">
        <f t="shared" si="422"/>
        <v>-50</v>
      </c>
      <c r="FJ132">
        <f t="shared" si="423"/>
        <v>-50</v>
      </c>
      <c r="FL132">
        <f t="shared" si="424"/>
        <v>0.3292219567012406</v>
      </c>
    </row>
    <row r="133" spans="5:168">
      <c r="E133" s="170">
        <v>23</v>
      </c>
      <c r="F133" s="217">
        <f t="shared" si="425"/>
        <v>0.13800000000000001</v>
      </c>
      <c r="G133" s="217"/>
      <c r="H133" s="217">
        <f t="shared" si="315"/>
        <v>23.46</v>
      </c>
      <c r="I133" s="541">
        <f t="shared" si="316"/>
        <v>8.4269031495462574</v>
      </c>
      <c r="J133" s="172">
        <f t="shared" si="317"/>
        <v>8.5256140323397727</v>
      </c>
      <c r="K133" s="172">
        <f t="shared" si="318"/>
        <v>16.95251718188603</v>
      </c>
      <c r="L133" s="443"/>
      <c r="M133" s="217">
        <f t="shared" si="319"/>
        <v>0.50291141954926433</v>
      </c>
      <c r="N133" s="172">
        <f t="shared" si="426"/>
        <v>142.41045035092498</v>
      </c>
      <c r="O133" s="172">
        <f t="shared" si="284"/>
        <v>23.46</v>
      </c>
      <c r="P133" s="217">
        <f t="shared" si="320"/>
        <v>0.83770853147602931</v>
      </c>
      <c r="Q133" s="217">
        <f t="shared" si="321"/>
        <v>170</v>
      </c>
      <c r="R133" s="217"/>
      <c r="S133" s="172">
        <f t="shared" si="322"/>
        <v>1866.9909137554121</v>
      </c>
      <c r="T133" s="172">
        <f t="shared" si="323"/>
        <v>170</v>
      </c>
      <c r="U133" s="217">
        <f t="shared" si="324"/>
        <v>11.10466065222165</v>
      </c>
      <c r="V133" s="217">
        <f t="shared" si="325"/>
        <v>0.65888146897829092</v>
      </c>
      <c r="W133" s="217">
        <f t="shared" si="326"/>
        <v>0.65125283704486925</v>
      </c>
      <c r="X133" s="197">
        <f t="shared" si="327"/>
        <v>350</v>
      </c>
      <c r="Y133" s="443">
        <f t="shared" si="328"/>
        <v>350</v>
      </c>
      <c r="AA133" s="217">
        <f t="shared" si="329"/>
        <v>24.217060585031014</v>
      </c>
      <c r="AB133" s="173">
        <f t="shared" si="330"/>
        <v>1.4202531625974202</v>
      </c>
      <c r="AC133" s="173">
        <f t="shared" si="331"/>
        <v>0.30095062274115675</v>
      </c>
      <c r="AD133" s="173"/>
      <c r="AE133" s="173">
        <f t="shared" si="332"/>
        <v>0.78195736299794283</v>
      </c>
      <c r="AF133" s="545">
        <f t="shared" si="333"/>
        <v>529.44063140829996</v>
      </c>
      <c r="AG133" s="528">
        <f t="shared" si="334"/>
        <v>9.1228359016426661E-2</v>
      </c>
      <c r="AI133" s="173">
        <f t="shared" si="335"/>
        <v>16.398848297280871</v>
      </c>
      <c r="AJ133" s="173">
        <f t="shared" si="336"/>
        <v>16.398848297280871</v>
      </c>
      <c r="AK133" s="173">
        <f t="shared" si="337"/>
        <v>3.4707518251463236</v>
      </c>
      <c r="AM133" s="545">
        <f t="shared" si="338"/>
        <v>138</v>
      </c>
      <c r="AN133" s="460">
        <f t="shared" si="339"/>
        <v>350</v>
      </c>
      <c r="AP133" s="460">
        <f t="shared" si="340"/>
        <v>138</v>
      </c>
      <c r="AQ133" s="460">
        <f t="shared" si="341"/>
        <v>350</v>
      </c>
      <c r="AS133" s="5">
        <f t="shared" si="285"/>
        <v>2.8571428571428572</v>
      </c>
      <c r="AT133" s="5">
        <f t="shared" si="342"/>
        <v>0.97300562295912119</v>
      </c>
      <c r="AU133" s="5">
        <f t="shared" si="343"/>
        <v>1.8841372341837359</v>
      </c>
      <c r="AV133" s="5"/>
      <c r="AW133" s="173">
        <f t="shared" si="344"/>
        <v>0.34055196803569243</v>
      </c>
      <c r="AX133" s="173">
        <f t="shared" ref="AX133:AX196" si="435">0.5*L*AJ133^2*AN133*1000</f>
        <v>23.530694729257778</v>
      </c>
      <c r="AY133" s="173">
        <f t="shared" ref="AY133:AY196" si="436">AJ133*Nps/2*(1-AW133)</f>
        <v>0.2703547059030777</v>
      </c>
      <c r="AZ133" s="173">
        <f t="shared" si="288"/>
        <v>87.036379302728122</v>
      </c>
      <c r="BA133" s="460">
        <f t="shared" si="433"/>
        <v>7.8985162334328674E-2</v>
      </c>
      <c r="BB133" s="5">
        <f t="shared" si="434"/>
        <v>8.3925226108868678</v>
      </c>
      <c r="BD133" s="173">
        <f t="shared" si="289"/>
        <v>5.5251543910497647</v>
      </c>
      <c r="BE133" s="173">
        <f t="shared" ref="BE133:BE196" si="437">AJ133*Nps*SQRT((1-AW133)/3)</f>
        <v>0.38442623083241673</v>
      </c>
      <c r="BG133" s="528">
        <f t="shared" si="347"/>
        <v>1.2210932417974598</v>
      </c>
      <c r="BH133" s="528">
        <f t="shared" si="348"/>
        <v>2.1892638404920217</v>
      </c>
      <c r="BI133" s="528">
        <f t="shared" si="349"/>
        <v>0.1179766440936476</v>
      </c>
      <c r="BJ133" s="528">
        <f t="shared" si="350"/>
        <v>2.0117148716149877E-2</v>
      </c>
      <c r="BK133">
        <f t="shared" si="351"/>
        <v>3.7921064172958159E-3</v>
      </c>
      <c r="BL133" s="460">
        <f t="shared" si="427"/>
        <v>121.76875051094341</v>
      </c>
      <c r="BM133" s="528">
        <f t="shared" si="352"/>
        <v>5.2969962085343036</v>
      </c>
      <c r="BN133" s="460">
        <f t="shared" si="353"/>
        <v>5296.9962085343041</v>
      </c>
      <c r="BO133" s="528">
        <f t="shared" si="354"/>
        <v>9.6600000000000005E-2</v>
      </c>
      <c r="BR133" s="460">
        <f t="shared" si="355"/>
        <v>96.600000000000009</v>
      </c>
      <c r="BS133" s="528">
        <f t="shared" si="356"/>
        <v>0.91581993134809481</v>
      </c>
      <c r="BT133" s="528">
        <f t="shared" si="357"/>
        <v>4.4335058085605561E-3</v>
      </c>
      <c r="BU133" s="528">
        <f t="shared" si="358"/>
        <v>124.78819013911044</v>
      </c>
      <c r="BV133" s="528"/>
      <c r="BW133" s="528">
        <f t="shared" si="359"/>
        <v>2.3530694729257777</v>
      </c>
      <c r="BX133" s="460">
        <f t="shared" si="360"/>
        <v>128061.51304919289</v>
      </c>
      <c r="BY133" s="173">
        <f t="shared" si="361"/>
        <v>131.71035603070945</v>
      </c>
      <c r="BZ133" s="5">
        <f t="shared" si="362"/>
        <v>23.46</v>
      </c>
      <c r="CA133" s="173">
        <f t="shared" si="363"/>
        <v>0.15118867160011593</v>
      </c>
      <c r="CB133" s="5">
        <f t="shared" si="364"/>
        <v>15.118867160011593</v>
      </c>
      <c r="CE133" s="562">
        <f t="shared" si="365"/>
        <v>-50</v>
      </c>
      <c r="CF133">
        <f t="shared" si="366"/>
        <v>-50</v>
      </c>
      <c r="CG133" s="173">
        <f t="shared" si="367"/>
        <v>0.33711579438455475</v>
      </c>
      <c r="CI133" s="170">
        <v>23</v>
      </c>
      <c r="CJ133" s="217">
        <f t="shared" si="428"/>
        <v>0.13800000000000001</v>
      </c>
      <c r="CK133" s="217"/>
      <c r="CL133" s="217">
        <f t="shared" si="368"/>
        <v>23.46</v>
      </c>
      <c r="CM133" s="541">
        <f t="shared" si="369"/>
        <v>9</v>
      </c>
      <c r="CN133" s="443">
        <f t="shared" si="370"/>
        <v>8.5250000000000004</v>
      </c>
      <c r="CO133" s="443">
        <f t="shared" si="371"/>
        <v>17.524999999999999</v>
      </c>
      <c r="CP133" s="443"/>
      <c r="CQ133" s="217">
        <f t="shared" si="372"/>
        <v>0.48644793152639093</v>
      </c>
      <c r="CR133" s="172">
        <f t="shared" si="429"/>
        <v>147.11644793152644</v>
      </c>
      <c r="CS133" s="172">
        <f t="shared" si="373"/>
        <v>23.46</v>
      </c>
      <c r="CT133" s="217">
        <f t="shared" si="374"/>
        <v>0.86539087018544958</v>
      </c>
      <c r="CU133" s="217">
        <f t="shared" si="375"/>
        <v>170</v>
      </c>
      <c r="CV133" s="217"/>
      <c r="CW133" s="172">
        <f t="shared" si="376"/>
        <v>1993.9581685159385</v>
      </c>
      <c r="CX133" s="172">
        <f t="shared" si="377"/>
        <v>170</v>
      </c>
      <c r="CY133" s="217">
        <f t="shared" si="378"/>
        <v>10.717145650048876</v>
      </c>
      <c r="CZ133" s="217">
        <f t="shared" si="379"/>
        <v>0.59539698055827084</v>
      </c>
      <c r="DA133" s="217">
        <f t="shared" si="380"/>
        <v>0.62857159237823312</v>
      </c>
      <c r="DB133" s="197">
        <f t="shared" si="381"/>
        <v>350</v>
      </c>
      <c r="DC133" s="443">
        <f t="shared" si="382"/>
        <v>350</v>
      </c>
      <c r="DE133" s="217">
        <f t="shared" si="383"/>
        <v>25.017322192785819</v>
      </c>
      <c r="DF133" s="173">
        <f t="shared" si="384"/>
        <v>1.467291624210312</v>
      </c>
      <c r="DG133" s="173">
        <f t="shared" si="385"/>
        <v>0.32119243899439714</v>
      </c>
      <c r="DH133" s="173"/>
      <c r="DI133" s="173">
        <f t="shared" si="386"/>
        <v>0.78201368523949166</v>
      </c>
      <c r="DJ133" s="545">
        <f t="shared" si="387"/>
        <v>529.40250000000003</v>
      </c>
      <c r="DK133" s="528">
        <f t="shared" si="388"/>
        <v>9.1234929944607357E-2</v>
      </c>
      <c r="DM133" s="173">
        <f t="shared" si="389"/>
        <v>16.398257747177205</v>
      </c>
      <c r="DN133" s="173">
        <f t="shared" si="390"/>
        <v>16.398257747177205</v>
      </c>
      <c r="DO133" s="173">
        <f t="shared" si="391"/>
        <v>3.4703143806250889</v>
      </c>
      <c r="DQ133" s="545">
        <f t="shared" si="392"/>
        <v>138</v>
      </c>
      <c r="DR133" s="460">
        <f t="shared" si="393"/>
        <v>350</v>
      </c>
      <c r="DT133">
        <f t="shared" si="430"/>
        <v>138</v>
      </c>
      <c r="DU133">
        <f t="shared" si="431"/>
        <v>350</v>
      </c>
      <c r="DW133" s="5">
        <f t="shared" si="394"/>
        <v>2.8571428571428572</v>
      </c>
      <c r="DX133" s="5">
        <f t="shared" si="395"/>
        <v>0.91101431928762244</v>
      </c>
      <c r="DY133" s="5">
        <f t="shared" si="396"/>
        <v>1.9461285378552349</v>
      </c>
      <c r="DZ133" s="5"/>
      <c r="EA133" s="173">
        <f t="shared" si="397"/>
        <v>0.31885501175066783</v>
      </c>
      <c r="EB133" s="173">
        <f t="shared" si="398"/>
        <v>23.529000000000003</v>
      </c>
      <c r="EC133" s="173">
        <f t="shared" si="399"/>
        <v>0.27923977701276342</v>
      </c>
      <c r="ED133" s="173">
        <f t="shared" si="400"/>
        <v>84.260918167559439</v>
      </c>
      <c r="EE133" s="460">
        <f t="shared" si="401"/>
        <v>7.3952927095112891E-2</v>
      </c>
      <c r="EF133" s="5">
        <f t="shared" si="402"/>
        <v>8.1166534218815674</v>
      </c>
      <c r="EH133" s="173">
        <f t="shared" si="403"/>
        <v>5.3460584756146554</v>
      </c>
      <c r="EI133" s="173">
        <f t="shared" si="404"/>
        <v>0.3906851177405995</v>
      </c>
      <c r="EK133" s="528">
        <f t="shared" si="405"/>
        <v>1.1432136489876517</v>
      </c>
      <c r="EL133" s="528">
        <f t="shared" si="406"/>
        <v>2.7660273700605744</v>
      </c>
      <c r="EM133" s="528">
        <f t="shared" si="407"/>
        <v>6.9999999999999993E-2</v>
      </c>
      <c r="EN133" s="528">
        <f t="shared" si="408"/>
        <v>2.1498793749999998E-2</v>
      </c>
      <c r="EO133">
        <f t="shared" si="409"/>
        <v>4.0499999999999998E-3</v>
      </c>
      <c r="EP133" s="460">
        <f t="shared" si="410"/>
        <v>74.05</v>
      </c>
      <c r="EQ133" s="460"/>
      <c r="ER133" s="460">
        <f t="shared" si="432"/>
        <v>4004.7898127982257</v>
      </c>
      <c r="ES133" s="528">
        <f t="shared" si="411"/>
        <v>9.6600000000000005E-2</v>
      </c>
      <c r="EV133" s="460">
        <f t="shared" si="412"/>
        <v>96.600000000000009</v>
      </c>
      <c r="EW133" s="528">
        <f t="shared" si="413"/>
        <v>0.85741023674073868</v>
      </c>
      <c r="EX133" s="528">
        <f t="shared" si="414"/>
        <v>4.5790458367195828E-3</v>
      </c>
      <c r="EY133" s="528">
        <f t="shared" si="415"/>
        <v>124.77695586111049</v>
      </c>
      <c r="EZ133" s="528"/>
      <c r="FA133" s="528">
        <f t="shared" si="416"/>
        <v>2.3529000000000009</v>
      </c>
      <c r="FB133" s="460">
        <f t="shared" si="417"/>
        <v>127991.84514368795</v>
      </c>
      <c r="FC133" s="173">
        <f t="shared" si="418"/>
        <v>132.09323495648619</v>
      </c>
      <c r="FD133" s="5">
        <f t="shared" si="419"/>
        <v>23.46</v>
      </c>
      <c r="FE133" s="173">
        <f t="shared" si="420"/>
        <v>0.15081653561600697</v>
      </c>
      <c r="FF133" s="5">
        <f t="shared" si="421"/>
        <v>15.081653561600698</v>
      </c>
      <c r="FI133" s="562">
        <f t="shared" si="422"/>
        <v>-50</v>
      </c>
      <c r="FJ133">
        <f t="shared" si="423"/>
        <v>-50</v>
      </c>
      <c r="FL133">
        <f t="shared" si="424"/>
        <v>0.33662112677489858</v>
      </c>
    </row>
    <row r="134" spans="5:168">
      <c r="E134" s="170">
        <v>24</v>
      </c>
      <c r="F134" s="217">
        <f t="shared" si="425"/>
        <v>0.14399999999999999</v>
      </c>
      <c r="G134" s="217"/>
      <c r="H134" s="217">
        <f t="shared" si="315"/>
        <v>24.479999999999997</v>
      </c>
      <c r="I134" s="541">
        <f t="shared" si="316"/>
        <v>8.4145770759527778</v>
      </c>
      <c r="J134" s="172">
        <f t="shared" si="317"/>
        <v>8.5256272388471928</v>
      </c>
      <c r="K134" s="172">
        <f t="shared" si="318"/>
        <v>16.940204314799971</v>
      </c>
      <c r="L134" s="443"/>
      <c r="M134" s="217">
        <f t="shared" si="319"/>
        <v>0.50327773728466252</v>
      </c>
      <c r="N134" s="172">
        <f t="shared" si="426"/>
        <v>142.3057250803983</v>
      </c>
      <c r="O134" s="172">
        <f t="shared" ref="O134:O197" si="438">T134*F134</f>
        <v>24.479999999999997</v>
      </c>
      <c r="P134" s="217">
        <f t="shared" si="320"/>
        <v>0.83709250047293116</v>
      </c>
      <c r="Q134" s="217">
        <f t="shared" si="321"/>
        <v>170</v>
      </c>
      <c r="R134" s="217"/>
      <c r="S134" s="172">
        <f t="shared" si="322"/>
        <v>1779.5744969891332</v>
      </c>
      <c r="T134" s="172">
        <f t="shared" si="323"/>
        <v>170</v>
      </c>
      <c r="U134" s="217">
        <f t="shared" si="324"/>
        <v>11.596017397152483</v>
      </c>
      <c r="V134" s="217">
        <f t="shared" si="325"/>
        <v>0.6890433881871284</v>
      </c>
      <c r="W134" s="217">
        <f t="shared" si="326"/>
        <v>0.68006828543447184</v>
      </c>
      <c r="X134" s="197">
        <f t="shared" si="327"/>
        <v>350</v>
      </c>
      <c r="Y134" s="443">
        <f t="shared" si="328"/>
        <v>350</v>
      </c>
      <c r="AA134" s="217">
        <f t="shared" si="329"/>
        <v>24.199251906119905</v>
      </c>
      <c r="AB134" s="173">
        <f t="shared" si="330"/>
        <v>1.419206542121354</v>
      </c>
      <c r="AC134" s="173">
        <f t="shared" si="331"/>
        <v>0.30050769542157013</v>
      </c>
      <c r="AD134" s="173"/>
      <c r="AE134" s="173">
        <f t="shared" si="332"/>
        <v>0.78195615171747901</v>
      </c>
      <c r="AF134" s="545">
        <f t="shared" si="333"/>
        <v>552.46064507729795</v>
      </c>
      <c r="AG134" s="528">
        <f t="shared" si="334"/>
        <v>9.1228217700372552E-2</v>
      </c>
      <c r="AI134" s="173">
        <f t="shared" si="335"/>
        <v>16.751565026376291</v>
      </c>
      <c r="AJ134" s="173">
        <f t="shared" si="336"/>
        <v>16.751565026376291</v>
      </c>
      <c r="AK134" s="173">
        <f t="shared" si="337"/>
        <v>3.7320234763281164</v>
      </c>
      <c r="AM134" s="545">
        <f t="shared" si="338"/>
        <v>144</v>
      </c>
      <c r="AN134" s="460">
        <f t="shared" si="339"/>
        <v>350</v>
      </c>
      <c r="AP134" s="460">
        <f t="shared" si="340"/>
        <v>144</v>
      </c>
      <c r="AQ134" s="460">
        <f t="shared" si="341"/>
        <v>350</v>
      </c>
      <c r="AS134" s="5">
        <f t="shared" ref="AS134:AS197" si="439">1/AN134*1000</f>
        <v>2.8571428571428572</v>
      </c>
      <c r="AT134" s="5">
        <f t="shared" si="342"/>
        <v>0.99538960040243718</v>
      </c>
      <c r="AU134" s="5">
        <f t="shared" si="343"/>
        <v>1.86175325674042</v>
      </c>
      <c r="AV134" s="5"/>
      <c r="AW134" s="173">
        <f t="shared" si="344"/>
        <v>0.348386360140853</v>
      </c>
      <c r="AX134" s="173">
        <f t="shared" si="435"/>
        <v>24.553806447879907</v>
      </c>
      <c r="AY134" s="173">
        <f t="shared" si="436"/>
        <v>0.27288870650435609</v>
      </c>
      <c r="AZ134" s="173">
        <f t="shared" ref="AZ134:AZ197" si="440">AX134/AY134</f>
        <v>89.977363894639439</v>
      </c>
      <c r="BA134" s="460">
        <f t="shared" si="433"/>
        <v>8.4315354387029973E-2</v>
      </c>
      <c r="BB134" s="5">
        <f t="shared" si="434"/>
        <v>8.6660507000884461</v>
      </c>
      <c r="BD134" s="173">
        <f t="shared" ref="BD134:BD197" si="441">AJ134*SQRT(AW134/3)</f>
        <v>5.708543724221788</v>
      </c>
      <c r="BE134" s="173">
        <f t="shared" si="437"/>
        <v>0.39035509099499971</v>
      </c>
      <c r="BG134" s="528">
        <f t="shared" si="347"/>
        <v>1.3034988580540785</v>
      </c>
      <c r="BH134" s="528">
        <f t="shared" si="348"/>
        <v>2.2347276063483412</v>
      </c>
      <c r="BI134" s="528">
        <f t="shared" si="349"/>
        <v>0.11780407906333888</v>
      </c>
      <c r="BJ134" s="528">
        <f t="shared" si="350"/>
        <v>2.0087936555901728E-2</v>
      </c>
      <c r="BK134">
        <f t="shared" si="351"/>
        <v>3.7865596841787498E-3</v>
      </c>
      <c r="BL134" s="460">
        <f t="shared" si="427"/>
        <v>121.59063874751763</v>
      </c>
      <c r="BM134" s="528">
        <f t="shared" si="352"/>
        <v>5.664672266922155</v>
      </c>
      <c r="BN134" s="460">
        <f t="shared" si="353"/>
        <v>5664.6722669221554</v>
      </c>
      <c r="BO134" s="528">
        <f t="shared" si="354"/>
        <v>0.10079999999999999</v>
      </c>
      <c r="BR134" s="460">
        <f t="shared" si="355"/>
        <v>100.79999999999998</v>
      </c>
      <c r="BS134" s="528">
        <f t="shared" si="356"/>
        <v>0.97762414354055871</v>
      </c>
      <c r="BT134" s="528">
        <f t="shared" si="357"/>
        <v>4.5713129119714351E-3</v>
      </c>
      <c r="BU134" s="528">
        <f t="shared" si="358"/>
        <v>131.60687714710937</v>
      </c>
      <c r="BV134" s="528"/>
      <c r="BW134" s="528">
        <f t="shared" si="359"/>
        <v>2.4553806447879913</v>
      </c>
      <c r="BX134" s="460">
        <f t="shared" si="360"/>
        <v>135044.45324834989</v>
      </c>
      <c r="BY134" s="173">
        <f t="shared" si="361"/>
        <v>138.82515828805575</v>
      </c>
      <c r="BZ134" s="5">
        <f t="shared" si="362"/>
        <v>24.479999999999997</v>
      </c>
      <c r="CA134" s="173">
        <f t="shared" si="363"/>
        <v>0.14990340940008434</v>
      </c>
      <c r="CB134" s="5">
        <f t="shared" si="364"/>
        <v>14.990340940008434</v>
      </c>
      <c r="CE134" s="562">
        <f t="shared" si="365"/>
        <v>-50</v>
      </c>
      <c r="CF134">
        <f t="shared" si="366"/>
        <v>-50</v>
      </c>
      <c r="CG134" s="173">
        <f t="shared" si="367"/>
        <v>0.34436642591013084</v>
      </c>
      <c r="CI134" s="170">
        <v>24</v>
      </c>
      <c r="CJ134" s="217">
        <f t="shared" si="428"/>
        <v>0.14399999999999999</v>
      </c>
      <c r="CK134" s="217"/>
      <c r="CL134" s="217">
        <f t="shared" si="368"/>
        <v>24.479999999999997</v>
      </c>
      <c r="CM134" s="541">
        <f t="shared" si="369"/>
        <v>9</v>
      </c>
      <c r="CN134" s="443">
        <f t="shared" si="370"/>
        <v>8.5250000000000004</v>
      </c>
      <c r="CO134" s="443">
        <f t="shared" si="371"/>
        <v>17.524999999999999</v>
      </c>
      <c r="CP134" s="443"/>
      <c r="CQ134" s="217">
        <f t="shared" si="372"/>
        <v>0.48644793152639093</v>
      </c>
      <c r="CR134" s="172">
        <f t="shared" si="429"/>
        <v>147.11644793152644</v>
      </c>
      <c r="CS134" s="172">
        <f t="shared" si="373"/>
        <v>24.479999999999997</v>
      </c>
      <c r="CT134" s="217">
        <f t="shared" si="374"/>
        <v>0.86539087018544958</v>
      </c>
      <c r="CU134" s="217">
        <f t="shared" si="375"/>
        <v>170</v>
      </c>
      <c r="CV134" s="217"/>
      <c r="CW134" s="172">
        <f t="shared" si="376"/>
        <v>1903.3806052051909</v>
      </c>
      <c r="CX134" s="172">
        <f t="shared" si="377"/>
        <v>170</v>
      </c>
      <c r="CY134" s="217">
        <f t="shared" si="378"/>
        <v>11.183108504398824</v>
      </c>
      <c r="CZ134" s="217">
        <f t="shared" si="379"/>
        <v>0.62128380579993459</v>
      </c>
      <c r="DA134" s="217">
        <f t="shared" si="380"/>
        <v>0.65590079204685181</v>
      </c>
      <c r="DB134" s="197">
        <f t="shared" si="381"/>
        <v>350</v>
      </c>
      <c r="DC134" s="443">
        <f t="shared" si="382"/>
        <v>350</v>
      </c>
      <c r="DE134" s="217">
        <f t="shared" si="383"/>
        <v>25.017322192785819</v>
      </c>
      <c r="DF134" s="173">
        <f t="shared" si="384"/>
        <v>1.467291624210312</v>
      </c>
      <c r="DG134" s="173">
        <f t="shared" si="385"/>
        <v>0.32119243899439714</v>
      </c>
      <c r="DH134" s="173"/>
      <c r="DI134" s="173">
        <f t="shared" si="386"/>
        <v>0.78201368523949166</v>
      </c>
      <c r="DJ134" s="545">
        <f t="shared" si="387"/>
        <v>552.41999999999996</v>
      </c>
      <c r="DK134" s="528">
        <f t="shared" si="388"/>
        <v>9.1234929944607357E-2</v>
      </c>
      <c r="DM134" s="173">
        <f t="shared" si="389"/>
        <v>16.750948800419806</v>
      </c>
      <c r="DN134" s="173">
        <f t="shared" si="390"/>
        <v>16.750948800419806</v>
      </c>
      <c r="DO134" s="173">
        <f t="shared" si="391"/>
        <v>3.7315670126566465</v>
      </c>
      <c r="DQ134" s="545">
        <f t="shared" si="392"/>
        <v>144</v>
      </c>
      <c r="DR134" s="460">
        <f t="shared" si="393"/>
        <v>350</v>
      </c>
      <c r="DT134">
        <f t="shared" si="430"/>
        <v>144</v>
      </c>
      <c r="DU134">
        <f t="shared" si="431"/>
        <v>350</v>
      </c>
      <c r="DW134" s="5">
        <f t="shared" si="394"/>
        <v>2.8571428571428572</v>
      </c>
      <c r="DX134" s="5">
        <f t="shared" si="395"/>
        <v>0.93060826668998931</v>
      </c>
      <c r="DY134" s="5">
        <f t="shared" si="396"/>
        <v>1.9265345904528679</v>
      </c>
      <c r="DZ134" s="5"/>
      <c r="EA134" s="173">
        <f t="shared" si="397"/>
        <v>0.32571289334149622</v>
      </c>
      <c r="EB134" s="173">
        <f t="shared" si="398"/>
        <v>24.552</v>
      </c>
      <c r="EC134" s="173">
        <f t="shared" si="399"/>
        <v>0.28237372001049516</v>
      </c>
      <c r="ED134" s="173">
        <f t="shared" si="400"/>
        <v>86.94860130428377</v>
      </c>
      <c r="EE134" s="460">
        <f t="shared" si="401"/>
        <v>7.8827994354916733E-2</v>
      </c>
      <c r="EF134" s="5">
        <f t="shared" si="402"/>
        <v>8.3842785376508804</v>
      </c>
      <c r="EH134" s="173">
        <f t="shared" si="403"/>
        <v>5.51945579005426</v>
      </c>
      <c r="EI134" s="173">
        <f t="shared" si="404"/>
        <v>0.39707378518691305</v>
      </c>
      <c r="EK134" s="528">
        <f t="shared" si="405"/>
        <v>1.2185756887345398</v>
      </c>
      <c r="EL134" s="528">
        <f t="shared" si="406"/>
        <v>2.8255186356258122</v>
      </c>
      <c r="EM134" s="528">
        <f t="shared" si="407"/>
        <v>6.9999999999999993E-2</v>
      </c>
      <c r="EN134" s="528">
        <f t="shared" si="408"/>
        <v>2.1498793749999998E-2</v>
      </c>
      <c r="EO134">
        <f t="shared" si="409"/>
        <v>4.0499999999999998E-3</v>
      </c>
      <c r="EP134" s="460">
        <f t="shared" si="410"/>
        <v>74.05</v>
      </c>
      <c r="EQ134" s="460"/>
      <c r="ER134" s="460">
        <f t="shared" si="432"/>
        <v>4139.6431181103526</v>
      </c>
      <c r="ES134" s="528">
        <f t="shared" si="411"/>
        <v>0.10079999999999999</v>
      </c>
      <c r="EV134" s="460">
        <f t="shared" si="412"/>
        <v>100.79999999999998</v>
      </c>
      <c r="EW134" s="528">
        <f t="shared" si="413"/>
        <v>0.9139317665509048</v>
      </c>
      <c r="EX134" s="528">
        <f t="shared" si="414"/>
        <v>4.7300277264798827E-3</v>
      </c>
      <c r="EY134" s="528">
        <f t="shared" si="415"/>
        <v>131.59477419790298</v>
      </c>
      <c r="EZ134" s="528"/>
      <c r="FA134" s="528">
        <f t="shared" si="416"/>
        <v>2.4552</v>
      </c>
      <c r="FB134" s="460">
        <f t="shared" si="417"/>
        <v>134968.63599218038</v>
      </c>
      <c r="FC134" s="173">
        <f t="shared" si="418"/>
        <v>139.2090791102907</v>
      </c>
      <c r="FD134" s="5">
        <f t="shared" si="419"/>
        <v>24.479999999999997</v>
      </c>
      <c r="FE134" s="173">
        <f t="shared" si="420"/>
        <v>0.14955182186287347</v>
      </c>
      <c r="FF134" s="5">
        <f t="shared" si="421"/>
        <v>14.955182186287347</v>
      </c>
      <c r="FI134" s="562">
        <f t="shared" si="422"/>
        <v>-50</v>
      </c>
      <c r="FJ134">
        <f t="shared" si="423"/>
        <v>-50</v>
      </c>
      <c r="FL134">
        <f t="shared" si="424"/>
        <v>0.34386111907020128</v>
      </c>
    </row>
    <row r="135" spans="5:168">
      <c r="E135" s="170">
        <v>25</v>
      </c>
      <c r="F135" s="217">
        <f t="shared" si="425"/>
        <v>0.15</v>
      </c>
      <c r="G135" s="217"/>
      <c r="H135" s="217">
        <f t="shared" si="315"/>
        <v>25.5</v>
      </c>
      <c r="I135" s="541">
        <f t="shared" si="316"/>
        <v>8.4025052301484138</v>
      </c>
      <c r="J135" s="172">
        <f t="shared" si="317"/>
        <v>8.525640172967698</v>
      </c>
      <c r="K135" s="172">
        <f t="shared" si="318"/>
        <v>16.928145403116112</v>
      </c>
      <c r="L135" s="443"/>
      <c r="M135" s="217">
        <f t="shared" si="319"/>
        <v>0.50363701615810996</v>
      </c>
      <c r="N135" s="172">
        <f t="shared" si="426"/>
        <v>142.20301149766721</v>
      </c>
      <c r="O135" s="172">
        <f t="shared" si="438"/>
        <v>25.5</v>
      </c>
      <c r="P135" s="217">
        <f t="shared" si="320"/>
        <v>0.83648830292745413</v>
      </c>
      <c r="Q135" s="217">
        <f t="shared" si="321"/>
        <v>170</v>
      </c>
      <c r="R135" s="217"/>
      <c r="S135" s="172">
        <f t="shared" si="322"/>
        <v>1699.2227144390413</v>
      </c>
      <c r="T135" s="172">
        <f t="shared" si="323"/>
        <v>170</v>
      </c>
      <c r="U135" s="217">
        <f t="shared" si="324"/>
        <v>12.087927978753591</v>
      </c>
      <c r="V135" s="217">
        <f t="shared" si="325"/>
        <v>0.7193049958113551</v>
      </c>
      <c r="W135" s="217">
        <f t="shared" si="326"/>
        <v>0.70891614785015555</v>
      </c>
      <c r="X135" s="197">
        <f t="shared" si="327"/>
        <v>350</v>
      </c>
      <c r="Y135" s="443">
        <f t="shared" si="328"/>
        <v>350</v>
      </c>
      <c r="AA135" s="217">
        <f t="shared" si="329"/>
        <v>24.181785317651332</v>
      </c>
      <c r="AB135" s="173">
        <f t="shared" si="330"/>
        <v>1.4181800326457989</v>
      </c>
      <c r="AC135" s="173">
        <f t="shared" si="331"/>
        <v>0.30007359454817906</v>
      </c>
      <c r="AD135" s="173"/>
      <c r="AE135" s="173">
        <f t="shared" si="332"/>
        <v>0.78195496542355958</v>
      </c>
      <c r="AF135" s="545">
        <f t="shared" si="333"/>
        <v>575.48071167531964</v>
      </c>
      <c r="AG135" s="528">
        <f t="shared" si="334"/>
        <v>9.1228079299415288E-2</v>
      </c>
      <c r="AI135" s="173">
        <f t="shared" si="335"/>
        <v>17.097007430342252</v>
      </c>
      <c r="AJ135" s="173">
        <f t="shared" si="336"/>
        <v>17.097007430342252</v>
      </c>
      <c r="AK135" s="173">
        <f t="shared" si="337"/>
        <v>3.9879067385251243</v>
      </c>
      <c r="AM135" s="545">
        <f t="shared" si="338"/>
        <v>150</v>
      </c>
      <c r="AN135" s="460">
        <f t="shared" si="339"/>
        <v>350</v>
      </c>
      <c r="AP135" s="460">
        <f t="shared" si="340"/>
        <v>150</v>
      </c>
      <c r="AQ135" s="460">
        <f t="shared" si="341"/>
        <v>350</v>
      </c>
      <c r="AS135" s="5">
        <f t="shared" si="439"/>
        <v>2.8571428571428572</v>
      </c>
      <c r="AT135" s="5">
        <f t="shared" si="342"/>
        <v>1.0173755899013148</v>
      </c>
      <c r="AU135" s="5">
        <f t="shared" si="343"/>
        <v>1.8397672672415424</v>
      </c>
      <c r="AV135" s="5"/>
      <c r="AW135" s="173">
        <f t="shared" si="344"/>
        <v>0.35608145646546019</v>
      </c>
      <c r="AX135" s="173">
        <f t="shared" si="435"/>
        <v>25.576920518903087</v>
      </c>
      <c r="AY135" s="173">
        <f t="shared" si="436"/>
        <v>0.27522700308362968</v>
      </c>
      <c r="AZ135" s="173">
        <f t="shared" si="440"/>
        <v>92.930272946842209</v>
      </c>
      <c r="BA135" s="460">
        <f t="shared" si="433"/>
        <v>8.9768434403057179E-2</v>
      </c>
      <c r="BB135" s="5">
        <f t="shared" si="434"/>
        <v>8.9333481440902478</v>
      </c>
      <c r="BD135" s="173">
        <f t="shared" si="441"/>
        <v>5.8902557500534245</v>
      </c>
      <c r="BE135" s="173">
        <f t="shared" si="437"/>
        <v>0.39604537268481615</v>
      </c>
      <c r="BG135" s="528">
        <f t="shared" si="347"/>
        <v>1.3878045120414972</v>
      </c>
      <c r="BH135" s="528">
        <f t="shared" si="348"/>
        <v>2.279187443444548</v>
      </c>
      <c r="BI135" s="528">
        <f t="shared" si="349"/>
        <v>0.11763507322207779</v>
      </c>
      <c r="BJ135" s="528">
        <f t="shared" si="350"/>
        <v>2.0059347475232883E-2</v>
      </c>
      <c r="BK135">
        <f t="shared" si="351"/>
        <v>3.7811273535667861E-3</v>
      </c>
      <c r="BL135" s="460">
        <f t="shared" si="427"/>
        <v>121.41620057564458</v>
      </c>
      <c r="BM135" s="528">
        <f t="shared" si="352"/>
        <v>6.0599957847590336</v>
      </c>
      <c r="BN135" s="460">
        <f t="shared" si="353"/>
        <v>6059.995784759034</v>
      </c>
      <c r="BO135" s="528">
        <f t="shared" si="354"/>
        <v>0.105</v>
      </c>
      <c r="BR135" s="460">
        <f t="shared" si="355"/>
        <v>105</v>
      </c>
      <c r="BS135" s="528">
        <f t="shared" si="356"/>
        <v>1.0408533840311229</v>
      </c>
      <c r="BT135" s="528">
        <f t="shared" si="357"/>
        <v>4.7055581167516477E-3</v>
      </c>
      <c r="BU135" s="528">
        <f t="shared" si="358"/>
        <v>138.497000034286</v>
      </c>
      <c r="BV135" s="528"/>
      <c r="BW135" s="528">
        <f t="shared" si="359"/>
        <v>2.5576920518903092</v>
      </c>
      <c r="BX135" s="460">
        <f t="shared" si="360"/>
        <v>142100.25102832419</v>
      </c>
      <c r="BY135" s="173">
        <f t="shared" si="361"/>
        <v>146.01371853186112</v>
      </c>
      <c r="BZ135" s="5">
        <f t="shared" si="362"/>
        <v>25.5</v>
      </c>
      <c r="CA135" s="173">
        <f t="shared" si="363"/>
        <v>0.14867615382767771</v>
      </c>
      <c r="CB135" s="5">
        <f t="shared" si="364"/>
        <v>14.86761538276777</v>
      </c>
      <c r="CE135" s="562">
        <f t="shared" si="365"/>
        <v>-50</v>
      </c>
      <c r="CF135">
        <f t="shared" si="366"/>
        <v>-50</v>
      </c>
      <c r="CG135" s="173">
        <f t="shared" si="367"/>
        <v>0.35146751167740364</v>
      </c>
      <c r="CI135" s="170">
        <v>25</v>
      </c>
      <c r="CJ135" s="217">
        <f t="shared" si="428"/>
        <v>0.15</v>
      </c>
      <c r="CK135" s="217"/>
      <c r="CL135" s="217">
        <f t="shared" si="368"/>
        <v>25.5</v>
      </c>
      <c r="CM135" s="541">
        <f t="shared" si="369"/>
        <v>9</v>
      </c>
      <c r="CN135" s="443">
        <f t="shared" si="370"/>
        <v>8.5250000000000004</v>
      </c>
      <c r="CO135" s="443">
        <f t="shared" si="371"/>
        <v>17.524999999999999</v>
      </c>
      <c r="CP135" s="443"/>
      <c r="CQ135" s="217">
        <f t="shared" si="372"/>
        <v>0.48644793152639093</v>
      </c>
      <c r="CR135" s="172">
        <f t="shared" si="429"/>
        <v>147.11644793152644</v>
      </c>
      <c r="CS135" s="172">
        <f t="shared" si="373"/>
        <v>25.5</v>
      </c>
      <c r="CT135" s="217">
        <f t="shared" si="374"/>
        <v>0.86539087018544958</v>
      </c>
      <c r="CU135" s="217">
        <f t="shared" si="375"/>
        <v>170</v>
      </c>
      <c r="CV135" s="217"/>
      <c r="CW135" s="172">
        <f t="shared" si="376"/>
        <v>1820.0494356254435</v>
      </c>
      <c r="CX135" s="172">
        <f t="shared" si="377"/>
        <v>170</v>
      </c>
      <c r="CY135" s="217">
        <f t="shared" si="378"/>
        <v>11.649071358748778</v>
      </c>
      <c r="CZ135" s="217">
        <f t="shared" si="379"/>
        <v>0.64717063104159878</v>
      </c>
      <c r="DA135" s="217">
        <f t="shared" si="380"/>
        <v>0.68322999171547072</v>
      </c>
      <c r="DB135" s="197">
        <f t="shared" si="381"/>
        <v>350</v>
      </c>
      <c r="DC135" s="443">
        <f t="shared" si="382"/>
        <v>350</v>
      </c>
      <c r="DE135" s="217">
        <f t="shared" si="383"/>
        <v>25.017322192785819</v>
      </c>
      <c r="DF135" s="173">
        <f t="shared" si="384"/>
        <v>1.467291624210312</v>
      </c>
      <c r="DG135" s="173">
        <f t="shared" si="385"/>
        <v>0.32119243899439714</v>
      </c>
      <c r="DH135" s="173"/>
      <c r="DI135" s="173">
        <f t="shared" si="386"/>
        <v>0.78201368523949166</v>
      </c>
      <c r="DJ135" s="545">
        <f t="shared" si="387"/>
        <v>575.4375</v>
      </c>
      <c r="DK135" s="528">
        <f t="shared" si="388"/>
        <v>9.1234929944607357E-2</v>
      </c>
      <c r="DM135" s="173">
        <f t="shared" si="389"/>
        <v>17.096365528547707</v>
      </c>
      <c r="DN135" s="173">
        <f t="shared" si="390"/>
        <v>17.096365528547707</v>
      </c>
      <c r="DO135" s="173">
        <f t="shared" si="391"/>
        <v>3.987431255714351</v>
      </c>
      <c r="DQ135" s="545">
        <f t="shared" si="392"/>
        <v>150</v>
      </c>
      <c r="DR135" s="460">
        <f t="shared" si="393"/>
        <v>350</v>
      </c>
      <c r="DT135">
        <f t="shared" si="430"/>
        <v>150</v>
      </c>
      <c r="DU135">
        <f t="shared" si="431"/>
        <v>350</v>
      </c>
      <c r="DW135" s="5">
        <f t="shared" si="394"/>
        <v>2.8571428571428572</v>
      </c>
      <c r="DX135" s="5">
        <f t="shared" si="395"/>
        <v>0.94979808491931705</v>
      </c>
      <c r="DY135" s="5">
        <f t="shared" si="396"/>
        <v>1.9073447722235402</v>
      </c>
      <c r="DZ135" s="5"/>
      <c r="EA135" s="173">
        <f t="shared" si="397"/>
        <v>0.33242932972176098</v>
      </c>
      <c r="EB135" s="173">
        <f t="shared" si="398"/>
        <v>25.575000000000003</v>
      </c>
      <c r="EC135" s="173">
        <f t="shared" si="399"/>
        <v>0.28532580488035936</v>
      </c>
      <c r="ED135" s="173">
        <f t="shared" si="400"/>
        <v>89.634374327705544</v>
      </c>
      <c r="EE135" s="460">
        <f t="shared" si="401"/>
        <v>8.3805713375233848E-2</v>
      </c>
      <c r="EF135" s="5">
        <f t="shared" si="402"/>
        <v>8.6466296340800497</v>
      </c>
      <c r="EH135" s="173">
        <f t="shared" si="403"/>
        <v>5.6910556749823416</v>
      </c>
      <c r="EI135" s="173">
        <f t="shared" si="404"/>
        <v>0.40323831890342071</v>
      </c>
      <c r="EK135" s="528">
        <f t="shared" si="405"/>
        <v>1.2955245878299484</v>
      </c>
      <c r="EL135" s="528">
        <f t="shared" si="406"/>
        <v>2.883782881670061</v>
      </c>
      <c r="EM135" s="528">
        <f t="shared" si="407"/>
        <v>6.9999999999999993E-2</v>
      </c>
      <c r="EN135" s="528">
        <f t="shared" si="408"/>
        <v>2.1498793749999998E-2</v>
      </c>
      <c r="EO135">
        <f t="shared" si="409"/>
        <v>4.0499999999999998E-3</v>
      </c>
      <c r="EP135" s="460">
        <f t="shared" si="410"/>
        <v>74.05</v>
      </c>
      <c r="EQ135" s="460"/>
      <c r="ER135" s="460">
        <f t="shared" si="432"/>
        <v>4274.8562632500098</v>
      </c>
      <c r="ES135" s="528">
        <f t="shared" si="411"/>
        <v>0.105</v>
      </c>
      <c r="EV135" s="460">
        <f t="shared" si="412"/>
        <v>105</v>
      </c>
      <c r="EW135" s="528">
        <f t="shared" si="413"/>
        <v>0.97164344087246135</v>
      </c>
      <c r="EX135" s="528">
        <f t="shared" si="414"/>
        <v>4.8780342549617044E-3</v>
      </c>
      <c r="EY135" s="528">
        <f t="shared" si="415"/>
        <v>138.48400083400134</v>
      </c>
      <c r="EZ135" s="528"/>
      <c r="FA135" s="528">
        <f t="shared" si="416"/>
        <v>2.5575000000000006</v>
      </c>
      <c r="FB135" s="460">
        <f t="shared" si="417"/>
        <v>142018.02230912875</v>
      </c>
      <c r="FC135" s="173">
        <f t="shared" si="418"/>
        <v>146.39787857237877</v>
      </c>
      <c r="FD135" s="5">
        <f t="shared" si="419"/>
        <v>25.5</v>
      </c>
      <c r="FE135" s="173">
        <f t="shared" si="420"/>
        <v>0.14834389005716003</v>
      </c>
      <c r="FF135" s="5">
        <f t="shared" si="421"/>
        <v>14.834389005716003</v>
      </c>
      <c r="FI135" s="562">
        <f t="shared" si="422"/>
        <v>-50</v>
      </c>
      <c r="FJ135">
        <f t="shared" si="423"/>
        <v>-50</v>
      </c>
      <c r="FL135">
        <f t="shared" si="424"/>
        <v>0.35095178504350127</v>
      </c>
    </row>
    <row r="136" spans="5:168">
      <c r="E136" s="170">
        <v>26</v>
      </c>
      <c r="F136" s="217">
        <f t="shared" si="425"/>
        <v>0.156</v>
      </c>
      <c r="G136" s="217"/>
      <c r="H136" s="217">
        <f t="shared" si="315"/>
        <v>26.52</v>
      </c>
      <c r="I136" s="541">
        <f t="shared" si="316"/>
        <v>8.3906725018514265</v>
      </c>
      <c r="J136" s="172">
        <f t="shared" si="317"/>
        <v>8.5256528508908733</v>
      </c>
      <c r="K136" s="172">
        <f t="shared" si="318"/>
        <v>16.916325352742298</v>
      </c>
      <c r="L136" s="443"/>
      <c r="M136" s="217">
        <f t="shared" si="319"/>
        <v>0.50398967559264729</v>
      </c>
      <c r="N136" s="172">
        <f t="shared" si="426"/>
        <v>142.10218973137222</v>
      </c>
      <c r="O136" s="172">
        <f t="shared" si="438"/>
        <v>26.52</v>
      </c>
      <c r="P136" s="217">
        <f t="shared" si="320"/>
        <v>0.83589523371395424</v>
      </c>
      <c r="Q136" s="217">
        <f t="shared" si="321"/>
        <v>170</v>
      </c>
      <c r="R136" s="217"/>
      <c r="S136" s="172">
        <f t="shared" si="322"/>
        <v>1625.1169049875994</v>
      </c>
      <c r="T136" s="172">
        <f t="shared" si="323"/>
        <v>170</v>
      </c>
      <c r="U136" s="217">
        <f t="shared" si="324"/>
        <v>12.580383296367332</v>
      </c>
      <c r="V136" s="217">
        <f t="shared" si="325"/>
        <v>0.74966477916945473</v>
      </c>
      <c r="W136" s="217">
        <f t="shared" si="326"/>
        <v>0.7377958917863261</v>
      </c>
      <c r="X136" s="197">
        <f t="shared" si="327"/>
        <v>350</v>
      </c>
      <c r="Y136" s="443">
        <f t="shared" si="328"/>
        <v>350</v>
      </c>
      <c r="AA136" s="217">
        <f t="shared" si="329"/>
        <v>24.164640435326021</v>
      </c>
      <c r="AB136" s="173">
        <f t="shared" si="330"/>
        <v>1.4171724358212037</v>
      </c>
      <c r="AC136" s="173">
        <f t="shared" si="331"/>
        <v>0.29964779553165216</v>
      </c>
      <c r="AD136" s="173"/>
      <c r="AE136" s="173">
        <f t="shared" si="332"/>
        <v>0.78195380263108472</v>
      </c>
      <c r="AF136" s="545">
        <f t="shared" si="333"/>
        <v>598.50083013253914</v>
      </c>
      <c r="AG136" s="528">
        <f t="shared" si="334"/>
        <v>9.1227943640293241E-2</v>
      </c>
      <c r="AI136" s="173">
        <f t="shared" si="335"/>
        <v>17.435607865934102</v>
      </c>
      <c r="AJ136" s="173">
        <f t="shared" si="336"/>
        <v>17.435607865934102</v>
      </c>
      <c r="AK136" s="173">
        <f t="shared" si="337"/>
        <v>4.2387218760005689</v>
      </c>
      <c r="AM136" s="545">
        <f t="shared" si="338"/>
        <v>156</v>
      </c>
      <c r="AN136" s="460">
        <f t="shared" si="339"/>
        <v>350</v>
      </c>
      <c r="AP136" s="460">
        <f t="shared" si="340"/>
        <v>156</v>
      </c>
      <c r="AQ136" s="460">
        <f t="shared" si="341"/>
        <v>350</v>
      </c>
      <c r="AS136" s="5">
        <f t="shared" si="439"/>
        <v>2.8571428571428572</v>
      </c>
      <c r="AT136" s="5">
        <f t="shared" si="342"/>
        <v>1.0389875103626605</v>
      </c>
      <c r="AU136" s="5">
        <f t="shared" si="343"/>
        <v>1.8181553467801967</v>
      </c>
      <c r="AV136" s="5"/>
      <c r="AW136" s="173">
        <f t="shared" si="344"/>
        <v>0.36364562862693117</v>
      </c>
      <c r="AX136" s="173">
        <f t="shared" si="435"/>
        <v>26.600036894779521</v>
      </c>
      <c r="AY136" s="173">
        <f t="shared" si="436"/>
        <v>0.27738063207584579</v>
      </c>
      <c r="AZ136" s="173">
        <f t="shared" si="440"/>
        <v>95.897239456524559</v>
      </c>
      <c r="BA136" s="460">
        <f t="shared" si="433"/>
        <v>9.5342383303867656E-2</v>
      </c>
      <c r="BB136" s="5">
        <f t="shared" si="434"/>
        <v>9.1944915806872913</v>
      </c>
      <c r="BD136" s="173">
        <f t="shared" si="441"/>
        <v>6.0703768261793982</v>
      </c>
      <c r="BE136" s="173">
        <f t="shared" si="437"/>
        <v>0.40150964830579894</v>
      </c>
      <c r="BG136" s="528">
        <f t="shared" si="347"/>
        <v>1.4739789924726348</v>
      </c>
      <c r="BH136" s="528">
        <f t="shared" si="348"/>
        <v>2.3227030211409208</v>
      </c>
      <c r="BI136" s="528">
        <f t="shared" si="349"/>
        <v>0.11746941502591997</v>
      </c>
      <c r="BJ136" s="528">
        <f t="shared" si="350"/>
        <v>2.0031344440788232E-2</v>
      </c>
      <c r="BK136">
        <f t="shared" si="351"/>
        <v>3.7758026258331418E-3</v>
      </c>
      <c r="BL136" s="460">
        <f t="shared" si="427"/>
        <v>121.24521765175311</v>
      </c>
      <c r="BM136" s="528">
        <f t="shared" si="352"/>
        <v>6.48630440685662</v>
      </c>
      <c r="BN136" s="460">
        <f t="shared" si="353"/>
        <v>6486.3044068566196</v>
      </c>
      <c r="BO136" s="528">
        <f t="shared" si="354"/>
        <v>0.10919999999999999</v>
      </c>
      <c r="BR136" s="460">
        <f t="shared" si="355"/>
        <v>109.19999999999999</v>
      </c>
      <c r="BS136" s="528">
        <f t="shared" si="356"/>
        <v>1.1054842443544759</v>
      </c>
      <c r="BT136" s="528">
        <f t="shared" si="357"/>
        <v>4.8362999304793902E-3</v>
      </c>
      <c r="BU136" s="528">
        <f t="shared" si="358"/>
        <v>145.45640434565087</v>
      </c>
      <c r="BV136" s="528"/>
      <c r="BW136" s="528">
        <f t="shared" si="359"/>
        <v>2.6600036894779526</v>
      </c>
      <c r="BX136" s="460">
        <f t="shared" si="360"/>
        <v>149226.72857941376</v>
      </c>
      <c r="BY136" s="173">
        <f t="shared" si="361"/>
        <v>153.27388715511987</v>
      </c>
      <c r="BZ136" s="5">
        <f t="shared" si="362"/>
        <v>26.52</v>
      </c>
      <c r="CA136" s="173">
        <f t="shared" si="363"/>
        <v>0.14750223391699335</v>
      </c>
      <c r="CB136" s="5">
        <f t="shared" si="364"/>
        <v>14.750223391699336</v>
      </c>
      <c r="CE136" s="562">
        <f t="shared" si="365"/>
        <v>-50</v>
      </c>
      <c r="CF136">
        <f t="shared" si="366"/>
        <v>-50</v>
      </c>
      <c r="CG136" s="173">
        <f t="shared" si="367"/>
        <v>0.35842794008739626</v>
      </c>
      <c r="CI136" s="170">
        <v>26</v>
      </c>
      <c r="CJ136" s="217">
        <f t="shared" si="428"/>
        <v>0.156</v>
      </c>
      <c r="CK136" s="217"/>
      <c r="CL136" s="217">
        <f t="shared" si="368"/>
        <v>26.52</v>
      </c>
      <c r="CM136" s="541">
        <f t="shared" si="369"/>
        <v>9</v>
      </c>
      <c r="CN136" s="443">
        <f t="shared" si="370"/>
        <v>8.5250000000000004</v>
      </c>
      <c r="CO136" s="443">
        <f t="shared" si="371"/>
        <v>17.524999999999999</v>
      </c>
      <c r="CP136" s="443"/>
      <c r="CQ136" s="217">
        <f t="shared" si="372"/>
        <v>0.48644793152639093</v>
      </c>
      <c r="CR136" s="172">
        <f t="shared" si="429"/>
        <v>147.11644793152644</v>
      </c>
      <c r="CS136" s="172">
        <f t="shared" si="373"/>
        <v>26.52</v>
      </c>
      <c r="CT136" s="217">
        <f t="shared" si="374"/>
        <v>0.86539087018544958</v>
      </c>
      <c r="CU136" s="217">
        <f t="shared" si="375"/>
        <v>170</v>
      </c>
      <c r="CV136" s="217"/>
      <c r="CW136" s="172">
        <f t="shared" si="376"/>
        <v>1743.1285395754824</v>
      </c>
      <c r="CX136" s="172">
        <f t="shared" si="377"/>
        <v>170</v>
      </c>
      <c r="CY136" s="217">
        <f t="shared" si="378"/>
        <v>12.115034213098728</v>
      </c>
      <c r="CZ136" s="217">
        <f t="shared" si="379"/>
        <v>0.67305745628326263</v>
      </c>
      <c r="DA136" s="217">
        <f t="shared" si="380"/>
        <v>0.71055919138408952</v>
      </c>
      <c r="DB136" s="197">
        <f t="shared" si="381"/>
        <v>350</v>
      </c>
      <c r="DC136" s="443">
        <f t="shared" si="382"/>
        <v>350</v>
      </c>
      <c r="DE136" s="217">
        <f t="shared" si="383"/>
        <v>25.017322192785819</v>
      </c>
      <c r="DF136" s="173">
        <f t="shared" si="384"/>
        <v>1.467291624210312</v>
      </c>
      <c r="DG136" s="173">
        <f t="shared" si="385"/>
        <v>0.32119243899439714</v>
      </c>
      <c r="DH136" s="173"/>
      <c r="DI136" s="173">
        <f t="shared" si="386"/>
        <v>0.78201368523949166</v>
      </c>
      <c r="DJ136" s="545">
        <f t="shared" si="387"/>
        <v>598.45500000000004</v>
      </c>
      <c r="DK136" s="528">
        <f t="shared" si="388"/>
        <v>9.1234929944607357E-2</v>
      </c>
      <c r="DM136" s="173">
        <f t="shared" si="389"/>
        <v>17.434940288315953</v>
      </c>
      <c r="DN136" s="173">
        <f t="shared" si="390"/>
        <v>17.434940288315953</v>
      </c>
      <c r="DO136" s="173">
        <f t="shared" si="391"/>
        <v>4.2382273740611991</v>
      </c>
      <c r="DQ136" s="545">
        <f t="shared" si="392"/>
        <v>156</v>
      </c>
      <c r="DR136" s="460">
        <f t="shared" si="393"/>
        <v>350</v>
      </c>
      <c r="DT136">
        <f t="shared" si="430"/>
        <v>156</v>
      </c>
      <c r="DU136">
        <f t="shared" si="431"/>
        <v>350</v>
      </c>
      <c r="DW136" s="5">
        <f t="shared" si="394"/>
        <v>2.8571428571428572</v>
      </c>
      <c r="DX136" s="5">
        <f t="shared" si="395"/>
        <v>0.96860779379533057</v>
      </c>
      <c r="DY136" s="5">
        <f t="shared" si="396"/>
        <v>1.8885350633475266</v>
      </c>
      <c r="DZ136" s="5"/>
      <c r="EA136" s="173">
        <f t="shared" si="397"/>
        <v>0.33901272782836567</v>
      </c>
      <c r="EB136" s="173">
        <f t="shared" si="398"/>
        <v>26.597999999999992</v>
      </c>
      <c r="EC136" s="173">
        <f t="shared" si="399"/>
        <v>0.28810684054123226</v>
      </c>
      <c r="ED136" s="173">
        <f t="shared" si="400"/>
        <v>92.319918367899476</v>
      </c>
      <c r="EE136" s="460">
        <f t="shared" si="401"/>
        <v>8.8884009312983278E-2</v>
      </c>
      <c r="EF136" s="5">
        <f t="shared" si="402"/>
        <v>8.9038133119958065</v>
      </c>
      <c r="EH136" s="173">
        <f t="shared" si="403"/>
        <v>5.8609476024920744</v>
      </c>
      <c r="EI136" s="173">
        <f t="shared" si="404"/>
        <v>0.4091912984367968</v>
      </c>
      <c r="EK136" s="528">
        <f t="shared" si="405"/>
        <v>1.3740282719663037</v>
      </c>
      <c r="EL136" s="528">
        <f t="shared" si="406"/>
        <v>2.9408930373200945</v>
      </c>
      <c r="EM136" s="528">
        <f t="shared" si="407"/>
        <v>6.9999999999999993E-2</v>
      </c>
      <c r="EN136" s="528">
        <f t="shared" si="408"/>
        <v>2.1498793749999998E-2</v>
      </c>
      <c r="EO136">
        <f t="shared" si="409"/>
        <v>4.0499999999999998E-3</v>
      </c>
      <c r="EP136" s="460">
        <f t="shared" si="410"/>
        <v>74.05</v>
      </c>
      <c r="EQ136" s="460"/>
      <c r="ER136" s="460">
        <f t="shared" si="432"/>
        <v>4410.4701030363995</v>
      </c>
      <c r="ES136" s="528">
        <f t="shared" si="411"/>
        <v>0.10919999999999999</v>
      </c>
      <c r="EV136" s="460">
        <f t="shared" si="412"/>
        <v>109.19999999999999</v>
      </c>
      <c r="EW136" s="528">
        <f t="shared" si="413"/>
        <v>1.0305212039747278</v>
      </c>
      <c r="EX136" s="528">
        <f t="shared" si="414"/>
        <v>5.0231255614917513E-3</v>
      </c>
      <c r="EY136" s="528">
        <f t="shared" si="415"/>
        <v>145.44248159453613</v>
      </c>
      <c r="EZ136" s="528"/>
      <c r="FA136" s="528">
        <f t="shared" si="416"/>
        <v>2.6597999999999993</v>
      </c>
      <c r="FB136" s="460">
        <f t="shared" si="417"/>
        <v>149137.82592407233</v>
      </c>
      <c r="FC136" s="173">
        <f t="shared" si="418"/>
        <v>153.65749602710875</v>
      </c>
      <c r="FD136" s="5">
        <f t="shared" si="419"/>
        <v>26.52</v>
      </c>
      <c r="FE136" s="173">
        <f t="shared" si="420"/>
        <v>0.14718819266979885</v>
      </c>
      <c r="FF136" s="5">
        <f t="shared" si="421"/>
        <v>14.718819266979885</v>
      </c>
      <c r="FI136" s="562">
        <f t="shared" si="422"/>
        <v>-50</v>
      </c>
      <c r="FJ136">
        <f t="shared" si="423"/>
        <v>-50</v>
      </c>
      <c r="FL136">
        <f t="shared" si="424"/>
        <v>0.35790200005340667</v>
      </c>
    </row>
    <row r="137" spans="5:168">
      <c r="E137" s="170">
        <v>27</v>
      </c>
      <c r="F137" s="217">
        <f t="shared" si="425"/>
        <v>0.16200000000000001</v>
      </c>
      <c r="G137" s="217"/>
      <c r="H137" s="217">
        <f t="shared" si="315"/>
        <v>27.54</v>
      </c>
      <c r="I137" s="541">
        <f t="shared" si="316"/>
        <v>8.3790652208162282</v>
      </c>
      <c r="J137" s="172">
        <f t="shared" si="317"/>
        <v>8.5256652872634113</v>
      </c>
      <c r="K137" s="172">
        <f t="shared" si="318"/>
        <v>16.904730508079638</v>
      </c>
      <c r="L137" s="443"/>
      <c r="M137" s="217">
        <f t="shared" si="319"/>
        <v>0.50433609502216215</v>
      </c>
      <c r="N137" s="172">
        <f t="shared" si="426"/>
        <v>142.00315133910092</v>
      </c>
      <c r="O137" s="172">
        <f t="shared" si="438"/>
        <v>27.54</v>
      </c>
      <c r="P137" s="217">
        <f t="shared" si="320"/>
        <v>0.8353126549358878</v>
      </c>
      <c r="Q137" s="217">
        <f t="shared" si="321"/>
        <v>170</v>
      </c>
      <c r="R137" s="217"/>
      <c r="S137" s="172">
        <f t="shared" si="322"/>
        <v>1556.5600029527384</v>
      </c>
      <c r="T137" s="172">
        <f t="shared" si="323"/>
        <v>170</v>
      </c>
      <c r="U137" s="217">
        <f t="shared" si="324"/>
        <v>13.073374790705675</v>
      </c>
      <c r="V137" s="217">
        <f t="shared" si="325"/>
        <v>0.7801213170072544</v>
      </c>
      <c r="W137" s="217">
        <f t="shared" si="326"/>
        <v>0.76670701641525485</v>
      </c>
      <c r="X137" s="197">
        <f t="shared" si="327"/>
        <v>350</v>
      </c>
      <c r="Y137" s="443">
        <f t="shared" si="328"/>
        <v>350</v>
      </c>
      <c r="AA137" s="217">
        <f t="shared" si="329"/>
        <v>24.147798818353778</v>
      </c>
      <c r="AB137" s="173">
        <f t="shared" si="330"/>
        <v>1.4161826675525515</v>
      </c>
      <c r="AC137" s="173">
        <f t="shared" si="331"/>
        <v>0.29922982377836282</v>
      </c>
      <c r="AD137" s="173"/>
      <c r="AE137" s="173">
        <f t="shared" si="332"/>
        <v>0.78195266199648683</v>
      </c>
      <c r="AF137" s="545">
        <f t="shared" si="333"/>
        <v>621.52099944150257</v>
      </c>
      <c r="AG137" s="528">
        <f t="shared" si="334"/>
        <v>9.1227810566256812E-2</v>
      </c>
      <c r="AI137" s="173">
        <f t="shared" si="335"/>
        <v>17.767757485555826</v>
      </c>
      <c r="AJ137" s="173">
        <f t="shared" si="336"/>
        <v>17.767757485555826</v>
      </c>
      <c r="AK137" s="173">
        <f t="shared" si="337"/>
        <v>4.4847586312759198</v>
      </c>
      <c r="AM137" s="545">
        <f t="shared" si="338"/>
        <v>162</v>
      </c>
      <c r="AN137" s="460">
        <f t="shared" si="339"/>
        <v>350</v>
      </c>
      <c r="AP137" s="460">
        <f t="shared" si="340"/>
        <v>162</v>
      </c>
      <c r="AQ137" s="460">
        <f t="shared" si="341"/>
        <v>350</v>
      </c>
      <c r="AS137" s="5">
        <f t="shared" si="439"/>
        <v>2.8571428571428572</v>
      </c>
      <c r="AT137" s="5">
        <f t="shared" si="342"/>
        <v>1.0602469975657391</v>
      </c>
      <c r="AU137" s="5">
        <f t="shared" si="343"/>
        <v>1.7968958595771181</v>
      </c>
      <c r="AV137" s="5"/>
      <c r="AW137" s="173">
        <f t="shared" si="344"/>
        <v>0.3710864491480087</v>
      </c>
      <c r="AX137" s="173">
        <f t="shared" si="435"/>
        <v>27.623155530733442</v>
      </c>
      <c r="AY137" s="173">
        <f t="shared" si="436"/>
        <v>0.2793595862729491</v>
      </c>
      <c r="AZ137" s="173">
        <f t="shared" si="440"/>
        <v>98.880285080835407</v>
      </c>
      <c r="BA137" s="460">
        <f t="shared" si="433"/>
        <v>0.10103530212097044</v>
      </c>
      <c r="BB137" s="5">
        <f t="shared" si="434"/>
        <v>9.449552792559972</v>
      </c>
      <c r="BD137" s="173">
        <f t="shared" si="441"/>
        <v>6.2489858072865534</v>
      </c>
      <c r="BE137" s="173">
        <f t="shared" si="437"/>
        <v>0.40675928099073405</v>
      </c>
      <c r="BG137" s="528">
        <f t="shared" si="347"/>
        <v>1.5619929447867511</v>
      </c>
      <c r="BH137" s="528">
        <f t="shared" si="348"/>
        <v>2.3653283222066075</v>
      </c>
      <c r="BI137" s="528">
        <f t="shared" si="349"/>
        <v>0.1173069130914272</v>
      </c>
      <c r="BJ137" s="528">
        <f t="shared" si="350"/>
        <v>2.0003893948555892E-2</v>
      </c>
      <c r="BK137">
        <f t="shared" si="351"/>
        <v>3.7705793493673025E-3</v>
      </c>
      <c r="BL137" s="460">
        <f t="shared" si="427"/>
        <v>121.0774924407945</v>
      </c>
      <c r="BM137" s="528">
        <f t="shared" si="352"/>
        <v>6.9474771364849364</v>
      </c>
      <c r="BN137" s="460">
        <f t="shared" si="353"/>
        <v>6947.4771364849366</v>
      </c>
      <c r="BO137" s="528">
        <f t="shared" si="354"/>
        <v>0.1134</v>
      </c>
      <c r="BR137" s="460">
        <f t="shared" si="355"/>
        <v>113.4</v>
      </c>
      <c r="BS137" s="528">
        <f t="shared" si="356"/>
        <v>1.1714947085900633</v>
      </c>
      <c r="BT137" s="528">
        <f t="shared" si="357"/>
        <v>4.9635933801629685E-3</v>
      </c>
      <c r="BU137" s="528">
        <f t="shared" si="358"/>
        <v>152.4830814492787</v>
      </c>
      <c r="BV137" s="528"/>
      <c r="BW137" s="528">
        <f t="shared" si="359"/>
        <v>2.762315553073345</v>
      </c>
      <c r="BX137" s="460">
        <f t="shared" si="360"/>
        <v>156421.85530432226</v>
      </c>
      <c r="BY137" s="173">
        <f t="shared" si="361"/>
        <v>160.60365795770497</v>
      </c>
      <c r="BZ137" s="5">
        <f t="shared" si="362"/>
        <v>27.54</v>
      </c>
      <c r="CA137" s="173">
        <f t="shared" si="363"/>
        <v>0.14637750907442781</v>
      </c>
      <c r="CB137" s="5">
        <f t="shared" si="364"/>
        <v>14.637750907442781</v>
      </c>
      <c r="CE137" s="562">
        <f t="shared" si="365"/>
        <v>-50</v>
      </c>
      <c r="CF137">
        <f t="shared" si="366"/>
        <v>-50</v>
      </c>
      <c r="CG137" s="173">
        <f t="shared" si="367"/>
        <v>0.36525575246104247</v>
      </c>
      <c r="CI137" s="170">
        <v>27</v>
      </c>
      <c r="CJ137" s="217">
        <f t="shared" si="428"/>
        <v>0.16200000000000001</v>
      </c>
      <c r="CK137" s="217"/>
      <c r="CL137" s="217">
        <f t="shared" si="368"/>
        <v>27.54</v>
      </c>
      <c r="CM137" s="541">
        <f t="shared" si="369"/>
        <v>9</v>
      </c>
      <c r="CN137" s="443">
        <f t="shared" si="370"/>
        <v>8.5250000000000004</v>
      </c>
      <c r="CO137" s="443">
        <f t="shared" si="371"/>
        <v>17.524999999999999</v>
      </c>
      <c r="CP137" s="443"/>
      <c r="CQ137" s="217">
        <f t="shared" si="372"/>
        <v>0.48644793152639093</v>
      </c>
      <c r="CR137" s="172">
        <f t="shared" si="429"/>
        <v>147.11644793152644</v>
      </c>
      <c r="CS137" s="172">
        <f t="shared" si="373"/>
        <v>27.54</v>
      </c>
      <c r="CT137" s="217">
        <f t="shared" si="374"/>
        <v>0.86539087018544958</v>
      </c>
      <c r="CU137" s="217">
        <f t="shared" si="375"/>
        <v>170</v>
      </c>
      <c r="CV137" s="217"/>
      <c r="CW137" s="172">
        <f t="shared" si="376"/>
        <v>1671.905666546337</v>
      </c>
      <c r="CX137" s="172">
        <f t="shared" si="377"/>
        <v>170</v>
      </c>
      <c r="CY137" s="217">
        <f t="shared" si="378"/>
        <v>12.58099706744868</v>
      </c>
      <c r="CZ137" s="217">
        <f t="shared" si="379"/>
        <v>0.69894428152492649</v>
      </c>
      <c r="DA137" s="217">
        <f t="shared" si="380"/>
        <v>0.73788839105270843</v>
      </c>
      <c r="DB137" s="197">
        <f t="shared" si="381"/>
        <v>350</v>
      </c>
      <c r="DC137" s="443">
        <f t="shared" si="382"/>
        <v>350</v>
      </c>
      <c r="DE137" s="217">
        <f t="shared" si="383"/>
        <v>25.017322192785819</v>
      </c>
      <c r="DF137" s="173">
        <f t="shared" si="384"/>
        <v>1.467291624210312</v>
      </c>
      <c r="DG137" s="173">
        <f t="shared" si="385"/>
        <v>0.32119243899439714</v>
      </c>
      <c r="DH137" s="173"/>
      <c r="DI137" s="173">
        <f t="shared" si="386"/>
        <v>0.78201368523949166</v>
      </c>
      <c r="DJ137" s="545">
        <f t="shared" si="387"/>
        <v>621.47249999999997</v>
      </c>
      <c r="DK137" s="528">
        <f t="shared" si="388"/>
        <v>9.1234929944607357E-2</v>
      </c>
      <c r="DM137" s="173">
        <f t="shared" si="389"/>
        <v>17.767064232128263</v>
      </c>
      <c r="DN137" s="173">
        <f t="shared" si="390"/>
        <v>17.767064232128263</v>
      </c>
      <c r="DO137" s="173">
        <f t="shared" si="391"/>
        <v>4.4842451102184659</v>
      </c>
      <c r="DQ137" s="545">
        <f t="shared" si="392"/>
        <v>162</v>
      </c>
      <c r="DR137" s="460">
        <f t="shared" si="393"/>
        <v>350</v>
      </c>
      <c r="DT137">
        <f t="shared" si="430"/>
        <v>162</v>
      </c>
      <c r="DU137">
        <f t="shared" si="431"/>
        <v>350</v>
      </c>
      <c r="DW137" s="5">
        <f t="shared" si="394"/>
        <v>2.8571428571428572</v>
      </c>
      <c r="DX137" s="5">
        <f t="shared" si="395"/>
        <v>0.9870591240071257</v>
      </c>
      <c r="DY137" s="5">
        <f t="shared" si="396"/>
        <v>1.8700837331357314</v>
      </c>
      <c r="DZ137" s="5"/>
      <c r="EA137" s="173">
        <f t="shared" si="397"/>
        <v>0.34547069340249398</v>
      </c>
      <c r="EB137" s="173">
        <f t="shared" si="398"/>
        <v>27.620999999999999</v>
      </c>
      <c r="EC137" s="173">
        <f t="shared" si="399"/>
        <v>0.29072660580320658</v>
      </c>
      <c r="ED137" s="173">
        <f t="shared" si="400"/>
        <v>95.006784548286944</v>
      </c>
      <c r="EE137" s="460">
        <f t="shared" si="401"/>
        <v>9.4060928287737863E-2</v>
      </c>
      <c r="EF137" s="5">
        <f t="shared" si="402"/>
        <v>9.1559299574325408</v>
      </c>
      <c r="EH137" s="173">
        <f t="shared" si="403"/>
        <v>6.0292133333407962</v>
      </c>
      <c r="EI137" s="173">
        <f t="shared" si="404"/>
        <v>0.41494410383786251</v>
      </c>
      <c r="EK137" s="528">
        <f t="shared" si="405"/>
        <v>1.4540565367573774</v>
      </c>
      <c r="EL137" s="528">
        <f t="shared" si="406"/>
        <v>2.9969150814299601</v>
      </c>
      <c r="EM137" s="528">
        <f t="shared" si="407"/>
        <v>6.9999999999999993E-2</v>
      </c>
      <c r="EN137" s="528">
        <f t="shared" si="408"/>
        <v>2.1498793749999998E-2</v>
      </c>
      <c r="EO137">
        <f t="shared" si="409"/>
        <v>4.0499999999999998E-3</v>
      </c>
      <c r="EP137" s="460">
        <f t="shared" si="410"/>
        <v>74.05</v>
      </c>
      <c r="EQ137" s="460"/>
      <c r="ER137" s="460">
        <f t="shared" si="432"/>
        <v>4546.5204119373384</v>
      </c>
      <c r="ES137" s="528">
        <f t="shared" si="411"/>
        <v>0.1134</v>
      </c>
      <c r="EV137" s="460">
        <f t="shared" si="412"/>
        <v>113.4</v>
      </c>
      <c r="EW137" s="528">
        <f t="shared" si="413"/>
        <v>1.090542402568033</v>
      </c>
      <c r="EX137" s="528">
        <f t="shared" si="414"/>
        <v>5.1653582792942051E-3</v>
      </c>
      <c r="EY137" s="528">
        <f t="shared" si="415"/>
        <v>152.46820811402824</v>
      </c>
      <c r="EZ137" s="528"/>
      <c r="FA137" s="528">
        <f t="shared" si="416"/>
        <v>2.7621000000000002</v>
      </c>
      <c r="FB137" s="460">
        <f t="shared" si="417"/>
        <v>156326.01587487556</v>
      </c>
      <c r="FC137" s="173">
        <f t="shared" si="418"/>
        <v>160.98593628681292</v>
      </c>
      <c r="FD137" s="5">
        <f t="shared" si="419"/>
        <v>27.54</v>
      </c>
      <c r="FE137" s="173">
        <f t="shared" si="420"/>
        <v>0.14608069606986154</v>
      </c>
      <c r="FF137" s="5">
        <f t="shared" si="421"/>
        <v>14.608069606986154</v>
      </c>
      <c r="FI137" s="562">
        <f t="shared" si="422"/>
        <v>-50</v>
      </c>
      <c r="FJ137">
        <f t="shared" si="423"/>
        <v>-50</v>
      </c>
      <c r="FL137">
        <f t="shared" si="424"/>
        <v>0.36471979362140128</v>
      </c>
    </row>
    <row r="138" spans="5:168">
      <c r="E138" s="170">
        <v>28</v>
      </c>
      <c r="F138" s="217">
        <f t="shared" si="425"/>
        <v>0.16800000000000001</v>
      </c>
      <c r="G138" s="217"/>
      <c r="H138" s="217">
        <f t="shared" si="315"/>
        <v>28.560000000000002</v>
      </c>
      <c r="I138" s="541">
        <f t="shared" si="316"/>
        <v>8.3676709717243725</v>
      </c>
      <c r="J138" s="172">
        <f t="shared" si="317"/>
        <v>8.5256774953874395</v>
      </c>
      <c r="K138" s="172">
        <f t="shared" si="318"/>
        <v>16.893348467111814</v>
      </c>
      <c r="L138" s="443"/>
      <c r="M138" s="217">
        <f t="shared" si="319"/>
        <v>0.5046766190327503</v>
      </c>
      <c r="N138" s="172">
        <f t="shared" si="426"/>
        <v>141.90579783797904</v>
      </c>
      <c r="O138" s="172">
        <f t="shared" si="438"/>
        <v>28.560000000000002</v>
      </c>
      <c r="P138" s="217">
        <f t="shared" si="320"/>
        <v>0.83473998728222965</v>
      </c>
      <c r="Q138" s="217">
        <f t="shared" si="321"/>
        <v>170</v>
      </c>
      <c r="R138" s="217"/>
      <c r="S138" s="172">
        <f t="shared" si="322"/>
        <v>1492.9547864490762</v>
      </c>
      <c r="T138" s="172">
        <f t="shared" si="323"/>
        <v>170</v>
      </c>
      <c r="U138" s="217">
        <f t="shared" si="324"/>
        <v>13.566894393067868</v>
      </c>
      <c r="V138" s="217">
        <f t="shared" si="325"/>
        <v>0.81067327090850361</v>
      </c>
      <c r="W138" s="217">
        <f t="shared" si="326"/>
        <v>0.79564904961557759</v>
      </c>
      <c r="X138" s="197">
        <f t="shared" si="327"/>
        <v>350</v>
      </c>
      <c r="Y138" s="443">
        <f t="shared" si="328"/>
        <v>350</v>
      </c>
      <c r="AA138" s="217">
        <f t="shared" si="329"/>
        <v>24.131243719578404</v>
      </c>
      <c r="AB138" s="173">
        <f t="shared" si="330"/>
        <v>1.4152097433097772</v>
      </c>
      <c r="AC138" s="173">
        <f t="shared" si="331"/>
        <v>0.29881924826363943</v>
      </c>
      <c r="AD138" s="173"/>
      <c r="AE138" s="173">
        <f t="shared" si="332"/>
        <v>0.78195154229953745</v>
      </c>
      <c r="AF138" s="545">
        <f t="shared" si="333"/>
        <v>644.54121865129048</v>
      </c>
      <c r="AG138" s="528">
        <f t="shared" si="334"/>
        <v>9.1227679934946029E-2</v>
      </c>
      <c r="AI138" s="173">
        <f t="shared" si="335"/>
        <v>18.093811533860897</v>
      </c>
      <c r="AJ138" s="173">
        <f t="shared" si="336"/>
        <v>18.093811533860897</v>
      </c>
      <c r="AK138" s="173">
        <f t="shared" si="337"/>
        <v>4.7262801485389359</v>
      </c>
      <c r="AM138" s="545">
        <f t="shared" si="338"/>
        <v>168</v>
      </c>
      <c r="AN138" s="460">
        <f t="shared" si="339"/>
        <v>350</v>
      </c>
      <c r="AP138" s="460">
        <f t="shared" si="340"/>
        <v>168</v>
      </c>
      <c r="AQ138" s="460">
        <f t="shared" si="341"/>
        <v>350</v>
      </c>
      <c r="AS138" s="5">
        <f t="shared" si="439"/>
        <v>2.8571428571428572</v>
      </c>
      <c r="AT138" s="5">
        <f t="shared" si="342"/>
        <v>1.0811736978546733</v>
      </c>
      <c r="AU138" s="5">
        <f t="shared" si="343"/>
        <v>1.7759691592881839</v>
      </c>
      <c r="AV138" s="5"/>
      <c r="AW138" s="173">
        <f t="shared" si="344"/>
        <v>0.37841079424913565</v>
      </c>
      <c r="AX138" s="173">
        <f t="shared" si="435"/>
        <v>28.646276384501796</v>
      </c>
      <c r="AY138" s="173">
        <f t="shared" si="436"/>
        <v>0.28117294850846059</v>
      </c>
      <c r="AZ138" s="173">
        <f t="shared" si="440"/>
        <v>101.88133864392655</v>
      </c>
      <c r="BA138" s="460">
        <f t="shared" si="433"/>
        <v>0.10684540072916773</v>
      </c>
      <c r="BB138" s="5">
        <f t="shared" si="434"/>
        <v>9.6985991654149437</v>
      </c>
      <c r="BD138" s="173">
        <f t="shared" si="441"/>
        <v>6.4261549486867917</v>
      </c>
      <c r="BE138" s="173">
        <f t="shared" si="437"/>
        <v>0.41180457900692247</v>
      </c>
      <c r="BG138" s="528">
        <f t="shared" si="347"/>
        <v>1.6518186969812698</v>
      </c>
      <c r="BH138" s="528">
        <f t="shared" si="348"/>
        <v>2.4071123738006026</v>
      </c>
      <c r="BI138" s="528">
        <f t="shared" si="349"/>
        <v>0.1171473936041412</v>
      </c>
      <c r="BJ138" s="528">
        <f t="shared" si="350"/>
        <v>1.9976965570188836E-2</v>
      </c>
      <c r="BK138">
        <f t="shared" si="351"/>
        <v>3.7654519372759673E-3</v>
      </c>
      <c r="BL138" s="460">
        <f t="shared" si="427"/>
        <v>120.91284554141717</v>
      </c>
      <c r="BM138" s="528">
        <f t="shared" si="352"/>
        <v>7.4480517707809692</v>
      </c>
      <c r="BN138" s="460">
        <f t="shared" si="353"/>
        <v>7448.0517707809695</v>
      </c>
      <c r="BO138" s="528">
        <f t="shared" si="354"/>
        <v>0.1176</v>
      </c>
      <c r="BR138" s="460">
        <f t="shared" si="355"/>
        <v>117.6</v>
      </c>
      <c r="BS138" s="528">
        <f t="shared" si="356"/>
        <v>1.2388640227359522</v>
      </c>
      <c r="BT138" s="528">
        <f t="shared" si="357"/>
        <v>5.087490338732059E-3</v>
      </c>
      <c r="BU138" s="528">
        <f t="shared" si="358"/>
        <v>159.57515359976193</v>
      </c>
      <c r="BV138" s="528"/>
      <c r="BW138" s="528">
        <f t="shared" si="359"/>
        <v>2.8646276384501799</v>
      </c>
      <c r="BX138" s="460">
        <f t="shared" si="360"/>
        <v>163683.73275128679</v>
      </c>
      <c r="BY138" s="173">
        <f t="shared" si="361"/>
        <v>168.00115363318028</v>
      </c>
      <c r="BZ138" s="5">
        <f t="shared" si="362"/>
        <v>28.560000000000002</v>
      </c>
      <c r="CA138" s="173">
        <f t="shared" si="363"/>
        <v>0.14529829252680457</v>
      </c>
      <c r="CB138" s="5">
        <f t="shared" si="364"/>
        <v>14.529829252680457</v>
      </c>
      <c r="CE138" s="562">
        <f t="shared" si="365"/>
        <v>-50</v>
      </c>
      <c r="CF138">
        <f t="shared" si="366"/>
        <v>-50</v>
      </c>
      <c r="CG138" s="173">
        <f t="shared" si="367"/>
        <v>0.37195825192684001</v>
      </c>
      <c r="CI138" s="170">
        <v>28</v>
      </c>
      <c r="CJ138" s="217">
        <f t="shared" si="428"/>
        <v>0.16800000000000001</v>
      </c>
      <c r="CK138" s="217"/>
      <c r="CL138" s="217">
        <f t="shared" si="368"/>
        <v>28.560000000000002</v>
      </c>
      <c r="CM138" s="541">
        <f t="shared" si="369"/>
        <v>9</v>
      </c>
      <c r="CN138" s="443">
        <f t="shared" si="370"/>
        <v>8.5250000000000004</v>
      </c>
      <c r="CO138" s="443">
        <f t="shared" si="371"/>
        <v>17.524999999999999</v>
      </c>
      <c r="CP138" s="443"/>
      <c r="CQ138" s="217">
        <f t="shared" si="372"/>
        <v>0.48644793152639093</v>
      </c>
      <c r="CR138" s="172">
        <f t="shared" si="429"/>
        <v>147.11644793152644</v>
      </c>
      <c r="CS138" s="172">
        <f t="shared" si="373"/>
        <v>28.560000000000002</v>
      </c>
      <c r="CT138" s="217">
        <f t="shared" si="374"/>
        <v>0.86539087018544958</v>
      </c>
      <c r="CU138" s="217">
        <f t="shared" si="375"/>
        <v>170</v>
      </c>
      <c r="CV138" s="217"/>
      <c r="CW138" s="172">
        <f t="shared" si="376"/>
        <v>1605.770316134008</v>
      </c>
      <c r="CX138" s="172">
        <f t="shared" si="377"/>
        <v>170</v>
      </c>
      <c r="CY138" s="217">
        <f t="shared" si="378"/>
        <v>13.046959921798631</v>
      </c>
      <c r="CZ138" s="217">
        <f t="shared" si="379"/>
        <v>0.72483110676659068</v>
      </c>
      <c r="DA138" s="217">
        <f t="shared" si="380"/>
        <v>0.76521759072132733</v>
      </c>
      <c r="DB138" s="197">
        <f t="shared" si="381"/>
        <v>350</v>
      </c>
      <c r="DC138" s="443">
        <f t="shared" si="382"/>
        <v>350</v>
      </c>
      <c r="DE138" s="217">
        <f t="shared" si="383"/>
        <v>25.017322192785819</v>
      </c>
      <c r="DF138" s="173">
        <f t="shared" si="384"/>
        <v>1.467291624210312</v>
      </c>
      <c r="DG138" s="173">
        <f t="shared" si="385"/>
        <v>0.32119243899439714</v>
      </c>
      <c r="DH138" s="173"/>
      <c r="DI138" s="173">
        <f t="shared" si="386"/>
        <v>0.78201368523949166</v>
      </c>
      <c r="DJ138" s="545">
        <f t="shared" si="387"/>
        <v>644.49</v>
      </c>
      <c r="DK138" s="528">
        <f t="shared" si="388"/>
        <v>9.1234929944607357E-2</v>
      </c>
      <c r="DM138" s="173">
        <f t="shared" si="389"/>
        <v>18.093092604637828</v>
      </c>
      <c r="DN138" s="173">
        <f t="shared" si="390"/>
        <v>18.093092604637828</v>
      </c>
      <c r="DO138" s="173">
        <f t="shared" si="391"/>
        <v>4.7257476083736991</v>
      </c>
      <c r="DQ138" s="545">
        <f t="shared" si="392"/>
        <v>168</v>
      </c>
      <c r="DR138" s="460">
        <f t="shared" si="393"/>
        <v>350</v>
      </c>
      <c r="DT138">
        <f t="shared" si="430"/>
        <v>168</v>
      </c>
      <c r="DU138">
        <f t="shared" si="431"/>
        <v>350</v>
      </c>
      <c r="DW138" s="5">
        <f t="shared" si="394"/>
        <v>2.8571428571428572</v>
      </c>
      <c r="DX138" s="5">
        <f t="shared" si="395"/>
        <v>1.0051718113687682</v>
      </c>
      <c r="DY138" s="5">
        <f t="shared" si="396"/>
        <v>1.851971045774089</v>
      </c>
      <c r="DZ138" s="5"/>
      <c r="EA138" s="173">
        <f t="shared" si="397"/>
        <v>0.35181013397906885</v>
      </c>
      <c r="EB138" s="173">
        <f t="shared" si="398"/>
        <v>28.644000000000005</v>
      </c>
      <c r="EC138" s="173">
        <f t="shared" si="399"/>
        <v>0.2931939817826123</v>
      </c>
      <c r="ED138" s="173">
        <f t="shared" si="400"/>
        <v>97.696411863044318</v>
      </c>
      <c r="EE138" s="460">
        <f t="shared" si="401"/>
        <v>9.9334626064678272E-2</v>
      </c>
      <c r="EF138" s="5">
        <f t="shared" si="402"/>
        <v>9.4030743230769751</v>
      </c>
      <c r="EH138" s="173">
        <f t="shared" si="403"/>
        <v>6.1959278417195911</v>
      </c>
      <c r="EI138" s="173">
        <f t="shared" si="404"/>
        <v>0.42050706944177529</v>
      </c>
      <c r="EK138" s="528">
        <f t="shared" si="405"/>
        <v>1.5355808727918396</v>
      </c>
      <c r="EL138" s="528">
        <f t="shared" si="406"/>
        <v>3.0519089360016749</v>
      </c>
      <c r="EM138" s="528">
        <f t="shared" si="407"/>
        <v>6.9999999999999993E-2</v>
      </c>
      <c r="EN138" s="528">
        <f t="shared" si="408"/>
        <v>2.1498793749999998E-2</v>
      </c>
      <c r="EO138">
        <f t="shared" si="409"/>
        <v>4.0499999999999998E-3</v>
      </c>
      <c r="EP138" s="460">
        <f t="shared" si="410"/>
        <v>74.05</v>
      </c>
      <c r="EQ138" s="460"/>
      <c r="ER138" s="460">
        <f t="shared" si="432"/>
        <v>4683.0386025435155</v>
      </c>
      <c r="ES138" s="528">
        <f t="shared" si="411"/>
        <v>0.1176</v>
      </c>
      <c r="EV138" s="460">
        <f t="shared" si="412"/>
        <v>117.6</v>
      </c>
      <c r="EW138" s="528">
        <f t="shared" si="413"/>
        <v>1.1516856545938796</v>
      </c>
      <c r="EX138" s="528">
        <f t="shared" si="414"/>
        <v>5.3047858635153012E-3</v>
      </c>
      <c r="EY138" s="528">
        <f t="shared" si="415"/>
        <v>159.55930290099622</v>
      </c>
      <c r="EZ138" s="528"/>
      <c r="FA138" s="528">
        <f t="shared" si="416"/>
        <v>2.8644000000000012</v>
      </c>
      <c r="FB138" s="460">
        <f t="shared" si="417"/>
        <v>163580.69334145362</v>
      </c>
      <c r="FC138" s="173">
        <f t="shared" si="418"/>
        <v>168.38133194399711</v>
      </c>
      <c r="FD138" s="5">
        <f t="shared" si="419"/>
        <v>28.560000000000002</v>
      </c>
      <c r="FE138" s="173">
        <f t="shared" si="420"/>
        <v>0.14501780666397351</v>
      </c>
      <c r="FF138" s="5">
        <f t="shared" si="421"/>
        <v>14.501780666397352</v>
      </c>
      <c r="FI138" s="562">
        <f t="shared" si="422"/>
        <v>-50</v>
      </c>
      <c r="FJ138">
        <f t="shared" si="423"/>
        <v>-50</v>
      </c>
      <c r="FL138">
        <f t="shared" si="424"/>
        <v>0.37141245815972074</v>
      </c>
    </row>
    <row r="139" spans="5:168">
      <c r="E139" s="170">
        <v>29</v>
      </c>
      <c r="F139" s="217">
        <f t="shared" si="425"/>
        <v>0.17399999999999999</v>
      </c>
      <c r="G139" s="217"/>
      <c r="H139" s="217">
        <f t="shared" si="315"/>
        <v>29.58</v>
      </c>
      <c r="I139" s="541">
        <f t="shared" si="316"/>
        <v>8.3564784385896616</v>
      </c>
      <c r="J139" s="172">
        <f t="shared" si="317"/>
        <v>8.5256894873872255</v>
      </c>
      <c r="K139" s="172">
        <f t="shared" si="318"/>
        <v>16.882167925976887</v>
      </c>
      <c r="L139" s="443"/>
      <c r="M139" s="217">
        <f t="shared" si="319"/>
        <v>0.50501156168424532</v>
      </c>
      <c r="N139" s="172">
        <f t="shared" si="426"/>
        <v>141.81003946957193</v>
      </c>
      <c r="O139" s="172">
        <f t="shared" si="438"/>
        <v>29.58</v>
      </c>
      <c r="P139" s="217">
        <f t="shared" si="320"/>
        <v>0.83417670276218781</v>
      </c>
      <c r="Q139" s="217">
        <f t="shared" si="321"/>
        <v>170</v>
      </c>
      <c r="R139" s="217"/>
      <c r="S139" s="172">
        <f t="shared" si="322"/>
        <v>1433.7866319179409</v>
      </c>
      <c r="T139" s="172">
        <f t="shared" si="323"/>
        <v>170</v>
      </c>
      <c r="U139" s="217">
        <f t="shared" si="324"/>
        <v>14.060934480979116</v>
      </c>
      <c r="V139" s="217">
        <f t="shared" si="325"/>
        <v>0.84131937779236377</v>
      </c>
      <c r="W139" s="217">
        <f t="shared" si="326"/>
        <v>0.82462154537651455</v>
      </c>
      <c r="X139" s="197">
        <f t="shared" si="327"/>
        <v>350</v>
      </c>
      <c r="Y139" s="443">
        <f t="shared" si="328"/>
        <v>350</v>
      </c>
      <c r="AA139" s="217">
        <f t="shared" si="329"/>
        <v>24.114959875447337</v>
      </c>
      <c r="AB139" s="173">
        <f t="shared" si="330"/>
        <v>1.4142527657805646</v>
      </c>
      <c r="AC139" s="173">
        <f t="shared" si="331"/>
        <v>0.29841567612971392</v>
      </c>
      <c r="AD139" s="173"/>
      <c r="AE139" s="173">
        <f t="shared" si="332"/>
        <v>0.78195044242805589</v>
      </c>
      <c r="AF139" s="545">
        <f t="shared" si="333"/>
        <v>667.56148686241966</v>
      </c>
      <c r="AG139" s="528">
        <f t="shared" si="334"/>
        <v>9.1227551616606548E-2</v>
      </c>
      <c r="AI139" s="173">
        <f t="shared" si="335"/>
        <v>18.414093799853429</v>
      </c>
      <c r="AJ139" s="173">
        <f t="shared" si="336"/>
        <v>18.414093799853429</v>
      </c>
      <c r="AK139" s="173">
        <f t="shared" si="337"/>
        <v>4.9635262714963666</v>
      </c>
      <c r="AM139" s="545">
        <f t="shared" si="338"/>
        <v>174</v>
      </c>
      <c r="AN139" s="460">
        <f t="shared" si="339"/>
        <v>350</v>
      </c>
      <c r="AP139" s="460">
        <f t="shared" si="340"/>
        <v>174</v>
      </c>
      <c r="AQ139" s="460">
        <f t="shared" si="341"/>
        <v>350</v>
      </c>
      <c r="AS139" s="5">
        <f t="shared" si="439"/>
        <v>2.8571428571428572</v>
      </c>
      <c r="AT139" s="5">
        <f t="shared" si="342"/>
        <v>1.1017855149854971</v>
      </c>
      <c r="AU139" s="5">
        <f t="shared" si="343"/>
        <v>1.7553573421573601</v>
      </c>
      <c r="AV139" s="5"/>
      <c r="AW139" s="173">
        <f t="shared" si="344"/>
        <v>0.385624930244924</v>
      </c>
      <c r="AX139" s="173">
        <f t="shared" si="435"/>
        <v>29.669399416107542</v>
      </c>
      <c r="AY139" s="173">
        <f t="shared" si="436"/>
        <v>0.2828290040690366</v>
      </c>
      <c r="AZ139" s="173">
        <f t="shared" si="440"/>
        <v>104.90225185273235</v>
      </c>
      <c r="BA139" s="460">
        <f t="shared" si="433"/>
        <v>0.11277098800439793</v>
      </c>
      <c r="BB139" s="5">
        <f t="shared" si="434"/>
        <v>9.9416940880236009</v>
      </c>
      <c r="BD139" s="173">
        <f t="shared" si="441"/>
        <v>6.6019506728427331</v>
      </c>
      <c r="BE139" s="173">
        <f t="shared" si="437"/>
        <v>0.41665492557776423</v>
      </c>
      <c r="BG139" s="528">
        <f t="shared" si="347"/>
        <v>1.7434301074659448</v>
      </c>
      <c r="BH139" s="528">
        <f t="shared" si="348"/>
        <v>2.4480998619037964</v>
      </c>
      <c r="BI139" s="528">
        <f t="shared" si="349"/>
        <v>0.11699069814025527</v>
      </c>
      <c r="BJ139" s="528">
        <f t="shared" si="350"/>
        <v>1.9950531571661791E-2</v>
      </c>
      <c r="BK139">
        <f t="shared" si="351"/>
        <v>3.7604152973653476E-3</v>
      </c>
      <c r="BL139" s="460">
        <f t="shared" si="427"/>
        <v>120.75111343762062</v>
      </c>
      <c r="BM139" s="528">
        <f t="shared" si="352"/>
        <v>7.9933737109014125</v>
      </c>
      <c r="BN139" s="460">
        <f t="shared" si="353"/>
        <v>7993.3737109014128</v>
      </c>
      <c r="BO139" s="528">
        <f t="shared" si="354"/>
        <v>0.12179999999999998</v>
      </c>
      <c r="BR139" s="460">
        <f t="shared" si="355"/>
        <v>121.79999999999998</v>
      </c>
      <c r="BS139" s="528">
        <f t="shared" si="356"/>
        <v>1.3075725805994585</v>
      </c>
      <c r="BT139" s="528">
        <f t="shared" si="357"/>
        <v>5.2080398102463676E-3</v>
      </c>
      <c r="BU139" s="528">
        <f t="shared" si="358"/>
        <v>166.73086101352536</v>
      </c>
      <c r="BV139" s="528"/>
      <c r="BW139" s="528">
        <f t="shared" si="359"/>
        <v>2.9669399416107547</v>
      </c>
      <c r="BX139" s="460">
        <f t="shared" si="360"/>
        <v>171010.5815755458</v>
      </c>
      <c r="BY139" s="173">
        <f t="shared" si="361"/>
        <v>175.46461318992482</v>
      </c>
      <c r="BZ139" s="5">
        <f t="shared" si="362"/>
        <v>29.58</v>
      </c>
      <c r="CA139" s="173">
        <f t="shared" si="363"/>
        <v>0.14426128801833579</v>
      </c>
      <c r="CB139" s="5">
        <f t="shared" si="364"/>
        <v>14.426128801833579</v>
      </c>
      <c r="CE139" s="562">
        <f t="shared" si="365"/>
        <v>-50</v>
      </c>
      <c r="CF139">
        <f t="shared" si="366"/>
        <v>-50</v>
      </c>
      <c r="CG139" s="173">
        <f t="shared" si="367"/>
        <v>0.37854209494725782</v>
      </c>
      <c r="CI139" s="170">
        <v>29</v>
      </c>
      <c r="CJ139" s="217">
        <f t="shared" si="428"/>
        <v>0.17399999999999999</v>
      </c>
      <c r="CK139" s="217"/>
      <c r="CL139" s="217">
        <f t="shared" si="368"/>
        <v>29.58</v>
      </c>
      <c r="CM139" s="541">
        <f t="shared" si="369"/>
        <v>9</v>
      </c>
      <c r="CN139" s="443">
        <f t="shared" si="370"/>
        <v>8.5250000000000004</v>
      </c>
      <c r="CO139" s="443">
        <f t="shared" si="371"/>
        <v>17.524999999999999</v>
      </c>
      <c r="CP139" s="443"/>
      <c r="CQ139" s="217">
        <f t="shared" si="372"/>
        <v>0.48644793152639093</v>
      </c>
      <c r="CR139" s="172">
        <f t="shared" si="429"/>
        <v>147.11644793152644</v>
      </c>
      <c r="CS139" s="172">
        <f t="shared" si="373"/>
        <v>29.58</v>
      </c>
      <c r="CT139" s="217">
        <f t="shared" si="374"/>
        <v>0.86539087018544958</v>
      </c>
      <c r="CU139" s="217">
        <f t="shared" si="375"/>
        <v>170</v>
      </c>
      <c r="CV139" s="217"/>
      <c r="CW139" s="172">
        <f t="shared" si="376"/>
        <v>1544.1961949185377</v>
      </c>
      <c r="CX139" s="172">
        <f t="shared" si="377"/>
        <v>170</v>
      </c>
      <c r="CY139" s="217">
        <f t="shared" si="378"/>
        <v>13.512922776148582</v>
      </c>
      <c r="CZ139" s="217">
        <f t="shared" si="379"/>
        <v>0.75071793200825443</v>
      </c>
      <c r="DA139" s="217">
        <f t="shared" si="380"/>
        <v>0.79254679038994602</v>
      </c>
      <c r="DB139" s="197">
        <f t="shared" si="381"/>
        <v>350</v>
      </c>
      <c r="DC139" s="443">
        <f t="shared" si="382"/>
        <v>350</v>
      </c>
      <c r="DE139" s="217">
        <f t="shared" si="383"/>
        <v>25.017322192785819</v>
      </c>
      <c r="DF139" s="173">
        <f t="shared" si="384"/>
        <v>1.467291624210312</v>
      </c>
      <c r="DG139" s="173">
        <f t="shared" si="385"/>
        <v>0.32119243899439714</v>
      </c>
      <c r="DH139" s="173"/>
      <c r="DI139" s="173">
        <f t="shared" si="386"/>
        <v>0.78201368523949166</v>
      </c>
      <c r="DJ139" s="545">
        <f t="shared" si="387"/>
        <v>667.50749999999994</v>
      </c>
      <c r="DK139" s="528">
        <f t="shared" si="388"/>
        <v>9.1234929944607357E-2</v>
      </c>
      <c r="DM139" s="173">
        <f t="shared" si="389"/>
        <v>18.413349194848518</v>
      </c>
      <c r="DN139" s="173">
        <f t="shared" si="390"/>
        <v>18.413349194848518</v>
      </c>
      <c r="DO139" s="173">
        <f t="shared" si="391"/>
        <v>4.9629747122334695</v>
      </c>
      <c r="DQ139" s="545">
        <f t="shared" si="392"/>
        <v>174</v>
      </c>
      <c r="DR139" s="460">
        <f t="shared" si="393"/>
        <v>350</v>
      </c>
      <c r="DT139">
        <f t="shared" si="430"/>
        <v>174</v>
      </c>
      <c r="DU139">
        <f t="shared" si="431"/>
        <v>350</v>
      </c>
      <c r="DW139" s="5">
        <f t="shared" si="394"/>
        <v>2.8571428571428572</v>
      </c>
      <c r="DX139" s="5">
        <f t="shared" si="395"/>
        <v>1.0229638441582511</v>
      </c>
      <c r="DY139" s="5">
        <f t="shared" si="396"/>
        <v>1.8341790129846061</v>
      </c>
      <c r="DZ139" s="5"/>
      <c r="EA139" s="173">
        <f t="shared" si="397"/>
        <v>0.3580373454553879</v>
      </c>
      <c r="EB139" s="173">
        <f t="shared" si="398"/>
        <v>29.666999999999998</v>
      </c>
      <c r="EC139" s="173">
        <f t="shared" si="399"/>
        <v>0.29551706320454629</v>
      </c>
      <c r="ED139" s="173">
        <f t="shared" si="400"/>
        <v>100.39014220801717</v>
      </c>
      <c r="EE139" s="460">
        <f t="shared" si="401"/>
        <v>0.10470335816678571</v>
      </c>
      <c r="EF139" s="5">
        <f t="shared" si="402"/>
        <v>9.6453360362817158</v>
      </c>
      <c r="EH139" s="173">
        <f t="shared" si="403"/>
        <v>6.3611601001329765</v>
      </c>
      <c r="EI139" s="173">
        <f t="shared" si="404"/>
        <v>0.42588961315585955</v>
      </c>
      <c r="EK139" s="528">
        <f t="shared" si="405"/>
        <v>1.6185743127809511</v>
      </c>
      <c r="EL139" s="528">
        <f t="shared" si="406"/>
        <v>3.1059292171573079</v>
      </c>
      <c r="EM139" s="528">
        <f t="shared" si="407"/>
        <v>6.9999999999999993E-2</v>
      </c>
      <c r="EN139" s="528">
        <f t="shared" si="408"/>
        <v>2.1498793749999998E-2</v>
      </c>
      <c r="EO139">
        <f t="shared" si="409"/>
        <v>4.0499999999999998E-3</v>
      </c>
      <c r="EP139" s="460">
        <f t="shared" si="410"/>
        <v>74.05</v>
      </c>
      <c r="EQ139" s="460"/>
      <c r="ER139" s="460">
        <f t="shared" si="432"/>
        <v>4820.05232368826</v>
      </c>
      <c r="ES139" s="528">
        <f t="shared" si="411"/>
        <v>0.12179999999999998</v>
      </c>
      <c r="EV139" s="460">
        <f t="shared" si="412"/>
        <v>121.79999999999998</v>
      </c>
      <c r="EW139" s="528">
        <f t="shared" si="413"/>
        <v>1.2139307345857133</v>
      </c>
      <c r="EX139" s="528">
        <f t="shared" si="414"/>
        <v>5.4414588778214307E-3</v>
      </c>
      <c r="EY139" s="528">
        <f t="shared" si="415"/>
        <v>166.71400641429301</v>
      </c>
      <c r="EZ139" s="528"/>
      <c r="FA139" s="528">
        <f t="shared" si="416"/>
        <v>2.9666999999999999</v>
      </c>
      <c r="FB139" s="460">
        <f t="shared" si="417"/>
        <v>170900.07860775653</v>
      </c>
      <c r="FC139" s="173">
        <f t="shared" si="418"/>
        <v>175.84193093144481</v>
      </c>
      <c r="FD139" s="5">
        <f t="shared" si="419"/>
        <v>29.58</v>
      </c>
      <c r="FE139" s="173">
        <f t="shared" si="420"/>
        <v>0.1439963097702148</v>
      </c>
      <c r="FF139" s="5">
        <f t="shared" si="421"/>
        <v>14.399630977021479</v>
      </c>
      <c r="FI139" s="562">
        <f t="shared" si="422"/>
        <v>-50</v>
      </c>
      <c r="FJ139">
        <f t="shared" si="423"/>
        <v>-50</v>
      </c>
      <c r="FL139">
        <f t="shared" si="424"/>
        <v>0.3779866403634593</v>
      </c>
    </row>
    <row r="140" spans="5:168">
      <c r="E140" s="170">
        <v>30</v>
      </c>
      <c r="F140" s="217">
        <f t="shared" si="425"/>
        <v>0.18</v>
      </c>
      <c r="G140" s="217"/>
      <c r="H140" s="217">
        <f t="shared" si="315"/>
        <v>30.599999999999998</v>
      </c>
      <c r="I140" s="541">
        <f t="shared" si="316"/>
        <v>8.3454772731218565</v>
      </c>
      <c r="J140" s="172">
        <f t="shared" si="317"/>
        <v>8.5257012743502276</v>
      </c>
      <c r="K140" s="172">
        <f t="shared" si="318"/>
        <v>16.871178547472084</v>
      </c>
      <c r="L140" s="443"/>
      <c r="M140" s="217">
        <f t="shared" si="319"/>
        <v>0.50534121016624123</v>
      </c>
      <c r="N140" s="172">
        <f t="shared" si="426"/>
        <v>141.71579415498792</v>
      </c>
      <c r="O140" s="172">
        <f t="shared" si="438"/>
        <v>30.599999999999998</v>
      </c>
      <c r="P140" s="217">
        <f t="shared" si="320"/>
        <v>0.83362231855875246</v>
      </c>
      <c r="Q140" s="217">
        <f t="shared" si="321"/>
        <v>170</v>
      </c>
      <c r="R140" s="217"/>
      <c r="S140" s="172">
        <f t="shared" si="322"/>
        <v>1378.6097223313884</v>
      </c>
      <c r="T140" s="172">
        <f t="shared" si="323"/>
        <v>170</v>
      </c>
      <c r="U140" s="217">
        <f t="shared" si="324"/>
        <v>14.555487839243128</v>
      </c>
      <c r="V140" s="217">
        <f t="shared" si="325"/>
        <v>0.8720584433272468</v>
      </c>
      <c r="W140" s="217">
        <f t="shared" si="326"/>
        <v>0.85362408151888058</v>
      </c>
      <c r="X140" s="197">
        <f t="shared" si="327"/>
        <v>350</v>
      </c>
      <c r="Y140" s="443">
        <f t="shared" si="328"/>
        <v>350</v>
      </c>
      <c r="AA140" s="217">
        <f t="shared" si="329"/>
        <v>24.09893332832549</v>
      </c>
      <c r="AB140" s="173">
        <f t="shared" si="330"/>
        <v>1.4133109144245821</v>
      </c>
      <c r="AC140" s="173">
        <f t="shared" si="331"/>
        <v>0.29801874811548645</v>
      </c>
      <c r="AD140" s="173"/>
      <c r="AE140" s="173">
        <f t="shared" si="332"/>
        <v>0.7819493613649694</v>
      </c>
      <c r="AF140" s="545">
        <f t="shared" si="333"/>
        <v>690.58180322236831</v>
      </c>
      <c r="AG140" s="528">
        <f t="shared" si="334"/>
        <v>9.1227425492579783E-2</v>
      </c>
      <c r="AI140" s="173">
        <f t="shared" si="335"/>
        <v>18.728900383451947</v>
      </c>
      <c r="AJ140" s="173">
        <f t="shared" si="336"/>
        <v>18.728900383451947</v>
      </c>
      <c r="AK140" s="173">
        <f t="shared" si="337"/>
        <v>5.196716333421195</v>
      </c>
      <c r="AM140" s="545">
        <f t="shared" si="338"/>
        <v>180</v>
      </c>
      <c r="AN140" s="460">
        <f t="shared" si="339"/>
        <v>350</v>
      </c>
      <c r="AP140" s="460">
        <f t="shared" si="340"/>
        <v>180</v>
      </c>
      <c r="AQ140" s="460">
        <f t="shared" si="341"/>
        <v>350</v>
      </c>
      <c r="AS140" s="5">
        <f t="shared" si="439"/>
        <v>2.8571428571428572</v>
      </c>
      <c r="AT140" s="5">
        <f t="shared" si="342"/>
        <v>1.1220988189478278</v>
      </c>
      <c r="AU140" s="5">
        <f t="shared" si="343"/>
        <v>1.7350440381950294</v>
      </c>
      <c r="AV140" s="5"/>
      <c r="AW140" s="173">
        <f t="shared" si="344"/>
        <v>0.39273458663173971</v>
      </c>
      <c r="AX140" s="173">
        <f t="shared" si="435"/>
        <v>30.692524587660813</v>
      </c>
      <c r="AY140" s="173">
        <f t="shared" si="436"/>
        <v>0.28433533583224785</v>
      </c>
      <c r="AZ140" s="173">
        <f t="shared" si="440"/>
        <v>107.9448127606932</v>
      </c>
      <c r="BA140" s="460">
        <f t="shared" si="433"/>
        <v>0.11881046318271118</v>
      </c>
      <c r="BB140" s="5">
        <f t="shared" si="434"/>
        <v>10.178897303287673</v>
      </c>
      <c r="BD140" s="173">
        <f t="shared" si="441"/>
        <v>6.7764342236254187</v>
      </c>
      <c r="BE140" s="173">
        <f t="shared" si="437"/>
        <v>0.42131888874096007</v>
      </c>
      <c r="BG140" s="528">
        <f t="shared" si="347"/>
        <v>1.8368024314848734</v>
      </c>
      <c r="BH140" s="528">
        <f t="shared" si="348"/>
        <v>2.4883316511404097</v>
      </c>
      <c r="BI140" s="528">
        <f t="shared" si="349"/>
        <v>0.11683668182370599</v>
      </c>
      <c r="BJ140" s="528">
        <f t="shared" si="350"/>
        <v>1.9924566590647761E-2</v>
      </c>
      <c r="BK140">
        <f t="shared" si="351"/>
        <v>3.7554647729048352E-3</v>
      </c>
      <c r="BL140" s="460">
        <f t="shared" si="427"/>
        <v>120.59214659661083</v>
      </c>
      <c r="BM140" s="528">
        <f t="shared" si="352"/>
        <v>8.5897865052513733</v>
      </c>
      <c r="BN140" s="460">
        <f t="shared" si="353"/>
        <v>8589.7865052513735</v>
      </c>
      <c r="BO140" s="528">
        <f t="shared" si="354"/>
        <v>0.126</v>
      </c>
      <c r="BR140" s="460">
        <f t="shared" si="355"/>
        <v>126</v>
      </c>
      <c r="BS140" s="528">
        <f t="shared" si="356"/>
        <v>1.3776018236136549</v>
      </c>
      <c r="BT140" s="528">
        <f t="shared" si="357"/>
        <v>5.3252881802975244E-3</v>
      </c>
      <c r="BU140" s="528">
        <f t="shared" si="358"/>
        <v>173.94855062457998</v>
      </c>
      <c r="BV140" s="528"/>
      <c r="BW140" s="528">
        <f t="shared" si="359"/>
        <v>3.0692524587660821</v>
      </c>
      <c r="BX140" s="460">
        <f t="shared" si="360"/>
        <v>178400.73019514</v>
      </c>
      <c r="BY140" s="173">
        <f t="shared" si="361"/>
        <v>182.99238099095254</v>
      </c>
      <c r="BZ140" s="5">
        <f t="shared" si="362"/>
        <v>30.599999999999998</v>
      </c>
      <c r="CA140" s="173">
        <f t="shared" si="363"/>
        <v>0.14326353710760953</v>
      </c>
      <c r="CB140" s="5">
        <f t="shared" si="364"/>
        <v>14.326353710760953</v>
      </c>
      <c r="CE140" s="562">
        <f t="shared" si="365"/>
        <v>-50</v>
      </c>
      <c r="CF140">
        <f t="shared" si="366"/>
        <v>-50</v>
      </c>
      <c r="CG140" s="173">
        <f t="shared" si="367"/>
        <v>0.38501336875184872</v>
      </c>
      <c r="CI140" s="170">
        <v>30</v>
      </c>
      <c r="CJ140" s="217">
        <f t="shared" si="428"/>
        <v>0.18</v>
      </c>
      <c r="CK140" s="217"/>
      <c r="CL140" s="217">
        <f t="shared" si="368"/>
        <v>30.599999999999998</v>
      </c>
      <c r="CM140" s="541">
        <f t="shared" si="369"/>
        <v>9</v>
      </c>
      <c r="CN140" s="443">
        <f t="shared" si="370"/>
        <v>8.5250000000000004</v>
      </c>
      <c r="CO140" s="443">
        <f t="shared" si="371"/>
        <v>17.524999999999999</v>
      </c>
      <c r="CP140" s="443"/>
      <c r="CQ140" s="217">
        <f t="shared" si="372"/>
        <v>0.48644793152639093</v>
      </c>
      <c r="CR140" s="172">
        <f t="shared" si="429"/>
        <v>147.11644793152644</v>
      </c>
      <c r="CS140" s="172">
        <f t="shared" si="373"/>
        <v>30.599999999999998</v>
      </c>
      <c r="CT140" s="217">
        <f t="shared" si="374"/>
        <v>0.86539087018544958</v>
      </c>
      <c r="CU140" s="217">
        <f t="shared" si="375"/>
        <v>170</v>
      </c>
      <c r="CV140" s="217"/>
      <c r="CW140" s="172">
        <f t="shared" si="376"/>
        <v>1486.7271819672826</v>
      </c>
      <c r="CX140" s="172">
        <f t="shared" si="377"/>
        <v>170</v>
      </c>
      <c r="CY140" s="217">
        <f t="shared" si="378"/>
        <v>13.978885630498532</v>
      </c>
      <c r="CZ140" s="217">
        <f t="shared" si="379"/>
        <v>0.7766047572499184</v>
      </c>
      <c r="DA140" s="217">
        <f t="shared" si="380"/>
        <v>0.81987599005856482</v>
      </c>
      <c r="DB140" s="197">
        <f t="shared" si="381"/>
        <v>350</v>
      </c>
      <c r="DC140" s="443">
        <f t="shared" si="382"/>
        <v>350</v>
      </c>
      <c r="DE140" s="217">
        <f t="shared" si="383"/>
        <v>25.017322192785819</v>
      </c>
      <c r="DF140" s="173">
        <f t="shared" si="384"/>
        <v>1.467291624210312</v>
      </c>
      <c r="DG140" s="173">
        <f t="shared" si="385"/>
        <v>0.32119243899439714</v>
      </c>
      <c r="DH140" s="173"/>
      <c r="DI140" s="173">
        <f t="shared" si="386"/>
        <v>0.78201368523949166</v>
      </c>
      <c r="DJ140" s="545">
        <f t="shared" si="387"/>
        <v>690.52499999999998</v>
      </c>
      <c r="DK140" s="528">
        <f t="shared" si="388"/>
        <v>9.1234929944607357E-2</v>
      </c>
      <c r="DM140" s="173">
        <f t="shared" si="389"/>
        <v>18.72813010267862</v>
      </c>
      <c r="DN140" s="173">
        <f t="shared" si="390"/>
        <v>18.72813010267862</v>
      </c>
      <c r="DO140" s="173">
        <f t="shared" si="391"/>
        <v>5.1961457550705816</v>
      </c>
      <c r="DQ140" s="545">
        <f t="shared" si="392"/>
        <v>180</v>
      </c>
      <c r="DR140" s="460">
        <f t="shared" si="393"/>
        <v>350</v>
      </c>
      <c r="DT140">
        <f t="shared" si="430"/>
        <v>180</v>
      </c>
      <c r="DU140">
        <f t="shared" si="431"/>
        <v>350</v>
      </c>
      <c r="DW140" s="5">
        <f t="shared" si="394"/>
        <v>2.8571428571428572</v>
      </c>
      <c r="DX140" s="5">
        <f t="shared" si="395"/>
        <v>1.0404516723710344</v>
      </c>
      <c r="DY140" s="5">
        <f t="shared" si="396"/>
        <v>1.8166911847718228</v>
      </c>
      <c r="DZ140" s="5"/>
      <c r="EA140" s="173">
        <f t="shared" si="397"/>
        <v>0.36415808532986205</v>
      </c>
      <c r="EB140" s="173">
        <f t="shared" si="398"/>
        <v>30.689999999999991</v>
      </c>
      <c r="EC140" s="173">
        <f t="shared" si="399"/>
        <v>0.2977032525669655</v>
      </c>
      <c r="ED140" s="173">
        <f t="shared" si="400"/>
        <v>103.08923310502483</v>
      </c>
      <c r="EE140" s="460">
        <f t="shared" si="401"/>
        <v>0.11016547119222718</v>
      </c>
      <c r="EF140" s="5">
        <f t="shared" si="402"/>
        <v>9.8828000451587155</v>
      </c>
      <c r="EH140" s="173">
        <f t="shared" si="403"/>
        <v>6.5249737496347615</v>
      </c>
      <c r="EI140" s="173">
        <f t="shared" si="404"/>
        <v>0.43110034586179286</v>
      </c>
      <c r="EK140" s="528">
        <f t="shared" si="405"/>
        <v>1.7030112973369089</v>
      </c>
      <c r="EL140" s="528">
        <f t="shared" si="406"/>
        <v>3.1590258704758867</v>
      </c>
      <c r="EM140" s="528">
        <f t="shared" si="407"/>
        <v>6.9999999999999993E-2</v>
      </c>
      <c r="EN140" s="528">
        <f t="shared" si="408"/>
        <v>2.1498793749999998E-2</v>
      </c>
      <c r="EO140">
        <f t="shared" si="409"/>
        <v>4.0499999999999998E-3</v>
      </c>
      <c r="EP140" s="460">
        <f t="shared" si="410"/>
        <v>74.05</v>
      </c>
      <c r="EQ140" s="460"/>
      <c r="ER140" s="460">
        <f t="shared" si="432"/>
        <v>4957.585961562796</v>
      </c>
      <c r="ES140" s="528">
        <f t="shared" si="411"/>
        <v>0.126</v>
      </c>
      <c r="EV140" s="460">
        <f t="shared" si="412"/>
        <v>126</v>
      </c>
      <c r="EW140" s="528">
        <f t="shared" si="413"/>
        <v>1.2772584730026817</v>
      </c>
      <c r="EX140" s="528">
        <f t="shared" si="414"/>
        <v>5.5754252460647226E-3</v>
      </c>
      <c r="EY140" s="528">
        <f t="shared" si="415"/>
        <v>173.93066581976552</v>
      </c>
      <c r="EZ140" s="528"/>
      <c r="FA140" s="528">
        <f t="shared" si="416"/>
        <v>3.0689999999999995</v>
      </c>
      <c r="FB140" s="460">
        <f t="shared" si="417"/>
        <v>178282.49971801427</v>
      </c>
      <c r="FC140" s="173">
        <f t="shared" si="418"/>
        <v>183.36608567957705</v>
      </c>
      <c r="FD140" s="5">
        <f t="shared" si="419"/>
        <v>30.599999999999998</v>
      </c>
      <c r="FE140" s="173">
        <f t="shared" si="420"/>
        <v>0.14301331868932138</v>
      </c>
      <c r="FF140" s="5">
        <f t="shared" si="421"/>
        <v>14.301331868932138</v>
      </c>
      <c r="FI140" s="562">
        <f t="shared" si="422"/>
        <v>-50</v>
      </c>
      <c r="FJ140">
        <f t="shared" si="423"/>
        <v>-50</v>
      </c>
      <c r="FL140">
        <f t="shared" si="424"/>
        <v>0.38444841853005968</v>
      </c>
    </row>
    <row r="141" spans="5:168">
      <c r="E141" s="170">
        <v>31</v>
      </c>
      <c r="F141" s="217">
        <f t="shared" si="425"/>
        <v>0.186</v>
      </c>
      <c r="G141" s="217"/>
      <c r="H141" s="217">
        <f t="shared" si="315"/>
        <v>31.62</v>
      </c>
      <c r="I141" s="541">
        <f t="shared" si="316"/>
        <v>8.3346579826886025</v>
      </c>
      <c r="J141" s="172">
        <f t="shared" si="317"/>
        <v>8.5257128664471207</v>
      </c>
      <c r="K141" s="172">
        <f t="shared" si="318"/>
        <v>16.860370849135723</v>
      </c>
      <c r="L141" s="443"/>
      <c r="M141" s="217">
        <f t="shared" si="319"/>
        <v>0.50566582790974002</v>
      </c>
      <c r="N141" s="172">
        <f t="shared" si="426"/>
        <v>141.6229866055653</v>
      </c>
      <c r="O141" s="172">
        <f t="shared" si="438"/>
        <v>31.62</v>
      </c>
      <c r="P141" s="217">
        <f t="shared" si="320"/>
        <v>0.83307639179744297</v>
      </c>
      <c r="Q141" s="217">
        <f t="shared" si="321"/>
        <v>170</v>
      </c>
      <c r="R141" s="217"/>
      <c r="S141" s="172">
        <f t="shared" si="322"/>
        <v>1327.035928405925</v>
      </c>
      <c r="T141" s="172">
        <f t="shared" si="323"/>
        <v>170</v>
      </c>
      <c r="U141" s="217">
        <f t="shared" si="324"/>
        <v>15.05054762558785</v>
      </c>
      <c r="V141" s="217">
        <f t="shared" si="325"/>
        <v>0.90288933612203415</v>
      </c>
      <c r="W141" s="217">
        <f t="shared" si="326"/>
        <v>0.88265625768486566</v>
      </c>
      <c r="X141" s="197">
        <f t="shared" si="327"/>
        <v>350</v>
      </c>
      <c r="Y141" s="443">
        <f t="shared" si="328"/>
        <v>350</v>
      </c>
      <c r="AA141" s="217">
        <f t="shared" si="329"/>
        <v>24.083151275266271</v>
      </c>
      <c r="AB141" s="173">
        <f t="shared" si="330"/>
        <v>1.4123834365830763</v>
      </c>
      <c r="AC141" s="173">
        <f t="shared" si="331"/>
        <v>0.29762813466671839</v>
      </c>
      <c r="AD141" s="173"/>
      <c r="AE141" s="173">
        <f t="shared" si="332"/>
        <v>0.78194829817730349</v>
      </c>
      <c r="AF141" s="545">
        <f t="shared" si="333"/>
        <v>713.60216692162385</v>
      </c>
      <c r="AG141" s="528">
        <f t="shared" si="334"/>
        <v>9.1227301454018764E-2</v>
      </c>
      <c r="AI141" s="173">
        <f t="shared" si="335"/>
        <v>19.038502901281255</v>
      </c>
      <c r="AJ141" s="173">
        <f t="shared" si="336"/>
        <v>19.038502901281255</v>
      </c>
      <c r="AK141" s="173">
        <f t="shared" si="337"/>
        <v>5.4260515318132754</v>
      </c>
      <c r="AM141" s="545">
        <f t="shared" si="338"/>
        <v>186</v>
      </c>
      <c r="AN141" s="460">
        <f t="shared" si="339"/>
        <v>350</v>
      </c>
      <c r="AP141" s="460">
        <f t="shared" si="340"/>
        <v>186</v>
      </c>
      <c r="AQ141" s="460">
        <f t="shared" si="341"/>
        <v>350</v>
      </c>
      <c r="AS141" s="5">
        <f t="shared" si="439"/>
        <v>2.8571428571428572</v>
      </c>
      <c r="AT141" s="5">
        <f t="shared" si="342"/>
        <v>1.1421286236834756</v>
      </c>
      <c r="AU141" s="5">
        <f t="shared" si="343"/>
        <v>1.7150142334593816</v>
      </c>
      <c r="AV141" s="5"/>
      <c r="AW141" s="173">
        <f t="shared" si="344"/>
        <v>0.39974501828921644</v>
      </c>
      <c r="AX141" s="173">
        <f t="shared" si="435"/>
        <v>31.715651863183293</v>
      </c>
      <c r="AY141" s="173">
        <f t="shared" si="436"/>
        <v>0.28569890527023201</v>
      </c>
      <c r="AZ141" s="173">
        <f t="shared" si="440"/>
        <v>111.0107574027441</v>
      </c>
      <c r="BA141" s="460">
        <f t="shared" si="433"/>
        <v>0.12496230823830969</v>
      </c>
      <c r="BB141" s="5">
        <f t="shared" si="434"/>
        <v>10.410265217768178</v>
      </c>
      <c r="BD141" s="173">
        <f t="shared" si="441"/>
        <v>6.9496622279284708</v>
      </c>
      <c r="BE141" s="173">
        <f t="shared" si="437"/>
        <v>0.42580431487089587</v>
      </c>
      <c r="BG141" s="528">
        <f t="shared" si="347"/>
        <v>1.9319122032918288</v>
      </c>
      <c r="BH141" s="528">
        <f t="shared" si="348"/>
        <v>2.5278452272075937</v>
      </c>
      <c r="BI141" s="528">
        <f t="shared" si="349"/>
        <v>0.11668521175764043</v>
      </c>
      <c r="BJ141" s="528">
        <f t="shared" si="350"/>
        <v>1.9899047361926995E-2</v>
      </c>
      <c r="BK141">
        <f t="shared" si="351"/>
        <v>3.750596092209871E-3</v>
      </c>
      <c r="BL141" s="460">
        <f t="shared" si="427"/>
        <v>120.43580784985031</v>
      </c>
      <c r="BM141" s="528">
        <f t="shared" si="352"/>
        <v>9.2448785558861584</v>
      </c>
      <c r="BN141" s="460">
        <f t="shared" si="353"/>
        <v>9244.8785558861582</v>
      </c>
      <c r="BO141" s="528">
        <f t="shared" si="354"/>
        <v>0.13019999999999998</v>
      </c>
      <c r="BR141" s="460">
        <f t="shared" si="355"/>
        <v>130.19999999999999</v>
      </c>
      <c r="BS141" s="528">
        <f t="shared" si="356"/>
        <v>1.4489341524688715</v>
      </c>
      <c r="BT141" s="528">
        <f t="shared" si="357"/>
        <v>5.4392794368801909E-3</v>
      </c>
      <c r="BU141" s="528">
        <f t="shared" si="358"/>
        <v>181.22666625318394</v>
      </c>
      <c r="BV141" s="528"/>
      <c r="BW141" s="528">
        <f t="shared" si="359"/>
        <v>3.1715651863183294</v>
      </c>
      <c r="BX141" s="460">
        <f t="shared" si="360"/>
        <v>185852.60487140802</v>
      </c>
      <c r="BY141" s="173">
        <f t="shared" si="361"/>
        <v>190.58289715711922</v>
      </c>
      <c r="BZ141" s="5">
        <f t="shared" si="362"/>
        <v>31.62</v>
      </c>
      <c r="CA141" s="173">
        <f t="shared" si="363"/>
        <v>0.14230237501197637</v>
      </c>
      <c r="CB141" s="5">
        <f t="shared" si="364"/>
        <v>14.230237501197637</v>
      </c>
      <c r="CE141" s="562">
        <f t="shared" si="365"/>
        <v>-50</v>
      </c>
      <c r="CF141">
        <f t="shared" si="366"/>
        <v>-50</v>
      </c>
      <c r="CG141" s="173">
        <f t="shared" si="367"/>
        <v>0.39137765724199852</v>
      </c>
      <c r="CI141" s="170">
        <v>31</v>
      </c>
      <c r="CJ141" s="217">
        <f t="shared" si="428"/>
        <v>0.186</v>
      </c>
      <c r="CK141" s="217"/>
      <c r="CL141" s="217">
        <f t="shared" si="368"/>
        <v>31.62</v>
      </c>
      <c r="CM141" s="541">
        <f t="shared" si="369"/>
        <v>9</v>
      </c>
      <c r="CN141" s="443">
        <f t="shared" si="370"/>
        <v>8.5250000000000004</v>
      </c>
      <c r="CO141" s="443">
        <f t="shared" si="371"/>
        <v>17.524999999999999</v>
      </c>
      <c r="CP141" s="443"/>
      <c r="CQ141" s="217">
        <f t="shared" si="372"/>
        <v>0.48644793152639093</v>
      </c>
      <c r="CR141" s="172">
        <f t="shared" si="429"/>
        <v>147.11644793152644</v>
      </c>
      <c r="CS141" s="172">
        <f t="shared" si="373"/>
        <v>31.62</v>
      </c>
      <c r="CT141" s="217">
        <f t="shared" si="374"/>
        <v>0.86539087018544958</v>
      </c>
      <c r="CU141" s="217">
        <f t="shared" si="375"/>
        <v>170</v>
      </c>
      <c r="CV141" s="217"/>
      <c r="CW141" s="172">
        <f t="shared" si="376"/>
        <v>1432.9660106924057</v>
      </c>
      <c r="CX141" s="172">
        <f t="shared" si="377"/>
        <v>170</v>
      </c>
      <c r="CY141" s="217">
        <f t="shared" si="378"/>
        <v>14.444848484848483</v>
      </c>
      <c r="CZ141" s="217">
        <f t="shared" si="379"/>
        <v>0.80249158249158248</v>
      </c>
      <c r="DA141" s="217">
        <f t="shared" si="380"/>
        <v>0.84720518972718373</v>
      </c>
      <c r="DB141" s="197">
        <f t="shared" si="381"/>
        <v>350</v>
      </c>
      <c r="DC141" s="443">
        <f t="shared" si="382"/>
        <v>350</v>
      </c>
      <c r="DE141" s="217">
        <f t="shared" si="383"/>
        <v>25.017322192785819</v>
      </c>
      <c r="DF141" s="173">
        <f t="shared" si="384"/>
        <v>1.467291624210312</v>
      </c>
      <c r="DG141" s="173">
        <f t="shared" si="385"/>
        <v>0.32119243899439714</v>
      </c>
      <c r="DH141" s="173"/>
      <c r="DI141" s="173">
        <f t="shared" si="386"/>
        <v>0.78201368523949166</v>
      </c>
      <c r="DJ141" s="545">
        <f t="shared" si="387"/>
        <v>713.54250000000002</v>
      </c>
      <c r="DK141" s="528">
        <f t="shared" si="388"/>
        <v>9.1234929944607357E-2</v>
      </c>
      <c r="DM141" s="173">
        <f t="shared" si="389"/>
        <v>19.037706944752713</v>
      </c>
      <c r="DN141" s="173">
        <f t="shared" si="390"/>
        <v>19.037706944752713</v>
      </c>
      <c r="DO141" s="173">
        <f t="shared" si="391"/>
        <v>5.4254619343847255</v>
      </c>
      <c r="DQ141" s="545">
        <f t="shared" si="392"/>
        <v>186</v>
      </c>
      <c r="DR141" s="460">
        <f t="shared" si="393"/>
        <v>350</v>
      </c>
      <c r="DT141">
        <f t="shared" si="430"/>
        <v>186</v>
      </c>
      <c r="DU141">
        <f t="shared" si="431"/>
        <v>350</v>
      </c>
      <c r="DW141" s="5">
        <f t="shared" si="394"/>
        <v>2.8571428571428572</v>
      </c>
      <c r="DX141" s="5">
        <f t="shared" si="395"/>
        <v>1.0576503858195949</v>
      </c>
      <c r="DY141" s="5">
        <f t="shared" si="396"/>
        <v>1.7994924713232623</v>
      </c>
      <c r="DZ141" s="5"/>
      <c r="EA141" s="173">
        <f t="shared" si="397"/>
        <v>0.37017763503685819</v>
      </c>
      <c r="EB141" s="173">
        <f t="shared" si="398"/>
        <v>31.712999999999997</v>
      </c>
      <c r="EC141" s="173">
        <f t="shared" si="399"/>
        <v>0.29975934028548462</v>
      </c>
      <c r="ED141" s="173">
        <f t="shared" si="400"/>
        <v>105.79486854286905</v>
      </c>
      <c r="EE141" s="460">
        <f t="shared" si="401"/>
        <v>0.11571939515437921</v>
      </c>
      <c r="EF141" s="5">
        <f t="shared" si="402"/>
        <v>10.115547012131833</v>
      </c>
      <c r="EH141" s="173">
        <f t="shared" si="403"/>
        <v>6.6874276754216755</v>
      </c>
      <c r="EI141" s="173">
        <f t="shared" si="404"/>
        <v>0.43614716454836899</v>
      </c>
      <c r="EK141" s="528">
        <f t="shared" si="405"/>
        <v>1.7888675565598302</v>
      </c>
      <c r="EL141" s="528">
        <f t="shared" si="406"/>
        <v>3.211244711740366</v>
      </c>
      <c r="EM141" s="528">
        <f t="shared" si="407"/>
        <v>6.9999999999999993E-2</v>
      </c>
      <c r="EN141" s="528">
        <f t="shared" si="408"/>
        <v>2.1498793749999998E-2</v>
      </c>
      <c r="EO141">
        <f t="shared" si="409"/>
        <v>4.0499999999999998E-3</v>
      </c>
      <c r="EP141" s="460">
        <f t="shared" si="410"/>
        <v>74.05</v>
      </c>
      <c r="EQ141" s="460"/>
      <c r="ER141" s="460">
        <f t="shared" si="432"/>
        <v>5095.661062050197</v>
      </c>
      <c r="ES141" s="528">
        <f t="shared" si="411"/>
        <v>0.13019999999999998</v>
      </c>
      <c r="EV141" s="460">
        <f t="shared" si="412"/>
        <v>130.19999999999999</v>
      </c>
      <c r="EW141" s="528">
        <f t="shared" si="413"/>
        <v>1.3416506674198727</v>
      </c>
      <c r="EX141" s="528">
        <f t="shared" si="414"/>
        <v>5.7067304743074615E-3</v>
      </c>
      <c r="EY141" s="528">
        <f t="shared" si="415"/>
        <v>181.20772515971896</v>
      </c>
      <c r="EZ141" s="528"/>
      <c r="FA141" s="528">
        <f t="shared" si="416"/>
        <v>3.1713</v>
      </c>
      <c r="FB141" s="460">
        <f t="shared" si="417"/>
        <v>185726.38255761313</v>
      </c>
      <c r="FC141" s="173">
        <f t="shared" si="418"/>
        <v>190.95224361966334</v>
      </c>
      <c r="FD141" s="5">
        <f t="shared" si="419"/>
        <v>31.62</v>
      </c>
      <c r="FE141" s="173">
        <f t="shared" si="420"/>
        <v>0.14206623200524948</v>
      </c>
      <c r="FF141" s="5">
        <f t="shared" si="421"/>
        <v>14.206623200524948</v>
      </c>
      <c r="FI141" s="562">
        <f t="shared" si="422"/>
        <v>-50</v>
      </c>
      <c r="FJ141">
        <f t="shared" si="423"/>
        <v>-50</v>
      </c>
      <c r="FL141">
        <f t="shared" si="424"/>
        <v>0.39080336836735768</v>
      </c>
    </row>
    <row r="142" spans="5:168">
      <c r="E142" s="170">
        <v>32</v>
      </c>
      <c r="F142" s="217">
        <f t="shared" si="425"/>
        <v>0.192</v>
      </c>
      <c r="G142" s="217"/>
      <c r="H142" s="217">
        <f t="shared" ref="H142:H173" si="442">F142*Vout</f>
        <v>32.64</v>
      </c>
      <c r="I142" s="541">
        <f t="shared" ref="I142:I173" si="443">VIN_min-F142*(Rdcr_pri+RON/1000)/CG142/Nps</f>
        <v>8.324011834423116</v>
      </c>
      <c r="J142" s="172">
        <f t="shared" ref="J142:J173" si="444">(T142+Vfwd1+F142/CG142*Rdcr_sec)*Nps</f>
        <v>8.5257242730345464</v>
      </c>
      <c r="K142" s="172">
        <f t="shared" ref="K142:K173" si="445">(Vout+Vfwd1+F142/CG142*Rdcr_sec)*Nps++I142</f>
        <v>16.849736107457662</v>
      </c>
      <c r="L142" s="443"/>
      <c r="M142" s="217">
        <f t="shared" ref="M142:M173" si="446">(Vout+Vfwd1+F142/FL142*Rdcr_sec)*Nps/((Vout+Vfwd1+F142/FL142*Rdcr_sec)*Nps+I142)</f>
        <v>0.50598565725032829</v>
      </c>
      <c r="N142" s="172">
        <f t="shared" ref="N142:N173" si="447">M142*I142*(Isw_max+VIN_min/Lmag*ILIM_delay)*0.5*Efficiency</f>
        <v>141.53154756173308</v>
      </c>
      <c r="O142" s="172">
        <f t="shared" si="438"/>
        <v>32.64</v>
      </c>
      <c r="P142" s="217">
        <f t="shared" ref="P142:P172" si="448">N142/Vout</f>
        <v>0.8325385150690181</v>
      </c>
      <c r="Q142" s="217">
        <f t="shared" ref="Q142:Q173" si="449">MIN(Vout,N142/F142)</f>
        <v>170</v>
      </c>
      <c r="R142" s="217"/>
      <c r="S142" s="172">
        <f t="shared" ref="S142:S173" si="450">(SQRT(Isw_max^2*Nps^2*I142^2+4*Isw_max*F142/Efficiency*(Nps^2*Vfwd1*I142-Nps*I142^2)+4*(F142/Efficiency)^2*Nps^2*Vfwd1^2+8*(F142/Efficiency)^2*Nps*Vfwd1*I142+4*(F142/Efficiency)^2*I142^2)-2*F142/Efficiency*I142-2*F142/Efficiency*Nps*Vfwd1+Isw_max*Nps*I142)/(4*F142/Efficiency*Nps)</f>
        <v>1278.7257774889811</v>
      </c>
      <c r="T142" s="172">
        <f t="shared" ref="T142:T173" si="451">MIN(Vout, S142)</f>
        <v>170</v>
      </c>
      <c r="U142" s="217">
        <f t="shared" ref="U142:U173" si="452">MIN(2*(Vout+Vfwd1+F142/FL142*Rdcr_sec)*F142/(I142*M142), Isw_max)</f>
        <v>15.546107340230867</v>
      </c>
      <c r="V142" s="217">
        <f t="shared" ref="V142:V173" si="453">L*U142/I142*1000000</f>
        <v>0.933810982580629</v>
      </c>
      <c r="W142" s="217">
        <f t="shared" ref="W142:W173" si="454">L*U142/J142*1000000</f>
        <v>0.91171769355716969</v>
      </c>
      <c r="X142" s="197">
        <f t="shared" ref="X142:X173" si="455">IF(1/((350000*L)*(1/I142+1/J142))&gt;Isw_min, 350, 0.001/((Isw_min*L)*(1/I142+1/J142)))</f>
        <v>350</v>
      </c>
      <c r="Y142" s="443">
        <f t="shared" si="328"/>
        <v>350</v>
      </c>
      <c r="AA142" s="217">
        <f t="shared" ref="AA142:AA173" si="456">1/((X142*1000*L)*(1/I142+1/J142))</f>
        <v>24.067601938578754</v>
      </c>
      <c r="AB142" s="173">
        <f t="shared" ref="AB142:AB173" si="457">L*AA142/J142*1000000</f>
        <v>1.411469639869811</v>
      </c>
      <c r="AC142" s="173">
        <f t="shared" ref="AC142:AC173" si="458">0.5*AB142*AA142*Nps*X142/1000</f>
        <v>0.2972435326067876</v>
      </c>
      <c r="AD142" s="173"/>
      <c r="AE142" s="173">
        <f t="shared" ref="AE142:AE173" si="459">L*Isw_min/J142*1000000</f>
        <v>0.78194725200675663</v>
      </c>
      <c r="AF142" s="545">
        <f t="shared" ref="AF142:AF173" si="460">MAX(12000,F142/(0.5*AE142/1000000*Isw_min*Nps))/1000</f>
        <v>736.62257719018476</v>
      </c>
      <c r="AG142" s="528">
        <f t="shared" ref="AG142:AG173" si="461">0.5*AE142/1000000*Isw_min*Nps*X142*1000</f>
        <v>9.1227179400788297E-2</v>
      </c>
      <c r="AI142" s="173">
        <f t="shared" ref="AI142:AI173" si="462">SQRT(F142/(0.5*L/J142*Fsw_DCM*Nps))</f>
        <v>19.343151230478792</v>
      </c>
      <c r="AJ142" s="173">
        <f t="shared" ref="AJ142:AJ173" si="463">MAX(IF(F142&gt;AC142,U142,AI142),Isw_min)</f>
        <v>19.343151230478792</v>
      </c>
      <c r="AK142" s="173">
        <f t="shared" ref="AK142:AK173" si="464">IF(F142&gt;AG142, (AJ142-Isw_min)/1.08*0.8+1.2, AF142*0.2/350+1)</f>
        <v>5.6517169608484874</v>
      </c>
      <c r="AM142" s="545">
        <f t="shared" ref="AM142:AM173" si="465">F142*1000</f>
        <v>192</v>
      </c>
      <c r="AN142" s="460">
        <f t="shared" ref="AN142:AN173" si="466">IF(F142&gt;AG142, Y142, AF142)</f>
        <v>350</v>
      </c>
      <c r="AP142" s="460">
        <f t="shared" ref="AP142:AP173" si="467">IF(H142&gt;N142, "",AM142)</f>
        <v>192</v>
      </c>
      <c r="AQ142" s="460">
        <f t="shared" ref="AQ142:AQ173" si="468">IF(H142&gt;N142, "",AN142)</f>
        <v>350</v>
      </c>
      <c r="AS142" s="5">
        <f t="shared" si="439"/>
        <v>2.8571428571428572</v>
      </c>
      <c r="AT142" s="5">
        <f t="shared" ref="AT142:AT173" si="469">L*AJ142/I142*1000000</f>
        <v>1.1618887391826576</v>
      </c>
      <c r="AU142" s="5">
        <f t="shared" si="343"/>
        <v>1.6952541179601996</v>
      </c>
      <c r="AV142" s="5"/>
      <c r="AW142" s="173">
        <f t="shared" si="344"/>
        <v>0.40666105871393016</v>
      </c>
      <c r="AX142" s="173">
        <f t="shared" si="435"/>
        <v>32.73878120845265</v>
      </c>
      <c r="AY142" s="173">
        <f t="shared" si="436"/>
        <v>0.28692612180571569</v>
      </c>
      <c r="AZ142" s="173">
        <f t="shared" si="440"/>
        <v>114.10177993700007</v>
      </c>
      <c r="BA142" s="460">
        <f t="shared" si="433"/>
        <v>0.13122508113121781</v>
      </c>
      <c r="BB142" s="5">
        <f t="shared" si="434"/>
        <v>10.635851175779729</v>
      </c>
      <c r="BD142" s="173">
        <f t="shared" si="441"/>
        <v>7.121687180312068</v>
      </c>
      <c r="BE142" s="173">
        <f t="shared" si="437"/>
        <v>0.43011840873813406</v>
      </c>
      <c r="BG142" s="528">
        <f t="shared" si="347"/>
        <v>2.0287371317688501</v>
      </c>
      <c r="BH142" s="528">
        <f t="shared" ref="BH142:BH173" si="470">0.5*K142*AJ142*AN142*1000*Tfall</f>
        <v>2.5666750755466747</v>
      </c>
      <c r="BI142" s="528">
        <f t="shared" ref="BI142:BI173" si="471">Qg*Vdd*AN142*1000*0+Qg*I142*AN142*1000</f>
        <v>0.11653616568192363</v>
      </c>
      <c r="BJ142" s="528">
        <f t="shared" si="350"/>
        <v>1.9873952482367375E-2</v>
      </c>
      <c r="BK142">
        <f t="shared" si="351"/>
        <v>3.745805325490402E-3</v>
      </c>
      <c r="BL142" s="460">
        <f t="shared" si="427"/>
        <v>120.28197100741403</v>
      </c>
      <c r="BM142" s="528">
        <f t="shared" ref="BM142:BM173" si="472">(BH142+BI142*0+BJ142+BK142*0+BG142*(1+RdsonTC*(Ta-25)))/(1-BG142*RdsonTC*ThetaJA)</f>
        <v>9.9678063916758717</v>
      </c>
      <c r="BN142" s="460">
        <f t="shared" si="353"/>
        <v>9967.8063916758711</v>
      </c>
      <c r="BO142" s="528">
        <f t="shared" si="354"/>
        <v>0.13439999999999999</v>
      </c>
      <c r="BR142" s="460">
        <f t="shared" si="355"/>
        <v>134.4</v>
      </c>
      <c r="BS142" s="528">
        <f t="shared" si="356"/>
        <v>1.5215528488266377</v>
      </c>
      <c r="BT142" s="528">
        <f t="shared" si="357"/>
        <v>5.5500553660627365E-3</v>
      </c>
      <c r="BU142" s="528">
        <f t="shared" si="358"/>
        <v>188.56373996977143</v>
      </c>
      <c r="BV142" s="528"/>
      <c r="BW142" s="528">
        <f t="shared" si="359"/>
        <v>3.2738781208452656</v>
      </c>
      <c r="BX142" s="460">
        <f t="shared" si="360"/>
        <v>193364.72099480941</v>
      </c>
      <c r="BY142" s="173">
        <f t="shared" si="361"/>
        <v>198.23468912561469</v>
      </c>
      <c r="BZ142" s="5">
        <f t="shared" si="362"/>
        <v>32.64</v>
      </c>
      <c r="CA142" s="173">
        <f t="shared" si="363"/>
        <v>0.14137539339464439</v>
      </c>
      <c r="CB142" s="5">
        <f t="shared" si="364"/>
        <v>14.137539339464439</v>
      </c>
      <c r="CE142" s="562">
        <f t="shared" ref="CE142:CE173" si="473">IF(ABS(F142-Ioutmax_Vinmin)&lt;Iout/200, AN142, -50)</f>
        <v>-50</v>
      </c>
      <c r="CF142">
        <f t="shared" ref="CF142:CF173" si="474">IF(ABS(F142-Ioutmax_Vinmin)&lt;Iout/200, N142*CA142, -50)</f>
        <v>-50</v>
      </c>
      <c r="CG142" s="173">
        <f t="shared" ref="CG142:CG173" si="475">MIN(SQRT(2*DU142*1000*Ls1_*CL142)/CU142,1-EA142-0.00000005*DU142*1000)</f>
        <v>0.39764009739816669</v>
      </c>
      <c r="CI142" s="170">
        <v>32</v>
      </c>
      <c r="CJ142" s="217">
        <f t="shared" si="428"/>
        <v>0.192</v>
      </c>
      <c r="CK142" s="217"/>
      <c r="CL142" s="217">
        <f t="shared" si="368"/>
        <v>32.64</v>
      </c>
      <c r="CM142" s="541">
        <f t="shared" si="369"/>
        <v>9</v>
      </c>
      <c r="CN142" s="443">
        <f t="shared" si="370"/>
        <v>8.5250000000000004</v>
      </c>
      <c r="CO142" s="443">
        <f t="shared" si="371"/>
        <v>17.524999999999999</v>
      </c>
      <c r="CP142" s="443"/>
      <c r="CQ142" s="217">
        <f t="shared" si="372"/>
        <v>0.48644793152639093</v>
      </c>
      <c r="CR142" s="172">
        <f t="shared" si="429"/>
        <v>147.11644793152644</v>
      </c>
      <c r="CS142" s="172">
        <f t="shared" si="373"/>
        <v>32.64</v>
      </c>
      <c r="CT142" s="217">
        <f t="shared" si="374"/>
        <v>0.86539087018544958</v>
      </c>
      <c r="CU142" s="217">
        <f t="shared" si="375"/>
        <v>170</v>
      </c>
      <c r="CV142" s="217"/>
      <c r="CW142" s="172">
        <f t="shared" si="376"/>
        <v>1382.5650728601036</v>
      </c>
      <c r="CX142" s="172">
        <f t="shared" si="377"/>
        <v>170</v>
      </c>
      <c r="CY142" s="217">
        <f t="shared" si="378"/>
        <v>14.910811339198435</v>
      </c>
      <c r="CZ142" s="217">
        <f t="shared" si="379"/>
        <v>0.82837840773324634</v>
      </c>
      <c r="DA142" s="217">
        <f t="shared" si="380"/>
        <v>0.87453438939580264</v>
      </c>
      <c r="DB142" s="197">
        <f t="shared" si="381"/>
        <v>350</v>
      </c>
      <c r="DC142" s="443">
        <f t="shared" si="382"/>
        <v>350</v>
      </c>
      <c r="DE142" s="217">
        <f t="shared" si="383"/>
        <v>25.017322192785819</v>
      </c>
      <c r="DF142" s="173">
        <f t="shared" si="384"/>
        <v>1.467291624210312</v>
      </c>
      <c r="DG142" s="173">
        <f t="shared" si="385"/>
        <v>0.32119243899439714</v>
      </c>
      <c r="DH142" s="173"/>
      <c r="DI142" s="173">
        <f t="shared" si="386"/>
        <v>0.78201368523949166</v>
      </c>
      <c r="DJ142" s="545">
        <f t="shared" si="387"/>
        <v>736.56</v>
      </c>
      <c r="DK142" s="528">
        <f t="shared" si="388"/>
        <v>9.1234929944607357E-2</v>
      </c>
      <c r="DM142" s="173">
        <f t="shared" si="389"/>
        <v>19.342329598208028</v>
      </c>
      <c r="DN142" s="173">
        <f t="shared" si="390"/>
        <v>19.342329598208028</v>
      </c>
      <c r="DO142" s="173">
        <f t="shared" si="391"/>
        <v>5.6511083443516252</v>
      </c>
      <c r="DQ142" s="545">
        <f t="shared" si="392"/>
        <v>192</v>
      </c>
      <c r="DR142" s="460">
        <f t="shared" si="393"/>
        <v>350</v>
      </c>
      <c r="DT142">
        <f t="shared" si="430"/>
        <v>192</v>
      </c>
      <c r="DU142">
        <f t="shared" si="431"/>
        <v>350</v>
      </c>
      <c r="DW142" s="5">
        <f t="shared" si="394"/>
        <v>2.8571428571428572</v>
      </c>
      <c r="DX142" s="5">
        <f t="shared" si="395"/>
        <v>1.0745738665671127</v>
      </c>
      <c r="DY142" s="5">
        <f t="shared" si="396"/>
        <v>1.7825689905757445</v>
      </c>
      <c r="DZ142" s="5"/>
      <c r="EA142" s="173">
        <f t="shared" si="397"/>
        <v>0.37610085329848947</v>
      </c>
      <c r="EB142" s="173">
        <f t="shared" si="398"/>
        <v>32.736000000000011</v>
      </c>
      <c r="EC142" s="173">
        <f t="shared" si="399"/>
        <v>0.30169157328853402</v>
      </c>
      <c r="ED142" s="173">
        <f t="shared" si="400"/>
        <v>108.50816826988971</v>
      </c>
      <c r="EE142" s="460">
        <f t="shared" si="401"/>
        <v>0.12136363669463862</v>
      </c>
      <c r="EF142" s="5">
        <f t="shared" si="402"/>
        <v>10.343653662647521</v>
      </c>
      <c r="EH142" s="173">
        <f t="shared" si="403"/>
        <v>6.8485765037649502</v>
      </c>
      <c r="EI142" s="173">
        <f t="shared" si="404"/>
        <v>0.44103733203848544</v>
      </c>
      <c r="EK142" s="528">
        <f t="shared" si="405"/>
        <v>1.8761200051168541</v>
      </c>
      <c r="EL142" s="528">
        <f t="shared" si="406"/>
        <v>3.262627889757733</v>
      </c>
      <c r="EM142" s="528">
        <f t="shared" si="407"/>
        <v>6.9999999999999993E-2</v>
      </c>
      <c r="EN142" s="528">
        <f t="shared" si="408"/>
        <v>2.1498793749999998E-2</v>
      </c>
      <c r="EO142">
        <f t="shared" si="409"/>
        <v>4.0499999999999998E-3</v>
      </c>
      <c r="EP142" s="460">
        <f t="shared" si="410"/>
        <v>74.05</v>
      </c>
      <c r="EQ142" s="460"/>
      <c r="ER142" s="460">
        <f t="shared" si="432"/>
        <v>5234.2966886245877</v>
      </c>
      <c r="ES142" s="528">
        <f t="shared" si="411"/>
        <v>0.13439999999999999</v>
      </c>
      <c r="EV142" s="460">
        <f t="shared" si="412"/>
        <v>134.4</v>
      </c>
      <c r="EW142" s="528">
        <f t="shared" si="413"/>
        <v>1.4070900038376406</v>
      </c>
      <c r="EX142" s="528">
        <f t="shared" si="414"/>
        <v>5.8354178475487576E-3</v>
      </c>
      <c r="EY142" s="528">
        <f t="shared" si="415"/>
        <v>188.54371671756678</v>
      </c>
      <c r="EZ142" s="528"/>
      <c r="FA142" s="528">
        <f t="shared" si="416"/>
        <v>3.273600000000001</v>
      </c>
      <c r="FB142" s="460">
        <f t="shared" si="417"/>
        <v>193230.24213925196</v>
      </c>
      <c r="FC142" s="173">
        <f t="shared" si="418"/>
        <v>198.59893882787654</v>
      </c>
      <c r="FD142" s="5">
        <f t="shared" si="419"/>
        <v>32.64</v>
      </c>
      <c r="FE142" s="173">
        <f t="shared" si="420"/>
        <v>0.14115269757528029</v>
      </c>
      <c r="FF142" s="5">
        <f t="shared" si="421"/>
        <v>14.115269757528029</v>
      </c>
      <c r="FI142" s="562">
        <f t="shared" si="422"/>
        <v>-50</v>
      </c>
      <c r="FJ142">
        <f t="shared" si="423"/>
        <v>-50</v>
      </c>
      <c r="FL142">
        <f t="shared" ref="FL142:FL173" si="476">MIN(SQRT(2*L*DR142*1000*CJ142*(CX142+Vfwd1))/(Nps*(CX142+Vfwd1)), 1-EA142)</f>
        <v>0.39705661931805331</v>
      </c>
    </row>
    <row r="143" spans="5:168">
      <c r="E143" s="170">
        <v>33</v>
      </c>
      <c r="F143" s="217">
        <f t="shared" ref="F143:F174" si="477">IF(PLOT_TYPE=1, E143/100*Iout_max, min_I*EXP(N143*rr/100))</f>
        <v>0.19800000000000001</v>
      </c>
      <c r="G143" s="217"/>
      <c r="H143" s="217">
        <f t="shared" si="442"/>
        <v>33.660000000000004</v>
      </c>
      <c r="I143" s="541">
        <f t="shared" si="443"/>
        <v>8.313530772721748</v>
      </c>
      <c r="J143" s="172">
        <f t="shared" si="444"/>
        <v>8.5257355027435135</v>
      </c>
      <c r="K143" s="172">
        <f t="shared" si="445"/>
        <v>16.839266275465263</v>
      </c>
      <c r="L143" s="443"/>
      <c r="M143" s="217">
        <f t="shared" si="446"/>
        <v>0.50630092171943575</v>
      </c>
      <c r="N143" s="172">
        <f t="shared" si="447"/>
        <v>141.44141313816624</v>
      </c>
      <c r="O143" s="172">
        <f t="shared" si="438"/>
        <v>33.660000000000004</v>
      </c>
      <c r="P143" s="217">
        <f t="shared" si="448"/>
        <v>0.83200831257744845</v>
      </c>
      <c r="Q143" s="217">
        <f t="shared" si="449"/>
        <v>170</v>
      </c>
      <c r="R143" s="217"/>
      <c r="S143" s="172">
        <f t="shared" si="450"/>
        <v>1233.3810668011256</v>
      </c>
      <c r="T143" s="172">
        <f t="shared" si="451"/>
        <v>170</v>
      </c>
      <c r="U143" s="217">
        <f t="shared" si="452"/>
        <v>16.042160798807778</v>
      </c>
      <c r="V143" s="217">
        <f t="shared" si="453"/>
        <v>0.96482236232559049</v>
      </c>
      <c r="W143" s="217">
        <f t="shared" si="454"/>
        <v>0.94080802727492185</v>
      </c>
      <c r="X143" s="197">
        <f t="shared" si="455"/>
        <v>350</v>
      </c>
      <c r="Y143" s="443">
        <f t="shared" si="328"/>
        <v>350</v>
      </c>
      <c r="AA143" s="217">
        <f t="shared" si="456"/>
        <v>24.052274454470357</v>
      </c>
      <c r="AB143" s="173">
        <f t="shared" si="457"/>
        <v>1.4105688856246201</v>
      </c>
      <c r="AC143" s="173">
        <f t="shared" si="458"/>
        <v>0.296864662272323</v>
      </c>
      <c r="AD143" s="173"/>
      <c r="AE143" s="173">
        <f t="shared" si="459"/>
        <v>0.7819462220615907</v>
      </c>
      <c r="AF143" s="545">
        <f t="shared" si="460"/>
        <v>759.64303329444704</v>
      </c>
      <c r="AG143" s="528">
        <f t="shared" si="461"/>
        <v>9.122705924051891E-2</v>
      </c>
      <c r="AI143" s="173">
        <f t="shared" si="462"/>
        <v>19.643075869371319</v>
      </c>
      <c r="AJ143" s="173">
        <f t="shared" si="463"/>
        <v>19.643075869371319</v>
      </c>
      <c r="AK143" s="173">
        <f t="shared" si="464"/>
        <v>5.8738833600281382</v>
      </c>
      <c r="AM143" s="545">
        <f t="shared" si="465"/>
        <v>198</v>
      </c>
      <c r="AN143" s="460">
        <f t="shared" si="466"/>
        <v>350</v>
      </c>
      <c r="AP143" s="460">
        <f t="shared" si="467"/>
        <v>198</v>
      </c>
      <c r="AQ143" s="460">
        <f t="shared" si="468"/>
        <v>350</v>
      </c>
      <c r="AS143" s="5">
        <f t="shared" si="439"/>
        <v>2.8571428571428572</v>
      </c>
      <c r="AT143" s="5">
        <f t="shared" si="469"/>
        <v>1.1813919023325161</v>
      </c>
      <c r="AU143" s="5">
        <f t="shared" si="343"/>
        <v>1.6757509548103411</v>
      </c>
      <c r="AV143" s="5"/>
      <c r="AW143" s="173">
        <f t="shared" si="344"/>
        <v>0.41348716581638062</v>
      </c>
      <c r="AX143" s="173">
        <f t="shared" si="435"/>
        <v>33.761912590864306</v>
      </c>
      <c r="AY143" s="173">
        <f t="shared" si="436"/>
        <v>0.28802290250572093</v>
      </c>
      <c r="AZ143" s="173">
        <f t="shared" si="440"/>
        <v>117.21954156126074</v>
      </c>
      <c r="BA143" s="460">
        <f t="shared" si="433"/>
        <v>0.13759740980108129</v>
      </c>
      <c r="BB143" s="5">
        <f t="shared" si="434"/>
        <v>10.855705703091932</v>
      </c>
      <c r="BD143" s="173">
        <f t="shared" si="441"/>
        <v>7.2925578632928074</v>
      </c>
      <c r="BE143" s="173">
        <f t="shared" si="437"/>
        <v>0.43426780239987156</v>
      </c>
      <c r="BG143" s="528">
        <f t="shared" si="347"/>
        <v>2.1272560075789504</v>
      </c>
      <c r="BH143" s="528">
        <f t="shared" si="470"/>
        <v>2.6048530071388907</v>
      </c>
      <c r="BI143" s="528">
        <f t="shared" si="471"/>
        <v>0.11638943081810449</v>
      </c>
      <c r="BJ143" s="528">
        <f t="shared" si="350"/>
        <v>1.9849262208721526E-2</v>
      </c>
      <c r="BK143">
        <f t="shared" si="351"/>
        <v>3.7410888477247867E-3</v>
      </c>
      <c r="BL143" s="460">
        <f t="shared" si="427"/>
        <v>120.13051966582927</v>
      </c>
      <c r="BM143" s="528">
        <f t="shared" si="472"/>
        <v>10.76972382557461</v>
      </c>
      <c r="BN143" s="460">
        <f t="shared" si="353"/>
        <v>10769.723825574611</v>
      </c>
      <c r="BO143" s="528">
        <f t="shared" si="354"/>
        <v>0.1386</v>
      </c>
      <c r="BR143" s="460">
        <f t="shared" si="355"/>
        <v>138.6</v>
      </c>
      <c r="BS143" s="528">
        <f t="shared" si="356"/>
        <v>1.5954420056842127</v>
      </c>
      <c r="BT143" s="528">
        <f t="shared" si="357"/>
        <v>5.657655726036416E-3</v>
      </c>
      <c r="BU143" s="528">
        <f t="shared" si="358"/>
        <v>195.95838447583085</v>
      </c>
      <c r="BV143" s="528"/>
      <c r="BW143" s="528">
        <f t="shared" si="359"/>
        <v>3.3761912590864314</v>
      </c>
      <c r="BX143" s="460">
        <f t="shared" si="360"/>
        <v>200935.67539632751</v>
      </c>
      <c r="BY143" s="173">
        <f t="shared" si="361"/>
        <v>205.94636419291993</v>
      </c>
      <c r="BZ143" s="5">
        <f t="shared" si="362"/>
        <v>33.660000000000004</v>
      </c>
      <c r="CA143" s="173">
        <f t="shared" si="363"/>
        <v>0.14048040882961912</v>
      </c>
      <c r="CB143" s="5">
        <f t="shared" si="364"/>
        <v>14.048040882961912</v>
      </c>
      <c r="CE143" s="562">
        <f t="shared" si="473"/>
        <v>-50</v>
      </c>
      <c r="CF143">
        <f t="shared" si="474"/>
        <v>-50</v>
      </c>
      <c r="CG143" s="173">
        <f t="shared" si="475"/>
        <v>0.40380542781073631</v>
      </c>
      <c r="CI143" s="170">
        <v>33</v>
      </c>
      <c r="CJ143" s="217">
        <f t="shared" si="428"/>
        <v>0.19800000000000001</v>
      </c>
      <c r="CK143" s="217"/>
      <c r="CL143" s="217">
        <f t="shared" si="368"/>
        <v>33.660000000000004</v>
      </c>
      <c r="CM143" s="541">
        <f t="shared" si="369"/>
        <v>9</v>
      </c>
      <c r="CN143" s="443">
        <f t="shared" si="370"/>
        <v>8.5250000000000004</v>
      </c>
      <c r="CO143" s="443">
        <f t="shared" si="371"/>
        <v>17.524999999999999</v>
      </c>
      <c r="CP143" s="443"/>
      <c r="CQ143" s="217">
        <f t="shared" si="372"/>
        <v>0.48644793152639093</v>
      </c>
      <c r="CR143" s="172">
        <f t="shared" si="429"/>
        <v>147.11644793152644</v>
      </c>
      <c r="CS143" s="172">
        <f t="shared" si="373"/>
        <v>33.660000000000004</v>
      </c>
      <c r="CT143" s="217">
        <f t="shared" si="374"/>
        <v>0.86539087018544958</v>
      </c>
      <c r="CU143" s="217">
        <f t="shared" si="375"/>
        <v>170</v>
      </c>
      <c r="CV143" s="217"/>
      <c r="CW143" s="172">
        <f t="shared" si="376"/>
        <v>1335.218894598167</v>
      </c>
      <c r="CX143" s="172">
        <f t="shared" si="377"/>
        <v>170</v>
      </c>
      <c r="CY143" s="217">
        <f t="shared" si="378"/>
        <v>15.376774193548387</v>
      </c>
      <c r="CZ143" s="217">
        <f t="shared" si="379"/>
        <v>0.85426523297491042</v>
      </c>
      <c r="DA143" s="217">
        <f t="shared" si="380"/>
        <v>0.90186358906442154</v>
      </c>
      <c r="DB143" s="197">
        <f t="shared" si="381"/>
        <v>350</v>
      </c>
      <c r="DC143" s="443">
        <f t="shared" si="382"/>
        <v>350</v>
      </c>
      <c r="DE143" s="217">
        <f t="shared" si="383"/>
        <v>25.017322192785819</v>
      </c>
      <c r="DF143" s="173">
        <f t="shared" si="384"/>
        <v>1.467291624210312</v>
      </c>
      <c r="DG143" s="173">
        <f t="shared" si="385"/>
        <v>0.32119243899439714</v>
      </c>
      <c r="DH143" s="173"/>
      <c r="DI143" s="173">
        <f t="shared" si="386"/>
        <v>0.78201368523949166</v>
      </c>
      <c r="DJ143" s="545">
        <f t="shared" si="387"/>
        <v>759.57749999999999</v>
      </c>
      <c r="DK143" s="528">
        <f t="shared" si="388"/>
        <v>9.1234929944607357E-2</v>
      </c>
      <c r="DM143" s="173">
        <f t="shared" si="389"/>
        <v>19.642228561371105</v>
      </c>
      <c r="DN143" s="173">
        <f t="shared" si="390"/>
        <v>19.642228561371105</v>
      </c>
      <c r="DO143" s="173">
        <f t="shared" si="391"/>
        <v>5.8732557244724228</v>
      </c>
      <c r="DQ143" s="545">
        <f t="shared" si="392"/>
        <v>198</v>
      </c>
      <c r="DR143" s="460">
        <f t="shared" si="393"/>
        <v>350</v>
      </c>
      <c r="DT143">
        <f t="shared" si="430"/>
        <v>198</v>
      </c>
      <c r="DU143">
        <f t="shared" si="431"/>
        <v>350</v>
      </c>
      <c r="DW143" s="5">
        <f t="shared" si="394"/>
        <v>2.8571428571428572</v>
      </c>
      <c r="DX143" s="5">
        <f t="shared" si="395"/>
        <v>1.0912349200761724</v>
      </c>
      <c r="DY143" s="5">
        <f t="shared" si="396"/>
        <v>1.7659079370666848</v>
      </c>
      <c r="DZ143" s="5"/>
      <c r="EA143" s="173">
        <f t="shared" si="397"/>
        <v>0.38193222202666033</v>
      </c>
      <c r="EB143" s="173">
        <f t="shared" si="398"/>
        <v>33.758999999999993</v>
      </c>
      <c r="EC143" s="173">
        <f t="shared" si="399"/>
        <v>0.30350571403427773</v>
      </c>
      <c r="ED143" s="173">
        <f t="shared" si="400"/>
        <v>111.23019580510196</v>
      </c>
      <c r="EE143" s="460">
        <f t="shared" si="401"/>
        <v>0.12709677304416597</v>
      </c>
      <c r="EF143" s="5">
        <f t="shared" si="402"/>
        <v>10.567193095407042</v>
      </c>
      <c r="EH143" s="173">
        <f t="shared" si="403"/>
        <v>7.0084710331475772</v>
      </c>
      <c r="EI143" s="173">
        <f t="shared" si="404"/>
        <v>0.44577754559658345</v>
      </c>
      <c r="EK143" s="528">
        <f t="shared" si="405"/>
        <v>1.9647466488987468</v>
      </c>
      <c r="EL143" s="528">
        <f t="shared" si="406"/>
        <v>3.3132142845535251</v>
      </c>
      <c r="EM143" s="528">
        <f t="shared" si="407"/>
        <v>6.9999999999999993E-2</v>
      </c>
      <c r="EN143" s="528">
        <f t="shared" si="408"/>
        <v>2.1498793749999998E-2</v>
      </c>
      <c r="EO143">
        <f t="shared" si="409"/>
        <v>4.0499999999999998E-3</v>
      </c>
      <c r="EP143" s="460">
        <f t="shared" si="410"/>
        <v>74.05</v>
      </c>
      <c r="EQ143" s="460"/>
      <c r="ER143" s="460">
        <f t="shared" si="432"/>
        <v>5373.5097272022731</v>
      </c>
      <c r="ES143" s="528">
        <f t="shared" si="411"/>
        <v>0.1386</v>
      </c>
      <c r="EV143" s="460">
        <f t="shared" si="412"/>
        <v>138.6</v>
      </c>
      <c r="EW143" s="528">
        <f t="shared" si="413"/>
        <v>1.4735599866740601</v>
      </c>
      <c r="EX143" s="528">
        <f t="shared" si="414"/>
        <v>5.9615286047434209E-3</v>
      </c>
      <c r="EY143" s="528">
        <f t="shared" si="415"/>
        <v>195.93725339935327</v>
      </c>
      <c r="EZ143" s="528"/>
      <c r="FA143" s="528">
        <f t="shared" si="416"/>
        <v>3.3758999999999997</v>
      </c>
      <c r="FB143" s="460">
        <f t="shared" si="417"/>
        <v>200792.67491463208</v>
      </c>
      <c r="FC143" s="173">
        <f t="shared" si="418"/>
        <v>206.30478464183435</v>
      </c>
      <c r="FD143" s="5">
        <f t="shared" si="419"/>
        <v>33.660000000000004</v>
      </c>
      <c r="FE143" s="173">
        <f t="shared" si="420"/>
        <v>0.14027058199493775</v>
      </c>
      <c r="FF143" s="5">
        <f t="shared" si="421"/>
        <v>14.027058199493775</v>
      </c>
      <c r="FI143" s="562">
        <f t="shared" si="422"/>
        <v>-50</v>
      </c>
      <c r="FJ143">
        <f t="shared" si="423"/>
        <v>-50</v>
      </c>
      <c r="FL143">
        <f t="shared" si="476"/>
        <v>0.4032129030193482</v>
      </c>
    </row>
    <row r="144" spans="5:168">
      <c r="E144" s="170">
        <v>34</v>
      </c>
      <c r="F144" s="217">
        <f t="shared" si="477"/>
        <v>0.20400000000000001</v>
      </c>
      <c r="G144" s="217"/>
      <c r="H144" s="217">
        <f t="shared" si="442"/>
        <v>34.68</v>
      </c>
      <c r="I144" s="541">
        <f t="shared" si="443"/>
        <v>8.3032073479147464</v>
      </c>
      <c r="J144" s="172">
        <f t="shared" si="444"/>
        <v>8.5257465635558063</v>
      </c>
      <c r="K144" s="172">
        <f t="shared" si="445"/>
        <v>16.828953911470553</v>
      </c>
      <c r="L144" s="443"/>
      <c r="M144" s="217">
        <f t="shared" si="446"/>
        <v>0.50661182802525362</v>
      </c>
      <c r="N144" s="172">
        <f t="shared" si="447"/>
        <v>141.3525242576369</v>
      </c>
      <c r="O144" s="172">
        <f t="shared" si="438"/>
        <v>34.68</v>
      </c>
      <c r="P144" s="217">
        <f t="shared" si="448"/>
        <v>0.83148543680962883</v>
      </c>
      <c r="Q144" s="217">
        <f t="shared" si="449"/>
        <v>170</v>
      </c>
      <c r="R144" s="217"/>
      <c r="S144" s="172">
        <f t="shared" si="450"/>
        <v>1190.7387821171994</v>
      </c>
      <c r="T144" s="172">
        <f t="shared" si="451"/>
        <v>170</v>
      </c>
      <c r="U144" s="217">
        <f t="shared" si="452"/>
        <v>16.538702108200649</v>
      </c>
      <c r="V144" s="217">
        <f t="shared" si="453"/>
        <v>0.99592250411247107</v>
      </c>
      <c r="W144" s="217">
        <f t="shared" si="454"/>
        <v>0.96992691401929887</v>
      </c>
      <c r="X144" s="197">
        <f t="shared" si="455"/>
        <v>350</v>
      </c>
      <c r="Y144" s="443">
        <f t="shared" si="328"/>
        <v>350</v>
      </c>
      <c r="AA144" s="217">
        <f t="shared" si="456"/>
        <v>24.037158776772404</v>
      </c>
      <c r="AB144" s="173">
        <f t="shared" si="457"/>
        <v>1.4096805832536559</v>
      </c>
      <c r="AC144" s="173">
        <f t="shared" si="458"/>
        <v>0.29649126503676104</v>
      </c>
      <c r="AD144" s="173"/>
      <c r="AE144" s="173">
        <f t="shared" si="459"/>
        <v>0.78194520760962205</v>
      </c>
      <c r="AF144" s="545">
        <f t="shared" si="460"/>
        <v>782.66353453442298</v>
      </c>
      <c r="AG144" s="528">
        <f t="shared" si="461"/>
        <v>9.1226940887789251E-2</v>
      </c>
      <c r="AI144" s="173">
        <f t="shared" si="462"/>
        <v>19.938489978447699</v>
      </c>
      <c r="AJ144" s="173">
        <f t="shared" si="463"/>
        <v>19.938489978447699</v>
      </c>
      <c r="AK144" s="173">
        <f t="shared" si="464"/>
        <v>6.0927086260106407</v>
      </c>
      <c r="AM144" s="545">
        <f t="shared" si="465"/>
        <v>204.00000000000003</v>
      </c>
      <c r="AN144" s="460">
        <f t="shared" si="466"/>
        <v>350</v>
      </c>
      <c r="AP144" s="460">
        <f t="shared" si="467"/>
        <v>204.00000000000003</v>
      </c>
      <c r="AQ144" s="460">
        <f t="shared" si="468"/>
        <v>350</v>
      </c>
      <c r="AS144" s="5">
        <f t="shared" si="439"/>
        <v>2.8571428571428572</v>
      </c>
      <c r="AT144" s="5">
        <f t="shared" si="469"/>
        <v>1.2006498900364699</v>
      </c>
      <c r="AU144" s="5">
        <f t="shared" si="343"/>
        <v>1.6564929671063873</v>
      </c>
      <c r="AV144" s="5"/>
      <c r="AW144" s="173">
        <f t="shared" si="344"/>
        <v>0.42022746151276447</v>
      </c>
      <c r="AX144" s="173">
        <f t="shared" si="435"/>
        <v>34.785045979307689</v>
      </c>
      <c r="AY144" s="173">
        <f t="shared" si="436"/>
        <v>0.28899472371017321</v>
      </c>
      <c r="AZ144" s="173">
        <f t="shared" si="440"/>
        <v>120.36567842045756</v>
      </c>
      <c r="BA144" s="460">
        <f t="shared" si="433"/>
        <v>0.14407798680437642</v>
      </c>
      <c r="BB144" s="5">
        <f t="shared" si="434"/>
        <v>11.069876724430195</v>
      </c>
      <c r="BD144" s="173">
        <f t="shared" si="441"/>
        <v>7.4623197135090491</v>
      </c>
      <c r="BE144" s="173">
        <f t="shared" si="437"/>
        <v>0.43825861476680456</v>
      </c>
      <c r="BG144" s="528">
        <f t="shared" si="347"/>
        <v>2.2274486202650312</v>
      </c>
      <c r="BH144" s="528">
        <f t="shared" si="470"/>
        <v>2.6424084401789587</v>
      </c>
      <c r="BI144" s="528">
        <f t="shared" si="471"/>
        <v>0.11624490287080645</v>
      </c>
      <c r="BJ144" s="528">
        <f t="shared" si="350"/>
        <v>1.9824958282808003E-2</v>
      </c>
      <c r="BK144">
        <f t="shared" si="351"/>
        <v>3.7364433065616358E-3</v>
      </c>
      <c r="BL144" s="460">
        <f t="shared" si="427"/>
        <v>119.98134617736808</v>
      </c>
      <c r="BM144" s="528">
        <f t="shared" si="472"/>
        <v>11.664359866539565</v>
      </c>
      <c r="BN144" s="460">
        <f t="shared" si="353"/>
        <v>11664.359866539564</v>
      </c>
      <c r="BO144" s="528">
        <f t="shared" si="354"/>
        <v>0.14280000000000001</v>
      </c>
      <c r="BR144" s="460">
        <f t="shared" si="355"/>
        <v>142.80000000000001</v>
      </c>
      <c r="BS144" s="528">
        <f t="shared" si="356"/>
        <v>1.6705864651987732</v>
      </c>
      <c r="BT144" s="528">
        <f t="shared" si="357"/>
        <v>5.7621184025195516E-3</v>
      </c>
      <c r="BU144" s="528">
        <f t="shared" si="358"/>
        <v>203.4092863546355</v>
      </c>
      <c r="BV144" s="528"/>
      <c r="BW144" s="528">
        <f t="shared" si="359"/>
        <v>3.4785045979307689</v>
      </c>
      <c r="BX144" s="460">
        <f t="shared" si="360"/>
        <v>208564.13953616755</v>
      </c>
      <c r="BY144" s="173">
        <f t="shared" si="361"/>
        <v>213.71660290107172</v>
      </c>
      <c r="BZ144" s="5">
        <f t="shared" si="362"/>
        <v>34.68</v>
      </c>
      <c r="CA144" s="173">
        <f t="shared" si="363"/>
        <v>0.13961543593980597</v>
      </c>
      <c r="CB144" s="5">
        <f t="shared" si="364"/>
        <v>13.961543593980597</v>
      </c>
      <c r="CE144" s="562">
        <f t="shared" si="473"/>
        <v>-50</v>
      </c>
      <c r="CF144">
        <f t="shared" si="474"/>
        <v>-50</v>
      </c>
      <c r="CG144" s="173">
        <f t="shared" si="475"/>
        <v>0.40987803063838391</v>
      </c>
      <c r="CI144" s="170">
        <v>34</v>
      </c>
      <c r="CJ144" s="217">
        <f t="shared" si="428"/>
        <v>0.20400000000000001</v>
      </c>
      <c r="CK144" s="217"/>
      <c r="CL144" s="217">
        <f t="shared" si="368"/>
        <v>34.68</v>
      </c>
      <c r="CM144" s="541">
        <f t="shared" si="369"/>
        <v>9</v>
      </c>
      <c r="CN144" s="443">
        <f t="shared" si="370"/>
        <v>8.5250000000000004</v>
      </c>
      <c r="CO144" s="443">
        <f t="shared" si="371"/>
        <v>17.524999999999999</v>
      </c>
      <c r="CP144" s="443"/>
      <c r="CQ144" s="217">
        <f t="shared" si="372"/>
        <v>0.48644793152639093</v>
      </c>
      <c r="CR144" s="172">
        <f t="shared" si="429"/>
        <v>147.11644793152644</v>
      </c>
      <c r="CS144" s="172">
        <f t="shared" si="373"/>
        <v>34.68</v>
      </c>
      <c r="CT144" s="217">
        <f t="shared" si="374"/>
        <v>0.86539087018544958</v>
      </c>
      <c r="CU144" s="217">
        <f t="shared" si="375"/>
        <v>170</v>
      </c>
      <c r="CV144" s="217"/>
      <c r="CW144" s="172">
        <f t="shared" si="376"/>
        <v>1290.6579401669303</v>
      </c>
      <c r="CX144" s="172">
        <f t="shared" si="377"/>
        <v>170</v>
      </c>
      <c r="CY144" s="217">
        <f t="shared" si="378"/>
        <v>15.842737047898337</v>
      </c>
      <c r="CZ144" s="217">
        <f t="shared" si="379"/>
        <v>0.88015205821657416</v>
      </c>
      <c r="DA144" s="217">
        <f t="shared" si="380"/>
        <v>0.92919278873304012</v>
      </c>
      <c r="DB144" s="197">
        <f t="shared" si="381"/>
        <v>350</v>
      </c>
      <c r="DC144" s="443">
        <f t="shared" si="382"/>
        <v>350</v>
      </c>
      <c r="DE144" s="217">
        <f t="shared" si="383"/>
        <v>25.017322192785819</v>
      </c>
      <c r="DF144" s="173">
        <f t="shared" si="384"/>
        <v>1.467291624210312</v>
      </c>
      <c r="DG144" s="173">
        <f t="shared" si="385"/>
        <v>0.32119243899439714</v>
      </c>
      <c r="DH144" s="173"/>
      <c r="DI144" s="173">
        <f t="shared" si="386"/>
        <v>0.78201368523949166</v>
      </c>
      <c r="DJ144" s="545">
        <f t="shared" si="387"/>
        <v>782.59500000000003</v>
      </c>
      <c r="DK144" s="528">
        <f t="shared" si="388"/>
        <v>9.1234929944607357E-2</v>
      </c>
      <c r="DM144" s="173">
        <f t="shared" si="389"/>
        <v>19.937616994730625</v>
      </c>
      <c r="DN144" s="173">
        <f t="shared" si="390"/>
        <v>19.937616994730625</v>
      </c>
      <c r="DO144" s="173">
        <f t="shared" si="391"/>
        <v>6.0920619714054007</v>
      </c>
      <c r="DQ144" s="545">
        <f t="shared" si="392"/>
        <v>204.00000000000003</v>
      </c>
      <c r="DR144" s="460">
        <f t="shared" si="393"/>
        <v>350</v>
      </c>
      <c r="DT144">
        <f t="shared" si="430"/>
        <v>204.00000000000003</v>
      </c>
      <c r="DU144">
        <f t="shared" si="431"/>
        <v>350</v>
      </c>
      <c r="DW144" s="5">
        <f t="shared" si="394"/>
        <v>2.8571428571428572</v>
      </c>
      <c r="DX144" s="5">
        <f t="shared" si="395"/>
        <v>1.1076453885961459</v>
      </c>
      <c r="DY144" s="5">
        <f t="shared" si="396"/>
        <v>1.7494974685467113</v>
      </c>
      <c r="DZ144" s="5"/>
      <c r="EA144" s="173">
        <f t="shared" si="397"/>
        <v>0.38767588600865105</v>
      </c>
      <c r="EB144" s="173">
        <f t="shared" si="398"/>
        <v>34.782000000000004</v>
      </c>
      <c r="EC144" s="173">
        <f t="shared" si="399"/>
        <v>0.30520709153493231</v>
      </c>
      <c r="ED144" s="173">
        <f t="shared" si="400"/>
        <v>113.96196538250832</v>
      </c>
      <c r="EE144" s="460">
        <f t="shared" si="401"/>
        <v>0.13291744663153754</v>
      </c>
      <c r="EF144" s="5">
        <f t="shared" si="402"/>
        <v>10.786235059413325</v>
      </c>
      <c r="EH144" s="173">
        <f t="shared" si="403"/>
        <v>7.1671586100444893</v>
      </c>
      <c r="EI144" s="173">
        <f t="shared" si="404"/>
        <v>0.45037399625567387</v>
      </c>
      <c r="EK144" s="528">
        <f t="shared" si="405"/>
        <v>2.0547265016613943</v>
      </c>
      <c r="EL144" s="528">
        <f t="shared" si="406"/>
        <v>3.363039851639297</v>
      </c>
      <c r="EM144" s="528">
        <f t="shared" si="407"/>
        <v>6.9999999999999993E-2</v>
      </c>
      <c r="EN144" s="528">
        <f t="shared" si="408"/>
        <v>2.1498793749999998E-2</v>
      </c>
      <c r="EO144">
        <f t="shared" si="409"/>
        <v>4.0499999999999998E-3</v>
      </c>
      <c r="EP144" s="460">
        <f t="shared" si="410"/>
        <v>74.05</v>
      </c>
      <c r="EQ144" s="460"/>
      <c r="ER144" s="460">
        <f t="shared" si="432"/>
        <v>5513.3151470506918</v>
      </c>
      <c r="ES144" s="528">
        <f t="shared" si="411"/>
        <v>0.14280000000000001</v>
      </c>
      <c r="EV144" s="460">
        <f t="shared" si="412"/>
        <v>142.80000000000001</v>
      </c>
      <c r="EW144" s="528">
        <f t="shared" si="413"/>
        <v>1.5410448762460456</v>
      </c>
      <c r="EX144" s="528">
        <f t="shared" si="414"/>
        <v>6.0851020950991718E-3</v>
      </c>
      <c r="EY144" s="528">
        <f t="shared" si="415"/>
        <v>203.38702198506664</v>
      </c>
      <c r="EZ144" s="528"/>
      <c r="FA144" s="528">
        <f t="shared" si="416"/>
        <v>3.4782000000000006</v>
      </c>
      <c r="FB144" s="460">
        <f t="shared" si="417"/>
        <v>208412.35196340777</v>
      </c>
      <c r="FC144" s="173">
        <f t="shared" si="418"/>
        <v>214.06846711045847</v>
      </c>
      <c r="FD144" s="5">
        <f t="shared" si="419"/>
        <v>34.68</v>
      </c>
      <c r="FE144" s="173">
        <f t="shared" si="420"/>
        <v>0.13941794457209702</v>
      </c>
      <c r="FF144" s="5">
        <f t="shared" si="421"/>
        <v>13.941794457209703</v>
      </c>
      <c r="FI144" s="562">
        <f t="shared" si="422"/>
        <v>-50</v>
      </c>
      <c r="FJ144">
        <f t="shared" si="423"/>
        <v>-50</v>
      </c>
      <c r="FL144">
        <f t="shared" si="476"/>
        <v>0.4092765951997489</v>
      </c>
    </row>
    <row r="145" spans="5:168">
      <c r="E145" s="170">
        <v>35</v>
      </c>
      <c r="F145" s="217">
        <f t="shared" si="477"/>
        <v>0.21</v>
      </c>
      <c r="G145" s="217"/>
      <c r="H145" s="217">
        <f t="shared" si="442"/>
        <v>35.699999999999996</v>
      </c>
      <c r="I145" s="541">
        <f t="shared" si="443"/>
        <v>8.2930346543146545</v>
      </c>
      <c r="J145" s="172">
        <f t="shared" si="444"/>
        <v>8.5257574628703772</v>
      </c>
      <c r="K145" s="172">
        <f t="shared" si="445"/>
        <v>16.818792117185033</v>
      </c>
      <c r="L145" s="443"/>
      <c r="M145" s="217">
        <f t="shared" si="446"/>
        <v>0.50691856777318678</v>
      </c>
      <c r="N145" s="172">
        <f t="shared" si="447"/>
        <v>141.26482615930684</v>
      </c>
      <c r="O145" s="172">
        <f t="shared" si="438"/>
        <v>35.699999999999996</v>
      </c>
      <c r="P145" s="217">
        <f t="shared" si="448"/>
        <v>0.83096956564298141</v>
      </c>
      <c r="Q145" s="217">
        <f t="shared" si="449"/>
        <v>170</v>
      </c>
      <c r="R145" s="217"/>
      <c r="S145" s="172">
        <f t="shared" si="450"/>
        <v>1150.5660605047831</v>
      </c>
      <c r="T145" s="172">
        <f t="shared" si="451"/>
        <v>170</v>
      </c>
      <c r="U145" s="217">
        <f t="shared" si="452"/>
        <v>17.035725644879019</v>
      </c>
      <c r="V145" s="217">
        <f t="shared" si="453"/>
        <v>1.0271104821692603</v>
      </c>
      <c r="W145" s="217">
        <f t="shared" si="454"/>
        <v>0.99907402474615903</v>
      </c>
      <c r="X145" s="197">
        <f t="shared" si="455"/>
        <v>350</v>
      </c>
      <c r="Y145" s="443">
        <f t="shared" si="328"/>
        <v>350</v>
      </c>
      <c r="AA145" s="217">
        <f t="shared" si="456"/>
        <v>24.022245593324588</v>
      </c>
      <c r="AB145" s="173">
        <f t="shared" si="457"/>
        <v>1.4088041853138165</v>
      </c>
      <c r="AC145" s="173">
        <f t="shared" si="458"/>
        <v>0.2961231011594806</v>
      </c>
      <c r="AD145" s="173"/>
      <c r="AE145" s="173">
        <f t="shared" si="459"/>
        <v>0.78194420797213149</v>
      </c>
      <c r="AF145" s="545">
        <f t="shared" si="460"/>
        <v>805.68408024125063</v>
      </c>
      <c r="AG145" s="528">
        <f t="shared" si="461"/>
        <v>9.1226824263415357E-2</v>
      </c>
      <c r="AI145" s="173">
        <f t="shared" si="462"/>
        <v>20.229591153005988</v>
      </c>
      <c r="AJ145" s="173">
        <f t="shared" si="463"/>
        <v>20.229591153005988</v>
      </c>
      <c r="AK145" s="173">
        <f t="shared" si="464"/>
        <v>6.3083391256834469</v>
      </c>
      <c r="AM145" s="545">
        <f t="shared" si="465"/>
        <v>210</v>
      </c>
      <c r="AN145" s="460">
        <f t="shared" si="466"/>
        <v>350</v>
      </c>
      <c r="AP145" s="460">
        <f t="shared" si="467"/>
        <v>210</v>
      </c>
      <c r="AQ145" s="460">
        <f t="shared" si="468"/>
        <v>350</v>
      </c>
      <c r="AS145" s="5">
        <f t="shared" si="439"/>
        <v>2.8571428571428572</v>
      </c>
      <c r="AT145" s="5">
        <f t="shared" si="469"/>
        <v>1.2196736174544409</v>
      </c>
      <c r="AU145" s="5">
        <f t="shared" si="343"/>
        <v>1.6374692396884163</v>
      </c>
      <c r="AV145" s="5"/>
      <c r="AW145" s="173">
        <f t="shared" si="344"/>
        <v>0.42688576610905432</v>
      </c>
      <c r="AX145" s="173">
        <f t="shared" si="435"/>
        <v>35.808181344055583</v>
      </c>
      <c r="AY145" s="173">
        <f t="shared" si="436"/>
        <v>0.28984666588955199</v>
      </c>
      <c r="AZ145" s="173">
        <f t="shared" si="440"/>
        <v>123.54180868066473</v>
      </c>
      <c r="BA145" s="460">
        <f t="shared" si="433"/>
        <v>0.150665564509078</v>
      </c>
      <c r="BB145" s="5">
        <f t="shared" si="434"/>
        <v>11.278409758283102</v>
      </c>
      <c r="BD145" s="173">
        <f t="shared" si="441"/>
        <v>7.6310151421130419</v>
      </c>
      <c r="BE145" s="173">
        <f t="shared" si="437"/>
        <v>0.44209650334165596</v>
      </c>
      <c r="BG145" s="528">
        <f t="shared" si="347"/>
        <v>2.3292956839663415</v>
      </c>
      <c r="BH145" s="528">
        <f t="shared" si="470"/>
        <v>2.6793686447171687</v>
      </c>
      <c r="BI145" s="528">
        <f t="shared" si="471"/>
        <v>0.11610248516040517</v>
      </c>
      <c r="BJ145" s="528">
        <f t="shared" si="350"/>
        <v>1.9801023779675977E-2</v>
      </c>
      <c r="BK145">
        <f t="shared" si="351"/>
        <v>3.7318655944415945E-3</v>
      </c>
      <c r="BL145" s="460">
        <f t="shared" si="427"/>
        <v>119.83435075484677</v>
      </c>
      <c r="BM145" s="528">
        <f t="shared" si="472"/>
        <v>12.668809295506925</v>
      </c>
      <c r="BN145" s="460">
        <f t="shared" si="353"/>
        <v>12668.809295506926</v>
      </c>
      <c r="BO145" s="528">
        <f t="shared" si="354"/>
        <v>0.14699999999999999</v>
      </c>
      <c r="BR145" s="460">
        <f t="shared" si="355"/>
        <v>147</v>
      </c>
      <c r="BS145" s="528">
        <f t="shared" si="356"/>
        <v>1.7469717629747559</v>
      </c>
      <c r="BT145" s="528">
        <f t="shared" si="357"/>
        <v>5.8634795480075642E-3</v>
      </c>
      <c r="BU145" s="528">
        <f t="shared" si="358"/>
        <v>210.91520006973212</v>
      </c>
      <c r="BV145" s="528"/>
      <c r="BW145" s="528">
        <f t="shared" si="359"/>
        <v>3.5808181344055585</v>
      </c>
      <c r="BX145" s="460">
        <f t="shared" si="360"/>
        <v>216248.85344666045</v>
      </c>
      <c r="BY145" s="173">
        <f t="shared" si="361"/>
        <v>221.54415314987847</v>
      </c>
      <c r="BZ145" s="5">
        <f t="shared" si="362"/>
        <v>35.699999999999996</v>
      </c>
      <c r="CA145" s="173">
        <f t="shared" si="363"/>
        <v>0.13877866440447362</v>
      </c>
      <c r="CB145" s="5">
        <f t="shared" si="364"/>
        <v>13.877866440447361</v>
      </c>
      <c r="CE145" s="562">
        <f t="shared" si="473"/>
        <v>-50</v>
      </c>
      <c r="CF145">
        <f t="shared" si="474"/>
        <v>-50</v>
      </c>
      <c r="CG145" s="173">
        <f t="shared" si="475"/>
        <v>0.41586196805020315</v>
      </c>
      <c r="CI145" s="170">
        <v>35</v>
      </c>
      <c r="CJ145" s="217">
        <f t="shared" si="428"/>
        <v>0.21</v>
      </c>
      <c r="CK145" s="217"/>
      <c r="CL145" s="217">
        <f t="shared" si="368"/>
        <v>35.699999999999996</v>
      </c>
      <c r="CM145" s="541">
        <f t="shared" si="369"/>
        <v>9</v>
      </c>
      <c r="CN145" s="443">
        <f t="shared" si="370"/>
        <v>8.5250000000000004</v>
      </c>
      <c r="CO145" s="443">
        <f t="shared" si="371"/>
        <v>17.524999999999999</v>
      </c>
      <c r="CP145" s="443"/>
      <c r="CQ145" s="217">
        <f t="shared" si="372"/>
        <v>0.48644793152639093</v>
      </c>
      <c r="CR145" s="172">
        <f t="shared" si="429"/>
        <v>147.11644793152644</v>
      </c>
      <c r="CS145" s="172">
        <f t="shared" si="373"/>
        <v>35.699999999999996</v>
      </c>
      <c r="CT145" s="217">
        <f t="shared" si="374"/>
        <v>0.86539087018544958</v>
      </c>
      <c r="CU145" s="217">
        <f t="shared" si="375"/>
        <v>170</v>
      </c>
      <c r="CV145" s="217"/>
      <c r="CW145" s="172">
        <f t="shared" si="376"/>
        <v>1248.6434779409283</v>
      </c>
      <c r="CX145" s="172">
        <f t="shared" si="377"/>
        <v>170</v>
      </c>
      <c r="CY145" s="217">
        <f t="shared" si="378"/>
        <v>16.308699902248286</v>
      </c>
      <c r="CZ145" s="217">
        <f t="shared" si="379"/>
        <v>0.90603888345823813</v>
      </c>
      <c r="DA145" s="217">
        <f t="shared" si="380"/>
        <v>0.95652198840165903</v>
      </c>
      <c r="DB145" s="197">
        <f t="shared" si="381"/>
        <v>350</v>
      </c>
      <c r="DC145" s="443">
        <f t="shared" si="382"/>
        <v>350</v>
      </c>
      <c r="DE145" s="217">
        <f t="shared" si="383"/>
        <v>25.017322192785819</v>
      </c>
      <c r="DF145" s="173">
        <f t="shared" si="384"/>
        <v>1.467291624210312</v>
      </c>
      <c r="DG145" s="173">
        <f t="shared" si="385"/>
        <v>0.32119243899439714</v>
      </c>
      <c r="DH145" s="173"/>
      <c r="DI145" s="173">
        <f t="shared" si="386"/>
        <v>0.78201368523949166</v>
      </c>
      <c r="DJ145" s="545">
        <f t="shared" si="387"/>
        <v>805.61249999999995</v>
      </c>
      <c r="DK145" s="528">
        <f t="shared" si="388"/>
        <v>9.1234929944607357E-2</v>
      </c>
      <c r="DM145" s="173">
        <f t="shared" si="389"/>
        <v>20.228692493584454</v>
      </c>
      <c r="DN145" s="173">
        <f t="shared" si="390"/>
        <v>20.228692493584454</v>
      </c>
      <c r="DO145" s="173">
        <f t="shared" si="391"/>
        <v>6.307673452037867</v>
      </c>
      <c r="DQ145" s="545">
        <f t="shared" si="392"/>
        <v>210</v>
      </c>
      <c r="DR145" s="460">
        <f t="shared" si="393"/>
        <v>350</v>
      </c>
      <c r="DT145">
        <f t="shared" si="430"/>
        <v>210</v>
      </c>
      <c r="DU145">
        <f t="shared" si="431"/>
        <v>350</v>
      </c>
      <c r="DW145" s="5">
        <f t="shared" si="394"/>
        <v>2.8571428571428572</v>
      </c>
      <c r="DX145" s="5">
        <f t="shared" si="395"/>
        <v>1.1238162496435806</v>
      </c>
      <c r="DY145" s="5">
        <f t="shared" si="396"/>
        <v>1.7333266074992766</v>
      </c>
      <c r="DZ145" s="5"/>
      <c r="EA145" s="173">
        <f t="shared" si="397"/>
        <v>0.39333568737525321</v>
      </c>
      <c r="EB145" s="173">
        <f t="shared" si="398"/>
        <v>35.805000000000007</v>
      </c>
      <c r="EC145" s="173">
        <f t="shared" si="399"/>
        <v>0.30680064567294474</v>
      </c>
      <c r="ED145" s="173">
        <f t="shared" si="400"/>
        <v>116.70444800226663</v>
      </c>
      <c r="EE145" s="460">
        <f t="shared" si="401"/>
        <v>0.13882436025008937</v>
      </c>
      <c r="EF145" s="5">
        <f t="shared" si="402"/>
        <v>11.000846202262075</v>
      </c>
      <c r="EH145" s="173">
        <f t="shared" si="403"/>
        <v>7.3246834578693258</v>
      </c>
      <c r="EI145" s="173">
        <f t="shared" si="404"/>
        <v>0.4548324203539571</v>
      </c>
      <c r="EK145" s="528">
        <f t="shared" si="405"/>
        <v>2.1460395103193819</v>
      </c>
      <c r="EL145" s="528">
        <f t="shared" si="406"/>
        <v>3.4121379210194003</v>
      </c>
      <c r="EM145" s="528">
        <f t="shared" si="407"/>
        <v>6.9999999999999993E-2</v>
      </c>
      <c r="EN145" s="528">
        <f t="shared" si="408"/>
        <v>2.1498793749999998E-2</v>
      </c>
      <c r="EO145">
        <f t="shared" si="409"/>
        <v>4.0499999999999998E-3</v>
      </c>
      <c r="EP145" s="460">
        <f t="shared" si="410"/>
        <v>74.05</v>
      </c>
      <c r="EQ145" s="460"/>
      <c r="ER145" s="460">
        <f t="shared" si="432"/>
        <v>5653.7262250887834</v>
      </c>
      <c r="ES145" s="528">
        <f t="shared" si="411"/>
        <v>0.14699999999999999</v>
      </c>
      <c r="EV145" s="460">
        <f t="shared" si="412"/>
        <v>147</v>
      </c>
      <c r="EW145" s="528">
        <f t="shared" si="413"/>
        <v>1.6095296327395363</v>
      </c>
      <c r="EX145" s="528">
        <f t="shared" si="414"/>
        <v>6.2061759181511623E-3</v>
      </c>
      <c r="EY145" s="528">
        <f t="shared" si="415"/>
        <v>210.89177712765249</v>
      </c>
      <c r="EZ145" s="528"/>
      <c r="FA145" s="528">
        <f t="shared" si="416"/>
        <v>3.5805000000000007</v>
      </c>
      <c r="FB145" s="460">
        <f t="shared" si="417"/>
        <v>216088.01293631017</v>
      </c>
      <c r="FC145" s="173">
        <f t="shared" si="418"/>
        <v>221.88873916139897</v>
      </c>
      <c r="FD145" s="5">
        <f t="shared" si="419"/>
        <v>35.699999999999996</v>
      </c>
      <c r="FE145" s="173">
        <f t="shared" si="420"/>
        <v>0.13859301503716445</v>
      </c>
      <c r="FF145" s="5">
        <f t="shared" si="421"/>
        <v>13.859301503716445</v>
      </c>
      <c r="FI145" s="562">
        <f t="shared" si="422"/>
        <v>-50</v>
      </c>
      <c r="FJ145">
        <f t="shared" si="423"/>
        <v>-50</v>
      </c>
      <c r="FL145">
        <f t="shared" si="476"/>
        <v>0.41525175206771603</v>
      </c>
    </row>
    <row r="146" spans="5:168">
      <c r="E146" s="170">
        <v>36</v>
      </c>
      <c r="F146" s="217">
        <f t="shared" si="477"/>
        <v>0.216</v>
      </c>
      <c r="G146" s="217"/>
      <c r="H146" s="217">
        <f t="shared" si="442"/>
        <v>36.72</v>
      </c>
      <c r="I146" s="541">
        <f t="shared" si="443"/>
        <v>8.2830062761780958</v>
      </c>
      <c r="J146" s="172">
        <f t="shared" si="444"/>
        <v>8.5257682075612387</v>
      </c>
      <c r="K146" s="172">
        <f t="shared" si="445"/>
        <v>16.808774483739334</v>
      </c>
      <c r="L146" s="443"/>
      <c r="M146" s="217">
        <f t="shared" si="446"/>
        <v>0.50722131896651423</v>
      </c>
      <c r="N146" s="172">
        <f t="shared" si="447"/>
        <v>141.17826796983661</v>
      </c>
      <c r="O146" s="172">
        <f t="shared" si="438"/>
        <v>36.72</v>
      </c>
      <c r="P146" s="217">
        <f t="shared" si="448"/>
        <v>0.83046039982256825</v>
      </c>
      <c r="Q146" s="217">
        <f t="shared" si="449"/>
        <v>170</v>
      </c>
      <c r="R146" s="217"/>
      <c r="S146" s="172">
        <f t="shared" si="450"/>
        <v>1112.6559938757061</v>
      </c>
      <c r="T146" s="172">
        <f t="shared" si="451"/>
        <v>170</v>
      </c>
      <c r="U146" s="217">
        <f t="shared" si="452"/>
        <v>17.533226035427631</v>
      </c>
      <c r="V146" s="217">
        <f t="shared" si="453"/>
        <v>1.0583854129057675</v>
      </c>
      <c r="W146" s="217">
        <f t="shared" si="454"/>
        <v>1.0282490450466362</v>
      </c>
      <c r="X146" s="197">
        <f t="shared" si="455"/>
        <v>350</v>
      </c>
      <c r="Y146" s="443">
        <f t="shared" si="328"/>
        <v>350</v>
      </c>
      <c r="AA146" s="217">
        <f t="shared" si="456"/>
        <v>24.007526253041444</v>
      </c>
      <c r="AB146" s="173">
        <f t="shared" si="457"/>
        <v>1.4079391832251498</v>
      </c>
      <c r="AC146" s="173">
        <f t="shared" si="458"/>
        <v>0.29575994790968074</v>
      </c>
      <c r="AD146" s="173"/>
      <c r="AE146" s="173">
        <f t="shared" si="459"/>
        <v>0.78194322251855353</v>
      </c>
      <c r="AF146" s="545">
        <f t="shared" si="460"/>
        <v>828.70466977495232</v>
      </c>
      <c r="AG146" s="528">
        <f t="shared" si="461"/>
        <v>9.1226709293831254E-2</v>
      </c>
      <c r="AI146" s="173">
        <f t="shared" si="462"/>
        <v>20.516562969371019</v>
      </c>
      <c r="AJ146" s="173">
        <f t="shared" si="463"/>
        <v>20.516562969371019</v>
      </c>
      <c r="AK146" s="173">
        <f t="shared" si="464"/>
        <v>6.520910841509397</v>
      </c>
      <c r="AM146" s="545">
        <f t="shared" si="465"/>
        <v>216</v>
      </c>
      <c r="AN146" s="460">
        <f t="shared" si="466"/>
        <v>350</v>
      </c>
      <c r="AP146" s="460">
        <f t="shared" si="467"/>
        <v>216</v>
      </c>
      <c r="AQ146" s="460">
        <f t="shared" si="468"/>
        <v>350</v>
      </c>
      <c r="AS146" s="5">
        <f t="shared" si="439"/>
        <v>2.8571428571428572</v>
      </c>
      <c r="AT146" s="5">
        <f t="shared" si="469"/>
        <v>1.2384732236879139</v>
      </c>
      <c r="AU146" s="5">
        <f t="shared" si="343"/>
        <v>1.6186696334549433</v>
      </c>
      <c r="AV146" s="5"/>
      <c r="AW146" s="173">
        <f t="shared" si="344"/>
        <v>0.43346562829076984</v>
      </c>
      <c r="AX146" s="173">
        <f t="shared" si="435"/>
        <v>36.831318656664536</v>
      </c>
      <c r="AY146" s="173">
        <f t="shared" si="436"/>
        <v>0.29058345278713671</v>
      </c>
      <c r="AZ146" s="173">
        <f t="shared" si="440"/>
        <v>126.74953891350744</v>
      </c>
      <c r="BA146" s="460">
        <f t="shared" si="433"/>
        <v>0.15735895077446432</v>
      </c>
      <c r="BB146" s="5">
        <f t="shared" si="434"/>
        <v>11.481348091966609</v>
      </c>
      <c r="BD146" s="173">
        <f t="shared" si="441"/>
        <v>7.7986838162514003</v>
      </c>
      <c r="BE146" s="173">
        <f t="shared" si="437"/>
        <v>0.44578670934893444</v>
      </c>
      <c r="BG146" s="528">
        <f t="shared" si="347"/>
        <v>2.4327787706344601</v>
      </c>
      <c r="BH146" s="528">
        <f t="shared" si="470"/>
        <v>2.7157589560520599</v>
      </c>
      <c r="BI146" s="528">
        <f t="shared" si="471"/>
        <v>0.11596208786649334</v>
      </c>
      <c r="BJ146" s="528">
        <f t="shared" si="350"/>
        <v>1.9777442975164455E-2</v>
      </c>
      <c r="BK146">
        <f t="shared" si="351"/>
        <v>3.727352824280143E-3</v>
      </c>
      <c r="BL146" s="460">
        <f t="shared" si="427"/>
        <v>119.68944069077349</v>
      </c>
      <c r="BM146" s="528">
        <f t="shared" si="472"/>
        <v>13.804633232261615</v>
      </c>
      <c r="BN146" s="460">
        <f t="shared" si="353"/>
        <v>13804.633232261614</v>
      </c>
      <c r="BO146" s="528">
        <f t="shared" si="354"/>
        <v>0.1512</v>
      </c>
      <c r="BR146" s="460">
        <f t="shared" si="355"/>
        <v>151.19999999999999</v>
      </c>
      <c r="BS146" s="528">
        <f t="shared" si="356"/>
        <v>1.8245840779758451</v>
      </c>
      <c r="BT146" s="528">
        <f t="shared" si="357"/>
        <v>5.9617737069645399E-3</v>
      </c>
      <c r="BU146" s="528">
        <f t="shared" si="358"/>
        <v>218.47494260925063</v>
      </c>
      <c r="BV146" s="528"/>
      <c r="BW146" s="528">
        <f t="shared" si="359"/>
        <v>3.6831318656664549</v>
      </c>
      <c r="BX146" s="460">
        <f t="shared" si="360"/>
        <v>223988.62032659992</v>
      </c>
      <c r="BY146" s="173">
        <f t="shared" si="361"/>
        <v>229.42782493695236</v>
      </c>
      <c r="BZ146" s="5">
        <f t="shared" si="362"/>
        <v>36.72</v>
      </c>
      <c r="CA146" s="173">
        <f t="shared" si="363"/>
        <v>0.13796843918862978</v>
      </c>
      <c r="CB146" s="5">
        <f t="shared" si="364"/>
        <v>13.796843918862978</v>
      </c>
      <c r="CE146" s="562">
        <f t="shared" si="473"/>
        <v>-50</v>
      </c>
      <c r="CF146">
        <f t="shared" si="474"/>
        <v>-50</v>
      </c>
      <c r="CG146" s="173">
        <f t="shared" si="475"/>
        <v>0.42176101401288429</v>
      </c>
      <c r="CI146" s="170">
        <v>36</v>
      </c>
      <c r="CJ146" s="217">
        <f t="shared" si="428"/>
        <v>0.216</v>
      </c>
      <c r="CK146" s="217"/>
      <c r="CL146" s="217">
        <f t="shared" si="368"/>
        <v>36.72</v>
      </c>
      <c r="CM146" s="541">
        <f t="shared" si="369"/>
        <v>9</v>
      </c>
      <c r="CN146" s="443">
        <f t="shared" si="370"/>
        <v>8.5250000000000004</v>
      </c>
      <c r="CO146" s="443">
        <f t="shared" si="371"/>
        <v>17.524999999999999</v>
      </c>
      <c r="CP146" s="443"/>
      <c r="CQ146" s="217">
        <f t="shared" si="372"/>
        <v>0.48644793152639093</v>
      </c>
      <c r="CR146" s="172">
        <f t="shared" si="429"/>
        <v>147.11644793152644</v>
      </c>
      <c r="CS146" s="172">
        <f t="shared" si="373"/>
        <v>36.72</v>
      </c>
      <c r="CT146" s="217">
        <f t="shared" si="374"/>
        <v>0.86539087018544958</v>
      </c>
      <c r="CU146" s="217">
        <f t="shared" si="375"/>
        <v>170</v>
      </c>
      <c r="CV146" s="217"/>
      <c r="CW146" s="172">
        <f t="shared" si="376"/>
        <v>1208.9633020602907</v>
      </c>
      <c r="CX146" s="172">
        <f t="shared" si="377"/>
        <v>170</v>
      </c>
      <c r="CY146" s="217">
        <f t="shared" si="378"/>
        <v>16.774662756598239</v>
      </c>
      <c r="CZ146" s="217">
        <f t="shared" si="379"/>
        <v>0.9319257086999021</v>
      </c>
      <c r="DA146" s="217">
        <f t="shared" si="380"/>
        <v>0.98385118807027783</v>
      </c>
      <c r="DB146" s="197">
        <f t="shared" si="381"/>
        <v>350</v>
      </c>
      <c r="DC146" s="443">
        <f t="shared" si="382"/>
        <v>350</v>
      </c>
      <c r="DE146" s="217">
        <f t="shared" si="383"/>
        <v>25.017322192785819</v>
      </c>
      <c r="DF146" s="173">
        <f t="shared" si="384"/>
        <v>1.467291624210312</v>
      </c>
      <c r="DG146" s="173">
        <f t="shared" si="385"/>
        <v>0.32119243899439714</v>
      </c>
      <c r="DH146" s="173"/>
      <c r="DI146" s="173">
        <f t="shared" si="386"/>
        <v>0.78201368523949166</v>
      </c>
      <c r="DJ146" s="545">
        <f t="shared" si="387"/>
        <v>828.63</v>
      </c>
      <c r="DK146" s="528">
        <f t="shared" si="388"/>
        <v>9.1234929944607357E-2</v>
      </c>
      <c r="DM146" s="173">
        <f t="shared" si="389"/>
        <v>20.515638634257247</v>
      </c>
      <c r="DN146" s="173">
        <f t="shared" si="390"/>
        <v>20.515638634257247</v>
      </c>
      <c r="DO146" s="173">
        <f t="shared" si="391"/>
        <v>6.5202261488325286</v>
      </c>
      <c r="DQ146" s="545">
        <f t="shared" si="392"/>
        <v>216</v>
      </c>
      <c r="DR146" s="460">
        <f t="shared" si="393"/>
        <v>350</v>
      </c>
      <c r="DT146">
        <f t="shared" si="430"/>
        <v>216</v>
      </c>
      <c r="DU146">
        <f t="shared" si="431"/>
        <v>350</v>
      </c>
      <c r="DW146" s="5">
        <f t="shared" si="394"/>
        <v>2.8571428571428572</v>
      </c>
      <c r="DX146" s="5">
        <f t="shared" si="395"/>
        <v>1.1397577019031804</v>
      </c>
      <c r="DY146" s="5">
        <f t="shared" si="396"/>
        <v>1.7173851552396768</v>
      </c>
      <c r="DZ146" s="5"/>
      <c r="EA146" s="173">
        <f t="shared" si="397"/>
        <v>0.39891519566611311</v>
      </c>
      <c r="EB146" s="173">
        <f t="shared" si="398"/>
        <v>36.827999999999996</v>
      </c>
      <c r="EC146" s="173">
        <f t="shared" si="399"/>
        <v>0.30829096585643123</v>
      </c>
      <c r="ED146" s="173">
        <f t="shared" si="400"/>
        <v>119.45857673023905</v>
      </c>
      <c r="EE146" s="460">
        <f t="shared" si="401"/>
        <v>0.1448162727124041</v>
      </c>
      <c r="EF146" s="5">
        <f t="shared" si="402"/>
        <v>11.211090293404611</v>
      </c>
      <c r="EH146" s="173">
        <f t="shared" si="403"/>
        <v>7.4810869660934802</v>
      </c>
      <c r="EI146" s="173">
        <f t="shared" si="404"/>
        <v>0.4591581444962321</v>
      </c>
      <c r="EK146" s="528">
        <f t="shared" si="405"/>
        <v>2.2386664877701499</v>
      </c>
      <c r="EL146" s="528">
        <f t="shared" si="406"/>
        <v>3.4605394580040731</v>
      </c>
      <c r="EM146" s="528">
        <f t="shared" si="407"/>
        <v>6.9999999999999993E-2</v>
      </c>
      <c r="EN146" s="528">
        <f t="shared" si="408"/>
        <v>2.1498793749999998E-2</v>
      </c>
      <c r="EO146">
        <f t="shared" si="409"/>
        <v>4.0499999999999998E-3</v>
      </c>
      <c r="EP146" s="460">
        <f t="shared" si="410"/>
        <v>74.05</v>
      </c>
      <c r="EQ146" s="460"/>
      <c r="ER146" s="460">
        <f t="shared" si="432"/>
        <v>5794.7547395242236</v>
      </c>
      <c r="ES146" s="528">
        <f t="shared" si="411"/>
        <v>0.1512</v>
      </c>
      <c r="EV146" s="460">
        <f t="shared" si="412"/>
        <v>151.19999999999999</v>
      </c>
      <c r="EW146" s="528">
        <f t="shared" si="413"/>
        <v>1.6789998658276124</v>
      </c>
      <c r="EX146" s="528">
        <f t="shared" si="414"/>
        <v>6.3247860497166828E-3</v>
      </c>
      <c r="EY146" s="528">
        <f t="shared" si="415"/>
        <v>218.45033599779848</v>
      </c>
      <c r="EZ146" s="528"/>
      <c r="FA146" s="528">
        <f t="shared" si="416"/>
        <v>3.6828000000000003</v>
      </c>
      <c r="FB146" s="460">
        <f t="shared" si="417"/>
        <v>223818.46064967578</v>
      </c>
      <c r="FC146" s="173">
        <f t="shared" si="418"/>
        <v>229.76441538920005</v>
      </c>
      <c r="FD146" s="5">
        <f t="shared" si="419"/>
        <v>36.72</v>
      </c>
      <c r="FE146" s="173">
        <f t="shared" si="420"/>
        <v>0.1377941743661463</v>
      </c>
      <c r="FF146" s="5">
        <f t="shared" si="421"/>
        <v>13.779417436614629</v>
      </c>
      <c r="FI146" s="562">
        <f t="shared" si="422"/>
        <v>-50</v>
      </c>
      <c r="FJ146">
        <f t="shared" si="423"/>
        <v>-50</v>
      </c>
      <c r="FL146">
        <f t="shared" si="476"/>
        <v>0.42114214205220152</v>
      </c>
    </row>
    <row r="147" spans="5:168">
      <c r="E147" s="170">
        <v>37</v>
      </c>
      <c r="F147" s="217">
        <f t="shared" si="477"/>
        <v>0.222</v>
      </c>
      <c r="G147" s="217"/>
      <c r="H147" s="217">
        <f t="shared" si="442"/>
        <v>37.74</v>
      </c>
      <c r="I147" s="541">
        <f t="shared" si="443"/>
        <v>8.2731162403795224</v>
      </c>
      <c r="J147" s="172">
        <f t="shared" si="444"/>
        <v>8.5257788040281657</v>
      </c>
      <c r="K147" s="172">
        <f t="shared" si="445"/>
        <v>16.798895044407686</v>
      </c>
      <c r="L147" s="443"/>
      <c r="M147" s="217">
        <f t="shared" si="446"/>
        <v>0.5075202473206315</v>
      </c>
      <c r="N147" s="172">
        <f t="shared" si="447"/>
        <v>141.09280232777434</v>
      </c>
      <c r="O147" s="172">
        <f t="shared" si="438"/>
        <v>37.74</v>
      </c>
      <c r="P147" s="217">
        <f t="shared" si="448"/>
        <v>0.8299576607516137</v>
      </c>
      <c r="Q147" s="217">
        <f t="shared" si="449"/>
        <v>170</v>
      </c>
      <c r="R147" s="217"/>
      <c r="S147" s="172">
        <f t="shared" si="450"/>
        <v>1076.8241140915557</v>
      </c>
      <c r="T147" s="172">
        <f t="shared" si="451"/>
        <v>170</v>
      </c>
      <c r="U147" s="217">
        <f t="shared" si="452"/>
        <v>18.031198138984962</v>
      </c>
      <c r="V147" s="217">
        <f t="shared" si="453"/>
        <v>1.0897464519462494</v>
      </c>
      <c r="W147" s="217">
        <f t="shared" si="454"/>
        <v>1.0574516741195408</v>
      </c>
      <c r="X147" s="197">
        <f t="shared" si="455"/>
        <v>350</v>
      </c>
      <c r="Y147" s="443">
        <f t="shared" si="328"/>
        <v>350</v>
      </c>
      <c r="AA147" s="217">
        <f t="shared" si="456"/>
        <v>23.992992702039064</v>
      </c>
      <c r="AB147" s="173">
        <f t="shared" si="457"/>
        <v>1.4070851035158876</v>
      </c>
      <c r="AC147" s="173">
        <f t="shared" si="458"/>
        <v>0.29540159792329002</v>
      </c>
      <c r="AD147" s="173"/>
      <c r="AE147" s="173">
        <f t="shared" si="459"/>
        <v>0.78194225066182499</v>
      </c>
      <c r="AF147" s="545">
        <f t="shared" si="460"/>
        <v>851.72530252241381</v>
      </c>
      <c r="AG147" s="528">
        <f t="shared" si="461"/>
        <v>9.1226595910546243E-2</v>
      </c>
      <c r="AI147" s="173">
        <f t="shared" si="462"/>
        <v>20.799576339060387</v>
      </c>
      <c r="AJ147" s="173">
        <f t="shared" si="463"/>
        <v>20.799576339060387</v>
      </c>
      <c r="AK147" s="173">
        <f t="shared" si="464"/>
        <v>6.7305503746126316</v>
      </c>
      <c r="AM147" s="545">
        <f t="shared" si="465"/>
        <v>222</v>
      </c>
      <c r="AN147" s="460">
        <f t="shared" si="466"/>
        <v>350</v>
      </c>
      <c r="AP147" s="460">
        <f t="shared" si="467"/>
        <v>222</v>
      </c>
      <c r="AQ147" s="460">
        <f t="shared" si="468"/>
        <v>350</v>
      </c>
      <c r="AS147" s="5">
        <f t="shared" si="439"/>
        <v>2.8571428571428572</v>
      </c>
      <c r="AT147" s="5">
        <f t="shared" si="469"/>
        <v>1.2570581468166475</v>
      </c>
      <c r="AU147" s="5">
        <f t="shared" si="343"/>
        <v>1.6000847103262097</v>
      </c>
      <c r="AV147" s="5"/>
      <c r="AW147" s="173">
        <f t="shared" si="344"/>
        <v>0.43997035138582663</v>
      </c>
      <c r="AX147" s="173">
        <f t="shared" si="435"/>
        <v>37.854457889885055</v>
      </c>
      <c r="AY147" s="173">
        <f t="shared" si="436"/>
        <v>0.29120948571219157</v>
      </c>
      <c r="AZ147" s="173">
        <f t="shared" si="440"/>
        <v>129.99046990968353</v>
      </c>
      <c r="BA147" s="460">
        <f t="shared" si="433"/>
        <v>0.16415700505487987</v>
      </c>
      <c r="BB147" s="5">
        <f t="shared" si="434"/>
        <v>11.678732939440183</v>
      </c>
      <c r="BD147" s="173">
        <f t="shared" si="441"/>
        <v>7.9653629073054164</v>
      </c>
      <c r="BE147" s="173">
        <f t="shared" si="437"/>
        <v>0.44933409725686457</v>
      </c>
      <c r="BG147" s="528">
        <f t="shared" si="347"/>
        <v>2.5378802498030799</v>
      </c>
      <c r="BH147" s="528">
        <f t="shared" si="470"/>
        <v>2.7516029616181643</v>
      </c>
      <c r="BI147" s="528">
        <f t="shared" si="471"/>
        <v>0.11582362736531331</v>
      </c>
      <c r="BJ147" s="528">
        <f t="shared" si="350"/>
        <v>1.9754201229911759E-2</v>
      </c>
      <c r="BK147">
        <f t="shared" si="351"/>
        <v>3.7229023081707851E-3</v>
      </c>
      <c r="BL147" s="460">
        <f t="shared" si="427"/>
        <v>119.54652967348409</v>
      </c>
      <c r="BM147" s="528">
        <f t="shared" si="472"/>
        <v>15.099421473376649</v>
      </c>
      <c r="BN147" s="460">
        <f t="shared" si="353"/>
        <v>15099.421473376649</v>
      </c>
      <c r="BO147" s="528">
        <f t="shared" si="354"/>
        <v>0.15539999999999998</v>
      </c>
      <c r="BR147" s="460">
        <f t="shared" si="355"/>
        <v>155.39999999999998</v>
      </c>
      <c r="BS147" s="528">
        <f t="shared" si="356"/>
        <v>1.9034101873523099</v>
      </c>
      <c r="BT147" s="528">
        <f t="shared" si="357"/>
        <v>6.0570339287292427E-3</v>
      </c>
      <c r="BU147" s="528">
        <f t="shared" si="358"/>
        <v>226.08738869044208</v>
      </c>
      <c r="BV147" s="528"/>
      <c r="BW147" s="528">
        <f t="shared" si="359"/>
        <v>3.7854457889885063</v>
      </c>
      <c r="BX147" s="460">
        <f t="shared" si="360"/>
        <v>231782.30170071163</v>
      </c>
      <c r="BY147" s="173">
        <f t="shared" si="361"/>
        <v>237.36648564303627</v>
      </c>
      <c r="BZ147" s="5">
        <f t="shared" si="362"/>
        <v>37.74</v>
      </c>
      <c r="CA147" s="173">
        <f t="shared" si="363"/>
        <v>0.13718324346947403</v>
      </c>
      <c r="CB147" s="5">
        <f t="shared" si="364"/>
        <v>13.718324346947403</v>
      </c>
      <c r="CE147" s="562">
        <f t="shared" si="473"/>
        <v>-50</v>
      </c>
      <c r="CF147">
        <f t="shared" si="474"/>
        <v>-50</v>
      </c>
      <c r="CG147" s="173">
        <f t="shared" si="475"/>
        <v>0.42757868212969263</v>
      </c>
      <c r="CI147" s="170">
        <v>37</v>
      </c>
      <c r="CJ147" s="217">
        <f t="shared" si="428"/>
        <v>0.222</v>
      </c>
      <c r="CK147" s="217"/>
      <c r="CL147" s="217">
        <f t="shared" si="368"/>
        <v>37.74</v>
      </c>
      <c r="CM147" s="541">
        <f t="shared" si="369"/>
        <v>9</v>
      </c>
      <c r="CN147" s="443">
        <f t="shared" si="370"/>
        <v>8.5250000000000004</v>
      </c>
      <c r="CO147" s="443">
        <f t="shared" si="371"/>
        <v>17.524999999999999</v>
      </c>
      <c r="CP147" s="443"/>
      <c r="CQ147" s="217">
        <f t="shared" si="372"/>
        <v>0.48644793152639093</v>
      </c>
      <c r="CR147" s="172">
        <f t="shared" si="429"/>
        <v>147.11644793152644</v>
      </c>
      <c r="CS147" s="172">
        <f t="shared" si="373"/>
        <v>37.74</v>
      </c>
      <c r="CT147" s="217">
        <f t="shared" si="374"/>
        <v>0.86539087018544958</v>
      </c>
      <c r="CU147" s="217">
        <f t="shared" si="375"/>
        <v>170</v>
      </c>
      <c r="CV147" s="217"/>
      <c r="CW147" s="172">
        <f t="shared" si="376"/>
        <v>1171.4281478684111</v>
      </c>
      <c r="CX147" s="172">
        <f t="shared" si="377"/>
        <v>170</v>
      </c>
      <c r="CY147" s="217">
        <f t="shared" si="378"/>
        <v>17.240625610948189</v>
      </c>
      <c r="CZ147" s="217">
        <f t="shared" si="379"/>
        <v>0.95781253394156607</v>
      </c>
      <c r="DA147" s="217">
        <f t="shared" si="380"/>
        <v>1.0111803877388967</v>
      </c>
      <c r="DB147" s="197">
        <f t="shared" si="381"/>
        <v>350</v>
      </c>
      <c r="DC147" s="443">
        <f t="shared" si="382"/>
        <v>350</v>
      </c>
      <c r="DE147" s="217">
        <f t="shared" si="383"/>
        <v>25.017322192785819</v>
      </c>
      <c r="DF147" s="173">
        <f t="shared" si="384"/>
        <v>1.467291624210312</v>
      </c>
      <c r="DG147" s="173">
        <f t="shared" si="385"/>
        <v>0.32119243899439714</v>
      </c>
      <c r="DH147" s="173"/>
      <c r="DI147" s="173">
        <f t="shared" si="386"/>
        <v>0.78201368523949166</v>
      </c>
      <c r="DJ147" s="545">
        <f t="shared" si="387"/>
        <v>851.64750000000004</v>
      </c>
      <c r="DK147" s="528">
        <f t="shared" si="388"/>
        <v>9.1234929944607357E-2</v>
      </c>
      <c r="DM147" s="173">
        <f t="shared" si="389"/>
        <v>20.798626328266423</v>
      </c>
      <c r="DN147" s="173">
        <f t="shared" si="390"/>
        <v>20.798626328266423</v>
      </c>
      <c r="DO147" s="173">
        <f t="shared" si="391"/>
        <v>6.7298466629133991</v>
      </c>
      <c r="DQ147" s="545">
        <f t="shared" si="392"/>
        <v>222</v>
      </c>
      <c r="DR147" s="460">
        <f t="shared" si="393"/>
        <v>350</v>
      </c>
      <c r="DT147">
        <f t="shared" si="430"/>
        <v>222</v>
      </c>
      <c r="DU147">
        <f t="shared" si="431"/>
        <v>350</v>
      </c>
      <c r="DW147" s="5">
        <f t="shared" si="394"/>
        <v>2.8571428571428572</v>
      </c>
      <c r="DX147" s="5">
        <f t="shared" si="395"/>
        <v>1.1554792404592458</v>
      </c>
      <c r="DY147" s="5">
        <f t="shared" si="396"/>
        <v>1.7016636166836114</v>
      </c>
      <c r="DZ147" s="5"/>
      <c r="EA147" s="173">
        <f t="shared" si="397"/>
        <v>0.40441773416073601</v>
      </c>
      <c r="EB147" s="173">
        <f t="shared" si="398"/>
        <v>37.851000000000006</v>
      </c>
      <c r="EC147" s="173">
        <f t="shared" si="399"/>
        <v>0.30968232487332725</v>
      </c>
      <c r="ED147" s="173">
        <f t="shared" si="400"/>
        <v>122.2252513619646</v>
      </c>
      <c r="EE147" s="460">
        <f t="shared" si="401"/>
        <v>0.15089199493056035</v>
      </c>
      <c r="EF147" s="5">
        <f t="shared" si="402"/>
        <v>11.417028425535911</v>
      </c>
      <c r="EH147" s="173">
        <f t="shared" si="403"/>
        <v>7.6364079453298732</v>
      </c>
      <c r="EI147" s="173">
        <f t="shared" si="404"/>
        <v>0.46335612493736539</v>
      </c>
      <c r="EK147" s="528">
        <f t="shared" si="405"/>
        <v>2.3325890522998889</v>
      </c>
      <c r="EL147" s="528">
        <f t="shared" si="406"/>
        <v>3.5082732916276145</v>
      </c>
      <c r="EM147" s="528">
        <f t="shared" si="407"/>
        <v>6.9999999999999993E-2</v>
      </c>
      <c r="EN147" s="528">
        <f t="shared" si="408"/>
        <v>2.1498793749999998E-2</v>
      </c>
      <c r="EO147">
        <f t="shared" si="409"/>
        <v>4.0499999999999998E-3</v>
      </c>
      <c r="EP147" s="460">
        <f t="shared" si="410"/>
        <v>74.05</v>
      </c>
      <c r="EQ147" s="460"/>
      <c r="ER147" s="460">
        <f t="shared" si="432"/>
        <v>5936.4111376775036</v>
      </c>
      <c r="ES147" s="528">
        <f t="shared" si="411"/>
        <v>0.15539999999999998</v>
      </c>
      <c r="EV147" s="460">
        <f t="shared" si="412"/>
        <v>155.39999999999998</v>
      </c>
      <c r="EW147" s="528">
        <f t="shared" si="413"/>
        <v>1.7494417892249166</v>
      </c>
      <c r="EX147" s="528">
        <f t="shared" si="414"/>
        <v>6.4409669555091408E-3</v>
      </c>
      <c r="EY147" s="528">
        <f t="shared" si="415"/>
        <v>226.06157348890619</v>
      </c>
      <c r="EZ147" s="528"/>
      <c r="FA147" s="528">
        <f t="shared" si="416"/>
        <v>3.7851000000000008</v>
      </c>
      <c r="FB147" s="460">
        <f t="shared" si="417"/>
        <v>231602.55624508663</v>
      </c>
      <c r="FC147" s="173">
        <f t="shared" si="418"/>
        <v>237.69436738276411</v>
      </c>
      <c r="FD147" s="5">
        <f t="shared" si="419"/>
        <v>37.74</v>
      </c>
      <c r="FE147" s="173">
        <f t="shared" si="420"/>
        <v>0.13701993821110089</v>
      </c>
      <c r="FF147" s="5">
        <f t="shared" si="421"/>
        <v>13.70199382111009</v>
      </c>
      <c r="FI147" s="562">
        <f t="shared" si="422"/>
        <v>-50</v>
      </c>
      <c r="FJ147">
        <f t="shared" si="423"/>
        <v>-50</v>
      </c>
      <c r="FL147">
        <f t="shared" si="476"/>
        <v>0.42695127360077695</v>
      </c>
    </row>
    <row r="148" spans="5:168">
      <c r="E148" s="170">
        <v>38</v>
      </c>
      <c r="F148" s="217">
        <f t="shared" si="477"/>
        <v>0.22799999999999998</v>
      </c>
      <c r="G148" s="217"/>
      <c r="H148" s="217">
        <f t="shared" si="442"/>
        <v>38.76</v>
      </c>
      <c r="I148" s="541">
        <f t="shared" si="443"/>
        <v>8.2633589748052305</v>
      </c>
      <c r="J148" s="172">
        <f t="shared" si="444"/>
        <v>8.5257892582412804</v>
      </c>
      <c r="K148" s="172">
        <f t="shared" si="445"/>
        <v>16.789148233046511</v>
      </c>
      <c r="L148" s="443"/>
      <c r="M148" s="217">
        <f t="shared" si="446"/>
        <v>0.50781550741841708</v>
      </c>
      <c r="N148" s="172">
        <f t="shared" si="447"/>
        <v>141.00838505334988</v>
      </c>
      <c r="O148" s="172">
        <f t="shared" si="438"/>
        <v>38.76</v>
      </c>
      <c r="P148" s="217">
        <f t="shared" si="448"/>
        <v>0.82946108854911693</v>
      </c>
      <c r="Q148" s="217">
        <f t="shared" si="449"/>
        <v>170</v>
      </c>
      <c r="R148" s="217"/>
      <c r="S148" s="172">
        <f t="shared" si="450"/>
        <v>1042.9054339238796</v>
      </c>
      <c r="T148" s="172">
        <f t="shared" si="451"/>
        <v>170</v>
      </c>
      <c r="U148" s="217">
        <f t="shared" si="452"/>
        <v>18.529637031358316</v>
      </c>
      <c r="V148" s="217">
        <f t="shared" si="453"/>
        <v>1.1211927914456279</v>
      </c>
      <c r="W148" s="217">
        <f t="shared" si="454"/>
        <v>1.0866816238418642</v>
      </c>
      <c r="X148" s="197">
        <f t="shared" si="455"/>
        <v>350</v>
      </c>
      <c r="Y148" s="443">
        <f t="shared" si="328"/>
        <v>350</v>
      </c>
      <c r="AA148" s="217">
        <f t="shared" si="456"/>
        <v>23.978637427483179</v>
      </c>
      <c r="AB148" s="173">
        <f t="shared" si="457"/>
        <v>1.4062415045213976</v>
      </c>
      <c r="AC148" s="173">
        <f t="shared" si="458"/>
        <v>0.29504785775847414</v>
      </c>
      <c r="AD148" s="173"/>
      <c r="AE148" s="173">
        <f t="shared" si="459"/>
        <v>0.78194129185429595</v>
      </c>
      <c r="AF148" s="545">
        <f t="shared" si="460"/>
        <v>874.74597789555514</v>
      </c>
      <c r="AG148" s="528">
        <f t="shared" si="461"/>
        <v>9.1226484049667891E-2</v>
      </c>
      <c r="AI148" s="173">
        <f t="shared" si="462"/>
        <v>21.078790699273384</v>
      </c>
      <c r="AJ148" s="173">
        <f t="shared" si="463"/>
        <v>21.078790699273384</v>
      </c>
      <c r="AK148" s="173">
        <f t="shared" si="464"/>
        <v>6.9373758266222589</v>
      </c>
      <c r="AM148" s="545">
        <f t="shared" si="465"/>
        <v>227.99999999999997</v>
      </c>
      <c r="AN148" s="460">
        <f t="shared" si="466"/>
        <v>350</v>
      </c>
      <c r="AP148" s="460">
        <f t="shared" si="467"/>
        <v>227.99999999999997</v>
      </c>
      <c r="AQ148" s="460">
        <f t="shared" si="468"/>
        <v>350</v>
      </c>
      <c r="AS148" s="5">
        <f t="shared" si="439"/>
        <v>2.8571428571428572</v>
      </c>
      <c r="AT148" s="5">
        <f t="shared" si="469"/>
        <v>1.2754371898608106</v>
      </c>
      <c r="AU148" s="5">
        <f t="shared" si="343"/>
        <v>1.5817056672820466</v>
      </c>
      <c r="AV148" s="5"/>
      <c r="AW148" s="173">
        <f t="shared" si="344"/>
        <v>0.44640301645128366</v>
      </c>
      <c r="AX148" s="173">
        <f t="shared" si="435"/>
        <v>38.877599017580238</v>
      </c>
      <c r="AY148" s="173">
        <f t="shared" si="436"/>
        <v>0.29172887369931211</v>
      </c>
      <c r="AZ148" s="173">
        <f t="shared" si="440"/>
        <v>133.26620202034499</v>
      </c>
      <c r="BA148" s="460">
        <f t="shared" si="433"/>
        <v>0.17105863487544987</v>
      </c>
      <c r="BB148" s="5">
        <f t="shared" si="434"/>
        <v>11.870603583995386</v>
      </c>
      <c r="BD148" s="173">
        <f t="shared" si="441"/>
        <v>8.1310873106055492</v>
      </c>
      <c r="BE148" s="173">
        <f t="shared" si="437"/>
        <v>0.45274318951780157</v>
      </c>
      <c r="BG148" s="528">
        <f t="shared" si="347"/>
        <v>2.6445832341076234</v>
      </c>
      <c r="BH148" s="528">
        <f t="shared" si="470"/>
        <v>2.7869226652847705</v>
      </c>
      <c r="BI148" s="528">
        <f t="shared" si="471"/>
        <v>0.11568702564727322</v>
      </c>
      <c r="BJ148" s="528">
        <f t="shared" si="350"/>
        <v>1.9731284887384615E-2</v>
      </c>
      <c r="BK148">
        <f t="shared" si="351"/>
        <v>3.7185115386623537E-3</v>
      </c>
      <c r="BL148" s="460">
        <f t="shared" si="427"/>
        <v>119.40553718593557</v>
      </c>
      <c r="BM148" s="528">
        <f t="shared" si="472"/>
        <v>16.589059689395285</v>
      </c>
      <c r="BN148" s="460">
        <f t="shared" si="353"/>
        <v>16589.059689395286</v>
      </c>
      <c r="BO148" s="528">
        <f t="shared" si="354"/>
        <v>0.15959999999999996</v>
      </c>
      <c r="BR148" s="460">
        <f t="shared" si="355"/>
        <v>159.59999999999997</v>
      </c>
      <c r="BS148" s="528">
        <f t="shared" si="356"/>
        <v>1.9834374255807172</v>
      </c>
      <c r="BT148" s="528">
        <f t="shared" si="357"/>
        <v>6.1492918696425588E-3</v>
      </c>
      <c r="BU148" s="528">
        <f t="shared" si="358"/>
        <v>233.75146645222401</v>
      </c>
      <c r="BV148" s="528"/>
      <c r="BW148" s="528">
        <f t="shared" si="359"/>
        <v>3.8877599017580238</v>
      </c>
      <c r="BX148" s="460">
        <f t="shared" si="360"/>
        <v>239628.81307143238</v>
      </c>
      <c r="BY148" s="173">
        <f t="shared" si="361"/>
        <v>245.35905579289809</v>
      </c>
      <c r="BZ148" s="5">
        <f t="shared" si="362"/>
        <v>38.76</v>
      </c>
      <c r="CA148" s="173">
        <f t="shared" si="363"/>
        <v>0.13642168383191161</v>
      </c>
      <c r="CB148" s="5">
        <f t="shared" si="364"/>
        <v>13.64216838319116</v>
      </c>
      <c r="CE148" s="562">
        <f t="shared" si="473"/>
        <v>-50</v>
      </c>
      <c r="CF148">
        <f t="shared" si="474"/>
        <v>-50</v>
      </c>
      <c r="CG148" s="173">
        <f t="shared" si="475"/>
        <v>0.43331825011456981</v>
      </c>
      <c r="CI148" s="170">
        <v>38</v>
      </c>
      <c r="CJ148" s="217">
        <f t="shared" si="428"/>
        <v>0.22799999999999998</v>
      </c>
      <c r="CK148" s="217"/>
      <c r="CL148" s="217">
        <f t="shared" si="368"/>
        <v>38.76</v>
      </c>
      <c r="CM148" s="541">
        <f t="shared" si="369"/>
        <v>9</v>
      </c>
      <c r="CN148" s="443">
        <f t="shared" si="370"/>
        <v>8.5250000000000004</v>
      </c>
      <c r="CO148" s="443">
        <f t="shared" si="371"/>
        <v>17.524999999999999</v>
      </c>
      <c r="CP148" s="443"/>
      <c r="CQ148" s="217">
        <f t="shared" si="372"/>
        <v>0.48644793152639093</v>
      </c>
      <c r="CR148" s="172">
        <f t="shared" si="429"/>
        <v>147.11644793152644</v>
      </c>
      <c r="CS148" s="172">
        <f t="shared" si="373"/>
        <v>38.76</v>
      </c>
      <c r="CT148" s="217">
        <f t="shared" si="374"/>
        <v>0.86539087018544958</v>
      </c>
      <c r="CU148" s="217">
        <f t="shared" si="375"/>
        <v>170</v>
      </c>
      <c r="CV148" s="217"/>
      <c r="CW148" s="172">
        <f t="shared" si="376"/>
        <v>1135.8686733331558</v>
      </c>
      <c r="CX148" s="172">
        <f t="shared" si="377"/>
        <v>170</v>
      </c>
      <c r="CY148" s="217">
        <f t="shared" si="378"/>
        <v>17.70658846529814</v>
      </c>
      <c r="CZ148" s="217">
        <f t="shared" si="379"/>
        <v>0.98369935918323004</v>
      </c>
      <c r="DA148" s="217">
        <f t="shared" si="380"/>
        <v>1.0385095874075154</v>
      </c>
      <c r="DB148" s="197">
        <f t="shared" si="381"/>
        <v>350</v>
      </c>
      <c r="DC148" s="443">
        <f t="shared" si="382"/>
        <v>350</v>
      </c>
      <c r="DE148" s="217">
        <f t="shared" si="383"/>
        <v>25.017322192785819</v>
      </c>
      <c r="DF148" s="173">
        <f t="shared" si="384"/>
        <v>1.467291624210312</v>
      </c>
      <c r="DG148" s="173">
        <f t="shared" si="385"/>
        <v>0.32119243899439714</v>
      </c>
      <c r="DH148" s="173"/>
      <c r="DI148" s="173">
        <f t="shared" si="386"/>
        <v>0.78201368523949166</v>
      </c>
      <c r="DJ148" s="545">
        <f t="shared" si="387"/>
        <v>874.66499999999985</v>
      </c>
      <c r="DK148" s="528">
        <f t="shared" si="388"/>
        <v>9.1234929944607357E-2</v>
      </c>
      <c r="DM148" s="173">
        <f t="shared" si="389"/>
        <v>21.077815012811115</v>
      </c>
      <c r="DN148" s="173">
        <f t="shared" si="390"/>
        <v>21.077815012811115</v>
      </c>
      <c r="DO148" s="173">
        <f t="shared" si="391"/>
        <v>6.9366530959094677</v>
      </c>
      <c r="DQ148" s="545">
        <f t="shared" si="392"/>
        <v>227.99999999999997</v>
      </c>
      <c r="DR148" s="460">
        <f t="shared" si="393"/>
        <v>350</v>
      </c>
      <c r="DT148">
        <f t="shared" si="430"/>
        <v>227.99999999999997</v>
      </c>
      <c r="DU148">
        <f t="shared" si="431"/>
        <v>350</v>
      </c>
      <c r="DW148" s="5">
        <f t="shared" si="394"/>
        <v>2.8571428571428572</v>
      </c>
      <c r="DX148" s="5">
        <f t="shared" si="395"/>
        <v>1.1709897229339508</v>
      </c>
      <c r="DY148" s="5">
        <f t="shared" si="396"/>
        <v>1.6861531342089064</v>
      </c>
      <c r="DZ148" s="5"/>
      <c r="EA148" s="173">
        <f t="shared" si="397"/>
        <v>0.40984640302688274</v>
      </c>
      <c r="EB148" s="173">
        <f t="shared" si="398"/>
        <v>38.873999999999995</v>
      </c>
      <c r="EC148" s="173">
        <f t="shared" si="399"/>
        <v>0.31097870865361127</v>
      </c>
      <c r="ED148" s="173">
        <f t="shared" si="400"/>
        <v>125.00534254678007</v>
      </c>
      <c r="EE148" s="460">
        <f t="shared" si="401"/>
        <v>0.15705038636996516</v>
      </c>
      <c r="EF148" s="5">
        <f t="shared" si="402"/>
        <v>11.618719196788838</v>
      </c>
      <c r="EH148" s="173">
        <f t="shared" si="403"/>
        <v>7.7906828531979473</v>
      </c>
      <c r="EI148" s="173">
        <f t="shared" si="404"/>
        <v>0.46743098221105334</v>
      </c>
      <c r="EK148" s="528">
        <f t="shared" si="405"/>
        <v>2.4277895727645005</v>
      </c>
      <c r="EL148" s="528">
        <f t="shared" si="406"/>
        <v>3.5553663154578299</v>
      </c>
      <c r="EM148" s="528">
        <f t="shared" si="407"/>
        <v>6.9999999999999993E-2</v>
      </c>
      <c r="EN148" s="528">
        <f t="shared" si="408"/>
        <v>2.1498793749999998E-2</v>
      </c>
      <c r="EO148">
        <f t="shared" si="409"/>
        <v>4.0499999999999998E-3</v>
      </c>
      <c r="EP148" s="460">
        <f t="shared" si="410"/>
        <v>74.05</v>
      </c>
      <c r="EQ148" s="460"/>
      <c r="ER148" s="460">
        <f t="shared" si="432"/>
        <v>6078.7046819723309</v>
      </c>
      <c r="ES148" s="528">
        <f t="shared" si="411"/>
        <v>0.15959999999999996</v>
      </c>
      <c r="EV148" s="460">
        <f t="shared" si="412"/>
        <v>159.59999999999997</v>
      </c>
      <c r="EW148" s="528">
        <f t="shared" si="413"/>
        <v>1.8208421795733751</v>
      </c>
      <c r="EX148" s="528">
        <f t="shared" si="414"/>
        <v>6.5547516939237016E-3</v>
      </c>
      <c r="EY148" s="528">
        <f t="shared" si="415"/>
        <v>233.72441791002797</v>
      </c>
      <c r="EZ148" s="528"/>
      <c r="FA148" s="528">
        <f t="shared" si="416"/>
        <v>3.8873999999999991</v>
      </c>
      <c r="FB148" s="460">
        <f t="shared" si="417"/>
        <v>239439.21484129524</v>
      </c>
      <c r="FC148" s="173">
        <f t="shared" si="418"/>
        <v>245.67751952326759</v>
      </c>
      <c r="FD148" s="5">
        <f t="shared" si="419"/>
        <v>38.76</v>
      </c>
      <c r="FE148" s="173">
        <f t="shared" si="420"/>
        <v>0.13626894252545801</v>
      </c>
      <c r="FF148" s="5">
        <f t="shared" si="421"/>
        <v>13.626894252545801</v>
      </c>
      <c r="FI148" s="562">
        <f t="shared" si="422"/>
        <v>-50</v>
      </c>
      <c r="FJ148">
        <f t="shared" si="423"/>
        <v>-50</v>
      </c>
      <c r="FL148">
        <f t="shared" si="476"/>
        <v>0.43268241961782344</v>
      </c>
    </row>
    <row r="149" spans="5:168">
      <c r="E149" s="170">
        <v>39</v>
      </c>
      <c r="F149" s="217">
        <f t="shared" si="477"/>
        <v>0.23399999999999999</v>
      </c>
      <c r="G149" s="217"/>
      <c r="H149" s="217">
        <f t="shared" si="442"/>
        <v>39.78</v>
      </c>
      <c r="I149" s="541">
        <f t="shared" si="443"/>
        <v>8.2537292716446657</v>
      </c>
      <c r="J149" s="172">
        <f t="shared" si="444"/>
        <v>8.5257995757803808</v>
      </c>
      <c r="K149" s="172">
        <f t="shared" si="445"/>
        <v>16.779528847425048</v>
      </c>
      <c r="L149" s="443"/>
      <c r="M149" s="217">
        <f t="shared" si="446"/>
        <v>0.5081072437295856</v>
      </c>
      <c r="N149" s="172">
        <f t="shared" si="447"/>
        <v>140.9249748571429</v>
      </c>
      <c r="O149" s="172">
        <f t="shared" si="438"/>
        <v>39.78</v>
      </c>
      <c r="P149" s="217">
        <f t="shared" si="448"/>
        <v>0.82897044033613465</v>
      </c>
      <c r="Q149" s="217">
        <f t="shared" si="449"/>
        <v>170</v>
      </c>
      <c r="R149" s="217"/>
      <c r="S149" s="172">
        <f t="shared" si="450"/>
        <v>1010.7519439789876</v>
      </c>
      <c r="T149" s="172">
        <f t="shared" si="451"/>
        <v>170</v>
      </c>
      <c r="U149" s="217">
        <f t="shared" si="452"/>
        <v>19.028537990615188</v>
      </c>
      <c r="V149" s="217">
        <f t="shared" si="453"/>
        <v>1.1527236576553896</v>
      </c>
      <c r="W149" s="217">
        <f t="shared" si="454"/>
        <v>1.1159386179256665</v>
      </c>
      <c r="X149" s="197">
        <f t="shared" si="455"/>
        <v>350</v>
      </c>
      <c r="Y149" s="443">
        <f t="shared" si="328"/>
        <v>350</v>
      </c>
      <c r="AA149" s="217">
        <f t="shared" si="456"/>
        <v>23.964453408047692</v>
      </c>
      <c r="AB149" s="173">
        <f t="shared" si="457"/>
        <v>1.4054079734717542</v>
      </c>
      <c r="AC149" s="173">
        <f t="shared" si="458"/>
        <v>0.29469854662117256</v>
      </c>
      <c r="AD149" s="173"/>
      <c r="AE149" s="173">
        <f t="shared" si="459"/>
        <v>0.7819403455841214</v>
      </c>
      <c r="AF149" s="545">
        <f t="shared" si="460"/>
        <v>897.76669532967378</v>
      </c>
      <c r="AG149" s="528">
        <f t="shared" si="461"/>
        <v>9.1226373651480855E-2</v>
      </c>
      <c r="AI149" s="173">
        <f t="shared" si="462"/>
        <v>21.354355063252402</v>
      </c>
      <c r="AJ149" s="173">
        <f t="shared" si="463"/>
        <v>21.354355063252402</v>
      </c>
      <c r="AK149" s="173">
        <f t="shared" si="464"/>
        <v>7.1414975777178293</v>
      </c>
      <c r="AM149" s="545">
        <f t="shared" si="465"/>
        <v>234</v>
      </c>
      <c r="AN149" s="460">
        <f t="shared" si="466"/>
        <v>350</v>
      </c>
      <c r="AP149" s="460">
        <f t="shared" si="467"/>
        <v>234</v>
      </c>
      <c r="AQ149" s="460">
        <f t="shared" si="468"/>
        <v>350</v>
      </c>
      <c r="AS149" s="5">
        <f t="shared" si="439"/>
        <v>2.8571428571428572</v>
      </c>
      <c r="AT149" s="5">
        <f t="shared" si="469"/>
        <v>1.2936185789746204</v>
      </c>
      <c r="AU149" s="5">
        <f t="shared" si="343"/>
        <v>1.5635242781682368</v>
      </c>
      <c r="AV149" s="5"/>
      <c r="AW149" s="173">
        <f t="shared" si="344"/>
        <v>0.45276650264111712</v>
      </c>
      <c r="AX149" s="173">
        <f t="shared" si="435"/>
        <v>39.900742014652181</v>
      </c>
      <c r="AY149" s="173">
        <f t="shared" si="436"/>
        <v>0.29214546012767451</v>
      </c>
      <c r="AZ149" s="173">
        <f t="shared" si="440"/>
        <v>136.57834010911759</v>
      </c>
      <c r="BA149" s="460">
        <f t="shared" si="433"/>
        <v>0.17806279263533009</v>
      </c>
      <c r="BB149" s="5">
        <f t="shared" si="434"/>
        <v>12.056997507627507</v>
      </c>
      <c r="BD149" s="173">
        <f t="shared" si="441"/>
        <v>8.2958898405597861</v>
      </c>
      <c r="BE149" s="173">
        <f t="shared" si="437"/>
        <v>0.45601819721306475</v>
      </c>
      <c r="BG149" s="528">
        <f t="shared" si="347"/>
        <v>2.752871529868123</v>
      </c>
      <c r="BH149" s="528">
        <f t="shared" si="470"/>
        <v>2.8217386323157565</v>
      </c>
      <c r="BI149" s="528">
        <f t="shared" si="471"/>
        <v>0.11555220980302533</v>
      </c>
      <c r="BJ149" s="528">
        <f t="shared" si="350"/>
        <v>1.9708681183909858E-2</v>
      </c>
      <c r="BK149">
        <f t="shared" si="351"/>
        <v>3.7141781722400996E-3</v>
      </c>
      <c r="BL149" s="460">
        <f t="shared" si="427"/>
        <v>119.26638797526543</v>
      </c>
      <c r="BM149" s="528">
        <f t="shared" si="472"/>
        <v>18.321102700162736</v>
      </c>
      <c r="BN149" s="460">
        <f t="shared" si="353"/>
        <v>18321.102700162737</v>
      </c>
      <c r="BO149" s="528">
        <f t="shared" si="354"/>
        <v>0.16379999999999997</v>
      </c>
      <c r="BR149" s="460">
        <f t="shared" si="355"/>
        <v>163.79999999999998</v>
      </c>
      <c r="BS149" s="528">
        <f t="shared" si="356"/>
        <v>2.0646536474010921</v>
      </c>
      <c r="BT149" s="528">
        <f t="shared" si="357"/>
        <v>6.2385778856836084E-3</v>
      </c>
      <c r="BU149" s="528">
        <f t="shared" si="358"/>
        <v>241.46615357448187</v>
      </c>
      <c r="BV149" s="528"/>
      <c r="BW149" s="528">
        <f t="shared" si="359"/>
        <v>3.9900742014652182</v>
      </c>
      <c r="BX149" s="460">
        <f t="shared" si="360"/>
        <v>247527.12000123385</v>
      </c>
      <c r="BY149" s="173">
        <f t="shared" si="361"/>
        <v>253.40450523257689</v>
      </c>
      <c r="BZ149" s="5">
        <f t="shared" si="362"/>
        <v>39.78</v>
      </c>
      <c r="CA149" s="173">
        <f t="shared" si="363"/>
        <v>0.1356824773820956</v>
      </c>
      <c r="CB149" s="5">
        <f t="shared" si="364"/>
        <v>13.568247738209561</v>
      </c>
      <c r="CE149" s="562">
        <f t="shared" si="473"/>
        <v>-50</v>
      </c>
      <c r="CF149">
        <f t="shared" si="474"/>
        <v>-50</v>
      </c>
      <c r="CG149" s="173">
        <f t="shared" si="475"/>
        <v>0.43898278138549024</v>
      </c>
      <c r="CI149" s="170">
        <v>39</v>
      </c>
      <c r="CJ149" s="217">
        <f t="shared" si="428"/>
        <v>0.23399999999999999</v>
      </c>
      <c r="CK149" s="217"/>
      <c r="CL149" s="217">
        <f t="shared" si="368"/>
        <v>39.78</v>
      </c>
      <c r="CM149" s="541">
        <f t="shared" si="369"/>
        <v>9</v>
      </c>
      <c r="CN149" s="443">
        <f t="shared" si="370"/>
        <v>8.5250000000000004</v>
      </c>
      <c r="CO149" s="443">
        <f t="shared" si="371"/>
        <v>17.524999999999999</v>
      </c>
      <c r="CP149" s="443"/>
      <c r="CQ149" s="217">
        <f t="shared" si="372"/>
        <v>0.48644793152639093</v>
      </c>
      <c r="CR149" s="172">
        <f t="shared" si="429"/>
        <v>147.11644793152644</v>
      </c>
      <c r="CS149" s="172">
        <f t="shared" si="373"/>
        <v>39.78</v>
      </c>
      <c r="CT149" s="217">
        <f t="shared" si="374"/>
        <v>0.86539087018544958</v>
      </c>
      <c r="CU149" s="217">
        <f t="shared" si="375"/>
        <v>170</v>
      </c>
      <c r="CV149" s="217"/>
      <c r="CW149" s="172">
        <f t="shared" si="376"/>
        <v>1102.1329048648254</v>
      </c>
      <c r="CX149" s="172">
        <f t="shared" si="377"/>
        <v>170</v>
      </c>
      <c r="CY149" s="217">
        <f t="shared" si="378"/>
        <v>18.172551319648093</v>
      </c>
      <c r="CZ149" s="217">
        <f t="shared" si="379"/>
        <v>1.0095861844248941</v>
      </c>
      <c r="DA149" s="217">
        <f t="shared" si="380"/>
        <v>1.0658387870761343</v>
      </c>
      <c r="DB149" s="197">
        <f t="shared" si="381"/>
        <v>350</v>
      </c>
      <c r="DC149" s="443">
        <f t="shared" si="382"/>
        <v>350</v>
      </c>
      <c r="DE149" s="217">
        <f t="shared" si="383"/>
        <v>25.017322192785819</v>
      </c>
      <c r="DF149" s="173">
        <f t="shared" si="384"/>
        <v>1.467291624210312</v>
      </c>
      <c r="DG149" s="173">
        <f t="shared" si="385"/>
        <v>0.32119243899439714</v>
      </c>
      <c r="DH149" s="173"/>
      <c r="DI149" s="173">
        <f t="shared" si="386"/>
        <v>0.78201368523949166</v>
      </c>
      <c r="DJ149" s="545">
        <f t="shared" si="387"/>
        <v>897.68249999999989</v>
      </c>
      <c r="DK149" s="528">
        <f t="shared" si="388"/>
        <v>9.1234929944607357E-2</v>
      </c>
      <c r="DM149" s="173">
        <f t="shared" si="389"/>
        <v>21.35335370113356</v>
      </c>
      <c r="DN149" s="173">
        <f t="shared" si="390"/>
        <v>21.35335370113356</v>
      </c>
      <c r="DO149" s="173">
        <f t="shared" si="391"/>
        <v>7.1407558280001675</v>
      </c>
      <c r="DQ149" s="545">
        <f t="shared" si="392"/>
        <v>234</v>
      </c>
      <c r="DR149" s="460">
        <f t="shared" si="393"/>
        <v>350</v>
      </c>
      <c r="DT149">
        <f t="shared" si="430"/>
        <v>234</v>
      </c>
      <c r="DU149">
        <f t="shared" si="431"/>
        <v>350</v>
      </c>
      <c r="DW149" s="5">
        <f t="shared" si="394"/>
        <v>2.8571428571428572</v>
      </c>
      <c r="DX149" s="5">
        <f t="shared" si="395"/>
        <v>1.1862974278407534</v>
      </c>
      <c r="DY149" s="5">
        <f t="shared" si="396"/>
        <v>1.6708454293021038</v>
      </c>
      <c r="DZ149" s="5"/>
      <c r="EA149" s="173">
        <f t="shared" si="397"/>
        <v>0.4152040997442637</v>
      </c>
      <c r="EB149" s="173">
        <f t="shared" si="398"/>
        <v>39.896999999999998</v>
      </c>
      <c r="EC149" s="173">
        <f t="shared" si="399"/>
        <v>0.31218384252833897</v>
      </c>
      <c r="ED149" s="173">
        <f t="shared" si="400"/>
        <v>127.79969545149758</v>
      </c>
      <c r="EE149" s="460">
        <f t="shared" si="401"/>
        <v>0.16329035183219781</v>
      </c>
      <c r="EF149" s="5">
        <f t="shared" si="402"/>
        <v>11.816218876024477</v>
      </c>
      <c r="EH149" s="173">
        <f t="shared" si="403"/>
        <v>7.9439459949962359</v>
      </c>
      <c r="EI149" s="173">
        <f t="shared" si="404"/>
        <v>0.47138703168721857</v>
      </c>
      <c r="EK149" s="528">
        <f t="shared" si="405"/>
        <v>2.5242511188566694</v>
      </c>
      <c r="EL149" s="528">
        <f t="shared" si="406"/>
        <v>3.6018436647690191</v>
      </c>
      <c r="EM149" s="528">
        <f t="shared" si="407"/>
        <v>6.9999999999999993E-2</v>
      </c>
      <c r="EN149" s="528">
        <f t="shared" si="408"/>
        <v>2.1498793749999998E-2</v>
      </c>
      <c r="EO149">
        <f t="shared" si="409"/>
        <v>4.0499999999999998E-3</v>
      </c>
      <c r="EP149" s="460">
        <f t="shared" si="410"/>
        <v>74.05</v>
      </c>
      <c r="EQ149" s="460"/>
      <c r="ER149" s="460">
        <f t="shared" si="432"/>
        <v>6221.6435773756893</v>
      </c>
      <c r="ES149" s="528">
        <f t="shared" si="411"/>
        <v>0.16379999999999997</v>
      </c>
      <c r="EV149" s="460">
        <f t="shared" si="412"/>
        <v>163.79999999999998</v>
      </c>
      <c r="EW149" s="528">
        <f t="shared" si="413"/>
        <v>1.893188339142502</v>
      </c>
      <c r="EX149" s="528">
        <f t="shared" si="414"/>
        <v>6.6661720092866042E-3</v>
      </c>
      <c r="EY149" s="528">
        <f t="shared" si="415"/>
        <v>241.4378471055301</v>
      </c>
      <c r="EZ149" s="528"/>
      <c r="FA149" s="528">
        <f t="shared" si="416"/>
        <v>3.9897000000000014</v>
      </c>
      <c r="FB149" s="460">
        <f t="shared" si="417"/>
        <v>247327.40161668189</v>
      </c>
      <c r="FC149" s="173">
        <f t="shared" si="418"/>
        <v>253.71284519405756</v>
      </c>
      <c r="FD149" s="5">
        <f t="shared" si="419"/>
        <v>39.78</v>
      </c>
      <c r="FE149" s="173">
        <f t="shared" si="420"/>
        <v>0.1355399310456698</v>
      </c>
      <c r="FF149" s="5">
        <f t="shared" si="421"/>
        <v>13.553993104566981</v>
      </c>
      <c r="FI149" s="562">
        <f t="shared" si="422"/>
        <v>-50</v>
      </c>
      <c r="FJ149">
        <f t="shared" si="423"/>
        <v>-50</v>
      </c>
      <c r="FL149">
        <f t="shared" si="476"/>
        <v>0.43833863902620201</v>
      </c>
    </row>
    <row r="150" spans="5:168">
      <c r="E150" s="170">
        <v>40</v>
      </c>
      <c r="F150" s="217">
        <f t="shared" si="477"/>
        <v>0.24</v>
      </c>
      <c r="G150" s="217"/>
      <c r="H150" s="217">
        <f t="shared" si="442"/>
        <v>40.799999999999997</v>
      </c>
      <c r="I150" s="541">
        <f t="shared" si="443"/>
        <v>8.2442222548923532</v>
      </c>
      <c r="J150" s="172">
        <f t="shared" si="444"/>
        <v>8.5258097618697573</v>
      </c>
      <c r="K150" s="172">
        <f t="shared" si="445"/>
        <v>16.770032016762109</v>
      </c>
      <c r="L150" s="443"/>
      <c r="M150" s="217">
        <f t="shared" si="446"/>
        <v>0.50839559151309932</v>
      </c>
      <c r="N150" s="172">
        <f t="shared" si="447"/>
        <v>140.84253308217239</v>
      </c>
      <c r="O150" s="172">
        <f t="shared" si="438"/>
        <v>40.799999999999997</v>
      </c>
      <c r="P150" s="217">
        <f t="shared" si="448"/>
        <v>0.82848548871866112</v>
      </c>
      <c r="Q150" s="217">
        <f t="shared" si="449"/>
        <v>170</v>
      </c>
      <c r="R150" s="217"/>
      <c r="S150" s="172">
        <f t="shared" si="450"/>
        <v>980.23048569477214</v>
      </c>
      <c r="T150" s="172">
        <f t="shared" si="451"/>
        <v>170</v>
      </c>
      <c r="U150" s="217">
        <f t="shared" si="452"/>
        <v>19.527896483979148</v>
      </c>
      <c r="V150" s="217">
        <f t="shared" si="453"/>
        <v>1.184338308710124</v>
      </c>
      <c r="W150" s="217">
        <f t="shared" si="454"/>
        <v>1.1452223911512995</v>
      </c>
      <c r="X150" s="197">
        <f t="shared" si="455"/>
        <v>350</v>
      </c>
      <c r="Y150" s="443">
        <f t="shared" si="328"/>
        <v>350</v>
      </c>
      <c r="AA150" s="217">
        <f t="shared" si="456"/>
        <v>23.950434070056687</v>
      </c>
      <c r="AB150" s="173">
        <f t="shared" si="457"/>
        <v>1.4045841239134229</v>
      </c>
      <c r="AC150" s="173">
        <f t="shared" si="458"/>
        <v>0.29435349523682175</v>
      </c>
      <c r="AD150" s="173"/>
      <c r="AE150" s="173">
        <f t="shared" si="459"/>
        <v>0.78193941137206768</v>
      </c>
      <c r="AF150" s="545">
        <f t="shared" si="460"/>
        <v>920.78745428193372</v>
      </c>
      <c r="AG150" s="528">
        <f t="shared" si="461"/>
        <v>9.122626466007458E-2</v>
      </c>
      <c r="AI150" s="173">
        <f t="shared" si="462"/>
        <v>21.626408950163512</v>
      </c>
      <c r="AJ150" s="173">
        <f t="shared" si="463"/>
        <v>21.626408950163512</v>
      </c>
      <c r="AK150" s="173">
        <f t="shared" si="464"/>
        <v>7.3430189754297617</v>
      </c>
      <c r="AM150" s="545">
        <f t="shared" si="465"/>
        <v>240</v>
      </c>
      <c r="AN150" s="460">
        <f t="shared" si="466"/>
        <v>350</v>
      </c>
      <c r="AP150" s="460">
        <f t="shared" si="467"/>
        <v>240</v>
      </c>
      <c r="AQ150" s="460">
        <f t="shared" si="468"/>
        <v>350</v>
      </c>
      <c r="AS150" s="5">
        <f t="shared" si="439"/>
        <v>2.8571428571428572</v>
      </c>
      <c r="AT150" s="5">
        <f t="shared" si="469"/>
        <v>1.311610014961071</v>
      </c>
      <c r="AU150" s="5">
        <f t="shared" si="343"/>
        <v>1.5455328421817862</v>
      </c>
      <c r="AV150" s="5"/>
      <c r="AW150" s="173">
        <f t="shared" si="344"/>
        <v>0.45906350523637485</v>
      </c>
      <c r="AX150" s="173">
        <f t="shared" si="435"/>
        <v>40.923886856974839</v>
      </c>
      <c r="AY150" s="173">
        <f t="shared" si="436"/>
        <v>0.29246284629565356</v>
      </c>
      <c r="AZ150" s="173">
        <f t="shared" si="440"/>
        <v>139.92849818470438</v>
      </c>
      <c r="BA150" s="460">
        <f t="shared" si="433"/>
        <v>0.18516847270038647</v>
      </c>
      <c r="BB150" s="5">
        <f t="shared" si="434"/>
        <v>12.237950508643141</v>
      </c>
      <c r="BD150" s="173">
        <f t="shared" si="441"/>
        <v>8.4598014045044785</v>
      </c>
      <c r="BE150" s="173">
        <f t="shared" si="437"/>
        <v>0.45916304717455281</v>
      </c>
      <c r="BG150" s="528">
        <f t="shared" si="347"/>
        <v>2.8627295921462377</v>
      </c>
      <c r="BH150" s="528">
        <f t="shared" si="470"/>
        <v>2.856070117701933</v>
      </c>
      <c r="BI150" s="528">
        <f t="shared" si="471"/>
        <v>0.11541911156849294</v>
      </c>
      <c r="BJ150" s="528">
        <f t="shared" si="350"/>
        <v>1.9686378169025832E-2</v>
      </c>
      <c r="BK150">
        <f t="shared" si="351"/>
        <v>3.7099000147015589E-3</v>
      </c>
      <c r="BL150" s="460">
        <f t="shared" si="427"/>
        <v>119.1290115831945</v>
      </c>
      <c r="BM150" s="528">
        <f t="shared" si="472"/>
        <v>20.359939146683981</v>
      </c>
      <c r="BN150" s="460">
        <f t="shared" si="353"/>
        <v>20359.939146683981</v>
      </c>
      <c r="BO150" s="528">
        <f t="shared" si="354"/>
        <v>0.16799999999999998</v>
      </c>
      <c r="BR150" s="460">
        <f t="shared" si="355"/>
        <v>167.99999999999997</v>
      </c>
      <c r="BS150" s="528">
        <f t="shared" si="356"/>
        <v>2.1470471941096783</v>
      </c>
      <c r="BT150" s="528">
        <f t="shared" si="357"/>
        <v>6.3249211167186181E-3</v>
      </c>
      <c r="BU150" s="528">
        <f t="shared" si="358"/>
        <v>249.23047377193774</v>
      </c>
      <c r="BV150" s="528"/>
      <c r="BW150" s="528">
        <f t="shared" si="359"/>
        <v>4.0923886856974843</v>
      </c>
      <c r="BX150" s="460">
        <f t="shared" si="360"/>
        <v>255476.23457286161</v>
      </c>
      <c r="BY150" s="173">
        <f t="shared" si="361"/>
        <v>261.50184967246201</v>
      </c>
      <c r="BZ150" s="5">
        <f t="shared" si="362"/>
        <v>40.799999999999997</v>
      </c>
      <c r="CA150" s="173">
        <f t="shared" si="363"/>
        <v>0.13496444048955036</v>
      </c>
      <c r="CB150" s="5">
        <f t="shared" si="364"/>
        <v>13.496444048955036</v>
      </c>
      <c r="CE150" s="562">
        <f t="shared" si="473"/>
        <v>-50</v>
      </c>
      <c r="CF150">
        <f t="shared" si="474"/>
        <v>-50</v>
      </c>
      <c r="CG150" s="173">
        <f t="shared" si="475"/>
        <v>0.444575144180969</v>
      </c>
      <c r="CI150" s="170">
        <v>40</v>
      </c>
      <c r="CJ150" s="217">
        <f t="shared" si="428"/>
        <v>0.24</v>
      </c>
      <c r="CK150" s="217"/>
      <c r="CL150" s="217">
        <f t="shared" si="368"/>
        <v>40.799999999999997</v>
      </c>
      <c r="CM150" s="541">
        <f t="shared" si="369"/>
        <v>9</v>
      </c>
      <c r="CN150" s="443">
        <f t="shared" si="370"/>
        <v>8.5250000000000004</v>
      </c>
      <c r="CO150" s="443">
        <f t="shared" si="371"/>
        <v>17.524999999999999</v>
      </c>
      <c r="CP150" s="443"/>
      <c r="CQ150" s="217">
        <f t="shared" si="372"/>
        <v>0.48644793152639093</v>
      </c>
      <c r="CR150" s="172">
        <f t="shared" si="429"/>
        <v>147.11644793152644</v>
      </c>
      <c r="CS150" s="172">
        <f t="shared" si="373"/>
        <v>40.799999999999997</v>
      </c>
      <c r="CT150" s="217">
        <f t="shared" si="374"/>
        <v>0.86539087018544958</v>
      </c>
      <c r="CU150" s="217">
        <f t="shared" si="375"/>
        <v>170</v>
      </c>
      <c r="CV150" s="217"/>
      <c r="CW150" s="172">
        <f t="shared" si="376"/>
        <v>1070.084066261433</v>
      </c>
      <c r="CX150" s="172">
        <f t="shared" si="377"/>
        <v>170</v>
      </c>
      <c r="CY150" s="217">
        <f t="shared" si="378"/>
        <v>18.638514173998043</v>
      </c>
      <c r="CZ150" s="217">
        <f t="shared" si="379"/>
        <v>1.0354730096665579</v>
      </c>
      <c r="DA150" s="217">
        <f t="shared" si="380"/>
        <v>1.0931679867447532</v>
      </c>
      <c r="DB150" s="197">
        <f t="shared" si="381"/>
        <v>350</v>
      </c>
      <c r="DC150" s="443">
        <f t="shared" si="382"/>
        <v>350</v>
      </c>
      <c r="DE150" s="217">
        <f t="shared" si="383"/>
        <v>25.017322192785819</v>
      </c>
      <c r="DF150" s="173">
        <f t="shared" si="384"/>
        <v>1.467291624210312</v>
      </c>
      <c r="DG150" s="173">
        <f t="shared" si="385"/>
        <v>0.32119243899439714</v>
      </c>
      <c r="DH150" s="173"/>
      <c r="DI150" s="173">
        <f t="shared" si="386"/>
        <v>0.78201368523949166</v>
      </c>
      <c r="DJ150" s="545">
        <f t="shared" si="387"/>
        <v>920.7</v>
      </c>
      <c r="DK150" s="528">
        <f t="shared" si="388"/>
        <v>9.1234929944607357E-2</v>
      </c>
      <c r="DM150" s="173">
        <f t="shared" si="389"/>
        <v>21.625381912399671</v>
      </c>
      <c r="DN150" s="173">
        <f t="shared" si="390"/>
        <v>21.625381912399671</v>
      </c>
      <c r="DO150" s="173">
        <f t="shared" si="391"/>
        <v>7.3422582067158055</v>
      </c>
      <c r="DQ150" s="545">
        <f t="shared" si="392"/>
        <v>240</v>
      </c>
      <c r="DR150" s="460">
        <f t="shared" si="393"/>
        <v>350</v>
      </c>
      <c r="DT150">
        <f t="shared" si="430"/>
        <v>240</v>
      </c>
      <c r="DU150">
        <f t="shared" si="431"/>
        <v>350</v>
      </c>
      <c r="DW150" s="5">
        <f t="shared" si="394"/>
        <v>2.8571428571428572</v>
      </c>
      <c r="DX150" s="5">
        <f t="shared" si="395"/>
        <v>1.2014101062444262</v>
      </c>
      <c r="DY150" s="5">
        <f t="shared" si="396"/>
        <v>1.655732750898431</v>
      </c>
      <c r="DZ150" s="5"/>
      <c r="EA150" s="173">
        <f t="shared" si="397"/>
        <v>0.42049353718554916</v>
      </c>
      <c r="EB150" s="173">
        <f t="shared" si="398"/>
        <v>40.919999999999995</v>
      </c>
      <c r="EC150" s="173">
        <f t="shared" si="399"/>
        <v>0.31330121447665843</v>
      </c>
      <c r="ED150" s="173">
        <f t="shared" si="400"/>
        <v>130.60913302986452</v>
      </c>
      <c r="EE150" s="460">
        <f t="shared" si="401"/>
        <v>0.16961083852862488</v>
      </c>
      <c r="EF150" s="5">
        <f t="shared" si="402"/>
        <v>12.009581553183285</v>
      </c>
      <c r="EH150" s="173">
        <f t="shared" si="403"/>
        <v>8.0962297025650081</v>
      </c>
      <c r="EI150" s="173">
        <f t="shared" si="404"/>
        <v>0.47522831062821369</v>
      </c>
      <c r="EK150" s="528">
        <f t="shared" si="405"/>
        <v>2.6219574158678354</v>
      </c>
      <c r="EL150" s="528">
        <f t="shared" si="406"/>
        <v>3.6477288733924906</v>
      </c>
      <c r="EM150" s="528">
        <f t="shared" si="407"/>
        <v>6.9999999999999993E-2</v>
      </c>
      <c r="EN150" s="528">
        <f t="shared" si="408"/>
        <v>2.1498793749999998E-2</v>
      </c>
      <c r="EO150">
        <f t="shared" si="409"/>
        <v>4.0499999999999998E-3</v>
      </c>
      <c r="EP150" s="460">
        <f t="shared" si="410"/>
        <v>74.05</v>
      </c>
      <c r="EQ150" s="460"/>
      <c r="ER150" s="460">
        <f t="shared" si="432"/>
        <v>6365.2350830103269</v>
      </c>
      <c r="ES150" s="528">
        <f t="shared" si="411"/>
        <v>0.16799999999999998</v>
      </c>
      <c r="EV150" s="460">
        <f t="shared" si="412"/>
        <v>167.99999999999997</v>
      </c>
      <c r="EW150" s="528">
        <f t="shared" si="413"/>
        <v>1.9664680619008763</v>
      </c>
      <c r="EX150" s="528">
        <f t="shared" si="414"/>
        <v>6.7752584166763784E-3</v>
      </c>
      <c r="EY150" s="528">
        <f t="shared" si="415"/>
        <v>249.20088494929146</v>
      </c>
      <c r="EZ150" s="528"/>
      <c r="FA150" s="528">
        <f t="shared" si="416"/>
        <v>4.0920000000000005</v>
      </c>
      <c r="FB150" s="460">
        <f t="shared" si="417"/>
        <v>255266.12826960903</v>
      </c>
      <c r="FC150" s="173">
        <f t="shared" si="418"/>
        <v>261.79936335261931</v>
      </c>
      <c r="FD150" s="5">
        <f t="shared" si="419"/>
        <v>40.799999999999997</v>
      </c>
      <c r="FE150" s="173">
        <f t="shared" si="420"/>
        <v>0.13483174434989051</v>
      </c>
      <c r="FF150" s="5">
        <f t="shared" si="421"/>
        <v>13.483174434989051</v>
      </c>
      <c r="FI150" s="562">
        <f t="shared" si="422"/>
        <v>-50</v>
      </c>
      <c r="FJ150">
        <f t="shared" si="423"/>
        <v>-50</v>
      </c>
      <c r="FL150">
        <f t="shared" si="476"/>
        <v>0.4439227958557117</v>
      </c>
    </row>
    <row r="151" spans="5:168">
      <c r="E151" s="170">
        <v>41</v>
      </c>
      <c r="F151" s="217">
        <f t="shared" si="477"/>
        <v>0.24599999999999997</v>
      </c>
      <c r="G151" s="217"/>
      <c r="H151" s="217">
        <f t="shared" si="442"/>
        <v>41.819999999999993</v>
      </c>
      <c r="I151" s="541">
        <f t="shared" si="443"/>
        <v>8.2348333514847898</v>
      </c>
      <c r="J151" s="172">
        <f t="shared" si="444"/>
        <v>8.5258198214091241</v>
      </c>
      <c r="K151" s="172">
        <f t="shared" si="445"/>
        <v>16.760653172893914</v>
      </c>
      <c r="L151" s="443"/>
      <c r="M151" s="217">
        <f t="shared" si="446"/>
        <v>0.50868067761862779</v>
      </c>
      <c r="N151" s="172">
        <f t="shared" si="447"/>
        <v>140.76102347483894</v>
      </c>
      <c r="O151" s="172">
        <f t="shared" si="438"/>
        <v>41.819999999999993</v>
      </c>
      <c r="P151" s="217">
        <f t="shared" si="448"/>
        <v>0.82800602044022908</v>
      </c>
      <c r="Q151" s="217">
        <f t="shared" si="449"/>
        <v>170</v>
      </c>
      <c r="R151" s="217"/>
      <c r="S151" s="172">
        <f t="shared" si="450"/>
        <v>951.22093612125559</v>
      </c>
      <c r="T151" s="172">
        <f t="shared" si="451"/>
        <v>170</v>
      </c>
      <c r="U151" s="217">
        <f t="shared" si="452"/>
        <v>20.027708155882348</v>
      </c>
      <c r="V151" s="217">
        <f t="shared" si="453"/>
        <v>1.2160360326096478</v>
      </c>
      <c r="W151" s="217">
        <f t="shared" si="454"/>
        <v>1.1745326886683034</v>
      </c>
      <c r="X151" s="197">
        <f t="shared" si="455"/>
        <v>350</v>
      </c>
      <c r="Y151" s="443">
        <f t="shared" si="328"/>
        <v>350</v>
      </c>
      <c r="AA151" s="217">
        <f t="shared" si="456"/>
        <v>23.936573248532767</v>
      </c>
      <c r="AB151" s="173">
        <f t="shared" si="457"/>
        <v>1.4037695934193806</v>
      </c>
      <c r="AC151" s="173">
        <f t="shared" si="458"/>
        <v>0.2940125448482781</v>
      </c>
      <c r="AD151" s="173"/>
      <c r="AE151" s="173">
        <f t="shared" si="459"/>
        <v>0.78193848876867511</v>
      </c>
      <c r="AF151" s="545">
        <f t="shared" si="460"/>
        <v>943.80825422998998</v>
      </c>
      <c r="AG151" s="528">
        <f t="shared" si="461"/>
        <v>9.1226157023012108E-2</v>
      </c>
      <c r="AI151" s="173">
        <f t="shared" si="462"/>
        <v>21.895083210968458</v>
      </c>
      <c r="AJ151" s="173">
        <f t="shared" si="463"/>
        <v>21.895083210968458</v>
      </c>
      <c r="AK151" s="173">
        <f t="shared" si="464"/>
        <v>7.5420369463963883</v>
      </c>
      <c r="AM151" s="545">
        <f t="shared" si="465"/>
        <v>245.99999999999997</v>
      </c>
      <c r="AN151" s="460">
        <f t="shared" si="466"/>
        <v>350</v>
      </c>
      <c r="AP151" s="460">
        <f t="shared" si="467"/>
        <v>245.99999999999997</v>
      </c>
      <c r="AQ151" s="460">
        <f t="shared" si="468"/>
        <v>350</v>
      </c>
      <c r="AS151" s="5">
        <f t="shared" si="439"/>
        <v>2.8571428571428572</v>
      </c>
      <c r="AT151" s="5">
        <f t="shared" si="469"/>
        <v>1.3294187190212321</v>
      </c>
      <c r="AU151" s="5">
        <f t="shared" si="343"/>
        <v>1.5277241381216251</v>
      </c>
      <c r="AV151" s="5"/>
      <c r="AW151" s="173">
        <f t="shared" si="344"/>
        <v>0.46529655165743122</v>
      </c>
      <c r="AX151" s="173">
        <f t="shared" si="435"/>
        <v>41.947033521332877</v>
      </c>
      <c r="AY151" s="173">
        <f t="shared" si="436"/>
        <v>0.29268441236630799</v>
      </c>
      <c r="AZ151" s="173">
        <f t="shared" si="440"/>
        <v>143.31830377367086</v>
      </c>
      <c r="BA151" s="460">
        <f t="shared" si="433"/>
        <v>0.19237470875248414</v>
      </c>
      <c r="BB151" s="5">
        <f t="shared" si="434"/>
        <v>12.413496808841035</v>
      </c>
      <c r="BD151" s="173">
        <f t="shared" si="441"/>
        <v>8.6228511580699365</v>
      </c>
      <c r="BE151" s="173">
        <f t="shared" si="437"/>
        <v>0.4621814060630926</v>
      </c>
      <c r="BG151" s="528">
        <f t="shared" si="347"/>
        <v>2.9741424837691217</v>
      </c>
      <c r="BH151" s="528">
        <f t="shared" si="470"/>
        <v>2.8899351801392208</v>
      </c>
      <c r="BI151" s="528">
        <f t="shared" si="471"/>
        <v>0.11528766692078707</v>
      </c>
      <c r="BJ151" s="528">
        <f t="shared" si="350"/>
        <v>1.966436463474272E-2</v>
      </c>
      <c r="BK151">
        <f t="shared" si="351"/>
        <v>3.7056750081681552E-3</v>
      </c>
      <c r="BL151" s="460">
        <f t="shared" si="427"/>
        <v>118.99334192895522</v>
      </c>
      <c r="BM151" s="528">
        <f t="shared" si="472"/>
        <v>22.794965270651481</v>
      </c>
      <c r="BN151" s="460">
        <f t="shared" si="353"/>
        <v>22794.965270651483</v>
      </c>
      <c r="BO151" s="528">
        <f t="shared" si="354"/>
        <v>0.17219999999999996</v>
      </c>
      <c r="BR151" s="460">
        <f t="shared" si="355"/>
        <v>172.19999999999996</v>
      </c>
      <c r="BS151" s="528">
        <f t="shared" si="356"/>
        <v>2.230606862826841</v>
      </c>
      <c r="BT151" s="528">
        <f t="shared" si="357"/>
        <v>6.4083495633137184E-3</v>
      </c>
      <c r="BU151" s="528">
        <f t="shared" si="358"/>
        <v>257.04349361794692</v>
      </c>
      <c r="BV151" s="528"/>
      <c r="BW151" s="528">
        <f t="shared" si="359"/>
        <v>4.1947033521332884</v>
      </c>
      <c r="BX151" s="460">
        <f t="shared" si="360"/>
        <v>263475.21218247031</v>
      </c>
      <c r="BY151" s="173">
        <f t="shared" si="361"/>
        <v>269.65014755294237</v>
      </c>
      <c r="BZ151" s="5">
        <f t="shared" si="362"/>
        <v>41.819999999999993</v>
      </c>
      <c r="CA151" s="173">
        <f t="shared" si="363"/>
        <v>0.13426647891798879</v>
      </c>
      <c r="CB151" s="5">
        <f t="shared" si="364"/>
        <v>13.426647891798879</v>
      </c>
      <c r="CE151" s="562">
        <f t="shared" si="473"/>
        <v>-50</v>
      </c>
      <c r="CF151">
        <f t="shared" si="474"/>
        <v>-50</v>
      </c>
      <c r="CG151" s="173">
        <f t="shared" si="475"/>
        <v>0.45009802853835917</v>
      </c>
      <c r="CI151" s="170">
        <v>41</v>
      </c>
      <c r="CJ151" s="217">
        <f t="shared" si="428"/>
        <v>0.24599999999999997</v>
      </c>
      <c r="CK151" s="217"/>
      <c r="CL151" s="217">
        <f t="shared" si="368"/>
        <v>41.819999999999993</v>
      </c>
      <c r="CM151" s="541">
        <f t="shared" si="369"/>
        <v>9</v>
      </c>
      <c r="CN151" s="443">
        <f t="shared" si="370"/>
        <v>8.5250000000000004</v>
      </c>
      <c r="CO151" s="443">
        <f t="shared" si="371"/>
        <v>17.524999999999999</v>
      </c>
      <c r="CP151" s="443"/>
      <c r="CQ151" s="217">
        <f t="shared" si="372"/>
        <v>0.48644793152639093</v>
      </c>
      <c r="CR151" s="172">
        <f t="shared" si="429"/>
        <v>147.11644793152644</v>
      </c>
      <c r="CS151" s="172">
        <f t="shared" si="373"/>
        <v>41.819999999999993</v>
      </c>
      <c r="CT151" s="217">
        <f t="shared" si="374"/>
        <v>0.86539087018544958</v>
      </c>
      <c r="CU151" s="217">
        <f t="shared" si="375"/>
        <v>170</v>
      </c>
      <c r="CV151" s="217"/>
      <c r="CW151" s="172">
        <f t="shared" si="376"/>
        <v>1039.5987253693261</v>
      </c>
      <c r="CX151" s="172">
        <f t="shared" si="377"/>
        <v>170</v>
      </c>
      <c r="CY151" s="217">
        <f t="shared" si="378"/>
        <v>19.10447702834799</v>
      </c>
      <c r="CZ151" s="217">
        <f t="shared" si="379"/>
        <v>1.0613598349082216</v>
      </c>
      <c r="DA151" s="217">
        <f t="shared" si="380"/>
        <v>1.1204971864133719</v>
      </c>
      <c r="DB151" s="197">
        <f t="shared" si="381"/>
        <v>350</v>
      </c>
      <c r="DC151" s="443">
        <f t="shared" si="382"/>
        <v>350</v>
      </c>
      <c r="DE151" s="217">
        <f t="shared" si="383"/>
        <v>25.017322192785819</v>
      </c>
      <c r="DF151" s="173">
        <f t="shared" si="384"/>
        <v>1.467291624210312</v>
      </c>
      <c r="DG151" s="173">
        <f t="shared" si="385"/>
        <v>0.32119243899439714</v>
      </c>
      <c r="DH151" s="173"/>
      <c r="DI151" s="173">
        <f t="shared" si="386"/>
        <v>0.78201368523949166</v>
      </c>
      <c r="DJ151" s="545">
        <f t="shared" si="387"/>
        <v>943.71749999999986</v>
      </c>
      <c r="DK151" s="528">
        <f t="shared" si="388"/>
        <v>9.1234929944607357E-2</v>
      </c>
      <c r="DM151" s="173">
        <f t="shared" si="389"/>
        <v>21.894030497571052</v>
      </c>
      <c r="DN151" s="173">
        <f t="shared" si="390"/>
        <v>21.894030497571052</v>
      </c>
      <c r="DO151" s="173">
        <f t="shared" si="391"/>
        <v>7.5412571586946058</v>
      </c>
      <c r="DQ151" s="545">
        <f t="shared" si="392"/>
        <v>245.99999999999997</v>
      </c>
      <c r="DR151" s="460">
        <f t="shared" si="393"/>
        <v>350</v>
      </c>
      <c r="DT151">
        <f t="shared" si="430"/>
        <v>245.99999999999997</v>
      </c>
      <c r="DU151">
        <f t="shared" si="431"/>
        <v>350</v>
      </c>
      <c r="DW151" s="5">
        <f t="shared" si="394"/>
        <v>2.8571428571428572</v>
      </c>
      <c r="DX151" s="5">
        <f t="shared" si="395"/>
        <v>1.216335027642836</v>
      </c>
      <c r="DY151" s="5">
        <f t="shared" si="396"/>
        <v>1.6408078295000212</v>
      </c>
      <c r="DZ151" s="5"/>
      <c r="EA151" s="173">
        <f t="shared" si="397"/>
        <v>0.42571725967499258</v>
      </c>
      <c r="EB151" s="173">
        <f t="shared" si="398"/>
        <v>41.942999999999991</v>
      </c>
      <c r="EC151" s="173">
        <f t="shared" si="399"/>
        <v>0.31433409577260973</v>
      </c>
      <c r="ED151" s="173">
        <f t="shared" si="400"/>
        <v>133.43445895332235</v>
      </c>
      <c r="EE151" s="460">
        <f t="shared" si="401"/>
        <v>0.17601083341184565</v>
      </c>
      <c r="EF151" s="5">
        <f t="shared" si="402"/>
        <v>12.198859276389488</v>
      </c>
      <c r="EH151" s="173">
        <f t="shared" si="403"/>
        <v>8.2475644941945099</v>
      </c>
      <c r="EI151" s="173">
        <f t="shared" si="404"/>
        <v>0.47895860222194353</v>
      </c>
      <c r="EK151" s="528">
        <f t="shared" si="405"/>
        <v>2.7208928034359179</v>
      </c>
      <c r="EL151" s="528">
        <f t="shared" si="406"/>
        <v>3.6930440130231021</v>
      </c>
      <c r="EM151" s="528">
        <f t="shared" si="407"/>
        <v>6.9999999999999993E-2</v>
      </c>
      <c r="EN151" s="528">
        <f t="shared" si="408"/>
        <v>2.1498793749999998E-2</v>
      </c>
      <c r="EO151">
        <f t="shared" si="409"/>
        <v>4.0499999999999998E-3</v>
      </c>
      <c r="EP151" s="460">
        <f t="shared" si="410"/>
        <v>74.05</v>
      </c>
      <c r="EQ151" s="460"/>
      <c r="ER151" s="460">
        <f t="shared" si="432"/>
        <v>6509.4856102090207</v>
      </c>
      <c r="ES151" s="528">
        <f t="shared" si="411"/>
        <v>0.17219999999999996</v>
      </c>
      <c r="EV151" s="460">
        <f t="shared" si="412"/>
        <v>172.19999999999996</v>
      </c>
      <c r="EW151" s="528">
        <f t="shared" si="413"/>
        <v>2.0406696025769384</v>
      </c>
      <c r="EX151" s="528">
        <f t="shared" si="414"/>
        <v>6.882040279271937E-3</v>
      </c>
      <c r="EY151" s="528">
        <f t="shared" si="415"/>
        <v>257.01259816880048</v>
      </c>
      <c r="EZ151" s="528"/>
      <c r="FA151" s="528">
        <f t="shared" si="416"/>
        <v>4.1942999999999993</v>
      </c>
      <c r="FB151" s="460">
        <f t="shared" si="417"/>
        <v>263254.44981165667</v>
      </c>
      <c r="FC151" s="173">
        <f t="shared" si="418"/>
        <v>269.93613542186569</v>
      </c>
      <c r="FD151" s="5">
        <f t="shared" si="419"/>
        <v>41.819999999999993</v>
      </c>
      <c r="FE151" s="173">
        <f t="shared" si="420"/>
        <v>0.13414331026207241</v>
      </c>
      <c r="FF151" s="5">
        <f t="shared" si="421"/>
        <v>13.414331026207241</v>
      </c>
      <c r="FI151" s="562">
        <f t="shared" si="422"/>
        <v>-50</v>
      </c>
      <c r="FJ151">
        <f t="shared" si="423"/>
        <v>-50</v>
      </c>
      <c r="FL151">
        <f t="shared" si="476"/>
        <v>0.44943757619647323</v>
      </c>
    </row>
    <row r="152" spans="5:168">
      <c r="E152" s="170">
        <v>42</v>
      </c>
      <c r="F152" s="217">
        <f t="shared" si="477"/>
        <v>0.252</v>
      </c>
      <c r="G152" s="217"/>
      <c r="H152" s="217">
        <f t="shared" si="442"/>
        <v>42.84</v>
      </c>
      <c r="I152" s="541">
        <f t="shared" si="443"/>
        <v>8.2255582655873969</v>
      </c>
      <c r="J152" s="172">
        <f t="shared" si="444"/>
        <v>8.5258297590011569</v>
      </c>
      <c r="K152" s="172">
        <f t="shared" si="445"/>
        <v>16.751388024588554</v>
      </c>
      <c r="L152" s="443"/>
      <c r="M152" s="217">
        <f t="shared" si="446"/>
        <v>0.50896262120052338</v>
      </c>
      <c r="N152" s="172">
        <f t="shared" si="447"/>
        <v>140.68041198086968</v>
      </c>
      <c r="O152" s="172">
        <f t="shared" si="438"/>
        <v>42.84</v>
      </c>
      <c r="P152" s="217">
        <f t="shared" si="448"/>
        <v>0.82753183518158635</v>
      </c>
      <c r="Q152" s="217">
        <f t="shared" si="449"/>
        <v>170</v>
      </c>
      <c r="R152" s="217"/>
      <c r="S152" s="172">
        <f t="shared" si="450"/>
        <v>923.61465245435988</v>
      </c>
      <c r="T152" s="172">
        <f t="shared" si="451"/>
        <v>170</v>
      </c>
      <c r="U152" s="217">
        <f t="shared" si="452"/>
        <v>20.527968817046695</v>
      </c>
      <c r="V152" s="217">
        <f t="shared" si="453"/>
        <v>1.2478161453750742</v>
      </c>
      <c r="W152" s="217">
        <f t="shared" si="454"/>
        <v>1.2038692653565046</v>
      </c>
      <c r="X152" s="197">
        <f t="shared" si="455"/>
        <v>350</v>
      </c>
      <c r="Y152" s="443">
        <f t="shared" si="328"/>
        <v>350</v>
      </c>
      <c r="AA152" s="217">
        <f t="shared" si="456"/>
        <v>23.922865152497199</v>
      </c>
      <c r="AB152" s="173">
        <f t="shared" si="457"/>
        <v>1.4029640415491875</v>
      </c>
      <c r="AC152" s="173">
        <f t="shared" si="458"/>
        <v>0.29367554632310733</v>
      </c>
      <c r="AD152" s="173"/>
      <c r="AE152" s="173">
        <f t="shared" si="459"/>
        <v>0.78193757735173219</v>
      </c>
      <c r="AF152" s="545">
        <f t="shared" si="460"/>
        <v>966.82909467073125</v>
      </c>
      <c r="AG152" s="528">
        <f t="shared" si="461"/>
        <v>9.1226050691035399E-2</v>
      </c>
      <c r="AI152" s="173">
        <f t="shared" si="462"/>
        <v>22.160500764162947</v>
      </c>
      <c r="AJ152" s="173">
        <f t="shared" si="463"/>
        <v>22.160500764162947</v>
      </c>
      <c r="AK152" s="173">
        <f t="shared" si="464"/>
        <v>7.7386425413552695</v>
      </c>
      <c r="AM152" s="545">
        <f t="shared" si="465"/>
        <v>252</v>
      </c>
      <c r="AN152" s="460">
        <f t="shared" si="466"/>
        <v>350</v>
      </c>
      <c r="AP152" s="460">
        <f t="shared" si="467"/>
        <v>252</v>
      </c>
      <c r="AQ152" s="460">
        <f t="shared" si="468"/>
        <v>350</v>
      </c>
      <c r="AS152" s="5">
        <f t="shared" si="439"/>
        <v>2.8571428571428572</v>
      </c>
      <c r="AT152" s="5">
        <f t="shared" si="469"/>
        <v>1.3470514735075212</v>
      </c>
      <c r="AU152" s="5">
        <f t="shared" si="343"/>
        <v>1.510091383635336</v>
      </c>
      <c r="AV152" s="5"/>
      <c r="AW152" s="173">
        <f t="shared" si="344"/>
        <v>0.47146801572763242</v>
      </c>
      <c r="AX152" s="173">
        <f t="shared" si="435"/>
        <v>42.970181985365819</v>
      </c>
      <c r="AY152" s="173">
        <f t="shared" si="436"/>
        <v>0.29281333603380899</v>
      </c>
      <c r="AZ152" s="173">
        <f t="shared" si="440"/>
        <v>146.7494020846249</v>
      </c>
      <c r="BA152" s="460">
        <f t="shared" si="433"/>
        <v>0.19968057136699727</v>
      </c>
      <c r="BB152" s="5">
        <f t="shared" si="434"/>
        <v>12.5836691514225</v>
      </c>
      <c r="BD152" s="173">
        <f t="shared" si="441"/>
        <v>8.785066644427415</v>
      </c>
      <c r="BE152" s="173">
        <f t="shared" si="437"/>
        <v>0.46507670180786048</v>
      </c>
      <c r="BG152" s="528">
        <f t="shared" si="347"/>
        <v>3.0870958378812463</v>
      </c>
      <c r="BH152" s="528">
        <f t="shared" si="470"/>
        <v>2.9233507835675168</v>
      </c>
      <c r="BI152" s="528">
        <f t="shared" si="471"/>
        <v>0.11515781571822356</v>
      </c>
      <c r="BJ152" s="528">
        <f t="shared" si="350"/>
        <v>1.9642630052523015E-2</v>
      </c>
      <c r="BK152">
        <f t="shared" si="351"/>
        <v>3.7015012195143284E-3</v>
      </c>
      <c r="BL152" s="460">
        <f t="shared" si="427"/>
        <v>118.85931693773789</v>
      </c>
      <c r="BM152" s="528">
        <f t="shared" si="472"/>
        <v>25.75403324104381</v>
      </c>
      <c r="BN152" s="460">
        <f t="shared" si="353"/>
        <v>25754.03324104381</v>
      </c>
      <c r="BO152" s="528">
        <f t="shared" si="354"/>
        <v>0.1764</v>
      </c>
      <c r="BR152" s="460">
        <f t="shared" si="355"/>
        <v>176.4</v>
      </c>
      <c r="BS152" s="528">
        <f t="shared" si="356"/>
        <v>2.3153218784109346</v>
      </c>
      <c r="BT152" s="528">
        <f t="shared" si="357"/>
        <v>6.4888901569343273E-3</v>
      </c>
      <c r="BU152" s="528">
        <f t="shared" si="358"/>
        <v>264.90431965984129</v>
      </c>
      <c r="BV152" s="528"/>
      <c r="BW152" s="528">
        <f t="shared" si="359"/>
        <v>4.2970181985365823</v>
      </c>
      <c r="BX152" s="460">
        <f t="shared" si="360"/>
        <v>271523.14862694574</v>
      </c>
      <c r="BY152" s="173">
        <f t="shared" si="361"/>
        <v>277.84849719538477</v>
      </c>
      <c r="BZ152" s="5">
        <f t="shared" si="362"/>
        <v>42.84</v>
      </c>
      <c r="CA152" s="173">
        <f t="shared" si="363"/>
        <v>0.1335875791450637</v>
      </c>
      <c r="CB152" s="5">
        <f t="shared" si="364"/>
        <v>13.35875791450637</v>
      </c>
      <c r="CE152" s="562">
        <f t="shared" si="473"/>
        <v>-50</v>
      </c>
      <c r="CF152">
        <f t="shared" si="474"/>
        <v>-50</v>
      </c>
      <c r="CG152" s="173">
        <f t="shared" si="475"/>
        <v>0.45555396141917792</v>
      </c>
      <c r="CI152" s="170">
        <v>42</v>
      </c>
      <c r="CJ152" s="217">
        <f t="shared" si="428"/>
        <v>0.252</v>
      </c>
      <c r="CK152" s="217"/>
      <c r="CL152" s="217">
        <f t="shared" si="368"/>
        <v>42.84</v>
      </c>
      <c r="CM152" s="541">
        <f t="shared" si="369"/>
        <v>9</v>
      </c>
      <c r="CN152" s="443">
        <f t="shared" si="370"/>
        <v>8.5250000000000004</v>
      </c>
      <c r="CO152" s="443">
        <f t="shared" si="371"/>
        <v>17.524999999999999</v>
      </c>
      <c r="CP152" s="443"/>
      <c r="CQ152" s="217">
        <f t="shared" si="372"/>
        <v>0.48644793152639093</v>
      </c>
      <c r="CR152" s="172">
        <f t="shared" si="429"/>
        <v>147.11644793152644</v>
      </c>
      <c r="CS152" s="172">
        <f t="shared" si="373"/>
        <v>42.84</v>
      </c>
      <c r="CT152" s="217">
        <f t="shared" si="374"/>
        <v>0.86539087018544958</v>
      </c>
      <c r="CU152" s="217">
        <f t="shared" si="375"/>
        <v>170</v>
      </c>
      <c r="CV152" s="217"/>
      <c r="CW152" s="172">
        <f t="shared" si="376"/>
        <v>1010.5652055065863</v>
      </c>
      <c r="CX152" s="172">
        <f t="shared" si="377"/>
        <v>170</v>
      </c>
      <c r="CY152" s="217">
        <f t="shared" si="378"/>
        <v>19.570439882697947</v>
      </c>
      <c r="CZ152" s="217">
        <f t="shared" si="379"/>
        <v>1.0872466601498858</v>
      </c>
      <c r="DA152" s="217">
        <f t="shared" si="380"/>
        <v>1.1478263860819908</v>
      </c>
      <c r="DB152" s="197">
        <f t="shared" si="381"/>
        <v>350</v>
      </c>
      <c r="DC152" s="443">
        <f t="shared" si="382"/>
        <v>350</v>
      </c>
      <c r="DE152" s="217">
        <f t="shared" si="383"/>
        <v>25.017322192785819</v>
      </c>
      <c r="DF152" s="173">
        <f t="shared" si="384"/>
        <v>1.467291624210312</v>
      </c>
      <c r="DG152" s="173">
        <f t="shared" si="385"/>
        <v>0.32119243899439714</v>
      </c>
      <c r="DH152" s="173"/>
      <c r="DI152" s="173">
        <f t="shared" si="386"/>
        <v>0.78201368523949166</v>
      </c>
      <c r="DJ152" s="545">
        <f t="shared" si="387"/>
        <v>966.73500000000001</v>
      </c>
      <c r="DK152" s="528">
        <f t="shared" si="388"/>
        <v>9.1234929944607357E-2</v>
      </c>
      <c r="DM152" s="173">
        <f t="shared" si="389"/>
        <v>22.159422375143265</v>
      </c>
      <c r="DN152" s="173">
        <f t="shared" si="390"/>
        <v>22.159422375143265</v>
      </c>
      <c r="DO152" s="173">
        <f t="shared" si="391"/>
        <v>7.7378437346740236</v>
      </c>
      <c r="DQ152" s="545">
        <f t="shared" si="392"/>
        <v>252</v>
      </c>
      <c r="DR152" s="460">
        <f t="shared" si="393"/>
        <v>350</v>
      </c>
      <c r="DT152">
        <f t="shared" si="430"/>
        <v>252</v>
      </c>
      <c r="DU152">
        <f t="shared" si="431"/>
        <v>350</v>
      </c>
      <c r="DW152" s="5">
        <f t="shared" si="394"/>
        <v>2.8571428571428572</v>
      </c>
      <c r="DX152" s="5">
        <f t="shared" si="395"/>
        <v>1.2310790208412923</v>
      </c>
      <c r="DY152" s="5">
        <f t="shared" si="396"/>
        <v>1.6260638363015649</v>
      </c>
      <c r="DZ152" s="5"/>
      <c r="EA152" s="173">
        <f t="shared" si="397"/>
        <v>0.43087765729445227</v>
      </c>
      <c r="EB152" s="173">
        <f t="shared" si="398"/>
        <v>42.965999999999994</v>
      </c>
      <c r="EC152" s="173">
        <f t="shared" si="399"/>
        <v>0.31528555937858171</v>
      </c>
      <c r="ED152" s="173">
        <f t="shared" si="400"/>
        <v>136.27646024982775</v>
      </c>
      <c r="EE152" s="460">
        <f t="shared" si="401"/>
        <v>0.18248936073647393</v>
      </c>
      <c r="EF152" s="5">
        <f t="shared" si="402"/>
        <v>12.38410217727272</v>
      </c>
      <c r="EH152" s="173">
        <f t="shared" si="403"/>
        <v>8.3979792179997634</v>
      </c>
      <c r="EI152" s="173">
        <f t="shared" si="404"/>
        <v>0.48258145699468202</v>
      </c>
      <c r="EK152" s="528">
        <f t="shared" si="405"/>
        <v>2.8210421978382367</v>
      </c>
      <c r="EL152" s="528">
        <f t="shared" si="406"/>
        <v>3.7378098173222121</v>
      </c>
      <c r="EM152" s="528">
        <f t="shared" si="407"/>
        <v>6.9999999999999993E-2</v>
      </c>
      <c r="EN152" s="528">
        <f t="shared" si="408"/>
        <v>2.1498793749999998E-2</v>
      </c>
      <c r="EO152">
        <f t="shared" si="409"/>
        <v>4.0499999999999998E-3</v>
      </c>
      <c r="EP152" s="460">
        <f t="shared" si="410"/>
        <v>74.05</v>
      </c>
      <c r="EQ152" s="460"/>
      <c r="ER152" s="460">
        <f t="shared" si="432"/>
        <v>6654.40080891045</v>
      </c>
      <c r="ES152" s="528">
        <f t="shared" si="411"/>
        <v>0.1764</v>
      </c>
      <c r="EV152" s="460">
        <f t="shared" si="412"/>
        <v>176.4</v>
      </c>
      <c r="EW152" s="528">
        <f t="shared" si="413"/>
        <v>2.1157816483786775</v>
      </c>
      <c r="EX152" s="528">
        <f t="shared" si="414"/>
        <v>6.9865458790533035E-3</v>
      </c>
      <c r="EY152" s="528">
        <f t="shared" si="415"/>
        <v>264.87209346077896</v>
      </c>
      <c r="EZ152" s="528"/>
      <c r="FA152" s="528">
        <f t="shared" si="416"/>
        <v>4.2966000000000006</v>
      </c>
      <c r="FB152" s="460">
        <f t="shared" si="417"/>
        <v>271291.46165503672</v>
      </c>
      <c r="FC152" s="173">
        <f t="shared" si="418"/>
        <v>278.12226246394715</v>
      </c>
      <c r="FD152" s="5">
        <f t="shared" si="419"/>
        <v>42.84</v>
      </c>
      <c r="FE152" s="173">
        <f t="shared" si="420"/>
        <v>0.13347363540849949</v>
      </c>
      <c r="FF152" s="5">
        <f t="shared" si="421"/>
        <v>13.347363540849949</v>
      </c>
      <c r="FI152" s="562">
        <f t="shared" si="422"/>
        <v>-50</v>
      </c>
      <c r="FJ152">
        <f t="shared" si="423"/>
        <v>-50</v>
      </c>
      <c r="FL152">
        <f t="shared" si="476"/>
        <v>0.45488550330206112</v>
      </c>
    </row>
    <row r="153" spans="5:168">
      <c r="E153" s="170">
        <v>43</v>
      </c>
      <c r="F153" s="217">
        <f t="shared" si="477"/>
        <v>0.25800000000000001</v>
      </c>
      <c r="G153" s="217"/>
      <c r="H153" s="217">
        <f t="shared" si="442"/>
        <v>43.86</v>
      </c>
      <c r="I153" s="541">
        <f t="shared" si="443"/>
        <v>8.2163929556212505</v>
      </c>
      <c r="J153" s="172">
        <f t="shared" si="444"/>
        <v>8.5258395789761199</v>
      </c>
      <c r="K153" s="172">
        <f t="shared" si="445"/>
        <v>16.74223253459737</v>
      </c>
      <c r="L153" s="443"/>
      <c r="M153" s="217">
        <f t="shared" si="446"/>
        <v>0.50924153435570862</v>
      </c>
      <c r="N153" s="172">
        <f t="shared" si="447"/>
        <v>140.60066656300936</v>
      </c>
      <c r="O153" s="172">
        <f t="shared" si="438"/>
        <v>43.86</v>
      </c>
      <c r="P153" s="217">
        <f t="shared" si="448"/>
        <v>0.82706274448829031</v>
      </c>
      <c r="Q153" s="217">
        <f t="shared" si="449"/>
        <v>170</v>
      </c>
      <c r="R153" s="217"/>
      <c r="S153" s="172">
        <f t="shared" si="450"/>
        <v>897.31313398242685</v>
      </c>
      <c r="T153" s="172">
        <f t="shared" si="451"/>
        <v>170</v>
      </c>
      <c r="U153" s="217">
        <f t="shared" si="452"/>
        <v>21.028674434482575</v>
      </c>
      <c r="V153" s="217">
        <f t="shared" si="453"/>
        <v>1.2796779893600265</v>
      </c>
      <c r="W153" s="217">
        <f t="shared" si="454"/>
        <v>1.2332318852407929</v>
      </c>
      <c r="X153" s="197">
        <f t="shared" si="455"/>
        <v>350</v>
      </c>
      <c r="Y153" s="443">
        <f t="shared" si="328"/>
        <v>350</v>
      </c>
      <c r="AA153" s="217">
        <f t="shared" si="456"/>
        <v>23.909304333968059</v>
      </c>
      <c r="AB153" s="173">
        <f t="shared" si="457"/>
        <v>1.4021671480264564</v>
      </c>
      <c r="AC153" s="173">
        <f t="shared" si="458"/>
        <v>0.29334235935599512</v>
      </c>
      <c r="AD153" s="173"/>
      <c r="AE153" s="173">
        <f t="shared" si="459"/>
        <v>0.78193667672401557</v>
      </c>
      <c r="AF153" s="545">
        <f t="shared" si="460"/>
        <v>989.84997511912741</v>
      </c>
      <c r="AG153" s="528">
        <f t="shared" si="461"/>
        <v>9.1225945617801826E-2</v>
      </c>
      <c r="AI153" s="173">
        <f t="shared" si="462"/>
        <v>22.422777253120294</v>
      </c>
      <c r="AJ153" s="173">
        <f t="shared" si="463"/>
        <v>22.422777253120294</v>
      </c>
      <c r="AK153" s="173">
        <f t="shared" si="464"/>
        <v>7.9329214220644149</v>
      </c>
      <c r="AM153" s="545">
        <f t="shared" si="465"/>
        <v>258</v>
      </c>
      <c r="AN153" s="460">
        <f t="shared" si="466"/>
        <v>350</v>
      </c>
      <c r="AP153" s="460">
        <f t="shared" si="467"/>
        <v>258</v>
      </c>
      <c r="AQ153" s="460">
        <f t="shared" si="468"/>
        <v>350</v>
      </c>
      <c r="AS153" s="5">
        <f t="shared" si="439"/>
        <v>2.8571428571428572</v>
      </c>
      <c r="AT153" s="5">
        <f t="shared" si="469"/>
        <v>1.3645146583318983</v>
      </c>
      <c r="AU153" s="5">
        <f t="shared" si="343"/>
        <v>1.4926281988109589</v>
      </c>
      <c r="AV153" s="5"/>
      <c r="AW153" s="173">
        <f t="shared" si="344"/>
        <v>0.47758013041616443</v>
      </c>
      <c r="AX153" s="173">
        <f t="shared" si="435"/>
        <v>43.993332227516781</v>
      </c>
      <c r="AY153" s="173">
        <f t="shared" si="436"/>
        <v>0.29285260920706252</v>
      </c>
      <c r="AZ153" s="173">
        <f t="shared" si="440"/>
        <v>150.22346000820889</v>
      </c>
      <c r="BA153" s="460">
        <f t="shared" si="433"/>
        <v>0.20708516579389988</v>
      </c>
      <c r="BB153" s="5">
        <f t="shared" si="434"/>
        <v>12.748498890634892</v>
      </c>
      <c r="BD153" s="173">
        <f t="shared" si="441"/>
        <v>8.9464739194322984</v>
      </c>
      <c r="BE153" s="173">
        <f t="shared" si="437"/>
        <v>0.46785214274900455</v>
      </c>
      <c r="BG153" s="528">
        <f t="shared" si="347"/>
        <v>3.2015758236432923</v>
      </c>
      <c r="BH153" s="528">
        <f t="shared" si="470"/>
        <v>2.9563328878903614</v>
      </c>
      <c r="BI153" s="528">
        <f t="shared" si="471"/>
        <v>0.11502950137869751</v>
      </c>
      <c r="BJ153" s="528">
        <f t="shared" si="350"/>
        <v>1.9621164516977149E-2</v>
      </c>
      <c r="BK153">
        <f t="shared" si="351"/>
        <v>3.6973768300295625E-3</v>
      </c>
      <c r="BL153" s="460">
        <f t="shared" si="427"/>
        <v>118.72687820872707</v>
      </c>
      <c r="BM153" s="528">
        <f t="shared" si="472"/>
        <v>29.426623574053618</v>
      </c>
      <c r="BN153" s="460">
        <f t="shared" si="353"/>
        <v>29426.623574053618</v>
      </c>
      <c r="BO153" s="528">
        <f t="shared" si="354"/>
        <v>0.18059999999999998</v>
      </c>
      <c r="BR153" s="460">
        <f t="shared" si="355"/>
        <v>180.6</v>
      </c>
      <c r="BS153" s="528">
        <f t="shared" si="356"/>
        <v>2.4011818677324692</v>
      </c>
      <c r="BT153" s="528">
        <f t="shared" si="357"/>
        <v>6.5665688242450473E-3</v>
      </c>
      <c r="BU153" s="528">
        <f t="shared" si="358"/>
        <v>272.81209579273974</v>
      </c>
      <c r="BV153" s="528"/>
      <c r="BW153" s="528">
        <f t="shared" si="359"/>
        <v>4.3993332227516779</v>
      </c>
      <c r="BX153" s="460">
        <f t="shared" si="360"/>
        <v>279619.17745204811</v>
      </c>
      <c r="BY153" s="173">
        <f t="shared" si="361"/>
        <v>286.09603420630748</v>
      </c>
      <c r="BZ153" s="5">
        <f t="shared" si="362"/>
        <v>43.86</v>
      </c>
      <c r="CA153" s="173">
        <f t="shared" si="363"/>
        <v>0.13292680070392712</v>
      </c>
      <c r="CB153" s="5">
        <f t="shared" si="364"/>
        <v>13.292680070392713</v>
      </c>
      <c r="CE153" s="562">
        <f t="shared" si="473"/>
        <v>-50</v>
      </c>
      <c r="CF153">
        <f t="shared" si="474"/>
        <v>-50</v>
      </c>
      <c r="CG153" s="173">
        <f t="shared" si="475"/>
        <v>0.46094532022279394</v>
      </c>
      <c r="CI153" s="170">
        <v>43</v>
      </c>
      <c r="CJ153" s="217">
        <f t="shared" si="428"/>
        <v>0.25800000000000001</v>
      </c>
      <c r="CK153" s="217"/>
      <c r="CL153" s="217">
        <f t="shared" si="368"/>
        <v>43.86</v>
      </c>
      <c r="CM153" s="541">
        <f t="shared" si="369"/>
        <v>9</v>
      </c>
      <c r="CN153" s="443">
        <f t="shared" si="370"/>
        <v>8.5250000000000004</v>
      </c>
      <c r="CO153" s="443">
        <f t="shared" si="371"/>
        <v>17.524999999999999</v>
      </c>
      <c r="CP153" s="443"/>
      <c r="CQ153" s="217">
        <f t="shared" si="372"/>
        <v>0.48644793152639093</v>
      </c>
      <c r="CR153" s="172">
        <f t="shared" si="429"/>
        <v>147.11644793152644</v>
      </c>
      <c r="CS153" s="172">
        <f t="shared" si="373"/>
        <v>43.86</v>
      </c>
      <c r="CT153" s="217">
        <f t="shared" si="374"/>
        <v>0.86539087018544958</v>
      </c>
      <c r="CU153" s="217">
        <f t="shared" si="375"/>
        <v>170</v>
      </c>
      <c r="CV153" s="217"/>
      <c r="CW153" s="172">
        <f t="shared" si="376"/>
        <v>982.88221854829919</v>
      </c>
      <c r="CX153" s="172">
        <f t="shared" si="377"/>
        <v>170</v>
      </c>
      <c r="CY153" s="217">
        <f t="shared" si="378"/>
        <v>20.036402737047897</v>
      </c>
      <c r="CZ153" s="217">
        <f t="shared" si="379"/>
        <v>1.1131334853915498</v>
      </c>
      <c r="DA153" s="217">
        <f t="shared" si="380"/>
        <v>1.1751555857506097</v>
      </c>
      <c r="DB153" s="197">
        <f t="shared" si="381"/>
        <v>350</v>
      </c>
      <c r="DC153" s="443">
        <f t="shared" si="382"/>
        <v>350</v>
      </c>
      <c r="DE153" s="217">
        <f t="shared" si="383"/>
        <v>25.017322192785819</v>
      </c>
      <c r="DF153" s="173">
        <f t="shared" si="384"/>
        <v>1.467291624210312</v>
      </c>
      <c r="DG153" s="173">
        <f t="shared" si="385"/>
        <v>0.32119243899439714</v>
      </c>
      <c r="DH153" s="173"/>
      <c r="DI153" s="173">
        <f t="shared" si="386"/>
        <v>0.78201368523949166</v>
      </c>
      <c r="DJ153" s="545">
        <f t="shared" si="387"/>
        <v>989.75250000000005</v>
      </c>
      <c r="DK153" s="528">
        <f t="shared" si="388"/>
        <v>9.1234929944607357E-2</v>
      </c>
      <c r="DM153" s="173">
        <f t="shared" si="389"/>
        <v>22.421673188489493</v>
      </c>
      <c r="DN153" s="173">
        <f t="shared" si="390"/>
        <v>22.421673188489493</v>
      </c>
      <c r="DO153" s="173">
        <f t="shared" si="391"/>
        <v>7.9321035964119693</v>
      </c>
      <c r="DQ153" s="545">
        <f t="shared" si="392"/>
        <v>258</v>
      </c>
      <c r="DR153" s="460">
        <f t="shared" si="393"/>
        <v>350</v>
      </c>
      <c r="DT153">
        <f t="shared" si="430"/>
        <v>258</v>
      </c>
      <c r="DU153">
        <f t="shared" si="431"/>
        <v>350</v>
      </c>
      <c r="DW153" s="5">
        <f t="shared" si="394"/>
        <v>2.8571428571428572</v>
      </c>
      <c r="DX153" s="5">
        <f t="shared" si="395"/>
        <v>1.2456485104716386</v>
      </c>
      <c r="DY153" s="5">
        <f t="shared" si="396"/>
        <v>1.6114943466712186</v>
      </c>
      <c r="DZ153" s="5"/>
      <c r="EA153" s="173">
        <f t="shared" si="397"/>
        <v>0.43597697866507351</v>
      </c>
      <c r="EB153" s="173">
        <f t="shared" si="398"/>
        <v>43.98899999999999</v>
      </c>
      <c r="EC153" s="173">
        <f t="shared" si="399"/>
        <v>0.31615849637890392</v>
      </c>
      <c r="ED153" s="173">
        <f t="shared" si="400"/>
        <v>139.13590969031193</v>
      </c>
      <c r="EE153" s="460">
        <f t="shared" si="401"/>
        <v>0.18904547982451927</v>
      </c>
      <c r="EF153" s="5">
        <f t="shared" si="402"/>
        <v>12.565358585777714</v>
      </c>
      <c r="EH153" s="173">
        <f t="shared" si="403"/>
        <v>8.5475011808236996</v>
      </c>
      <c r="EI153" s="173">
        <f t="shared" si="404"/>
        <v>0.48610021194441044</v>
      </c>
      <c r="EK153" s="528">
        <f t="shared" si="405"/>
        <v>2.9223910574473018</v>
      </c>
      <c r="EL153" s="528">
        <f t="shared" si="406"/>
        <v>3.7820457927971787</v>
      </c>
      <c r="EM153" s="528">
        <f t="shared" si="407"/>
        <v>6.9999999999999993E-2</v>
      </c>
      <c r="EN153" s="528">
        <f t="shared" si="408"/>
        <v>2.1498793749999998E-2</v>
      </c>
      <c r="EO153">
        <f t="shared" si="409"/>
        <v>4.0499999999999998E-3</v>
      </c>
      <c r="EP153" s="460">
        <f t="shared" si="410"/>
        <v>74.05</v>
      </c>
      <c r="EQ153" s="460"/>
      <c r="ER153" s="460">
        <f t="shared" si="432"/>
        <v>6799.9856439944815</v>
      </c>
      <c r="ES153" s="528">
        <f t="shared" si="411"/>
        <v>0.18059999999999998</v>
      </c>
      <c r="EV153" s="460">
        <f t="shared" si="412"/>
        <v>180.6</v>
      </c>
      <c r="EW153" s="528">
        <f t="shared" si="413"/>
        <v>2.1917932930854764</v>
      </c>
      <c r="EX153" s="528">
        <f t="shared" si="414"/>
        <v>7.0888024815720227E-3</v>
      </c>
      <c r="EY153" s="528">
        <f t="shared" si="415"/>
        <v>272.77851486524719</v>
      </c>
      <c r="EZ153" s="528"/>
      <c r="FA153" s="528">
        <f t="shared" si="416"/>
        <v>4.3989000000000011</v>
      </c>
      <c r="FB153" s="460">
        <f t="shared" si="417"/>
        <v>279376.29696081427</v>
      </c>
      <c r="FC153" s="173">
        <f t="shared" si="418"/>
        <v>286.35688260480873</v>
      </c>
      <c r="FD153" s="5">
        <f t="shared" si="419"/>
        <v>43.86</v>
      </c>
      <c r="FE153" s="173">
        <f t="shared" si="420"/>
        <v>0.13282179776522818</v>
      </c>
      <c r="FF153" s="5">
        <f t="shared" si="421"/>
        <v>13.282179776522817</v>
      </c>
      <c r="FI153" s="562">
        <f t="shared" si="422"/>
        <v>-50</v>
      </c>
      <c r="FJ153">
        <f t="shared" si="423"/>
        <v>-50</v>
      </c>
      <c r="FL153">
        <f t="shared" si="476"/>
        <v>0.46026895108336202</v>
      </c>
    </row>
    <row r="154" spans="5:168">
      <c r="E154" s="170">
        <v>44</v>
      </c>
      <c r="F154" s="217">
        <f t="shared" si="477"/>
        <v>0.26400000000000001</v>
      </c>
      <c r="G154" s="217"/>
      <c r="H154" s="217">
        <f t="shared" si="442"/>
        <v>44.88</v>
      </c>
      <c r="I154" s="541">
        <f t="shared" si="443"/>
        <v>8.2073336136810138</v>
      </c>
      <c r="J154" s="172">
        <f t="shared" si="444"/>
        <v>8.5258492854139138</v>
      </c>
      <c r="K154" s="172">
        <f t="shared" si="445"/>
        <v>16.733182899094928</v>
      </c>
      <c r="L154" s="443"/>
      <c r="M154" s="217">
        <f t="shared" si="446"/>
        <v>0.50951752269515671</v>
      </c>
      <c r="N154" s="172">
        <f t="shared" si="447"/>
        <v>140.52175703769066</v>
      </c>
      <c r="O154" s="172">
        <f t="shared" si="438"/>
        <v>44.88</v>
      </c>
      <c r="P154" s="217">
        <f t="shared" si="448"/>
        <v>0.82659857080994503</v>
      </c>
      <c r="Q154" s="217">
        <f t="shared" si="449"/>
        <v>170</v>
      </c>
      <c r="R154" s="217"/>
      <c r="S154" s="172">
        <f t="shared" si="450"/>
        <v>872.22686681133916</v>
      </c>
      <c r="T154" s="172">
        <f t="shared" si="451"/>
        <v>170</v>
      </c>
      <c r="U154" s="217">
        <f t="shared" si="452"/>
        <v>21.52982112230848</v>
      </c>
      <c r="V154" s="217">
        <f t="shared" si="453"/>
        <v>1.311620931700636</v>
      </c>
      <c r="W154" s="217">
        <f t="shared" si="454"/>
        <v>1.2626203209539406</v>
      </c>
      <c r="X154" s="197">
        <f t="shared" si="455"/>
        <v>350</v>
      </c>
      <c r="Y154" s="443">
        <f t="shared" si="328"/>
        <v>350</v>
      </c>
      <c r="AA154" s="217">
        <f t="shared" si="456"/>
        <v>23.895885660185744</v>
      </c>
      <c r="AB154" s="173">
        <f t="shared" si="457"/>
        <v>1.4013786111060516</v>
      </c>
      <c r="AC154" s="173">
        <f t="shared" si="458"/>
        <v>0.29301285175417602</v>
      </c>
      <c r="AD154" s="173"/>
      <c r="AE154" s="173">
        <f t="shared" si="459"/>
        <v>0.7819357865112686</v>
      </c>
      <c r="AF154" s="545">
        <f t="shared" si="460"/>
        <v>1012.8708951071728</v>
      </c>
      <c r="AG154" s="528">
        <f t="shared" si="461"/>
        <v>9.1225841759648027E-2</v>
      </c>
      <c r="AI154" s="173">
        <f t="shared" si="462"/>
        <v>22.682021635014426</v>
      </c>
      <c r="AJ154" s="173">
        <f t="shared" si="463"/>
        <v>22.682021635014426</v>
      </c>
      <c r="AK154" s="173">
        <f t="shared" si="464"/>
        <v>8.1249542975415494</v>
      </c>
      <c r="AM154" s="545">
        <f t="shared" si="465"/>
        <v>264</v>
      </c>
      <c r="AN154" s="460">
        <f t="shared" si="466"/>
        <v>350</v>
      </c>
      <c r="AP154" s="460">
        <f t="shared" si="467"/>
        <v>264</v>
      </c>
      <c r="AQ154" s="460">
        <f t="shared" si="468"/>
        <v>350</v>
      </c>
      <c r="AS154" s="5">
        <f t="shared" si="439"/>
        <v>2.8571428571428572</v>
      </c>
      <c r="AT154" s="5">
        <f t="shared" si="469"/>
        <v>1.381814283582014</v>
      </c>
      <c r="AU154" s="5">
        <f t="shared" si="343"/>
        <v>1.4753285735608432</v>
      </c>
      <c r="AV154" s="5"/>
      <c r="AW154" s="173">
        <f t="shared" si="344"/>
        <v>0.4836349992537049</v>
      </c>
      <c r="AX154" s="173">
        <f t="shared" si="435"/>
        <v>45.016484226985476</v>
      </c>
      <c r="AY154" s="173">
        <f t="shared" si="436"/>
        <v>0.29280505296229264</v>
      </c>
      <c r="AZ154" s="173">
        <f t="shared" si="440"/>
        <v>153.74216999179549</v>
      </c>
      <c r="BA154" s="460">
        <f t="shared" si="433"/>
        <v>0.21458762992097161</v>
      </c>
      <c r="BB154" s="5">
        <f t="shared" si="434"/>
        <v>12.908016074022177</v>
      </c>
      <c r="BD154" s="173">
        <f t="shared" si="441"/>
        <v>9.107097664385579</v>
      </c>
      <c r="BE154" s="173">
        <f t="shared" si="437"/>
        <v>0.47051073477418365</v>
      </c>
      <c r="BG154" s="528">
        <f t="shared" si="347"/>
        <v>3.3175691147462909</v>
      </c>
      <c r="BH154" s="528">
        <f t="shared" si="470"/>
        <v>2.9888965302519055</v>
      </c>
      <c r="BI154" s="528">
        <f t="shared" si="471"/>
        <v>0.1149026705915342</v>
      </c>
      <c r="BJ154" s="528">
        <f t="shared" si="350"/>
        <v>1.9599958695419407E-2</v>
      </c>
      <c r="BK154">
        <f t="shared" si="351"/>
        <v>3.693300126156456E-3</v>
      </c>
      <c r="BL154" s="460">
        <f t="shared" si="427"/>
        <v>118.59597071769065</v>
      </c>
      <c r="BM154" s="528">
        <f t="shared" si="472"/>
        <v>34.106068808699646</v>
      </c>
      <c r="BN154" s="460">
        <f t="shared" si="353"/>
        <v>34106.068808699645</v>
      </c>
      <c r="BO154" s="528">
        <f t="shared" si="354"/>
        <v>0.18479999999999999</v>
      </c>
      <c r="BR154" s="460">
        <f t="shared" si="355"/>
        <v>184.79999999999998</v>
      </c>
      <c r="BS154" s="528">
        <f t="shared" si="356"/>
        <v>2.4881768360597181</v>
      </c>
      <c r="BT154" s="528">
        <f t="shared" si="357"/>
        <v>6.6414105461322656E-3</v>
      </c>
      <c r="BU154" s="528">
        <f t="shared" si="358"/>
        <v>280.76600086316552</v>
      </c>
      <c r="BV154" s="528"/>
      <c r="BW154" s="528">
        <f t="shared" si="359"/>
        <v>4.5016484226985467</v>
      </c>
      <c r="BX154" s="460">
        <f t="shared" si="360"/>
        <v>287762.46753246995</v>
      </c>
      <c r="BY154" s="173">
        <f t="shared" si="361"/>
        <v>294.39192910688126</v>
      </c>
      <c r="BZ154" s="5">
        <f t="shared" si="362"/>
        <v>44.88</v>
      </c>
      <c r="CA154" s="173">
        <f t="shared" si="363"/>
        <v>0.13228326940618007</v>
      </c>
      <c r="CB154" s="5">
        <f t="shared" si="364"/>
        <v>13.228326940618008</v>
      </c>
      <c r="CE154" s="562">
        <f t="shared" si="473"/>
        <v>-50</v>
      </c>
      <c r="CF154">
        <f t="shared" si="474"/>
        <v>-50</v>
      </c>
      <c r="CG154" s="173">
        <f t="shared" si="475"/>
        <v>0.46627434489352121</v>
      </c>
      <c r="CI154" s="170">
        <v>44</v>
      </c>
      <c r="CJ154" s="217">
        <f t="shared" si="428"/>
        <v>0.26400000000000001</v>
      </c>
      <c r="CK154" s="217"/>
      <c r="CL154" s="217">
        <f t="shared" si="368"/>
        <v>44.88</v>
      </c>
      <c r="CM154" s="541">
        <f t="shared" si="369"/>
        <v>9</v>
      </c>
      <c r="CN154" s="443">
        <f t="shared" si="370"/>
        <v>8.5250000000000004</v>
      </c>
      <c r="CO154" s="443">
        <f t="shared" si="371"/>
        <v>17.524999999999999</v>
      </c>
      <c r="CP154" s="443"/>
      <c r="CQ154" s="217">
        <f t="shared" si="372"/>
        <v>0.48644793152639093</v>
      </c>
      <c r="CR154" s="172">
        <f t="shared" si="429"/>
        <v>147.11644793152644</v>
      </c>
      <c r="CS154" s="172">
        <f t="shared" si="373"/>
        <v>44.88</v>
      </c>
      <c r="CT154" s="217">
        <f t="shared" si="374"/>
        <v>0.86539087018544958</v>
      </c>
      <c r="CU154" s="217">
        <f t="shared" si="375"/>
        <v>170</v>
      </c>
      <c r="CV154" s="217"/>
      <c r="CW154" s="172">
        <f t="shared" si="376"/>
        <v>956.45768440929851</v>
      </c>
      <c r="CX154" s="172">
        <f t="shared" si="377"/>
        <v>170</v>
      </c>
      <c r="CY154" s="217">
        <f t="shared" si="378"/>
        <v>20.502365591397847</v>
      </c>
      <c r="CZ154" s="217">
        <f t="shared" si="379"/>
        <v>1.1390203106332137</v>
      </c>
      <c r="DA154" s="217">
        <f t="shared" si="380"/>
        <v>1.2024847854192284</v>
      </c>
      <c r="DB154" s="197">
        <f t="shared" si="381"/>
        <v>350</v>
      </c>
      <c r="DC154" s="443">
        <f t="shared" si="382"/>
        <v>350</v>
      </c>
      <c r="DE154" s="217">
        <f t="shared" si="383"/>
        <v>25.017322192785819</v>
      </c>
      <c r="DF154" s="173">
        <f t="shared" si="384"/>
        <v>1.467291624210312</v>
      </c>
      <c r="DG154" s="173">
        <f t="shared" si="385"/>
        <v>0.32119243899439714</v>
      </c>
      <c r="DH154" s="173"/>
      <c r="DI154" s="173">
        <f t="shared" si="386"/>
        <v>0.78201368523949166</v>
      </c>
      <c r="DJ154" s="545">
        <f t="shared" si="387"/>
        <v>1012.77</v>
      </c>
      <c r="DK154" s="528">
        <f t="shared" si="388"/>
        <v>9.1234929944607357E-2</v>
      </c>
      <c r="DM154" s="173">
        <f t="shared" si="389"/>
        <v>22.680891894783528</v>
      </c>
      <c r="DN154" s="173">
        <f t="shared" si="390"/>
        <v>22.680891894783528</v>
      </c>
      <c r="DO154" s="173">
        <f t="shared" si="391"/>
        <v>8.1241174529260682</v>
      </c>
      <c r="DQ154" s="545">
        <f t="shared" si="392"/>
        <v>264</v>
      </c>
      <c r="DR154" s="460">
        <f t="shared" si="393"/>
        <v>350</v>
      </c>
      <c r="DT154">
        <f t="shared" si="430"/>
        <v>264</v>
      </c>
      <c r="DU154">
        <f t="shared" si="431"/>
        <v>350</v>
      </c>
      <c r="DW154" s="5">
        <f t="shared" si="394"/>
        <v>2.8571428571428572</v>
      </c>
      <c r="DX154" s="5">
        <f t="shared" si="395"/>
        <v>1.260049549710196</v>
      </c>
      <c r="DY154" s="5">
        <f t="shared" si="396"/>
        <v>1.5970933074326612</v>
      </c>
      <c r="DZ154" s="5"/>
      <c r="EA154" s="173">
        <f t="shared" si="397"/>
        <v>0.4410173423985686</v>
      </c>
      <c r="EB154" s="173">
        <f t="shared" si="398"/>
        <v>45.011999999999993</v>
      </c>
      <c r="EC154" s="173">
        <f t="shared" si="399"/>
        <v>0.31695563070292154</v>
      </c>
      <c r="ED154" s="173">
        <f t="shared" si="400"/>
        <v>142.01356795642215</v>
      </c>
      <c r="EE154" s="460">
        <f t="shared" si="401"/>
        <v>0.19567828301381868</v>
      </c>
      <c r="EF154" s="5">
        <f t="shared" si="402"/>
        <v>12.742675135569394</v>
      </c>
      <c r="EH154" s="173">
        <f t="shared" si="403"/>
        <v>8.6961562644312647</v>
      </c>
      <c r="EI154" s="173">
        <f t="shared" si="404"/>
        <v>0.48951800768428988</v>
      </c>
      <c r="EK154" s="528">
        <f t="shared" si="405"/>
        <v>3.024925351016285</v>
      </c>
      <c r="EL154" s="528">
        <f t="shared" si="406"/>
        <v>3.8257703181397824</v>
      </c>
      <c r="EM154" s="528">
        <f t="shared" si="407"/>
        <v>6.9999999999999993E-2</v>
      </c>
      <c r="EN154" s="528">
        <f t="shared" si="408"/>
        <v>2.1498793749999998E-2</v>
      </c>
      <c r="EO154">
        <f t="shared" si="409"/>
        <v>4.0499999999999998E-3</v>
      </c>
      <c r="EP154" s="460">
        <f t="shared" si="410"/>
        <v>74.05</v>
      </c>
      <c r="EQ154" s="460"/>
      <c r="ER154" s="460">
        <f t="shared" si="432"/>
        <v>6946.2444629060683</v>
      </c>
      <c r="ES154" s="528">
        <f t="shared" si="411"/>
        <v>0.18479999999999999</v>
      </c>
      <c r="EV154" s="460">
        <f t="shared" si="412"/>
        <v>184.79999999999998</v>
      </c>
      <c r="EW154" s="528">
        <f t="shared" si="413"/>
        <v>2.2686940132622135</v>
      </c>
      <c r="EX154" s="528">
        <f t="shared" si="414"/>
        <v>7.188836395415895E-3</v>
      </c>
      <c r="EY154" s="528">
        <f t="shared" si="415"/>
        <v>280.73104136938002</v>
      </c>
      <c r="EZ154" s="528"/>
      <c r="FA154" s="528">
        <f t="shared" si="416"/>
        <v>4.5011999999999999</v>
      </c>
      <c r="FB154" s="460">
        <f t="shared" si="417"/>
        <v>287508.12421903765</v>
      </c>
      <c r="FC154" s="173">
        <f t="shared" si="418"/>
        <v>294.63916868194372</v>
      </c>
      <c r="FD154" s="5">
        <f t="shared" si="419"/>
        <v>44.88</v>
      </c>
      <c r="FE154" s="173">
        <f t="shared" si="420"/>
        <v>0.13218694006064469</v>
      </c>
      <c r="FF154" s="5">
        <f t="shared" si="421"/>
        <v>13.218694006064469</v>
      </c>
      <c r="FI154" s="562">
        <f t="shared" si="422"/>
        <v>-50</v>
      </c>
      <c r="FJ154">
        <f t="shared" si="423"/>
        <v>-50</v>
      </c>
      <c r="FL154">
        <f t="shared" si="476"/>
        <v>0.46559015619790234</v>
      </c>
    </row>
    <row r="155" spans="5:168">
      <c r="E155" s="170">
        <v>45</v>
      </c>
      <c r="F155" s="217">
        <f t="shared" si="477"/>
        <v>0.27</v>
      </c>
      <c r="G155" s="217"/>
      <c r="H155" s="217">
        <f t="shared" si="442"/>
        <v>45.900000000000006</v>
      </c>
      <c r="I155" s="541">
        <f t="shared" si="443"/>
        <v>8.1983766470467572</v>
      </c>
      <c r="J155" s="172">
        <f t="shared" si="444"/>
        <v>8.5258588821638792</v>
      </c>
      <c r="K155" s="172">
        <f t="shared" si="445"/>
        <v>16.724235529210638</v>
      </c>
      <c r="L155" s="443"/>
      <c r="M155" s="217">
        <f t="shared" si="446"/>
        <v>0.50979068585722365</v>
      </c>
      <c r="N155" s="172">
        <f t="shared" si="447"/>
        <v>140.4436549283235</v>
      </c>
      <c r="O155" s="172">
        <f t="shared" si="438"/>
        <v>45.900000000000006</v>
      </c>
      <c r="P155" s="217">
        <f t="shared" si="448"/>
        <v>0.82613914663719701</v>
      </c>
      <c r="Q155" s="217">
        <f t="shared" si="449"/>
        <v>170</v>
      </c>
      <c r="R155" s="217"/>
      <c r="S155" s="172">
        <f t="shared" si="450"/>
        <v>848.27432289782121</v>
      </c>
      <c r="T155" s="172">
        <f t="shared" si="451"/>
        <v>170</v>
      </c>
      <c r="U155" s="217">
        <f t="shared" si="452"/>
        <v>22.031405133306865</v>
      </c>
      <c r="V155" s="217">
        <f t="shared" si="453"/>
        <v>1.3436443628900048</v>
      </c>
      <c r="W155" s="217">
        <f t="shared" si="454"/>
        <v>1.2920343532425</v>
      </c>
      <c r="X155" s="197">
        <f t="shared" si="455"/>
        <v>350</v>
      </c>
      <c r="Y155" s="443">
        <f t="shared" si="328"/>
        <v>350</v>
      </c>
      <c r="AA155" s="217">
        <f t="shared" si="456"/>
        <v>23.882604288664609</v>
      </c>
      <c r="AB155" s="173">
        <f t="shared" si="457"/>
        <v>1.4005981461074311</v>
      </c>
      <c r="AC155" s="173">
        <f t="shared" si="458"/>
        <v>0.29268689879555909</v>
      </c>
      <c r="AD155" s="173"/>
      <c r="AE155" s="173">
        <f t="shared" si="459"/>
        <v>0.78193490636038465</v>
      </c>
      <c r="AF155" s="545">
        <f t="shared" si="460"/>
        <v>1035.8918541829114</v>
      </c>
      <c r="AG155" s="528">
        <f t="shared" si="461"/>
        <v>9.1225739075378204E-2</v>
      </c>
      <c r="AI155" s="173">
        <f t="shared" si="462"/>
        <v>22.938336709830168</v>
      </c>
      <c r="AJ155" s="173">
        <f t="shared" si="463"/>
        <v>22.938336709830168</v>
      </c>
      <c r="AK155" s="173">
        <f t="shared" si="464"/>
        <v>8.3148173159235803</v>
      </c>
      <c r="AM155" s="545">
        <f t="shared" si="465"/>
        <v>270</v>
      </c>
      <c r="AN155" s="460">
        <f t="shared" si="466"/>
        <v>350</v>
      </c>
      <c r="AP155" s="460">
        <f t="shared" si="467"/>
        <v>270</v>
      </c>
      <c r="AQ155" s="460">
        <f t="shared" si="468"/>
        <v>350</v>
      </c>
      <c r="AS155" s="5">
        <f t="shared" si="439"/>
        <v>2.8571428571428572</v>
      </c>
      <c r="AT155" s="5">
        <f t="shared" si="469"/>
        <v>1.3989560188170351</v>
      </c>
      <c r="AU155" s="5">
        <f t="shared" si="343"/>
        <v>1.4581868383258221</v>
      </c>
      <c r="AV155" s="5"/>
      <c r="AW155" s="173">
        <f t="shared" si="344"/>
        <v>0.48963460658596231</v>
      </c>
      <c r="AX155" s="173">
        <f t="shared" si="435"/>
        <v>46.039637963684939</v>
      </c>
      <c r="AY155" s="173">
        <f t="shared" si="436"/>
        <v>0.29267333097940346</v>
      </c>
      <c r="AZ155" s="173">
        <f t="shared" si="440"/>
        <v>157.30725382329052</v>
      </c>
      <c r="BA155" s="460">
        <f t="shared" si="433"/>
        <v>0.22218713240035265</v>
      </c>
      <c r="BB155" s="5">
        <f t="shared" si="434"/>
        <v>13.062249518046281</v>
      </c>
      <c r="BD155" s="173">
        <f t="shared" si="441"/>
        <v>9.2669612878911085</v>
      </c>
      <c r="BE155" s="173">
        <f t="shared" si="437"/>
        <v>0.47305529669701851</v>
      </c>
      <c r="BG155" s="528">
        <f t="shared" si="347"/>
        <v>3.4350628604508975</v>
      </c>
      <c r="BH155" s="528">
        <f t="shared" si="470"/>
        <v>3.0210558980453643</v>
      </c>
      <c r="BI155" s="528">
        <f t="shared" si="471"/>
        <v>0.11477727305865461</v>
      </c>
      <c r="BJ155" s="528">
        <f t="shared" si="350"/>
        <v>1.9579003782555802E-2</v>
      </c>
      <c r="BK155">
        <f t="shared" si="351"/>
        <v>3.6892694911710407E-3</v>
      </c>
      <c r="BL155" s="460">
        <f t="shared" si="427"/>
        <v>118.46654254982565</v>
      </c>
      <c r="BM155" s="528">
        <f t="shared" si="472"/>
        <v>40.272003562117995</v>
      </c>
      <c r="BN155" s="460">
        <f t="shared" si="353"/>
        <v>40272.003562117992</v>
      </c>
      <c r="BO155" s="528">
        <f t="shared" si="354"/>
        <v>0.189</v>
      </c>
      <c r="BR155" s="460">
        <f t="shared" si="355"/>
        <v>189</v>
      </c>
      <c r="BS155" s="528">
        <f t="shared" si="356"/>
        <v>2.5762971453381729</v>
      </c>
      <c r="BT155" s="528">
        <f t="shared" si="357"/>
        <v>6.7134394119931261E-3</v>
      </c>
      <c r="BU155" s="528">
        <f t="shared" si="358"/>
        <v>288.76524647758066</v>
      </c>
      <c r="BV155" s="528"/>
      <c r="BW155" s="528">
        <f t="shared" si="359"/>
        <v>4.603963796368495</v>
      </c>
      <c r="BX155" s="460">
        <f t="shared" si="360"/>
        <v>295952.22085869929</v>
      </c>
      <c r="BY155" s="173">
        <f t="shared" si="361"/>
        <v>302.73538516352795</v>
      </c>
      <c r="BZ155" s="5">
        <f t="shared" si="362"/>
        <v>45.900000000000006</v>
      </c>
      <c r="CA155" s="173">
        <f t="shared" si="363"/>
        <v>0.13165617132773411</v>
      </c>
      <c r="CB155" s="5">
        <f t="shared" si="364"/>
        <v>13.165617132773411</v>
      </c>
      <c r="CE155" s="562">
        <f t="shared" si="473"/>
        <v>-50</v>
      </c>
      <c r="CF155">
        <f t="shared" si="474"/>
        <v>-50</v>
      </c>
      <c r="CG155" s="173">
        <f t="shared" si="475"/>
        <v>0.47154314879602544</v>
      </c>
      <c r="CI155" s="170">
        <v>45</v>
      </c>
      <c r="CJ155" s="217">
        <f t="shared" si="428"/>
        <v>0.27</v>
      </c>
      <c r="CK155" s="217"/>
      <c r="CL155" s="217">
        <f t="shared" si="368"/>
        <v>45.900000000000006</v>
      </c>
      <c r="CM155" s="541">
        <f t="shared" si="369"/>
        <v>9</v>
      </c>
      <c r="CN155" s="443">
        <f t="shared" si="370"/>
        <v>8.5250000000000004</v>
      </c>
      <c r="CO155" s="443">
        <f t="shared" si="371"/>
        <v>17.524999999999999</v>
      </c>
      <c r="CP155" s="443"/>
      <c r="CQ155" s="217">
        <f t="shared" si="372"/>
        <v>0.48644793152639093</v>
      </c>
      <c r="CR155" s="172">
        <f t="shared" si="429"/>
        <v>147.11644793152644</v>
      </c>
      <c r="CS155" s="172">
        <f t="shared" si="373"/>
        <v>45.900000000000006</v>
      </c>
      <c r="CT155" s="217">
        <f t="shared" si="374"/>
        <v>0.86539087018544958</v>
      </c>
      <c r="CU155" s="217">
        <f t="shared" si="375"/>
        <v>170</v>
      </c>
      <c r="CV155" s="217"/>
      <c r="CW155" s="172">
        <f t="shared" si="376"/>
        <v>931.20770792922713</v>
      </c>
      <c r="CX155" s="172">
        <f t="shared" si="377"/>
        <v>170</v>
      </c>
      <c r="CY155" s="217">
        <f t="shared" si="378"/>
        <v>20.968328445747801</v>
      </c>
      <c r="CZ155" s="217">
        <f t="shared" si="379"/>
        <v>1.1649071358748777</v>
      </c>
      <c r="DA155" s="217">
        <f t="shared" si="380"/>
        <v>1.2298139850878473</v>
      </c>
      <c r="DB155" s="197">
        <f t="shared" si="381"/>
        <v>350</v>
      </c>
      <c r="DC155" s="443">
        <f t="shared" si="382"/>
        <v>350</v>
      </c>
      <c r="DE155" s="217">
        <f t="shared" si="383"/>
        <v>25.017322192785819</v>
      </c>
      <c r="DF155" s="173">
        <f t="shared" si="384"/>
        <v>1.467291624210312</v>
      </c>
      <c r="DG155" s="173">
        <f t="shared" si="385"/>
        <v>0.32119243899439714</v>
      </c>
      <c r="DH155" s="173"/>
      <c r="DI155" s="173">
        <f t="shared" si="386"/>
        <v>0.78201368523949166</v>
      </c>
      <c r="DJ155" s="545">
        <f t="shared" si="387"/>
        <v>1035.7874999999999</v>
      </c>
      <c r="DK155" s="528">
        <f t="shared" si="388"/>
        <v>9.1234929944607357E-2</v>
      </c>
      <c r="DM155" s="173">
        <f t="shared" si="389"/>
        <v>22.937181294010077</v>
      </c>
      <c r="DN155" s="173">
        <f t="shared" si="390"/>
        <v>22.937181294010077</v>
      </c>
      <c r="DO155" s="173">
        <f t="shared" si="391"/>
        <v>8.3139614523531442</v>
      </c>
      <c r="DQ155" s="545">
        <f t="shared" si="392"/>
        <v>270</v>
      </c>
      <c r="DR155" s="460">
        <f t="shared" si="393"/>
        <v>350</v>
      </c>
      <c r="DT155">
        <f t="shared" si="430"/>
        <v>270</v>
      </c>
      <c r="DU155">
        <f t="shared" si="431"/>
        <v>350</v>
      </c>
      <c r="DW155" s="5">
        <f t="shared" si="394"/>
        <v>2.8571428571428572</v>
      </c>
      <c r="DX155" s="5">
        <f t="shared" si="395"/>
        <v>1.2742878496672263</v>
      </c>
      <c r="DY155" s="5">
        <f t="shared" si="396"/>
        <v>1.5828550074756309</v>
      </c>
      <c r="DZ155" s="5"/>
      <c r="EA155" s="173">
        <f t="shared" si="397"/>
        <v>0.44600074738352918</v>
      </c>
      <c r="EB155" s="173">
        <f t="shared" si="398"/>
        <v>46.034999999999997</v>
      </c>
      <c r="EC155" s="173">
        <f t="shared" si="399"/>
        <v>0.31767953235025193</v>
      </c>
      <c r="ED155" s="173">
        <f t="shared" si="400"/>
        <v>144.91018561826931</v>
      </c>
      <c r="EE155" s="460">
        <f t="shared" si="401"/>
        <v>0.20238689377067715</v>
      </c>
      <c r="EF155" s="5">
        <f t="shared" si="402"/>
        <v>12.916096861001151</v>
      </c>
      <c r="EH155" s="173">
        <f t="shared" si="403"/>
        <v>8.8439690305074201</v>
      </c>
      <c r="EI155" s="173">
        <f t="shared" si="404"/>
        <v>0.49283780384334924</v>
      </c>
      <c r="EK155" s="528">
        <f t="shared" si="405"/>
        <v>3.1286315285029742</v>
      </c>
      <c r="EL155" s="528">
        <f t="shared" si="406"/>
        <v>3.8690007334586931</v>
      </c>
      <c r="EM155" s="528">
        <f t="shared" si="407"/>
        <v>6.9999999999999993E-2</v>
      </c>
      <c r="EN155" s="528">
        <f t="shared" si="408"/>
        <v>2.1498793749999998E-2</v>
      </c>
      <c r="EO155">
        <f t="shared" si="409"/>
        <v>4.0499999999999998E-3</v>
      </c>
      <c r="EP155" s="460">
        <f t="shared" si="410"/>
        <v>74.05</v>
      </c>
      <c r="EQ155" s="460"/>
      <c r="ER155" s="460">
        <f t="shared" si="432"/>
        <v>7093.1810557116687</v>
      </c>
      <c r="ES155" s="528">
        <f t="shared" si="411"/>
        <v>0.189</v>
      </c>
      <c r="EV155" s="460">
        <f t="shared" si="412"/>
        <v>189</v>
      </c>
      <c r="EW155" s="528">
        <f t="shared" si="413"/>
        <v>2.3464736463772304</v>
      </c>
      <c r="EX155" s="528">
        <f t="shared" si="414"/>
        <v>7.2866730269140669E-3</v>
      </c>
      <c r="EY155" s="528">
        <f t="shared" si="415"/>
        <v>288.72888471626004</v>
      </c>
      <c r="EZ155" s="528"/>
      <c r="FA155" s="528">
        <f t="shared" si="416"/>
        <v>4.6035000000000013</v>
      </c>
      <c r="FB155" s="460">
        <f t="shared" si="417"/>
        <v>295686.1450356642</v>
      </c>
      <c r="FC155" s="173">
        <f t="shared" si="418"/>
        <v>302.96832609137584</v>
      </c>
      <c r="FD155" s="5">
        <f t="shared" si="419"/>
        <v>45.900000000000006</v>
      </c>
      <c r="FE155" s="173">
        <f t="shared" si="420"/>
        <v>0.13156826391851306</v>
      </c>
      <c r="FF155" s="5">
        <f t="shared" si="421"/>
        <v>13.156826391851306</v>
      </c>
      <c r="FI155" s="562">
        <f t="shared" si="422"/>
        <v>-50</v>
      </c>
      <c r="FJ155">
        <f t="shared" si="423"/>
        <v>-50</v>
      </c>
      <c r="FL155">
        <f t="shared" si="476"/>
        <v>0.4708512289092977</v>
      </c>
    </row>
    <row r="156" spans="5:168" s="76" customFormat="1">
      <c r="E156" s="189">
        <v>46</v>
      </c>
      <c r="F156" s="329">
        <f t="shared" si="477"/>
        <v>0.27600000000000002</v>
      </c>
      <c r="G156" s="329"/>
      <c r="H156" s="329">
        <f t="shared" si="442"/>
        <v>46.92</v>
      </c>
      <c r="I156" s="541">
        <f t="shared" si="443"/>
        <v>8.1895186615350113</v>
      </c>
      <c r="J156" s="172">
        <f t="shared" si="444"/>
        <v>8.5258683728626412</v>
      </c>
      <c r="K156" s="172">
        <f t="shared" si="445"/>
        <v>16.715387034397651</v>
      </c>
      <c r="L156" s="535"/>
      <c r="M156" s="217">
        <f t="shared" si="446"/>
        <v>0.51006111796990317</v>
      </c>
      <c r="N156" s="172">
        <f t="shared" si="447"/>
        <v>140.3663333331817</v>
      </c>
      <c r="O156" s="172">
        <f t="shared" si="438"/>
        <v>46.92</v>
      </c>
      <c r="P156" s="329">
        <f t="shared" si="448"/>
        <v>0.82568431372459827</v>
      </c>
      <c r="Q156" s="329">
        <f t="shared" si="449"/>
        <v>170</v>
      </c>
      <c r="R156" s="329"/>
      <c r="S156" s="172">
        <f t="shared" si="450"/>
        <v>825.38108987720113</v>
      </c>
      <c r="T156" s="172">
        <f t="shared" si="451"/>
        <v>170</v>
      </c>
      <c r="U156" s="217">
        <f t="shared" si="452"/>
        <v>22.533422851142106</v>
      </c>
      <c r="V156" s="329">
        <f t="shared" si="453"/>
        <v>1.3757476954645909</v>
      </c>
      <c r="W156" s="329">
        <f t="shared" si="454"/>
        <v>1.3214737705114425</v>
      </c>
      <c r="X156" s="537">
        <f t="shared" si="455"/>
        <v>350</v>
      </c>
      <c r="Y156" s="443">
        <f t="shared" si="328"/>
        <v>345.15828760198485</v>
      </c>
      <c r="AA156" s="329">
        <f t="shared" si="456"/>
        <v>23.869455644726941</v>
      </c>
      <c r="AB156" s="538">
        <f t="shared" si="457"/>
        <v>1.3998254840939177</v>
      </c>
      <c r="AC156" s="538">
        <f t="shared" si="458"/>
        <v>0.29236438265070919</v>
      </c>
      <c r="AD156" s="538"/>
      <c r="AE156" s="538">
        <f t="shared" si="459"/>
        <v>0.78193403593776922</v>
      </c>
      <c r="AF156" s="545">
        <f t="shared" si="460"/>
        <v>1058.9128519095402</v>
      </c>
      <c r="AG156" s="579">
        <f t="shared" si="461"/>
        <v>9.1225637526073072E-2</v>
      </c>
      <c r="AI156" s="538">
        <f t="shared" si="462"/>
        <v>23.191819596746186</v>
      </c>
      <c r="AJ156" s="538">
        <f t="shared" si="463"/>
        <v>23.191819596746186</v>
      </c>
      <c r="AK156" s="538">
        <f t="shared" si="464"/>
        <v>8.5025824173428539</v>
      </c>
      <c r="AM156" s="563">
        <f t="shared" si="465"/>
        <v>276</v>
      </c>
      <c r="AN156" s="564">
        <f t="shared" si="466"/>
        <v>345.15828760198485</v>
      </c>
      <c r="AP156" s="76">
        <f t="shared" si="467"/>
        <v>276</v>
      </c>
      <c r="AQ156" s="76">
        <f t="shared" si="468"/>
        <v>345.15828760198485</v>
      </c>
      <c r="AS156" s="534">
        <f t="shared" si="439"/>
        <v>2.8972214659760334</v>
      </c>
      <c r="AT156" s="5">
        <f t="shared" si="469"/>
        <v>1.4159452194470732</v>
      </c>
      <c r="AU156" s="5">
        <f t="shared" si="343"/>
        <v>1.4812762465289602</v>
      </c>
      <c r="AV156" s="5"/>
      <c r="AW156" s="173">
        <f t="shared" si="344"/>
        <v>0.48872522728256851</v>
      </c>
      <c r="AX156" s="173">
        <f t="shared" si="435"/>
        <v>46.411751959978552</v>
      </c>
      <c r="AY156" s="173">
        <f t="shared" si="436"/>
        <v>0.296434807330752</v>
      </c>
      <c r="AZ156" s="173">
        <f t="shared" si="440"/>
        <v>156.56647199393788</v>
      </c>
      <c r="BA156" s="460">
        <f t="shared" si="433"/>
        <v>0.22988287092199541</v>
      </c>
      <c r="BB156" s="5">
        <f t="shared" si="434"/>
        <v>13.578621036877735</v>
      </c>
      <c r="BD156" s="173">
        <f t="shared" si="441"/>
        <v>9.3606622496413117</v>
      </c>
      <c r="BE156" s="173">
        <f t="shared" si="437"/>
        <v>0.47870876928848977</v>
      </c>
      <c r="BG156" s="528">
        <f t="shared" si="347"/>
        <v>3.5048799100743975</v>
      </c>
      <c r="BH156" s="528">
        <f t="shared" si="470"/>
        <v>3.0105932583138655</v>
      </c>
      <c r="BI156" s="528">
        <f t="shared" si="471"/>
        <v>0.11306720949999695</v>
      </c>
      <c r="BJ156" s="528">
        <f t="shared" si="350"/>
        <v>1.928773253898157E-2</v>
      </c>
      <c r="BK156">
        <f t="shared" si="351"/>
        <v>3.685283397690755E-3</v>
      </c>
      <c r="BL156" s="460">
        <f t="shared" si="427"/>
        <v>116.7524928976877</v>
      </c>
      <c r="BM156" s="528">
        <f t="shared" si="472"/>
        <v>44.73244808578071</v>
      </c>
      <c r="BN156" s="460">
        <f t="shared" si="353"/>
        <v>44732.448085780714</v>
      </c>
      <c r="BO156" s="528">
        <f t="shared" si="354"/>
        <v>0.19320000000000001</v>
      </c>
      <c r="BR156" s="460">
        <f t="shared" si="355"/>
        <v>193.20000000000002</v>
      </c>
      <c r="BS156" s="528">
        <f t="shared" si="356"/>
        <v>2.6286599325557982</v>
      </c>
      <c r="BT156" s="528">
        <f t="shared" si="357"/>
        <v>6.874862573811015E-3</v>
      </c>
      <c r="BU156" s="528">
        <f t="shared" si="358"/>
        <v>286.6505826249857</v>
      </c>
      <c r="BV156" s="528"/>
      <c r="BW156" s="528">
        <f t="shared" si="359"/>
        <v>4.6411751959978549</v>
      </c>
      <c r="BX156" s="460">
        <f t="shared" si="360"/>
        <v>293927.29261611315</v>
      </c>
      <c r="BY156" s="173">
        <f t="shared" si="361"/>
        <v>300.77200600993808</v>
      </c>
      <c r="BZ156" s="5">
        <f t="shared" si="362"/>
        <v>46.92</v>
      </c>
      <c r="CA156" s="173">
        <f t="shared" si="363"/>
        <v>0.13494701974441967</v>
      </c>
      <c r="CB156" s="5">
        <f t="shared" si="364"/>
        <v>13.494701974441966</v>
      </c>
      <c r="CE156" s="562">
        <f t="shared" si="473"/>
        <v>-50</v>
      </c>
      <c r="CF156">
        <f t="shared" si="474"/>
        <v>-50</v>
      </c>
      <c r="CG156" s="173">
        <f t="shared" si="475"/>
        <v>0.47675372850881698</v>
      </c>
      <c r="CH156"/>
      <c r="CI156" s="189">
        <v>46</v>
      </c>
      <c r="CJ156" s="329">
        <f t="shared" si="428"/>
        <v>0.27600000000000002</v>
      </c>
      <c r="CK156" s="329"/>
      <c r="CL156" s="329">
        <f t="shared" si="368"/>
        <v>46.92</v>
      </c>
      <c r="CM156" s="541">
        <f t="shared" si="369"/>
        <v>9</v>
      </c>
      <c r="CN156" s="443">
        <f t="shared" si="370"/>
        <v>8.5250000000000004</v>
      </c>
      <c r="CO156" s="535">
        <f t="shared" si="371"/>
        <v>17.524999999999999</v>
      </c>
      <c r="CP156" s="535"/>
      <c r="CQ156" s="329">
        <f t="shared" si="372"/>
        <v>0.48644793152639093</v>
      </c>
      <c r="CR156" s="172">
        <f t="shared" si="429"/>
        <v>147.11644793152644</v>
      </c>
      <c r="CS156" s="172">
        <f t="shared" si="373"/>
        <v>46.92</v>
      </c>
      <c r="CT156" s="329">
        <f t="shared" si="374"/>
        <v>0.86539087018544958</v>
      </c>
      <c r="CU156" s="329">
        <f t="shared" si="375"/>
        <v>170</v>
      </c>
      <c r="CV156" s="329"/>
      <c r="CW156" s="172">
        <f t="shared" si="376"/>
        <v>907.05568920738654</v>
      </c>
      <c r="CX156" s="172">
        <f t="shared" si="377"/>
        <v>170</v>
      </c>
      <c r="CY156" s="217">
        <f t="shared" si="378"/>
        <v>21.434291300097751</v>
      </c>
      <c r="CZ156" s="329">
        <f t="shared" si="379"/>
        <v>1.1907939611165417</v>
      </c>
      <c r="DA156" s="329">
        <f t="shared" si="380"/>
        <v>1.2571431847564662</v>
      </c>
      <c r="DB156" s="537">
        <f t="shared" si="381"/>
        <v>350</v>
      </c>
      <c r="DC156" s="535">
        <f t="shared" si="382"/>
        <v>350</v>
      </c>
      <c r="DE156" s="329">
        <f t="shared" si="383"/>
        <v>25.017322192785819</v>
      </c>
      <c r="DF156" s="538">
        <f t="shared" si="384"/>
        <v>1.467291624210312</v>
      </c>
      <c r="DG156" s="538">
        <f t="shared" si="385"/>
        <v>0.32119243899439714</v>
      </c>
      <c r="DH156" s="538"/>
      <c r="DI156" s="538">
        <f t="shared" si="386"/>
        <v>0.78201368523949166</v>
      </c>
      <c r="DJ156" s="545">
        <f t="shared" si="387"/>
        <v>1058.8050000000001</v>
      </c>
      <c r="DK156" s="579">
        <f t="shared" si="388"/>
        <v>9.1234929944607357E-2</v>
      </c>
      <c r="DM156" s="538">
        <f t="shared" si="389"/>
        <v>23.190638505347678</v>
      </c>
      <c r="DN156" s="538">
        <f t="shared" si="390"/>
        <v>23.190638505347678</v>
      </c>
      <c r="DO156" s="538">
        <f t="shared" si="391"/>
        <v>8.5017075348254387</v>
      </c>
      <c r="DQ156" s="563">
        <f t="shared" si="392"/>
        <v>276</v>
      </c>
      <c r="DR156" s="564">
        <f t="shared" si="393"/>
        <v>350</v>
      </c>
      <c r="DT156">
        <f t="shared" si="430"/>
        <v>276</v>
      </c>
      <c r="DU156">
        <f t="shared" si="431"/>
        <v>350</v>
      </c>
      <c r="DW156" s="534">
        <f t="shared" si="394"/>
        <v>2.8571428571428572</v>
      </c>
      <c r="DX156" s="5">
        <f t="shared" si="395"/>
        <v>1.2883688058526488</v>
      </c>
      <c r="DY156" s="5">
        <f t="shared" si="396"/>
        <v>1.5687740512902084</v>
      </c>
      <c r="DZ156" s="5"/>
      <c r="EA156" s="173">
        <f t="shared" si="397"/>
        <v>0.45092908204842708</v>
      </c>
      <c r="EB156" s="173">
        <f t="shared" si="398"/>
        <v>47.058000000000007</v>
      </c>
      <c r="EC156" s="173">
        <f t="shared" si="399"/>
        <v>0.31833262930035855</v>
      </c>
      <c r="ED156" s="173">
        <f t="shared" si="400"/>
        <v>147.82650494680848</v>
      </c>
      <c r="EE156" s="460">
        <f t="shared" si="401"/>
        <v>0.20917046495019478</v>
      </c>
      <c r="EF156" s="5">
        <f t="shared" si="402"/>
        <v>13.085667286495394</v>
      </c>
      <c r="EH156" s="173">
        <f t="shared" si="403"/>
        <v>8.9909628157622041</v>
      </c>
      <c r="EI156" s="173">
        <f t="shared" si="404"/>
        <v>0.49606239293599164</v>
      </c>
      <c r="EK156" s="528">
        <f t="shared" si="405"/>
        <v>3.2334964941767446</v>
      </c>
      <c r="EL156" s="528">
        <f t="shared" si="406"/>
        <v>3.9117534206348492</v>
      </c>
      <c r="EM156" s="528">
        <f t="shared" si="407"/>
        <v>6.9999999999999993E-2</v>
      </c>
      <c r="EN156" s="528">
        <f t="shared" si="408"/>
        <v>2.1498793749999998E-2</v>
      </c>
      <c r="EO156">
        <f t="shared" si="409"/>
        <v>4.0499999999999998E-3</v>
      </c>
      <c r="EP156" s="460">
        <f t="shared" si="410"/>
        <v>74.05</v>
      </c>
      <c r="EQ156" s="460"/>
      <c r="ER156" s="460">
        <f t="shared" si="432"/>
        <v>7240.7987085615941</v>
      </c>
      <c r="ES156" s="528">
        <f t="shared" si="411"/>
        <v>0.19320000000000001</v>
      </c>
      <c r="EV156" s="460">
        <f t="shared" si="412"/>
        <v>193.20000000000002</v>
      </c>
      <c r="EW156" s="528">
        <f t="shared" si="413"/>
        <v>2.4251223706325584</v>
      </c>
      <c r="EX156" s="528">
        <f t="shared" si="414"/>
        <v>7.3823369305614644E-3</v>
      </c>
      <c r="EY156" s="528">
        <f t="shared" si="415"/>
        <v>296.77128739682604</v>
      </c>
      <c r="EZ156" s="528"/>
      <c r="FA156" s="528">
        <f t="shared" si="416"/>
        <v>4.7058000000000018</v>
      </c>
      <c r="FB156" s="460">
        <f t="shared" si="417"/>
        <v>303909.59210438916</v>
      </c>
      <c r="FC156" s="173">
        <f t="shared" si="418"/>
        <v>311.34359081295077</v>
      </c>
      <c r="FD156" s="5">
        <f t="shared" si="419"/>
        <v>46.92</v>
      </c>
      <c r="FE156" s="173">
        <f t="shared" si="420"/>
        <v>0.13096502464437396</v>
      </c>
      <c r="FF156" s="5">
        <f t="shared" si="421"/>
        <v>13.096502464437396</v>
      </c>
      <c r="FI156" s="562">
        <f t="shared" si="422"/>
        <v>-50</v>
      </c>
      <c r="FJ156">
        <f t="shared" si="423"/>
        <v>-50</v>
      </c>
      <c r="FL156">
        <f t="shared" si="476"/>
        <v>0.47605416286637459</v>
      </c>
    </row>
    <row r="157" spans="5:168">
      <c r="E157" s="170">
        <v>47</v>
      </c>
      <c r="F157" s="217">
        <f t="shared" si="477"/>
        <v>0.28199999999999997</v>
      </c>
      <c r="G157" s="217"/>
      <c r="H157" s="217">
        <f t="shared" si="442"/>
        <v>47.94</v>
      </c>
      <c r="I157" s="541">
        <f t="shared" si="443"/>
        <v>8.1807564464702818</v>
      </c>
      <c r="J157" s="172">
        <f t="shared" si="444"/>
        <v>8.5258777609502108</v>
      </c>
      <c r="K157" s="172">
        <f t="shared" si="445"/>
        <v>16.706634207420493</v>
      </c>
      <c r="L157" s="443"/>
      <c r="M157" s="217">
        <f t="shared" si="446"/>
        <v>0.51032890806808284</v>
      </c>
      <c r="N157" s="172">
        <f t="shared" si="447"/>
        <v>140.28976680615145</v>
      </c>
      <c r="O157" s="172">
        <f t="shared" si="438"/>
        <v>47.94</v>
      </c>
      <c r="P157" s="217">
        <f t="shared" si="448"/>
        <v>0.82523392238912618</v>
      </c>
      <c r="Q157" s="217">
        <f t="shared" si="449"/>
        <v>170</v>
      </c>
      <c r="R157" s="217"/>
      <c r="S157" s="172">
        <f t="shared" si="450"/>
        <v>803.4791121786493</v>
      </c>
      <c r="T157" s="172">
        <f t="shared" si="451"/>
        <v>170</v>
      </c>
      <c r="U157" s="217">
        <f t="shared" si="452"/>
        <v>23.035870783175302</v>
      </c>
      <c r="V157" s="217">
        <f t="shared" si="453"/>
        <v>1.407930362791481</v>
      </c>
      <c r="W157" s="217">
        <f t="shared" si="454"/>
        <v>1.3509383684037215</v>
      </c>
      <c r="X157" s="197">
        <f t="shared" si="455"/>
        <v>350</v>
      </c>
      <c r="Y157" s="443">
        <f t="shared" si="328"/>
        <v>337.96700389478275</v>
      </c>
      <c r="AA157" s="217">
        <f t="shared" si="456"/>
        <v>23.856435401223997</v>
      </c>
      <c r="AB157" s="173">
        <f t="shared" si="457"/>
        <v>1.3990603706805429</v>
      </c>
      <c r="AC157" s="173">
        <f t="shared" si="458"/>
        <v>0.29204519186108763</v>
      </c>
      <c r="AD157" s="173"/>
      <c r="AE157" s="173">
        <f t="shared" si="459"/>
        <v>0.78193317492786396</v>
      </c>
      <c r="AF157" s="545">
        <f t="shared" si="460"/>
        <v>1081.9338878645817</v>
      </c>
      <c r="AG157" s="528">
        <f t="shared" si="461"/>
        <v>9.122553707491747E-2</v>
      </c>
      <c r="AI157" s="173">
        <f t="shared" si="462"/>
        <v>23.442562164151447</v>
      </c>
      <c r="AJ157" s="173">
        <f t="shared" si="463"/>
        <v>23.442562164151447</v>
      </c>
      <c r="AK157" s="173">
        <f t="shared" si="464"/>
        <v>8.6883176524578616</v>
      </c>
      <c r="AM157" s="545">
        <f t="shared" si="465"/>
        <v>282</v>
      </c>
      <c r="AN157" s="460">
        <f t="shared" si="466"/>
        <v>337.96700389478275</v>
      </c>
      <c r="AP157">
        <f t="shared" si="467"/>
        <v>282</v>
      </c>
      <c r="AQ157">
        <f t="shared" si="468"/>
        <v>337.96700389478275</v>
      </c>
      <c r="AS157" s="5">
        <f t="shared" si="439"/>
        <v>2.9588687311952029</v>
      </c>
      <c r="AT157" s="5">
        <f t="shared" si="469"/>
        <v>1.4327869505433153</v>
      </c>
      <c r="AU157" s="5">
        <f t="shared" si="343"/>
        <v>1.5260817806518876</v>
      </c>
      <c r="AV157" s="5"/>
      <c r="AW157" s="173">
        <f t="shared" si="344"/>
        <v>0.48423471289466652</v>
      </c>
      <c r="AX157" s="173">
        <f t="shared" si="435"/>
        <v>46.432756126200196</v>
      </c>
      <c r="AY157" s="173">
        <f t="shared" si="436"/>
        <v>0.302271495126955</v>
      </c>
      <c r="AZ157" s="173">
        <f t="shared" si="440"/>
        <v>153.61275169760313</v>
      </c>
      <c r="BA157" s="460">
        <f t="shared" si="433"/>
        <v>0.23767407061953816</v>
      </c>
      <c r="BB157" s="5">
        <f t="shared" si="434"/>
        <v>14.308771770565096</v>
      </c>
      <c r="BD157" s="173">
        <f t="shared" si="441"/>
        <v>9.418297585401147</v>
      </c>
      <c r="BE157" s="173">
        <f t="shared" si="437"/>
        <v>0.48600474328839777</v>
      </c>
      <c r="BG157" s="528">
        <f t="shared" si="347"/>
        <v>3.5481731762869231</v>
      </c>
      <c r="BH157" s="528">
        <f t="shared" si="470"/>
        <v>2.9781794317949801</v>
      </c>
      <c r="BI157" s="528">
        <f t="shared" si="471"/>
        <v>0.11059302983225965</v>
      </c>
      <c r="BJ157" s="528">
        <f t="shared" si="350"/>
        <v>1.8866104034822015E-2</v>
      </c>
      <c r="BK157">
        <f t="shared" si="351"/>
        <v>3.6813404009116268E-3</v>
      </c>
      <c r="BL157" s="460">
        <f t="shared" si="427"/>
        <v>114.27437023317127</v>
      </c>
      <c r="BM157" s="528">
        <f t="shared" si="472"/>
        <v>47.805235425761772</v>
      </c>
      <c r="BN157" s="460">
        <f t="shared" si="353"/>
        <v>47805.23542576177</v>
      </c>
      <c r="BO157" s="528">
        <f t="shared" si="354"/>
        <v>0.19739999999999996</v>
      </c>
      <c r="BR157" s="460">
        <f t="shared" si="355"/>
        <v>197.39999999999998</v>
      </c>
      <c r="BS157" s="528">
        <f t="shared" si="356"/>
        <v>2.6611298822151923</v>
      </c>
      <c r="BT157" s="528">
        <f t="shared" si="357"/>
        <v>7.0860183149646415E-3</v>
      </c>
      <c r="BU157" s="528">
        <f t="shared" si="358"/>
        <v>279.36271924508338</v>
      </c>
      <c r="BV157" s="528"/>
      <c r="BW157" s="528">
        <f t="shared" si="359"/>
        <v>4.6432756126200196</v>
      </c>
      <c r="BX157" s="460">
        <f t="shared" si="360"/>
        <v>286674.2107582335</v>
      </c>
      <c r="BY157" s="173">
        <f t="shared" si="361"/>
        <v>293.53110384058346</v>
      </c>
      <c r="BZ157" s="5">
        <f t="shared" si="362"/>
        <v>47.94</v>
      </c>
      <c r="CA157" s="173">
        <f t="shared" si="363"/>
        <v>0.1403925528714163</v>
      </c>
      <c r="CB157" s="5">
        <f t="shared" si="364"/>
        <v>14.03925528714163</v>
      </c>
      <c r="CE157" s="562">
        <f t="shared" si="473"/>
        <v>-50</v>
      </c>
      <c r="CF157">
        <f t="shared" si="474"/>
        <v>-50</v>
      </c>
      <c r="CG157" s="173">
        <f t="shared" si="475"/>
        <v>0.48190797266454</v>
      </c>
      <c r="CI157" s="170">
        <v>47</v>
      </c>
      <c r="CJ157" s="217">
        <f t="shared" si="428"/>
        <v>0.28199999999999997</v>
      </c>
      <c r="CK157" s="217"/>
      <c r="CL157" s="217">
        <f t="shared" si="368"/>
        <v>47.94</v>
      </c>
      <c r="CM157" s="541">
        <f t="shared" si="369"/>
        <v>9</v>
      </c>
      <c r="CN157" s="443">
        <f t="shared" si="370"/>
        <v>8.5250000000000004</v>
      </c>
      <c r="CO157" s="443">
        <f t="shared" si="371"/>
        <v>17.524999999999999</v>
      </c>
      <c r="CP157" s="443"/>
      <c r="CQ157" s="217">
        <f t="shared" si="372"/>
        <v>0.48644793152639093</v>
      </c>
      <c r="CR157" s="172">
        <f t="shared" si="429"/>
        <v>147.11644793152644</v>
      </c>
      <c r="CS157" s="172">
        <f t="shared" si="373"/>
        <v>47.94</v>
      </c>
      <c r="CT157" s="217">
        <f t="shared" si="374"/>
        <v>0.86539087018544958</v>
      </c>
      <c r="CU157" s="217">
        <f t="shared" si="375"/>
        <v>170</v>
      </c>
      <c r="CV157" s="217"/>
      <c r="CW157" s="172">
        <f t="shared" si="376"/>
        <v>883.93154751187694</v>
      </c>
      <c r="CX157" s="172">
        <f t="shared" si="377"/>
        <v>170</v>
      </c>
      <c r="CY157" s="217">
        <f t="shared" si="378"/>
        <v>21.900254154447701</v>
      </c>
      <c r="CZ157" s="217">
        <f t="shared" si="379"/>
        <v>1.2166807863582056</v>
      </c>
      <c r="DA157" s="217">
        <f t="shared" si="380"/>
        <v>1.2844723844250852</v>
      </c>
      <c r="DB157" s="197">
        <f t="shared" si="381"/>
        <v>350</v>
      </c>
      <c r="DC157" s="443">
        <f t="shared" si="382"/>
        <v>350</v>
      </c>
      <c r="DE157" s="217">
        <f t="shared" si="383"/>
        <v>25.017322192785819</v>
      </c>
      <c r="DF157" s="173">
        <f t="shared" si="384"/>
        <v>1.467291624210312</v>
      </c>
      <c r="DG157" s="173">
        <f t="shared" si="385"/>
        <v>0.32119243899439714</v>
      </c>
      <c r="DH157" s="173"/>
      <c r="DI157" s="173">
        <f t="shared" si="386"/>
        <v>0.78201368523949166</v>
      </c>
      <c r="DJ157" s="545">
        <f t="shared" si="387"/>
        <v>1081.8224999999998</v>
      </c>
      <c r="DK157" s="528">
        <f t="shared" si="388"/>
        <v>9.1234929944607357E-2</v>
      </c>
      <c r="DM157" s="173">
        <f t="shared" si="389"/>
        <v>23.44135539718518</v>
      </c>
      <c r="DN157" s="173">
        <f t="shared" si="390"/>
        <v>23.44135539718518</v>
      </c>
      <c r="DO157" s="173">
        <f t="shared" si="391"/>
        <v>8.6874237510013668</v>
      </c>
      <c r="DQ157" s="545">
        <f t="shared" si="392"/>
        <v>282</v>
      </c>
      <c r="DR157" s="460">
        <f t="shared" si="393"/>
        <v>350</v>
      </c>
      <c r="DT157">
        <f t="shared" si="430"/>
        <v>282</v>
      </c>
      <c r="DU157">
        <f t="shared" si="431"/>
        <v>350</v>
      </c>
      <c r="DW157" s="5">
        <f t="shared" si="394"/>
        <v>2.8571428571428572</v>
      </c>
      <c r="DX157" s="5">
        <f t="shared" si="395"/>
        <v>1.3022975220658435</v>
      </c>
      <c r="DY157" s="5">
        <f t="shared" si="396"/>
        <v>1.5548453350770137</v>
      </c>
      <c r="DZ157" s="5"/>
      <c r="EA157" s="173">
        <f t="shared" si="397"/>
        <v>0.45580413272304521</v>
      </c>
      <c r="EB157" s="173">
        <f t="shared" si="398"/>
        <v>48.080999999999982</v>
      </c>
      <c r="EC157" s="173">
        <f t="shared" si="399"/>
        <v>0.31891721826296282</v>
      </c>
      <c r="ED157" s="173">
        <f t="shared" si="400"/>
        <v>150.7632615820537</v>
      </c>
      <c r="EE157" s="460">
        <f t="shared" si="401"/>
        <v>0.21602817718974579</v>
      </c>
      <c r="EF157" s="5">
        <f t="shared" si="402"/>
        <v>13.251428509083027</v>
      </c>
      <c r="EH157" s="173">
        <f t="shared" si="403"/>
        <v>9.13715981826941</v>
      </c>
      <c r="EI157" s="173">
        <f t="shared" si="404"/>
        <v>0.49919441288218858</v>
      </c>
      <c r="EK157" s="528">
        <f t="shared" si="405"/>
        <v>3.3395075817838831</v>
      </c>
      <c r="EL157" s="528">
        <f t="shared" si="406"/>
        <v>3.9540438758558261</v>
      </c>
      <c r="EM157" s="528">
        <f t="shared" si="407"/>
        <v>6.9999999999999993E-2</v>
      </c>
      <c r="EN157" s="528">
        <f t="shared" si="408"/>
        <v>2.1498793749999998E-2</v>
      </c>
      <c r="EO157">
        <f t="shared" si="409"/>
        <v>4.0499999999999998E-3</v>
      </c>
      <c r="EP157" s="460">
        <f t="shared" si="410"/>
        <v>74.05</v>
      </c>
      <c r="EQ157" s="460"/>
      <c r="ER157" s="460">
        <f t="shared" si="432"/>
        <v>7389.1002513897101</v>
      </c>
      <c r="ES157" s="528">
        <f t="shared" si="411"/>
        <v>0.19739999999999996</v>
      </c>
      <c r="EV157" s="460">
        <f t="shared" si="412"/>
        <v>197.39999999999998</v>
      </c>
      <c r="EW157" s="528">
        <f t="shared" si="413"/>
        <v>2.504630686337912</v>
      </c>
      <c r="EX157" s="528">
        <f t="shared" si="414"/>
        <v>7.4758518555837891E-3</v>
      </c>
      <c r="EY157" s="528">
        <f t="shared" si="415"/>
        <v>304.85752080604487</v>
      </c>
      <c r="EZ157" s="528"/>
      <c r="FA157" s="528">
        <f t="shared" si="416"/>
        <v>4.8080999999999996</v>
      </c>
      <c r="FB157" s="460">
        <f t="shared" si="417"/>
        <v>312177.72734423843</v>
      </c>
      <c r="FC157" s="173">
        <f t="shared" si="418"/>
        <v>319.76422759562809</v>
      </c>
      <c r="FD157" s="5">
        <f t="shared" si="419"/>
        <v>47.94</v>
      </c>
      <c r="FE157" s="173">
        <f t="shared" si="420"/>
        <v>0.13037652657265775</v>
      </c>
      <c r="FF157" s="5">
        <f t="shared" si="421"/>
        <v>13.037652657265774</v>
      </c>
      <c r="FI157" s="562">
        <f t="shared" si="422"/>
        <v>-50</v>
      </c>
      <c r="FJ157">
        <f t="shared" si="423"/>
        <v>-50</v>
      </c>
      <c r="FL157">
        <f t="shared" si="476"/>
        <v>0.48120084393048751</v>
      </c>
    </row>
    <row r="158" spans="5:168">
      <c r="E158" s="170">
        <v>48</v>
      </c>
      <c r="F158" s="217">
        <f t="shared" si="477"/>
        <v>0.28799999999999998</v>
      </c>
      <c r="G158" s="217"/>
      <c r="H158" s="217">
        <f t="shared" si="442"/>
        <v>48.959999999999994</v>
      </c>
      <c r="I158" s="541">
        <f t="shared" si="443"/>
        <v>8.1720869610883042</v>
      </c>
      <c r="J158" s="172">
        <f t="shared" si="444"/>
        <v>8.5258870496845489</v>
      </c>
      <c r="K158" s="172">
        <f t="shared" si="445"/>
        <v>16.697974010772853</v>
      </c>
      <c r="L158" s="443"/>
      <c r="M158" s="217">
        <f t="shared" si="446"/>
        <v>0.5105941404710399</v>
      </c>
      <c r="N158" s="172">
        <f t="shared" si="447"/>
        <v>140.2139312488421</v>
      </c>
      <c r="O158" s="172">
        <f t="shared" si="438"/>
        <v>48.959999999999994</v>
      </c>
      <c r="P158" s="217">
        <f t="shared" si="448"/>
        <v>0.82478783087554175</v>
      </c>
      <c r="Q158" s="217">
        <f t="shared" si="449"/>
        <v>170</v>
      </c>
      <c r="R158" s="217"/>
      <c r="S158" s="172">
        <f t="shared" si="450"/>
        <v>782.50602717567142</v>
      </c>
      <c r="T158" s="172">
        <f t="shared" si="451"/>
        <v>170</v>
      </c>
      <c r="U158" s="217">
        <f t="shared" si="452"/>
        <v>23.53874555381844</v>
      </c>
      <c r="V158" s="217">
        <f t="shared" si="453"/>
        <v>1.4401918179468141</v>
      </c>
      <c r="W158" s="217">
        <f t="shared" si="454"/>
        <v>1.380427949411396</v>
      </c>
      <c r="X158" s="197">
        <f t="shared" si="455"/>
        <v>350</v>
      </c>
      <c r="Y158" s="443">
        <f t="shared" si="328"/>
        <v>331.0578877905528</v>
      </c>
      <c r="AA158" s="217">
        <f t="shared" si="456"/>
        <v>23.843539460189334</v>
      </c>
      <c r="AB158" s="173">
        <f t="shared" si="457"/>
        <v>1.3983025649554861</v>
      </c>
      <c r="AC158" s="173">
        <f t="shared" si="458"/>
        <v>0.29172922086700076</v>
      </c>
      <c r="AD158" s="173"/>
      <c r="AE158" s="173">
        <f t="shared" si="459"/>
        <v>0.78193232303181026</v>
      </c>
      <c r="AF158" s="545">
        <f t="shared" si="460"/>
        <v>1104.9549616391175</v>
      </c>
      <c r="AG158" s="528">
        <f t="shared" si="461"/>
        <v>9.1225437687044539E-2</v>
      </c>
      <c r="AI158" s="173">
        <f t="shared" si="462"/>
        <v>23.690651418694493</v>
      </c>
      <c r="AJ158" s="173">
        <f t="shared" si="463"/>
        <v>23.690651418694493</v>
      </c>
      <c r="AK158" s="173">
        <f t="shared" si="464"/>
        <v>8.8720874706378954</v>
      </c>
      <c r="AM158" s="545">
        <f t="shared" si="465"/>
        <v>288</v>
      </c>
      <c r="AN158" s="460">
        <f t="shared" si="466"/>
        <v>331.0578877905528</v>
      </c>
      <c r="AP158">
        <f t="shared" si="467"/>
        <v>288</v>
      </c>
      <c r="AQ158">
        <f t="shared" si="468"/>
        <v>331.0578877905528</v>
      </c>
      <c r="AS158" s="5">
        <f t="shared" si="439"/>
        <v>3.0206197673582098</v>
      </c>
      <c r="AT158" s="5">
        <f t="shared" si="469"/>
        <v>1.4494860083781784</v>
      </c>
      <c r="AU158" s="5">
        <f t="shared" si="343"/>
        <v>1.5711337589800314</v>
      </c>
      <c r="AV158" s="5"/>
      <c r="AW158" s="173">
        <f t="shared" si="344"/>
        <v>0.47986377631563931</v>
      </c>
      <c r="AX158" s="173">
        <f t="shared" si="435"/>
        <v>46.451308660817453</v>
      </c>
      <c r="AY158" s="173">
        <f t="shared" si="436"/>
        <v>0.30805914913855748</v>
      </c>
      <c r="AZ158" s="173">
        <f t="shared" si="440"/>
        <v>150.78697967812926</v>
      </c>
      <c r="BA158" s="460">
        <f t="shared" si="433"/>
        <v>0.24555998259583256</v>
      </c>
      <c r="BB158" s="5">
        <f t="shared" si="434"/>
        <v>15.06057568029957</v>
      </c>
      <c r="BD158" s="173">
        <f t="shared" si="441"/>
        <v>9.4749157938007382</v>
      </c>
      <c r="BE158" s="173">
        <f t="shared" si="437"/>
        <v>0.49322482765912429</v>
      </c>
      <c r="BG158" s="528">
        <f t="shared" si="347"/>
        <v>3.5909611719845866</v>
      </c>
      <c r="BH158" s="528">
        <f t="shared" si="470"/>
        <v>2.9466410947036534</v>
      </c>
      <c r="BI158" s="528">
        <f t="shared" si="471"/>
        <v>0.10821735392714445</v>
      </c>
      <c r="BJ158" s="528">
        <f t="shared" si="350"/>
        <v>1.8461266729264614E-2</v>
      </c>
      <c r="BK158">
        <f t="shared" si="351"/>
        <v>3.6774391324897369E-3</v>
      </c>
      <c r="BL158" s="460">
        <f t="shared" si="427"/>
        <v>111.89479305963418</v>
      </c>
      <c r="BM158" s="528">
        <f t="shared" si="472"/>
        <v>51.268783879768939</v>
      </c>
      <c r="BN158" s="460">
        <f t="shared" si="353"/>
        <v>51268.78387976894</v>
      </c>
      <c r="BO158" s="528">
        <f t="shared" si="354"/>
        <v>0.20159999999999997</v>
      </c>
      <c r="BR158" s="460">
        <f t="shared" si="355"/>
        <v>201.59999999999997</v>
      </c>
      <c r="BS158" s="528">
        <f t="shared" si="356"/>
        <v>2.69322087898844</v>
      </c>
      <c r="BT158" s="528">
        <f t="shared" si="357"/>
        <v>7.2981219185811854E-3</v>
      </c>
      <c r="BU158" s="528">
        <f t="shared" si="358"/>
        <v>272.37820939543553</v>
      </c>
      <c r="BV158" s="528"/>
      <c r="BW158" s="528">
        <f t="shared" si="359"/>
        <v>4.6451308660817459</v>
      </c>
      <c r="BX158" s="460">
        <f t="shared" si="360"/>
        <v>279723.85926242429</v>
      </c>
      <c r="BY158" s="173">
        <f t="shared" si="361"/>
        <v>286.59341758890145</v>
      </c>
      <c r="BZ158" s="5">
        <f t="shared" si="362"/>
        <v>48.959999999999994</v>
      </c>
      <c r="CA158" s="173">
        <f t="shared" si="363"/>
        <v>0.14590821441128235</v>
      </c>
      <c r="CB158" s="5">
        <f t="shared" si="364"/>
        <v>14.590821441128234</v>
      </c>
      <c r="CE158" s="562">
        <f t="shared" si="473"/>
        <v>-50</v>
      </c>
      <c r="CF158">
        <f t="shared" si="474"/>
        <v>-50</v>
      </c>
      <c r="CG158" s="173">
        <f t="shared" si="475"/>
        <v>0.48700766994805661</v>
      </c>
      <c r="CI158" s="170">
        <v>48</v>
      </c>
      <c r="CJ158" s="217">
        <f t="shared" si="428"/>
        <v>0.28799999999999998</v>
      </c>
      <c r="CK158" s="217"/>
      <c r="CL158" s="217">
        <f t="shared" si="368"/>
        <v>48.959999999999994</v>
      </c>
      <c r="CM158" s="541">
        <f t="shared" si="369"/>
        <v>9</v>
      </c>
      <c r="CN158" s="443">
        <f t="shared" si="370"/>
        <v>8.5250000000000004</v>
      </c>
      <c r="CO158" s="443">
        <f t="shared" si="371"/>
        <v>17.524999999999999</v>
      </c>
      <c r="CP158" s="443"/>
      <c r="CQ158" s="217">
        <f t="shared" si="372"/>
        <v>0.48644793152639093</v>
      </c>
      <c r="CR158" s="172">
        <f t="shared" si="429"/>
        <v>147.11644793152644</v>
      </c>
      <c r="CS158" s="172">
        <f t="shared" si="373"/>
        <v>48.959999999999994</v>
      </c>
      <c r="CT158" s="217">
        <f t="shared" si="374"/>
        <v>0.86539087018544958</v>
      </c>
      <c r="CU158" s="217">
        <f t="shared" si="375"/>
        <v>170</v>
      </c>
      <c r="CV158" s="217"/>
      <c r="CW158" s="172">
        <f t="shared" si="376"/>
        <v>861.77104220010767</v>
      </c>
      <c r="CX158" s="172">
        <f t="shared" si="377"/>
        <v>170</v>
      </c>
      <c r="CY158" s="217">
        <f t="shared" si="378"/>
        <v>22.366217008797648</v>
      </c>
      <c r="CZ158" s="217">
        <f t="shared" si="379"/>
        <v>1.2425676115998692</v>
      </c>
      <c r="DA158" s="217">
        <f t="shared" si="380"/>
        <v>1.3118015840937036</v>
      </c>
      <c r="DB158" s="197">
        <f t="shared" si="381"/>
        <v>350</v>
      </c>
      <c r="DC158" s="443">
        <f t="shared" si="382"/>
        <v>350</v>
      </c>
      <c r="DE158" s="217">
        <f t="shared" si="383"/>
        <v>25.017322192785819</v>
      </c>
      <c r="DF158" s="173">
        <f t="shared" si="384"/>
        <v>1.467291624210312</v>
      </c>
      <c r="DG158" s="173">
        <f t="shared" si="385"/>
        <v>0.32119243899439714</v>
      </c>
      <c r="DH158" s="173"/>
      <c r="DI158" s="173">
        <f t="shared" si="386"/>
        <v>0.78201368523949166</v>
      </c>
      <c r="DJ158" s="545">
        <f t="shared" si="387"/>
        <v>1104.8399999999999</v>
      </c>
      <c r="DK158" s="528">
        <f t="shared" si="388"/>
        <v>9.1234929944607357E-2</v>
      </c>
      <c r="DM158" s="173">
        <f t="shared" si="389"/>
        <v>23.689418976171016</v>
      </c>
      <c r="DN158" s="173">
        <f t="shared" si="390"/>
        <v>23.689418976171016</v>
      </c>
      <c r="DO158" s="173">
        <f t="shared" si="391"/>
        <v>8.8711745502501351</v>
      </c>
      <c r="DQ158" s="545">
        <f t="shared" si="392"/>
        <v>288</v>
      </c>
      <c r="DR158" s="460">
        <f t="shared" si="393"/>
        <v>350</v>
      </c>
      <c r="DT158">
        <f t="shared" si="430"/>
        <v>288</v>
      </c>
      <c r="DU158">
        <f t="shared" si="431"/>
        <v>350</v>
      </c>
      <c r="DW158" s="5">
        <f t="shared" si="394"/>
        <v>2.8571428571428572</v>
      </c>
      <c r="DX158" s="5">
        <f t="shared" si="395"/>
        <v>1.3160788320095007</v>
      </c>
      <c r="DY158" s="5">
        <f t="shared" si="396"/>
        <v>1.5410640251333565</v>
      </c>
      <c r="DZ158" s="5"/>
      <c r="EA158" s="173">
        <f t="shared" si="397"/>
        <v>0.46062759120332525</v>
      </c>
      <c r="EB158" s="173">
        <f t="shared" si="398"/>
        <v>49.103999999999999</v>
      </c>
      <c r="EC158" s="173">
        <f t="shared" si="399"/>
        <v>0.31943547440427539</v>
      </c>
      <c r="ED158" s="173">
        <f t="shared" si="400"/>
        <v>153.72118607545229</v>
      </c>
      <c r="EE158" s="460">
        <f t="shared" si="401"/>
        <v>0.22295923742278601</v>
      </c>
      <c r="EF158" s="5">
        <f t="shared" si="402"/>
        <v>13.413421274760733</v>
      </c>
      <c r="EH158" s="173">
        <f t="shared" si="403"/>
        <v>9.2825811760159702</v>
      </c>
      <c r="EI158" s="173">
        <f t="shared" si="404"/>
        <v>0.50223635833522418</v>
      </c>
      <c r="EK158" s="528">
        <f t="shared" si="405"/>
        <v>3.446652531573041</v>
      </c>
      <c r="EL158" s="528">
        <f t="shared" si="406"/>
        <v>3.995886775239947</v>
      </c>
      <c r="EM158" s="528">
        <f t="shared" si="407"/>
        <v>6.9999999999999993E-2</v>
      </c>
      <c r="EN158" s="528">
        <f t="shared" si="408"/>
        <v>2.1498793749999998E-2</v>
      </c>
      <c r="EO158">
        <f t="shared" si="409"/>
        <v>4.0499999999999998E-3</v>
      </c>
      <c r="EP158" s="460">
        <f t="shared" si="410"/>
        <v>74.05</v>
      </c>
      <c r="EQ158" s="460"/>
      <c r="ER158" s="460">
        <f t="shared" si="432"/>
        <v>7538.0881005629881</v>
      </c>
      <c r="ES158" s="528">
        <f t="shared" si="411"/>
        <v>0.20159999999999997</v>
      </c>
      <c r="EV158" s="460">
        <f t="shared" si="412"/>
        <v>201.59999999999997</v>
      </c>
      <c r="EW158" s="528">
        <f t="shared" si="413"/>
        <v>2.5849893986797805</v>
      </c>
      <c r="EX158" s="528">
        <f t="shared" si="414"/>
        <v>7.5672407890148312E-3</v>
      </c>
      <c r="EY158" s="528">
        <f t="shared" si="415"/>
        <v>312.98688354664563</v>
      </c>
      <c r="EZ158" s="528"/>
      <c r="FA158" s="528">
        <f t="shared" si="416"/>
        <v>4.9104000000000001</v>
      </c>
      <c r="FB158" s="460">
        <f t="shared" si="417"/>
        <v>320489.84018611442</v>
      </c>
      <c r="FC158" s="173">
        <f t="shared" si="418"/>
        <v>328.22952828667741</v>
      </c>
      <c r="FD158" s="5">
        <f t="shared" si="419"/>
        <v>48.959999999999994</v>
      </c>
      <c r="FE158" s="173">
        <f t="shared" si="420"/>
        <v>0.12980211890397089</v>
      </c>
      <c r="FF158" s="5">
        <f t="shared" si="421"/>
        <v>12.98021189039709</v>
      </c>
      <c r="FI158" s="562">
        <f t="shared" si="422"/>
        <v>-50</v>
      </c>
      <c r="FJ158">
        <f t="shared" si="423"/>
        <v>-50</v>
      </c>
      <c r="FL158">
        <f t="shared" si="476"/>
        <v>0.4862930581618683</v>
      </c>
    </row>
    <row r="159" spans="5:168">
      <c r="E159" s="170">
        <v>49</v>
      </c>
      <c r="F159" s="217">
        <f t="shared" si="477"/>
        <v>0.29399999999999998</v>
      </c>
      <c r="G159" s="217"/>
      <c r="H159" s="217">
        <f t="shared" si="442"/>
        <v>49.98</v>
      </c>
      <c r="I159" s="541">
        <f t="shared" si="443"/>
        <v>8.1635073222077796</v>
      </c>
      <c r="J159" s="172">
        <f t="shared" si="444"/>
        <v>8.5258962421547775</v>
      </c>
      <c r="K159" s="172">
        <f t="shared" si="445"/>
        <v>16.689403564362557</v>
      </c>
      <c r="L159" s="443"/>
      <c r="M159" s="217">
        <f t="shared" si="446"/>
        <v>0.51085689512471444</v>
      </c>
      <c r="N159" s="172">
        <f t="shared" si="447"/>
        <v>140.13880381276471</v>
      </c>
      <c r="O159" s="172">
        <f t="shared" si="438"/>
        <v>49.98</v>
      </c>
      <c r="P159" s="217">
        <f t="shared" si="448"/>
        <v>0.82434590478096881</v>
      </c>
      <c r="Q159" s="217">
        <f t="shared" si="449"/>
        <v>170</v>
      </c>
      <c r="R159" s="217"/>
      <c r="S159" s="172">
        <f t="shared" si="450"/>
        <v>762.40458277606228</v>
      </c>
      <c r="T159" s="172">
        <f t="shared" si="451"/>
        <v>170</v>
      </c>
      <c r="U159" s="217">
        <f t="shared" si="452"/>
        <v>24.042043898376914</v>
      </c>
      <c r="V159" s="217">
        <f t="shared" si="453"/>
        <v>1.4725315326767456</v>
      </c>
      <c r="W159" s="217">
        <f t="shared" si="454"/>
        <v>1.4099423225153329</v>
      </c>
      <c r="X159" s="197">
        <f t="shared" si="455"/>
        <v>350</v>
      </c>
      <c r="Y159" s="443">
        <f t="shared" si="328"/>
        <v>324.41475482934368</v>
      </c>
      <c r="AA159" s="217">
        <f t="shared" si="456"/>
        <v>23.830763936204111</v>
      </c>
      <c r="AB159" s="173">
        <f t="shared" si="457"/>
        <v>1.3975518385021586</v>
      </c>
      <c r="AC159" s="173">
        <f t="shared" si="458"/>
        <v>0.29141636957958866</v>
      </c>
      <c r="AD159" s="173"/>
      <c r="AE159" s="173">
        <f t="shared" si="459"/>
        <v>0.78193147996623735</v>
      </c>
      <c r="AF159" s="545">
        <f t="shared" si="460"/>
        <v>1127.9760728370768</v>
      </c>
      <c r="AG159" s="528">
        <f t="shared" si="461"/>
        <v>9.1225339329394375E-2</v>
      </c>
      <c r="AI159" s="173">
        <f t="shared" si="462"/>
        <v>23.93616985803704</v>
      </c>
      <c r="AJ159" s="173">
        <f t="shared" si="463"/>
        <v>24.042043898376914</v>
      </c>
      <c r="AK159" s="173">
        <f t="shared" si="464"/>
        <v>9.1323781963285775</v>
      </c>
      <c r="AM159" s="545">
        <f t="shared" si="465"/>
        <v>294</v>
      </c>
      <c r="AN159" s="460">
        <f t="shared" si="466"/>
        <v>324.41475482934368</v>
      </c>
      <c r="AP159">
        <f t="shared" si="467"/>
        <v>294</v>
      </c>
      <c r="AQ159">
        <f t="shared" si="468"/>
        <v>324.41475482934368</v>
      </c>
      <c r="AS159" s="5">
        <f t="shared" si="439"/>
        <v>3.0824738551920787</v>
      </c>
      <c r="AT159" s="5">
        <f t="shared" si="469"/>
        <v>1.4725315326767456</v>
      </c>
      <c r="AU159" s="5">
        <f t="shared" si="343"/>
        <v>1.6099423225153331</v>
      </c>
      <c r="AV159" s="5"/>
      <c r="AW159" s="173">
        <f t="shared" si="344"/>
        <v>0.47771095615180409</v>
      </c>
      <c r="AX159" s="173">
        <f t="shared" si="435"/>
        <v>46.879543993363761</v>
      </c>
      <c r="AY159" s="173">
        <f t="shared" si="436"/>
        <v>0.31392240299599083</v>
      </c>
      <c r="AZ159" s="173">
        <f t="shared" si="440"/>
        <v>149.33481505607125</v>
      </c>
      <c r="BA159" s="460">
        <f t="shared" si="433"/>
        <v>0.25466133565115479</v>
      </c>
      <c r="BB159" s="5">
        <f t="shared" si="434"/>
        <v>15.770656234566593</v>
      </c>
      <c r="BD159" s="173">
        <f t="shared" si="441"/>
        <v>9.5938596173271051</v>
      </c>
      <c r="BE159" s="173">
        <f t="shared" si="437"/>
        <v>0.50157539125949879</v>
      </c>
      <c r="BG159" s="528">
        <f t="shared" si="347"/>
        <v>3.6816856942791913</v>
      </c>
      <c r="BH159" s="528">
        <f t="shared" si="470"/>
        <v>2.928837784063028</v>
      </c>
      <c r="BI159" s="528">
        <f t="shared" si="471"/>
        <v>0.10593448905926355</v>
      </c>
      <c r="BJ159" s="528">
        <f t="shared" si="350"/>
        <v>1.8072250044553984E-2</v>
      </c>
      <c r="BK159">
        <f t="shared" si="351"/>
        <v>3.6735782949935008E-3</v>
      </c>
      <c r="BL159" s="460">
        <f t="shared" si="427"/>
        <v>109.60806735425705</v>
      </c>
      <c r="BM159" s="528">
        <f t="shared" si="472"/>
        <v>60.868488692465313</v>
      </c>
      <c r="BN159" s="460">
        <f t="shared" si="353"/>
        <v>60868.488692465311</v>
      </c>
      <c r="BO159" s="528">
        <f t="shared" si="354"/>
        <v>0.20579999999999998</v>
      </c>
      <c r="BR159" s="460">
        <f t="shared" si="355"/>
        <v>205.79999999999998</v>
      </c>
      <c r="BS159" s="528">
        <f t="shared" si="356"/>
        <v>2.7612642707093933</v>
      </c>
      <c r="BT159" s="528">
        <f t="shared" si="357"/>
        <v>7.5473361935135793E-3</v>
      </c>
      <c r="BU159" s="528">
        <f t="shared" si="358"/>
        <v>268.62718718251949</v>
      </c>
      <c r="BV159" s="528"/>
      <c r="BW159" s="528">
        <f t="shared" si="359"/>
        <v>4.6879543993363768</v>
      </c>
      <c r="BX159" s="460">
        <f t="shared" si="360"/>
        <v>276083.95318875875</v>
      </c>
      <c r="BY159" s="173">
        <f t="shared" si="361"/>
        <v>283.02795698449978</v>
      </c>
      <c r="BZ159" s="5">
        <f t="shared" si="362"/>
        <v>49.98</v>
      </c>
      <c r="CA159" s="173">
        <f t="shared" si="363"/>
        <v>0.15008650379584285</v>
      </c>
      <c r="CB159" s="5">
        <f t="shared" si="364"/>
        <v>15.008650379584285</v>
      </c>
      <c r="CE159" s="562">
        <f t="shared" si="473"/>
        <v>-50</v>
      </c>
      <c r="CF159">
        <f t="shared" si="474"/>
        <v>-50</v>
      </c>
      <c r="CG159" s="173">
        <f t="shared" si="475"/>
        <v>0.49205451634836506</v>
      </c>
      <c r="CI159" s="170">
        <v>49</v>
      </c>
      <c r="CJ159" s="217">
        <f t="shared" si="428"/>
        <v>0.29399999999999998</v>
      </c>
      <c r="CK159" s="217"/>
      <c r="CL159" s="217">
        <f t="shared" si="368"/>
        <v>49.98</v>
      </c>
      <c r="CM159" s="541">
        <f t="shared" si="369"/>
        <v>9</v>
      </c>
      <c r="CN159" s="443">
        <f t="shared" si="370"/>
        <v>8.5250000000000004</v>
      </c>
      <c r="CO159" s="443">
        <f t="shared" si="371"/>
        <v>17.524999999999999</v>
      </c>
      <c r="CP159" s="443"/>
      <c r="CQ159" s="217">
        <f t="shared" si="372"/>
        <v>0.48644793152639093</v>
      </c>
      <c r="CR159" s="172">
        <f t="shared" si="429"/>
        <v>147.11644793152644</v>
      </c>
      <c r="CS159" s="172">
        <f t="shared" si="373"/>
        <v>49.98</v>
      </c>
      <c r="CT159" s="217">
        <f t="shared" si="374"/>
        <v>0.86539087018544958</v>
      </c>
      <c r="CU159" s="217">
        <f t="shared" si="375"/>
        <v>170</v>
      </c>
      <c r="CV159" s="217"/>
      <c r="CW159" s="172">
        <f t="shared" si="376"/>
        <v>840.51517679191511</v>
      </c>
      <c r="CX159" s="172">
        <f t="shared" si="377"/>
        <v>170</v>
      </c>
      <c r="CY159" s="217">
        <f t="shared" si="378"/>
        <v>22.832179863147601</v>
      </c>
      <c r="CZ159" s="217">
        <f t="shared" si="379"/>
        <v>1.2684544368415334</v>
      </c>
      <c r="DA159" s="217">
        <f t="shared" si="380"/>
        <v>1.3391307837623228</v>
      </c>
      <c r="DB159" s="197">
        <f t="shared" si="381"/>
        <v>350</v>
      </c>
      <c r="DC159" s="443">
        <f t="shared" si="382"/>
        <v>350</v>
      </c>
      <c r="DE159" s="217">
        <f t="shared" si="383"/>
        <v>25.017322192785819</v>
      </c>
      <c r="DF159" s="173">
        <f t="shared" si="384"/>
        <v>1.467291624210312</v>
      </c>
      <c r="DG159" s="173">
        <f t="shared" si="385"/>
        <v>0.32119243899439714</v>
      </c>
      <c r="DH159" s="173"/>
      <c r="DI159" s="173">
        <f t="shared" si="386"/>
        <v>0.78201368523949166</v>
      </c>
      <c r="DJ159" s="545">
        <f t="shared" si="387"/>
        <v>1127.8575000000001</v>
      </c>
      <c r="DK159" s="528">
        <f t="shared" si="388"/>
        <v>9.1234929944607357E-2</v>
      </c>
      <c r="DM159" s="173">
        <f t="shared" si="389"/>
        <v>23.93491173996679</v>
      </c>
      <c r="DN159" s="173">
        <f t="shared" si="390"/>
        <v>23.93491173996679</v>
      </c>
      <c r="DO159" s="173">
        <f t="shared" si="391"/>
        <v>9.0530210419507071</v>
      </c>
      <c r="DQ159" s="545">
        <f t="shared" si="392"/>
        <v>294</v>
      </c>
      <c r="DR159" s="460">
        <f t="shared" si="393"/>
        <v>350</v>
      </c>
      <c r="DT159">
        <f t="shared" si="430"/>
        <v>294</v>
      </c>
      <c r="DU159">
        <f t="shared" si="431"/>
        <v>350</v>
      </c>
      <c r="DW159" s="5">
        <f t="shared" si="394"/>
        <v>2.8571428571428572</v>
      </c>
      <c r="DX159" s="5">
        <f t="shared" si="395"/>
        <v>1.3297173188870437</v>
      </c>
      <c r="DY159" s="5">
        <f t="shared" si="396"/>
        <v>1.5274255382558135</v>
      </c>
      <c r="DZ159" s="5"/>
      <c r="EA159" s="173">
        <f t="shared" si="397"/>
        <v>0.46540106161046529</v>
      </c>
      <c r="EB159" s="173">
        <f t="shared" si="398"/>
        <v>50.12700000000001</v>
      </c>
      <c r="EC159" s="173">
        <f t="shared" si="399"/>
        <v>0.31988946016583636</v>
      </c>
      <c r="ED159" s="173">
        <f t="shared" si="400"/>
        <v>156.70100532231754</v>
      </c>
      <c r="EE159" s="460">
        <f t="shared" si="401"/>
        <v>0.22996287750164165</v>
      </c>
      <c r="EF159" s="5">
        <f t="shared" si="402"/>
        <v>13.571685049248988</v>
      </c>
      <c r="EH159" s="173">
        <f t="shared" si="403"/>
        <v>9.4272470385120641</v>
      </c>
      <c r="EI159" s="173">
        <f t="shared" si="404"/>
        <v>0.50519059095272534</v>
      </c>
      <c r="EK159" s="528">
        <f t="shared" si="405"/>
        <v>3.5549194690053794</v>
      </c>
      <c r="EL159" s="528">
        <f t="shared" si="406"/>
        <v>4.0372960343380857</v>
      </c>
      <c r="EM159" s="528">
        <f t="shared" si="407"/>
        <v>6.9999999999999993E-2</v>
      </c>
      <c r="EN159" s="528">
        <f t="shared" si="408"/>
        <v>2.1498793749999998E-2</v>
      </c>
      <c r="EO159">
        <f t="shared" si="409"/>
        <v>4.0499999999999998E-3</v>
      </c>
      <c r="EP159" s="460">
        <f t="shared" si="410"/>
        <v>74.05</v>
      </c>
      <c r="EQ159" s="460"/>
      <c r="ER159" s="460">
        <f t="shared" si="432"/>
        <v>7687.7642970934658</v>
      </c>
      <c r="ES159" s="528">
        <f t="shared" si="411"/>
        <v>0.20579999999999998</v>
      </c>
      <c r="EV159" s="460">
        <f t="shared" si="412"/>
        <v>205.79999999999998</v>
      </c>
      <c r="EW159" s="528">
        <f t="shared" si="413"/>
        <v>2.6661896017540343</v>
      </c>
      <c r="EX159" s="528">
        <f t="shared" si="414"/>
        <v>7.6565259956149151E-3</v>
      </c>
      <c r="EY159" s="528">
        <f t="shared" si="415"/>
        <v>321.15869986577985</v>
      </c>
      <c r="EZ159" s="528"/>
      <c r="FA159" s="528">
        <f t="shared" si="416"/>
        <v>5.0127000000000015</v>
      </c>
      <c r="FB159" s="460">
        <f t="shared" si="417"/>
        <v>328845.2459935295</v>
      </c>
      <c r="FC159" s="173">
        <f t="shared" si="418"/>
        <v>336.73881029062295</v>
      </c>
      <c r="FD159" s="5">
        <f t="shared" si="419"/>
        <v>49.98</v>
      </c>
      <c r="FE159" s="173">
        <f t="shared" si="420"/>
        <v>0.12924119197211933</v>
      </c>
      <c r="FF159" s="5">
        <f t="shared" si="421"/>
        <v>12.924119197211933</v>
      </c>
      <c r="FI159" s="562">
        <f t="shared" si="422"/>
        <v>-50</v>
      </c>
      <c r="FJ159">
        <f t="shared" si="423"/>
        <v>-50</v>
      </c>
      <c r="FL159">
        <f t="shared" si="476"/>
        <v>0.49133249906090176</v>
      </c>
    </row>
    <row r="160" spans="5:168">
      <c r="E160" s="170">
        <v>50</v>
      </c>
      <c r="F160" s="217">
        <f t="shared" si="477"/>
        <v>0.3</v>
      </c>
      <c r="G160" s="217"/>
      <c r="H160" s="217">
        <f t="shared" si="442"/>
        <v>51</v>
      </c>
      <c r="I160" s="541">
        <f t="shared" si="443"/>
        <v>8.1550147930288954</v>
      </c>
      <c r="J160" s="172">
        <f t="shared" si="444"/>
        <v>8.5259053412931838</v>
      </c>
      <c r="K160" s="172">
        <f t="shared" si="445"/>
        <v>16.680920134322079</v>
      </c>
      <c r="L160" s="443"/>
      <c r="M160" s="217">
        <f t="shared" si="446"/>
        <v>0.51111724791269053</v>
      </c>
      <c r="N160" s="172">
        <f t="shared" si="447"/>
        <v>140.06436281045268</v>
      </c>
      <c r="O160" s="172">
        <f t="shared" si="438"/>
        <v>51</v>
      </c>
      <c r="P160" s="217">
        <f t="shared" si="448"/>
        <v>0.82390801653207457</v>
      </c>
      <c r="Q160" s="217">
        <f t="shared" si="449"/>
        <v>170</v>
      </c>
      <c r="R160" s="217"/>
      <c r="S160" s="172">
        <f t="shared" si="450"/>
        <v>743.12212503332614</v>
      </c>
      <c r="T160" s="172">
        <f t="shared" si="451"/>
        <v>170</v>
      </c>
      <c r="U160" s="217">
        <f t="shared" si="452"/>
        <v>24.545762657335313</v>
      </c>
      <c r="V160" s="217">
        <f t="shared" si="453"/>
        <v>1.5049489964333127</v>
      </c>
      <c r="W160" s="217">
        <f t="shared" si="454"/>
        <v>1.4394813028508409</v>
      </c>
      <c r="X160" s="197">
        <f t="shared" si="455"/>
        <v>350</v>
      </c>
      <c r="Y160" s="443">
        <f t="shared" si="328"/>
        <v>318.02263202579343</v>
      </c>
      <c r="AA160" s="217">
        <f t="shared" si="456"/>
        <v>23.818105141283041</v>
      </c>
      <c r="AB160" s="173">
        <f t="shared" si="457"/>
        <v>1.3968079745106801</v>
      </c>
      <c r="AC160" s="173">
        <f t="shared" si="458"/>
        <v>0.29110654299193234</v>
      </c>
      <c r="AD160" s="173"/>
      <c r="AE160" s="173">
        <f t="shared" si="459"/>
        <v>0.78193064546216118</v>
      </c>
      <c r="AF160" s="545">
        <f t="shared" si="460"/>
        <v>1150.9972210745798</v>
      </c>
      <c r="AG160" s="528">
        <f t="shared" si="461"/>
        <v>9.1225241970585458E-2</v>
      </c>
      <c r="AI160" s="173">
        <f t="shared" si="462"/>
        <v>24.179195791366734</v>
      </c>
      <c r="AJ160" s="173">
        <f t="shared" si="463"/>
        <v>24.545762657335313</v>
      </c>
      <c r="AK160" s="173">
        <f t="shared" si="464"/>
        <v>9.5055032029644284</v>
      </c>
      <c r="AM160" s="545">
        <f t="shared" si="465"/>
        <v>300</v>
      </c>
      <c r="AN160" s="460">
        <f t="shared" si="466"/>
        <v>318.02263202579343</v>
      </c>
      <c r="AP160">
        <f t="shared" si="467"/>
        <v>300</v>
      </c>
      <c r="AQ160">
        <f t="shared" si="468"/>
        <v>318.02263202579343</v>
      </c>
      <c r="AS160" s="5">
        <f t="shared" si="439"/>
        <v>3.1444302992841542</v>
      </c>
      <c r="AT160" s="5">
        <f t="shared" si="469"/>
        <v>1.5049489964333127</v>
      </c>
      <c r="AU160" s="5">
        <f t="shared" si="343"/>
        <v>1.6394813028508415</v>
      </c>
      <c r="AV160" s="5"/>
      <c r="AW160" s="173">
        <f t="shared" si="344"/>
        <v>0.47860784091029845</v>
      </c>
      <c r="AX160" s="173">
        <f t="shared" si="435"/>
        <v>47.901718839768662</v>
      </c>
      <c r="AY160" s="173">
        <f t="shared" si="436"/>
        <v>0.31994920471028571</v>
      </c>
      <c r="AZ160" s="173">
        <f t="shared" si="440"/>
        <v>149.71663668657564</v>
      </c>
      <c r="BA160" s="460">
        <f t="shared" si="433"/>
        <v>0.26557923466470224</v>
      </c>
      <c r="BB160" s="5">
        <f t="shared" si="434"/>
        <v>16.404835271051681</v>
      </c>
      <c r="BD160" s="173">
        <f t="shared" si="441"/>
        <v>9.8040565546676</v>
      </c>
      <c r="BE160" s="173">
        <f t="shared" si="437"/>
        <v>0.51164431790134135</v>
      </c>
      <c r="BG160" s="528">
        <f t="shared" si="347"/>
        <v>3.8447809970848295</v>
      </c>
      <c r="BH160" s="528">
        <f t="shared" si="470"/>
        <v>2.9297939594544626</v>
      </c>
      <c r="BI160" s="528">
        <f t="shared" si="471"/>
        <v>0.10373917074753322</v>
      </c>
      <c r="BJ160" s="528">
        <f t="shared" si="350"/>
        <v>1.769815642540892E-2</v>
      </c>
      <c r="BK160">
        <f t="shared" si="351"/>
        <v>3.6697566568630029E-3</v>
      </c>
      <c r="BL160" s="460">
        <f t="shared" si="427"/>
        <v>107.40892740439622</v>
      </c>
      <c r="BM160" s="528">
        <f t="shared" si="472"/>
        <v>90.545337704697516</v>
      </c>
      <c r="BN160" s="460">
        <f t="shared" si="353"/>
        <v>90545.337704697522</v>
      </c>
      <c r="BO160" s="528">
        <f t="shared" si="354"/>
        <v>0.21</v>
      </c>
      <c r="BR160" s="460">
        <f t="shared" si="355"/>
        <v>210</v>
      </c>
      <c r="BS160" s="528">
        <f t="shared" si="356"/>
        <v>2.8835857478136218</v>
      </c>
      <c r="BT160" s="528">
        <f t="shared" si="357"/>
        <v>7.8533972412218652E-3</v>
      </c>
      <c r="BU160" s="528">
        <f t="shared" si="358"/>
        <v>269.18843625903003</v>
      </c>
      <c r="BV160" s="528"/>
      <c r="BW160" s="528">
        <f t="shared" si="359"/>
        <v>4.7901718839768668</v>
      </c>
      <c r="BX160" s="460">
        <f t="shared" si="360"/>
        <v>276870.04728806176</v>
      </c>
      <c r="BY160" s="173">
        <f t="shared" si="361"/>
        <v>283.97972932843084</v>
      </c>
      <c r="BZ160" s="5">
        <f t="shared" si="362"/>
        <v>51</v>
      </c>
      <c r="CA160" s="173">
        <f t="shared" si="363"/>
        <v>0.15224801841665189</v>
      </c>
      <c r="CB160" s="5">
        <f t="shared" si="364"/>
        <v>15.224801841665188</v>
      </c>
      <c r="CE160" s="562">
        <f t="shared" si="473"/>
        <v>-50</v>
      </c>
      <c r="CF160">
        <f t="shared" si="474"/>
        <v>-50</v>
      </c>
      <c r="CG160" s="173">
        <f t="shared" si="475"/>
        <v>0.49705012174770835</v>
      </c>
      <c r="CI160" s="170">
        <v>50</v>
      </c>
      <c r="CJ160" s="217">
        <f t="shared" si="428"/>
        <v>0.3</v>
      </c>
      <c r="CK160" s="217"/>
      <c r="CL160" s="217">
        <f t="shared" si="368"/>
        <v>51</v>
      </c>
      <c r="CM160" s="541">
        <f t="shared" si="369"/>
        <v>9</v>
      </c>
      <c r="CN160" s="443">
        <f t="shared" si="370"/>
        <v>8.5250000000000004</v>
      </c>
      <c r="CO160" s="443">
        <f t="shared" si="371"/>
        <v>17.524999999999999</v>
      </c>
      <c r="CP160" s="443"/>
      <c r="CQ160" s="217">
        <f t="shared" si="372"/>
        <v>0.48644793152639093</v>
      </c>
      <c r="CR160" s="172">
        <f t="shared" si="429"/>
        <v>147.11644793152644</v>
      </c>
      <c r="CS160" s="172">
        <f t="shared" si="373"/>
        <v>51</v>
      </c>
      <c r="CT160" s="217">
        <f t="shared" si="374"/>
        <v>0.86539087018544958</v>
      </c>
      <c r="CU160" s="217">
        <f t="shared" si="375"/>
        <v>170</v>
      </c>
      <c r="CV160" s="217"/>
      <c r="CW160" s="172">
        <f t="shared" si="376"/>
        <v>820.10967455392131</v>
      </c>
      <c r="CX160" s="172">
        <f t="shared" si="377"/>
        <v>170</v>
      </c>
      <c r="CY160" s="217">
        <f t="shared" si="378"/>
        <v>23.298142717497555</v>
      </c>
      <c r="CZ160" s="217">
        <f t="shared" si="379"/>
        <v>1.2943412620831976</v>
      </c>
      <c r="DA160" s="217">
        <f t="shared" si="380"/>
        <v>1.3664599834309414</v>
      </c>
      <c r="DB160" s="197">
        <f t="shared" si="381"/>
        <v>350</v>
      </c>
      <c r="DC160" s="443">
        <f t="shared" si="382"/>
        <v>350</v>
      </c>
      <c r="DE160" s="217">
        <f t="shared" si="383"/>
        <v>25.017322192785819</v>
      </c>
      <c r="DF160" s="173">
        <f t="shared" si="384"/>
        <v>1.467291624210312</v>
      </c>
      <c r="DG160" s="173">
        <f t="shared" si="385"/>
        <v>0.32119243899439714</v>
      </c>
      <c r="DH160" s="173"/>
      <c r="DI160" s="173">
        <f t="shared" si="386"/>
        <v>0.78201368523949166</v>
      </c>
      <c r="DJ160" s="545">
        <f t="shared" si="387"/>
        <v>1150.875</v>
      </c>
      <c r="DK160" s="528">
        <f t="shared" si="388"/>
        <v>9.1234929944607357E-2</v>
      </c>
      <c r="DM160" s="173">
        <f t="shared" si="389"/>
        <v>24.177911997760035</v>
      </c>
      <c r="DN160" s="173">
        <f t="shared" si="390"/>
        <v>24.177911997760035</v>
      </c>
      <c r="DO160" s="173">
        <f t="shared" si="391"/>
        <v>9.2330212329086656</v>
      </c>
      <c r="DQ160" s="545">
        <f t="shared" si="392"/>
        <v>300</v>
      </c>
      <c r="DR160" s="460">
        <f t="shared" si="393"/>
        <v>350</v>
      </c>
      <c r="DT160">
        <f t="shared" si="430"/>
        <v>300</v>
      </c>
      <c r="DU160">
        <f t="shared" si="431"/>
        <v>350</v>
      </c>
      <c r="DW160" s="5">
        <f t="shared" si="394"/>
        <v>2.8571428571428572</v>
      </c>
      <c r="DX160" s="5">
        <f t="shared" si="395"/>
        <v>1.3432173332088906</v>
      </c>
      <c r="DY160" s="5">
        <f t="shared" si="396"/>
        <v>1.5139255239339666</v>
      </c>
      <c r="DZ160" s="5"/>
      <c r="EA160" s="173">
        <f t="shared" si="397"/>
        <v>0.47012606662311168</v>
      </c>
      <c r="EB160" s="173">
        <f t="shared" si="398"/>
        <v>51.150000000000006</v>
      </c>
      <c r="EC160" s="173">
        <f t="shared" si="399"/>
        <v>0.32028113327733421</v>
      </c>
      <c r="ED160" s="173">
        <f t="shared" si="400"/>
        <v>159.70344389817296</v>
      </c>
      <c r="EE160" s="460">
        <f t="shared" si="401"/>
        <v>0.23703835291921599</v>
      </c>
      <c r="EF160" s="5">
        <f t="shared" si="402"/>
        <v>13.726258083667966</v>
      </c>
      <c r="EH160" s="173">
        <f t="shared" si="403"/>
        <v>9.5711766322039171</v>
      </c>
      <c r="EI160" s="173">
        <f t="shared" si="404"/>
        <v>0.50805934872880876</v>
      </c>
      <c r="EK160" s="528">
        <f t="shared" si="405"/>
        <v>3.6642968849938531</v>
      </c>
      <c r="EL160" s="528">
        <f t="shared" si="406"/>
        <v>4.078284862197167</v>
      </c>
      <c r="EM160" s="528">
        <f t="shared" si="407"/>
        <v>6.9999999999999993E-2</v>
      </c>
      <c r="EN160" s="528">
        <f t="shared" si="408"/>
        <v>2.1498793749999998E-2</v>
      </c>
      <c r="EO160">
        <f t="shared" si="409"/>
        <v>4.0499999999999998E-3</v>
      </c>
      <c r="EP160" s="460">
        <f t="shared" si="410"/>
        <v>74.05</v>
      </c>
      <c r="EQ160" s="460"/>
      <c r="ER160" s="460">
        <f t="shared" si="432"/>
        <v>7838.1305409410206</v>
      </c>
      <c r="ES160" s="528">
        <f t="shared" si="411"/>
        <v>0.21</v>
      </c>
      <c r="EV160" s="460">
        <f t="shared" si="412"/>
        <v>210</v>
      </c>
      <c r="EW160" s="528">
        <f t="shared" si="413"/>
        <v>2.7482226637453895</v>
      </c>
      <c r="EX160" s="528">
        <f t="shared" si="414"/>
        <v>7.743729054922239E-3</v>
      </c>
      <c r="EY160" s="528">
        <f t="shared" si="415"/>
        <v>329.37231821167421</v>
      </c>
      <c r="EZ160" s="528"/>
      <c r="FA160" s="528">
        <f t="shared" si="416"/>
        <v>5.1150000000000011</v>
      </c>
      <c r="FB160" s="460">
        <f t="shared" si="417"/>
        <v>337243.28460447455</v>
      </c>
      <c r="FC160" s="173">
        <f t="shared" si="418"/>
        <v>345.29141514541556</v>
      </c>
      <c r="FD160" s="5">
        <f t="shared" si="419"/>
        <v>51</v>
      </c>
      <c r="FE160" s="173">
        <f t="shared" si="420"/>
        <v>0.12869317388893223</v>
      </c>
      <c r="FF160" s="5">
        <f t="shared" si="421"/>
        <v>12.869317388893222</v>
      </c>
      <c r="FI160" s="562">
        <f t="shared" si="422"/>
        <v>-50</v>
      </c>
      <c r="FJ160">
        <f t="shared" si="423"/>
        <v>-50</v>
      </c>
      <c r="FL160">
        <f t="shared" si="476"/>
        <v>0.49632077414756665</v>
      </c>
    </row>
    <row r="161" spans="5:168">
      <c r="E161" s="170">
        <v>51</v>
      </c>
      <c r="F161" s="217">
        <f t="shared" si="477"/>
        <v>0.30599999999999999</v>
      </c>
      <c r="G161" s="217"/>
      <c r="H161" s="217">
        <f t="shared" si="442"/>
        <v>52.019999999999996</v>
      </c>
      <c r="I161" s="541">
        <f t="shared" si="443"/>
        <v>8.1466067729352432</v>
      </c>
      <c r="J161" s="172">
        <f t="shared" si="444"/>
        <v>8.5259143498861416</v>
      </c>
      <c r="K161" s="172">
        <f t="shared" si="445"/>
        <v>16.672521122821387</v>
      </c>
      <c r="L161" s="443"/>
      <c r="M161" s="217">
        <f t="shared" si="446"/>
        <v>0.51137527093931778</v>
      </c>
      <c r="N161" s="172">
        <f t="shared" si="447"/>
        <v>139.99058763454613</v>
      </c>
      <c r="O161" s="172">
        <f t="shared" si="438"/>
        <v>52.019999999999996</v>
      </c>
      <c r="P161" s="217">
        <f t="shared" si="448"/>
        <v>0.82347404490909493</v>
      </c>
      <c r="Q161" s="217">
        <f t="shared" si="449"/>
        <v>170</v>
      </c>
      <c r="R161" s="217"/>
      <c r="S161" s="172">
        <f t="shared" si="450"/>
        <v>724.61014615471527</v>
      </c>
      <c r="T161" s="172">
        <f t="shared" si="451"/>
        <v>170</v>
      </c>
      <c r="U161" s="217">
        <f t="shared" si="452"/>
        <v>25.049898771046266</v>
      </c>
      <c r="V161" s="217">
        <f t="shared" si="453"/>
        <v>1.5374437154784091</v>
      </c>
      <c r="W161" s="217">
        <f t="shared" si="454"/>
        <v>1.469044711396895</v>
      </c>
      <c r="X161" s="197">
        <f t="shared" si="455"/>
        <v>350</v>
      </c>
      <c r="Y161" s="443">
        <f t="shared" si="328"/>
        <v>311.86764674354106</v>
      </c>
      <c r="AA161" s="217">
        <f t="shared" si="456"/>
        <v>23.805559571114532</v>
      </c>
      <c r="AB161" s="173">
        <f t="shared" si="457"/>
        <v>1.3960707669689669</v>
      </c>
      <c r="AC161" s="173">
        <f t="shared" si="458"/>
        <v>0.29079965082499881</v>
      </c>
      <c r="AD161" s="173"/>
      <c r="AE161" s="173">
        <f t="shared" si="459"/>
        <v>0.78192981926398264</v>
      </c>
      <c r="AF161" s="545">
        <f t="shared" si="460"/>
        <v>1174.0184059793216</v>
      </c>
      <c r="AG161" s="528">
        <f t="shared" si="461"/>
        <v>9.1225145580797987E-2</v>
      </c>
      <c r="AI161" s="173">
        <f t="shared" si="462"/>
        <v>24.419803631199049</v>
      </c>
      <c r="AJ161" s="173">
        <f t="shared" si="463"/>
        <v>25.049898771046266</v>
      </c>
      <c r="AK161" s="173">
        <f t="shared" si="464"/>
        <v>9.8789373612688376</v>
      </c>
      <c r="AM161" s="545">
        <f t="shared" si="465"/>
        <v>306</v>
      </c>
      <c r="AN161" s="460">
        <f t="shared" si="466"/>
        <v>311.86764674354106</v>
      </c>
      <c r="AP161">
        <f t="shared" si="467"/>
        <v>306</v>
      </c>
      <c r="AQ161">
        <f t="shared" si="468"/>
        <v>311.86764674354106</v>
      </c>
      <c r="AS161" s="5">
        <f t="shared" si="439"/>
        <v>3.2064884268753042</v>
      </c>
      <c r="AT161" s="5">
        <f t="shared" si="469"/>
        <v>1.5374437154784091</v>
      </c>
      <c r="AU161" s="5">
        <f t="shared" si="343"/>
        <v>1.6690447113968951</v>
      </c>
      <c r="AV161" s="5"/>
      <c r="AW161" s="173">
        <f t="shared" si="344"/>
        <v>0.47947895354689768</v>
      </c>
      <c r="AX161" s="173">
        <f t="shared" si="435"/>
        <v>48.924036586275491</v>
      </c>
      <c r="AY161" s="173">
        <f t="shared" si="436"/>
        <v>0.32597498804623209</v>
      </c>
      <c r="AZ161" s="173">
        <f t="shared" si="440"/>
        <v>150.08524696789539</v>
      </c>
      <c r="BA161" s="460">
        <f t="shared" si="433"/>
        <v>0.27673986878611367</v>
      </c>
      <c r="BB161" s="5">
        <f t="shared" si="434"/>
        <v>17.052244362708315</v>
      </c>
      <c r="BD161" s="173">
        <f t="shared" si="441"/>
        <v>10.014519631375569</v>
      </c>
      <c r="BE161" s="173">
        <f t="shared" si="437"/>
        <v>0.52171641250942491</v>
      </c>
      <c r="BG161" s="528">
        <f t="shared" si="347"/>
        <v>4.0116241378882664</v>
      </c>
      <c r="BH161" s="528">
        <f t="shared" si="470"/>
        <v>2.9306239389160846</v>
      </c>
      <c r="BI161" s="528">
        <f t="shared" si="471"/>
        <v>0.10162652332881229</v>
      </c>
      <c r="BJ161" s="528">
        <f t="shared" si="350"/>
        <v>1.7338154615565392E-2</v>
      </c>
      <c r="BK161">
        <f t="shared" si="351"/>
        <v>3.6659730478208591E-3</v>
      </c>
      <c r="BL161" s="460">
        <f t="shared" si="427"/>
        <v>105.29249637663315</v>
      </c>
      <c r="BM161" s="528">
        <f t="shared" si="472"/>
        <v>171.71328294581039</v>
      </c>
      <c r="BN161" s="460">
        <f t="shared" si="353"/>
        <v>171713.28294581038</v>
      </c>
      <c r="BO161" s="528">
        <f t="shared" si="354"/>
        <v>0.21419999999999997</v>
      </c>
      <c r="BR161" s="460">
        <f t="shared" si="355"/>
        <v>214.19999999999996</v>
      </c>
      <c r="BS161" s="528">
        <f t="shared" si="356"/>
        <v>3.0087181034161992</v>
      </c>
      <c r="BT161" s="528">
        <f t="shared" si="357"/>
        <v>8.1656404524511322E-3</v>
      </c>
      <c r="BU161" s="528">
        <f t="shared" si="358"/>
        <v>269.71850908963927</v>
      </c>
      <c r="BV161" s="528"/>
      <c r="BW161" s="528">
        <f t="shared" si="359"/>
        <v>4.8924036586275488</v>
      </c>
      <c r="BX161" s="460">
        <f t="shared" si="360"/>
        <v>277627.7964921355</v>
      </c>
      <c r="BY161" s="173">
        <f t="shared" si="361"/>
        <v>284.90687521993198</v>
      </c>
      <c r="BZ161" s="5">
        <f t="shared" si="362"/>
        <v>52.019999999999996</v>
      </c>
      <c r="CA161" s="173">
        <f t="shared" si="363"/>
        <v>0.15439551969857995</v>
      </c>
      <c r="CB161" s="5">
        <f t="shared" si="364"/>
        <v>15.439551969857995</v>
      </c>
      <c r="CE161" s="562">
        <f t="shared" si="473"/>
        <v>-50</v>
      </c>
      <c r="CF161">
        <f t="shared" si="474"/>
        <v>-50</v>
      </c>
      <c r="CG161" s="173">
        <f t="shared" si="475"/>
        <v>0.50199601592044529</v>
      </c>
      <c r="CI161" s="170">
        <v>51</v>
      </c>
      <c r="CJ161" s="217">
        <f t="shared" si="428"/>
        <v>0.30599999999999999</v>
      </c>
      <c r="CK161" s="217"/>
      <c r="CL161" s="217">
        <f t="shared" si="368"/>
        <v>52.019999999999996</v>
      </c>
      <c r="CM161" s="541">
        <f t="shared" si="369"/>
        <v>9</v>
      </c>
      <c r="CN161" s="443">
        <f t="shared" si="370"/>
        <v>8.5250000000000004</v>
      </c>
      <c r="CO161" s="443">
        <f t="shared" si="371"/>
        <v>17.524999999999999</v>
      </c>
      <c r="CP161" s="443"/>
      <c r="CQ161" s="217">
        <f t="shared" si="372"/>
        <v>0.48644793152639093</v>
      </c>
      <c r="CR161" s="172">
        <f t="shared" si="429"/>
        <v>147.11644793152644</v>
      </c>
      <c r="CS161" s="172">
        <f t="shared" si="373"/>
        <v>52.019999999999996</v>
      </c>
      <c r="CT161" s="217">
        <f t="shared" si="374"/>
        <v>0.86539087018544958</v>
      </c>
      <c r="CU161" s="217">
        <f t="shared" si="375"/>
        <v>170</v>
      </c>
      <c r="CV161" s="217"/>
      <c r="CW161" s="172">
        <f t="shared" si="376"/>
        <v>800.50451577986371</v>
      </c>
      <c r="CX161" s="172">
        <f t="shared" si="377"/>
        <v>170</v>
      </c>
      <c r="CY161" s="217">
        <f t="shared" si="378"/>
        <v>23.764105571847505</v>
      </c>
      <c r="CZ161" s="217">
        <f t="shared" si="379"/>
        <v>1.3202280873248613</v>
      </c>
      <c r="DA161" s="217">
        <f t="shared" si="380"/>
        <v>1.3937891830995601</v>
      </c>
      <c r="DB161" s="197">
        <f t="shared" si="381"/>
        <v>350</v>
      </c>
      <c r="DC161" s="443">
        <f t="shared" si="382"/>
        <v>350</v>
      </c>
      <c r="DE161" s="217">
        <f t="shared" si="383"/>
        <v>25.017322192785819</v>
      </c>
      <c r="DF161" s="173">
        <f t="shared" si="384"/>
        <v>1.467291624210312</v>
      </c>
      <c r="DG161" s="173">
        <f t="shared" si="385"/>
        <v>0.32119243899439714</v>
      </c>
      <c r="DH161" s="173"/>
      <c r="DI161" s="173">
        <f t="shared" si="386"/>
        <v>0.78201368523949166</v>
      </c>
      <c r="DJ161" s="545">
        <f t="shared" si="387"/>
        <v>1173.8924999999999</v>
      </c>
      <c r="DK161" s="528">
        <f t="shared" si="388"/>
        <v>9.1234929944607357E-2</v>
      </c>
      <c r="DM161" s="173">
        <f t="shared" si="389"/>
        <v>24.418494162066118</v>
      </c>
      <c r="DN161" s="173">
        <f t="shared" si="390"/>
        <v>24.418494162066118</v>
      </c>
      <c r="DO161" s="173">
        <f t="shared" si="391"/>
        <v>9.4112302435057646</v>
      </c>
      <c r="DQ161" s="545">
        <f t="shared" si="392"/>
        <v>306</v>
      </c>
      <c r="DR161" s="460">
        <f t="shared" si="393"/>
        <v>350</v>
      </c>
      <c r="DT161">
        <f t="shared" si="430"/>
        <v>306</v>
      </c>
      <c r="DU161">
        <f t="shared" si="431"/>
        <v>350</v>
      </c>
      <c r="DW161" s="5">
        <f t="shared" si="394"/>
        <v>2.8571428571428572</v>
      </c>
      <c r="DX161" s="5">
        <f t="shared" si="395"/>
        <v>1.356583009003673</v>
      </c>
      <c r="DY161" s="5">
        <f t="shared" si="396"/>
        <v>1.5005598481391842</v>
      </c>
      <c r="DZ161" s="5"/>
      <c r="EA161" s="173">
        <f t="shared" si="397"/>
        <v>0.47480405315128554</v>
      </c>
      <c r="EB161" s="173">
        <f t="shared" si="398"/>
        <v>52.172999999999995</v>
      </c>
      <c r="EC161" s="173">
        <f t="shared" si="399"/>
        <v>0.320612354051653</v>
      </c>
      <c r="ED161" s="173">
        <f t="shared" si="400"/>
        <v>162.72922531111993</v>
      </c>
      <c r="EE161" s="460">
        <f t="shared" si="401"/>
        <v>0.24418494162066115</v>
      </c>
      <c r="EF161" s="5">
        <f t="shared" si="402"/>
        <v>13.877177475591173</v>
      </c>
      <c r="EH161" s="173">
        <f t="shared" si="403"/>
        <v>9.7143883203386245</v>
      </c>
      <c r="EI161" s="173">
        <f t="shared" si="404"/>
        <v>0.51084475448993838</v>
      </c>
      <c r="EK161" s="528">
        <f t="shared" si="405"/>
        <v>3.7747736175332594</v>
      </c>
      <c r="EL161" s="528">
        <f t="shared" si="406"/>
        <v>4.1188658105807594</v>
      </c>
      <c r="EM161" s="528">
        <f t="shared" si="407"/>
        <v>6.9999999999999993E-2</v>
      </c>
      <c r="EN161" s="528">
        <f t="shared" si="408"/>
        <v>2.1498793749999998E-2</v>
      </c>
      <c r="EO161">
        <f t="shared" si="409"/>
        <v>4.0499999999999998E-3</v>
      </c>
      <c r="EP161" s="460">
        <f t="shared" si="410"/>
        <v>74.05</v>
      </c>
      <c r="EQ161" s="460"/>
      <c r="ER161" s="460">
        <f t="shared" si="432"/>
        <v>7989.1882218640203</v>
      </c>
      <c r="ES161" s="528">
        <f t="shared" si="411"/>
        <v>0.21419999999999997</v>
      </c>
      <c r="EV161" s="460">
        <f t="shared" si="412"/>
        <v>214.19999999999996</v>
      </c>
      <c r="EW161" s="528">
        <f t="shared" si="413"/>
        <v>2.8310802131499444</v>
      </c>
      <c r="EX161" s="528">
        <f t="shared" si="414"/>
        <v>7.828870895696562E-3</v>
      </c>
      <c r="EY161" s="528">
        <f t="shared" si="415"/>
        <v>337.62710989884727</v>
      </c>
      <c r="EZ161" s="528"/>
      <c r="FA161" s="528">
        <f t="shared" si="416"/>
        <v>5.2172999999999998</v>
      </c>
      <c r="FB161" s="460">
        <f t="shared" si="417"/>
        <v>345683.31898289296</v>
      </c>
      <c r="FC161" s="173">
        <f t="shared" si="418"/>
        <v>353.88670720475693</v>
      </c>
      <c r="FD161" s="5">
        <f t="shared" si="419"/>
        <v>52.019999999999996</v>
      </c>
      <c r="FE161" s="173">
        <f t="shared" si="420"/>
        <v>0.12815752752210338</v>
      </c>
      <c r="FF161" s="5">
        <f t="shared" si="421"/>
        <v>12.815752752210338</v>
      </c>
      <c r="FI161" s="562">
        <f t="shared" si="422"/>
        <v>-50</v>
      </c>
      <c r="FJ161">
        <f t="shared" si="423"/>
        <v>-50</v>
      </c>
      <c r="FL161">
        <f t="shared" si="476"/>
        <v>0.50125941095150384</v>
      </c>
    </row>
    <row r="162" spans="5:168">
      <c r="E162" s="170">
        <v>52</v>
      </c>
      <c r="F162" s="217">
        <f t="shared" si="477"/>
        <v>0.312</v>
      </c>
      <c r="G162" s="217"/>
      <c r="H162" s="217">
        <f t="shared" si="442"/>
        <v>53.04</v>
      </c>
      <c r="I162" s="541">
        <f t="shared" si="443"/>
        <v>8.1317201287477427</v>
      </c>
      <c r="J162" s="172">
        <f t="shared" si="444"/>
        <v>8.5259302998620559</v>
      </c>
      <c r="K162" s="172">
        <f t="shared" si="445"/>
        <v>16.657650428609799</v>
      </c>
      <c r="L162" s="443"/>
      <c r="M162" s="217">
        <f t="shared" si="446"/>
        <v>0.51183254008482482</v>
      </c>
      <c r="N162" s="172">
        <f t="shared" si="447"/>
        <v>139.85972694675931</v>
      </c>
      <c r="O162" s="172">
        <f t="shared" si="438"/>
        <v>53.04</v>
      </c>
      <c r="P162" s="217">
        <f t="shared" si="448"/>
        <v>0.82270427615740771</v>
      </c>
      <c r="Q162" s="217">
        <f t="shared" si="449"/>
        <v>170</v>
      </c>
      <c r="R162" s="217"/>
      <c r="S162" s="172">
        <f t="shared" si="450"/>
        <v>706.25417271744368</v>
      </c>
      <c r="T162" s="172">
        <f t="shared" si="451"/>
        <v>170</v>
      </c>
      <c r="U162" s="217">
        <f t="shared" si="452"/>
        <v>25.564997720594789</v>
      </c>
      <c r="V162" s="217">
        <f t="shared" si="453"/>
        <v>1.5719304966126344</v>
      </c>
      <c r="W162" s="217">
        <f t="shared" si="454"/>
        <v>1.4992497487933028</v>
      </c>
      <c r="X162" s="197">
        <f t="shared" si="455"/>
        <v>350</v>
      </c>
      <c r="Y162" s="443">
        <f t="shared" si="328"/>
        <v>305.70006082801615</v>
      </c>
      <c r="AA162" s="217">
        <f t="shared" si="456"/>
        <v>23.783316117487043</v>
      </c>
      <c r="AB162" s="173">
        <f t="shared" si="457"/>
        <v>1.3947636962192758</v>
      </c>
      <c r="AC162" s="173">
        <f t="shared" si="458"/>
        <v>0.29025592659330496</v>
      </c>
      <c r="AD162" s="173"/>
      <c r="AE162" s="173">
        <f t="shared" si="459"/>
        <v>0.78192835646035352</v>
      </c>
      <c r="AF162" s="545">
        <f t="shared" si="460"/>
        <v>1197.0406141006326</v>
      </c>
      <c r="AG162" s="528">
        <f t="shared" si="461"/>
        <v>9.1224974920374582E-2</v>
      </c>
      <c r="AI162" s="173">
        <f t="shared" si="462"/>
        <v>24.658074324335395</v>
      </c>
      <c r="AJ162" s="173">
        <f t="shared" si="463"/>
        <v>25.564997720594789</v>
      </c>
      <c r="AK162" s="173">
        <f t="shared" si="464"/>
        <v>10.260492138712189</v>
      </c>
      <c r="AM162" s="545">
        <f t="shared" si="465"/>
        <v>312</v>
      </c>
      <c r="AN162" s="460">
        <f t="shared" si="466"/>
        <v>305.70006082801615</v>
      </c>
      <c r="AP162">
        <f t="shared" si="467"/>
        <v>312</v>
      </c>
      <c r="AQ162">
        <f t="shared" si="468"/>
        <v>305.70006082801615</v>
      </c>
      <c r="AS162" s="5">
        <f t="shared" si="439"/>
        <v>3.271180245405938</v>
      </c>
      <c r="AT162" s="5">
        <f t="shared" si="469"/>
        <v>1.5719304966126344</v>
      </c>
      <c r="AU162" s="5">
        <f t="shared" si="343"/>
        <v>1.6992497487933036</v>
      </c>
      <c r="AV162" s="5"/>
      <c r="AW162" s="173">
        <f t="shared" si="344"/>
        <v>0.48053924843189594</v>
      </c>
      <c r="AX162" s="173">
        <f t="shared" si="435"/>
        <v>49.949029052426297</v>
      </c>
      <c r="AY162" s="173">
        <f t="shared" si="436"/>
        <v>0.33200032324442591</v>
      </c>
      <c r="AZ162" s="173">
        <f t="shared" si="440"/>
        <v>150.44873620696063</v>
      </c>
      <c r="BA162" s="460">
        <f t="shared" si="433"/>
        <v>0.28849547937831876</v>
      </c>
      <c r="BB162" s="5">
        <f t="shared" si="434"/>
        <v>17.733656397223058</v>
      </c>
      <c r="BD162" s="173">
        <f t="shared" si="441"/>
        <v>10.23174159458036</v>
      </c>
      <c r="BE162" s="173">
        <f t="shared" si="437"/>
        <v>0.53190185520076549</v>
      </c>
      <c r="BG162" s="528">
        <f t="shared" si="347"/>
        <v>4.1875414423306339</v>
      </c>
      <c r="BH162" s="528">
        <f t="shared" si="470"/>
        <v>2.9291225716799745</v>
      </c>
      <c r="BI162" s="528">
        <f t="shared" si="471"/>
        <v>9.9434693519783526E-2</v>
      </c>
      <c r="BJ162" s="528">
        <f t="shared" si="350"/>
        <v>1.6964966586078819E-2</v>
      </c>
      <c r="BK162">
        <f t="shared" si="351"/>
        <v>3.6592740579364843E-3</v>
      </c>
      <c r="BL162" s="460">
        <f t="shared" si="427"/>
        <v>103.09396757772001</v>
      </c>
      <c r="BM162" s="528">
        <f t="shared" si="472"/>
        <v>1639.6852782931426</v>
      </c>
      <c r="BN162" s="460">
        <f t="shared" si="353"/>
        <v>1639685.2782931426</v>
      </c>
      <c r="BO162" s="528">
        <f t="shared" si="354"/>
        <v>0.21839999999999998</v>
      </c>
      <c r="BR162" s="460">
        <f t="shared" si="355"/>
        <v>218.39999999999998</v>
      </c>
      <c r="BS162" s="528">
        <f t="shared" si="356"/>
        <v>3.1406560817479749</v>
      </c>
      <c r="BT162" s="528">
        <f t="shared" si="357"/>
        <v>8.4875875069804832E-3</v>
      </c>
      <c r="BU162" s="528">
        <f t="shared" si="358"/>
        <v>269.97479062918393</v>
      </c>
      <c r="BV162" s="528"/>
      <c r="BW162" s="528">
        <f t="shared" si="359"/>
        <v>4.9949029052426308</v>
      </c>
      <c r="BX162" s="460">
        <f t="shared" si="360"/>
        <v>278118.83720368147</v>
      </c>
      <c r="BY162" s="173">
        <f t="shared" si="361"/>
        <v>285.57396015185589</v>
      </c>
      <c r="BZ162" s="5">
        <f t="shared" si="362"/>
        <v>53.04</v>
      </c>
      <c r="CA162" s="173">
        <f t="shared" si="363"/>
        <v>0.15663855080343855</v>
      </c>
      <c r="CB162" s="5">
        <f t="shared" si="364"/>
        <v>15.663855080343856</v>
      </c>
      <c r="CE162" s="562">
        <f t="shared" si="473"/>
        <v>-50</v>
      </c>
      <c r="CF162">
        <f t="shared" si="474"/>
        <v>-50</v>
      </c>
      <c r="CG162" s="173">
        <f t="shared" si="475"/>
        <v>0.5030636024880264</v>
      </c>
      <c r="CI162" s="170">
        <v>52</v>
      </c>
      <c r="CJ162" s="217">
        <f t="shared" si="428"/>
        <v>0.312</v>
      </c>
      <c r="CK162" s="217"/>
      <c r="CL162" s="217">
        <f t="shared" si="368"/>
        <v>53.04</v>
      </c>
      <c r="CM162" s="541">
        <f t="shared" si="369"/>
        <v>9</v>
      </c>
      <c r="CN162" s="443">
        <f t="shared" si="370"/>
        <v>8.5250000000000004</v>
      </c>
      <c r="CO162" s="443">
        <f t="shared" si="371"/>
        <v>17.524999999999999</v>
      </c>
      <c r="CP162" s="443"/>
      <c r="CQ162" s="217">
        <f t="shared" si="372"/>
        <v>0.48644793152639093</v>
      </c>
      <c r="CR162" s="172">
        <f t="shared" si="429"/>
        <v>147.11644793152644</v>
      </c>
      <c r="CS162" s="172">
        <f t="shared" si="373"/>
        <v>53.04</v>
      </c>
      <c r="CT162" s="217">
        <f t="shared" si="374"/>
        <v>0.86539087018544958</v>
      </c>
      <c r="CU162" s="217">
        <f t="shared" si="375"/>
        <v>170</v>
      </c>
      <c r="CV162" s="217"/>
      <c r="CW162" s="172">
        <f t="shared" si="376"/>
        <v>781.65352846167445</v>
      </c>
      <c r="CX162" s="172">
        <f t="shared" si="377"/>
        <v>170</v>
      </c>
      <c r="CY162" s="217">
        <f t="shared" si="378"/>
        <v>24.230068426197455</v>
      </c>
      <c r="CZ162" s="217">
        <f t="shared" si="379"/>
        <v>1.3461149125665253</v>
      </c>
      <c r="DA162" s="217">
        <f t="shared" si="380"/>
        <v>1.421118382768179</v>
      </c>
      <c r="DB162" s="197">
        <f t="shared" si="381"/>
        <v>350</v>
      </c>
      <c r="DC162" s="443">
        <f t="shared" si="382"/>
        <v>350</v>
      </c>
      <c r="DE162" s="217">
        <f t="shared" si="383"/>
        <v>25.017322192785819</v>
      </c>
      <c r="DF162" s="173">
        <f t="shared" si="384"/>
        <v>1.467291624210312</v>
      </c>
      <c r="DG162" s="173">
        <f t="shared" si="385"/>
        <v>0.32119243899439714</v>
      </c>
      <c r="DH162" s="173"/>
      <c r="DI162" s="173">
        <f t="shared" si="386"/>
        <v>0.78201368523949166</v>
      </c>
      <c r="DJ162" s="545">
        <f t="shared" si="387"/>
        <v>1196.9100000000001</v>
      </c>
      <c r="DK162" s="528">
        <f t="shared" si="388"/>
        <v>9.1234929944607357E-2</v>
      </c>
      <c r="DM162" s="173">
        <f t="shared" si="389"/>
        <v>24.656729014901504</v>
      </c>
      <c r="DN162" s="173">
        <f t="shared" si="390"/>
        <v>24.656729014901504</v>
      </c>
      <c r="DO162" s="173">
        <f t="shared" si="391"/>
        <v>9.5877005048653103</v>
      </c>
      <c r="DQ162" s="545">
        <f t="shared" si="392"/>
        <v>312</v>
      </c>
      <c r="DR162" s="460">
        <f t="shared" si="393"/>
        <v>350</v>
      </c>
      <c r="DT162">
        <f t="shared" si="430"/>
        <v>312</v>
      </c>
      <c r="DU162">
        <f t="shared" si="431"/>
        <v>350</v>
      </c>
      <c r="DW162" s="5">
        <f t="shared" si="394"/>
        <v>2.8571428571428572</v>
      </c>
      <c r="DX162" s="5">
        <f t="shared" si="395"/>
        <v>1.369818278605639</v>
      </c>
      <c r="DY162" s="5">
        <f t="shared" si="396"/>
        <v>1.4873245785372182</v>
      </c>
      <c r="DZ162" s="5"/>
      <c r="EA162" s="173">
        <f t="shared" si="397"/>
        <v>0.47943639751197364</v>
      </c>
      <c r="EB162" s="173">
        <f t="shared" si="398"/>
        <v>53.195999999999991</v>
      </c>
      <c r="EC162" s="173">
        <f t="shared" si="399"/>
        <v>0.32088489203920434</v>
      </c>
      <c r="ED162" s="173">
        <f t="shared" si="400"/>
        <v>165.77907318086116</v>
      </c>
      <c r="EE162" s="460">
        <f t="shared" si="401"/>
        <v>0.25140194289703494</v>
      </c>
      <c r="EF162" s="5">
        <f t="shared" si="402"/>
        <v>14.024479225886944</v>
      </c>
      <c r="EH162" s="173">
        <f t="shared" si="403"/>
        <v>9.8568996578508781</v>
      </c>
      <c r="EI162" s="173">
        <f t="shared" si="404"/>
        <v>0.51354882364408116</v>
      </c>
      <c r="EK162" s="528">
        <f t="shared" si="405"/>
        <v>3.8863388345976304</v>
      </c>
      <c r="EL162" s="528">
        <f t="shared" si="406"/>
        <v>4.1590508188666835</v>
      </c>
      <c r="EM162" s="528">
        <f t="shared" si="407"/>
        <v>6.9999999999999993E-2</v>
      </c>
      <c r="EN162" s="528">
        <f t="shared" si="408"/>
        <v>2.1498793749999998E-2</v>
      </c>
      <c r="EO162">
        <f t="shared" si="409"/>
        <v>4.0499999999999998E-3</v>
      </c>
      <c r="EP162" s="460">
        <f t="shared" si="410"/>
        <v>74.05</v>
      </c>
      <c r="EQ162" s="460"/>
      <c r="ER162" s="460">
        <f t="shared" si="432"/>
        <v>8140.9384472143138</v>
      </c>
      <c r="ES162" s="528">
        <f t="shared" si="411"/>
        <v>0.21839999999999998</v>
      </c>
      <c r="EV162" s="460">
        <f t="shared" si="412"/>
        <v>218.39999999999998</v>
      </c>
      <c r="EW162" s="528">
        <f t="shared" si="413"/>
        <v>2.9147541259482224</v>
      </c>
      <c r="EX162" s="528">
        <f t="shared" si="414"/>
        <v>7.9119718279865876E-3</v>
      </c>
      <c r="EY162" s="528">
        <f t="shared" si="415"/>
        <v>345.92246787174946</v>
      </c>
      <c r="EZ162" s="528"/>
      <c r="FA162" s="528">
        <f t="shared" si="416"/>
        <v>5.3195999999999994</v>
      </c>
      <c r="FB162" s="460">
        <f t="shared" si="417"/>
        <v>354164.73396952561</v>
      </c>
      <c r="FC162" s="173">
        <f t="shared" si="418"/>
        <v>362.52407241673995</v>
      </c>
      <c r="FD162" s="5">
        <f t="shared" si="419"/>
        <v>53.04</v>
      </c>
      <c r="FE162" s="173">
        <f t="shared" si="420"/>
        <v>0.12763374776732361</v>
      </c>
      <c r="FF162" s="5">
        <f t="shared" si="421"/>
        <v>12.763374776732361</v>
      </c>
      <c r="FI162" s="562">
        <f t="shared" si="422"/>
        <v>-50</v>
      </c>
      <c r="FJ162">
        <f t="shared" si="423"/>
        <v>-50</v>
      </c>
      <c r="FL162">
        <f t="shared" si="476"/>
        <v>0.50614986247598392</v>
      </c>
    </row>
    <row r="163" spans="5:168">
      <c r="E163" s="170">
        <v>53</v>
      </c>
      <c r="F163" s="217">
        <f t="shared" si="477"/>
        <v>0.318</v>
      </c>
      <c r="G163" s="217"/>
      <c r="H163" s="217">
        <f t="shared" si="442"/>
        <v>54.06</v>
      </c>
      <c r="I163" s="541">
        <f t="shared" si="443"/>
        <v>8.1068770285383902</v>
      </c>
      <c r="J163" s="172">
        <f t="shared" si="444"/>
        <v>8.5259569174694239</v>
      </c>
      <c r="K163" s="172">
        <f t="shared" si="445"/>
        <v>16.632833946007814</v>
      </c>
      <c r="L163" s="443"/>
      <c r="M163" s="217">
        <f t="shared" si="446"/>
        <v>0.51259728315320785</v>
      </c>
      <c r="N163" s="172">
        <f t="shared" si="447"/>
        <v>139.64077337057952</v>
      </c>
      <c r="O163" s="172">
        <f t="shared" si="438"/>
        <v>54.06</v>
      </c>
      <c r="P163" s="217">
        <f t="shared" si="448"/>
        <v>0.82141631394458547</v>
      </c>
      <c r="Q163" s="217">
        <f t="shared" si="449"/>
        <v>170</v>
      </c>
      <c r="R163" s="217"/>
      <c r="S163" s="172">
        <f t="shared" si="450"/>
        <v>687.75771412629183</v>
      </c>
      <c r="T163" s="172">
        <f t="shared" si="451"/>
        <v>170</v>
      </c>
      <c r="U163" s="217">
        <f t="shared" si="452"/>
        <v>26.097515586886523</v>
      </c>
      <c r="V163" s="217">
        <f t="shared" si="453"/>
        <v>1.6095911838193822</v>
      </c>
      <c r="W163" s="217">
        <f t="shared" si="454"/>
        <v>1.5304742822130331</v>
      </c>
      <c r="X163" s="197">
        <f t="shared" si="455"/>
        <v>350</v>
      </c>
      <c r="Y163" s="443">
        <f t="shared" si="328"/>
        <v>299.39532927415229</v>
      </c>
      <c r="AA163" s="217">
        <f t="shared" si="456"/>
        <v>23.746106906000882</v>
      </c>
      <c r="AB163" s="173">
        <f t="shared" si="457"/>
        <v>1.3925772283311588</v>
      </c>
      <c r="AC163" s="173">
        <f t="shared" si="458"/>
        <v>0.28934751771462341</v>
      </c>
      <c r="AD163" s="173"/>
      <c r="AE163" s="173">
        <f t="shared" si="459"/>
        <v>0.78192591531947242</v>
      </c>
      <c r="AF163" s="545">
        <f t="shared" si="460"/>
        <v>1220.0644348898747</v>
      </c>
      <c r="AG163" s="528">
        <f t="shared" si="461"/>
        <v>9.122469012060512E-2</v>
      </c>
      <c r="AI163" s="173">
        <f t="shared" si="462"/>
        <v>24.894080993591469</v>
      </c>
      <c r="AJ163" s="173">
        <f t="shared" si="463"/>
        <v>26.097515586886523</v>
      </c>
      <c r="AK163" s="173">
        <f t="shared" si="464"/>
        <v>10.654949817446806</v>
      </c>
      <c r="AM163" s="545">
        <f t="shared" si="465"/>
        <v>318</v>
      </c>
      <c r="AN163" s="460">
        <f t="shared" si="466"/>
        <v>299.39532927415229</v>
      </c>
      <c r="AP163">
        <f t="shared" si="467"/>
        <v>318</v>
      </c>
      <c r="AQ163">
        <f t="shared" si="468"/>
        <v>299.39532927415229</v>
      </c>
      <c r="AS163" s="5">
        <f t="shared" si="439"/>
        <v>3.3400654660324154</v>
      </c>
      <c r="AT163" s="5">
        <f t="shared" si="469"/>
        <v>1.6095911838193822</v>
      </c>
      <c r="AU163" s="5">
        <f t="shared" si="343"/>
        <v>1.7304742822130332</v>
      </c>
      <c r="AV163" s="5"/>
      <c r="AW163" s="173">
        <f t="shared" si="344"/>
        <v>0.48190408247637656</v>
      </c>
      <c r="AX163" s="173">
        <f t="shared" si="435"/>
        <v>50.978066652749185</v>
      </c>
      <c r="AY163" s="173">
        <f t="shared" si="436"/>
        <v>0.33802540707687595</v>
      </c>
      <c r="AZ163" s="173">
        <f t="shared" si="440"/>
        <v>150.81134608664317</v>
      </c>
      <c r="BA163" s="460">
        <f t="shared" si="433"/>
        <v>0.30108823320856681</v>
      </c>
      <c r="BB163" s="5">
        <f t="shared" si="434"/>
        <v>18.463226096484227</v>
      </c>
      <c r="BD163" s="173">
        <f t="shared" si="441"/>
        <v>10.459690667983251</v>
      </c>
      <c r="BE163" s="173">
        <f t="shared" si="437"/>
        <v>0.54226756402943233</v>
      </c>
      <c r="BG163" s="528">
        <f t="shared" si="347"/>
        <v>4.3762051547958363</v>
      </c>
      <c r="BH163" s="528">
        <f t="shared" si="470"/>
        <v>2.924104952560227</v>
      </c>
      <c r="BI163" s="528">
        <f t="shared" si="471"/>
        <v>9.7086444693772506E-2</v>
      </c>
      <c r="BJ163" s="528">
        <f t="shared" si="350"/>
        <v>1.6565613332369632E-2</v>
      </c>
      <c r="BK163">
        <f t="shared" si="351"/>
        <v>3.6480946628422756E-3</v>
      </c>
      <c r="BL163" s="460">
        <f t="shared" si="427"/>
        <v>100.73453935661477</v>
      </c>
      <c r="BM163" s="528">
        <f t="shared" si="472"/>
        <v>-213.60220848596677</v>
      </c>
      <c r="BN163" s="460">
        <f t="shared" si="353"/>
        <v>-213602.20848596678</v>
      </c>
      <c r="BO163" s="528">
        <f t="shared" si="354"/>
        <v>0.22259999999999999</v>
      </c>
      <c r="BR163" s="460">
        <f t="shared" si="355"/>
        <v>222.6</v>
      </c>
      <c r="BS163" s="528">
        <f t="shared" si="356"/>
        <v>3.282153866096877</v>
      </c>
      <c r="BT163" s="528">
        <f t="shared" si="357"/>
        <v>8.8216233299524341E-3</v>
      </c>
      <c r="BU163" s="528">
        <f t="shared" si="358"/>
        <v>269.82393435612897</v>
      </c>
      <c r="BV163" s="528"/>
      <c r="BW163" s="528">
        <f t="shared" si="359"/>
        <v>5.0978066652749181</v>
      </c>
      <c r="BX163" s="460">
        <f t="shared" si="360"/>
        <v>278212.71651083074</v>
      </c>
      <c r="BY163" s="173">
        <f t="shared" si="361"/>
        <v>285.85292677087574</v>
      </c>
      <c r="BZ163" s="5">
        <f t="shared" si="362"/>
        <v>54.06</v>
      </c>
      <c r="CA163" s="173">
        <f t="shared" si="363"/>
        <v>0.15904072997035529</v>
      </c>
      <c r="CB163" s="5">
        <f t="shared" si="364"/>
        <v>15.904072997035529</v>
      </c>
      <c r="CE163" s="562">
        <f t="shared" si="473"/>
        <v>-50</v>
      </c>
      <c r="CF163">
        <f t="shared" si="474"/>
        <v>-50</v>
      </c>
      <c r="CG163" s="173">
        <f t="shared" si="475"/>
        <v>0.49847558984114287</v>
      </c>
      <c r="CI163" s="170">
        <v>53</v>
      </c>
      <c r="CJ163" s="217">
        <f t="shared" si="428"/>
        <v>0.318</v>
      </c>
      <c r="CK163" s="217"/>
      <c r="CL163" s="217">
        <f t="shared" si="368"/>
        <v>54.06</v>
      </c>
      <c r="CM163" s="541">
        <f t="shared" si="369"/>
        <v>9</v>
      </c>
      <c r="CN163" s="443">
        <f t="shared" si="370"/>
        <v>8.5250000000000004</v>
      </c>
      <c r="CO163" s="443">
        <f t="shared" si="371"/>
        <v>17.524999999999999</v>
      </c>
      <c r="CP163" s="443"/>
      <c r="CQ163" s="217">
        <f t="shared" si="372"/>
        <v>0.48644793152639093</v>
      </c>
      <c r="CR163" s="172">
        <f t="shared" si="429"/>
        <v>147.11644793152644</v>
      </c>
      <c r="CS163" s="172">
        <f t="shared" si="373"/>
        <v>54.06</v>
      </c>
      <c r="CT163" s="217">
        <f t="shared" si="374"/>
        <v>0.86539087018544958</v>
      </c>
      <c r="CU163" s="217">
        <f t="shared" si="375"/>
        <v>170</v>
      </c>
      <c r="CV163" s="217"/>
      <c r="CW163" s="172">
        <f t="shared" si="376"/>
        <v>763.51402529969585</v>
      </c>
      <c r="CX163" s="172">
        <f t="shared" si="377"/>
        <v>170</v>
      </c>
      <c r="CY163" s="217">
        <f t="shared" si="378"/>
        <v>24.696031280547409</v>
      </c>
      <c r="CZ163" s="217">
        <f t="shared" si="379"/>
        <v>1.3720017378081892</v>
      </c>
      <c r="DA163" s="217">
        <f t="shared" si="380"/>
        <v>1.4484475824367982</v>
      </c>
      <c r="DB163" s="197">
        <f t="shared" si="381"/>
        <v>350</v>
      </c>
      <c r="DC163" s="443">
        <f t="shared" si="382"/>
        <v>350</v>
      </c>
      <c r="DE163" s="217">
        <f t="shared" si="383"/>
        <v>25.017322192785819</v>
      </c>
      <c r="DF163" s="173">
        <f t="shared" si="384"/>
        <v>1.467291624210312</v>
      </c>
      <c r="DG163" s="173">
        <f t="shared" si="385"/>
        <v>0.32119243899439714</v>
      </c>
      <c r="DH163" s="173"/>
      <c r="DI163" s="173">
        <f t="shared" si="386"/>
        <v>0.78201368523949166</v>
      </c>
      <c r="DJ163" s="545">
        <f t="shared" si="387"/>
        <v>1219.9275</v>
      </c>
      <c r="DK163" s="528">
        <f t="shared" si="388"/>
        <v>9.1234929944607357E-2</v>
      </c>
      <c r="DM163" s="173">
        <f t="shared" si="389"/>
        <v>24.892683951026942</v>
      </c>
      <c r="DN163" s="173">
        <f t="shared" si="390"/>
        <v>24.892683951026942</v>
      </c>
      <c r="DO163" s="173">
        <f t="shared" si="391"/>
        <v>9.7624819390323019</v>
      </c>
      <c r="DQ163" s="545">
        <f t="shared" si="392"/>
        <v>318</v>
      </c>
      <c r="DR163" s="460">
        <f t="shared" si="393"/>
        <v>350</v>
      </c>
      <c r="DT163">
        <f t="shared" si="430"/>
        <v>318</v>
      </c>
      <c r="DU163">
        <f t="shared" si="431"/>
        <v>350</v>
      </c>
      <c r="DW163" s="5">
        <f t="shared" si="394"/>
        <v>2.8571428571428572</v>
      </c>
      <c r="DX163" s="5">
        <f t="shared" si="395"/>
        <v>1.3829268861681634</v>
      </c>
      <c r="DY163" s="5">
        <f t="shared" si="396"/>
        <v>1.4742159709746938</v>
      </c>
      <c r="DZ163" s="5"/>
      <c r="EA163" s="173">
        <f t="shared" si="397"/>
        <v>0.48402441015885717</v>
      </c>
      <c r="EB163" s="173">
        <f t="shared" si="398"/>
        <v>54.218999999999994</v>
      </c>
      <c r="EC163" s="173">
        <f t="shared" si="399"/>
        <v>0.32110043210900702</v>
      </c>
      <c r="ED163" s="173">
        <f t="shared" si="400"/>
        <v>168.85371235375277</v>
      </c>
      <c r="EE163" s="460">
        <f t="shared" si="401"/>
        <v>0.25868867635380943</v>
      </c>
      <c r="EF163" s="5">
        <f t="shared" si="402"/>
        <v>14.168198291714125</v>
      </c>
      <c r="EH163" s="173">
        <f t="shared" si="403"/>
        <v>9.9987274417732213</v>
      </c>
      <c r="EI163" s="173">
        <f t="shared" si="404"/>
        <v>0.51617347126160651</v>
      </c>
      <c r="EK163" s="528">
        <f t="shared" si="405"/>
        <v>3.9989820181947544</v>
      </c>
      <c r="EL163" s="528">
        <f t="shared" si="406"/>
        <v>4.198851255076816</v>
      </c>
      <c r="EM163" s="528">
        <f t="shared" si="407"/>
        <v>6.9999999999999993E-2</v>
      </c>
      <c r="EN163" s="528">
        <f t="shared" si="408"/>
        <v>2.1498793749999998E-2</v>
      </c>
      <c r="EO163">
        <f t="shared" si="409"/>
        <v>4.0499999999999998E-3</v>
      </c>
      <c r="EP163" s="460">
        <f t="shared" si="410"/>
        <v>74.05</v>
      </c>
      <c r="EQ163" s="460"/>
      <c r="ER163" s="460">
        <f t="shared" si="432"/>
        <v>8293.38206702157</v>
      </c>
      <c r="ES163" s="528">
        <f t="shared" si="411"/>
        <v>0.22259999999999999</v>
      </c>
      <c r="EV163" s="460">
        <f t="shared" si="412"/>
        <v>222.6</v>
      </c>
      <c r="EW163" s="528">
        <f t="shared" si="413"/>
        <v>2.9992365136460659</v>
      </c>
      <c r="EX163" s="528">
        <f t="shared" si="414"/>
        <v>7.9930515730276958E-3</v>
      </c>
      <c r="EY163" s="528">
        <f t="shared" si="415"/>
        <v>354.25780555780659</v>
      </c>
      <c r="EZ163" s="528"/>
      <c r="FA163" s="528">
        <f t="shared" si="416"/>
        <v>5.4219000000000008</v>
      </c>
      <c r="FB163" s="460">
        <f t="shared" si="417"/>
        <v>362686.93512302573</v>
      </c>
      <c r="FC163" s="173">
        <f t="shared" si="418"/>
        <v>371.20291719004723</v>
      </c>
      <c r="FD163" s="5">
        <f t="shared" si="419"/>
        <v>54.06</v>
      </c>
      <c r="FE163" s="173">
        <f t="shared" si="420"/>
        <v>0.1271213590811186</v>
      </c>
      <c r="FF163" s="5">
        <f t="shared" si="421"/>
        <v>12.712135908111859</v>
      </c>
      <c r="FI163" s="562">
        <f t="shared" si="422"/>
        <v>-50</v>
      </c>
      <c r="FJ163">
        <f t="shared" si="423"/>
        <v>-50</v>
      </c>
      <c r="FL163">
        <f t="shared" si="476"/>
        <v>0.51099351219116884</v>
      </c>
    </row>
    <row r="164" spans="5:168">
      <c r="E164" s="170">
        <v>54</v>
      </c>
      <c r="F164" s="217">
        <f t="shared" si="477"/>
        <v>0.32400000000000001</v>
      </c>
      <c r="G164" s="217"/>
      <c r="H164" s="217">
        <f t="shared" si="442"/>
        <v>55.08</v>
      </c>
      <c r="I164" s="541">
        <f t="shared" si="443"/>
        <v>8.0857653056759808</v>
      </c>
      <c r="J164" s="172">
        <f t="shared" si="444"/>
        <v>8.5259795371724909</v>
      </c>
      <c r="K164" s="172">
        <f t="shared" si="445"/>
        <v>16.611744842848474</v>
      </c>
      <c r="L164" s="443"/>
      <c r="M164" s="217">
        <f t="shared" si="446"/>
        <v>0.51324911765409842</v>
      </c>
      <c r="N164" s="172">
        <f t="shared" si="447"/>
        <v>139.45423350522532</v>
      </c>
      <c r="O164" s="172">
        <f t="shared" si="438"/>
        <v>55.08</v>
      </c>
      <c r="P164" s="217">
        <f t="shared" si="448"/>
        <v>0.82031902061897244</v>
      </c>
      <c r="Q164" s="217">
        <f t="shared" si="449"/>
        <v>170</v>
      </c>
      <c r="R164" s="217"/>
      <c r="S164" s="172">
        <f t="shared" si="450"/>
        <v>670.27409628699365</v>
      </c>
      <c r="T164" s="172">
        <f t="shared" si="451"/>
        <v>170</v>
      </c>
      <c r="U164" s="217">
        <f t="shared" si="452"/>
        <v>26.625529547145614</v>
      </c>
      <c r="V164" s="217">
        <f t="shared" si="453"/>
        <v>1.6464446184491179</v>
      </c>
      <c r="W164" s="217">
        <f t="shared" si="454"/>
        <v>1.56143522460151</v>
      </c>
      <c r="X164" s="197">
        <f t="shared" si="455"/>
        <v>350</v>
      </c>
      <c r="Y164" s="443">
        <f t="shared" si="328"/>
        <v>293.43757586970293</v>
      </c>
      <c r="AA164" s="217">
        <f t="shared" si="456"/>
        <v>23.714398694849301</v>
      </c>
      <c r="AB164" s="173">
        <f t="shared" si="457"/>
        <v>1.3907140283093979</v>
      </c>
      <c r="AC164" s="173">
        <f t="shared" si="458"/>
        <v>0.2885745357061788</v>
      </c>
      <c r="AD164" s="173"/>
      <c r="AE164" s="173">
        <f t="shared" si="459"/>
        <v>0.78192384084439914</v>
      </c>
      <c r="AF164" s="545">
        <f t="shared" si="460"/>
        <v>1243.0878165197494</v>
      </c>
      <c r="AG164" s="528">
        <f t="shared" si="461"/>
        <v>9.1224448098513225E-2</v>
      </c>
      <c r="AI164" s="173">
        <f t="shared" si="462"/>
        <v>25.127866693801526</v>
      </c>
      <c r="AJ164" s="173">
        <f t="shared" si="463"/>
        <v>26.625529547145614</v>
      </c>
      <c r="AK164" s="173">
        <f t="shared" si="464"/>
        <v>11.046071269490579</v>
      </c>
      <c r="AM164" s="545">
        <f t="shared" si="465"/>
        <v>324</v>
      </c>
      <c r="AN164" s="460">
        <f t="shared" si="466"/>
        <v>293.43757586970293</v>
      </c>
      <c r="AP164">
        <f t="shared" si="467"/>
        <v>324</v>
      </c>
      <c r="AQ164">
        <f t="shared" si="468"/>
        <v>293.43757586970293</v>
      </c>
      <c r="AS164" s="5">
        <f t="shared" si="439"/>
        <v>3.4078798430506279</v>
      </c>
      <c r="AT164" s="5">
        <f t="shared" si="469"/>
        <v>1.6464446184491179</v>
      </c>
      <c r="AU164" s="5">
        <f t="shared" si="343"/>
        <v>1.7614352246015099</v>
      </c>
      <c r="AV164" s="5"/>
      <c r="AW164" s="173">
        <f t="shared" si="344"/>
        <v>0.48312871764142717</v>
      </c>
      <c r="AX164" s="173">
        <f t="shared" si="435"/>
        <v>52.005855276232538</v>
      </c>
      <c r="AY164" s="173">
        <f t="shared" si="436"/>
        <v>0.3440492900127306</v>
      </c>
      <c r="AZ164" s="173">
        <f t="shared" si="440"/>
        <v>151.15815316551939</v>
      </c>
      <c r="BA164" s="460">
        <f t="shared" si="433"/>
        <v>0.31379297433971426</v>
      </c>
      <c r="BB164" s="5">
        <f t="shared" si="434"/>
        <v>19.19815349633182</v>
      </c>
      <c r="BD164" s="173">
        <f t="shared" si="441"/>
        <v>10.684865342929175</v>
      </c>
      <c r="BE164" s="173">
        <f t="shared" si="437"/>
        <v>0.55258467034197367</v>
      </c>
      <c r="BG164" s="528">
        <f t="shared" si="347"/>
        <v>4.56665389586116</v>
      </c>
      <c r="BH164" s="528">
        <f t="shared" si="470"/>
        <v>2.9201943082027659</v>
      </c>
      <c r="BI164" s="528">
        <f t="shared" si="471"/>
        <v>9.4906694813956291E-2</v>
      </c>
      <c r="BJ164" s="528">
        <f t="shared" si="350"/>
        <v>1.6194823728108966E-2</v>
      </c>
      <c r="BK164">
        <f t="shared" si="351"/>
        <v>3.6385943875541912E-3</v>
      </c>
      <c r="BL164" s="460">
        <f t="shared" si="427"/>
        <v>98.545289201510485</v>
      </c>
      <c r="BM164" s="528">
        <f t="shared" si="472"/>
        <v>-102.73225899136182</v>
      </c>
      <c r="BN164" s="460">
        <f t="shared" si="353"/>
        <v>-102732.25899136181</v>
      </c>
      <c r="BO164" s="528">
        <f t="shared" si="354"/>
        <v>0.2268</v>
      </c>
      <c r="BR164" s="460">
        <f t="shared" si="355"/>
        <v>226.8</v>
      </c>
      <c r="BS164" s="528">
        <f t="shared" si="356"/>
        <v>3.42499042189587</v>
      </c>
      <c r="BT164" s="528">
        <f t="shared" si="357"/>
        <v>9.1604945369084308E-3</v>
      </c>
      <c r="BU164" s="528">
        <f t="shared" si="358"/>
        <v>269.77702128104278</v>
      </c>
      <c r="BV164" s="528"/>
      <c r="BW164" s="528">
        <f t="shared" si="359"/>
        <v>5.2005855276232547</v>
      </c>
      <c r="BX164" s="460">
        <f t="shared" si="360"/>
        <v>278411.75772509881</v>
      </c>
      <c r="BY164" s="173">
        <f t="shared" si="361"/>
        <v>286.24014604209236</v>
      </c>
      <c r="BZ164" s="5">
        <f t="shared" si="362"/>
        <v>55.08</v>
      </c>
      <c r="CA164" s="173">
        <f t="shared" si="363"/>
        <v>0.16137342210444094</v>
      </c>
      <c r="CB164" s="5">
        <f t="shared" si="364"/>
        <v>16.137342210444096</v>
      </c>
      <c r="CE164" s="562">
        <f t="shared" si="473"/>
        <v>-50</v>
      </c>
      <c r="CF164">
        <f t="shared" si="474"/>
        <v>-50</v>
      </c>
      <c r="CG164" s="173">
        <f t="shared" si="475"/>
        <v>0.49615268684961616</v>
      </c>
      <c r="CI164" s="170">
        <v>54</v>
      </c>
      <c r="CJ164" s="217">
        <f t="shared" si="428"/>
        <v>0.32400000000000001</v>
      </c>
      <c r="CK164" s="217"/>
      <c r="CL164" s="217">
        <f t="shared" si="368"/>
        <v>55.08</v>
      </c>
      <c r="CM164" s="541">
        <f t="shared" si="369"/>
        <v>9</v>
      </c>
      <c r="CN164" s="443">
        <f t="shared" si="370"/>
        <v>8.5250000000000004</v>
      </c>
      <c r="CO164" s="443">
        <f t="shared" si="371"/>
        <v>17.524999999999999</v>
      </c>
      <c r="CP164" s="443"/>
      <c r="CQ164" s="217">
        <f t="shared" si="372"/>
        <v>0.48644793152639093</v>
      </c>
      <c r="CR164" s="172">
        <f t="shared" si="429"/>
        <v>147.11644793152644</v>
      </c>
      <c r="CS164" s="172">
        <f t="shared" si="373"/>
        <v>55.08</v>
      </c>
      <c r="CT164" s="217">
        <f t="shared" si="374"/>
        <v>0.86539087018544958</v>
      </c>
      <c r="CU164" s="217">
        <f t="shared" si="375"/>
        <v>170</v>
      </c>
      <c r="CV164" s="217"/>
      <c r="CW164" s="172">
        <f t="shared" si="376"/>
        <v>746.04648104511159</v>
      </c>
      <c r="CX164" s="172">
        <f t="shared" si="377"/>
        <v>170</v>
      </c>
      <c r="CY164" s="217">
        <f t="shared" si="378"/>
        <v>25.161994134897359</v>
      </c>
      <c r="CZ164" s="217">
        <f t="shared" si="379"/>
        <v>1.397888563049853</v>
      </c>
      <c r="DA164" s="217">
        <f t="shared" si="380"/>
        <v>1.4757767821054169</v>
      </c>
      <c r="DB164" s="197">
        <f t="shared" si="381"/>
        <v>350</v>
      </c>
      <c r="DC164" s="443">
        <f t="shared" si="382"/>
        <v>347.98763247985931</v>
      </c>
      <c r="DE164" s="217">
        <f t="shared" si="383"/>
        <v>25.017322192785819</v>
      </c>
      <c r="DF164" s="173">
        <f t="shared" si="384"/>
        <v>1.467291624210312</v>
      </c>
      <c r="DG164" s="173">
        <f t="shared" si="385"/>
        <v>0.32119243899439714</v>
      </c>
      <c r="DH164" s="173"/>
      <c r="DI164" s="173">
        <f t="shared" si="386"/>
        <v>0.78201368523949166</v>
      </c>
      <c r="DJ164" s="545">
        <f t="shared" si="387"/>
        <v>1242.9449999999999</v>
      </c>
      <c r="DK164" s="528">
        <f t="shared" si="388"/>
        <v>9.1234929944607357E-2</v>
      </c>
      <c r="DM164" s="173">
        <f t="shared" si="389"/>
        <v>25.126423200629709</v>
      </c>
      <c r="DN164" s="173">
        <f t="shared" si="390"/>
        <v>25.161994134897359</v>
      </c>
      <c r="DO164" s="173">
        <f t="shared" si="391"/>
        <v>9.9619709641215</v>
      </c>
      <c r="DQ164" s="545">
        <f t="shared" si="392"/>
        <v>324</v>
      </c>
      <c r="DR164" s="460">
        <f t="shared" si="393"/>
        <v>347.98763247985931</v>
      </c>
      <c r="DT164">
        <f t="shared" si="430"/>
        <v>324</v>
      </c>
      <c r="DU164">
        <f t="shared" si="431"/>
        <v>347.98763247985931</v>
      </c>
      <c r="DW164" s="5">
        <f t="shared" si="394"/>
        <v>2.8736653451552696</v>
      </c>
      <c r="DX164" s="5">
        <f t="shared" si="395"/>
        <v>1.397888563049853</v>
      </c>
      <c r="DY164" s="5">
        <f t="shared" si="396"/>
        <v>1.4757767821054166</v>
      </c>
      <c r="DZ164" s="5"/>
      <c r="EA164" s="173">
        <f t="shared" si="397"/>
        <v>0.48644793152639088</v>
      </c>
      <c r="EB164" s="173">
        <f t="shared" si="398"/>
        <v>55.080000000000005</v>
      </c>
      <c r="EC164" s="173">
        <f t="shared" si="399"/>
        <v>0.32304985337243403</v>
      </c>
      <c r="ED164" s="173">
        <f t="shared" si="400"/>
        <v>170.5</v>
      </c>
      <c r="EE164" s="460">
        <f t="shared" si="401"/>
        <v>0.26642111436950144</v>
      </c>
      <c r="EF164" s="5">
        <f t="shared" si="402"/>
        <v>14.450806250376241</v>
      </c>
      <c r="EH164" s="173">
        <f t="shared" si="403"/>
        <v>10.132173314268821</v>
      </c>
      <c r="EI164" s="173">
        <f t="shared" si="404"/>
        <v>0.52053109147730503</v>
      </c>
      <c r="EK164" s="528">
        <f t="shared" si="405"/>
        <v>4.1064374428152481</v>
      </c>
      <c r="EL164" s="528">
        <f t="shared" si="406"/>
        <v>4.2198750000000009</v>
      </c>
      <c r="EM164" s="528">
        <f t="shared" si="407"/>
        <v>6.9597526495971868E-2</v>
      </c>
      <c r="EN164" s="528">
        <f t="shared" si="408"/>
        <v>2.1375183823529417E-2</v>
      </c>
      <c r="EO164">
        <f t="shared" si="409"/>
        <v>4.0499999999999998E-3</v>
      </c>
      <c r="EP164" s="460">
        <f t="shared" si="410"/>
        <v>73.64752649597186</v>
      </c>
      <c r="EQ164" s="460"/>
      <c r="ER164" s="460">
        <f t="shared" si="432"/>
        <v>8421.3351531347507</v>
      </c>
      <c r="ES164" s="528">
        <f t="shared" si="411"/>
        <v>0.2268</v>
      </c>
      <c r="EV164" s="460">
        <f t="shared" si="412"/>
        <v>226.8</v>
      </c>
      <c r="EW164" s="528">
        <f t="shared" si="413"/>
        <v>3.0798280821114363</v>
      </c>
      <c r="EX164" s="528">
        <f t="shared" si="414"/>
        <v>8.1285785158366347E-3</v>
      </c>
      <c r="EY164" s="528">
        <f t="shared" si="415"/>
        <v>358.70891443764418</v>
      </c>
      <c r="EZ164" s="528"/>
      <c r="FA164" s="528">
        <f t="shared" si="416"/>
        <v>5.5080000000000009</v>
      </c>
      <c r="FB164" s="460">
        <f t="shared" si="417"/>
        <v>367304.87109827145</v>
      </c>
      <c r="FC164" s="173">
        <f t="shared" si="418"/>
        <v>375.95300625140618</v>
      </c>
      <c r="FD164" s="5">
        <f t="shared" si="419"/>
        <v>55.08</v>
      </c>
      <c r="FE164" s="173">
        <f t="shared" si="420"/>
        <v>0.12778603773065536</v>
      </c>
      <c r="FF164" s="5">
        <f t="shared" si="421"/>
        <v>12.778603773065536</v>
      </c>
      <c r="FI164" s="562">
        <f t="shared" si="422"/>
        <v>-50</v>
      </c>
      <c r="FJ164">
        <f t="shared" si="423"/>
        <v>-50</v>
      </c>
      <c r="FL164">
        <f t="shared" si="476"/>
        <v>0.51355206847360912</v>
      </c>
    </row>
    <row r="165" spans="5:168">
      <c r="E165" s="170">
        <v>55</v>
      </c>
      <c r="F165" s="217">
        <f t="shared" si="477"/>
        <v>0.33</v>
      </c>
      <c r="G165" s="217"/>
      <c r="H165" s="217">
        <f t="shared" si="442"/>
        <v>56.1</v>
      </c>
      <c r="I165" s="541">
        <f t="shared" si="443"/>
        <v>8.0694283762293662</v>
      </c>
      <c r="J165" s="172">
        <f t="shared" si="444"/>
        <v>8.5259970410254677</v>
      </c>
      <c r="K165" s="172">
        <f t="shared" si="445"/>
        <v>16.595425417254834</v>
      </c>
      <c r="L165" s="443"/>
      <c r="M165" s="217">
        <f t="shared" si="446"/>
        <v>0.5137548872560338</v>
      </c>
      <c r="N165" s="172">
        <f t="shared" si="447"/>
        <v>139.30961675340421</v>
      </c>
      <c r="O165" s="172">
        <f t="shared" si="438"/>
        <v>56.1</v>
      </c>
      <c r="P165" s="217">
        <f t="shared" si="448"/>
        <v>0.81946833384355422</v>
      </c>
      <c r="Q165" s="217">
        <f t="shared" si="449"/>
        <v>170</v>
      </c>
      <c r="R165" s="217"/>
      <c r="S165" s="172">
        <f t="shared" si="450"/>
        <v>653.82853165638039</v>
      </c>
      <c r="T165" s="172">
        <f t="shared" si="451"/>
        <v>170</v>
      </c>
      <c r="U165" s="217">
        <f t="shared" si="452"/>
        <v>27.146802413108261</v>
      </c>
      <c r="V165" s="217">
        <f t="shared" si="453"/>
        <v>1.6820771650366424</v>
      </c>
      <c r="W165" s="217">
        <f t="shared" si="454"/>
        <v>1.5920016323300981</v>
      </c>
      <c r="X165" s="197">
        <f t="shared" si="455"/>
        <v>350</v>
      </c>
      <c r="Y165" s="443">
        <f t="shared" si="328"/>
        <v>287.84609052563036</v>
      </c>
      <c r="AA165" s="217">
        <f t="shared" si="456"/>
        <v>23.689806326977276</v>
      </c>
      <c r="AB165" s="173">
        <f t="shared" si="457"/>
        <v>1.3892689742317792</v>
      </c>
      <c r="AC165" s="173">
        <f t="shared" si="458"/>
        <v>0.28797573818675581</v>
      </c>
      <c r="AD165" s="173"/>
      <c r="AE165" s="173">
        <f t="shared" si="459"/>
        <v>0.78192223555649165</v>
      </c>
      <c r="AF165" s="545">
        <f t="shared" si="460"/>
        <v>1266.1105605922821</v>
      </c>
      <c r="AG165" s="528">
        <f t="shared" si="461"/>
        <v>9.1224260814924019E-2</v>
      </c>
      <c r="AI165" s="173">
        <f t="shared" si="462"/>
        <v>25.359490862570137</v>
      </c>
      <c r="AJ165" s="173">
        <f t="shared" si="463"/>
        <v>27.146802413108261</v>
      </c>
      <c r="AK165" s="173">
        <f t="shared" si="464"/>
        <v>11.432199318351797</v>
      </c>
      <c r="AM165" s="545">
        <f t="shared" si="465"/>
        <v>330</v>
      </c>
      <c r="AN165" s="460">
        <f t="shared" si="466"/>
        <v>287.84609052563036</v>
      </c>
      <c r="AP165">
        <f t="shared" si="467"/>
        <v>330</v>
      </c>
      <c r="AQ165">
        <f t="shared" si="468"/>
        <v>287.84609052563036</v>
      </c>
      <c r="AS165" s="5">
        <f t="shared" si="439"/>
        <v>3.4740787973667411</v>
      </c>
      <c r="AT165" s="5">
        <f t="shared" si="469"/>
        <v>1.6820771650366424</v>
      </c>
      <c r="AU165" s="5">
        <f t="shared" si="343"/>
        <v>1.7920016323300987</v>
      </c>
      <c r="AV165" s="5"/>
      <c r="AW165" s="173">
        <f t="shared" si="344"/>
        <v>0.48417933591823303</v>
      </c>
      <c r="AX165" s="173">
        <f t="shared" si="435"/>
        <v>53.031963596718654</v>
      </c>
      <c r="AY165" s="173">
        <f t="shared" si="436"/>
        <v>0.3500720412106505</v>
      </c>
      <c r="AZ165" s="173">
        <f t="shared" si="440"/>
        <v>151.48871476087825</v>
      </c>
      <c r="BA165" s="460">
        <f t="shared" si="433"/>
        <v>0.32652086144828946</v>
      </c>
      <c r="BB165" s="5">
        <f t="shared" si="434"/>
        <v>19.933266523782034</v>
      </c>
      <c r="BD165" s="173">
        <f t="shared" si="441"/>
        <v>10.905891678849247</v>
      </c>
      <c r="BE165" s="173">
        <f t="shared" si="437"/>
        <v>0.5628302447777962</v>
      </c>
      <c r="BG165" s="528">
        <f t="shared" si="347"/>
        <v>4.7575389324317303</v>
      </c>
      <c r="BH165" s="528">
        <f t="shared" si="470"/>
        <v>2.9177624122591248</v>
      </c>
      <c r="BI165" s="528">
        <f t="shared" si="471"/>
        <v>9.2910136434968343E-2</v>
      </c>
      <c r="BJ165" s="528">
        <f t="shared" si="350"/>
        <v>1.5855031554748836E-2</v>
      </c>
      <c r="BK165">
        <f t="shared" si="351"/>
        <v>3.6312427693032147E-3</v>
      </c>
      <c r="BL165" s="460">
        <f t="shared" si="427"/>
        <v>96.54137920427155</v>
      </c>
      <c r="BM165" s="528">
        <f t="shared" si="472"/>
        <v>-68.836611844735913</v>
      </c>
      <c r="BN165" s="460">
        <f t="shared" si="353"/>
        <v>-68836.611844735919</v>
      </c>
      <c r="BO165" s="528">
        <f t="shared" si="354"/>
        <v>0.23099999999999998</v>
      </c>
      <c r="BR165" s="460">
        <f t="shared" si="355"/>
        <v>230.99999999999997</v>
      </c>
      <c r="BS165" s="528">
        <f t="shared" si="356"/>
        <v>3.5681541993237977</v>
      </c>
      <c r="BT165" s="528">
        <f t="shared" si="357"/>
        <v>9.5033365330990192E-3</v>
      </c>
      <c r="BU165" s="528">
        <f t="shared" si="358"/>
        <v>269.87804006130875</v>
      </c>
      <c r="BV165" s="528"/>
      <c r="BW165" s="528">
        <f t="shared" si="359"/>
        <v>5.3031963596718654</v>
      </c>
      <c r="BX165" s="460">
        <f t="shared" si="360"/>
        <v>278758.89395683748</v>
      </c>
      <c r="BY165" s="173">
        <f t="shared" si="361"/>
        <v>286.7775917122874</v>
      </c>
      <c r="BZ165" s="5">
        <f t="shared" si="362"/>
        <v>56.1</v>
      </c>
      <c r="CA165" s="173">
        <f t="shared" si="363"/>
        <v>0.16361524157890775</v>
      </c>
      <c r="CB165" s="5">
        <f t="shared" si="364"/>
        <v>16.361524157890774</v>
      </c>
      <c r="CE165" s="562">
        <f t="shared" si="473"/>
        <v>-50</v>
      </c>
      <c r="CF165">
        <f t="shared" si="474"/>
        <v>-50</v>
      </c>
      <c r="CG165" s="173">
        <f t="shared" si="475"/>
        <v>0.4964690392427798</v>
      </c>
      <c r="CI165" s="170">
        <v>55</v>
      </c>
      <c r="CJ165" s="217">
        <f t="shared" si="428"/>
        <v>0.33</v>
      </c>
      <c r="CK165" s="217"/>
      <c r="CL165" s="217">
        <f t="shared" si="368"/>
        <v>56.1</v>
      </c>
      <c r="CM165" s="541">
        <f t="shared" si="369"/>
        <v>9</v>
      </c>
      <c r="CN165" s="443">
        <f t="shared" si="370"/>
        <v>8.5250000000000004</v>
      </c>
      <c r="CO165" s="443">
        <f t="shared" si="371"/>
        <v>17.524999999999999</v>
      </c>
      <c r="CP165" s="443"/>
      <c r="CQ165" s="217">
        <f t="shared" si="372"/>
        <v>0.48644793152639093</v>
      </c>
      <c r="CR165" s="172">
        <f t="shared" si="429"/>
        <v>147.11644793152644</v>
      </c>
      <c r="CS165" s="172">
        <f t="shared" si="373"/>
        <v>56.1</v>
      </c>
      <c r="CT165" s="217">
        <f t="shared" si="374"/>
        <v>0.86539087018544958</v>
      </c>
      <c r="CU165" s="217">
        <f t="shared" si="375"/>
        <v>170</v>
      </c>
      <c r="CV165" s="217"/>
      <c r="CW165" s="172">
        <f t="shared" si="376"/>
        <v>729.21424504140157</v>
      </c>
      <c r="CX165" s="172">
        <f t="shared" si="377"/>
        <v>170</v>
      </c>
      <c r="CY165" s="217">
        <f t="shared" si="378"/>
        <v>25.627956989247309</v>
      </c>
      <c r="CZ165" s="217">
        <f t="shared" si="379"/>
        <v>1.4237753882915172</v>
      </c>
      <c r="DA165" s="217">
        <f t="shared" si="380"/>
        <v>1.5031059817740358</v>
      </c>
      <c r="DB165" s="197">
        <f t="shared" si="381"/>
        <v>350</v>
      </c>
      <c r="DC165" s="443">
        <f t="shared" si="382"/>
        <v>341.66058461658906</v>
      </c>
      <c r="DE165" s="217">
        <f t="shared" si="383"/>
        <v>25.017322192785819</v>
      </c>
      <c r="DF165" s="173">
        <f t="shared" si="384"/>
        <v>1.467291624210312</v>
      </c>
      <c r="DG165" s="173">
        <f t="shared" si="385"/>
        <v>0.32119243899439714</v>
      </c>
      <c r="DH165" s="173"/>
      <c r="DI165" s="173">
        <f t="shared" si="386"/>
        <v>0.78201368523949166</v>
      </c>
      <c r="DJ165" s="545">
        <f t="shared" si="387"/>
        <v>1265.9625000000001</v>
      </c>
      <c r="DK165" s="528">
        <f t="shared" si="388"/>
        <v>9.1234929944607357E-2</v>
      </c>
      <c r="DM165" s="173">
        <f t="shared" si="389"/>
        <v>25.358008033529988</v>
      </c>
      <c r="DN165" s="173">
        <f t="shared" si="390"/>
        <v>25.627956989247309</v>
      </c>
      <c r="DO165" s="173">
        <f t="shared" si="391"/>
        <v>10.307128634010351</v>
      </c>
      <c r="DQ165" s="545">
        <f t="shared" si="392"/>
        <v>330</v>
      </c>
      <c r="DR165" s="460">
        <f t="shared" si="393"/>
        <v>341.66058461658906</v>
      </c>
      <c r="DT165">
        <f t="shared" si="430"/>
        <v>330</v>
      </c>
      <c r="DU165">
        <f t="shared" si="431"/>
        <v>341.66058461658906</v>
      </c>
      <c r="DW165" s="5">
        <f t="shared" si="394"/>
        <v>2.9268813700655532</v>
      </c>
      <c r="DX165" s="5">
        <f t="shared" si="395"/>
        <v>1.4237753882915172</v>
      </c>
      <c r="DY165" s="5">
        <f t="shared" si="396"/>
        <v>1.503105981774036</v>
      </c>
      <c r="DZ165" s="5"/>
      <c r="EA165" s="173">
        <f t="shared" si="397"/>
        <v>0.48644793152639082</v>
      </c>
      <c r="EB165" s="173">
        <f t="shared" si="398"/>
        <v>56.099999999999987</v>
      </c>
      <c r="EC165" s="173">
        <f t="shared" si="399"/>
        <v>0.32903225806451614</v>
      </c>
      <c r="ED165" s="173">
        <f t="shared" si="400"/>
        <v>170.49999999999994</v>
      </c>
      <c r="EE165" s="460">
        <f t="shared" si="401"/>
        <v>0.27637992831541214</v>
      </c>
      <c r="EF165" s="5">
        <f t="shared" si="402"/>
        <v>14.99097699155972</v>
      </c>
      <c r="EH165" s="173">
        <f t="shared" si="403"/>
        <v>10.319806153421945</v>
      </c>
      <c r="EI165" s="173">
        <f t="shared" si="404"/>
        <v>0.5301705561342922</v>
      </c>
      <c r="EK165" s="528">
        <f t="shared" si="405"/>
        <v>4.2599359617682175</v>
      </c>
      <c r="EL165" s="528">
        <f t="shared" si="406"/>
        <v>4.219875</v>
      </c>
      <c r="EM165" s="528">
        <f t="shared" si="407"/>
        <v>6.8332116923317809E-2</v>
      </c>
      <c r="EN165" s="528">
        <f t="shared" si="408"/>
        <v>2.0986544117647058E-2</v>
      </c>
      <c r="EO165">
        <f t="shared" si="409"/>
        <v>4.0499999999999998E-3</v>
      </c>
      <c r="EP165" s="460">
        <f t="shared" si="410"/>
        <v>72.38211692331781</v>
      </c>
      <c r="EQ165" s="460"/>
      <c r="ER165" s="460">
        <f t="shared" si="432"/>
        <v>8573.1796228091825</v>
      </c>
      <c r="ES165" s="528">
        <f t="shared" si="411"/>
        <v>0.23099999999999998</v>
      </c>
      <c r="EV165" s="460">
        <f t="shared" si="412"/>
        <v>230.99999999999997</v>
      </c>
      <c r="EW165" s="528">
        <f t="shared" si="413"/>
        <v>3.1949519713261632</v>
      </c>
      <c r="EX165" s="528">
        <f t="shared" si="414"/>
        <v>8.43242455775234E-3</v>
      </c>
      <c r="EY165" s="528">
        <f t="shared" si="415"/>
        <v>358.70891443764481</v>
      </c>
      <c r="EZ165" s="528"/>
      <c r="FA165" s="528">
        <f t="shared" si="416"/>
        <v>5.6099999999999994</v>
      </c>
      <c r="FB165" s="460">
        <f t="shared" si="417"/>
        <v>367522.29883352871</v>
      </c>
      <c r="FC165" s="173">
        <f t="shared" si="418"/>
        <v>376.3264784563379</v>
      </c>
      <c r="FD165" s="5">
        <f t="shared" si="419"/>
        <v>56.1</v>
      </c>
      <c r="FE165" s="173">
        <f t="shared" si="420"/>
        <v>0.12973303623835425</v>
      </c>
      <c r="FF165" s="5">
        <f t="shared" si="421"/>
        <v>12.973303623835426</v>
      </c>
      <c r="FI165" s="562">
        <f t="shared" si="422"/>
        <v>-50</v>
      </c>
      <c r="FJ165">
        <f t="shared" si="423"/>
        <v>-50</v>
      </c>
      <c r="FL165">
        <f t="shared" si="476"/>
        <v>0.51355206847360924</v>
      </c>
    </row>
    <row r="166" spans="5:168">
      <c r="E166" s="170">
        <v>56</v>
      </c>
      <c r="F166" s="217">
        <f t="shared" si="477"/>
        <v>0.33600000000000002</v>
      </c>
      <c r="G166" s="217"/>
      <c r="H166" s="217">
        <f t="shared" si="442"/>
        <v>57.120000000000005</v>
      </c>
      <c r="I166" s="541">
        <f t="shared" si="443"/>
        <v>8.0530907180748219</v>
      </c>
      <c r="J166" s="172">
        <f t="shared" si="444"/>
        <v>8.5260145456592067</v>
      </c>
      <c r="K166" s="172">
        <f t="shared" si="445"/>
        <v>16.579105263734029</v>
      </c>
      <c r="L166" s="443"/>
      <c r="M166" s="217">
        <f t="shared" si="446"/>
        <v>0.51426167515761101</v>
      </c>
      <c r="N166" s="172">
        <f t="shared" si="447"/>
        <v>139.16470766162138</v>
      </c>
      <c r="O166" s="172">
        <f t="shared" si="438"/>
        <v>57.120000000000005</v>
      </c>
      <c r="P166" s="217">
        <f t="shared" si="448"/>
        <v>0.81861592742130218</v>
      </c>
      <c r="Q166" s="217">
        <f t="shared" si="449"/>
        <v>170</v>
      </c>
      <c r="R166" s="217"/>
      <c r="S166" s="172">
        <f t="shared" si="450"/>
        <v>637.98204430148212</v>
      </c>
      <c r="T166" s="172">
        <f t="shared" si="451"/>
        <v>170</v>
      </c>
      <c r="U166" s="217">
        <f t="shared" si="452"/>
        <v>27.669218821391077</v>
      </c>
      <c r="V166" s="217">
        <f t="shared" si="453"/>
        <v>1.717925439439586</v>
      </c>
      <c r="W166" s="217">
        <f t="shared" si="454"/>
        <v>1.6226349763546979</v>
      </c>
      <c r="X166" s="197">
        <f t="shared" si="455"/>
        <v>350</v>
      </c>
      <c r="Y166" s="443">
        <f t="shared" si="328"/>
        <v>282.44116257388066</v>
      </c>
      <c r="AA166" s="217">
        <f t="shared" si="456"/>
        <v>23.665164247437616</v>
      </c>
      <c r="AB166" s="173">
        <f t="shared" si="457"/>
        <v>1.3878210106670592</v>
      </c>
      <c r="AC166" s="173">
        <f t="shared" si="458"/>
        <v>0.28737635643045728</v>
      </c>
      <c r="AD166" s="173"/>
      <c r="AE166" s="173">
        <f t="shared" si="459"/>
        <v>0.78192063020357183</v>
      </c>
      <c r="AF166" s="545">
        <f t="shared" si="460"/>
        <v>1289.1333993036719</v>
      </c>
      <c r="AG166" s="528">
        <f t="shared" si="461"/>
        <v>9.122407352375006E-2</v>
      </c>
      <c r="AI166" s="173">
        <f t="shared" si="462"/>
        <v>25.58901946356341</v>
      </c>
      <c r="AJ166" s="173">
        <f t="shared" si="463"/>
        <v>27.669218821391077</v>
      </c>
      <c r="AK166" s="173">
        <f t="shared" si="464"/>
        <v>11.819174435598327</v>
      </c>
      <c r="AM166" s="545">
        <f t="shared" si="465"/>
        <v>336</v>
      </c>
      <c r="AN166" s="460">
        <f t="shared" si="466"/>
        <v>282.44116257388066</v>
      </c>
      <c r="AP166">
        <f t="shared" si="467"/>
        <v>336</v>
      </c>
      <c r="AQ166">
        <f t="shared" si="468"/>
        <v>282.44116257388066</v>
      </c>
      <c r="AS166" s="5">
        <f t="shared" si="439"/>
        <v>3.5405604157942845</v>
      </c>
      <c r="AT166" s="5">
        <f t="shared" si="469"/>
        <v>1.717925439439586</v>
      </c>
      <c r="AU166" s="5">
        <f t="shared" si="343"/>
        <v>1.8226349763546985</v>
      </c>
      <c r="AV166" s="5"/>
      <c r="AW166" s="173">
        <f t="shared" si="344"/>
        <v>0.48521285833056149</v>
      </c>
      <c r="AX166" s="173">
        <f t="shared" si="435"/>
        <v>54.058226684310917</v>
      </c>
      <c r="AY166" s="173">
        <f t="shared" si="436"/>
        <v>0.35609395173225361</v>
      </c>
      <c r="AZ166" s="173">
        <f t="shared" si="440"/>
        <v>151.80888757402204</v>
      </c>
      <c r="BA166" s="460">
        <f t="shared" si="433"/>
        <v>0.33954291038335349</v>
      </c>
      <c r="BB166" s="5">
        <f t="shared" si="434"/>
        <v>20.684512517056309</v>
      </c>
      <c r="BD166" s="173">
        <f t="shared" si="441"/>
        <v>11.127623455884883</v>
      </c>
      <c r="BE166" s="173">
        <f t="shared" si="437"/>
        <v>0.57308642371674912</v>
      </c>
      <c r="BG166" s="528">
        <f t="shared" si="347"/>
        <v>4.9529601510383774</v>
      </c>
      <c r="BH166" s="528">
        <f t="shared" si="470"/>
        <v>2.9152009412329161</v>
      </c>
      <c r="BI166" s="528">
        <f t="shared" si="471"/>
        <v>9.0980972189039208E-2</v>
      </c>
      <c r="BJ166" s="528">
        <f t="shared" si="350"/>
        <v>1.5526735830847849E-2</v>
      </c>
      <c r="BK166">
        <f t="shared" si="351"/>
        <v>3.6238908231336696E-3</v>
      </c>
      <c r="BL166" s="460">
        <f t="shared" si="427"/>
        <v>94.604863012172871</v>
      </c>
      <c r="BM166" s="528">
        <f t="shared" si="472"/>
        <v>-52.148022381966648</v>
      </c>
      <c r="BN166" s="460">
        <f t="shared" si="353"/>
        <v>-52148.02238196665</v>
      </c>
      <c r="BO166" s="528">
        <f t="shared" si="354"/>
        <v>0.23519999999999999</v>
      </c>
      <c r="BR166" s="460">
        <f t="shared" si="355"/>
        <v>235.2</v>
      </c>
      <c r="BS166" s="528">
        <f t="shared" si="356"/>
        <v>3.714720113278783</v>
      </c>
      <c r="BT166" s="528">
        <f t="shared" si="357"/>
        <v>9.8528414714535977E-3</v>
      </c>
      <c r="BU166" s="528">
        <f t="shared" si="358"/>
        <v>269.9493122877256</v>
      </c>
      <c r="BV166" s="528"/>
      <c r="BW166" s="528">
        <f t="shared" si="359"/>
        <v>5.4058226684310924</v>
      </c>
      <c r="BX166" s="460">
        <f t="shared" si="360"/>
        <v>279079.70791090693</v>
      </c>
      <c r="BY166" s="173">
        <f t="shared" si="361"/>
        <v>287.29320060202122</v>
      </c>
      <c r="BZ166" s="5">
        <f t="shared" si="362"/>
        <v>57.120000000000005</v>
      </c>
      <c r="CA166" s="173">
        <f t="shared" si="363"/>
        <v>0.16584730172988843</v>
      </c>
      <c r="CB166" s="5">
        <f t="shared" si="364"/>
        <v>16.584730172988841</v>
      </c>
      <c r="CE166" s="562">
        <f t="shared" si="473"/>
        <v>-50</v>
      </c>
      <c r="CF166">
        <f t="shared" si="474"/>
        <v>-50</v>
      </c>
      <c r="CG166" s="173">
        <f t="shared" si="475"/>
        <v>0.49677409333618722</v>
      </c>
      <c r="CI166" s="170">
        <v>56</v>
      </c>
      <c r="CJ166" s="217">
        <f t="shared" si="428"/>
        <v>0.33600000000000002</v>
      </c>
      <c r="CK166" s="217"/>
      <c r="CL166" s="217">
        <f t="shared" si="368"/>
        <v>57.120000000000005</v>
      </c>
      <c r="CM166" s="541">
        <f t="shared" si="369"/>
        <v>9</v>
      </c>
      <c r="CN166" s="443">
        <f t="shared" si="370"/>
        <v>8.5250000000000004</v>
      </c>
      <c r="CO166" s="443">
        <f t="shared" si="371"/>
        <v>17.524999999999999</v>
      </c>
      <c r="CP166" s="443"/>
      <c r="CQ166" s="217">
        <f t="shared" si="372"/>
        <v>0.48644793152639093</v>
      </c>
      <c r="CR166" s="172">
        <f t="shared" si="429"/>
        <v>147.11644793152644</v>
      </c>
      <c r="CS166" s="172">
        <f t="shared" si="373"/>
        <v>57.120000000000005</v>
      </c>
      <c r="CT166" s="217">
        <f t="shared" si="374"/>
        <v>0.86539087018544958</v>
      </c>
      <c r="CU166" s="217">
        <f t="shared" si="375"/>
        <v>170</v>
      </c>
      <c r="CV166" s="217"/>
      <c r="CW166" s="172">
        <f t="shared" si="376"/>
        <v>712.9832845649405</v>
      </c>
      <c r="CX166" s="172">
        <f t="shared" si="377"/>
        <v>170</v>
      </c>
      <c r="CY166" s="217">
        <f t="shared" si="378"/>
        <v>26.093919843597263</v>
      </c>
      <c r="CZ166" s="217">
        <f t="shared" si="379"/>
        <v>1.4496622135331814</v>
      </c>
      <c r="DA166" s="217">
        <f t="shared" si="380"/>
        <v>1.5304351814426547</v>
      </c>
      <c r="DB166" s="197">
        <f t="shared" si="381"/>
        <v>350</v>
      </c>
      <c r="DC166" s="443">
        <f t="shared" si="382"/>
        <v>335.5595027484357</v>
      </c>
      <c r="DE166" s="217">
        <f t="shared" si="383"/>
        <v>25.017322192785819</v>
      </c>
      <c r="DF166" s="173">
        <f t="shared" si="384"/>
        <v>1.467291624210312</v>
      </c>
      <c r="DG166" s="173">
        <f t="shared" si="385"/>
        <v>0.32119243899439714</v>
      </c>
      <c r="DH166" s="173"/>
      <c r="DI166" s="173">
        <f t="shared" si="386"/>
        <v>0.78201368523949166</v>
      </c>
      <c r="DJ166" s="545">
        <f t="shared" si="387"/>
        <v>1288.98</v>
      </c>
      <c r="DK166" s="528">
        <f t="shared" si="388"/>
        <v>9.1234929944607357E-2</v>
      </c>
      <c r="DM166" s="173">
        <f t="shared" si="389"/>
        <v>25.587496946751163</v>
      </c>
      <c r="DN166" s="173">
        <f t="shared" si="390"/>
        <v>26.093919843597263</v>
      </c>
      <c r="DO166" s="173">
        <f t="shared" si="391"/>
        <v>10.652286303899205</v>
      </c>
      <c r="DQ166" s="545">
        <f t="shared" si="392"/>
        <v>336</v>
      </c>
      <c r="DR166" s="460">
        <f t="shared" si="393"/>
        <v>335.5595027484357</v>
      </c>
      <c r="DT166">
        <f t="shared" si="430"/>
        <v>336</v>
      </c>
      <c r="DU166">
        <f t="shared" si="431"/>
        <v>335.5595027484357</v>
      </c>
      <c r="DW166" s="5">
        <f t="shared" si="394"/>
        <v>2.9800973949758354</v>
      </c>
      <c r="DX166" s="5">
        <f t="shared" si="395"/>
        <v>1.4496622135331814</v>
      </c>
      <c r="DY166" s="5">
        <f t="shared" si="396"/>
        <v>1.530435181442654</v>
      </c>
      <c r="DZ166" s="5"/>
      <c r="EA166" s="173">
        <f t="shared" si="397"/>
        <v>0.48644793152639099</v>
      </c>
      <c r="EB166" s="173">
        <f t="shared" si="398"/>
        <v>57.120000000000012</v>
      </c>
      <c r="EC166" s="173">
        <f t="shared" si="399"/>
        <v>0.33501466275659819</v>
      </c>
      <c r="ED166" s="173">
        <f t="shared" si="400"/>
        <v>170.50000000000006</v>
      </c>
      <c r="EE166" s="460">
        <f t="shared" si="401"/>
        <v>0.28652147279244056</v>
      </c>
      <c r="EF166" s="5">
        <f t="shared" si="402"/>
        <v>15.541059122489674</v>
      </c>
      <c r="EH166" s="173">
        <f t="shared" si="403"/>
        <v>10.507438992575075</v>
      </c>
      <c r="EI166" s="173">
        <f t="shared" si="404"/>
        <v>0.53981002079127938</v>
      </c>
      <c r="EK166" s="528">
        <f t="shared" si="405"/>
        <v>4.4162509673074846</v>
      </c>
      <c r="EL166" s="528">
        <f t="shared" si="406"/>
        <v>4.219875</v>
      </c>
      <c r="EM166" s="528">
        <f t="shared" si="407"/>
        <v>6.7111900549687131E-2</v>
      </c>
      <c r="EN166" s="528">
        <f t="shared" si="408"/>
        <v>2.0611784401260509E-2</v>
      </c>
      <c r="EO166">
        <f t="shared" si="409"/>
        <v>4.0499999999999998E-3</v>
      </c>
      <c r="EP166" s="460">
        <f t="shared" si="410"/>
        <v>71.161900549687132</v>
      </c>
      <c r="EQ166" s="460"/>
      <c r="ER166" s="460">
        <f t="shared" si="432"/>
        <v>8727.899652258433</v>
      </c>
      <c r="ES166" s="528">
        <f t="shared" si="411"/>
        <v>0.23519999999999999</v>
      </c>
      <c r="EV166" s="460">
        <f t="shared" si="412"/>
        <v>235.2</v>
      </c>
      <c r="EW166" s="528">
        <f t="shared" si="413"/>
        <v>3.3121882254806132</v>
      </c>
      <c r="EX166" s="528">
        <f t="shared" si="414"/>
        <v>8.7418457564004438E-3</v>
      </c>
      <c r="EY166" s="528">
        <f t="shared" si="415"/>
        <v>358.70891443764418</v>
      </c>
      <c r="EZ166" s="528"/>
      <c r="FA166" s="528">
        <f t="shared" si="416"/>
        <v>5.7120000000000015</v>
      </c>
      <c r="FB166" s="460">
        <f t="shared" si="417"/>
        <v>367741.84450888116</v>
      </c>
      <c r="FC166" s="173">
        <f t="shared" si="418"/>
        <v>376.70494416113962</v>
      </c>
      <c r="FD166" s="5">
        <f t="shared" si="419"/>
        <v>57.120000000000005</v>
      </c>
      <c r="FE166" s="173">
        <f t="shared" si="420"/>
        <v>0.13166601129967159</v>
      </c>
      <c r="FF166" s="5">
        <f t="shared" si="421"/>
        <v>13.166601129967159</v>
      </c>
      <c r="FI166" s="562">
        <f t="shared" si="422"/>
        <v>-50</v>
      </c>
      <c r="FJ166">
        <f t="shared" si="423"/>
        <v>-50</v>
      </c>
      <c r="FL166">
        <f t="shared" si="476"/>
        <v>0.51355206847360901</v>
      </c>
    </row>
    <row r="167" spans="5:168">
      <c r="E167" s="170">
        <v>57</v>
      </c>
      <c r="F167" s="217">
        <f t="shared" si="477"/>
        <v>0.34199999999999997</v>
      </c>
      <c r="G167" s="217"/>
      <c r="H167" s="217">
        <f t="shared" si="442"/>
        <v>58.139999999999993</v>
      </c>
      <c r="I167" s="541">
        <f t="shared" si="443"/>
        <v>8.0367523708372506</v>
      </c>
      <c r="J167" s="172">
        <f t="shared" si="444"/>
        <v>8.5260320510312457</v>
      </c>
      <c r="K167" s="172">
        <f t="shared" si="445"/>
        <v>16.562784421868496</v>
      </c>
      <c r="L167" s="443"/>
      <c r="M167" s="217">
        <f t="shared" si="446"/>
        <v>0.51476948320433069</v>
      </c>
      <c r="N167" s="172">
        <f t="shared" si="447"/>
        <v>139.01950569933817</v>
      </c>
      <c r="O167" s="172">
        <f t="shared" si="438"/>
        <v>58.139999999999993</v>
      </c>
      <c r="P167" s="217">
        <f t="shared" si="448"/>
        <v>0.81776179823140094</v>
      </c>
      <c r="Q167" s="217">
        <f t="shared" si="449"/>
        <v>170</v>
      </c>
      <c r="R167" s="217"/>
      <c r="S167" s="172">
        <f t="shared" si="450"/>
        <v>622.70310931832148</v>
      </c>
      <c r="T167" s="172">
        <f t="shared" si="451"/>
        <v>170</v>
      </c>
      <c r="U167" s="217">
        <f t="shared" si="452"/>
        <v>28.192785751273455</v>
      </c>
      <c r="V167" s="217">
        <f t="shared" si="453"/>
        <v>1.7539911926100813</v>
      </c>
      <c r="W167" s="217">
        <f t="shared" si="454"/>
        <v>1.6533356655552018</v>
      </c>
      <c r="X167" s="197">
        <f t="shared" si="455"/>
        <v>350</v>
      </c>
      <c r="Y167" s="443">
        <f t="shared" si="328"/>
        <v>277.21358205632868</v>
      </c>
      <c r="AA167" s="217">
        <f t="shared" si="456"/>
        <v>23.640472365948316</v>
      </c>
      <c r="AB167" s="173">
        <f t="shared" si="457"/>
        <v>1.3863701323459685</v>
      </c>
      <c r="AC167" s="173">
        <f t="shared" si="458"/>
        <v>0.28677639202363353</v>
      </c>
      <c r="AD167" s="173"/>
      <c r="AE167" s="173">
        <f t="shared" si="459"/>
        <v>0.78191902478953446</v>
      </c>
      <c r="AF167" s="545">
        <f t="shared" si="460"/>
        <v>1312.1563326537087</v>
      </c>
      <c r="AG167" s="528">
        <f t="shared" si="461"/>
        <v>9.1223886225445694E-2</v>
      </c>
      <c r="AI167" s="173">
        <f t="shared" si="462"/>
        <v>25.816508390464026</v>
      </c>
      <c r="AJ167" s="173">
        <f t="shared" si="463"/>
        <v>28.192785751273455</v>
      </c>
      <c r="AK167" s="173">
        <f t="shared" si="464"/>
        <v>12.207001791066755</v>
      </c>
      <c r="AM167" s="545">
        <f t="shared" si="465"/>
        <v>341.99999999999994</v>
      </c>
      <c r="AN167" s="460">
        <f t="shared" si="466"/>
        <v>277.21358205632868</v>
      </c>
      <c r="AP167">
        <f t="shared" si="467"/>
        <v>341.99999999999994</v>
      </c>
      <c r="AQ167">
        <f t="shared" si="468"/>
        <v>277.21358205632868</v>
      </c>
      <c r="AS167" s="5">
        <f t="shared" si="439"/>
        <v>3.6073268581652829</v>
      </c>
      <c r="AT167" s="5">
        <f t="shared" si="469"/>
        <v>1.7539911926100813</v>
      </c>
      <c r="AU167" s="5">
        <f t="shared" si="343"/>
        <v>1.8533356655552016</v>
      </c>
      <c r="AV167" s="5"/>
      <c r="AW167" s="173">
        <f t="shared" si="344"/>
        <v>0.48623018139869256</v>
      </c>
      <c r="AX167" s="173">
        <f t="shared" si="435"/>
        <v>55.084637438528816</v>
      </c>
      <c r="AY167" s="173">
        <f t="shared" si="436"/>
        <v>0.3621150605324322</v>
      </c>
      <c r="AZ167" s="173">
        <f t="shared" si="440"/>
        <v>152.11915615311796</v>
      </c>
      <c r="BA167" s="460">
        <f t="shared" si="433"/>
        <v>0.35286175757214572</v>
      </c>
      <c r="BB167" s="5">
        <f t="shared" si="434"/>
        <v>21.452035473707934</v>
      </c>
      <c r="BD167" s="173">
        <f t="shared" si="441"/>
        <v>11.350064253286504</v>
      </c>
      <c r="BE167" s="173">
        <f t="shared" si="437"/>
        <v>0.58335330400767937</v>
      </c>
      <c r="BG167" s="528">
        <f t="shared" si="347"/>
        <v>5.1529583421492848</v>
      </c>
      <c r="BH167" s="528">
        <f t="shared" si="470"/>
        <v>2.9125162891323564</v>
      </c>
      <c r="BI167" s="528">
        <f t="shared" si="471"/>
        <v>8.9115876512779454E-2</v>
      </c>
      <c r="BJ167" s="528">
        <f t="shared" si="350"/>
        <v>1.5209369075294398E-2</v>
      </c>
      <c r="BK167">
        <f t="shared" si="351"/>
        <v>3.6165385668767628E-3</v>
      </c>
      <c r="BL167" s="460">
        <f t="shared" si="427"/>
        <v>92.732415079656207</v>
      </c>
      <c r="BM167" s="528">
        <f t="shared" si="472"/>
        <v>-42.221004829206436</v>
      </c>
      <c r="BN167" s="460">
        <f t="shared" si="353"/>
        <v>-42221.004829206438</v>
      </c>
      <c r="BO167" s="528">
        <f t="shared" si="354"/>
        <v>0.23939999999999997</v>
      </c>
      <c r="BR167" s="460">
        <f t="shared" si="355"/>
        <v>239.39999999999998</v>
      </c>
      <c r="BS167" s="528">
        <f t="shared" si="356"/>
        <v>3.8647187566119636</v>
      </c>
      <c r="BT167" s="528">
        <f t="shared" si="357"/>
        <v>1.0209032318900279E-2</v>
      </c>
      <c r="BU167" s="528">
        <f t="shared" si="358"/>
        <v>269.99221602466446</v>
      </c>
      <c r="BV167" s="528"/>
      <c r="BW167" s="528">
        <f t="shared" si="359"/>
        <v>5.5084637438528823</v>
      </c>
      <c r="BX167" s="460">
        <f t="shared" si="360"/>
        <v>279375.60755744815</v>
      </c>
      <c r="BY167" s="173">
        <f t="shared" si="361"/>
        <v>287.7884239728848</v>
      </c>
      <c r="BZ167" s="5">
        <f t="shared" si="362"/>
        <v>58.139999999999993</v>
      </c>
      <c r="CA167" s="173">
        <f t="shared" si="363"/>
        <v>0.1680694501257787</v>
      </c>
      <c r="CB167" s="5">
        <f t="shared" si="364"/>
        <v>16.80694501257787</v>
      </c>
      <c r="CE167" s="562">
        <f t="shared" si="473"/>
        <v>-50</v>
      </c>
      <c r="CF167">
        <f t="shared" si="474"/>
        <v>-50</v>
      </c>
      <c r="CG167" s="173">
        <f t="shared" si="475"/>
        <v>0.49706844377719472</v>
      </c>
      <c r="CI167" s="170">
        <v>57</v>
      </c>
      <c r="CJ167" s="217">
        <f t="shared" si="428"/>
        <v>0.34199999999999997</v>
      </c>
      <c r="CK167" s="217"/>
      <c r="CL167" s="217">
        <f t="shared" si="368"/>
        <v>58.139999999999993</v>
      </c>
      <c r="CM167" s="541">
        <f t="shared" si="369"/>
        <v>9</v>
      </c>
      <c r="CN167" s="443">
        <f t="shared" si="370"/>
        <v>8.5250000000000004</v>
      </c>
      <c r="CO167" s="443">
        <f t="shared" si="371"/>
        <v>17.524999999999999</v>
      </c>
      <c r="CP167" s="443"/>
      <c r="CQ167" s="217">
        <f t="shared" si="372"/>
        <v>0.48644793152639093</v>
      </c>
      <c r="CR167" s="172">
        <f t="shared" si="429"/>
        <v>147.11644793152644</v>
      </c>
      <c r="CS167" s="172">
        <f t="shared" si="373"/>
        <v>58.139999999999993</v>
      </c>
      <c r="CT167" s="217">
        <f t="shared" si="374"/>
        <v>0.86539087018544958</v>
      </c>
      <c r="CU167" s="217">
        <f t="shared" si="375"/>
        <v>170</v>
      </c>
      <c r="CV167" s="217"/>
      <c r="CW167" s="172">
        <f t="shared" si="376"/>
        <v>697.32195518239496</v>
      </c>
      <c r="CX167" s="172">
        <f t="shared" si="377"/>
        <v>170</v>
      </c>
      <c r="CY167" s="217">
        <f t="shared" si="378"/>
        <v>26.559882697947209</v>
      </c>
      <c r="CZ167" s="217">
        <f t="shared" si="379"/>
        <v>1.4755490387748449</v>
      </c>
      <c r="DA167" s="217">
        <f t="shared" si="380"/>
        <v>1.5577643811112731</v>
      </c>
      <c r="DB167" s="197">
        <f t="shared" si="381"/>
        <v>350</v>
      </c>
      <c r="DC167" s="443">
        <f t="shared" si="382"/>
        <v>329.67249392828774</v>
      </c>
      <c r="DE167" s="217">
        <f t="shared" si="383"/>
        <v>25.017322192785819</v>
      </c>
      <c r="DF167" s="173">
        <f t="shared" si="384"/>
        <v>1.467291624210312</v>
      </c>
      <c r="DG167" s="173">
        <f t="shared" si="385"/>
        <v>0.32119243899439714</v>
      </c>
      <c r="DH167" s="173"/>
      <c r="DI167" s="173">
        <f t="shared" si="386"/>
        <v>0.78201368523949166</v>
      </c>
      <c r="DJ167" s="545">
        <f t="shared" si="387"/>
        <v>1311.9974999999997</v>
      </c>
      <c r="DK167" s="528">
        <f t="shared" si="388"/>
        <v>9.1234929944607357E-2</v>
      </c>
      <c r="DM167" s="173">
        <f t="shared" si="389"/>
        <v>25.814945837081055</v>
      </c>
      <c r="DN167" s="173">
        <f t="shared" si="390"/>
        <v>26.559882697947209</v>
      </c>
      <c r="DO167" s="173">
        <f t="shared" si="391"/>
        <v>10.997443973788055</v>
      </c>
      <c r="DQ167" s="545">
        <f t="shared" si="392"/>
        <v>341.99999999999994</v>
      </c>
      <c r="DR167" s="460">
        <f t="shared" si="393"/>
        <v>329.67249392828774</v>
      </c>
      <c r="DT167">
        <f t="shared" si="430"/>
        <v>341.99999999999994</v>
      </c>
      <c r="DU167">
        <f t="shared" si="431"/>
        <v>329.67249392828774</v>
      </c>
      <c r="DW167" s="5">
        <f t="shared" si="394"/>
        <v>3.033313419886118</v>
      </c>
      <c r="DX167" s="5">
        <f t="shared" si="395"/>
        <v>1.4755490387748449</v>
      </c>
      <c r="DY167" s="5">
        <f t="shared" si="396"/>
        <v>1.5577643811112731</v>
      </c>
      <c r="DZ167" s="5"/>
      <c r="EA167" s="173">
        <f t="shared" si="397"/>
        <v>0.48644793152639088</v>
      </c>
      <c r="EB167" s="173">
        <f t="shared" si="398"/>
        <v>58.139999999999993</v>
      </c>
      <c r="EC167" s="173">
        <f t="shared" si="399"/>
        <v>0.3409970674486803</v>
      </c>
      <c r="ED167" s="173">
        <f t="shared" si="400"/>
        <v>170.5</v>
      </c>
      <c r="EE167" s="460">
        <f t="shared" si="401"/>
        <v>0.29684574780058642</v>
      </c>
      <c r="EF167" s="5">
        <f t="shared" si="402"/>
        <v>16.101052643166117</v>
      </c>
      <c r="EH167" s="173">
        <f t="shared" si="403"/>
        <v>10.6950718317282</v>
      </c>
      <c r="EI167" s="173">
        <f t="shared" si="404"/>
        <v>0.54944948544826644</v>
      </c>
      <c r="EK167" s="528">
        <f t="shared" si="405"/>
        <v>4.5753824594330395</v>
      </c>
      <c r="EL167" s="528">
        <f t="shared" si="406"/>
        <v>4.2198749999999992</v>
      </c>
      <c r="EM167" s="528">
        <f t="shared" si="407"/>
        <v>6.5934498785657547E-2</v>
      </c>
      <c r="EN167" s="528">
        <f t="shared" si="408"/>
        <v>2.0250174148606814E-2</v>
      </c>
      <c r="EO167">
        <f t="shared" si="409"/>
        <v>4.0499999999999998E-3</v>
      </c>
      <c r="EP167" s="460">
        <f t="shared" si="410"/>
        <v>69.98449878565755</v>
      </c>
      <c r="EQ167" s="460"/>
      <c r="ER167" s="460">
        <f t="shared" si="432"/>
        <v>8885.4921323673025</v>
      </c>
      <c r="ES167" s="528">
        <f t="shared" si="411"/>
        <v>0.23939999999999997</v>
      </c>
      <c r="EV167" s="460">
        <f t="shared" si="412"/>
        <v>239.39999999999998</v>
      </c>
      <c r="EW167" s="528">
        <f t="shared" si="413"/>
        <v>3.4315368445747794</v>
      </c>
      <c r="EX167" s="528">
        <f t="shared" si="414"/>
        <v>9.0568421117809429E-3</v>
      </c>
      <c r="EY167" s="528">
        <f t="shared" si="415"/>
        <v>358.70891443764424</v>
      </c>
      <c r="EZ167" s="528"/>
      <c r="FA167" s="528">
        <f t="shared" si="416"/>
        <v>5.8139999999999992</v>
      </c>
      <c r="FB167" s="460">
        <f t="shared" si="417"/>
        <v>367963.50812433084</v>
      </c>
      <c r="FC167" s="173">
        <f t="shared" si="418"/>
        <v>377.08840025669809</v>
      </c>
      <c r="FD167" s="5">
        <f t="shared" si="419"/>
        <v>58.139999999999993</v>
      </c>
      <c r="FE167" s="173">
        <f t="shared" si="420"/>
        <v>0.13358503251559176</v>
      </c>
      <c r="FF167" s="5">
        <f t="shared" si="421"/>
        <v>13.358503251559176</v>
      </c>
      <c r="FI167" s="562">
        <f t="shared" si="422"/>
        <v>-50</v>
      </c>
      <c r="FJ167">
        <f t="shared" si="423"/>
        <v>-50</v>
      </c>
      <c r="FL167">
        <f t="shared" si="476"/>
        <v>0.51355206847360912</v>
      </c>
    </row>
    <row r="168" spans="5:168">
      <c r="E168" s="170">
        <v>58</v>
      </c>
      <c r="F168" s="217">
        <f t="shared" si="477"/>
        <v>0.34799999999999998</v>
      </c>
      <c r="G168" s="217"/>
      <c r="H168" s="217">
        <f t="shared" si="442"/>
        <v>59.16</v>
      </c>
      <c r="I168" s="541">
        <f t="shared" si="443"/>
        <v>8.0204133713197887</v>
      </c>
      <c r="J168" s="172">
        <f t="shared" si="444"/>
        <v>8.5260495571021586</v>
      </c>
      <c r="K168" s="172">
        <f t="shared" si="445"/>
        <v>16.546462928421946</v>
      </c>
      <c r="L168" s="443"/>
      <c r="M168" s="217">
        <f t="shared" si="446"/>
        <v>0.51527831333224372</v>
      </c>
      <c r="N168" s="172">
        <f t="shared" si="447"/>
        <v>138.87401031006883</v>
      </c>
      <c r="O168" s="172">
        <f t="shared" si="438"/>
        <v>59.16</v>
      </c>
      <c r="P168" s="217">
        <f t="shared" si="448"/>
        <v>0.81690594300040487</v>
      </c>
      <c r="Q168" s="217">
        <f t="shared" si="449"/>
        <v>170</v>
      </c>
      <c r="R168" s="217"/>
      <c r="S168" s="172">
        <f t="shared" si="450"/>
        <v>607.9623756946005</v>
      </c>
      <c r="T168" s="172">
        <f t="shared" si="451"/>
        <v>170</v>
      </c>
      <c r="U168" s="217">
        <f t="shared" si="452"/>
        <v>28.717510239110084</v>
      </c>
      <c r="V168" s="217">
        <f t="shared" si="453"/>
        <v>1.7902761933568836</v>
      </c>
      <c r="W168" s="217">
        <f t="shared" si="454"/>
        <v>1.684104112155232</v>
      </c>
      <c r="X168" s="197">
        <f t="shared" si="455"/>
        <v>350</v>
      </c>
      <c r="Y168" s="443">
        <f t="shared" si="328"/>
        <v>272.15473545290115</v>
      </c>
      <c r="AA168" s="217">
        <f t="shared" si="456"/>
        <v>23.615730587819531</v>
      </c>
      <c r="AB168" s="173">
        <f t="shared" si="457"/>
        <v>1.384916333740269</v>
      </c>
      <c r="AC168" s="173">
        <f t="shared" si="458"/>
        <v>0.28617584646245836</v>
      </c>
      <c r="AD168" s="173"/>
      <c r="AE168" s="173">
        <f t="shared" si="459"/>
        <v>0.78191741931799641</v>
      </c>
      <c r="AF168" s="545">
        <f t="shared" si="460"/>
        <v>1335.1793606421977</v>
      </c>
      <c r="AG168" s="528">
        <f t="shared" si="461"/>
        <v>9.122369892043293E-2</v>
      </c>
      <c r="AI168" s="173">
        <f t="shared" si="462"/>
        <v>26.042011095794759</v>
      </c>
      <c r="AJ168" s="173">
        <f t="shared" si="463"/>
        <v>28.717510239110084</v>
      </c>
      <c r="AK168" s="173">
        <f t="shared" si="464"/>
        <v>12.595686596871666</v>
      </c>
      <c r="AM168" s="545">
        <f t="shared" si="465"/>
        <v>348</v>
      </c>
      <c r="AN168" s="460">
        <f t="shared" si="466"/>
        <v>272.15473545290115</v>
      </c>
      <c r="AP168">
        <f t="shared" si="467"/>
        <v>348</v>
      </c>
      <c r="AQ168">
        <f t="shared" si="468"/>
        <v>272.15473545290115</v>
      </c>
      <c r="AS168" s="5">
        <f t="shared" si="439"/>
        <v>3.6743803055121158</v>
      </c>
      <c r="AT168" s="5">
        <f t="shared" si="469"/>
        <v>1.7902761933568836</v>
      </c>
      <c r="AU168" s="5">
        <f t="shared" si="343"/>
        <v>1.8841041121552322</v>
      </c>
      <c r="AV168" s="5"/>
      <c r="AW168" s="173">
        <f t="shared" si="344"/>
        <v>0.48723214379066959</v>
      </c>
      <c r="AX168" s="173">
        <f t="shared" si="435"/>
        <v>56.111189218507604</v>
      </c>
      <c r="AY168" s="173">
        <f t="shared" si="436"/>
        <v>0.36813540402444933</v>
      </c>
      <c r="AZ168" s="173">
        <f t="shared" si="440"/>
        <v>152.41997538161539</v>
      </c>
      <c r="BA168" s="460">
        <f t="shared" si="433"/>
        <v>0.36648006781658554</v>
      </c>
      <c r="BB168" s="5">
        <f t="shared" si="434"/>
        <v>22.235980938077116</v>
      </c>
      <c r="BD168" s="173">
        <f t="shared" si="441"/>
        <v>11.573217716713453</v>
      </c>
      <c r="BE168" s="173">
        <f t="shared" si="437"/>
        <v>0.59363098061705666</v>
      </c>
      <c r="BG168" s="528">
        <f t="shared" si="347"/>
        <v>5.3575747327380059</v>
      </c>
      <c r="BH168" s="528">
        <f t="shared" si="470"/>
        <v>2.9097144358578237</v>
      </c>
      <c r="BI168" s="528">
        <f t="shared" si="471"/>
        <v>8.7311739171777938E-2</v>
      </c>
      <c r="BJ168" s="528">
        <f t="shared" si="350"/>
        <v>1.4902400550695472E-2</v>
      </c>
      <c r="BK168">
        <f t="shared" si="351"/>
        <v>3.6091860170939048E-3</v>
      </c>
      <c r="BL168" s="460">
        <f t="shared" si="427"/>
        <v>90.920925188871848</v>
      </c>
      <c r="BM168" s="528">
        <f t="shared" si="472"/>
        <v>-35.641652351186309</v>
      </c>
      <c r="BN168" s="460">
        <f t="shared" si="353"/>
        <v>-35641.652351186312</v>
      </c>
      <c r="BO168" s="528">
        <f t="shared" si="354"/>
        <v>0.24359999999999996</v>
      </c>
      <c r="BR168" s="460">
        <f t="shared" si="355"/>
        <v>243.59999999999997</v>
      </c>
      <c r="BS168" s="528">
        <f t="shared" si="356"/>
        <v>4.0181810495535037</v>
      </c>
      <c r="BT168" s="528">
        <f t="shared" si="357"/>
        <v>1.0571932234451048E-2</v>
      </c>
      <c r="BU168" s="528">
        <f t="shared" si="358"/>
        <v>270.00804494749809</v>
      </c>
      <c r="BV168" s="528"/>
      <c r="BW168" s="528">
        <f t="shared" si="359"/>
        <v>5.6111189218507613</v>
      </c>
      <c r="BX168" s="460">
        <f t="shared" si="360"/>
        <v>279647.91685113683</v>
      </c>
      <c r="BY168" s="173">
        <f t="shared" si="361"/>
        <v>288.26462934547226</v>
      </c>
      <c r="BZ168" s="5">
        <f t="shared" si="362"/>
        <v>59.16</v>
      </c>
      <c r="CA168" s="173">
        <f t="shared" si="363"/>
        <v>0.17028153735517829</v>
      </c>
      <c r="CB168" s="5">
        <f t="shared" si="364"/>
        <v>17.028153735517829</v>
      </c>
      <c r="CE168" s="562">
        <f t="shared" si="473"/>
        <v>-50</v>
      </c>
      <c r="CF168">
        <f t="shared" si="474"/>
        <v>-50</v>
      </c>
      <c r="CG168" s="173">
        <f t="shared" si="475"/>
        <v>0.49735264420299485</v>
      </c>
      <c r="CI168" s="170">
        <v>58</v>
      </c>
      <c r="CJ168" s="217">
        <f t="shared" si="428"/>
        <v>0.34799999999999998</v>
      </c>
      <c r="CK168" s="217"/>
      <c r="CL168" s="217">
        <f t="shared" si="368"/>
        <v>59.16</v>
      </c>
      <c r="CM168" s="541">
        <f t="shared" si="369"/>
        <v>9</v>
      </c>
      <c r="CN168" s="443">
        <f t="shared" si="370"/>
        <v>8.5250000000000004</v>
      </c>
      <c r="CO168" s="443">
        <f t="shared" si="371"/>
        <v>17.524999999999999</v>
      </c>
      <c r="CP168" s="443"/>
      <c r="CQ168" s="217">
        <f t="shared" si="372"/>
        <v>0.48644793152639093</v>
      </c>
      <c r="CR168" s="172">
        <f t="shared" si="429"/>
        <v>147.11644793152644</v>
      </c>
      <c r="CS168" s="172">
        <f t="shared" si="373"/>
        <v>59.16</v>
      </c>
      <c r="CT168" s="217">
        <f t="shared" si="374"/>
        <v>0.86539087018544958</v>
      </c>
      <c r="CU168" s="217">
        <f t="shared" si="375"/>
        <v>170</v>
      </c>
      <c r="CV168" s="217"/>
      <c r="CW168" s="172">
        <f t="shared" si="376"/>
        <v>682.20079486426607</v>
      </c>
      <c r="CX168" s="172">
        <f t="shared" si="377"/>
        <v>170</v>
      </c>
      <c r="CY168" s="217">
        <f t="shared" si="378"/>
        <v>27.025845552297163</v>
      </c>
      <c r="CZ168" s="217">
        <f t="shared" si="379"/>
        <v>1.5014358640165089</v>
      </c>
      <c r="DA168" s="217">
        <f t="shared" si="380"/>
        <v>1.585093580779892</v>
      </c>
      <c r="DB168" s="197">
        <f t="shared" si="381"/>
        <v>350</v>
      </c>
      <c r="DC168" s="443">
        <f t="shared" si="382"/>
        <v>323.98848541228278</v>
      </c>
      <c r="DE168" s="217">
        <f t="shared" si="383"/>
        <v>25.017322192785819</v>
      </c>
      <c r="DF168" s="173">
        <f t="shared" si="384"/>
        <v>1.467291624210312</v>
      </c>
      <c r="DG168" s="173">
        <f t="shared" si="385"/>
        <v>0.32119243899439714</v>
      </c>
      <c r="DH168" s="173"/>
      <c r="DI168" s="173">
        <f t="shared" si="386"/>
        <v>0.78201368523949166</v>
      </c>
      <c r="DJ168" s="545">
        <f t="shared" si="387"/>
        <v>1335.0149999999999</v>
      </c>
      <c r="DK168" s="528">
        <f t="shared" si="388"/>
        <v>9.1234929944607357E-2</v>
      </c>
      <c r="DM168" s="173">
        <f t="shared" si="389"/>
        <v>26.040408160066484</v>
      </c>
      <c r="DN168" s="173">
        <f t="shared" si="390"/>
        <v>27.025845552297163</v>
      </c>
      <c r="DO168" s="173">
        <f t="shared" si="391"/>
        <v>11.342601643676911</v>
      </c>
      <c r="DQ168" s="545">
        <f t="shared" si="392"/>
        <v>348</v>
      </c>
      <c r="DR168" s="460">
        <f t="shared" si="393"/>
        <v>323.98848541228278</v>
      </c>
      <c r="DT168">
        <f t="shared" si="430"/>
        <v>348</v>
      </c>
      <c r="DU168">
        <f t="shared" si="431"/>
        <v>323.98848541228278</v>
      </c>
      <c r="DW168" s="5">
        <f t="shared" si="394"/>
        <v>3.0865294447964007</v>
      </c>
      <c r="DX168" s="5">
        <f t="shared" si="395"/>
        <v>1.5014358640165089</v>
      </c>
      <c r="DY168" s="5">
        <f t="shared" si="396"/>
        <v>1.5850935807798918</v>
      </c>
      <c r="DZ168" s="5"/>
      <c r="EA168" s="173">
        <f t="shared" si="397"/>
        <v>0.48644793152639093</v>
      </c>
      <c r="EB168" s="173">
        <f t="shared" si="398"/>
        <v>59.160000000000004</v>
      </c>
      <c r="EC168" s="173">
        <f t="shared" si="399"/>
        <v>0.34697947214076236</v>
      </c>
      <c r="ED168" s="173">
        <f t="shared" si="400"/>
        <v>170.50000000000006</v>
      </c>
      <c r="EE168" s="460">
        <f t="shared" si="401"/>
        <v>0.30735275333985002</v>
      </c>
      <c r="EF168" s="5">
        <f t="shared" si="402"/>
        <v>16.670957553589048</v>
      </c>
      <c r="EH168" s="173">
        <f t="shared" si="403"/>
        <v>10.882704670881326</v>
      </c>
      <c r="EI168" s="173">
        <f t="shared" si="404"/>
        <v>0.5590889501052535</v>
      </c>
      <c r="EK168" s="528">
        <f t="shared" si="405"/>
        <v>4.7373304381448893</v>
      </c>
      <c r="EL168" s="528">
        <f t="shared" si="406"/>
        <v>4.219875</v>
      </c>
      <c r="EM168" s="528">
        <f t="shared" si="407"/>
        <v>6.4797697082456557E-2</v>
      </c>
      <c r="EN168" s="528">
        <f t="shared" si="408"/>
        <v>1.9901033215010147E-2</v>
      </c>
      <c r="EO168">
        <f t="shared" si="409"/>
        <v>4.0499999999999998E-3</v>
      </c>
      <c r="EP168" s="460">
        <f t="shared" si="410"/>
        <v>68.847697082456548</v>
      </c>
      <c r="EQ168" s="460"/>
      <c r="ER168" s="460">
        <f t="shared" si="432"/>
        <v>9045.9541684423548</v>
      </c>
      <c r="ES168" s="528">
        <f t="shared" si="411"/>
        <v>0.24359999999999996</v>
      </c>
      <c r="EV168" s="460">
        <f t="shared" si="412"/>
        <v>243.59999999999997</v>
      </c>
      <c r="EW168" s="528">
        <f t="shared" si="413"/>
        <v>3.5529978286086665</v>
      </c>
      <c r="EX168" s="528">
        <f t="shared" si="414"/>
        <v>9.3774136238938387E-3</v>
      </c>
      <c r="EY168" s="528">
        <f t="shared" si="415"/>
        <v>358.70891443764481</v>
      </c>
      <c r="EZ168" s="528"/>
      <c r="FA168" s="528">
        <f t="shared" si="416"/>
        <v>5.9160000000000004</v>
      </c>
      <c r="FB168" s="460">
        <f t="shared" si="417"/>
        <v>368187.2896798774</v>
      </c>
      <c r="FC168" s="173">
        <f t="shared" si="418"/>
        <v>377.47684384831973</v>
      </c>
      <c r="FD168" s="5">
        <f t="shared" si="419"/>
        <v>59.16</v>
      </c>
      <c r="FE168" s="173">
        <f t="shared" si="420"/>
        <v>0.13549016953903961</v>
      </c>
      <c r="FF168" s="5">
        <f t="shared" si="421"/>
        <v>13.549016953903962</v>
      </c>
      <c r="FI168" s="562">
        <f t="shared" si="422"/>
        <v>-50</v>
      </c>
      <c r="FJ168">
        <f t="shared" si="423"/>
        <v>-50</v>
      </c>
      <c r="FL168">
        <f t="shared" si="476"/>
        <v>0.51355206847360901</v>
      </c>
    </row>
    <row r="169" spans="5:168">
      <c r="E169" s="170">
        <v>59</v>
      </c>
      <c r="F169" s="217">
        <f t="shared" si="477"/>
        <v>0.35399999999999998</v>
      </c>
      <c r="G169" s="217"/>
      <c r="H169" s="217">
        <f t="shared" si="442"/>
        <v>60.18</v>
      </c>
      <c r="I169" s="541">
        <f t="shared" si="443"/>
        <v>8.0040737537506015</v>
      </c>
      <c r="J169" s="172">
        <f t="shared" si="444"/>
        <v>8.5260670638352689</v>
      </c>
      <c r="K169" s="172">
        <f t="shared" si="445"/>
        <v>16.53014081758587</v>
      </c>
      <c r="L169" s="443"/>
      <c r="M169" s="217">
        <f t="shared" si="446"/>
        <v>0.51578816756110923</v>
      </c>
      <c r="N169" s="172">
        <f t="shared" si="447"/>
        <v>138.72822091334027</v>
      </c>
      <c r="O169" s="172">
        <f t="shared" si="438"/>
        <v>60.18</v>
      </c>
      <c r="P169" s="217">
        <f t="shared" si="448"/>
        <v>0.81604835831376632</v>
      </c>
      <c r="Q169" s="217">
        <f t="shared" si="449"/>
        <v>170</v>
      </c>
      <c r="R169" s="217"/>
      <c r="S169" s="172">
        <f t="shared" si="450"/>
        <v>593.7324821053096</v>
      </c>
      <c r="T169" s="172">
        <f t="shared" si="451"/>
        <v>170</v>
      </c>
      <c r="U169" s="217">
        <f t="shared" si="452"/>
        <v>29.243399378901039</v>
      </c>
      <c r="V169" s="217">
        <f t="shared" si="453"/>
        <v>1.8267822285619228</v>
      </c>
      <c r="W169" s="217">
        <f t="shared" si="454"/>
        <v>1.7149407317555463</v>
      </c>
      <c r="X169" s="197">
        <f t="shared" si="455"/>
        <v>350</v>
      </c>
      <c r="Y169" s="443">
        <f t="shared" si="328"/>
        <v>267.2565581699705</v>
      </c>
      <c r="AA169" s="217">
        <f t="shared" si="456"/>
        <v>23.590938814286474</v>
      </c>
      <c r="AB169" s="173">
        <f t="shared" si="457"/>
        <v>1.3834596090823259</v>
      </c>
      <c r="AC169" s="173">
        <f t="shared" si="458"/>
        <v>0.28557472116160609</v>
      </c>
      <c r="AD169" s="173"/>
      <c r="AE169" s="173">
        <f t="shared" si="459"/>
        <v>0.78191581379232189</v>
      </c>
      <c r="AF169" s="545">
        <f t="shared" si="460"/>
        <v>1358.2024832689583</v>
      </c>
      <c r="AG169" s="528">
        <f t="shared" si="461"/>
        <v>9.1223511609104219E-2</v>
      </c>
      <c r="AI169" s="173">
        <f t="shared" si="462"/>
        <v>26.26557873762404</v>
      </c>
      <c r="AJ169" s="173">
        <f t="shared" si="463"/>
        <v>29.243399378901039</v>
      </c>
      <c r="AK169" s="173">
        <f t="shared" si="464"/>
        <v>12.985234107827928</v>
      </c>
      <c r="AM169" s="545">
        <f t="shared" si="465"/>
        <v>354</v>
      </c>
      <c r="AN169" s="460">
        <f t="shared" si="466"/>
        <v>267.2565581699705</v>
      </c>
      <c r="AP169">
        <f t="shared" si="467"/>
        <v>354</v>
      </c>
      <c r="AQ169">
        <f t="shared" si="468"/>
        <v>267.2565581699705</v>
      </c>
      <c r="AS169" s="5">
        <f t="shared" si="439"/>
        <v>3.7417229603174693</v>
      </c>
      <c r="AT169" s="5">
        <f t="shared" si="469"/>
        <v>1.8267822285619228</v>
      </c>
      <c r="AU169" s="5">
        <f t="shared" si="343"/>
        <v>1.9149407317555465</v>
      </c>
      <c r="AV169" s="5"/>
      <c r="AW169" s="173">
        <f t="shared" si="344"/>
        <v>0.48821953093152792</v>
      </c>
      <c r="AX169" s="173">
        <f t="shared" si="435"/>
        <v>57.137875806373934</v>
      </c>
      <c r="AY169" s="173">
        <f t="shared" si="436"/>
        <v>0.374155016282266</v>
      </c>
      <c r="AZ169" s="173">
        <f t="shared" si="440"/>
        <v>152.7117727141966</v>
      </c>
      <c r="BA169" s="460">
        <f t="shared" si="433"/>
        <v>0.38040053465348278</v>
      </c>
      <c r="BB169" s="5">
        <f t="shared" si="434"/>
        <v>23.036496020901527</v>
      </c>
      <c r="BD169" s="173">
        <f t="shared" si="441"/>
        <v>11.797087555882152</v>
      </c>
      <c r="BE169" s="173">
        <f t="shared" si="437"/>
        <v>0.60391954681512361</v>
      </c>
      <c r="BG169" s="528">
        <f t="shared" si="347"/>
        <v>5.5668509920459819</v>
      </c>
      <c r="BH169" s="528">
        <f t="shared" si="470"/>
        <v>2.906800980192096</v>
      </c>
      <c r="BI169" s="528">
        <f t="shared" si="471"/>
        <v>8.5565648110639284E-2</v>
      </c>
      <c r="BJ169" s="528">
        <f t="shared" si="350"/>
        <v>1.4605333336919992E-2</v>
      </c>
      <c r="BK169">
        <f t="shared" si="351"/>
        <v>3.6018331891877705E-3</v>
      </c>
      <c r="BL169" s="460">
        <f t="shared" si="427"/>
        <v>89.16748129982706</v>
      </c>
      <c r="BM169" s="528">
        <f t="shared" si="472"/>
        <v>-30.963150942983361</v>
      </c>
      <c r="BN169" s="460">
        <f t="shared" si="353"/>
        <v>-30963.15094298336</v>
      </c>
      <c r="BO169" s="528">
        <f t="shared" si="354"/>
        <v>0.24779999999999996</v>
      </c>
      <c r="BR169" s="460">
        <f t="shared" si="355"/>
        <v>247.79999999999995</v>
      </c>
      <c r="BS169" s="528">
        <f t="shared" si="356"/>
        <v>4.1751382440344855</v>
      </c>
      <c r="BT169" s="528">
        <f t="shared" si="357"/>
        <v>1.0941564570761527E-2</v>
      </c>
      <c r="BU169" s="528">
        <f t="shared" si="358"/>
        <v>269.99801470219313</v>
      </c>
      <c r="BV169" s="528"/>
      <c r="BW169" s="528">
        <f t="shared" si="359"/>
        <v>5.713787580637395</v>
      </c>
      <c r="BX169" s="460">
        <f t="shared" si="360"/>
        <v>279897.88209143578</v>
      </c>
      <c r="BY169" s="173">
        <f t="shared" si="361"/>
        <v>288.7231068783106</v>
      </c>
      <c r="BZ169" s="5">
        <f t="shared" si="362"/>
        <v>60.18</v>
      </c>
      <c r="CA169" s="173">
        <f t="shared" si="363"/>
        <v>0.17248341678135129</v>
      </c>
      <c r="CB169" s="5">
        <f t="shared" si="364"/>
        <v>17.24834167813513</v>
      </c>
      <c r="CE169" s="562">
        <f t="shared" si="473"/>
        <v>-50</v>
      </c>
      <c r="CF169">
        <f t="shared" si="474"/>
        <v>-50</v>
      </c>
      <c r="CG169" s="173">
        <f t="shared" si="475"/>
        <v>0.49762721071605615</v>
      </c>
      <c r="CI169" s="170">
        <v>59</v>
      </c>
      <c r="CJ169" s="217">
        <f t="shared" si="428"/>
        <v>0.35399999999999998</v>
      </c>
      <c r="CK169" s="217"/>
      <c r="CL169" s="217">
        <f t="shared" si="368"/>
        <v>60.18</v>
      </c>
      <c r="CM169" s="541">
        <f t="shared" si="369"/>
        <v>9</v>
      </c>
      <c r="CN169" s="443">
        <f t="shared" si="370"/>
        <v>8.5250000000000004</v>
      </c>
      <c r="CO169" s="443">
        <f t="shared" si="371"/>
        <v>17.524999999999999</v>
      </c>
      <c r="CP169" s="443"/>
      <c r="CQ169" s="217">
        <f t="shared" si="372"/>
        <v>0.48644793152639093</v>
      </c>
      <c r="CR169" s="172">
        <f t="shared" si="429"/>
        <v>147.11644793152644</v>
      </c>
      <c r="CS169" s="172">
        <f t="shared" si="373"/>
        <v>60.18</v>
      </c>
      <c r="CT169" s="217">
        <f t="shared" si="374"/>
        <v>0.86539087018544958</v>
      </c>
      <c r="CU169" s="217">
        <f t="shared" si="375"/>
        <v>170</v>
      </c>
      <c r="CV169" s="217"/>
      <c r="CW169" s="172">
        <f t="shared" si="376"/>
        <v>667.5923390360565</v>
      </c>
      <c r="CX169" s="172">
        <f t="shared" si="377"/>
        <v>170</v>
      </c>
      <c r="CY169" s="217">
        <f t="shared" si="378"/>
        <v>27.491808406647113</v>
      </c>
      <c r="CZ169" s="217">
        <f t="shared" si="379"/>
        <v>1.5273226892581728</v>
      </c>
      <c r="DA169" s="217">
        <f t="shared" si="380"/>
        <v>1.612422780448511</v>
      </c>
      <c r="DB169" s="197">
        <f t="shared" si="381"/>
        <v>350</v>
      </c>
      <c r="DC169" s="443">
        <f t="shared" si="382"/>
        <v>318.49715515105765</v>
      </c>
      <c r="DE169" s="217">
        <f t="shared" si="383"/>
        <v>25.017322192785819</v>
      </c>
      <c r="DF169" s="173">
        <f t="shared" si="384"/>
        <v>1.467291624210312</v>
      </c>
      <c r="DG169" s="173">
        <f t="shared" si="385"/>
        <v>0.32119243899439714</v>
      </c>
      <c r="DH169" s="173"/>
      <c r="DI169" s="173">
        <f t="shared" si="386"/>
        <v>0.78201368523949166</v>
      </c>
      <c r="DJ169" s="545">
        <f t="shared" si="387"/>
        <v>1358.0325</v>
      </c>
      <c r="DK169" s="528">
        <f t="shared" si="388"/>
        <v>9.1234929944607357E-2</v>
      </c>
      <c r="DM169" s="173">
        <f t="shared" si="389"/>
        <v>26.263935076722333</v>
      </c>
      <c r="DN169" s="173">
        <f t="shared" si="390"/>
        <v>27.491808406647113</v>
      </c>
      <c r="DO169" s="173">
        <f t="shared" si="391"/>
        <v>11.687759313565762</v>
      </c>
      <c r="DQ169" s="545">
        <f t="shared" si="392"/>
        <v>354</v>
      </c>
      <c r="DR169" s="460">
        <f t="shared" si="393"/>
        <v>318.49715515105765</v>
      </c>
      <c r="DT169">
        <f t="shared" si="430"/>
        <v>354</v>
      </c>
      <c r="DU169">
        <f t="shared" si="431"/>
        <v>318.49715515105765</v>
      </c>
      <c r="DW169" s="5">
        <f t="shared" si="394"/>
        <v>3.1397454697066833</v>
      </c>
      <c r="DX169" s="5">
        <f t="shared" si="395"/>
        <v>1.5273226892581728</v>
      </c>
      <c r="DY169" s="5">
        <f t="shared" si="396"/>
        <v>1.6124227804485105</v>
      </c>
      <c r="DZ169" s="5"/>
      <c r="EA169" s="173">
        <f t="shared" si="397"/>
        <v>0.48644793152639093</v>
      </c>
      <c r="EB169" s="173">
        <f t="shared" si="398"/>
        <v>60.18</v>
      </c>
      <c r="EC169" s="173">
        <f t="shared" si="399"/>
        <v>0.35296187683284447</v>
      </c>
      <c r="ED169" s="173">
        <f t="shared" si="400"/>
        <v>170.50000000000006</v>
      </c>
      <c r="EE169" s="460">
        <f t="shared" si="401"/>
        <v>0.31804248941023122</v>
      </c>
      <c r="EF169" s="5">
        <f t="shared" si="402"/>
        <v>17.250773853758464</v>
      </c>
      <c r="EH169" s="173">
        <f t="shared" si="403"/>
        <v>11.070337510034452</v>
      </c>
      <c r="EI169" s="173">
        <f t="shared" si="404"/>
        <v>0.56872841476224067</v>
      </c>
      <c r="EK169" s="528">
        <f t="shared" si="405"/>
        <v>4.9020949034430323</v>
      </c>
      <c r="EL169" s="528">
        <f t="shared" si="406"/>
        <v>4.219875</v>
      </c>
      <c r="EM169" s="528">
        <f t="shared" si="407"/>
        <v>6.3699431030211529E-2</v>
      </c>
      <c r="EN169" s="528">
        <f t="shared" si="408"/>
        <v>1.9563727567298111E-2</v>
      </c>
      <c r="EO169">
        <f t="shared" si="409"/>
        <v>4.0499999999999998E-3</v>
      </c>
      <c r="EP169" s="460">
        <f t="shared" si="410"/>
        <v>67.749431030211525</v>
      </c>
      <c r="EQ169" s="460"/>
      <c r="ER169" s="460">
        <f t="shared" si="432"/>
        <v>9209.2830620405421</v>
      </c>
      <c r="ES169" s="528">
        <f t="shared" si="411"/>
        <v>0.24779999999999996</v>
      </c>
      <c r="EV169" s="460">
        <f t="shared" si="412"/>
        <v>247.79999999999995</v>
      </c>
      <c r="EW169" s="528">
        <f t="shared" si="413"/>
        <v>3.6765711775822738</v>
      </c>
      <c r="EX169" s="528">
        <f t="shared" si="414"/>
        <v>9.7035602927391384E-3</v>
      </c>
      <c r="EY169" s="528">
        <f t="shared" si="415"/>
        <v>358.70891443764418</v>
      </c>
      <c r="EZ169" s="528"/>
      <c r="FA169" s="528">
        <f t="shared" si="416"/>
        <v>6.0180000000000007</v>
      </c>
      <c r="FB169" s="460">
        <f t="shared" si="417"/>
        <v>368413.18917551916</v>
      </c>
      <c r="FC169" s="173">
        <f t="shared" si="418"/>
        <v>377.87027223755979</v>
      </c>
      <c r="FD169" s="5">
        <f t="shared" si="419"/>
        <v>60.18</v>
      </c>
      <c r="FE169" s="173">
        <f t="shared" si="420"/>
        <v>0.13738149206619754</v>
      </c>
      <c r="FF169" s="5">
        <f t="shared" si="421"/>
        <v>13.738149206619754</v>
      </c>
      <c r="FI169" s="562">
        <f t="shared" si="422"/>
        <v>-50</v>
      </c>
      <c r="FJ169">
        <f t="shared" si="423"/>
        <v>-50</v>
      </c>
      <c r="FL169">
        <f t="shared" si="476"/>
        <v>0.51355206847360901</v>
      </c>
    </row>
    <row r="170" spans="5:168">
      <c r="E170" s="170">
        <v>60</v>
      </c>
      <c r="F170" s="217">
        <f t="shared" si="477"/>
        <v>0.36</v>
      </c>
      <c r="G170" s="217"/>
      <c r="H170" s="217">
        <f t="shared" si="442"/>
        <v>61.199999999999996</v>
      </c>
      <c r="I170" s="541">
        <f t="shared" si="443"/>
        <v>7.9877335500042062</v>
      </c>
      <c r="J170" s="172">
        <f t="shared" si="444"/>
        <v>8.5260845711964244</v>
      </c>
      <c r="K170" s="172">
        <f t="shared" si="445"/>
        <v>16.513818121200629</v>
      </c>
      <c r="L170" s="443"/>
      <c r="M170" s="217">
        <f t="shared" si="446"/>
        <v>0.51629904798826409</v>
      </c>
      <c r="N170" s="172">
        <f t="shared" si="447"/>
        <v>138.58213690644811</v>
      </c>
      <c r="O170" s="172">
        <f t="shared" si="438"/>
        <v>61.199999999999996</v>
      </c>
      <c r="P170" s="217">
        <f t="shared" si="448"/>
        <v>0.81518904062616537</v>
      </c>
      <c r="Q170" s="217">
        <f t="shared" si="449"/>
        <v>170</v>
      </c>
      <c r="R170" s="217"/>
      <c r="S170" s="172">
        <f t="shared" si="450"/>
        <v>579.98789112645022</v>
      </c>
      <c r="T170" s="172">
        <f t="shared" si="451"/>
        <v>170</v>
      </c>
      <c r="U170" s="217">
        <f t="shared" si="452"/>
        <v>29.770460322870353</v>
      </c>
      <c r="V170" s="217">
        <f t="shared" si="453"/>
        <v>1.863511103400205</v>
      </c>
      <c r="W170" s="217">
        <f t="shared" si="454"/>
        <v>1.7458459433679301</v>
      </c>
      <c r="X170" s="197">
        <f t="shared" si="455"/>
        <v>350</v>
      </c>
      <c r="Y170" s="443">
        <f t="shared" si="328"/>
        <v>262.51149149917615</v>
      </c>
      <c r="AA170" s="217">
        <f t="shared" si="456"/>
        <v>23.566096942807668</v>
      </c>
      <c r="AB170" s="173">
        <f t="shared" si="457"/>
        <v>1.3819999523826416</v>
      </c>
      <c r="AC170" s="173">
        <f t="shared" si="458"/>
        <v>0.28497301746204301</v>
      </c>
      <c r="AD170" s="173"/>
      <c r="AE170" s="173">
        <f t="shared" si="459"/>
        <v>0.7819142082156435</v>
      </c>
      <c r="AF170" s="545">
        <f t="shared" si="460"/>
        <v>1381.2257005338206</v>
      </c>
      <c r="AG170" s="528">
        <f t="shared" si="461"/>
        <v>9.1223324291825086E-2</v>
      </c>
      <c r="AI170" s="173">
        <f t="shared" si="462"/>
        <v>26.487260315127077</v>
      </c>
      <c r="AJ170" s="173">
        <f t="shared" si="463"/>
        <v>29.770460322870353</v>
      </c>
      <c r="AK170" s="173">
        <f t="shared" si="464"/>
        <v>13.375649621879273</v>
      </c>
      <c r="AM170" s="545">
        <f t="shared" si="465"/>
        <v>360</v>
      </c>
      <c r="AN170" s="460">
        <f t="shared" si="466"/>
        <v>262.51149149917615</v>
      </c>
      <c r="AP170">
        <f t="shared" si="467"/>
        <v>360</v>
      </c>
      <c r="AQ170">
        <f t="shared" si="468"/>
        <v>262.51149149917615</v>
      </c>
      <c r="AS170" s="5">
        <f t="shared" si="439"/>
        <v>3.809357046768135</v>
      </c>
      <c r="AT170" s="5">
        <f t="shared" si="469"/>
        <v>1.863511103400205</v>
      </c>
      <c r="AU170" s="5">
        <f t="shared" ref="AU170:AU233" si="478">AS170-AT170</f>
        <v>1.94584594336793</v>
      </c>
      <c r="AV170" s="5"/>
      <c r="AW170" s="173">
        <f t="shared" ref="AW170:AW233" si="479">AT170/AS170</f>
        <v>0.48919307917886323</v>
      </c>
      <c r="AX170" s="173">
        <f t="shared" si="435"/>
        <v>58.164691374067942</v>
      </c>
      <c r="AY170" s="173">
        <f t="shared" si="436"/>
        <v>0.38017392922383075</v>
      </c>
      <c r="AZ170" s="173">
        <f t="shared" si="440"/>
        <v>152.99495021349284</v>
      </c>
      <c r="BA170" s="460">
        <f t="shared" si="433"/>
        <v>0.3946258807200434</v>
      </c>
      <c r="BB170" s="5">
        <f t="shared" si="434"/>
        <v>23.85372941921521</v>
      </c>
      <c r="BD170" s="173">
        <f t="shared" si="441"/>
        <v>12.021677542474219</v>
      </c>
      <c r="BE170" s="173">
        <f t="shared" si="437"/>
        <v>0.61421909434521749</v>
      </c>
      <c r="BG170" s="528">
        <f t="shared" ref="BG170:BG210" si="480">Rdson*BD170^2</f>
        <v>5.7808292374091597</v>
      </c>
      <c r="BH170" s="528">
        <f t="shared" si="470"/>
        <v>2.9037811696862059</v>
      </c>
      <c r="BI170" s="528">
        <f t="shared" si="471"/>
        <v>8.387487391638454E-2</v>
      </c>
      <c r="BJ170" s="528">
        <f t="shared" ref="BJ170:BJ210" si="481">0.5*(Coss+Csw)*K170^2*AN170*1000</f>
        <v>1.4317701679944055E-2</v>
      </c>
      <c r="BK170">
        <f t="shared" ref="BK170:BK210" si="482">I170*IQ</f>
        <v>3.5944800975018926E-3</v>
      </c>
      <c r="BL170" s="460">
        <f t="shared" si="427"/>
        <v>87.469354013886431</v>
      </c>
      <c r="BM170" s="528">
        <f t="shared" si="472"/>
        <v>-27.467375052590761</v>
      </c>
      <c r="BN170" s="460">
        <f t="shared" si="353"/>
        <v>-27467.37505259076</v>
      </c>
      <c r="BO170" s="528">
        <f t="shared" ref="BO170:BO210" si="483">Vfwd2*F170</f>
        <v>0.252</v>
      </c>
      <c r="BR170" s="460">
        <f t="shared" ref="BR170:BR210" si="484">SUM(BO170:BQ170)*1000</f>
        <v>252</v>
      </c>
      <c r="BS170" s="528">
        <f t="shared" ref="BS170:BS210" si="485">Rdcr_pri*BD170^2</f>
        <v>4.3356219280568693</v>
      </c>
      <c r="BT170" s="528">
        <f t="shared" ref="BT170:BT210" si="486">Rdcr_sec*BE170^2</f>
        <v>1.1317952875747776E-2</v>
      </c>
      <c r="BU170" s="528">
        <f t="shared" ref="BU170:BU210" si="487">AJ170^2.5*AN170^2.5*k_core</f>
        <v>269.9632686998977</v>
      </c>
      <c r="BV170" s="528"/>
      <c r="BW170" s="528">
        <f t="shared" ref="BW170:BW210" si="488">0.5*Lleak*0.000000001*AJ170^2*AN170*1000</f>
        <v>5.8164691374067958</v>
      </c>
      <c r="BX170" s="460">
        <f t="shared" ref="BX170:BX210" si="489">SUM(BS170:BW170)*1000</f>
        <v>280126.6777182371</v>
      </c>
      <c r="BY170" s="173">
        <f t="shared" ref="BY170:BY210" si="490">SUM(BG170:BK170,BO170:BQ170,BS170:BW170)</f>
        <v>289.16507518102628</v>
      </c>
      <c r="BZ170" s="5">
        <f t="shared" ref="BZ170:BZ210" si="491">MIN(H170,O170)</f>
        <v>61.199999999999996</v>
      </c>
      <c r="CA170" s="173">
        <f t="shared" ref="CA170:CA210" si="492">BZ170/(BZ170+BY170)</f>
        <v>0.17467494432308711</v>
      </c>
      <c r="CB170" s="5">
        <f t="shared" ref="CB170:CB210" si="493">CA170*100</f>
        <v>17.467494432308712</v>
      </c>
      <c r="CE170" s="562">
        <f t="shared" si="473"/>
        <v>-50</v>
      </c>
      <c r="CF170">
        <f t="shared" si="474"/>
        <v>-50</v>
      </c>
      <c r="CG170" s="173">
        <f t="shared" si="475"/>
        <v>0.49789262501201548</v>
      </c>
      <c r="CI170" s="170">
        <v>60</v>
      </c>
      <c r="CJ170" s="217">
        <f t="shared" si="428"/>
        <v>0.36</v>
      </c>
      <c r="CK170" s="217"/>
      <c r="CL170" s="217">
        <f t="shared" si="368"/>
        <v>61.199999999999996</v>
      </c>
      <c r="CM170" s="541">
        <f t="shared" si="369"/>
        <v>9</v>
      </c>
      <c r="CN170" s="443">
        <f t="shared" si="370"/>
        <v>8.5250000000000004</v>
      </c>
      <c r="CO170" s="443">
        <f t="shared" si="371"/>
        <v>17.524999999999999</v>
      </c>
      <c r="CP170" s="443"/>
      <c r="CQ170" s="217">
        <f t="shared" si="372"/>
        <v>0.48644793152639093</v>
      </c>
      <c r="CR170" s="172">
        <f t="shared" si="429"/>
        <v>147.11644793152644</v>
      </c>
      <c r="CS170" s="172">
        <f t="shared" si="373"/>
        <v>61.199999999999996</v>
      </c>
      <c r="CT170" s="217">
        <f t="shared" si="374"/>
        <v>0.86539087018544958</v>
      </c>
      <c r="CU170" s="217">
        <f t="shared" si="375"/>
        <v>170</v>
      </c>
      <c r="CV170" s="217"/>
      <c r="CW170" s="172">
        <f t="shared" si="376"/>
        <v>653.47095412433725</v>
      </c>
      <c r="CX170" s="172">
        <f t="shared" si="377"/>
        <v>170</v>
      </c>
      <c r="CY170" s="217">
        <f t="shared" si="378"/>
        <v>27.957771260997063</v>
      </c>
      <c r="CZ170" s="217">
        <f t="shared" si="379"/>
        <v>1.5532095144998368</v>
      </c>
      <c r="DA170" s="217">
        <f t="shared" si="380"/>
        <v>1.6397519801171296</v>
      </c>
      <c r="DB170" s="197">
        <f t="shared" si="381"/>
        <v>350</v>
      </c>
      <c r="DC170" s="443">
        <f t="shared" si="382"/>
        <v>313.18886923187335</v>
      </c>
      <c r="DE170" s="217">
        <f t="shared" si="383"/>
        <v>25.017322192785819</v>
      </c>
      <c r="DF170" s="173">
        <f t="shared" si="384"/>
        <v>1.467291624210312</v>
      </c>
      <c r="DG170" s="173">
        <f t="shared" si="385"/>
        <v>0.32119243899439714</v>
      </c>
      <c r="DH170" s="173"/>
      <c r="DI170" s="173">
        <f t="shared" si="386"/>
        <v>0.78201368523949166</v>
      </c>
      <c r="DJ170" s="545">
        <f t="shared" si="387"/>
        <v>1381.05</v>
      </c>
      <c r="DK170" s="528">
        <f t="shared" si="388"/>
        <v>9.1234929944607357E-2</v>
      </c>
      <c r="DM170" s="173">
        <f t="shared" si="389"/>
        <v>26.48557558909593</v>
      </c>
      <c r="DN170" s="173">
        <f t="shared" si="390"/>
        <v>27.957771260997063</v>
      </c>
      <c r="DO170" s="173">
        <f t="shared" si="391"/>
        <v>12.032916983454614</v>
      </c>
      <c r="DQ170" s="545">
        <f t="shared" si="392"/>
        <v>360</v>
      </c>
      <c r="DR170" s="460">
        <f t="shared" si="393"/>
        <v>313.18886923187335</v>
      </c>
      <c r="DT170">
        <f t="shared" si="430"/>
        <v>360</v>
      </c>
      <c r="DU170">
        <f t="shared" si="431"/>
        <v>313.18886923187335</v>
      </c>
      <c r="DW170" s="5">
        <f t="shared" si="394"/>
        <v>3.1929614946169664</v>
      </c>
      <c r="DX170" s="5">
        <f t="shared" si="395"/>
        <v>1.5532095144998368</v>
      </c>
      <c r="DY170" s="5">
        <f t="shared" si="396"/>
        <v>1.6397519801171296</v>
      </c>
      <c r="DZ170" s="5"/>
      <c r="EA170" s="173">
        <f t="shared" si="397"/>
        <v>0.48644793152639088</v>
      </c>
      <c r="EB170" s="173">
        <f t="shared" si="398"/>
        <v>61.199999999999989</v>
      </c>
      <c r="EC170" s="173">
        <f t="shared" si="399"/>
        <v>0.35894428152492663</v>
      </c>
      <c r="ED170" s="173">
        <f t="shared" si="400"/>
        <v>170.5</v>
      </c>
      <c r="EE170" s="460">
        <f t="shared" si="401"/>
        <v>0.32891495601173015</v>
      </c>
      <c r="EF170" s="5">
        <f t="shared" si="402"/>
        <v>17.840501543674371</v>
      </c>
      <c r="EH170" s="173">
        <f t="shared" si="403"/>
        <v>11.257970349187579</v>
      </c>
      <c r="EI170" s="173">
        <f t="shared" si="404"/>
        <v>0.57836787941922774</v>
      </c>
      <c r="EK170" s="528">
        <f t="shared" si="405"/>
        <v>5.0696758553274677</v>
      </c>
      <c r="EL170" s="528">
        <f t="shared" si="406"/>
        <v>4.219875</v>
      </c>
      <c r="EM170" s="528">
        <f t="shared" si="407"/>
        <v>6.2637773846374659E-2</v>
      </c>
      <c r="EN170" s="528">
        <f t="shared" si="408"/>
        <v>1.9237665441176475E-2</v>
      </c>
      <c r="EO170">
        <f t="shared" si="409"/>
        <v>4.0499999999999998E-3</v>
      </c>
      <c r="EP170" s="460">
        <f t="shared" si="410"/>
        <v>66.687773846374654</v>
      </c>
      <c r="EQ170" s="460"/>
      <c r="ER170" s="460">
        <f t="shared" si="432"/>
        <v>9375.4762946150167</v>
      </c>
      <c r="ES170" s="528">
        <f t="shared" si="411"/>
        <v>0.252</v>
      </c>
      <c r="EV170" s="460">
        <f t="shared" ref="EV170:EV210" si="494">SUM(ES170:EU170)*1000</f>
        <v>252</v>
      </c>
      <c r="EW170" s="528">
        <f t="shared" si="413"/>
        <v>3.8022568914956008</v>
      </c>
      <c r="EX170" s="528">
        <f t="shared" si="414"/>
        <v>1.003528211831683E-2</v>
      </c>
      <c r="EY170" s="528">
        <f t="shared" si="415"/>
        <v>358.70891443764481</v>
      </c>
      <c r="EZ170" s="528"/>
      <c r="FA170" s="528">
        <f t="shared" si="416"/>
        <v>6.1199999999999992</v>
      </c>
      <c r="FB170" s="460">
        <f t="shared" si="417"/>
        <v>368641.20661125873</v>
      </c>
      <c r="FC170" s="173">
        <f t="shared" si="418"/>
        <v>378.26868290587373</v>
      </c>
      <c r="FD170" s="5">
        <f t="shared" si="419"/>
        <v>61.199999999999996</v>
      </c>
      <c r="FE170" s="173">
        <f t="shared" si="420"/>
        <v>0.1392590698279812</v>
      </c>
      <c r="FF170" s="5">
        <f t="shared" si="421"/>
        <v>13.92590698279812</v>
      </c>
      <c r="FI170" s="562">
        <f t="shared" si="422"/>
        <v>-50</v>
      </c>
      <c r="FJ170">
        <f t="shared" si="423"/>
        <v>-50</v>
      </c>
      <c r="FL170">
        <f t="shared" si="476"/>
        <v>0.51355206847360912</v>
      </c>
    </row>
    <row r="171" spans="5:168">
      <c r="E171" s="170">
        <v>61</v>
      </c>
      <c r="F171" s="217">
        <f t="shared" si="477"/>
        <v>0.36599999999999999</v>
      </c>
      <c r="G171" s="217"/>
      <c r="H171" s="217">
        <f t="shared" si="442"/>
        <v>62.22</v>
      </c>
      <c r="I171" s="541">
        <f t="shared" si="443"/>
        <v>7.9713927898003591</v>
      </c>
      <c r="J171" s="172">
        <f t="shared" si="444"/>
        <v>8.5261020791537856</v>
      </c>
      <c r="K171" s="172">
        <f t="shared" si="445"/>
        <v>16.497494868954146</v>
      </c>
      <c r="L171" s="443"/>
      <c r="M171" s="217">
        <f t="shared" si="446"/>
        <v>0.51681095678312239</v>
      </c>
      <c r="N171" s="172">
        <f t="shared" si="447"/>
        <v>138.43575766603308</v>
      </c>
      <c r="O171" s="172">
        <f t="shared" si="438"/>
        <v>62.22</v>
      </c>
      <c r="P171" s="217">
        <f t="shared" si="448"/>
        <v>0.81432798627078284</v>
      </c>
      <c r="Q171" s="217">
        <f t="shared" si="449"/>
        <v>170</v>
      </c>
      <c r="R171" s="217"/>
      <c r="S171" s="172">
        <f t="shared" si="450"/>
        <v>566.70473975358914</v>
      </c>
      <c r="T171" s="172">
        <f t="shared" si="451"/>
        <v>170</v>
      </c>
      <c r="U171" s="217">
        <f t="shared" si="452"/>
        <v>30.298700282052732</v>
      </c>
      <c r="V171" s="217">
        <f t="shared" si="453"/>
        <v>1.9004646415630682</v>
      </c>
      <c r="W171" s="217">
        <f t="shared" si="454"/>
        <v>1.7768201694495707</v>
      </c>
      <c r="X171" s="197">
        <f t="shared" si="455"/>
        <v>350</v>
      </c>
      <c r="Y171" s="443">
        <f t="shared" si="328"/>
        <v>257.91244356352246</v>
      </c>
      <c r="AA171" s="217">
        <f t="shared" si="456"/>
        <v>23.541204867332674</v>
      </c>
      <c r="AB171" s="173">
        <f t="shared" si="457"/>
        <v>1.3805373574455921</v>
      </c>
      <c r="AC171" s="173">
        <f t="shared" si="458"/>
        <v>0.28437073663803669</v>
      </c>
      <c r="AD171" s="173"/>
      <c r="AE171" s="173">
        <f t="shared" si="459"/>
        <v>0.78191260259088202</v>
      </c>
      <c r="AF171" s="545">
        <f t="shared" si="460"/>
        <v>1404.2490124366286</v>
      </c>
      <c r="AG171" s="528">
        <f t="shared" si="461"/>
        <v>9.1223136968936233E-2</v>
      </c>
      <c r="AI171" s="173">
        <f t="shared" si="462"/>
        <v>26.707102794020003</v>
      </c>
      <c r="AJ171" s="173">
        <f t="shared" si="463"/>
        <v>30.298700282052732</v>
      </c>
      <c r="AK171" s="173">
        <f t="shared" si="464"/>
        <v>13.766938480532888</v>
      </c>
      <c r="AM171" s="545">
        <f t="shared" si="465"/>
        <v>366</v>
      </c>
      <c r="AN171" s="460">
        <f t="shared" si="466"/>
        <v>257.91244356352246</v>
      </c>
      <c r="AP171">
        <f t="shared" si="467"/>
        <v>366</v>
      </c>
      <c r="AQ171">
        <f t="shared" si="468"/>
        <v>257.91244356352246</v>
      </c>
      <c r="AS171" s="5">
        <f t="shared" si="439"/>
        <v>3.8772848110126383</v>
      </c>
      <c r="AT171" s="5">
        <f t="shared" si="469"/>
        <v>1.9004646415630682</v>
      </c>
      <c r="AU171" s="5">
        <f t="shared" si="478"/>
        <v>1.9768201694495702</v>
      </c>
      <c r="AV171" s="5"/>
      <c r="AW171" s="173">
        <f t="shared" si="479"/>
        <v>0.49015347961160477</v>
      </c>
      <c r="AX171" s="173">
        <f t="shared" si="435"/>
        <v>59.191630453238702</v>
      </c>
      <c r="AY171" s="173">
        <f t="shared" si="436"/>
        <v>0.38619217277738693</v>
      </c>
      <c r="AZ171" s="173">
        <f t="shared" si="440"/>
        <v>153.26988640797384</v>
      </c>
      <c r="BA171" s="460">
        <f t="shared" si="433"/>
        <v>0.40915885812475467</v>
      </c>
      <c r="BB171" s="5">
        <f t="shared" si="434"/>
        <v>24.687831436540254</v>
      </c>
      <c r="BD171" s="173">
        <f t="shared" si="441"/>
        <v>12.246991508276519</v>
      </c>
      <c r="BE171" s="173">
        <f t="shared" si="437"/>
        <v>0.62452971357805898</v>
      </c>
      <c r="BG171" s="528">
        <f t="shared" si="480"/>
        <v>5.9995520401518867</v>
      </c>
      <c r="BH171" s="528">
        <f t="shared" si="470"/>
        <v>2.9006599277764771</v>
      </c>
      <c r="BI171" s="528">
        <f t="shared" si="471"/>
        <v>8.2236855720882199E-2</v>
      </c>
      <c r="BJ171" s="528">
        <f t="shared" si="481"/>
        <v>1.403906858625048E-2</v>
      </c>
      <c r="BK171">
        <f t="shared" si="482"/>
        <v>3.5871267554101615E-3</v>
      </c>
      <c r="BL171" s="460">
        <f t="shared" si="427"/>
        <v>85.823982476292358</v>
      </c>
      <c r="BM171" s="528">
        <f t="shared" si="472"/>
        <v>-24.757436916326515</v>
      </c>
      <c r="BN171" s="460">
        <f t="shared" si="353"/>
        <v>-24757.436916326515</v>
      </c>
      <c r="BO171" s="528">
        <f t="shared" si="483"/>
        <v>0.25619999999999998</v>
      </c>
      <c r="BR171" s="460">
        <f t="shared" si="484"/>
        <v>256.2</v>
      </c>
      <c r="BS171" s="528">
        <f t="shared" si="485"/>
        <v>4.499664030113915</v>
      </c>
      <c r="BT171" s="528">
        <f t="shared" si="486"/>
        <v>1.170112089425677E-2</v>
      </c>
      <c r="BU171" s="528">
        <f t="shared" si="487"/>
        <v>269.90488340407711</v>
      </c>
      <c r="BV171" s="528"/>
      <c r="BW171" s="528">
        <f t="shared" si="488"/>
        <v>5.9191630453238711</v>
      </c>
      <c r="BX171" s="460">
        <f t="shared" si="489"/>
        <v>280335.41160040919</v>
      </c>
      <c r="BY171" s="173">
        <f t="shared" si="490"/>
        <v>289.59168661940009</v>
      </c>
      <c r="BZ171" s="5">
        <f t="shared" si="491"/>
        <v>62.22</v>
      </c>
      <c r="CA171" s="173">
        <f t="shared" si="492"/>
        <v>0.17685597825893534</v>
      </c>
      <c r="CB171" s="5">
        <f t="shared" si="493"/>
        <v>17.685597825893534</v>
      </c>
      <c r="CE171" s="562">
        <f t="shared" si="473"/>
        <v>-50</v>
      </c>
      <c r="CF171">
        <f t="shared" si="474"/>
        <v>-50</v>
      </c>
      <c r="CG171" s="173">
        <f t="shared" si="475"/>
        <v>0.49814933719991034</v>
      </c>
      <c r="CI171" s="170">
        <v>61</v>
      </c>
      <c r="CJ171" s="217">
        <f t="shared" si="428"/>
        <v>0.36599999999999999</v>
      </c>
      <c r="CK171" s="217"/>
      <c r="CL171" s="217">
        <f t="shared" si="368"/>
        <v>62.22</v>
      </c>
      <c r="CM171" s="541">
        <f t="shared" si="369"/>
        <v>9</v>
      </c>
      <c r="CN171" s="443">
        <f t="shared" si="370"/>
        <v>8.5250000000000004</v>
      </c>
      <c r="CO171" s="443">
        <f t="shared" si="371"/>
        <v>17.524999999999999</v>
      </c>
      <c r="CP171" s="443"/>
      <c r="CQ171" s="217">
        <f t="shared" si="372"/>
        <v>0.48644793152639093</v>
      </c>
      <c r="CR171" s="172">
        <f t="shared" si="429"/>
        <v>147.11644793152644</v>
      </c>
      <c r="CS171" s="172">
        <f t="shared" si="373"/>
        <v>62.22</v>
      </c>
      <c r="CT171" s="217">
        <f t="shared" si="374"/>
        <v>0.86539087018544958</v>
      </c>
      <c r="CU171" s="217">
        <f t="shared" si="375"/>
        <v>170</v>
      </c>
      <c r="CV171" s="217"/>
      <c r="CW171" s="172">
        <f t="shared" si="376"/>
        <v>639.81268747534853</v>
      </c>
      <c r="CX171" s="172">
        <f t="shared" si="377"/>
        <v>170</v>
      </c>
      <c r="CY171" s="217">
        <f t="shared" si="378"/>
        <v>28.423734115347017</v>
      </c>
      <c r="CZ171" s="217">
        <f t="shared" si="379"/>
        <v>1.579096339741501</v>
      </c>
      <c r="DA171" s="217">
        <f t="shared" si="380"/>
        <v>1.6670811797857485</v>
      </c>
      <c r="DB171" s="197">
        <f t="shared" si="381"/>
        <v>350</v>
      </c>
      <c r="DC171" s="443">
        <f t="shared" si="382"/>
        <v>308.05462547397377</v>
      </c>
      <c r="DE171" s="217">
        <f t="shared" si="383"/>
        <v>25.017322192785819</v>
      </c>
      <c r="DF171" s="173">
        <f t="shared" si="384"/>
        <v>1.467291624210312</v>
      </c>
      <c r="DG171" s="173">
        <f t="shared" si="385"/>
        <v>0.32119243899439714</v>
      </c>
      <c r="DH171" s="173"/>
      <c r="DI171" s="173">
        <f t="shared" si="386"/>
        <v>0.78201368523949166</v>
      </c>
      <c r="DJ171" s="545">
        <f t="shared" si="387"/>
        <v>1404.0675000000001</v>
      </c>
      <c r="DK171" s="528">
        <f t="shared" si="388"/>
        <v>9.1234929944607357E-2</v>
      </c>
      <c r="DM171" s="173">
        <f t="shared" si="389"/>
        <v>26.705376665704282</v>
      </c>
      <c r="DN171" s="173">
        <f t="shared" si="390"/>
        <v>28.423734115347017</v>
      </c>
      <c r="DO171" s="173">
        <f t="shared" si="391"/>
        <v>12.378074653343468</v>
      </c>
      <c r="DQ171" s="545">
        <f t="shared" si="392"/>
        <v>366</v>
      </c>
      <c r="DR171" s="460">
        <f t="shared" si="393"/>
        <v>308.05462547397377</v>
      </c>
      <c r="DT171">
        <f t="shared" si="430"/>
        <v>366</v>
      </c>
      <c r="DU171">
        <f t="shared" si="431"/>
        <v>308.05462547397377</v>
      </c>
      <c r="DW171" s="5">
        <f t="shared" si="394"/>
        <v>3.2461775195272495</v>
      </c>
      <c r="DX171" s="5">
        <f t="shared" si="395"/>
        <v>1.579096339741501</v>
      </c>
      <c r="DY171" s="5">
        <f t="shared" si="396"/>
        <v>1.6670811797857485</v>
      </c>
      <c r="DZ171" s="5"/>
      <c r="EA171" s="173">
        <f t="shared" si="397"/>
        <v>0.48644793152639093</v>
      </c>
      <c r="EB171" s="173">
        <f t="shared" si="398"/>
        <v>62.220000000000006</v>
      </c>
      <c r="EC171" s="173">
        <f t="shared" si="399"/>
        <v>0.36492668621700869</v>
      </c>
      <c r="ED171" s="173">
        <f t="shared" si="400"/>
        <v>170.50000000000006</v>
      </c>
      <c r="EE171" s="460">
        <f t="shared" si="401"/>
        <v>0.3399701531443467</v>
      </c>
      <c r="EF171" s="5">
        <f t="shared" si="402"/>
        <v>18.44014062333676</v>
      </c>
      <c r="EH171" s="173">
        <f t="shared" si="403"/>
        <v>11.445603188340705</v>
      </c>
      <c r="EI171" s="173">
        <f t="shared" si="404"/>
        <v>0.58800734407621491</v>
      </c>
      <c r="EK171" s="528">
        <f t="shared" si="405"/>
        <v>5.2400732937981971</v>
      </c>
      <c r="EL171" s="528">
        <f t="shared" si="406"/>
        <v>4.219875</v>
      </c>
      <c r="EM171" s="528">
        <f t="shared" si="407"/>
        <v>6.1610925094794752E-2</v>
      </c>
      <c r="EN171" s="528">
        <f t="shared" si="408"/>
        <v>1.8922293876567024E-2</v>
      </c>
      <c r="EO171">
        <f t="shared" si="409"/>
        <v>4.0499999999999998E-3</v>
      </c>
      <c r="EP171" s="460">
        <f t="shared" si="410"/>
        <v>65.660925094794749</v>
      </c>
      <c r="EQ171" s="460"/>
      <c r="ER171" s="460">
        <f t="shared" si="432"/>
        <v>9544.5315127695594</v>
      </c>
      <c r="ES171" s="528">
        <f t="shared" si="411"/>
        <v>0.25619999999999998</v>
      </c>
      <c r="EV171" s="460">
        <f t="shared" si="494"/>
        <v>256.2</v>
      </c>
      <c r="EW171" s="528">
        <f t="shared" si="413"/>
        <v>3.9300549703486474</v>
      </c>
      <c r="EX171" s="528">
        <f t="shared" si="414"/>
        <v>1.0372579100626925E-2</v>
      </c>
      <c r="EY171" s="528">
        <f t="shared" si="415"/>
        <v>358.70891443764418</v>
      </c>
      <c r="EZ171" s="528"/>
      <c r="FA171" s="528">
        <f t="shared" si="416"/>
        <v>6.2220000000000013</v>
      </c>
      <c r="FB171" s="460">
        <f t="shared" si="417"/>
        <v>368871.34198709344</v>
      </c>
      <c r="FC171" s="173">
        <f t="shared" si="418"/>
        <v>378.67207349986302</v>
      </c>
      <c r="FD171" s="5">
        <f t="shared" si="419"/>
        <v>62.22</v>
      </c>
      <c r="FE171" s="173">
        <f t="shared" si="420"/>
        <v>0.14112297258167725</v>
      </c>
      <c r="FF171" s="5">
        <f t="shared" si="421"/>
        <v>14.112297258167725</v>
      </c>
      <c r="FI171" s="562">
        <f t="shared" si="422"/>
        <v>-50</v>
      </c>
      <c r="FJ171">
        <f t="shared" si="423"/>
        <v>-50</v>
      </c>
      <c r="FL171">
        <f t="shared" si="476"/>
        <v>0.51355206847360901</v>
      </c>
    </row>
    <row r="172" spans="5:168">
      <c r="E172" s="170">
        <v>62</v>
      </c>
      <c r="F172" s="217">
        <f t="shared" si="477"/>
        <v>0.372</v>
      </c>
      <c r="G172" s="217"/>
      <c r="H172" s="217">
        <f t="shared" si="442"/>
        <v>63.24</v>
      </c>
      <c r="I172" s="541">
        <f t="shared" si="443"/>
        <v>7.9550515008831164</v>
      </c>
      <c r="J172" s="172">
        <f t="shared" si="444"/>
        <v>8.5261195876776252</v>
      </c>
      <c r="K172" s="172">
        <f t="shared" si="445"/>
        <v>16.481171088560743</v>
      </c>
      <c r="L172" s="443"/>
      <c r="M172" s="217">
        <f t="shared" si="446"/>
        <v>0.51732389618222652</v>
      </c>
      <c r="N172" s="172">
        <f t="shared" si="447"/>
        <v>138.28908254949789</v>
      </c>
      <c r="O172" s="172">
        <f t="shared" si="438"/>
        <v>63.24</v>
      </c>
      <c r="P172" s="217">
        <f t="shared" si="448"/>
        <v>0.81346519146763463</v>
      </c>
      <c r="Q172" s="217">
        <f t="shared" si="449"/>
        <v>170</v>
      </c>
      <c r="R172" s="217"/>
      <c r="S172" s="172">
        <f t="shared" si="450"/>
        <v>553.86070438461388</v>
      </c>
      <c r="T172" s="172">
        <f t="shared" si="451"/>
        <v>170</v>
      </c>
      <c r="U172" s="217">
        <f t="shared" si="452"/>
        <v>30.82812652688872</v>
      </c>
      <c r="V172" s="217">
        <f t="shared" si="453"/>
        <v>1.9376446854848388</v>
      </c>
      <c r="W172" s="217">
        <f t="shared" si="454"/>
        <v>1.8078638359379262</v>
      </c>
      <c r="X172" s="197">
        <f t="shared" si="455"/>
        <v>350</v>
      </c>
      <c r="Y172" s="443">
        <f t="shared" si="328"/>
        <v>253.45275382636768</v>
      </c>
      <c r="AA172" s="217">
        <f t="shared" si="456"/>
        <v>23.516262478542764</v>
      </c>
      <c r="AB172" s="173">
        <f t="shared" si="457"/>
        <v>1.3790718178835799</v>
      </c>
      <c r="AC172" s="173">
        <f t="shared" si="458"/>
        <v>0.28376787990347468</v>
      </c>
      <c r="AD172" s="173"/>
      <c r="AE172" s="173">
        <f t="shared" si="459"/>
        <v>0.78191099692076416</v>
      </c>
      <c r="AF172" s="545">
        <f t="shared" si="460"/>
        <v>1427.2724189772343</v>
      </c>
      <c r="AG172" s="528">
        <f t="shared" si="461"/>
        <v>9.1222949640755835E-2</v>
      </c>
      <c r="AI172" s="173">
        <f t="shared" si="462"/>
        <v>26.925151222776613</v>
      </c>
      <c r="AJ172" s="173">
        <f t="shared" si="463"/>
        <v>30.82812652688872</v>
      </c>
      <c r="AK172" s="173">
        <f t="shared" si="464"/>
        <v>14.159106069300288</v>
      </c>
      <c r="AM172" s="545">
        <f t="shared" si="465"/>
        <v>372</v>
      </c>
      <c r="AN172" s="460">
        <f t="shared" si="466"/>
        <v>253.45275382636768</v>
      </c>
      <c r="AP172">
        <f t="shared" si="467"/>
        <v>372</v>
      </c>
      <c r="AQ172">
        <f t="shared" si="468"/>
        <v>253.45275382636768</v>
      </c>
      <c r="AS172" s="5">
        <f t="shared" si="439"/>
        <v>3.9455085214227648</v>
      </c>
      <c r="AT172" s="5">
        <f t="shared" si="469"/>
        <v>1.9376446854848388</v>
      </c>
      <c r="AU172" s="5">
        <f t="shared" si="478"/>
        <v>2.0078638359379259</v>
      </c>
      <c r="AV172" s="5"/>
      <c r="AW172" s="173">
        <f t="shared" si="479"/>
        <v>0.49110138147315852</v>
      </c>
      <c r="AX172" s="173">
        <f t="shared" si="435"/>
        <v>60.218687907886697</v>
      </c>
      <c r="AY172" s="173">
        <f t="shared" si="436"/>
        <v>0.39220977503260868</v>
      </c>
      <c r="AZ172" s="173">
        <f t="shared" si="440"/>
        <v>153.5369379890648</v>
      </c>
      <c r="BA172" s="460">
        <f t="shared" si="433"/>
        <v>0.42400224882374121</v>
      </c>
      <c r="BB172" s="5">
        <f t="shared" si="434"/>
        <v>25.538954003376251</v>
      </c>
      <c r="BD172" s="173">
        <f t="shared" si="441"/>
        <v>12.473033343528847</v>
      </c>
      <c r="BE172" s="173">
        <f t="shared" si="437"/>
        <v>0.63485149365259219</v>
      </c>
      <c r="BG172" s="528">
        <f t="shared" si="480"/>
        <v>6.2230624315512966</v>
      </c>
      <c r="BH172" s="528">
        <f t="shared" si="470"/>
        <v>2.8974418784274394</v>
      </c>
      <c r="BI172" s="528">
        <f t="shared" si="471"/>
        <v>8.0649188389176216E-2</v>
      </c>
      <c r="BJ172" s="528">
        <f t="shared" si="481"/>
        <v>1.3769023636652044E-2</v>
      </c>
      <c r="BK172">
        <f t="shared" si="482"/>
        <v>3.5797731753974024E-3</v>
      </c>
      <c r="BL172" s="460">
        <f t="shared" si="427"/>
        <v>84.228961564573609</v>
      </c>
      <c r="BM172" s="528">
        <f t="shared" si="472"/>
        <v>-22.596131354514018</v>
      </c>
      <c r="BN172" s="460">
        <f t="shared" si="353"/>
        <v>-22596.131354514018</v>
      </c>
      <c r="BO172" s="528">
        <f t="shared" si="483"/>
        <v>0.26039999999999996</v>
      </c>
      <c r="BR172" s="460">
        <f t="shared" si="484"/>
        <v>260.39999999999998</v>
      </c>
      <c r="BS172" s="528">
        <f t="shared" si="485"/>
        <v>4.667296823663472</v>
      </c>
      <c r="BT172" s="528">
        <f t="shared" si="486"/>
        <v>1.2091092569787819E-2</v>
      </c>
      <c r="BU172" s="528">
        <f t="shared" si="487"/>
        <v>269.82387316117064</v>
      </c>
      <c r="BV172" s="528"/>
      <c r="BW172" s="528">
        <f t="shared" si="488"/>
        <v>6.0218687907886705</v>
      </c>
      <c r="BX172" s="460">
        <f t="shared" si="489"/>
        <v>280525.1298681926</v>
      </c>
      <c r="BY172" s="173">
        <f t="shared" si="490"/>
        <v>290.00403216337253</v>
      </c>
      <c r="BZ172" s="5">
        <f t="shared" si="491"/>
        <v>63.24</v>
      </c>
      <c r="CA172" s="173">
        <f t="shared" si="492"/>
        <v>0.17902637905217889</v>
      </c>
      <c r="CB172" s="5">
        <f t="shared" si="493"/>
        <v>17.902637905217887</v>
      </c>
      <c r="CE172" s="562">
        <f t="shared" si="473"/>
        <v>-50</v>
      </c>
      <c r="CF172">
        <f t="shared" si="474"/>
        <v>-50</v>
      </c>
      <c r="CG172" s="173">
        <f t="shared" si="475"/>
        <v>0.49839776834948624</v>
      </c>
      <c r="CI172" s="170">
        <v>62</v>
      </c>
      <c r="CJ172" s="217">
        <f t="shared" si="428"/>
        <v>0.372</v>
      </c>
      <c r="CK172" s="217"/>
      <c r="CL172" s="217">
        <f t="shared" si="368"/>
        <v>63.24</v>
      </c>
      <c r="CM172" s="541">
        <f t="shared" si="369"/>
        <v>9</v>
      </c>
      <c r="CN172" s="443">
        <f t="shared" si="370"/>
        <v>8.5250000000000004</v>
      </c>
      <c r="CO172" s="443">
        <f t="shared" si="371"/>
        <v>17.524999999999999</v>
      </c>
      <c r="CP172" s="443"/>
      <c r="CQ172" s="217">
        <f t="shared" si="372"/>
        <v>0.48644793152639093</v>
      </c>
      <c r="CR172" s="172">
        <f t="shared" si="429"/>
        <v>147.11644793152644</v>
      </c>
      <c r="CS172" s="172">
        <f t="shared" si="373"/>
        <v>63.24</v>
      </c>
      <c r="CT172" s="217">
        <f t="shared" si="374"/>
        <v>0.86539087018544958</v>
      </c>
      <c r="CU172" s="217">
        <f t="shared" si="375"/>
        <v>170</v>
      </c>
      <c r="CV172" s="217"/>
      <c r="CW172" s="172">
        <f t="shared" si="376"/>
        <v>626.59513179762723</v>
      </c>
      <c r="CX172" s="172">
        <f t="shared" si="377"/>
        <v>170</v>
      </c>
      <c r="CY172" s="217">
        <f t="shared" si="378"/>
        <v>28.889696969696967</v>
      </c>
      <c r="CZ172" s="217">
        <f t="shared" si="379"/>
        <v>1.604983164983165</v>
      </c>
      <c r="DA172" s="217">
        <f t="shared" si="380"/>
        <v>1.6944103794543675</v>
      </c>
      <c r="DB172" s="197">
        <f t="shared" si="381"/>
        <v>350</v>
      </c>
      <c r="DC172" s="443">
        <f t="shared" si="382"/>
        <v>303.08600248245801</v>
      </c>
      <c r="DE172" s="217">
        <f t="shared" si="383"/>
        <v>25.017322192785819</v>
      </c>
      <c r="DF172" s="173">
        <f t="shared" si="384"/>
        <v>1.467291624210312</v>
      </c>
      <c r="DG172" s="173">
        <f t="shared" si="385"/>
        <v>0.32119243899439714</v>
      </c>
      <c r="DH172" s="173"/>
      <c r="DI172" s="173">
        <f t="shared" si="386"/>
        <v>0.78201368523949166</v>
      </c>
      <c r="DJ172" s="545">
        <f t="shared" si="387"/>
        <v>1427.085</v>
      </c>
      <c r="DK172" s="528">
        <f t="shared" si="388"/>
        <v>9.1234929944607357E-2</v>
      </c>
      <c r="DM172" s="173">
        <f t="shared" si="389"/>
        <v>26.923383357753746</v>
      </c>
      <c r="DN172" s="173">
        <f t="shared" si="390"/>
        <v>28.889696969696967</v>
      </c>
      <c r="DO172" s="173">
        <f t="shared" si="391"/>
        <v>12.72323232323232</v>
      </c>
      <c r="DQ172" s="545">
        <f t="shared" si="392"/>
        <v>372</v>
      </c>
      <c r="DR172" s="460">
        <f t="shared" si="393"/>
        <v>303.08600248245801</v>
      </c>
      <c r="DT172">
        <f t="shared" si="430"/>
        <v>372</v>
      </c>
      <c r="DU172">
        <f t="shared" si="431"/>
        <v>303.08600248245801</v>
      </c>
      <c r="DW172" s="5">
        <f t="shared" si="394"/>
        <v>3.2993935444375326</v>
      </c>
      <c r="DX172" s="5">
        <f t="shared" si="395"/>
        <v>1.604983164983165</v>
      </c>
      <c r="DY172" s="5">
        <f t="shared" si="396"/>
        <v>1.6944103794543677</v>
      </c>
      <c r="DZ172" s="5"/>
      <c r="EA172" s="173">
        <f t="shared" si="397"/>
        <v>0.48644793152639088</v>
      </c>
      <c r="EB172" s="173">
        <f t="shared" si="398"/>
        <v>63.239999999999988</v>
      </c>
      <c r="EC172" s="173">
        <f t="shared" si="399"/>
        <v>0.37090909090909091</v>
      </c>
      <c r="ED172" s="173">
        <f t="shared" si="400"/>
        <v>170.49999999999997</v>
      </c>
      <c r="EE172" s="460">
        <f t="shared" si="401"/>
        <v>0.3512080808080808</v>
      </c>
      <c r="EF172" s="5">
        <f t="shared" si="402"/>
        <v>19.04969109274564</v>
      </c>
      <c r="EH172" s="173">
        <f t="shared" si="403"/>
        <v>11.633236027493831</v>
      </c>
      <c r="EI172" s="173">
        <f t="shared" si="404"/>
        <v>0.59764680873320208</v>
      </c>
      <c r="EK172" s="528">
        <f t="shared" si="405"/>
        <v>5.4132872188552188</v>
      </c>
      <c r="EL172" s="528">
        <f t="shared" si="406"/>
        <v>4.2198749999999992</v>
      </c>
      <c r="EM172" s="528">
        <f t="shared" si="407"/>
        <v>6.0617200496491601E-2</v>
      </c>
      <c r="EN172" s="528">
        <f t="shared" si="408"/>
        <v>1.8617095588235294E-2</v>
      </c>
      <c r="EO172">
        <f t="shared" si="409"/>
        <v>4.0499999999999998E-3</v>
      </c>
      <c r="EP172" s="460">
        <f t="shared" si="410"/>
        <v>64.667200496491603</v>
      </c>
      <c r="EQ172" s="460"/>
      <c r="ER172" s="460">
        <f t="shared" si="432"/>
        <v>9716.4465149399439</v>
      </c>
      <c r="ES172" s="528">
        <f t="shared" si="411"/>
        <v>0.26039999999999996</v>
      </c>
      <c r="EV172" s="460">
        <f t="shared" si="494"/>
        <v>260.39999999999998</v>
      </c>
      <c r="EW172" s="528">
        <f t="shared" si="413"/>
        <v>4.0599654141414137</v>
      </c>
      <c r="EX172" s="528">
        <f t="shared" si="414"/>
        <v>1.0715451239669419E-2</v>
      </c>
      <c r="EY172" s="528">
        <f t="shared" si="415"/>
        <v>358.70891443764486</v>
      </c>
      <c r="EZ172" s="528"/>
      <c r="FA172" s="528">
        <f t="shared" si="416"/>
        <v>6.3239999999999998</v>
      </c>
      <c r="FB172" s="460">
        <f t="shared" si="417"/>
        <v>369103.59530302591</v>
      </c>
      <c r="FC172" s="173">
        <f t="shared" si="418"/>
        <v>379.08044181796589</v>
      </c>
      <c r="FD172" s="5">
        <f t="shared" si="419"/>
        <v>63.24</v>
      </c>
      <c r="FE172" s="173">
        <f t="shared" si="420"/>
        <v>0.14297327010273247</v>
      </c>
      <c r="FF172" s="5">
        <f t="shared" si="421"/>
        <v>14.297327010273248</v>
      </c>
      <c r="FI172" s="562">
        <f t="shared" si="422"/>
        <v>-50</v>
      </c>
      <c r="FJ172">
        <f t="shared" si="423"/>
        <v>-50</v>
      </c>
      <c r="FL172">
        <f t="shared" si="476"/>
        <v>0.51355206847360912</v>
      </c>
    </row>
    <row r="173" spans="5:168">
      <c r="E173" s="170">
        <v>63</v>
      </c>
      <c r="F173" s="217">
        <f t="shared" si="477"/>
        <v>0.378</v>
      </c>
      <c r="G173" s="217"/>
      <c r="H173" s="217">
        <f t="shared" si="442"/>
        <v>64.260000000000005</v>
      </c>
      <c r="I173" s="541">
        <f t="shared" si="443"/>
        <v>7.9387097091823176</v>
      </c>
      <c r="J173" s="172">
        <f t="shared" si="444"/>
        <v>8.5261370967401628</v>
      </c>
      <c r="K173" s="172">
        <f t="shared" si="445"/>
        <v>16.46484680592248</v>
      </c>
      <c r="L173" s="443"/>
      <c r="M173" s="217">
        <f t="shared" si="446"/>
        <v>0.51783786848479241</v>
      </c>
      <c r="N173" s="172">
        <f t="shared" si="447"/>
        <v>138.14211089628367</v>
      </c>
      <c r="O173" s="172">
        <f t="shared" si="438"/>
        <v>64.260000000000005</v>
      </c>
      <c r="P173" s="217">
        <f>N173/Vout</f>
        <v>0.81260065233108036</v>
      </c>
      <c r="Q173" s="217">
        <f t="shared" si="449"/>
        <v>170</v>
      </c>
      <c r="R173" s="217"/>
      <c r="S173" s="172">
        <f t="shared" si="450"/>
        <v>541.43487865974862</v>
      </c>
      <c r="T173" s="172">
        <f t="shared" si="451"/>
        <v>170</v>
      </c>
      <c r="U173" s="217">
        <f t="shared" si="452"/>
        <v>31.358746387828074</v>
      </c>
      <c r="V173" s="217">
        <f t="shared" si="453"/>
        <v>1.9750530965729192</v>
      </c>
      <c r="W173" s="217">
        <f t="shared" si="454"/>
        <v>1.8389773722860732</v>
      </c>
      <c r="X173" s="197">
        <f t="shared" si="455"/>
        <v>350</v>
      </c>
      <c r="Y173" s="443">
        <f t="shared" si="328"/>
        <v>249.1261607897697</v>
      </c>
      <c r="AA173" s="217">
        <f t="shared" si="456"/>
        <v>23.491269664067747</v>
      </c>
      <c r="AB173" s="173">
        <f t="shared" si="457"/>
        <v>1.3776033271297781</v>
      </c>
      <c r="AC173" s="173">
        <f t="shared" si="458"/>
        <v>0.28316444841757238</v>
      </c>
      <c r="AD173" s="173"/>
      <c r="AE173" s="173">
        <f t="shared" si="459"/>
        <v>0.78190939120783831</v>
      </c>
      <c r="AF173" s="545">
        <f t="shared" si="460"/>
        <v>1450.2959201555016</v>
      </c>
      <c r="AG173" s="528">
        <f t="shared" si="461"/>
        <v>9.122276230758114E-2</v>
      </c>
      <c r="AI173" s="173">
        <f t="shared" si="462"/>
        <v>27.141448840442362</v>
      </c>
      <c r="AJ173" s="173">
        <f t="shared" si="463"/>
        <v>31.358746387828074</v>
      </c>
      <c r="AK173" s="173">
        <f t="shared" si="464"/>
        <v>14.552157818144252</v>
      </c>
      <c r="AM173" s="545">
        <f t="shared" si="465"/>
        <v>378</v>
      </c>
      <c r="AN173" s="460">
        <f t="shared" si="466"/>
        <v>249.1261607897697</v>
      </c>
      <c r="AP173">
        <f t="shared" si="467"/>
        <v>378</v>
      </c>
      <c r="AQ173">
        <f t="shared" si="468"/>
        <v>249.1261607897697</v>
      </c>
      <c r="AS173" s="5">
        <f t="shared" si="439"/>
        <v>4.0140304688589925</v>
      </c>
      <c r="AT173" s="5">
        <f t="shared" si="469"/>
        <v>1.9750530965729192</v>
      </c>
      <c r="AU173" s="5">
        <f t="shared" si="478"/>
        <v>2.0389773722860731</v>
      </c>
      <c r="AV173" s="5"/>
      <c r="AW173" s="173">
        <f t="shared" si="479"/>
        <v>0.49203739530515761</v>
      </c>
      <c r="AX173" s="173">
        <f t="shared" si="435"/>
        <v>61.245858909464644</v>
      </c>
      <c r="AY173" s="173">
        <f t="shared" si="436"/>
        <v>0.39822676237815324</v>
      </c>
      <c r="AZ173" s="173">
        <f t="shared" si="440"/>
        <v>153.79644136349134</v>
      </c>
      <c r="BA173" s="460">
        <f t="shared" si="433"/>
        <v>0.43915886500268436</v>
      </c>
      <c r="BB173" s="5">
        <f t="shared" si="434"/>
        <v>26.407250697992538</v>
      </c>
      <c r="BD173" s="173">
        <f t="shared" si="441"/>
        <v>12.699806995457649</v>
      </c>
      <c r="BE173" s="173">
        <f t="shared" si="437"/>
        <v>0.64518452260477088</v>
      </c>
      <c r="BG173" s="528">
        <f t="shared" si="480"/>
        <v>6.4514039088750019</v>
      </c>
      <c r="BH173" s="528">
        <f t="shared" si="470"/>
        <v>2.8941313685600694</v>
      </c>
      <c r="BI173" s="528">
        <f t="shared" si="471"/>
        <v>7.9109610858922402E-2</v>
      </c>
      <c r="BJ173" s="528">
        <f t="shared" si="481"/>
        <v>1.3507180996538607E-2</v>
      </c>
      <c r="BK173">
        <f t="shared" si="482"/>
        <v>3.5724193691320429E-3</v>
      </c>
      <c r="BL173" s="460">
        <f t="shared" si="427"/>
        <v>82.682030228054444</v>
      </c>
      <c r="BM173" s="528">
        <f t="shared" si="472"/>
        <v>-20.832968314158336</v>
      </c>
      <c r="BN173" s="460">
        <f t="shared" si="353"/>
        <v>-20832.968314158337</v>
      </c>
      <c r="BO173" s="528">
        <f t="shared" si="483"/>
        <v>0.2646</v>
      </c>
      <c r="BR173" s="460">
        <f t="shared" si="484"/>
        <v>264.60000000000002</v>
      </c>
      <c r="BS173" s="528">
        <f t="shared" si="485"/>
        <v>4.8385529316562517</v>
      </c>
      <c r="BT173" s="528">
        <f t="shared" si="486"/>
        <v>1.2487892046262382E-2</v>
      </c>
      <c r="BU173" s="528">
        <f t="shared" si="487"/>
        <v>269.72119461998204</v>
      </c>
      <c r="BV173" s="528"/>
      <c r="BW173" s="528">
        <f t="shared" si="488"/>
        <v>6.1245858909464648</v>
      </c>
      <c r="BX173" s="460">
        <f t="shared" si="489"/>
        <v>280696.82133463107</v>
      </c>
      <c r="BY173" s="173">
        <f t="shared" si="490"/>
        <v>290.40314582329074</v>
      </c>
      <c r="BZ173" s="5">
        <f t="shared" si="491"/>
        <v>64.260000000000005</v>
      </c>
      <c r="CA173" s="173">
        <f t="shared" si="492"/>
        <v>0.18118600919424893</v>
      </c>
      <c r="CB173" s="5">
        <f t="shared" si="493"/>
        <v>18.118600919424892</v>
      </c>
      <c r="CE173" s="562">
        <f t="shared" si="473"/>
        <v>-50</v>
      </c>
      <c r="CF173">
        <f t="shared" si="474"/>
        <v>-50</v>
      </c>
      <c r="CG173" s="173">
        <f t="shared" si="475"/>
        <v>0.49863831279590098</v>
      </c>
      <c r="CI173" s="170">
        <v>63</v>
      </c>
      <c r="CJ173" s="217">
        <f t="shared" si="428"/>
        <v>0.378</v>
      </c>
      <c r="CK173" s="217"/>
      <c r="CL173" s="217">
        <f t="shared" si="368"/>
        <v>64.260000000000005</v>
      </c>
      <c r="CM173" s="541">
        <f t="shared" si="369"/>
        <v>9</v>
      </c>
      <c r="CN173" s="443">
        <f t="shared" si="370"/>
        <v>8.5250000000000004</v>
      </c>
      <c r="CO173" s="443">
        <f t="shared" si="371"/>
        <v>17.524999999999999</v>
      </c>
      <c r="CP173" s="443"/>
      <c r="CQ173" s="217">
        <f t="shared" si="372"/>
        <v>0.48644793152639093</v>
      </c>
      <c r="CR173" s="172">
        <f t="shared" si="429"/>
        <v>147.11644793152644</v>
      </c>
      <c r="CS173" s="172">
        <f t="shared" si="373"/>
        <v>64.260000000000005</v>
      </c>
      <c r="CT173" s="217">
        <f t="shared" si="374"/>
        <v>0.86539087018544958</v>
      </c>
      <c r="CU173" s="217">
        <f t="shared" si="375"/>
        <v>170</v>
      </c>
      <c r="CV173" s="217"/>
      <c r="CW173" s="172">
        <f t="shared" si="376"/>
        <v>613.79730251487581</v>
      </c>
      <c r="CX173" s="172">
        <f t="shared" si="377"/>
        <v>170</v>
      </c>
      <c r="CY173" s="217">
        <f t="shared" si="378"/>
        <v>29.355659824046921</v>
      </c>
      <c r="CZ173" s="217">
        <f t="shared" si="379"/>
        <v>1.6308699902248287</v>
      </c>
      <c r="DA173" s="217">
        <f t="shared" si="380"/>
        <v>1.7217395791229864</v>
      </c>
      <c r="DB173" s="197">
        <f t="shared" si="381"/>
        <v>350</v>
      </c>
      <c r="DC173" s="443">
        <f t="shared" si="382"/>
        <v>298.27511355416505</v>
      </c>
      <c r="DE173" s="217">
        <f t="shared" si="383"/>
        <v>25.017322192785819</v>
      </c>
      <c r="DF173" s="173">
        <f t="shared" si="384"/>
        <v>1.467291624210312</v>
      </c>
      <c r="DG173" s="173">
        <f t="shared" si="385"/>
        <v>0.32119243899439714</v>
      </c>
      <c r="DH173" s="173"/>
      <c r="DI173" s="173">
        <f t="shared" si="386"/>
        <v>0.78201368523949166</v>
      </c>
      <c r="DJ173" s="545">
        <f t="shared" si="387"/>
        <v>1450.1025</v>
      </c>
      <c r="DK173" s="528">
        <f t="shared" si="388"/>
        <v>9.1234929944607357E-2</v>
      </c>
      <c r="DM173" s="173">
        <f t="shared" si="389"/>
        <v>27.139638906956741</v>
      </c>
      <c r="DN173" s="173">
        <f t="shared" si="390"/>
        <v>29.355659824046921</v>
      </c>
      <c r="DO173" s="173">
        <f t="shared" si="391"/>
        <v>13.068389993121176</v>
      </c>
      <c r="DQ173" s="545">
        <f t="shared" si="392"/>
        <v>378</v>
      </c>
      <c r="DR173" s="460">
        <f t="shared" si="393"/>
        <v>298.27511355416505</v>
      </c>
      <c r="DT173">
        <f t="shared" si="430"/>
        <v>378</v>
      </c>
      <c r="DU173">
        <f t="shared" si="431"/>
        <v>298.27511355416505</v>
      </c>
      <c r="DW173" s="5">
        <f t="shared" si="394"/>
        <v>3.3526095693478153</v>
      </c>
      <c r="DX173" s="5">
        <f t="shared" si="395"/>
        <v>1.6308699902248287</v>
      </c>
      <c r="DY173" s="5">
        <f t="shared" si="396"/>
        <v>1.7217395791229866</v>
      </c>
      <c r="DZ173" s="5"/>
      <c r="EA173" s="173">
        <f t="shared" si="397"/>
        <v>0.48644793152639082</v>
      </c>
      <c r="EB173" s="173">
        <f t="shared" si="398"/>
        <v>64.260000000000005</v>
      </c>
      <c r="EC173" s="173">
        <f t="shared" si="399"/>
        <v>0.37689149560117313</v>
      </c>
      <c r="ED173" s="173">
        <f t="shared" si="400"/>
        <v>170.49999999999997</v>
      </c>
      <c r="EE173" s="460">
        <f t="shared" si="401"/>
        <v>0.36262873900293252</v>
      </c>
      <c r="EF173" s="5">
        <f t="shared" si="402"/>
        <v>19.669152951901001</v>
      </c>
      <c r="EH173" s="173">
        <f t="shared" si="403"/>
        <v>11.820868866646958</v>
      </c>
      <c r="EI173" s="173">
        <f t="shared" si="404"/>
        <v>0.60728627339018937</v>
      </c>
      <c r="EK173" s="528">
        <f t="shared" si="405"/>
        <v>5.5893176304985337</v>
      </c>
      <c r="EL173" s="528">
        <f t="shared" si="406"/>
        <v>4.219875</v>
      </c>
      <c r="EM173" s="528">
        <f t="shared" si="407"/>
        <v>5.9655022710833006E-2</v>
      </c>
      <c r="EN173" s="528">
        <f t="shared" si="408"/>
        <v>1.8321586134453782E-2</v>
      </c>
      <c r="EO173">
        <f t="shared" si="409"/>
        <v>4.0499999999999998E-3</v>
      </c>
      <c r="EP173" s="460">
        <f t="shared" si="410"/>
        <v>63.705022710833006</v>
      </c>
      <c r="EQ173" s="460"/>
      <c r="ER173" s="460">
        <f t="shared" si="432"/>
        <v>9891.2192393438181</v>
      </c>
      <c r="ES173" s="528">
        <f t="shared" si="411"/>
        <v>0.2646</v>
      </c>
      <c r="EV173" s="460">
        <f t="shared" si="494"/>
        <v>264.60000000000002</v>
      </c>
      <c r="EW173" s="528">
        <f t="shared" si="413"/>
        <v>4.1919882228739</v>
      </c>
      <c r="EX173" s="528">
        <f t="shared" si="414"/>
        <v>1.1063898535444315E-2</v>
      </c>
      <c r="EY173" s="528">
        <f t="shared" si="415"/>
        <v>358.70891443764356</v>
      </c>
      <c r="EZ173" s="528"/>
      <c r="FA173" s="528">
        <f t="shared" si="416"/>
        <v>6.426000000000001</v>
      </c>
      <c r="FB173" s="460">
        <f t="shared" si="417"/>
        <v>369337.96655905293</v>
      </c>
      <c r="FC173" s="173">
        <f t="shared" si="418"/>
        <v>379.49378579839669</v>
      </c>
      <c r="FD173" s="5">
        <f t="shared" si="419"/>
        <v>64.260000000000005</v>
      </c>
      <c r="FE173" s="173">
        <f t="shared" si="420"/>
        <v>0.14481003217670393</v>
      </c>
      <c r="FF173" s="5">
        <f t="shared" si="421"/>
        <v>14.481003217670393</v>
      </c>
      <c r="FI173" s="562">
        <f t="shared" si="422"/>
        <v>-50</v>
      </c>
      <c r="FJ173">
        <f t="shared" si="423"/>
        <v>-50</v>
      </c>
      <c r="FL173">
        <f t="shared" si="476"/>
        <v>0.51355206847360924</v>
      </c>
    </row>
    <row r="174" spans="5:168">
      <c r="E174" s="170">
        <v>64</v>
      </c>
      <c r="F174" s="217">
        <f t="shared" si="477"/>
        <v>0.38400000000000001</v>
      </c>
      <c r="G174" s="217"/>
      <c r="H174" s="217">
        <f t="shared" ref="H174:H205" si="495">F174*Vout</f>
        <v>65.28</v>
      </c>
      <c r="I174" s="541">
        <f t="shared" ref="I174:I210" si="496">VIN_min-F174*(Rdcr_pri+RON/1000)/CG174/Nps</f>
        <v>7.9223674389594994</v>
      </c>
      <c r="J174" s="172">
        <f t="shared" ref="J174:J210" si="497">(T174+Vfwd1+F174/CG174*Rdcr_sec)*Nps</f>
        <v>8.5261546063153997</v>
      </c>
      <c r="K174" s="172">
        <f t="shared" ref="K174:K210" si="498">(Vout+Vfwd1+F174/CG174*Rdcr_sec)*Nps++I174</f>
        <v>16.448522045274899</v>
      </c>
      <c r="L174" s="443"/>
      <c r="M174" s="217">
        <f t="shared" ref="M174:M209" si="499">(Vout+Vfwd1+F174/FL174*Rdcr_sec)*Nps/((Vout+Vfwd1+F174/FL174*Rdcr_sec)*Nps+I174)</f>
        <v>0.51835287604868951</v>
      </c>
      <c r="N174" s="172">
        <f t="shared" ref="N174:N205" si="500">M174*I174*(Isw_max+VIN_min/Lmag*ILIM_delay)*0.5*Efficiency</f>
        <v>137.9948420290217</v>
      </c>
      <c r="O174" s="172">
        <f t="shared" si="438"/>
        <v>65.28</v>
      </c>
      <c r="P174" s="217">
        <f t="shared" ref="P174:P205" si="501">N174/Vout</f>
        <v>0.81173436487659822</v>
      </c>
      <c r="Q174" s="217">
        <f t="shared" ref="Q174:Q210" si="502">MIN(Vout,N174/F174)</f>
        <v>170</v>
      </c>
      <c r="R174" s="217"/>
      <c r="S174" s="172">
        <f t="shared" ref="S174:S210" si="503">(SQRT(Isw_max^2*Nps^2*I174^2+4*Isw_max*F174/Efficiency*(Nps^2*Vfwd1*I174-Nps*I174^2)+4*(F174/Efficiency)^2*Nps^2*Vfwd1^2+8*(F174/Efficiency)^2*Nps*Vfwd1*I174+4*(F174/Efficiency)^2*I174^2)-2*F174/Efficiency*I174-2*F174/Efficiency*Nps*Vfwd1+Isw_max*Nps*I174)/(4*F174/Efficiency*Nps)</f>
        <v>529.40766275274461</v>
      </c>
      <c r="T174" s="172">
        <f t="shared" ref="T174:T205" si="504">MIN(Vout, S174)</f>
        <v>170</v>
      </c>
      <c r="U174" s="217">
        <f t="shared" ref="U174:U209" si="505">MIN(2*(Vout+Vfwd1+F174/FL174*Rdcr_sec)*F174/(I174*M174), Isw_max)</f>
        <v>31.89056725594137</v>
      </c>
      <c r="V174" s="217">
        <f t="shared" ref="V174:V205" si="506">L*U174/I174*1000000</f>
        <v>2.0126917554413373</v>
      </c>
      <c r="W174" s="217">
        <f t="shared" ref="W174:W210" si="507">L*U174/J174*1000000</f>
        <v>1.8701612114985424</v>
      </c>
      <c r="X174" s="197">
        <f t="shared" ref="X174:X210" si="508">IF(1/((350000*L)*(1/I174+1/J174))&gt;Isw_min, 350, 0.001/((Isw_min*L)*(1/I174+1/J174)))</f>
        <v>350</v>
      </c>
      <c r="Y174" s="443">
        <f t="shared" ref="Y174:Y209" si="509">MIN(1/(V174+W174+0.2)*1000, 350)</f>
        <v>244.9267725527489</v>
      </c>
      <c r="AA174" s="217">
        <f t="shared" ref="AA174:AA210" si="510">1/((X174*1000*L)*(1/I174+1/J174))</f>
        <v>23.466226308681541</v>
      </c>
      <c r="AB174" s="173">
        <f t="shared" ref="AB174:AB205" si="511">L*AA174/J174*1000000</f>
        <v>1.3761318784496293</v>
      </c>
      <c r="AC174" s="173">
        <f t="shared" ref="AC174:AC205" si="512">0.5*AB174*AA174*Nps*X174/1000</f>
        <v>0.28256044329003788</v>
      </c>
      <c r="AD174" s="173"/>
      <c r="AE174" s="173">
        <f t="shared" ref="AE174:AE210" si="513">L*Isw_min/J174*1000000</f>
        <v>0.78190778545448925</v>
      </c>
      <c r="AF174" s="545">
        <f t="shared" ref="AF174:AF205" si="514">MAX(12000,F174/(0.5*AE174/1000000*Isw_min*Nps))/1000</f>
        <v>1473.3195159713011</v>
      </c>
      <c r="AG174" s="528">
        <f t="shared" ref="AG174:AG210" si="515">0.5*AE174/1000000*Isw_min*Nps*X174*1000</f>
        <v>9.1222574969690398E-2</v>
      </c>
      <c r="AI174" s="173">
        <f t="shared" ref="AI174:AI210" si="516">SQRT(F174/(0.5*L/J174*Fsw_DCM*Nps))</f>
        <v>27.356037176776329</v>
      </c>
      <c r="AJ174" s="173">
        <f t="shared" ref="AJ174:AJ205" si="517">MAX(IF(F174&gt;AC174,U174,AI174),Isw_min)</f>
        <v>31.89056725594137</v>
      </c>
      <c r="AK174" s="173">
        <f t="shared" ref="AK174:AK205" si="518">IF(F174&gt;AG174, (AJ174-Isw_min)/1.08*0.8+1.2, AF174*0.2/350+1)</f>
        <v>14.946099201931876</v>
      </c>
      <c r="AM174" s="545">
        <f t="shared" ref="AM174:AM210" si="519">F174*1000</f>
        <v>384</v>
      </c>
      <c r="AN174" s="460">
        <f t="shared" ref="AN174:AN210" si="520">IF(F174&gt;AG174, Y174, AF174)</f>
        <v>244.9267725527489</v>
      </c>
      <c r="AP174">
        <f t="shared" ref="AP174:AP210" si="521">IF(H174&gt;N174, "",AM174)</f>
        <v>384</v>
      </c>
      <c r="AQ174">
        <f t="shared" ref="AQ174:AQ210" si="522">IF(H174&gt;N174, "",AN174)</f>
        <v>244.9267725527489</v>
      </c>
      <c r="AS174" s="5">
        <f t="shared" si="439"/>
        <v>4.0828529669398801</v>
      </c>
      <c r="AT174" s="5">
        <f t="shared" ref="AT174:AT210" si="523">L*AJ174/I174*1000000</f>
        <v>2.0126917554413373</v>
      </c>
      <c r="AU174" s="5">
        <f t="shared" si="478"/>
        <v>2.0701612114985428</v>
      </c>
      <c r="AV174" s="5"/>
      <c r="AW174" s="173">
        <f t="shared" si="479"/>
        <v>0.49296209580377331</v>
      </c>
      <c r="AX174" s="173">
        <f t="shared" si="435"/>
        <v>62.273138914182653</v>
      </c>
      <c r="AY174" s="173">
        <f t="shared" si="436"/>
        <v>0.40424315962703317</v>
      </c>
      <c r="AZ174" s="173">
        <f t="shared" si="440"/>
        <v>154.04871407505749</v>
      </c>
      <c r="BA174" s="460">
        <f t="shared" si="433"/>
        <v>0.45463154946439616</v>
      </c>
      <c r="BB174" s="5">
        <f t="shared" si="434"/>
        <v>27.292876767528224</v>
      </c>
      <c r="BD174" s="173">
        <f t="shared" si="441"/>
        <v>12.927316466976873</v>
      </c>
      <c r="BE174" s="173">
        <f t="shared" si="437"/>
        <v>0.65552888748552096</v>
      </c>
      <c r="BG174" s="528">
        <f t="shared" si="480"/>
        <v>6.6846204414948573</v>
      </c>
      <c r="BH174" s="528">
        <f t="shared" ref="BH174:BH210" si="524">0.5*K174*AJ174*AN174*1000*Tfall</f>
        <v>2.8907324884941032</v>
      </c>
      <c r="BI174" s="528">
        <f t="shared" ref="BI174:BI210" si="525">Qg*Vdd*AN174*1000*0+Qg*I174*AN174*1000</f>
        <v>7.761599551205349E-2</v>
      </c>
      <c r="BJ174" s="528">
        <f t="shared" si="481"/>
        <v>1.3253177602262564E-2</v>
      </c>
      <c r="BK174">
        <f t="shared" si="482"/>
        <v>3.5650653475317747E-3</v>
      </c>
      <c r="BL174" s="460">
        <f t="shared" si="427"/>
        <v>81.181060859585259</v>
      </c>
      <c r="BM174" s="528">
        <f t="shared" ref="BM174:BM210" si="526">(BH174+BI174*0+BJ174+BK174*0+BG174*(1+RdsonTC*(Ta-25)))/(1-BG174*RdsonTC*ThetaJA)</f>
        <v>-19.367866191598797</v>
      </c>
      <c r="BN174" s="460">
        <f t="shared" ref="BN174:BN210" si="527">BM174*1000</f>
        <v>-19367.866191598798</v>
      </c>
      <c r="BO174" s="528">
        <f t="shared" si="483"/>
        <v>0.26879999999999998</v>
      </c>
      <c r="BR174" s="460">
        <f t="shared" si="484"/>
        <v>268.8</v>
      </c>
      <c r="BS174" s="528">
        <f t="shared" si="485"/>
        <v>5.0134653311211421</v>
      </c>
      <c r="BT174" s="528">
        <f t="shared" si="486"/>
        <v>1.2891543669840144E-2</v>
      </c>
      <c r="BU174" s="528">
        <f t="shared" si="487"/>
        <v>269.59775077998438</v>
      </c>
      <c r="BV174" s="528"/>
      <c r="BW174" s="528">
        <f t="shared" si="488"/>
        <v>6.227313891418266</v>
      </c>
      <c r="BX174" s="460">
        <f t="shared" si="489"/>
        <v>280851.4215461936</v>
      </c>
      <c r="BY174" s="173">
        <f t="shared" si="490"/>
        <v>290.79000871464444</v>
      </c>
      <c r="BZ174" s="5">
        <f t="shared" si="491"/>
        <v>65.28</v>
      </c>
      <c r="CA174" s="173">
        <f t="shared" si="492"/>
        <v>0.18333473306457435</v>
      </c>
      <c r="CB174" s="5">
        <f t="shared" si="493"/>
        <v>18.333473306457435</v>
      </c>
      <c r="CE174" s="562">
        <f t="shared" ref="CE174:CE210" si="528">IF(ABS(F174-Ioutmax_Vinmin)&lt;Iout/200, AN174, -50)</f>
        <v>-50</v>
      </c>
      <c r="CF174">
        <f t="shared" ref="CF174:CF210" si="529">IF(ABS(F174-Ioutmax_Vinmin)&lt;Iout/200, N174*CA174, -50)</f>
        <v>-50</v>
      </c>
      <c r="CG174" s="173">
        <f t="shared" ref="CG174:CG210" si="530">MIN(SQRT(2*DU174*1000*Ls1_*CL174)/CU174,1-EA174-0.00000005*DU174*1000)</f>
        <v>0.49887134022836493</v>
      </c>
      <c r="CI174" s="170">
        <v>64</v>
      </c>
      <c r="CJ174" s="217">
        <f t="shared" si="428"/>
        <v>0.38400000000000001</v>
      </c>
      <c r="CK174" s="217"/>
      <c r="CL174" s="217">
        <f t="shared" ref="CL174:CL210" si="531">CJ174*Vout</f>
        <v>65.28</v>
      </c>
      <c r="CM174" s="541">
        <f t="shared" ref="CM174:CM212" si="532">VIN_min</f>
        <v>9</v>
      </c>
      <c r="CN174" s="443">
        <f t="shared" ref="CN174:CN210" si="533">(CX174+Vfwd1)*Nps</f>
        <v>8.5250000000000004</v>
      </c>
      <c r="CO174" s="443">
        <f t="shared" ref="CO174:CO210" si="534">(Vout+Vfwd1)*Nps+CM174</f>
        <v>17.524999999999999</v>
      </c>
      <c r="CP174" s="443"/>
      <c r="CQ174" s="217">
        <f t="shared" ref="CQ174:CQ210" si="535">(Vout+Vfwd1)*Nps/((Vout+Vfwd1)*Nps+CM174)</f>
        <v>0.48644793152639093</v>
      </c>
      <c r="CR174" s="172">
        <f t="shared" si="429"/>
        <v>147.11644793152644</v>
      </c>
      <c r="CS174" s="172">
        <f t="shared" ref="CS174:CS210" si="536">CX174*CJ174</f>
        <v>65.28</v>
      </c>
      <c r="CT174" s="217">
        <f t="shared" ref="CT174:CT210" si="537">CR174/Vout</f>
        <v>0.86539087018544958</v>
      </c>
      <c r="CU174" s="217">
        <f t="shared" ref="CU174:CU210" si="538">MIN(Vout,CR174/CJ174)</f>
        <v>170</v>
      </c>
      <c r="CV174" s="217"/>
      <c r="CW174" s="172">
        <f t="shared" ref="CW174:CW210" si="539">(SQRT(Isw_max^2*Nps^2*CM174^2+4*Isw_max*CJ174/Efficiency*(Nps^2*Vfwd1*CM174-Nps*CM174^2)+4*(CJ174/Efficiency)^2*Nps^2*Vfwd1^2+8*(CJ174/Efficiency)^2*Nps*Vfwd1*CM174+4*(CJ174/Efficiency)^2*CM174^2)-2*CJ174/Efficiency*CM174-2*CJ174/Efficiency*Nps*Vfwd1+Isw_max*Nps*CM174)/(4*CJ174/Efficiency*Nps)</f>
        <v>601.39952661701852</v>
      </c>
      <c r="CX174" s="172">
        <f t="shared" ref="CX174:CX210" si="540">MIN(Vout, CW174)</f>
        <v>170</v>
      </c>
      <c r="CY174" s="217">
        <f t="shared" ref="CY174:CY210" si="541">MIN(2*Vout*CJ174/(Efficiency*CM174*CQ174), Isw_max)</f>
        <v>29.821622678396871</v>
      </c>
      <c r="CZ174" s="217">
        <f t="shared" ref="CZ174:CZ210" si="542">L*CY174/CM174*1000000</f>
        <v>1.6567568154664927</v>
      </c>
      <c r="DA174" s="217">
        <f t="shared" ref="DA174:DA210" si="543">L*CY174/CN174*1000000</f>
        <v>1.7490687787916053</v>
      </c>
      <c r="DB174" s="197">
        <f t="shared" ref="DB174:DB210" si="544">IF(1/((350000*L)*(1/CM174+1/CN174))&gt;Isw_min, 350, 0.001/((Isw_min*L)*(1/CM174+1/CN174)))</f>
        <v>350</v>
      </c>
      <c r="DC174" s="443">
        <f t="shared" ref="DC174:DC210" si="545">MIN(1/(CZ174+DA174)*1000, 350)</f>
        <v>293.61456490488126</v>
      </c>
      <c r="DE174" s="217">
        <f t="shared" ref="DE174:DE210" si="546">1/((DB174*1000*L)*(1/CM174+1/CN174))</f>
        <v>25.017322192785819</v>
      </c>
      <c r="DF174" s="173">
        <f t="shared" ref="DF174:DF210" si="547">L*DE174/CN174*1000000</f>
        <v>1.467291624210312</v>
      </c>
      <c r="DG174" s="173">
        <f t="shared" ref="DG174:DG210" si="548">0.5*DF174*DE174*Nps*DB174/1000</f>
        <v>0.32119243899439714</v>
      </c>
      <c r="DH174" s="173"/>
      <c r="DI174" s="173">
        <f t="shared" ref="DI174:DI210" si="549">L*Isw_min/CN174*1000000</f>
        <v>0.78201368523949166</v>
      </c>
      <c r="DJ174" s="545">
        <f t="shared" ref="DJ174:DJ210" si="550">MAX(12000,CJ174/(0.5*DI174/1000000*Isw_min*Nps))/1000</f>
        <v>1473.12</v>
      </c>
      <c r="DK174" s="528">
        <f t="shared" ref="DK174:DK210" si="551">0.5*DI174/1000000*Isw_min*Nps*DB174*1000</f>
        <v>9.1234929944607357E-2</v>
      </c>
      <c r="DM174" s="173">
        <f t="shared" ref="DM174:DM210" si="552">SQRT(CJ174/(0.5*L/CN174*Fsw_DCM*Nps))</f>
        <v>27.354184845676329</v>
      </c>
      <c r="DN174" s="173">
        <f t="shared" ref="DN174:DN210" si="553">MAX(IF(CJ174&gt;DG174,CY174,DM174),Isw_min)</f>
        <v>29.821622678396871</v>
      </c>
      <c r="DO174" s="173">
        <f t="shared" ref="DO174:DO210" si="554">IF(CJ174&gt;DK174, (DN174-Isw_min)/1.08*0.8+1.2, DJ174*0.2/350+1)</f>
        <v>13.413547663010025</v>
      </c>
      <c r="DQ174" s="545">
        <f t="shared" ref="DQ174:DQ210" si="555">CJ174*1000</f>
        <v>384</v>
      </c>
      <c r="DR174" s="460">
        <f t="shared" ref="DR174:DR210" si="556">IF(CJ174&gt;DK174, DC174, DJ174)</f>
        <v>293.61456490488126</v>
      </c>
      <c r="DT174">
        <f t="shared" si="430"/>
        <v>384</v>
      </c>
      <c r="DU174">
        <f t="shared" si="431"/>
        <v>293.61456490488126</v>
      </c>
      <c r="DW174" s="5">
        <f t="shared" ref="DW174:DW210" si="557">1/DR174*1000</f>
        <v>3.4058255942580975</v>
      </c>
      <c r="DX174" s="5">
        <f t="shared" ref="DX174:DX210" si="558">L*DN174/CM174*1000000</f>
        <v>1.6567568154664927</v>
      </c>
      <c r="DY174" s="5">
        <f t="shared" ref="DY174:DY210" si="559">DW174-DX174</f>
        <v>1.7490687787916048</v>
      </c>
      <c r="DZ174" s="5"/>
      <c r="EA174" s="173">
        <f t="shared" ref="EA174:EA210" si="560">DX174/DW174</f>
        <v>0.48644793152639093</v>
      </c>
      <c r="EB174" s="173">
        <f t="shared" ref="EB174:EB210" si="561">0.5*L*DN174^2*DR174*1000</f>
        <v>65.28</v>
      </c>
      <c r="EC174" s="173">
        <f t="shared" ref="EC174:EC210" si="562">DN174*Nps/2*(1-EA174)</f>
        <v>0.38287390029325502</v>
      </c>
      <c r="ED174" s="173">
        <f t="shared" ref="ED174:ED210" si="563">EB174/EC174</f>
        <v>170.50000000000006</v>
      </c>
      <c r="EE174" s="460">
        <f t="shared" ref="EE174:EE210" si="564">CJ174*DX174/Vout_ripple*1000</f>
        <v>0.37423212772890185</v>
      </c>
      <c r="EF174" s="5">
        <f t="shared" ref="EF174:EF210" si="565">CL174/Efficiency/CM174*DY174/Vinripple1</f>
        <v>20.29852620080284</v>
      </c>
      <c r="EH174" s="173">
        <f t="shared" ref="EH174:EH210" si="566">DN174*SQRT(EA174/3)</f>
        <v>12.008501705800084</v>
      </c>
      <c r="EI174" s="173">
        <f t="shared" ref="EI174:EI210" si="567">DN174*Nps*SQRT((1-EA174)/3)</f>
        <v>0.61692573804717632</v>
      </c>
      <c r="EK174" s="528">
        <f t="shared" ref="EK174:EK210" si="568">Rdson*EH174^2</f>
        <v>5.7681645287281418</v>
      </c>
      <c r="EL174" s="528">
        <f t="shared" ref="EL174:EL210" si="569">0.5*CO174*DN174*DR174*1000*Trise</f>
        <v>4.2198750000000009</v>
      </c>
      <c r="EM174" s="528">
        <f t="shared" ref="EM174:EM210" si="570">Qg*Vdd*DR174*1000</f>
        <v>5.8722912980976254E-2</v>
      </c>
      <c r="EN174" s="528">
        <f t="shared" ref="EN174:EN210" si="571">0.5*(Coss+Csw)*CO174^2*DR174*1000</f>
        <v>1.8035311351102947E-2</v>
      </c>
      <c r="EO174">
        <f t="shared" ref="EO174:EO210" si="572">CM174*IQ</f>
        <v>4.0499999999999998E-3</v>
      </c>
      <c r="EP174" s="460">
        <f t="shared" ref="EP174:EP210" si="573">(EO174+EM174)*1000</f>
        <v>62.772912980976258</v>
      </c>
      <c r="EQ174" s="460"/>
      <c r="ER174" s="460">
        <f t="shared" si="432"/>
        <v>10068.847753060219</v>
      </c>
      <c r="ES174" s="528">
        <f t="shared" ref="ES174:ES210" si="574">Vfwd2*CJ174</f>
        <v>0.26879999999999998</v>
      </c>
      <c r="EV174" s="460">
        <f t="shared" si="494"/>
        <v>268.8</v>
      </c>
      <c r="EW174" s="528">
        <f t="shared" ref="EW174:EW210" si="575">Rdcr_pri*EH174^2</f>
        <v>4.3261233965461061</v>
      </c>
      <c r="EX174" s="528">
        <f t="shared" ref="EX174:EX210" si="576">Rdcr_sec*EI174^2</f>
        <v>1.1417920987951595E-2</v>
      </c>
      <c r="EY174" s="528">
        <f t="shared" ref="EY174:EY210" si="577">DN174^2.5*DR174^2.5*k_core</f>
        <v>358.70891443764356</v>
      </c>
      <c r="EZ174" s="528"/>
      <c r="FA174" s="528">
        <f t="shared" ref="FA174:FA210" si="578">0.5*Lleak*0.000000001*DN174^2*DR174*1000</f>
        <v>6.5280000000000005</v>
      </c>
      <c r="FB174" s="460">
        <f t="shared" ref="FB174:FB210" si="579">SUM(EW174:FA174)*1000</f>
        <v>369574.45575517759</v>
      </c>
      <c r="FC174" s="173">
        <f t="shared" ref="FC174:FC210" si="580">SUM(EK174:EO174,ES174:EU174,EW174:FA174)</f>
        <v>379.91210350823786</v>
      </c>
      <c r="FD174" s="5">
        <f t="shared" ref="FD174:FD210" si="581">MIN(CL174,CS174)</f>
        <v>65.28</v>
      </c>
      <c r="FE174" s="173">
        <f t="shared" ref="FE174:FE210" si="582">FD174/(FD174+FC174)</f>
        <v>0.14663332859135506</v>
      </c>
      <c r="FF174" s="5">
        <f t="shared" ref="FF174:FF210" si="583">FE174*100</f>
        <v>14.663332859135506</v>
      </c>
      <c r="FI174" s="562">
        <f t="shared" ref="FI174:FI210" si="584">IF(ABS(CJ174-Ioutmax_Vinmin)&lt;Iout/200, DR174, -50)</f>
        <v>-50</v>
      </c>
      <c r="FJ174">
        <f t="shared" ref="FJ174:FJ210" si="585">IF(ABS(CJ174-Ioutmax_Vinmin)&lt;Iout/200, CR174*FE174, -50)</f>
        <v>-50</v>
      </c>
      <c r="FL174">
        <f t="shared" ref="FL174:FL210" si="586">MIN(SQRT(2*L*DR174*1000*CJ174*(CX174+Vfwd1))/(Nps*(CX174+Vfwd1)), 1-EA174)</f>
        <v>0.51355206847360901</v>
      </c>
    </row>
    <row r="175" spans="5:168">
      <c r="E175" s="170">
        <v>65</v>
      </c>
      <c r="F175" s="217">
        <f t="shared" ref="F175:F206" si="587">IF(PLOT_TYPE=1, E175/100*Iout_max, min_I*EXP(N175*rr/100))</f>
        <v>0.39</v>
      </c>
      <c r="G175" s="217"/>
      <c r="H175" s="217">
        <f t="shared" si="495"/>
        <v>66.3</v>
      </c>
      <c r="I175" s="541">
        <f t="shared" si="496"/>
        <v>7.9060247129399368</v>
      </c>
      <c r="J175" s="172">
        <f t="shared" si="497"/>
        <v>8.5261721163789925</v>
      </c>
      <c r="K175" s="172">
        <f t="shared" si="498"/>
        <v>16.432196829318929</v>
      </c>
      <c r="L175" s="443"/>
      <c r="M175" s="217">
        <f t="shared" si="499"/>
        <v>0.51886892128680862</v>
      </c>
      <c r="N175" s="172">
        <f t="shared" si="500"/>
        <v>137.84727525457345</v>
      </c>
      <c r="O175" s="172">
        <f t="shared" si="438"/>
        <v>66.3</v>
      </c>
      <c r="P175" s="217">
        <f t="shared" si="501"/>
        <v>0.81086632502690259</v>
      </c>
      <c r="Q175" s="217">
        <f t="shared" si="502"/>
        <v>170</v>
      </c>
      <c r="R175" s="217"/>
      <c r="S175" s="172">
        <f t="shared" si="503"/>
        <v>517.76066288018478</v>
      </c>
      <c r="T175" s="172">
        <f t="shared" si="504"/>
        <v>170</v>
      </c>
      <c r="U175" s="217">
        <f t="shared" si="505"/>
        <v>32.423596583540117</v>
      </c>
      <c r="V175" s="217">
        <f t="shared" si="506"/>
        <v>2.0505625621478147</v>
      </c>
      <c r="W175" s="217">
        <f t="shared" si="507"/>
        <v>1.9014157901676394</v>
      </c>
      <c r="X175" s="197">
        <f t="shared" si="508"/>
        <v>350</v>
      </c>
      <c r="Y175" s="443">
        <f t="shared" si="509"/>
        <v>240.84903993835255</v>
      </c>
      <c r="AA175" s="217">
        <f t="shared" si="510"/>
        <v>23.441132294478873</v>
      </c>
      <c r="AB175" s="173">
        <f t="shared" si="511"/>
        <v>1.3746574649512331</v>
      </c>
      <c r="AC175" s="173">
        <f t="shared" si="512"/>
        <v>0.28195586558575464</v>
      </c>
      <c r="AD175" s="173"/>
      <c r="AE175" s="173">
        <f t="shared" si="513"/>
        <v>0.78190617966294995</v>
      </c>
      <c r="AF175" s="545">
        <f t="shared" si="514"/>
        <v>1496.343206424513</v>
      </c>
      <c r="AG175" s="528">
        <f t="shared" si="515"/>
        <v>9.1222387627344165E-2</v>
      </c>
      <c r="AI175" s="173">
        <f t="shared" si="516"/>
        <v>27.568956145378166</v>
      </c>
      <c r="AJ175" s="173">
        <f t="shared" si="517"/>
        <v>32.423596583540117</v>
      </c>
      <c r="AK175" s="173">
        <f t="shared" si="518"/>
        <v>15.340935740893912</v>
      </c>
      <c r="AM175" s="545">
        <f t="shared" si="519"/>
        <v>390</v>
      </c>
      <c r="AN175" s="460">
        <f t="shared" si="520"/>
        <v>240.84903993835255</v>
      </c>
      <c r="AP175">
        <f t="shared" si="521"/>
        <v>390</v>
      </c>
      <c r="AQ175">
        <f t="shared" si="522"/>
        <v>240.84903993835255</v>
      </c>
      <c r="AS175" s="5">
        <f t="shared" si="439"/>
        <v>4.1519783523154548</v>
      </c>
      <c r="AT175" s="5">
        <f t="shared" si="523"/>
        <v>2.0505625621478147</v>
      </c>
      <c r="AU175" s="5">
        <f t="shared" si="478"/>
        <v>2.10141579016764</v>
      </c>
      <c r="AV175" s="5"/>
      <c r="AW175" s="173">
        <f t="shared" si="479"/>
        <v>0.49387602442682949</v>
      </c>
      <c r="AX175" s="173">
        <f t="shared" si="435"/>
        <v>63.300523642294301</v>
      </c>
      <c r="AY175" s="173">
        <f t="shared" si="436"/>
        <v>0.41025899013104988</v>
      </c>
      <c r="AZ175" s="173">
        <f t="shared" si="440"/>
        <v>154.294056108494</v>
      </c>
      <c r="BA175" s="460">
        <f t="shared" si="433"/>
        <v>0.47042317602214573</v>
      </c>
      <c r="BB175" s="5">
        <f t="shared" si="434"/>
        <v>28.195989149405129</v>
      </c>
      <c r="BD175" s="173">
        <f t="shared" si="441"/>
        <v>13.155565815539385</v>
      </c>
      <c r="BE175" s="173">
        <f t="shared" si="437"/>
        <v>0.66588467446897859</v>
      </c>
      <c r="BG175" s="528">
        <f t="shared" si="480"/>
        <v>6.9227564770795382</v>
      </c>
      <c r="BH175" s="528">
        <f t="shared" si="524"/>
        <v>2.8872490906066255</v>
      </c>
      <c r="BI175" s="528">
        <f t="shared" si="525"/>
        <v>7.6166338473618922E-2</v>
      </c>
      <c r="BJ175" s="528">
        <f t="shared" si="481"/>
        <v>1.3006671505736409E-2</v>
      </c>
      <c r="BK175">
        <f t="shared" si="482"/>
        <v>3.5577111208229713E-3</v>
      </c>
      <c r="BL175" s="460">
        <f t="shared" ref="BL175:BL210" si="588">(BK175+BI175)*1000</f>
        <v>79.724049594441894</v>
      </c>
      <c r="BM175" s="528">
        <f t="shared" si="526"/>
        <v>-18.13167711855364</v>
      </c>
      <c r="BN175" s="460">
        <f t="shared" si="527"/>
        <v>-18131.677118553638</v>
      </c>
      <c r="BO175" s="528">
        <f t="shared" si="483"/>
        <v>0.27299999999999996</v>
      </c>
      <c r="BR175" s="460">
        <f t="shared" si="484"/>
        <v>272.99999999999994</v>
      </c>
      <c r="BS175" s="528">
        <f t="shared" si="485"/>
        <v>5.1920673578096537</v>
      </c>
      <c r="BT175" s="528">
        <f t="shared" si="486"/>
        <v>1.3302071990779728E-2</v>
      </c>
      <c r="BU175" s="528">
        <f t="shared" si="487"/>
        <v>269.45439470432069</v>
      </c>
      <c r="BV175" s="528"/>
      <c r="BW175" s="528">
        <f t="shared" si="488"/>
        <v>6.3300523642294317</v>
      </c>
      <c r="BX175" s="460">
        <f t="shared" si="489"/>
        <v>280989.81649835058</v>
      </c>
      <c r="BY175" s="173">
        <f t="shared" si="490"/>
        <v>291.1655527871369</v>
      </c>
      <c r="BZ175" s="5">
        <f t="shared" si="491"/>
        <v>66.3</v>
      </c>
      <c r="CA175" s="173">
        <f t="shared" si="492"/>
        <v>0.18547241680509627</v>
      </c>
      <c r="CB175" s="5">
        <f t="shared" si="493"/>
        <v>18.547241680509625</v>
      </c>
      <c r="CE175" s="562">
        <f t="shared" si="528"/>
        <v>-50</v>
      </c>
      <c r="CF175">
        <f t="shared" si="529"/>
        <v>-50</v>
      </c>
      <c r="CG175" s="173">
        <f t="shared" si="530"/>
        <v>0.4990971975859842</v>
      </c>
      <c r="CI175" s="170">
        <v>65</v>
      </c>
      <c r="CJ175" s="217">
        <f t="shared" ref="CJ175:CJ210" si="589">IF(PLOT_TYPE=1, CI175/100*Iout_max, min_I*EXP(CR175*rr/100))</f>
        <v>0.39</v>
      </c>
      <c r="CK175" s="217"/>
      <c r="CL175" s="217">
        <f t="shared" si="531"/>
        <v>66.3</v>
      </c>
      <c r="CM175" s="541">
        <f t="shared" si="532"/>
        <v>9</v>
      </c>
      <c r="CN175" s="443">
        <f t="shared" si="533"/>
        <v>8.5250000000000004</v>
      </c>
      <c r="CO175" s="443">
        <f t="shared" si="534"/>
        <v>17.524999999999999</v>
      </c>
      <c r="CP175" s="443"/>
      <c r="CQ175" s="217">
        <f t="shared" si="535"/>
        <v>0.48644793152639093</v>
      </c>
      <c r="CR175" s="172">
        <f t="shared" ref="CR175:CR210" si="590">CQ175*CM175*(Isw_max+VIN_min/Lmag*ILIM_delay)*0.5*Efficiency</f>
        <v>147.11644793152644</v>
      </c>
      <c r="CS175" s="172">
        <f t="shared" si="536"/>
        <v>66.3</v>
      </c>
      <c r="CT175" s="217">
        <f t="shared" si="537"/>
        <v>0.86539087018544958</v>
      </c>
      <c r="CU175" s="217">
        <f t="shared" si="538"/>
        <v>170</v>
      </c>
      <c r="CV175" s="217"/>
      <c r="CW175" s="172">
        <f t="shared" si="539"/>
        <v>589.38334177118008</v>
      </c>
      <c r="CX175" s="172">
        <f t="shared" si="540"/>
        <v>170</v>
      </c>
      <c r="CY175" s="217">
        <f t="shared" si="541"/>
        <v>30.287585532746821</v>
      </c>
      <c r="CZ175" s="217">
        <f t="shared" si="542"/>
        <v>1.6826436407081566</v>
      </c>
      <c r="DA175" s="217">
        <f t="shared" si="543"/>
        <v>1.776397978460224</v>
      </c>
      <c r="DB175" s="197">
        <f t="shared" si="544"/>
        <v>350</v>
      </c>
      <c r="DC175" s="443">
        <f t="shared" si="545"/>
        <v>289.09741775249847</v>
      </c>
      <c r="DE175" s="217">
        <f t="shared" si="546"/>
        <v>25.017322192785819</v>
      </c>
      <c r="DF175" s="173">
        <f t="shared" si="547"/>
        <v>1.467291624210312</v>
      </c>
      <c r="DG175" s="173">
        <f t="shared" si="548"/>
        <v>0.32119243899439714</v>
      </c>
      <c r="DH175" s="173"/>
      <c r="DI175" s="173">
        <f t="shared" si="549"/>
        <v>0.78201368523949166</v>
      </c>
      <c r="DJ175" s="545">
        <f t="shared" si="550"/>
        <v>1496.1375</v>
      </c>
      <c r="DK175" s="528">
        <f t="shared" si="551"/>
        <v>9.1234929944607357E-2</v>
      </c>
      <c r="DM175" s="173">
        <f t="shared" si="552"/>
        <v>27.567061090055596</v>
      </c>
      <c r="DN175" s="173">
        <f t="shared" si="553"/>
        <v>30.287585532746821</v>
      </c>
      <c r="DO175" s="173">
        <f t="shared" si="554"/>
        <v>13.758705332898881</v>
      </c>
      <c r="DQ175" s="545">
        <f t="shared" si="555"/>
        <v>390</v>
      </c>
      <c r="DR175" s="460">
        <f t="shared" si="556"/>
        <v>289.09741775249847</v>
      </c>
      <c r="DT175">
        <f t="shared" ref="DT175:DT209" si="591">IF(CL175&gt;CR175, " ",DQ175)</f>
        <v>390</v>
      </c>
      <c r="DU175">
        <f t="shared" ref="DU175:DU209" si="592">IF(CL175&gt;CR175, " ",DR175)</f>
        <v>289.09741775249847</v>
      </c>
      <c r="DW175" s="5">
        <f t="shared" si="557"/>
        <v>3.4590416191683806</v>
      </c>
      <c r="DX175" s="5">
        <f t="shared" si="558"/>
        <v>1.6826436407081566</v>
      </c>
      <c r="DY175" s="5">
        <f t="shared" si="559"/>
        <v>1.776397978460224</v>
      </c>
      <c r="DZ175" s="5"/>
      <c r="EA175" s="173">
        <f t="shared" si="560"/>
        <v>0.48644793152639088</v>
      </c>
      <c r="EB175" s="173">
        <f t="shared" si="561"/>
        <v>66.3</v>
      </c>
      <c r="EC175" s="173">
        <f t="shared" si="562"/>
        <v>0.38885630498533724</v>
      </c>
      <c r="ED175" s="173">
        <f t="shared" si="563"/>
        <v>170.5</v>
      </c>
      <c r="EE175" s="460">
        <f t="shared" si="564"/>
        <v>0.38601824698598891</v>
      </c>
      <c r="EF175" s="5">
        <f t="shared" si="565"/>
        <v>20.937810839451171</v>
      </c>
      <c r="EH175" s="173">
        <f t="shared" si="566"/>
        <v>12.19613454495321</v>
      </c>
      <c r="EI175" s="173">
        <f t="shared" si="567"/>
        <v>0.62656520270416349</v>
      </c>
      <c r="EK175" s="528">
        <f t="shared" si="568"/>
        <v>5.9498279135440422</v>
      </c>
      <c r="EL175" s="528">
        <f t="shared" si="569"/>
        <v>4.2198750000000009</v>
      </c>
      <c r="EM175" s="528">
        <f t="shared" si="570"/>
        <v>5.7819483550499692E-2</v>
      </c>
      <c r="EN175" s="528">
        <f t="shared" si="571"/>
        <v>1.7757845022624438E-2</v>
      </c>
      <c r="EO175">
        <f t="shared" si="572"/>
        <v>4.0499999999999998E-3</v>
      </c>
      <c r="EP175" s="460">
        <f t="shared" si="573"/>
        <v>61.869483550499687</v>
      </c>
      <c r="EQ175" s="460"/>
      <c r="ER175" s="460">
        <f t="shared" ref="ER175:ER210" si="593">SUM(EK175:EO175)*1000</f>
        <v>10249.330242117167</v>
      </c>
      <c r="ES175" s="528">
        <f t="shared" si="574"/>
        <v>0.27299999999999996</v>
      </c>
      <c r="EV175" s="460">
        <f t="shared" si="494"/>
        <v>272.99999999999994</v>
      </c>
      <c r="EW175" s="528">
        <f t="shared" si="575"/>
        <v>4.462370935158031</v>
      </c>
      <c r="EX175" s="528">
        <f t="shared" si="576"/>
        <v>1.1777518597191283E-2</v>
      </c>
      <c r="EY175" s="528">
        <f t="shared" si="577"/>
        <v>358.70891443764418</v>
      </c>
      <c r="EZ175" s="528"/>
      <c r="FA175" s="528">
        <f t="shared" si="578"/>
        <v>6.6300000000000008</v>
      </c>
      <c r="FB175" s="460">
        <f t="shared" si="579"/>
        <v>369813.06289139937</v>
      </c>
      <c r="FC175" s="173">
        <f t="shared" si="580"/>
        <v>380.33539313351656</v>
      </c>
      <c r="FD175" s="5">
        <f t="shared" si="581"/>
        <v>66.3</v>
      </c>
      <c r="FE175" s="173">
        <f t="shared" si="582"/>
        <v>0.14844322912891134</v>
      </c>
      <c r="FF175" s="5">
        <f t="shared" si="583"/>
        <v>14.844322912891133</v>
      </c>
      <c r="FI175" s="562">
        <f t="shared" si="584"/>
        <v>-50</v>
      </c>
      <c r="FJ175">
        <f t="shared" si="585"/>
        <v>-50</v>
      </c>
      <c r="FL175">
        <f t="shared" si="586"/>
        <v>0.51355206847360912</v>
      </c>
    </row>
    <row r="176" spans="5:168">
      <c r="E176" s="170">
        <v>66</v>
      </c>
      <c r="F176" s="217">
        <f t="shared" si="587"/>
        <v>0.39600000000000002</v>
      </c>
      <c r="G176" s="217"/>
      <c r="H176" s="217">
        <f t="shared" si="495"/>
        <v>67.320000000000007</v>
      </c>
      <c r="I176" s="541">
        <f t="shared" si="496"/>
        <v>7.88968155243235</v>
      </c>
      <c r="J176" s="172">
        <f t="shared" si="497"/>
        <v>8.5261896269081081</v>
      </c>
      <c r="K176" s="172">
        <f t="shared" si="498"/>
        <v>16.415871179340456</v>
      </c>
      <c r="L176" s="443"/>
      <c r="M176" s="217">
        <f t="shared" si="499"/>
        <v>0.51938600666377621</v>
      </c>
      <c r="N176" s="172">
        <f t="shared" si="500"/>
        <v>137.69940986497238</v>
      </c>
      <c r="O176" s="172">
        <f t="shared" si="438"/>
        <v>67.320000000000007</v>
      </c>
      <c r="P176" s="217">
        <f t="shared" si="501"/>
        <v>0.80999652861748461</v>
      </c>
      <c r="Q176" s="217">
        <f t="shared" si="502"/>
        <v>170</v>
      </c>
      <c r="R176" s="217"/>
      <c r="S176" s="172">
        <f t="shared" si="503"/>
        <v>506.47659994529295</v>
      </c>
      <c r="T176" s="536">
        <f t="shared" si="504"/>
        <v>170</v>
      </c>
      <c r="U176" s="217">
        <f t="shared" si="505"/>
        <v>32.957841884805028</v>
      </c>
      <c r="V176" s="217">
        <f t="shared" si="506"/>
        <v>2.088667436434382</v>
      </c>
      <c r="W176" s="217">
        <f t="shared" si="507"/>
        <v>1.9327415485102621</v>
      </c>
      <c r="X176" s="197">
        <f t="shared" si="508"/>
        <v>350</v>
      </c>
      <c r="Y176" s="443">
        <f t="shared" si="509"/>
        <v>236.88773193178605</v>
      </c>
      <c r="AA176" s="217">
        <f t="shared" si="510"/>
        <v>23.415987501035179</v>
      </c>
      <c r="AB176" s="173">
        <f t="shared" si="511"/>
        <v>1.373180079594748</v>
      </c>
      <c r="AC176" s="173">
        <f t="shared" si="512"/>
        <v>0.28135071632903474</v>
      </c>
      <c r="AD176" s="173"/>
      <c r="AE176" s="173">
        <f t="shared" si="513"/>
        <v>0.78190457383531486</v>
      </c>
      <c r="AF176" s="545">
        <f t="shared" si="514"/>
        <v>1519.3669915150251</v>
      </c>
      <c r="AG176" s="528">
        <f t="shared" si="515"/>
        <v>9.1222200280786717E-2</v>
      </c>
      <c r="AI176" s="173">
        <f t="shared" si="516"/>
        <v>27.780244130391289</v>
      </c>
      <c r="AJ176" s="173">
        <f t="shared" si="517"/>
        <v>32.957841884805028</v>
      </c>
      <c r="AK176" s="173">
        <f t="shared" si="518"/>
        <v>15.736673001090143</v>
      </c>
      <c r="AM176" s="545">
        <f t="shared" si="519"/>
        <v>396</v>
      </c>
      <c r="AN176" s="460">
        <f t="shared" si="520"/>
        <v>236.88773193178605</v>
      </c>
      <c r="AP176">
        <f t="shared" si="521"/>
        <v>396</v>
      </c>
      <c r="AQ176">
        <f t="shared" si="522"/>
        <v>236.88773193178605</v>
      </c>
      <c r="AS176" s="5">
        <f t="shared" si="439"/>
        <v>4.2214089849446443</v>
      </c>
      <c r="AT176" s="5">
        <f t="shared" si="523"/>
        <v>2.088667436434382</v>
      </c>
      <c r="AU176" s="5">
        <f t="shared" si="478"/>
        <v>2.1327415485102623</v>
      </c>
      <c r="AV176" s="5"/>
      <c r="AW176" s="173">
        <f t="shared" si="479"/>
        <v>0.49477969177671871</v>
      </c>
      <c r="AX176" s="173">
        <f t="shared" si="435"/>
        <v>64.328009059163222</v>
      </c>
      <c r="AY176" s="173">
        <f t="shared" si="436"/>
        <v>0.41627427588538424</v>
      </c>
      <c r="AZ176" s="173">
        <f t="shared" si="440"/>
        <v>154.53275108662999</v>
      </c>
      <c r="BA176" s="460">
        <f t="shared" si="433"/>
        <v>0.48653664989883255</v>
      </c>
      <c r="BB176" s="5">
        <f t="shared" si="434"/>
        <v>29.116746493059061</v>
      </c>
      <c r="BD176" s="173">
        <f t="shared" si="441"/>
        <v>13.384559152124021</v>
      </c>
      <c r="BE176" s="173">
        <f t="shared" si="437"/>
        <v>0.67625196895196293</v>
      </c>
      <c r="BG176" s="528">
        <f t="shared" si="480"/>
        <v>7.1658569478682761</v>
      </c>
      <c r="BH176" s="528">
        <f t="shared" si="524"/>
        <v>2.8836848063858747</v>
      </c>
      <c r="BI176" s="528">
        <f t="shared" si="525"/>
        <v>7.475875074479009E-2</v>
      </c>
      <c r="BJ176" s="528">
        <f t="shared" si="481"/>
        <v>1.2767340361371518E-2</v>
      </c>
      <c r="BK176">
        <f t="shared" si="482"/>
        <v>3.5503566985945574E-3</v>
      </c>
      <c r="BL176" s="460">
        <f t="shared" si="588"/>
        <v>78.309107443384647</v>
      </c>
      <c r="BM176" s="528">
        <f t="shared" si="526"/>
        <v>-17.075093246782981</v>
      </c>
      <c r="BN176" s="460">
        <f t="shared" si="527"/>
        <v>-17075.093246782981</v>
      </c>
      <c r="BO176" s="528">
        <f t="shared" si="483"/>
        <v>0.2772</v>
      </c>
      <c r="BR176" s="460">
        <f t="shared" si="484"/>
        <v>277.2</v>
      </c>
      <c r="BS176" s="528">
        <f t="shared" si="485"/>
        <v>5.3743927109012066</v>
      </c>
      <c r="BT176" s="528">
        <f t="shared" si="486"/>
        <v>1.3719501765342198E-2</v>
      </c>
      <c r="BU176" s="528">
        <f t="shared" si="487"/>
        <v>269.29193292937475</v>
      </c>
      <c r="BV176" s="528"/>
      <c r="BW176" s="528">
        <f t="shared" si="488"/>
        <v>6.4328009059163236</v>
      </c>
      <c r="BX176" s="460">
        <f t="shared" si="489"/>
        <v>281112.84604795766</v>
      </c>
      <c r="BY176" s="173">
        <f t="shared" si="490"/>
        <v>291.53066425001657</v>
      </c>
      <c r="BZ176" s="5">
        <f t="shared" si="491"/>
        <v>67.320000000000007</v>
      </c>
      <c r="CA176" s="173">
        <f t="shared" si="492"/>
        <v>0.18759892820791094</v>
      </c>
      <c r="CB176" s="5">
        <f t="shared" si="493"/>
        <v>18.759892820791094</v>
      </c>
      <c r="CE176" s="562">
        <f t="shared" si="528"/>
        <v>-50</v>
      </c>
      <c r="CF176">
        <f t="shared" si="529"/>
        <v>-50</v>
      </c>
      <c r="CG176" s="173">
        <f t="shared" si="530"/>
        <v>0.49931621078125116</v>
      </c>
      <c r="CI176" s="170">
        <v>66</v>
      </c>
      <c r="CJ176" s="217">
        <f t="shared" si="589"/>
        <v>0.39600000000000002</v>
      </c>
      <c r="CK176" s="217"/>
      <c r="CL176" s="217">
        <f t="shared" si="531"/>
        <v>67.320000000000007</v>
      </c>
      <c r="CM176" s="541">
        <f t="shared" si="532"/>
        <v>9</v>
      </c>
      <c r="CN176" s="443">
        <f t="shared" si="533"/>
        <v>8.5250000000000004</v>
      </c>
      <c r="CO176" s="443">
        <f t="shared" si="534"/>
        <v>17.524999999999999</v>
      </c>
      <c r="CP176" s="443"/>
      <c r="CQ176" s="217">
        <f t="shared" si="535"/>
        <v>0.48644793152639093</v>
      </c>
      <c r="CR176" s="172">
        <f t="shared" si="590"/>
        <v>147.11644793152644</v>
      </c>
      <c r="CS176" s="172">
        <f t="shared" si="536"/>
        <v>67.320000000000007</v>
      </c>
      <c r="CT176" s="217">
        <f t="shared" si="537"/>
        <v>0.86539087018544958</v>
      </c>
      <c r="CU176" s="217">
        <f t="shared" si="538"/>
        <v>170</v>
      </c>
      <c r="CV176" s="217"/>
      <c r="CW176" s="172">
        <f t="shared" si="539"/>
        <v>577.73140460440982</v>
      </c>
      <c r="CX176" s="536">
        <f t="shared" si="540"/>
        <v>170</v>
      </c>
      <c r="CY176" s="217">
        <f t="shared" si="541"/>
        <v>30.753548387096775</v>
      </c>
      <c r="CZ176" s="217">
        <f t="shared" si="542"/>
        <v>1.7085304659498208</v>
      </c>
      <c r="DA176" s="217">
        <f t="shared" si="543"/>
        <v>1.8037271781288431</v>
      </c>
      <c r="DB176" s="197">
        <f t="shared" si="544"/>
        <v>350</v>
      </c>
      <c r="DC176" s="443">
        <f t="shared" si="545"/>
        <v>284.71715384715753</v>
      </c>
      <c r="DE176" s="217">
        <f t="shared" si="546"/>
        <v>25.017322192785819</v>
      </c>
      <c r="DF176" s="173">
        <f t="shared" si="547"/>
        <v>1.467291624210312</v>
      </c>
      <c r="DG176" s="173">
        <f t="shared" si="548"/>
        <v>0.32119243899439714</v>
      </c>
      <c r="DH176" s="173"/>
      <c r="DI176" s="173">
        <f t="shared" si="549"/>
        <v>0.78201368523949166</v>
      </c>
      <c r="DJ176" s="545">
        <f t="shared" si="550"/>
        <v>1519.155</v>
      </c>
      <c r="DK176" s="528">
        <f t="shared" si="551"/>
        <v>9.1234929944607357E-2</v>
      </c>
      <c r="DM176" s="173">
        <f t="shared" si="552"/>
        <v>27.778306026723186</v>
      </c>
      <c r="DN176" s="173">
        <f t="shared" si="553"/>
        <v>30.753548387096775</v>
      </c>
      <c r="DO176" s="173">
        <f t="shared" si="554"/>
        <v>14.103863002787733</v>
      </c>
      <c r="DQ176" s="545">
        <f t="shared" si="555"/>
        <v>396</v>
      </c>
      <c r="DR176" s="460">
        <f t="shared" si="556"/>
        <v>284.71715384715753</v>
      </c>
      <c r="DT176">
        <f t="shared" si="591"/>
        <v>396</v>
      </c>
      <c r="DU176">
        <f t="shared" si="592"/>
        <v>284.71715384715753</v>
      </c>
      <c r="DW176" s="5">
        <f t="shared" si="557"/>
        <v>3.5122576440786637</v>
      </c>
      <c r="DX176" s="5">
        <f t="shared" si="558"/>
        <v>1.7085304659498208</v>
      </c>
      <c r="DY176" s="5">
        <f t="shared" si="559"/>
        <v>1.8037271781288429</v>
      </c>
      <c r="DZ176" s="5"/>
      <c r="EA176" s="173">
        <f t="shared" si="560"/>
        <v>0.48644793152639093</v>
      </c>
      <c r="EB176" s="173">
        <f t="shared" si="561"/>
        <v>67.320000000000007</v>
      </c>
      <c r="EC176" s="173">
        <f t="shared" si="562"/>
        <v>0.3948387096774193</v>
      </c>
      <c r="ED176" s="173">
        <f t="shared" si="563"/>
        <v>170.50000000000006</v>
      </c>
      <c r="EE176" s="460">
        <f t="shared" si="564"/>
        <v>0.39798709677419364</v>
      </c>
      <c r="EF176" s="5">
        <f t="shared" si="565"/>
        <v>21.587006867845993</v>
      </c>
      <c r="EH176" s="173">
        <f t="shared" si="566"/>
        <v>12.383767384106338</v>
      </c>
      <c r="EI176" s="173">
        <f t="shared" si="567"/>
        <v>0.63620466736115067</v>
      </c>
      <c r="EK176" s="528">
        <f t="shared" si="568"/>
        <v>6.1343077849462384</v>
      </c>
      <c r="EL176" s="528">
        <f t="shared" si="569"/>
        <v>4.219875</v>
      </c>
      <c r="EM176" s="528">
        <f t="shared" si="570"/>
        <v>5.6943430769431508E-2</v>
      </c>
      <c r="EN176" s="528">
        <f t="shared" si="571"/>
        <v>1.7488786764705881E-2</v>
      </c>
      <c r="EO176">
        <f t="shared" si="572"/>
        <v>4.0499999999999998E-3</v>
      </c>
      <c r="EP176" s="460">
        <f t="shared" si="573"/>
        <v>60.993430769431505</v>
      </c>
      <c r="EQ176" s="460"/>
      <c r="ER176" s="460">
        <f t="shared" si="593"/>
        <v>10432.665002480375</v>
      </c>
      <c r="ES176" s="528">
        <f t="shared" si="574"/>
        <v>0.2772</v>
      </c>
      <c r="EV176" s="460">
        <f t="shared" si="494"/>
        <v>277.2</v>
      </c>
      <c r="EW176" s="528">
        <f t="shared" si="575"/>
        <v>4.600730838709679</v>
      </c>
      <c r="EX176" s="528">
        <f t="shared" si="576"/>
        <v>1.214269136316337E-2</v>
      </c>
      <c r="EY176" s="528">
        <f t="shared" si="577"/>
        <v>358.70891443764361</v>
      </c>
      <c r="EZ176" s="528"/>
      <c r="FA176" s="528">
        <f t="shared" si="578"/>
        <v>6.7320000000000011</v>
      </c>
      <c r="FB176" s="460">
        <f t="shared" si="579"/>
        <v>370053.78796771646</v>
      </c>
      <c r="FC176" s="173">
        <f t="shared" si="580"/>
        <v>380.76365297019686</v>
      </c>
      <c r="FD176" s="5">
        <f t="shared" si="581"/>
        <v>67.320000000000007</v>
      </c>
      <c r="FE176" s="173">
        <f t="shared" si="582"/>
        <v>0.15023980355846106</v>
      </c>
      <c r="FF176" s="5">
        <f t="shared" si="583"/>
        <v>15.023980355846106</v>
      </c>
      <c r="FI176" s="562">
        <f t="shared" si="584"/>
        <v>-50</v>
      </c>
      <c r="FJ176">
        <f t="shared" si="585"/>
        <v>-50</v>
      </c>
      <c r="FL176">
        <f t="shared" si="586"/>
        <v>0.51355206847360901</v>
      </c>
    </row>
    <row r="177" spans="5:168">
      <c r="E177" s="170">
        <v>67</v>
      </c>
      <c r="F177" s="217">
        <f t="shared" si="587"/>
        <v>0.40200000000000002</v>
      </c>
      <c r="G177" s="217"/>
      <c r="H177" s="217">
        <f t="shared" si="495"/>
        <v>68.34</v>
      </c>
      <c r="I177" s="541">
        <f t="shared" si="496"/>
        <v>7.8733379774375845</v>
      </c>
      <c r="J177" s="172">
        <f t="shared" si="497"/>
        <v>8.5262071378813182</v>
      </c>
      <c r="K177" s="172">
        <f t="shared" si="498"/>
        <v>16.399545115318901</v>
      </c>
      <c r="L177" s="443"/>
      <c r="M177" s="217">
        <f t="shared" si="499"/>
        <v>0.51990413469297558</v>
      </c>
      <c r="N177" s="172">
        <f t="shared" si="500"/>
        <v>137.5512451382767</v>
      </c>
      <c r="O177" s="172">
        <f t="shared" si="438"/>
        <v>68.34</v>
      </c>
      <c r="P177" s="217">
        <f t="shared" si="501"/>
        <v>0.80912497140162765</v>
      </c>
      <c r="Q177" s="217">
        <f t="shared" si="502"/>
        <v>170</v>
      </c>
      <c r="R177" s="217"/>
      <c r="S177" s="172">
        <f t="shared" si="503"/>
        <v>495.53922636200417</v>
      </c>
      <c r="T177" s="536">
        <f t="shared" si="504"/>
        <v>170</v>
      </c>
      <c r="U177" s="217">
        <f t="shared" si="505"/>
        <v>33.493310736422899</v>
      </c>
      <c r="V177" s="217">
        <f t="shared" si="506"/>
        <v>2.1270083179716019</v>
      </c>
      <c r="W177" s="217">
        <f t="shared" si="507"/>
        <v>1.9641389304052066</v>
      </c>
      <c r="X177" s="197">
        <f t="shared" si="508"/>
        <v>350</v>
      </c>
      <c r="Y177" s="443">
        <f t="shared" si="509"/>
        <v>233.03791320101288</v>
      </c>
      <c r="AA177" s="217">
        <f t="shared" si="510"/>
        <v>23.390791805551512</v>
      </c>
      <c r="AB177" s="173">
        <f t="shared" si="511"/>
        <v>1.3716997152009083</v>
      </c>
      <c r="AC177" s="173">
        <f t="shared" si="512"/>
        <v>0.28074499650748908</v>
      </c>
      <c r="AD177" s="173"/>
      <c r="AE177" s="173">
        <f t="shared" si="513"/>
        <v>0.78190296797354963</v>
      </c>
      <c r="AF177" s="545">
        <f t="shared" si="514"/>
        <v>1542.3908712427306</v>
      </c>
      <c r="AG177" s="528">
        <f t="shared" si="515"/>
        <v>9.1222012930247454E-2</v>
      </c>
      <c r="AI177" s="173">
        <f t="shared" si="516"/>
        <v>27.989938067315915</v>
      </c>
      <c r="AJ177" s="173">
        <f t="shared" si="517"/>
        <v>33.493310736422899</v>
      </c>
      <c r="AK177" s="173">
        <f t="shared" si="518"/>
        <v>16.133316594881158</v>
      </c>
      <c r="AM177" s="545">
        <f t="shared" si="519"/>
        <v>402</v>
      </c>
      <c r="AN177" s="460">
        <f t="shared" si="520"/>
        <v>233.03791320101288</v>
      </c>
      <c r="AP177">
        <f t="shared" si="521"/>
        <v>402</v>
      </c>
      <c r="AQ177">
        <f t="shared" si="522"/>
        <v>233.03791320101288</v>
      </c>
      <c r="AS177" s="5">
        <f t="shared" si="439"/>
        <v>4.2911472483768085</v>
      </c>
      <c r="AT177" s="5">
        <f t="shared" si="523"/>
        <v>2.1270083179716019</v>
      </c>
      <c r="AU177" s="5">
        <f t="shared" si="478"/>
        <v>2.1641389304052066</v>
      </c>
      <c r="AV177" s="5"/>
      <c r="AW177" s="173">
        <f t="shared" si="479"/>
        <v>0.49567357978129861</v>
      </c>
      <c r="AX177" s="173">
        <f t="shared" si="435"/>
        <v>65.355591357935793</v>
      </c>
      <c r="AY177" s="173">
        <f t="shared" si="436"/>
        <v>0.42228903762431896</v>
      </c>
      <c r="AZ177" s="173">
        <f t="shared" si="440"/>
        <v>154.7650673709368</v>
      </c>
      <c r="BA177" s="460">
        <f t="shared" si="433"/>
        <v>0.50297490813210821</v>
      </c>
      <c r="BB177" s="5">
        <f t="shared" si="434"/>
        <v>30.055309181994637</v>
      </c>
      <c r="BD177" s="173">
        <f t="shared" si="441"/>
        <v>13.614300640345427</v>
      </c>
      <c r="BE177" s="173">
        <f t="shared" si="437"/>
        <v>0.68663085564555226</v>
      </c>
      <c r="BG177" s="528">
        <f t="shared" si="480"/>
        <v>7.4139672770283962</v>
      </c>
      <c r="BH177" s="528">
        <f t="shared" si="524"/>
        <v>2.8800430620390647</v>
      </c>
      <c r="BI177" s="528">
        <f t="shared" si="525"/>
        <v>7.3391450087533533E-2</v>
      </c>
      <c r="BJ177" s="528">
        <f t="shared" si="481"/>
        <v>1.2534880041280921E-2</v>
      </c>
      <c r="BK177">
        <f t="shared" si="482"/>
        <v>3.5430020898469129E-3</v>
      </c>
      <c r="BL177" s="460">
        <f t="shared" si="588"/>
        <v>76.93445217738045</v>
      </c>
      <c r="BM177" s="528">
        <f t="shared" si="526"/>
        <v>-16.16200772928244</v>
      </c>
      <c r="BN177" s="460">
        <f t="shared" si="527"/>
        <v>-16162.007729282439</v>
      </c>
      <c r="BO177" s="528">
        <f t="shared" si="483"/>
        <v>0.28139999999999998</v>
      </c>
      <c r="BR177" s="460">
        <f t="shared" si="484"/>
        <v>281.39999999999998</v>
      </c>
      <c r="BS177" s="528">
        <f t="shared" si="485"/>
        <v>5.5604754577712967</v>
      </c>
      <c r="BT177" s="528">
        <f t="shared" si="486"/>
        <v>1.4143857957736296E-2</v>
      </c>
      <c r="BU177" s="528">
        <f t="shared" si="487"/>
        <v>269.11112859940295</v>
      </c>
      <c r="BV177" s="528"/>
      <c r="BW177" s="528">
        <f t="shared" si="488"/>
        <v>6.5355591357935809</v>
      </c>
      <c r="BX177" s="460">
        <f t="shared" si="489"/>
        <v>281221.3070509255</v>
      </c>
      <c r="BY177" s="173">
        <f t="shared" si="490"/>
        <v>291.88618672221168</v>
      </c>
      <c r="BZ177" s="5">
        <f t="shared" si="491"/>
        <v>68.34</v>
      </c>
      <c r="CA177" s="173">
        <f t="shared" si="492"/>
        <v>0.18971413661467199</v>
      </c>
      <c r="CB177" s="5">
        <f t="shared" si="493"/>
        <v>18.971413661467199</v>
      </c>
      <c r="CE177" s="562">
        <f t="shared" si="528"/>
        <v>-50</v>
      </c>
      <c r="CF177">
        <f t="shared" si="529"/>
        <v>-50</v>
      </c>
      <c r="CG177" s="173">
        <f t="shared" si="530"/>
        <v>0.499528686269197</v>
      </c>
      <c r="CI177" s="170">
        <v>67</v>
      </c>
      <c r="CJ177" s="217">
        <f t="shared" si="589"/>
        <v>0.40200000000000002</v>
      </c>
      <c r="CK177" s="217"/>
      <c r="CL177" s="217">
        <f t="shared" si="531"/>
        <v>68.34</v>
      </c>
      <c r="CM177" s="541">
        <f t="shared" si="532"/>
        <v>9</v>
      </c>
      <c r="CN177" s="443">
        <f t="shared" si="533"/>
        <v>8.5250000000000004</v>
      </c>
      <c r="CO177" s="443">
        <f t="shared" si="534"/>
        <v>17.524999999999999</v>
      </c>
      <c r="CP177" s="443"/>
      <c r="CQ177" s="217">
        <f t="shared" si="535"/>
        <v>0.48644793152639093</v>
      </c>
      <c r="CR177" s="172">
        <f t="shared" si="590"/>
        <v>147.11644793152644</v>
      </c>
      <c r="CS177" s="172">
        <f t="shared" si="536"/>
        <v>68.34</v>
      </c>
      <c r="CT177" s="217">
        <f t="shared" si="537"/>
        <v>0.86539087018544958</v>
      </c>
      <c r="CU177" s="217">
        <f t="shared" si="538"/>
        <v>170</v>
      </c>
      <c r="CV177" s="217"/>
      <c r="CW177" s="172">
        <f t="shared" si="539"/>
        <v>566.42740719991389</v>
      </c>
      <c r="CX177" s="536">
        <f t="shared" si="540"/>
        <v>170</v>
      </c>
      <c r="CY177" s="217">
        <f t="shared" si="541"/>
        <v>31.219511241446725</v>
      </c>
      <c r="CZ177" s="217">
        <f t="shared" si="542"/>
        <v>1.7344172911914848</v>
      </c>
      <c r="DA177" s="217">
        <f t="shared" si="543"/>
        <v>1.8310563777974618</v>
      </c>
      <c r="DB177" s="197">
        <f t="shared" si="544"/>
        <v>350</v>
      </c>
      <c r="DC177" s="443">
        <f t="shared" si="545"/>
        <v>280.4676440882447</v>
      </c>
      <c r="DE177" s="217">
        <f t="shared" si="546"/>
        <v>25.017322192785819</v>
      </c>
      <c r="DF177" s="173">
        <f t="shared" si="547"/>
        <v>1.467291624210312</v>
      </c>
      <c r="DG177" s="173">
        <f t="shared" si="548"/>
        <v>0.32119243899439714</v>
      </c>
      <c r="DH177" s="173"/>
      <c r="DI177" s="173">
        <f t="shared" si="549"/>
        <v>0.78201368523949166</v>
      </c>
      <c r="DJ177" s="545">
        <f t="shared" si="550"/>
        <v>1542.1724999999999</v>
      </c>
      <c r="DK177" s="528">
        <f t="shared" si="551"/>
        <v>9.1234929944607357E-2</v>
      </c>
      <c r="DM177" s="173">
        <f t="shared" si="552"/>
        <v>27.987956593608516</v>
      </c>
      <c r="DN177" s="173">
        <f t="shared" si="553"/>
        <v>31.219511241446725</v>
      </c>
      <c r="DO177" s="173">
        <f t="shared" si="554"/>
        <v>14.449020672676586</v>
      </c>
      <c r="DQ177" s="545">
        <f t="shared" si="555"/>
        <v>402</v>
      </c>
      <c r="DR177" s="460">
        <f t="shared" si="556"/>
        <v>280.4676440882447</v>
      </c>
      <c r="DT177">
        <f t="shared" si="591"/>
        <v>402</v>
      </c>
      <c r="DU177">
        <f t="shared" si="592"/>
        <v>280.4676440882447</v>
      </c>
      <c r="DW177" s="5">
        <f t="shared" si="557"/>
        <v>3.5654736689889472</v>
      </c>
      <c r="DX177" s="5">
        <f t="shared" si="558"/>
        <v>1.7344172911914848</v>
      </c>
      <c r="DY177" s="5">
        <f t="shared" si="559"/>
        <v>1.8310563777974624</v>
      </c>
      <c r="DZ177" s="5"/>
      <c r="EA177" s="173">
        <f t="shared" si="560"/>
        <v>0.48644793152639082</v>
      </c>
      <c r="EB177" s="173">
        <f t="shared" si="561"/>
        <v>68.339999999999989</v>
      </c>
      <c r="EC177" s="173">
        <f t="shared" si="562"/>
        <v>0.40082111436950152</v>
      </c>
      <c r="ED177" s="173">
        <f t="shared" si="563"/>
        <v>170.49999999999994</v>
      </c>
      <c r="EE177" s="460">
        <f t="shared" si="564"/>
        <v>0.41013867709351587</v>
      </c>
      <c r="EF177" s="5">
        <f t="shared" si="565"/>
        <v>22.246114285987304</v>
      </c>
      <c r="EH177" s="173">
        <f t="shared" si="566"/>
        <v>12.571400223259463</v>
      </c>
      <c r="EI177" s="173">
        <f t="shared" si="567"/>
        <v>0.64584413201813784</v>
      </c>
      <c r="EK177" s="528">
        <f t="shared" si="568"/>
        <v>6.3216041429347234</v>
      </c>
      <c r="EL177" s="528">
        <f t="shared" si="569"/>
        <v>4.2198749999999992</v>
      </c>
      <c r="EM177" s="528">
        <f t="shared" si="570"/>
        <v>5.6093528817648938E-2</v>
      </c>
      <c r="EN177" s="528">
        <f t="shared" si="571"/>
        <v>1.722776009657594E-2</v>
      </c>
      <c r="EO177">
        <f t="shared" si="572"/>
        <v>4.0499999999999998E-3</v>
      </c>
      <c r="EP177" s="460">
        <f t="shared" si="573"/>
        <v>60.143528817648935</v>
      </c>
      <c r="EQ177" s="460"/>
      <c r="ER177" s="460">
        <f t="shared" si="593"/>
        <v>10618.850431848947</v>
      </c>
      <c r="ES177" s="528">
        <f t="shared" si="574"/>
        <v>0.28139999999999998</v>
      </c>
      <c r="EV177" s="460">
        <f t="shared" si="494"/>
        <v>281.39999999999998</v>
      </c>
      <c r="EW177" s="528">
        <f t="shared" si="575"/>
        <v>4.7412031072010423</v>
      </c>
      <c r="EX177" s="528">
        <f t="shared" si="576"/>
        <v>1.2513439285867855E-2</v>
      </c>
      <c r="EY177" s="528">
        <f t="shared" si="577"/>
        <v>358.70891443764418</v>
      </c>
      <c r="EZ177" s="528"/>
      <c r="FA177" s="528">
        <f t="shared" si="578"/>
        <v>6.8339999999999987</v>
      </c>
      <c r="FB177" s="460">
        <f t="shared" si="579"/>
        <v>370296.63098413107</v>
      </c>
      <c r="FC177" s="173">
        <f t="shared" si="580"/>
        <v>381.19688141598004</v>
      </c>
      <c r="FD177" s="5">
        <f t="shared" si="581"/>
        <v>68.34</v>
      </c>
      <c r="FE177" s="173">
        <f t="shared" si="582"/>
        <v>0.1520231216285042</v>
      </c>
      <c r="FF177" s="5">
        <f t="shared" si="583"/>
        <v>15.20231216285042</v>
      </c>
      <c r="FI177" s="562">
        <f t="shared" si="584"/>
        <v>-50</v>
      </c>
      <c r="FJ177">
        <f t="shared" si="585"/>
        <v>-50</v>
      </c>
      <c r="FL177">
        <f t="shared" si="586"/>
        <v>0.51355206847360924</v>
      </c>
    </row>
    <row r="178" spans="5:168">
      <c r="E178" s="170">
        <v>68</v>
      </c>
      <c r="F178" s="217">
        <f t="shared" si="587"/>
        <v>0.40800000000000003</v>
      </c>
      <c r="G178" s="217"/>
      <c r="H178" s="217">
        <f t="shared" si="495"/>
        <v>69.36</v>
      </c>
      <c r="I178" s="541">
        <f t="shared" si="496"/>
        <v>7.8569940067474295</v>
      </c>
      <c r="J178" s="172">
        <f t="shared" si="497"/>
        <v>8.5262246492784861</v>
      </c>
      <c r="K178" s="172">
        <f t="shared" si="498"/>
        <v>16.383218656025917</v>
      </c>
      <c r="L178" s="443"/>
      <c r="M178" s="217">
        <f t="shared" si="499"/>
        <v>0.52042330793384584</v>
      </c>
      <c r="N178" s="172">
        <f t="shared" si="500"/>
        <v>137.40278033934345</v>
      </c>
      <c r="O178" s="172">
        <f t="shared" si="438"/>
        <v>69.36</v>
      </c>
      <c r="P178" s="217">
        <f t="shared" si="501"/>
        <v>0.8082516490549615</v>
      </c>
      <c r="Q178" s="217">
        <f t="shared" si="502"/>
        <v>170</v>
      </c>
      <c r="R178" s="217"/>
      <c r="S178" s="172">
        <f t="shared" si="503"/>
        <v>484.93325021730647</v>
      </c>
      <c r="T178" s="536">
        <f t="shared" si="504"/>
        <v>170</v>
      </c>
      <c r="U178" s="217">
        <f t="shared" si="505"/>
        <v>34.030010778231855</v>
      </c>
      <c r="V178" s="217">
        <f t="shared" si="506"/>
        <v>2.1655871666064375</v>
      </c>
      <c r="W178" s="217">
        <f t="shared" si="507"/>
        <v>1.9956083834309699</v>
      </c>
      <c r="X178" s="197">
        <f t="shared" si="508"/>
        <v>350</v>
      </c>
      <c r="Y178" s="443">
        <f t="shared" si="509"/>
        <v>229.29492349670554</v>
      </c>
      <c r="AA178" s="217">
        <f t="shared" si="510"/>
        <v>23.36554508298596</v>
      </c>
      <c r="AB178" s="173">
        <f t="shared" si="511"/>
        <v>1.3702163644587537</v>
      </c>
      <c r="AC178" s="173">
        <f t="shared" si="512"/>
        <v>0.28013870707555366</v>
      </c>
      <c r="AD178" s="173"/>
      <c r="AE178" s="173">
        <f t="shared" si="513"/>
        <v>0.78190136207950134</v>
      </c>
      <c r="AF178" s="545">
        <f t="shared" si="514"/>
        <v>1565.4148456075302</v>
      </c>
      <c r="AG178" s="528">
        <f t="shared" si="515"/>
        <v>9.1221825575941828E-2</v>
      </c>
      <c r="AI178" s="173">
        <f t="shared" si="516"/>
        <v>28.198073518413569</v>
      </c>
      <c r="AJ178" s="173">
        <f t="shared" si="517"/>
        <v>34.030010778231855</v>
      </c>
      <c r="AK178" s="173">
        <f t="shared" si="518"/>
        <v>16.530872181406309</v>
      </c>
      <c r="AM178" s="545">
        <f t="shared" si="519"/>
        <v>408.00000000000006</v>
      </c>
      <c r="AN178" s="460">
        <f t="shared" si="520"/>
        <v>229.29492349670554</v>
      </c>
      <c r="AP178">
        <f t="shared" si="521"/>
        <v>408.00000000000006</v>
      </c>
      <c r="AQ178">
        <f t="shared" si="522"/>
        <v>229.29492349670554</v>
      </c>
      <c r="AS178" s="5">
        <f t="shared" si="439"/>
        <v>4.361195550037408</v>
      </c>
      <c r="AT178" s="5">
        <f t="shared" si="523"/>
        <v>2.1655871666064375</v>
      </c>
      <c r="AU178" s="5">
        <f t="shared" si="478"/>
        <v>2.1956083834309705</v>
      </c>
      <c r="AV178" s="5"/>
      <c r="AW178" s="173">
        <f t="shared" si="479"/>
        <v>0.49655814369247037</v>
      </c>
      <c r="AX178" s="173">
        <f t="shared" si="435"/>
        <v>66.383266943661994</v>
      </c>
      <c r="AY178" s="173">
        <f t="shared" si="436"/>
        <v>0.42830329490895713</v>
      </c>
      <c r="AZ178" s="173">
        <f t="shared" si="440"/>
        <v>154.99125907442024</v>
      </c>
      <c r="BA178" s="460">
        <f t="shared" si="433"/>
        <v>0.51974091998554506</v>
      </c>
      <c r="BB178" s="5">
        <f t="shared" si="434"/>
        <v>31.01183935616919</v>
      </c>
      <c r="BD178" s="173">
        <f t="shared" si="441"/>
        <v>13.844794495674961</v>
      </c>
      <c r="BE178" s="173">
        <f t="shared" si="437"/>
        <v>0.69702141865952327</v>
      </c>
      <c r="BG178" s="528">
        <f t="shared" si="480"/>
        <v>7.6671333850988672</v>
      </c>
      <c r="BH178" s="528">
        <f t="shared" si="524"/>
        <v>2.8763270927952211</v>
      </c>
      <c r="BI178" s="528">
        <f t="shared" si="525"/>
        <v>7.2062753587649034E-2</v>
      </c>
      <c r="BJ178" s="528">
        <f t="shared" si="481"/>
        <v>1.2309003366237654E-2</v>
      </c>
      <c r="BK178">
        <f t="shared" si="482"/>
        <v>3.5356473030363432E-3</v>
      </c>
      <c r="BL178" s="460">
        <f t="shared" si="588"/>
        <v>75.598400890685383</v>
      </c>
      <c r="BM178" s="528">
        <f t="shared" si="526"/>
        <v>-15.365374383567541</v>
      </c>
      <c r="BN178" s="460">
        <f t="shared" si="527"/>
        <v>-15365.374383567541</v>
      </c>
      <c r="BO178" s="528">
        <f t="shared" si="483"/>
        <v>0.28560000000000002</v>
      </c>
      <c r="BR178" s="460">
        <f t="shared" si="484"/>
        <v>285.60000000000002</v>
      </c>
      <c r="BS178" s="528">
        <f t="shared" si="485"/>
        <v>5.7503500388241502</v>
      </c>
      <c r="BT178" s="528">
        <f t="shared" si="486"/>
        <v>1.4575165742104032E-2</v>
      </c>
      <c r="BU178" s="528">
        <f t="shared" si="487"/>
        <v>268.91270435169486</v>
      </c>
      <c r="BV178" s="528"/>
      <c r="BW178" s="528">
        <f t="shared" si="488"/>
        <v>6.6383266943662003</v>
      </c>
      <c r="BX178" s="460">
        <f t="shared" si="489"/>
        <v>281315.95625062735</v>
      </c>
      <c r="BY178" s="173">
        <f t="shared" si="490"/>
        <v>292.23292413277829</v>
      </c>
      <c r="BZ178" s="5">
        <f t="shared" si="491"/>
        <v>69.36</v>
      </c>
      <c r="CA178" s="173">
        <f t="shared" si="492"/>
        <v>0.19181791282655394</v>
      </c>
      <c r="CB178" s="5">
        <f t="shared" si="493"/>
        <v>19.181791282655393</v>
      </c>
      <c r="CE178" s="562">
        <f t="shared" si="528"/>
        <v>-50</v>
      </c>
      <c r="CF178">
        <f t="shared" si="529"/>
        <v>-50</v>
      </c>
      <c r="CG178" s="173">
        <f t="shared" si="530"/>
        <v>0.49973491247808532</v>
      </c>
      <c r="CI178" s="170">
        <v>68</v>
      </c>
      <c r="CJ178" s="217">
        <f t="shared" si="589"/>
        <v>0.40800000000000003</v>
      </c>
      <c r="CK178" s="217"/>
      <c r="CL178" s="217">
        <f t="shared" si="531"/>
        <v>69.36</v>
      </c>
      <c r="CM178" s="541">
        <f t="shared" si="532"/>
        <v>9</v>
      </c>
      <c r="CN178" s="443">
        <f t="shared" si="533"/>
        <v>8.5250000000000004</v>
      </c>
      <c r="CO178" s="443">
        <f t="shared" si="534"/>
        <v>17.524999999999999</v>
      </c>
      <c r="CP178" s="443"/>
      <c r="CQ178" s="217">
        <f t="shared" si="535"/>
        <v>0.48644793152639093</v>
      </c>
      <c r="CR178" s="172">
        <f t="shared" si="590"/>
        <v>147.11644793152644</v>
      </c>
      <c r="CS178" s="172">
        <f t="shared" si="536"/>
        <v>69.36</v>
      </c>
      <c r="CT178" s="217">
        <f t="shared" si="537"/>
        <v>0.86539087018544958</v>
      </c>
      <c r="CU178" s="217">
        <f t="shared" si="538"/>
        <v>170</v>
      </c>
      <c r="CV178" s="217"/>
      <c r="CW178" s="172">
        <f t="shared" si="539"/>
        <v>555.45600096128589</v>
      </c>
      <c r="CX178" s="536">
        <f t="shared" si="540"/>
        <v>170</v>
      </c>
      <c r="CY178" s="217">
        <f t="shared" si="541"/>
        <v>31.685474095796675</v>
      </c>
      <c r="CZ178" s="217">
        <f t="shared" si="542"/>
        <v>1.7603041164331483</v>
      </c>
      <c r="DA178" s="217">
        <f t="shared" si="543"/>
        <v>1.8583855774660802</v>
      </c>
      <c r="DB178" s="197">
        <f t="shared" si="544"/>
        <v>350</v>
      </c>
      <c r="DC178" s="443">
        <f t="shared" si="545"/>
        <v>276.3431199104765</v>
      </c>
      <c r="DE178" s="217">
        <f t="shared" si="546"/>
        <v>25.017322192785819</v>
      </c>
      <c r="DF178" s="173">
        <f t="shared" si="547"/>
        <v>1.467291624210312</v>
      </c>
      <c r="DG178" s="173">
        <f t="shared" si="548"/>
        <v>0.32119243899439714</v>
      </c>
      <c r="DH178" s="173"/>
      <c r="DI178" s="173">
        <f t="shared" si="549"/>
        <v>0.78201368523949166</v>
      </c>
      <c r="DJ178" s="545">
        <f t="shared" si="550"/>
        <v>1565.19</v>
      </c>
      <c r="DK178" s="528">
        <f t="shared" si="551"/>
        <v>9.1234929944607357E-2</v>
      </c>
      <c r="DM178" s="173">
        <f t="shared" si="552"/>
        <v>28.19604835534836</v>
      </c>
      <c r="DN178" s="173">
        <f t="shared" si="553"/>
        <v>31.685474095796675</v>
      </c>
      <c r="DO178" s="173">
        <f t="shared" si="554"/>
        <v>14.79417834256544</v>
      </c>
      <c r="DQ178" s="545">
        <f t="shared" si="555"/>
        <v>408.00000000000006</v>
      </c>
      <c r="DR178" s="460">
        <f t="shared" si="556"/>
        <v>276.3431199104765</v>
      </c>
      <c r="DT178">
        <f t="shared" si="591"/>
        <v>408.00000000000006</v>
      </c>
      <c r="DU178">
        <f t="shared" si="592"/>
        <v>276.3431199104765</v>
      </c>
      <c r="DW178" s="5">
        <f t="shared" si="557"/>
        <v>3.6186896938992286</v>
      </c>
      <c r="DX178" s="5">
        <f t="shared" si="558"/>
        <v>1.7603041164331483</v>
      </c>
      <c r="DY178" s="5">
        <f t="shared" si="559"/>
        <v>1.8583855774660802</v>
      </c>
      <c r="DZ178" s="5"/>
      <c r="EA178" s="173">
        <f t="shared" si="560"/>
        <v>0.48644793152639088</v>
      </c>
      <c r="EB178" s="173">
        <f t="shared" si="561"/>
        <v>69.36</v>
      </c>
      <c r="EC178" s="173">
        <f t="shared" si="562"/>
        <v>0.40680351906158357</v>
      </c>
      <c r="ED178" s="173">
        <f t="shared" si="563"/>
        <v>170.5</v>
      </c>
      <c r="EE178" s="460">
        <f t="shared" si="564"/>
        <v>0.4224729879439556</v>
      </c>
      <c r="EF178" s="5">
        <f t="shared" si="565"/>
        <v>22.915133093875081</v>
      </c>
      <c r="EH178" s="173">
        <f t="shared" si="566"/>
        <v>12.759033062412589</v>
      </c>
      <c r="EI178" s="173">
        <f t="shared" si="567"/>
        <v>0.6554835966751249</v>
      </c>
      <c r="EK178" s="528">
        <f t="shared" si="568"/>
        <v>6.5117169875095033</v>
      </c>
      <c r="EL178" s="528">
        <f t="shared" si="569"/>
        <v>4.2198750000000009</v>
      </c>
      <c r="EM178" s="528">
        <f t="shared" si="570"/>
        <v>5.5268623982095297E-2</v>
      </c>
      <c r="EN178" s="528">
        <f t="shared" si="571"/>
        <v>1.6974410683391009E-2</v>
      </c>
      <c r="EO178">
        <f t="shared" si="572"/>
        <v>4.0499999999999998E-3</v>
      </c>
      <c r="EP178" s="460">
        <f t="shared" si="573"/>
        <v>59.318623982095296</v>
      </c>
      <c r="EQ178" s="460"/>
      <c r="ER178" s="460">
        <f t="shared" si="593"/>
        <v>10807.885022174989</v>
      </c>
      <c r="ES178" s="528">
        <f t="shared" si="574"/>
        <v>0.28560000000000002</v>
      </c>
      <c r="EV178" s="460">
        <f t="shared" si="494"/>
        <v>285.60000000000002</v>
      </c>
      <c r="EW178" s="528">
        <f t="shared" si="575"/>
        <v>4.8837877406321271</v>
      </c>
      <c r="EX178" s="528">
        <f t="shared" si="576"/>
        <v>1.2889762365304733E-2</v>
      </c>
      <c r="EY178" s="528">
        <f t="shared" si="577"/>
        <v>358.70891443764418</v>
      </c>
      <c r="EZ178" s="528"/>
      <c r="FA178" s="528">
        <f t="shared" si="578"/>
        <v>6.9360000000000008</v>
      </c>
      <c r="FB178" s="460">
        <f t="shared" si="579"/>
        <v>370541.59194064158</v>
      </c>
      <c r="FC178" s="173">
        <f t="shared" si="580"/>
        <v>381.63507696281658</v>
      </c>
      <c r="FD178" s="5">
        <f t="shared" si="581"/>
        <v>69.36</v>
      </c>
      <c r="FE178" s="173">
        <f t="shared" si="582"/>
        <v>0.15379325305965269</v>
      </c>
      <c r="FF178" s="5">
        <f t="shared" si="583"/>
        <v>15.379325305965269</v>
      </c>
      <c r="FI178" s="562">
        <f t="shared" si="584"/>
        <v>-50</v>
      </c>
      <c r="FJ178">
        <f t="shared" si="585"/>
        <v>-50</v>
      </c>
      <c r="FL178">
        <f t="shared" si="586"/>
        <v>0.51355206847360912</v>
      </c>
    </row>
    <row r="179" spans="5:168">
      <c r="E179" s="170">
        <v>69</v>
      </c>
      <c r="F179" s="217">
        <f t="shared" si="587"/>
        <v>0.41399999999999998</v>
      </c>
      <c r="G179" s="217"/>
      <c r="H179" s="217">
        <f t="shared" si="495"/>
        <v>70.38</v>
      </c>
      <c r="I179" s="541">
        <f t="shared" si="496"/>
        <v>7.8406496580346321</v>
      </c>
      <c r="J179" s="172">
        <f t="shared" si="497"/>
        <v>8.5262421610806776</v>
      </c>
      <c r="K179" s="172">
        <f t="shared" si="498"/>
        <v>16.36689181911531</v>
      </c>
      <c r="L179" s="443"/>
      <c r="M179" s="217">
        <f t="shared" si="499"/>
        <v>0.52094352898942631</v>
      </c>
      <c r="N179" s="172">
        <f t="shared" si="500"/>
        <v>137.25401472053179</v>
      </c>
      <c r="O179" s="172">
        <f t="shared" si="438"/>
        <v>70.38</v>
      </c>
      <c r="P179" s="217">
        <f t="shared" si="501"/>
        <v>0.80737655717959877</v>
      </c>
      <c r="Q179" s="217">
        <f t="shared" si="502"/>
        <v>170</v>
      </c>
      <c r="R179" s="217"/>
      <c r="S179" s="172">
        <f t="shared" si="503"/>
        <v>474.64426602747574</v>
      </c>
      <c r="T179" s="536">
        <f t="shared" si="504"/>
        <v>170</v>
      </c>
      <c r="U179" s="217">
        <f t="shared" si="505"/>
        <v>34.56794971387513</v>
      </c>
      <c r="V179" s="217">
        <f t="shared" si="506"/>
        <v>2.2044059626138219</v>
      </c>
      <c r="W179" s="217">
        <f t="shared" si="507"/>
        <v>2.0271503589040529</v>
      </c>
      <c r="X179" s="197">
        <f t="shared" si="508"/>
        <v>350</v>
      </c>
      <c r="Y179" s="443">
        <f t="shared" si="509"/>
        <v>225.65435875076159</v>
      </c>
      <c r="AA179" s="217">
        <f t="shared" si="510"/>
        <v>23.340247206173128</v>
      </c>
      <c r="AB179" s="173">
        <f t="shared" si="511"/>
        <v>1.3687300199326509</v>
      </c>
      <c r="AC179" s="173">
        <f t="shared" si="512"/>
        <v>0.27953184895771055</v>
      </c>
      <c r="AD179" s="173"/>
      <c r="AE179" s="173">
        <f t="shared" si="513"/>
        <v>0.7818997561549067</v>
      </c>
      <c r="AF179" s="545">
        <f t="shared" si="514"/>
        <v>1588.4389146093301</v>
      </c>
      <c r="AG179" s="528">
        <f t="shared" si="515"/>
        <v>9.1221638218072457E-2</v>
      </c>
      <c r="AI179" s="173">
        <f t="shared" si="516"/>
        <v>28.404684743139114</v>
      </c>
      <c r="AJ179" s="173">
        <f t="shared" si="517"/>
        <v>34.56794971387513</v>
      </c>
      <c r="AK179" s="173">
        <f t="shared" si="518"/>
        <v>16.929345467067996</v>
      </c>
      <c r="AM179" s="545">
        <f t="shared" si="519"/>
        <v>414</v>
      </c>
      <c r="AN179" s="460">
        <f t="shared" si="520"/>
        <v>225.65435875076159</v>
      </c>
      <c r="AP179">
        <f t="shared" si="521"/>
        <v>414</v>
      </c>
      <c r="AQ179">
        <f t="shared" si="522"/>
        <v>225.65435875076159</v>
      </c>
      <c r="AS179" s="5">
        <f t="shared" si="439"/>
        <v>4.431556321517875</v>
      </c>
      <c r="AT179" s="5">
        <f t="shared" si="523"/>
        <v>2.2044059626138219</v>
      </c>
      <c r="AU179" s="5">
        <f t="shared" si="478"/>
        <v>2.2271503589040531</v>
      </c>
      <c r="AV179" s="5"/>
      <c r="AW179" s="173">
        <f t="shared" si="479"/>
        <v>0.49743381391997732</v>
      </c>
      <c r="AX179" s="173">
        <f t="shared" si="435"/>
        <v>67.411032418725611</v>
      </c>
      <c r="AY179" s="173">
        <f t="shared" si="436"/>
        <v>0.43431706620770588</v>
      </c>
      <c r="AZ179" s="173">
        <f t="shared" si="440"/>
        <v>155.21156699489967</v>
      </c>
      <c r="BA179" s="460">
        <f t="shared" si="433"/>
        <v>0.53683768736595427</v>
      </c>
      <c r="BB179" s="5">
        <f t="shared" si="434"/>
        <v>31.98650093471117</v>
      </c>
      <c r="BD179" s="173">
        <f t="shared" si="441"/>
        <v>14.076044984762465</v>
      </c>
      <c r="BE179" s="173">
        <f t="shared" si="437"/>
        <v>0.70742374158033816</v>
      </c>
      <c r="BG179" s="528">
        <f t="shared" si="480"/>
        <v>7.925401696522262</v>
      </c>
      <c r="BH179" s="528">
        <f t="shared" si="524"/>
        <v>2.872539956028612</v>
      </c>
      <c r="BI179" s="528">
        <f t="shared" si="525"/>
        <v>7.0771070830927318E-2</v>
      </c>
      <c r="BJ179" s="528">
        <f t="shared" si="481"/>
        <v>1.2089438941255399E-2</v>
      </c>
      <c r="BK179">
        <f t="shared" si="482"/>
        <v>3.5282923461155843E-3</v>
      </c>
      <c r="BL179" s="460">
        <f t="shared" si="588"/>
        <v>74.299363177042906</v>
      </c>
      <c r="BM179" s="528">
        <f t="shared" si="526"/>
        <v>-14.664533648660449</v>
      </c>
      <c r="BN179" s="460">
        <f t="shared" si="527"/>
        <v>-14664.533648660448</v>
      </c>
      <c r="BO179" s="528">
        <f t="shared" si="483"/>
        <v>0.28979999999999995</v>
      </c>
      <c r="BR179" s="460">
        <f t="shared" si="484"/>
        <v>289.79999999999995</v>
      </c>
      <c r="BS179" s="528">
        <f t="shared" si="485"/>
        <v>5.9440512723916958</v>
      </c>
      <c r="BT179" s="528">
        <f t="shared" si="486"/>
        <v>1.5013450504545753E-2</v>
      </c>
      <c r="BU179" s="528">
        <f t="shared" si="487"/>
        <v>268.69734497508307</v>
      </c>
      <c r="BV179" s="528"/>
      <c r="BW179" s="528">
        <f t="shared" si="488"/>
        <v>6.7411032418725609</v>
      </c>
      <c r="BX179" s="460">
        <f t="shared" si="489"/>
        <v>281397.51293985191</v>
      </c>
      <c r="BY179" s="173">
        <f t="shared" si="490"/>
        <v>292.57164339452106</v>
      </c>
      <c r="BZ179" s="5">
        <f t="shared" si="491"/>
        <v>70.38</v>
      </c>
      <c r="CA179" s="173">
        <f t="shared" si="492"/>
        <v>0.1939101290237123</v>
      </c>
      <c r="CB179" s="5">
        <f t="shared" si="493"/>
        <v>19.39101290237123</v>
      </c>
      <c r="CE179" s="562">
        <f t="shared" si="528"/>
        <v>-50</v>
      </c>
      <c r="CF179">
        <f t="shared" si="529"/>
        <v>-50</v>
      </c>
      <c r="CG179" s="173">
        <f t="shared" si="530"/>
        <v>0.49993516111570169</v>
      </c>
      <c r="CI179" s="170">
        <v>69</v>
      </c>
      <c r="CJ179" s="217">
        <f t="shared" si="589"/>
        <v>0.41399999999999998</v>
      </c>
      <c r="CK179" s="217"/>
      <c r="CL179" s="217">
        <f t="shared" si="531"/>
        <v>70.38</v>
      </c>
      <c r="CM179" s="541">
        <f t="shared" si="532"/>
        <v>9</v>
      </c>
      <c r="CN179" s="443">
        <f t="shared" si="533"/>
        <v>8.5250000000000004</v>
      </c>
      <c r="CO179" s="443">
        <f t="shared" si="534"/>
        <v>17.524999999999999</v>
      </c>
      <c r="CP179" s="443"/>
      <c r="CQ179" s="217">
        <f t="shared" si="535"/>
        <v>0.48644793152639093</v>
      </c>
      <c r="CR179" s="172">
        <f t="shared" si="590"/>
        <v>147.11644793152644</v>
      </c>
      <c r="CS179" s="172">
        <f t="shared" si="536"/>
        <v>70.38</v>
      </c>
      <c r="CT179" s="217">
        <f t="shared" si="537"/>
        <v>0.86539087018544958</v>
      </c>
      <c r="CU179" s="217">
        <f t="shared" si="538"/>
        <v>170</v>
      </c>
      <c r="CV179" s="217"/>
      <c r="CW179" s="172">
        <f t="shared" si="539"/>
        <v>544.80272709725966</v>
      </c>
      <c r="CX179" s="536">
        <f t="shared" si="540"/>
        <v>170</v>
      </c>
      <c r="CY179" s="217">
        <f t="shared" si="541"/>
        <v>32.151436950146625</v>
      </c>
      <c r="CZ179" s="217">
        <f t="shared" si="542"/>
        <v>1.7861909416748123</v>
      </c>
      <c r="DA179" s="217">
        <f t="shared" si="543"/>
        <v>1.8857147771346991</v>
      </c>
      <c r="DB179" s="197">
        <f t="shared" si="544"/>
        <v>350</v>
      </c>
      <c r="DC179" s="443">
        <f t="shared" si="545"/>
        <v>272.33814715815072</v>
      </c>
      <c r="DE179" s="217">
        <f t="shared" si="546"/>
        <v>25.017322192785819</v>
      </c>
      <c r="DF179" s="173">
        <f t="shared" si="547"/>
        <v>1.467291624210312</v>
      </c>
      <c r="DG179" s="173">
        <f t="shared" si="548"/>
        <v>0.32119243899439714</v>
      </c>
      <c r="DH179" s="173"/>
      <c r="DI179" s="173">
        <f t="shared" si="549"/>
        <v>0.78201368523949166</v>
      </c>
      <c r="DJ179" s="545">
        <f t="shared" si="550"/>
        <v>1588.2074999999998</v>
      </c>
      <c r="DK179" s="528">
        <f t="shared" si="551"/>
        <v>9.1234929944607357E-2</v>
      </c>
      <c r="DM179" s="173">
        <f t="shared" si="552"/>
        <v>28.402615573720873</v>
      </c>
      <c r="DN179" s="173">
        <f t="shared" si="553"/>
        <v>32.151436950146625</v>
      </c>
      <c r="DO179" s="173">
        <f t="shared" si="554"/>
        <v>15.139336012454288</v>
      </c>
      <c r="DQ179" s="545">
        <f t="shared" si="555"/>
        <v>414</v>
      </c>
      <c r="DR179" s="460">
        <f t="shared" si="556"/>
        <v>272.33814715815072</v>
      </c>
      <c r="DT179">
        <f t="shared" si="591"/>
        <v>414</v>
      </c>
      <c r="DU179">
        <f t="shared" si="592"/>
        <v>272.33814715815072</v>
      </c>
      <c r="DW179" s="5">
        <f t="shared" si="557"/>
        <v>3.6719057188095117</v>
      </c>
      <c r="DX179" s="5">
        <f t="shared" si="558"/>
        <v>1.7861909416748123</v>
      </c>
      <c r="DY179" s="5">
        <f t="shared" si="559"/>
        <v>1.8857147771346994</v>
      </c>
      <c r="DZ179" s="5"/>
      <c r="EA179" s="173">
        <f t="shared" si="560"/>
        <v>0.48644793152639082</v>
      </c>
      <c r="EB179" s="173">
        <f t="shared" si="561"/>
        <v>70.38</v>
      </c>
      <c r="EC179" s="173">
        <f t="shared" si="562"/>
        <v>0.41278592375366574</v>
      </c>
      <c r="ED179" s="173">
        <f t="shared" si="563"/>
        <v>170.49999999999997</v>
      </c>
      <c r="EE179" s="460">
        <f t="shared" si="564"/>
        <v>0.43499002932551306</v>
      </c>
      <c r="EF179" s="5">
        <f t="shared" si="565"/>
        <v>23.594063291509357</v>
      </c>
      <c r="EH179" s="173">
        <f t="shared" si="566"/>
        <v>12.946665901565714</v>
      </c>
      <c r="EI179" s="173">
        <f t="shared" si="567"/>
        <v>0.66512306133211208</v>
      </c>
      <c r="EK179" s="528">
        <f t="shared" si="568"/>
        <v>6.7046463186705738</v>
      </c>
      <c r="EL179" s="528">
        <f t="shared" si="569"/>
        <v>4.219875</v>
      </c>
      <c r="EM179" s="528">
        <f t="shared" si="570"/>
        <v>5.4467629431630138E-2</v>
      </c>
      <c r="EN179" s="528">
        <f t="shared" si="571"/>
        <v>1.6728404731457803E-2</v>
      </c>
      <c r="EO179">
        <f t="shared" si="572"/>
        <v>4.0499999999999998E-3</v>
      </c>
      <c r="EP179" s="460">
        <f t="shared" si="573"/>
        <v>58.517629431630134</v>
      </c>
      <c r="EQ179" s="460"/>
      <c r="ER179" s="460">
        <f t="shared" si="593"/>
        <v>10999.767352833662</v>
      </c>
      <c r="ES179" s="528">
        <f t="shared" si="574"/>
        <v>0.28979999999999995</v>
      </c>
      <c r="EV179" s="460">
        <f t="shared" si="494"/>
        <v>289.79999999999995</v>
      </c>
      <c r="EW179" s="528">
        <f t="shared" si="575"/>
        <v>5.0284847390029306</v>
      </c>
      <c r="EX179" s="528">
        <f t="shared" si="576"/>
        <v>1.3271660601474014E-2</v>
      </c>
      <c r="EY179" s="528">
        <f t="shared" si="577"/>
        <v>358.70891443764486</v>
      </c>
      <c r="EZ179" s="528"/>
      <c r="FA179" s="528">
        <f t="shared" si="578"/>
        <v>7.0380000000000003</v>
      </c>
      <c r="FB179" s="460">
        <f t="shared" si="579"/>
        <v>370788.67083724932</v>
      </c>
      <c r="FC179" s="173">
        <f t="shared" si="580"/>
        <v>382.07823819008297</v>
      </c>
      <c r="FD179" s="5">
        <f t="shared" si="581"/>
        <v>70.38</v>
      </c>
      <c r="FE179" s="173">
        <f t="shared" si="582"/>
        <v>0.15555026753747059</v>
      </c>
      <c r="FF179" s="5">
        <f t="shared" si="583"/>
        <v>15.555026753747059</v>
      </c>
      <c r="FI179" s="562">
        <f t="shared" si="584"/>
        <v>-50</v>
      </c>
      <c r="FJ179">
        <f t="shared" si="585"/>
        <v>-50</v>
      </c>
      <c r="FL179">
        <f t="shared" si="586"/>
        <v>0.51355206847360924</v>
      </c>
    </row>
    <row r="180" spans="5:168">
      <c r="E180" s="170">
        <v>70</v>
      </c>
      <c r="F180" s="217">
        <f t="shared" si="587"/>
        <v>0.42</v>
      </c>
      <c r="G180" s="217"/>
      <c r="H180" s="217">
        <f t="shared" si="495"/>
        <v>71.399999999999991</v>
      </c>
      <c r="I180" s="541">
        <f t="shared" si="496"/>
        <v>7.8243049479349587</v>
      </c>
      <c r="J180" s="172">
        <f t="shared" si="497"/>
        <v>8.5262596732700704</v>
      </c>
      <c r="K180" s="172">
        <f t="shared" si="498"/>
        <v>16.350564621205031</v>
      </c>
      <c r="L180" s="443"/>
      <c r="M180" s="217">
        <f t="shared" si="499"/>
        <v>0.52146480050412347</v>
      </c>
      <c r="N180" s="172">
        <f t="shared" si="500"/>
        <v>137.10494752234243</v>
      </c>
      <c r="O180" s="172">
        <f t="shared" si="438"/>
        <v>71.399999999999991</v>
      </c>
      <c r="P180" s="217">
        <f t="shared" si="501"/>
        <v>0.80649969130789667</v>
      </c>
      <c r="Q180" s="217">
        <f t="shared" si="502"/>
        <v>170</v>
      </c>
      <c r="R180" s="217"/>
      <c r="S180" s="172">
        <f t="shared" si="503"/>
        <v>464.65869142888306</v>
      </c>
      <c r="T180" s="536">
        <f t="shared" si="504"/>
        <v>170</v>
      </c>
      <c r="U180" s="217">
        <f t="shared" si="505"/>
        <v>35.107135311463665</v>
      </c>
      <c r="V180" s="217">
        <f t="shared" si="506"/>
        <v>2.2434667069519936</v>
      </c>
      <c r="W180" s="217">
        <f t="shared" si="507"/>
        <v>2.058765311917778</v>
      </c>
      <c r="X180" s="197">
        <f t="shared" si="508"/>
        <v>350</v>
      </c>
      <c r="Y180" s="443">
        <f t="shared" si="509"/>
        <v>222.11205371220237</v>
      </c>
      <c r="AA180" s="217">
        <f t="shared" si="510"/>
        <v>23.314898045932757</v>
      </c>
      <c r="AB180" s="173">
        <f t="shared" si="511"/>
        <v>1.3672406740686807</v>
      </c>
      <c r="AC180" s="173">
        <f t="shared" si="512"/>
        <v>0.27892442305143217</v>
      </c>
      <c r="AD180" s="173"/>
      <c r="AE180" s="173">
        <f t="shared" si="513"/>
        <v>0.78189815020140063</v>
      </c>
      <c r="AF180" s="545">
        <f t="shared" si="514"/>
        <v>1611.4630782480431</v>
      </c>
      <c r="AG180" s="528">
        <f t="shared" si="515"/>
        <v>9.1221450856830089E-2</v>
      </c>
      <c r="AI180" s="173">
        <f t="shared" si="516"/>
        <v>28.609804763995278</v>
      </c>
      <c r="AJ180" s="173">
        <f t="shared" si="517"/>
        <v>35.107135311463665</v>
      </c>
      <c r="AK180" s="173">
        <f t="shared" si="518"/>
        <v>17.328742206022465</v>
      </c>
      <c r="AM180" s="545">
        <f t="shared" si="519"/>
        <v>420</v>
      </c>
      <c r="AN180" s="460">
        <f t="shared" si="520"/>
        <v>222.11205371220237</v>
      </c>
      <c r="AP180">
        <f t="shared" si="521"/>
        <v>420</v>
      </c>
      <c r="AQ180">
        <f t="shared" si="522"/>
        <v>222.11205371220237</v>
      </c>
      <c r="AS180" s="5">
        <f t="shared" si="439"/>
        <v>4.5022320188697709</v>
      </c>
      <c r="AT180" s="5">
        <f t="shared" si="523"/>
        <v>2.2434667069519936</v>
      </c>
      <c r="AU180" s="5">
        <f t="shared" si="478"/>
        <v>2.2587653119177773</v>
      </c>
      <c r="AV180" s="5"/>
      <c r="AW180" s="173">
        <f t="shared" si="479"/>
        <v>0.49830099771605901</v>
      </c>
      <c r="AX180" s="173">
        <f t="shared" si="435"/>
        <v>68.438884569459901</v>
      </c>
      <c r="AY180" s="173">
        <f t="shared" si="436"/>
        <v>0.44033036897021588</v>
      </c>
      <c r="AZ180" s="173">
        <f t="shared" si="440"/>
        <v>155.42621947587978</v>
      </c>
      <c r="BA180" s="460">
        <f t="shared" si="433"/>
        <v>0.55426824524696316</v>
      </c>
      <c r="BB180" s="5">
        <f t="shared" si="434"/>
        <v>32.979459638979279</v>
      </c>
      <c r="BD180" s="173">
        <f t="shared" si="441"/>
        <v>14.308056424849783</v>
      </c>
      <c r="BE180" s="173">
        <f t="shared" si="437"/>
        <v>0.71783790754329513</v>
      </c>
      <c r="BG180" s="528">
        <f t="shared" si="480"/>
        <v>8.1888191462674058</v>
      </c>
      <c r="BH180" s="528">
        <f t="shared" si="524"/>
        <v>2.8686845433146893</v>
      </c>
      <c r="BI180" s="528">
        <f t="shared" si="525"/>
        <v>6.951489763425521E-2</v>
      </c>
      <c r="BJ180" s="528">
        <f t="shared" si="481"/>
        <v>1.1875930085865018E-2</v>
      </c>
      <c r="BK180">
        <f t="shared" si="482"/>
        <v>3.5209372265707314E-3</v>
      </c>
      <c r="BL180" s="460">
        <f t="shared" si="588"/>
        <v>73.035834860825943</v>
      </c>
      <c r="BM180" s="528">
        <f t="shared" si="526"/>
        <v>-14.04343276873152</v>
      </c>
      <c r="BN180" s="460">
        <f t="shared" si="527"/>
        <v>-14043.43276873152</v>
      </c>
      <c r="BO180" s="528">
        <f t="shared" si="483"/>
        <v>0.29399999999999998</v>
      </c>
      <c r="BR180" s="460">
        <f t="shared" si="484"/>
        <v>294</v>
      </c>
      <c r="BS180" s="528">
        <f t="shared" si="485"/>
        <v>6.1416143597005544</v>
      </c>
      <c r="BT180" s="528">
        <f t="shared" si="486"/>
        <v>1.545873784518409E-2</v>
      </c>
      <c r="BU180" s="528">
        <f t="shared" si="487"/>
        <v>268.46569986225995</v>
      </c>
      <c r="BV180" s="528"/>
      <c r="BW180" s="528">
        <f t="shared" si="488"/>
        <v>6.843888456945991</v>
      </c>
      <c r="BX180" s="460">
        <f t="shared" si="489"/>
        <v>281466.66141675168</v>
      </c>
      <c r="BY180" s="173">
        <f t="shared" si="490"/>
        <v>292.90307687128046</v>
      </c>
      <c r="BZ180" s="5">
        <f t="shared" si="491"/>
        <v>71.399999999999991</v>
      </c>
      <c r="CA180" s="173">
        <f t="shared" si="492"/>
        <v>0.19599065869330504</v>
      </c>
      <c r="CB180" s="5">
        <f t="shared" si="493"/>
        <v>19.599065869330502</v>
      </c>
      <c r="CE180" s="562">
        <f t="shared" si="528"/>
        <v>-50</v>
      </c>
      <c r="CF180">
        <f t="shared" si="529"/>
        <v>-50</v>
      </c>
      <c r="CG180" s="173">
        <f t="shared" si="530"/>
        <v>0.50012968836367167</v>
      </c>
      <c r="CI180" s="170">
        <v>70</v>
      </c>
      <c r="CJ180" s="217">
        <f t="shared" si="589"/>
        <v>0.42</v>
      </c>
      <c r="CK180" s="217"/>
      <c r="CL180" s="217">
        <f t="shared" si="531"/>
        <v>71.399999999999991</v>
      </c>
      <c r="CM180" s="541">
        <f t="shared" si="532"/>
        <v>9</v>
      </c>
      <c r="CN180" s="443">
        <f t="shared" si="533"/>
        <v>8.5250000000000004</v>
      </c>
      <c r="CO180" s="443">
        <f t="shared" si="534"/>
        <v>17.524999999999999</v>
      </c>
      <c r="CP180" s="443"/>
      <c r="CQ180" s="217">
        <f t="shared" si="535"/>
        <v>0.48644793152639093</v>
      </c>
      <c r="CR180" s="172">
        <f t="shared" si="590"/>
        <v>147.11644793152644</v>
      </c>
      <c r="CS180" s="172">
        <f t="shared" si="536"/>
        <v>71.399999999999991</v>
      </c>
      <c r="CT180" s="217">
        <f t="shared" si="537"/>
        <v>0.86539087018544958</v>
      </c>
      <c r="CU180" s="217">
        <f t="shared" si="538"/>
        <v>170</v>
      </c>
      <c r="CV180" s="217"/>
      <c r="CW180" s="172">
        <f t="shared" si="539"/>
        <v>534.45395306492969</v>
      </c>
      <c r="CX180" s="536">
        <f t="shared" si="540"/>
        <v>170</v>
      </c>
      <c r="CY180" s="217">
        <f t="shared" si="541"/>
        <v>32.617399804496571</v>
      </c>
      <c r="CZ180" s="217">
        <f t="shared" si="542"/>
        <v>1.8120777669164763</v>
      </c>
      <c r="DA180" s="217">
        <f t="shared" si="543"/>
        <v>1.9130439768033181</v>
      </c>
      <c r="DB180" s="197">
        <f t="shared" si="544"/>
        <v>350</v>
      </c>
      <c r="DC180" s="443">
        <f t="shared" si="545"/>
        <v>268.4476021987486</v>
      </c>
      <c r="DE180" s="217">
        <f t="shared" si="546"/>
        <v>25.017322192785819</v>
      </c>
      <c r="DF180" s="173">
        <f t="shared" si="547"/>
        <v>1.467291624210312</v>
      </c>
      <c r="DG180" s="173">
        <f t="shared" si="548"/>
        <v>0.32119243899439714</v>
      </c>
      <c r="DH180" s="173"/>
      <c r="DI180" s="173">
        <f t="shared" si="549"/>
        <v>0.78201368523949166</v>
      </c>
      <c r="DJ180" s="545">
        <f t="shared" si="550"/>
        <v>1611.2249999999999</v>
      </c>
      <c r="DK180" s="528">
        <f t="shared" si="551"/>
        <v>9.1234929944607357E-2</v>
      </c>
      <c r="DM180" s="173">
        <f t="shared" si="552"/>
        <v>28.607691273501956</v>
      </c>
      <c r="DN180" s="173">
        <f t="shared" si="553"/>
        <v>32.617399804496571</v>
      </c>
      <c r="DO180" s="173">
        <f t="shared" si="554"/>
        <v>15.484493682343137</v>
      </c>
      <c r="DQ180" s="545">
        <f t="shared" si="555"/>
        <v>420</v>
      </c>
      <c r="DR180" s="460">
        <f t="shared" si="556"/>
        <v>268.4476021987486</v>
      </c>
      <c r="DT180">
        <f t="shared" si="591"/>
        <v>420</v>
      </c>
      <c r="DU180">
        <f t="shared" si="592"/>
        <v>268.4476021987486</v>
      </c>
      <c r="DW180" s="5">
        <f t="shared" si="557"/>
        <v>3.7251217437197943</v>
      </c>
      <c r="DX180" s="5">
        <f t="shared" si="558"/>
        <v>1.8120777669164763</v>
      </c>
      <c r="DY180" s="5">
        <f t="shared" si="559"/>
        <v>1.9130439768033181</v>
      </c>
      <c r="DZ180" s="5"/>
      <c r="EA180" s="173">
        <f t="shared" si="560"/>
        <v>0.48644793152639088</v>
      </c>
      <c r="EB180" s="173">
        <f t="shared" si="561"/>
        <v>71.399999999999977</v>
      </c>
      <c r="EC180" s="173">
        <f t="shared" si="562"/>
        <v>0.41876832844574774</v>
      </c>
      <c r="ED180" s="173">
        <f t="shared" si="563"/>
        <v>170.49999999999997</v>
      </c>
      <c r="EE180" s="460">
        <f t="shared" si="564"/>
        <v>0.44768980123818825</v>
      </c>
      <c r="EF180" s="5">
        <f t="shared" si="565"/>
        <v>24.282904878890115</v>
      </c>
      <c r="EH180" s="173">
        <f t="shared" si="566"/>
        <v>13.13429874071884</v>
      </c>
      <c r="EI180" s="173">
        <f t="shared" si="567"/>
        <v>0.67476252598909903</v>
      </c>
      <c r="EK180" s="528">
        <f t="shared" si="568"/>
        <v>6.900392136417941</v>
      </c>
      <c r="EL180" s="528">
        <f t="shared" si="569"/>
        <v>4.2198749999999992</v>
      </c>
      <c r="EM180" s="528">
        <f t="shared" si="570"/>
        <v>5.3689520439749713E-2</v>
      </c>
      <c r="EN180" s="528">
        <f t="shared" si="571"/>
        <v>1.6489427521008408E-2</v>
      </c>
      <c r="EO180">
        <f t="shared" si="572"/>
        <v>4.0499999999999998E-3</v>
      </c>
      <c r="EP180" s="460">
        <f t="shared" si="573"/>
        <v>57.739520439749711</v>
      </c>
      <c r="EQ180" s="460"/>
      <c r="ER180" s="460">
        <f t="shared" si="593"/>
        <v>11194.496084378699</v>
      </c>
      <c r="ES180" s="528">
        <f t="shared" si="574"/>
        <v>0.29399999999999998</v>
      </c>
      <c r="EV180" s="460">
        <f t="shared" si="494"/>
        <v>294</v>
      </c>
      <c r="EW180" s="528">
        <f t="shared" si="575"/>
        <v>5.1752941023134555</v>
      </c>
      <c r="EX180" s="528">
        <f t="shared" si="576"/>
        <v>1.3659133994375686E-2</v>
      </c>
      <c r="EY180" s="528">
        <f t="shared" si="577"/>
        <v>358.70891443764356</v>
      </c>
      <c r="EZ180" s="528"/>
      <c r="FA180" s="528">
        <f t="shared" si="578"/>
        <v>7.1399999999999988</v>
      </c>
      <c r="FB180" s="460">
        <f t="shared" si="579"/>
        <v>371037.86767395138</v>
      </c>
      <c r="FC180" s="173">
        <f t="shared" si="580"/>
        <v>382.52636375833009</v>
      </c>
      <c r="FD180" s="5">
        <f t="shared" si="581"/>
        <v>71.399999999999991</v>
      </c>
      <c r="FE180" s="173">
        <f t="shared" si="582"/>
        <v>0.15729423470546267</v>
      </c>
      <c r="FF180" s="5">
        <f t="shared" si="583"/>
        <v>15.729423470546266</v>
      </c>
      <c r="FI180" s="562">
        <f t="shared" si="584"/>
        <v>-50</v>
      </c>
      <c r="FJ180">
        <f t="shared" si="585"/>
        <v>-50</v>
      </c>
      <c r="FL180">
        <f t="shared" si="586"/>
        <v>0.51355206847360912</v>
      </c>
    </row>
    <row r="181" spans="5:168">
      <c r="E181" s="170">
        <v>71</v>
      </c>
      <c r="F181" s="217">
        <f t="shared" si="587"/>
        <v>0.42599999999999999</v>
      </c>
      <c r="G181" s="217"/>
      <c r="H181" s="217">
        <f t="shared" si="495"/>
        <v>72.42</v>
      </c>
      <c r="I181" s="541">
        <f t="shared" si="496"/>
        <v>7.8079598921221631</v>
      </c>
      <c r="J181" s="172">
        <f t="shared" si="497"/>
        <v>8.5262771858298692</v>
      </c>
      <c r="K181" s="172">
        <f t="shared" si="498"/>
        <v>16.334237077952032</v>
      </c>
      <c r="L181" s="443"/>
      <c r="M181" s="217">
        <f t="shared" si="499"/>
        <v>0.52198712516167811</v>
      </c>
      <c r="N181" s="172">
        <f t="shared" si="500"/>
        <v>136.95557797400048</v>
      </c>
      <c r="O181" s="172">
        <f t="shared" si="438"/>
        <v>72.42</v>
      </c>
      <c r="P181" s="217">
        <f t="shared" si="501"/>
        <v>0.80562104690588521</v>
      </c>
      <c r="Q181" s="217">
        <f t="shared" si="502"/>
        <v>170</v>
      </c>
      <c r="R181" s="217"/>
      <c r="S181" s="172">
        <f t="shared" si="503"/>
        <v>454.96370921834318</v>
      </c>
      <c r="T181" s="536">
        <f t="shared" si="504"/>
        <v>170</v>
      </c>
      <c r="U181" s="217">
        <f t="shared" si="505"/>
        <v>35.647575404247071</v>
      </c>
      <c r="V181" s="217">
        <f t="shared" si="506"/>
        <v>2.2827714215216237</v>
      </c>
      <c r="W181" s="217">
        <f t="shared" si="507"/>
        <v>2.0904537013815991</v>
      </c>
      <c r="X181" s="197">
        <f t="shared" si="508"/>
        <v>350</v>
      </c>
      <c r="Y181" s="443">
        <f t="shared" si="509"/>
        <v>218.66406597652235</v>
      </c>
      <c r="AA181" s="217">
        <f t="shared" si="510"/>
        <v>23.289497471168676</v>
      </c>
      <c r="AB181" s="173">
        <f t="shared" si="511"/>
        <v>1.365748319200456</v>
      </c>
      <c r="AC181" s="173">
        <f t="shared" si="512"/>
        <v>0.27831643022987906</v>
      </c>
      <c r="AD181" s="173"/>
      <c r="AE181" s="173">
        <f t="shared" si="513"/>
        <v>0.78189654422052368</v>
      </c>
      <c r="AF181" s="545">
        <f t="shared" si="514"/>
        <v>1634.4873365235858</v>
      </c>
      <c r="AG181" s="528">
        <f t="shared" si="515"/>
        <v>9.1221263492394428E-2</v>
      </c>
      <c r="AI181" s="173">
        <f t="shared" si="516"/>
        <v>28.813465428168026</v>
      </c>
      <c r="AJ181" s="173">
        <f t="shared" si="517"/>
        <v>35.647575404247071</v>
      </c>
      <c r="AK181" s="173">
        <f t="shared" si="518"/>
        <v>17.729068200676842</v>
      </c>
      <c r="AM181" s="545">
        <f t="shared" si="519"/>
        <v>426</v>
      </c>
      <c r="AN181" s="460">
        <f t="shared" si="520"/>
        <v>218.66406597652235</v>
      </c>
      <c r="AP181">
        <f t="shared" si="521"/>
        <v>426</v>
      </c>
      <c r="AQ181">
        <f t="shared" si="522"/>
        <v>218.66406597652235</v>
      </c>
      <c r="AS181" s="5">
        <f t="shared" si="439"/>
        <v>4.5732251229032235</v>
      </c>
      <c r="AT181" s="5">
        <f t="shared" si="523"/>
        <v>2.2827714215216237</v>
      </c>
      <c r="AU181" s="5">
        <f t="shared" si="478"/>
        <v>2.2904537013815998</v>
      </c>
      <c r="AV181" s="5"/>
      <c r="AW181" s="173">
        <f t="shared" si="479"/>
        <v>0.49916008072492407</v>
      </c>
      <c r="AX181" s="173">
        <f t="shared" si="435"/>
        <v>69.466820353836511</v>
      </c>
      <c r="AY181" s="173">
        <f t="shared" si="436"/>
        <v>0.4463432196953821</v>
      </c>
      <c r="AZ181" s="173">
        <f t="shared" si="440"/>
        <v>155.63543320148528</v>
      </c>
      <c r="BA181" s="460">
        <f t="shared" ref="BA181:BA244" si="594">F181*AT181/Vout_ripple*1000</f>
        <v>0.57203566209894807</v>
      </c>
      <c r="BB181" s="5">
        <f t="shared" ref="BB181:BB244" si="595">H181/Efficiency/I181*AU181/Vinripple1</f>
        <v>33.990883015967249</v>
      </c>
      <c r="BD181" s="173">
        <f t="shared" si="441"/>
        <v>14.540833183267717</v>
      </c>
      <c r="BE181" s="173">
        <f t="shared" si="437"/>
        <v>0.7282639992993738</v>
      </c>
      <c r="BG181" s="528">
        <f t="shared" si="480"/>
        <v>8.4574331865447832</v>
      </c>
      <c r="BH181" s="528">
        <f t="shared" si="524"/>
        <v>2.8647635915184684</v>
      </c>
      <c r="BI181" s="528">
        <f t="shared" si="525"/>
        <v>6.8292810279721644E-2</v>
      </c>
      <c r="BJ181" s="528">
        <f t="shared" si="481"/>
        <v>1.1668233850222772E-2</v>
      </c>
      <c r="BK181">
        <f t="shared" si="482"/>
        <v>3.5135819514549734E-3</v>
      </c>
      <c r="BL181" s="460">
        <f t="shared" si="588"/>
        <v>71.806392231176616</v>
      </c>
      <c r="BM181" s="528">
        <f t="shared" si="526"/>
        <v>-13.48940974361666</v>
      </c>
      <c r="BN181" s="460">
        <f t="shared" si="527"/>
        <v>-13489.409743616659</v>
      </c>
      <c r="BO181" s="528">
        <f t="shared" si="483"/>
        <v>0.29819999999999997</v>
      </c>
      <c r="BR181" s="460">
        <f t="shared" si="484"/>
        <v>298.2</v>
      </c>
      <c r="BS181" s="528">
        <f t="shared" si="485"/>
        <v>6.3430748899085865</v>
      </c>
      <c r="BT181" s="528">
        <f t="shared" si="486"/>
        <v>1.5911053580265549E-2</v>
      </c>
      <c r="BU181" s="528">
        <f t="shared" si="487"/>
        <v>268.21838527429958</v>
      </c>
      <c r="BV181" s="528"/>
      <c r="BW181" s="528">
        <f t="shared" si="488"/>
        <v>6.9466820353836534</v>
      </c>
      <c r="BX181" s="460">
        <f t="shared" si="489"/>
        <v>281524.05325317208</v>
      </c>
      <c r="BY181" s="173">
        <f t="shared" si="490"/>
        <v>293.22792465731675</v>
      </c>
      <c r="BZ181" s="5">
        <f t="shared" si="491"/>
        <v>72.42</v>
      </c>
      <c r="CA181" s="173">
        <f t="shared" si="492"/>
        <v>0.19805937656523451</v>
      </c>
      <c r="CB181" s="5">
        <f t="shared" si="493"/>
        <v>19.805937656523451</v>
      </c>
      <c r="CE181" s="562">
        <f t="shared" si="528"/>
        <v>-50</v>
      </c>
      <c r="CF181">
        <f t="shared" si="529"/>
        <v>-50</v>
      </c>
      <c r="CG181" s="173">
        <f t="shared" si="530"/>
        <v>0.50031873597085408</v>
      </c>
      <c r="CI181" s="170">
        <v>71</v>
      </c>
      <c r="CJ181" s="217">
        <f t="shared" si="589"/>
        <v>0.42599999999999999</v>
      </c>
      <c r="CK181" s="217"/>
      <c r="CL181" s="217">
        <f t="shared" si="531"/>
        <v>72.42</v>
      </c>
      <c r="CM181" s="541">
        <f t="shared" si="532"/>
        <v>9</v>
      </c>
      <c r="CN181" s="443">
        <f t="shared" si="533"/>
        <v>8.5250000000000004</v>
      </c>
      <c r="CO181" s="443">
        <f t="shared" si="534"/>
        <v>17.524999999999999</v>
      </c>
      <c r="CP181" s="443"/>
      <c r="CQ181" s="217">
        <f t="shared" si="535"/>
        <v>0.48644793152639093</v>
      </c>
      <c r="CR181" s="172">
        <f t="shared" si="590"/>
        <v>147.11644793152644</v>
      </c>
      <c r="CS181" s="172">
        <f t="shared" si="536"/>
        <v>72.42</v>
      </c>
      <c r="CT181" s="217">
        <f t="shared" si="537"/>
        <v>0.86539087018544958</v>
      </c>
      <c r="CU181" s="217">
        <f t="shared" si="538"/>
        <v>170</v>
      </c>
      <c r="CV181" s="217"/>
      <c r="CW181" s="172">
        <f t="shared" si="539"/>
        <v>524.39681438399077</v>
      </c>
      <c r="CX181" s="536">
        <f t="shared" si="540"/>
        <v>170</v>
      </c>
      <c r="CY181" s="217">
        <f t="shared" si="541"/>
        <v>33.083362658846525</v>
      </c>
      <c r="CZ181" s="217">
        <f t="shared" si="542"/>
        <v>1.8379645921581402</v>
      </c>
      <c r="DA181" s="217">
        <f t="shared" si="543"/>
        <v>1.940373176471937</v>
      </c>
      <c r="DB181" s="197">
        <f t="shared" si="544"/>
        <v>350</v>
      </c>
      <c r="DC181" s="443">
        <f t="shared" si="545"/>
        <v>264.66665005510418</v>
      </c>
      <c r="DE181" s="217">
        <f t="shared" si="546"/>
        <v>25.017322192785819</v>
      </c>
      <c r="DF181" s="173">
        <f t="shared" si="547"/>
        <v>1.467291624210312</v>
      </c>
      <c r="DG181" s="173">
        <f t="shared" si="548"/>
        <v>0.32119243899439714</v>
      </c>
      <c r="DH181" s="173"/>
      <c r="DI181" s="173">
        <f t="shared" si="549"/>
        <v>0.78201368523949166</v>
      </c>
      <c r="DJ181" s="545">
        <f t="shared" si="550"/>
        <v>1634.2425000000001</v>
      </c>
      <c r="DK181" s="528">
        <f t="shared" si="551"/>
        <v>9.1234929944607357E-2</v>
      </c>
      <c r="DM181" s="173">
        <f t="shared" si="552"/>
        <v>28.811307304102474</v>
      </c>
      <c r="DN181" s="173">
        <f t="shared" si="553"/>
        <v>33.083362658846525</v>
      </c>
      <c r="DO181" s="173">
        <f t="shared" si="554"/>
        <v>15.829651352231991</v>
      </c>
      <c r="DQ181" s="545">
        <f t="shared" si="555"/>
        <v>426</v>
      </c>
      <c r="DR181" s="460">
        <f t="shared" si="556"/>
        <v>264.66665005510418</v>
      </c>
      <c r="DT181">
        <f t="shared" si="591"/>
        <v>426</v>
      </c>
      <c r="DU181">
        <f t="shared" si="592"/>
        <v>264.66665005510418</v>
      </c>
      <c r="DW181" s="5">
        <f t="shared" si="557"/>
        <v>3.7783377686300779</v>
      </c>
      <c r="DX181" s="5">
        <f t="shared" si="558"/>
        <v>1.8379645921581402</v>
      </c>
      <c r="DY181" s="5">
        <f t="shared" si="559"/>
        <v>1.9403731764719376</v>
      </c>
      <c r="DZ181" s="5"/>
      <c r="EA181" s="173">
        <f t="shared" si="560"/>
        <v>0.48644793152639076</v>
      </c>
      <c r="EB181" s="173">
        <f t="shared" si="561"/>
        <v>72.419999999999973</v>
      </c>
      <c r="EC181" s="173">
        <f t="shared" si="562"/>
        <v>0.42475073313782996</v>
      </c>
      <c r="ED181" s="173">
        <f t="shared" si="563"/>
        <v>170.49999999999991</v>
      </c>
      <c r="EE181" s="460">
        <f t="shared" si="564"/>
        <v>0.46057230368198099</v>
      </c>
      <c r="EF181" s="5">
        <f t="shared" si="565"/>
        <v>24.981657856017371</v>
      </c>
      <c r="EH181" s="173">
        <f t="shared" si="566"/>
        <v>13.321931579871967</v>
      </c>
      <c r="EI181" s="173">
        <f t="shared" si="567"/>
        <v>0.68440199064608631</v>
      </c>
      <c r="EK181" s="528">
        <f t="shared" si="568"/>
        <v>7.0989544407515996</v>
      </c>
      <c r="EL181" s="528">
        <f t="shared" si="569"/>
        <v>4.2198749999999992</v>
      </c>
      <c r="EM181" s="528">
        <f t="shared" si="570"/>
        <v>5.2933330011020831E-2</v>
      </c>
      <c r="EN181" s="528">
        <f t="shared" si="571"/>
        <v>1.6257182062966034E-2</v>
      </c>
      <c r="EO181">
        <f t="shared" si="572"/>
        <v>4.0499999999999998E-3</v>
      </c>
      <c r="EP181" s="460">
        <f t="shared" si="573"/>
        <v>56.983330011020826</v>
      </c>
      <c r="EQ181" s="460"/>
      <c r="ER181" s="460">
        <f t="shared" si="593"/>
        <v>11392.069952825586</v>
      </c>
      <c r="ES181" s="528">
        <f t="shared" si="574"/>
        <v>0.29819999999999997</v>
      </c>
      <c r="EV181" s="460">
        <f t="shared" si="494"/>
        <v>298.2</v>
      </c>
      <c r="EW181" s="528">
        <f t="shared" si="575"/>
        <v>5.3242158305636993</v>
      </c>
      <c r="EX181" s="528">
        <f t="shared" si="576"/>
        <v>1.4052182544009769E-2</v>
      </c>
      <c r="EY181" s="528">
        <f t="shared" si="577"/>
        <v>358.70891443764418</v>
      </c>
      <c r="EZ181" s="528"/>
      <c r="FA181" s="528">
        <f t="shared" si="578"/>
        <v>7.2419999999999991</v>
      </c>
      <c r="FB181" s="460">
        <f t="shared" si="579"/>
        <v>371289.18245075195</v>
      </c>
      <c r="FC181" s="173">
        <f t="shared" si="580"/>
        <v>382.97945240357751</v>
      </c>
      <c r="FD181" s="5">
        <f t="shared" si="581"/>
        <v>72.42</v>
      </c>
      <c r="FE181" s="173">
        <f t="shared" si="582"/>
        <v>0.15902522415819903</v>
      </c>
      <c r="FF181" s="5">
        <f t="shared" si="583"/>
        <v>15.902522415819902</v>
      </c>
      <c r="FI181" s="562">
        <f t="shared" si="584"/>
        <v>-50</v>
      </c>
      <c r="FJ181">
        <f t="shared" si="585"/>
        <v>-50</v>
      </c>
      <c r="FL181">
        <f t="shared" si="586"/>
        <v>0.51355206847360924</v>
      </c>
    </row>
    <row r="182" spans="5:168">
      <c r="E182" s="170">
        <v>72</v>
      </c>
      <c r="F182" s="217">
        <f t="shared" si="587"/>
        <v>0.432</v>
      </c>
      <c r="G182" s="217"/>
      <c r="H182" s="217">
        <f t="shared" si="495"/>
        <v>73.44</v>
      </c>
      <c r="I182" s="541">
        <f t="shared" si="496"/>
        <v>7.7916145053765291</v>
      </c>
      <c r="J182" s="172">
        <f t="shared" si="497"/>
        <v>8.5262946987442394</v>
      </c>
      <c r="K182" s="172">
        <f t="shared" si="498"/>
        <v>16.317909204120767</v>
      </c>
      <c r="L182" s="443"/>
      <c r="M182" s="217">
        <f t="shared" si="499"/>
        <v>0.52251050568331048</v>
      </c>
      <c r="N182" s="172">
        <f t="shared" si="500"/>
        <v>136.80590529398623</v>
      </c>
      <c r="O182" s="172">
        <f t="shared" si="438"/>
        <v>73.44</v>
      </c>
      <c r="P182" s="217">
        <f t="shared" si="501"/>
        <v>0.80474061937638963</v>
      </c>
      <c r="Q182" s="217">
        <f t="shared" si="502"/>
        <v>170</v>
      </c>
      <c r="R182" s="217"/>
      <c r="S182" s="172">
        <f t="shared" si="503"/>
        <v>445.54721422296046</v>
      </c>
      <c r="T182" s="536">
        <f t="shared" si="504"/>
        <v>170</v>
      </c>
      <c r="U182" s="217">
        <f t="shared" si="505"/>
        <v>36.189277891293742</v>
      </c>
      <c r="V182" s="217">
        <f t="shared" si="506"/>
        <v>2.32232214942883</v>
      </c>
      <c r="W182" s="217">
        <f t="shared" si="507"/>
        <v>2.1222159900609423</v>
      </c>
      <c r="X182" s="197">
        <f t="shared" si="508"/>
        <v>350</v>
      </c>
      <c r="Y182" s="443">
        <f t="shared" si="509"/>
        <v>215.30666127974899</v>
      </c>
      <c r="AA182" s="217">
        <f t="shared" si="510"/>
        <v>23.26404534895898</v>
      </c>
      <c r="AB182" s="173">
        <f t="shared" si="511"/>
        <v>1.3642529475544243</v>
      </c>
      <c r="AC182" s="173">
        <f t="shared" si="512"/>
        <v>0.27770787134437447</v>
      </c>
      <c r="AD182" s="173"/>
      <c r="AE182" s="173">
        <f t="shared" si="513"/>
        <v>0.78189493821372835</v>
      </c>
      <c r="AF182" s="545">
        <f t="shared" si="514"/>
        <v>1657.5116894358803</v>
      </c>
      <c r="AG182" s="528">
        <f t="shared" si="515"/>
        <v>9.1221076124934977E-2</v>
      </c>
      <c r="AI182" s="173">
        <f t="shared" si="516"/>
        <v>29.015697465268737</v>
      </c>
      <c r="AJ182" s="173">
        <f t="shared" si="517"/>
        <v>36.189277891293742</v>
      </c>
      <c r="AK182" s="173">
        <f t="shared" si="518"/>
        <v>18.130329302192891</v>
      </c>
      <c r="AM182" s="545">
        <f t="shared" si="519"/>
        <v>432</v>
      </c>
      <c r="AN182" s="460">
        <f t="shared" si="520"/>
        <v>215.30666127974899</v>
      </c>
      <c r="AP182">
        <f t="shared" si="521"/>
        <v>432</v>
      </c>
      <c r="AQ182">
        <f t="shared" si="522"/>
        <v>215.30666127974899</v>
      </c>
      <c r="AS182" s="5">
        <f t="shared" si="439"/>
        <v>4.6445381394897725</v>
      </c>
      <c r="AT182" s="5">
        <f t="shared" si="523"/>
        <v>2.32232214942883</v>
      </c>
      <c r="AU182" s="5">
        <f t="shared" si="478"/>
        <v>2.3222159900609425</v>
      </c>
      <c r="AV182" s="5"/>
      <c r="AW182" s="173">
        <f t="shared" si="479"/>
        <v>0.50001142840953172</v>
      </c>
      <c r="AX182" s="173">
        <f t="shared" si="435"/>
        <v>70.494836890130259</v>
      </c>
      <c r="AY182" s="173">
        <f t="shared" si="436"/>
        <v>0.45235563399396184</v>
      </c>
      <c r="AZ182" s="173">
        <f t="shared" si="440"/>
        <v>155.83941393127699</v>
      </c>
      <c r="BA182" s="460">
        <f t="shared" si="594"/>
        <v>0.59014304032544385</v>
      </c>
      <c r="BB182" s="5">
        <f t="shared" si="595"/>
        <v>35.020940462060835</v>
      </c>
      <c r="BD182" s="173">
        <f t="shared" si="441"/>
        <v>14.774379677009433</v>
      </c>
      <c r="BE182" s="173">
        <f t="shared" si="437"/>
        <v>0.73870209927728081</v>
      </c>
      <c r="BG182" s="528">
        <f t="shared" si="480"/>
        <v>8.7312917936171743</v>
      </c>
      <c r="BH182" s="528">
        <f t="shared" si="524"/>
        <v>2.8607796930047904</v>
      </c>
      <c r="BI182" s="528">
        <f t="shared" si="525"/>
        <v>6.7103460205259327E-2</v>
      </c>
      <c r="BJ182" s="528">
        <f t="shared" si="481"/>
        <v>1.146612010912159E-2</v>
      </c>
      <c r="BK182">
        <f t="shared" si="482"/>
        <v>3.5062265274194379E-3</v>
      </c>
      <c r="BL182" s="460">
        <f t="shared" si="588"/>
        <v>70.609686732678767</v>
      </c>
      <c r="BM182" s="528">
        <f t="shared" si="526"/>
        <v>-12.992343154466983</v>
      </c>
      <c r="BN182" s="460">
        <f t="shared" si="527"/>
        <v>-12992.343154466984</v>
      </c>
      <c r="BO182" s="528">
        <f t="shared" si="483"/>
        <v>0.3024</v>
      </c>
      <c r="BR182" s="460">
        <f t="shared" si="484"/>
        <v>302.39999999999998</v>
      </c>
      <c r="BS182" s="528">
        <f t="shared" si="485"/>
        <v>6.5484688452128808</v>
      </c>
      <c r="BT182" s="528">
        <f t="shared" si="486"/>
        <v>1.6370423744299846E-2</v>
      </c>
      <c r="BU182" s="528">
        <f t="shared" si="487"/>
        <v>267.95598643390952</v>
      </c>
      <c r="BV182" s="528"/>
      <c r="BW182" s="528">
        <f t="shared" si="488"/>
        <v>7.0494836890130248</v>
      </c>
      <c r="BX182" s="460">
        <f t="shared" si="489"/>
        <v>281570.30939187971</v>
      </c>
      <c r="BY182" s="173">
        <f t="shared" si="490"/>
        <v>293.54685668534347</v>
      </c>
      <c r="BZ182" s="5">
        <f t="shared" si="491"/>
        <v>73.44</v>
      </c>
      <c r="CA182" s="173">
        <f t="shared" si="492"/>
        <v>0.20011615855487669</v>
      </c>
      <c r="CB182" s="5">
        <f t="shared" si="493"/>
        <v>20.011615855487669</v>
      </c>
      <c r="CE182" s="562">
        <f t="shared" si="528"/>
        <v>-50</v>
      </c>
      <c r="CF182">
        <f t="shared" si="529"/>
        <v>-50</v>
      </c>
      <c r="CG182" s="173">
        <f t="shared" si="530"/>
        <v>0.50050253225561436</v>
      </c>
      <c r="CI182" s="170">
        <v>72</v>
      </c>
      <c r="CJ182" s="217">
        <f t="shared" si="589"/>
        <v>0.432</v>
      </c>
      <c r="CK182" s="217"/>
      <c r="CL182" s="217">
        <f t="shared" si="531"/>
        <v>73.44</v>
      </c>
      <c r="CM182" s="541">
        <f t="shared" si="532"/>
        <v>9</v>
      </c>
      <c r="CN182" s="443">
        <f t="shared" si="533"/>
        <v>8.5250000000000004</v>
      </c>
      <c r="CO182" s="443">
        <f t="shared" si="534"/>
        <v>17.524999999999999</v>
      </c>
      <c r="CP182" s="443"/>
      <c r="CQ182" s="217">
        <f t="shared" si="535"/>
        <v>0.48644793152639093</v>
      </c>
      <c r="CR182" s="172">
        <f t="shared" si="590"/>
        <v>147.11644793152644</v>
      </c>
      <c r="CS182" s="172">
        <f t="shared" si="536"/>
        <v>73.44</v>
      </c>
      <c r="CT182" s="217">
        <f t="shared" si="537"/>
        <v>0.86539087018544958</v>
      </c>
      <c r="CU182" s="217">
        <f t="shared" si="538"/>
        <v>170</v>
      </c>
      <c r="CV182" s="217"/>
      <c r="CW182" s="172">
        <f t="shared" si="539"/>
        <v>514.61916129980852</v>
      </c>
      <c r="CX182" s="536">
        <f t="shared" si="540"/>
        <v>170</v>
      </c>
      <c r="CY182" s="217">
        <f t="shared" si="541"/>
        <v>33.549325513196479</v>
      </c>
      <c r="CZ182" s="217">
        <f t="shared" si="542"/>
        <v>1.8638514173998042</v>
      </c>
      <c r="DA182" s="217">
        <f t="shared" si="543"/>
        <v>1.9677023761405557</v>
      </c>
      <c r="DB182" s="197">
        <f t="shared" si="544"/>
        <v>350</v>
      </c>
      <c r="DC182" s="443">
        <f t="shared" si="545"/>
        <v>260.99072435989444</v>
      </c>
      <c r="DE182" s="217">
        <f t="shared" si="546"/>
        <v>25.017322192785819</v>
      </c>
      <c r="DF182" s="173">
        <f t="shared" si="547"/>
        <v>1.467291624210312</v>
      </c>
      <c r="DG182" s="173">
        <f t="shared" si="548"/>
        <v>0.32119243899439714</v>
      </c>
      <c r="DH182" s="173"/>
      <c r="DI182" s="173">
        <f t="shared" si="549"/>
        <v>0.78201368523949166</v>
      </c>
      <c r="DJ182" s="545">
        <f t="shared" si="550"/>
        <v>1657.26</v>
      </c>
      <c r="DK182" s="528">
        <f t="shared" si="551"/>
        <v>9.1234929944607357E-2</v>
      </c>
      <c r="DM182" s="173">
        <f t="shared" si="552"/>
        <v>29.013494397312041</v>
      </c>
      <c r="DN182" s="173">
        <f t="shared" si="553"/>
        <v>33.549325513196479</v>
      </c>
      <c r="DO182" s="173">
        <f t="shared" si="554"/>
        <v>16.174809022120847</v>
      </c>
      <c r="DQ182" s="545">
        <f t="shared" si="555"/>
        <v>432</v>
      </c>
      <c r="DR182" s="460">
        <f t="shared" si="556"/>
        <v>260.99072435989444</v>
      </c>
      <c r="DT182">
        <f t="shared" si="591"/>
        <v>432</v>
      </c>
      <c r="DU182">
        <f t="shared" si="592"/>
        <v>260.99072435989444</v>
      </c>
      <c r="DW182" s="5">
        <f t="shared" si="557"/>
        <v>3.8315537935403601</v>
      </c>
      <c r="DX182" s="5">
        <f t="shared" si="558"/>
        <v>1.8638514173998042</v>
      </c>
      <c r="DY182" s="5">
        <f t="shared" si="559"/>
        <v>1.9677023761405559</v>
      </c>
      <c r="DZ182" s="5"/>
      <c r="EA182" s="173">
        <f t="shared" si="560"/>
        <v>0.48644793152639088</v>
      </c>
      <c r="EB182" s="173">
        <f t="shared" si="561"/>
        <v>73.44</v>
      </c>
      <c r="EC182" s="173">
        <f t="shared" si="562"/>
        <v>0.43073313782991202</v>
      </c>
      <c r="ED182" s="173">
        <f t="shared" si="563"/>
        <v>170.5</v>
      </c>
      <c r="EE182" s="460">
        <f t="shared" si="564"/>
        <v>0.4736375366568914</v>
      </c>
      <c r="EF182" s="5">
        <f t="shared" si="565"/>
        <v>25.690322222891098</v>
      </c>
      <c r="EH182" s="173">
        <f t="shared" si="566"/>
        <v>13.509564419025095</v>
      </c>
      <c r="EI182" s="173">
        <f t="shared" si="567"/>
        <v>0.69404145530307337</v>
      </c>
      <c r="EK182" s="528">
        <f t="shared" si="568"/>
        <v>7.3003332316715532</v>
      </c>
      <c r="EL182" s="528">
        <f t="shared" si="569"/>
        <v>4.219875</v>
      </c>
      <c r="EM182" s="528">
        <f t="shared" si="570"/>
        <v>5.2198144871978887E-2</v>
      </c>
      <c r="EN182" s="528">
        <f t="shared" si="571"/>
        <v>1.6031387867647059E-2</v>
      </c>
      <c r="EO182">
        <f t="shared" si="572"/>
        <v>4.0499999999999998E-3</v>
      </c>
      <c r="EP182" s="460">
        <f t="shared" si="573"/>
        <v>56.248144871978887</v>
      </c>
      <c r="EQ182" s="460"/>
      <c r="ER182" s="460">
        <f t="shared" si="593"/>
        <v>11592.487764411178</v>
      </c>
      <c r="ES182" s="528">
        <f t="shared" si="574"/>
        <v>0.3024</v>
      </c>
      <c r="EV182" s="460">
        <f t="shared" si="494"/>
        <v>302.39999999999998</v>
      </c>
      <c r="EW182" s="528">
        <f t="shared" si="575"/>
        <v>5.4752499237536645</v>
      </c>
      <c r="EX182" s="528">
        <f t="shared" si="576"/>
        <v>1.4450806250376239E-2</v>
      </c>
      <c r="EY182" s="528">
        <f t="shared" si="577"/>
        <v>358.70891443764413</v>
      </c>
      <c r="EZ182" s="528"/>
      <c r="FA182" s="528">
        <f t="shared" si="578"/>
        <v>7.3439999999999994</v>
      </c>
      <c r="FB182" s="460">
        <f t="shared" si="579"/>
        <v>371542.61516764812</v>
      </c>
      <c r="FC182" s="173">
        <f t="shared" si="580"/>
        <v>383.43750293205932</v>
      </c>
      <c r="FD182" s="5">
        <f t="shared" si="581"/>
        <v>73.44</v>
      </c>
      <c r="FE182" s="173">
        <f t="shared" si="582"/>
        <v>0.16074330543458826</v>
      </c>
      <c r="FF182" s="5">
        <f t="shared" si="583"/>
        <v>16.074330543458824</v>
      </c>
      <c r="FI182" s="562">
        <f t="shared" si="584"/>
        <v>-50</v>
      </c>
      <c r="FJ182">
        <f t="shared" si="585"/>
        <v>-50</v>
      </c>
      <c r="FL182">
        <f t="shared" si="586"/>
        <v>0.51355206847360912</v>
      </c>
    </row>
    <row r="183" spans="5:168">
      <c r="E183" s="170">
        <v>73</v>
      </c>
      <c r="F183" s="217">
        <f t="shared" si="587"/>
        <v>0.438</v>
      </c>
      <c r="G183" s="217"/>
      <c r="H183" s="217">
        <f t="shared" si="495"/>
        <v>74.459999999999994</v>
      </c>
      <c r="I183" s="541">
        <f t="shared" si="496"/>
        <v>7.7752688016476483</v>
      </c>
      <c r="J183" s="172">
        <f t="shared" si="497"/>
        <v>8.5263122119982349</v>
      </c>
      <c r="K183" s="172">
        <f t="shared" si="498"/>
        <v>16.301581013645883</v>
      </c>
      <c r="L183" s="443"/>
      <c r="M183" s="217">
        <f t="shared" si="499"/>
        <v>0.52303494482602841</v>
      </c>
      <c r="N183" s="172">
        <f t="shared" si="500"/>
        <v>136.65592869052014</v>
      </c>
      <c r="O183" s="172">
        <f t="shared" si="438"/>
        <v>74.459999999999994</v>
      </c>
      <c r="P183" s="217">
        <f t="shared" si="501"/>
        <v>0.80385840406188314</v>
      </c>
      <c r="Q183" s="217">
        <f t="shared" si="502"/>
        <v>170</v>
      </c>
      <c r="R183" s="217"/>
      <c r="S183" s="172">
        <f t="shared" si="503"/>
        <v>436.39776453642264</v>
      </c>
      <c r="T183" s="536">
        <f t="shared" si="504"/>
        <v>170</v>
      </c>
      <c r="U183" s="217">
        <f t="shared" si="505"/>
        <v>36.732250738179623</v>
      </c>
      <c r="V183" s="217">
        <f t="shared" si="506"/>
        <v>2.3621209552521023</v>
      </c>
      <c r="W183" s="217">
        <f t="shared" si="507"/>
        <v>2.1540526446175621</v>
      </c>
      <c r="X183" s="197">
        <f t="shared" si="508"/>
        <v>350</v>
      </c>
      <c r="Y183" s="443">
        <f t="shared" si="509"/>
        <v>212.03629994189268</v>
      </c>
      <c r="AA183" s="217">
        <f t="shared" si="510"/>
        <v>23.238541544638402</v>
      </c>
      <c r="AB183" s="173">
        <f t="shared" si="511"/>
        <v>1.362754551254709</v>
      </c>
      <c r="AC183" s="173">
        <f t="shared" si="512"/>
        <v>0.27709874722667915</v>
      </c>
      <c r="AD183" s="173"/>
      <c r="AE183" s="173">
        <f t="shared" si="513"/>
        <v>0.78189333218238566</v>
      </c>
      <c r="AF183" s="545">
        <f t="shared" si="514"/>
        <v>1680.536136984852</v>
      </c>
      <c r="AG183" s="528">
        <f t="shared" si="515"/>
        <v>9.1220888754611665E-2</v>
      </c>
      <c r="AI183" s="173">
        <f t="shared" si="516"/>
        <v>29.216530541479337</v>
      </c>
      <c r="AJ183" s="173">
        <f t="shared" si="517"/>
        <v>36.732250738179623</v>
      </c>
      <c r="AK183" s="173">
        <f t="shared" si="518"/>
        <v>18.532531410997247</v>
      </c>
      <c r="AM183" s="545">
        <f t="shared" si="519"/>
        <v>438</v>
      </c>
      <c r="AN183" s="460">
        <f t="shared" si="520"/>
        <v>212.03629994189268</v>
      </c>
      <c r="AP183">
        <f t="shared" si="521"/>
        <v>438</v>
      </c>
      <c r="AQ183">
        <f t="shared" si="522"/>
        <v>212.03629994189268</v>
      </c>
      <c r="AS183" s="5">
        <f t="shared" si="439"/>
        <v>4.7161735998696646</v>
      </c>
      <c r="AT183" s="5">
        <f t="shared" si="523"/>
        <v>2.3621209552521023</v>
      </c>
      <c r="AU183" s="5">
        <f t="shared" si="478"/>
        <v>2.3540526446175623</v>
      </c>
      <c r="AV183" s="5"/>
      <c r="AW183" s="173">
        <f t="shared" si="479"/>
        <v>0.50085538736686486</v>
      </c>
      <c r="AX183" s="173">
        <f t="shared" si="435"/>
        <v>71.522931446468874</v>
      </c>
      <c r="AY183" s="173">
        <f t="shared" si="436"/>
        <v>0.45836762664629654</v>
      </c>
      <c r="AZ183" s="173">
        <f t="shared" si="440"/>
        <v>156.03835718018581</v>
      </c>
      <c r="BA183" s="460">
        <f t="shared" si="594"/>
        <v>0.60859351670612993</v>
      </c>
      <c r="BB183" s="5">
        <f t="shared" si="595"/>
        <v>36.069803247153018</v>
      </c>
      <c r="BD183" s="173">
        <f t="shared" si="441"/>
        <v>15.008700372373514</v>
      </c>
      <c r="BE183" s="173">
        <f t="shared" si="437"/>
        <v>0.74915228964112202</v>
      </c>
      <c r="BG183" s="528">
        <f t="shared" si="480"/>
        <v>9.0104434747073956</v>
      </c>
      <c r="BH183" s="528">
        <f t="shared" si="524"/>
        <v>2.8567353050504933</v>
      </c>
      <c r="BI183" s="528">
        <f t="shared" si="525"/>
        <v>6.5945569110200053E-2</v>
      </c>
      <c r="BJ183" s="528">
        <f t="shared" si="481"/>
        <v>1.1269370726802929E-2</v>
      </c>
      <c r="BK183">
        <f t="shared" si="482"/>
        <v>3.4988709607414415E-3</v>
      </c>
      <c r="BL183" s="460">
        <f t="shared" si="588"/>
        <v>69.444440070941496</v>
      </c>
      <c r="BM183" s="528">
        <f t="shared" si="526"/>
        <v>-12.544045568727945</v>
      </c>
      <c r="BN183" s="460">
        <f t="shared" si="527"/>
        <v>-12544.045568727945</v>
      </c>
      <c r="BO183" s="528">
        <f t="shared" si="483"/>
        <v>0.30659999999999998</v>
      </c>
      <c r="BR183" s="460">
        <f t="shared" si="484"/>
        <v>306.59999999999997</v>
      </c>
      <c r="BS183" s="528">
        <f t="shared" si="485"/>
        <v>6.7578326060305454</v>
      </c>
      <c r="BT183" s="528">
        <f t="shared" si="486"/>
        <v>1.6836874592236067E-2</v>
      </c>
      <c r="BU183" s="528">
        <f t="shared" si="487"/>
        <v>267.67905946232577</v>
      </c>
      <c r="BV183" s="528"/>
      <c r="BW183" s="528">
        <f t="shared" si="488"/>
        <v>7.1522931446468876</v>
      </c>
      <c r="BX183" s="460">
        <f t="shared" si="489"/>
        <v>281606.02208759543</v>
      </c>
      <c r="BY183" s="173">
        <f t="shared" si="490"/>
        <v>293.86051467815105</v>
      </c>
      <c r="BZ183" s="5">
        <f t="shared" si="491"/>
        <v>74.459999999999994</v>
      </c>
      <c r="CA183" s="173">
        <f t="shared" si="492"/>
        <v>0.20216088171212854</v>
      </c>
      <c r="CB183" s="5">
        <f t="shared" si="493"/>
        <v>20.216088171212853</v>
      </c>
      <c r="CE183" s="562">
        <f t="shared" si="528"/>
        <v>-50</v>
      </c>
      <c r="CF183">
        <f t="shared" si="529"/>
        <v>-50</v>
      </c>
      <c r="CG183" s="173">
        <f t="shared" si="530"/>
        <v>0.50068129302572395</v>
      </c>
      <c r="CI183" s="170">
        <v>73</v>
      </c>
      <c r="CJ183" s="217">
        <f t="shared" si="589"/>
        <v>0.438</v>
      </c>
      <c r="CK183" s="217"/>
      <c r="CL183" s="217">
        <f t="shared" si="531"/>
        <v>74.459999999999994</v>
      </c>
      <c r="CM183" s="541">
        <f t="shared" si="532"/>
        <v>9</v>
      </c>
      <c r="CN183" s="443">
        <f t="shared" si="533"/>
        <v>8.5250000000000004</v>
      </c>
      <c r="CO183" s="443">
        <f t="shared" si="534"/>
        <v>17.524999999999999</v>
      </c>
      <c r="CP183" s="443"/>
      <c r="CQ183" s="217">
        <f t="shared" si="535"/>
        <v>0.48644793152639093</v>
      </c>
      <c r="CR183" s="172">
        <f t="shared" si="590"/>
        <v>147.11644793152644</v>
      </c>
      <c r="CS183" s="172">
        <f t="shared" si="536"/>
        <v>74.459999999999994</v>
      </c>
      <c r="CT183" s="217">
        <f t="shared" si="537"/>
        <v>0.86539087018544958</v>
      </c>
      <c r="CU183" s="217">
        <f t="shared" si="538"/>
        <v>170</v>
      </c>
      <c r="CV183" s="217"/>
      <c r="CW183" s="172">
        <f t="shared" si="539"/>
        <v>505.10950983037111</v>
      </c>
      <c r="CX183" s="536">
        <f t="shared" si="540"/>
        <v>170</v>
      </c>
      <c r="CY183" s="217">
        <f t="shared" si="541"/>
        <v>34.015288367546425</v>
      </c>
      <c r="CZ183" s="217">
        <f t="shared" si="542"/>
        <v>1.8897382426414682</v>
      </c>
      <c r="DA183" s="217">
        <f t="shared" si="543"/>
        <v>1.9950315758091746</v>
      </c>
      <c r="DB183" s="197">
        <f t="shared" si="544"/>
        <v>350</v>
      </c>
      <c r="DC183" s="443">
        <f t="shared" si="545"/>
        <v>257.41550895770411</v>
      </c>
      <c r="DE183" s="217">
        <f t="shared" si="546"/>
        <v>25.017322192785819</v>
      </c>
      <c r="DF183" s="173">
        <f t="shared" si="547"/>
        <v>1.467291624210312</v>
      </c>
      <c r="DG183" s="173">
        <f t="shared" si="548"/>
        <v>0.32119243899439714</v>
      </c>
      <c r="DH183" s="173"/>
      <c r="DI183" s="173">
        <f t="shared" si="549"/>
        <v>0.78201368523949166</v>
      </c>
      <c r="DJ183" s="545">
        <f t="shared" si="550"/>
        <v>1680.2774999999999</v>
      </c>
      <c r="DK183" s="528">
        <f t="shared" si="551"/>
        <v>9.1234929944607357E-2</v>
      </c>
      <c r="DM183" s="173">
        <f t="shared" si="552"/>
        <v>29.214282221445828</v>
      </c>
      <c r="DN183" s="173">
        <f t="shared" si="553"/>
        <v>34.015288367546425</v>
      </c>
      <c r="DO183" s="173">
        <f t="shared" si="554"/>
        <v>16.519966692009696</v>
      </c>
      <c r="DQ183" s="545">
        <f t="shared" si="555"/>
        <v>438</v>
      </c>
      <c r="DR183" s="460">
        <f t="shared" si="556"/>
        <v>257.41550895770411</v>
      </c>
      <c r="DT183">
        <f t="shared" si="591"/>
        <v>438</v>
      </c>
      <c r="DU183">
        <f t="shared" si="592"/>
        <v>257.41550895770411</v>
      </c>
      <c r="DW183" s="5">
        <f t="shared" si="557"/>
        <v>3.8847698184506427</v>
      </c>
      <c r="DX183" s="5">
        <f t="shared" si="558"/>
        <v>1.8897382426414682</v>
      </c>
      <c r="DY183" s="5">
        <f t="shared" si="559"/>
        <v>1.9950315758091746</v>
      </c>
      <c r="DZ183" s="5"/>
      <c r="EA183" s="173">
        <f t="shared" si="560"/>
        <v>0.48644793152639088</v>
      </c>
      <c r="EB183" s="173">
        <f t="shared" si="561"/>
        <v>74.45999999999998</v>
      </c>
      <c r="EC183" s="173">
        <f t="shared" si="562"/>
        <v>0.43671554252199407</v>
      </c>
      <c r="ED183" s="173">
        <f t="shared" si="563"/>
        <v>170.49999999999997</v>
      </c>
      <c r="EE183" s="460">
        <f t="shared" si="564"/>
        <v>0.48688550016291943</v>
      </c>
      <c r="EF183" s="5">
        <f t="shared" si="565"/>
        <v>26.408897979511313</v>
      </c>
      <c r="EH183" s="173">
        <f t="shared" si="566"/>
        <v>13.697197258178219</v>
      </c>
      <c r="EI183" s="173">
        <f t="shared" si="567"/>
        <v>0.70368091996006044</v>
      </c>
      <c r="EK183" s="528">
        <f t="shared" si="568"/>
        <v>7.5045285091777973</v>
      </c>
      <c r="EL183" s="528">
        <f t="shared" si="569"/>
        <v>4.2198749999999992</v>
      </c>
      <c r="EM183" s="528">
        <f t="shared" si="570"/>
        <v>5.1483101791540822E-2</v>
      </c>
      <c r="EN183" s="528">
        <f t="shared" si="571"/>
        <v>1.5811779814665593E-2</v>
      </c>
      <c r="EO183">
        <f t="shared" si="572"/>
        <v>4.0499999999999998E-3</v>
      </c>
      <c r="EP183" s="460">
        <f t="shared" si="573"/>
        <v>55.533101791540822</v>
      </c>
      <c r="EQ183" s="460"/>
      <c r="ER183" s="460">
        <f t="shared" si="593"/>
        <v>11795.748390784003</v>
      </c>
      <c r="ES183" s="528">
        <f t="shared" si="574"/>
        <v>0.30659999999999998</v>
      </c>
      <c r="EV183" s="460">
        <f t="shared" si="494"/>
        <v>306.59999999999997</v>
      </c>
      <c r="EW183" s="528">
        <f t="shared" si="575"/>
        <v>5.6283963818833476</v>
      </c>
      <c r="EX183" s="528">
        <f t="shared" si="576"/>
        <v>1.4855005113475109E-2</v>
      </c>
      <c r="EY183" s="528">
        <f t="shared" si="577"/>
        <v>358.70891443764418</v>
      </c>
      <c r="EZ183" s="528"/>
      <c r="FA183" s="528">
        <f t="shared" si="578"/>
        <v>7.4459999999999988</v>
      </c>
      <c r="FB183" s="460">
        <f t="shared" si="579"/>
        <v>371798.16582464107</v>
      </c>
      <c r="FC183" s="173">
        <f t="shared" si="580"/>
        <v>383.90051421542501</v>
      </c>
      <c r="FD183" s="5">
        <f t="shared" si="581"/>
        <v>74.459999999999994</v>
      </c>
      <c r="FE183" s="173">
        <f t="shared" si="582"/>
        <v>0.16244854801128117</v>
      </c>
      <c r="FF183" s="5">
        <f t="shared" si="583"/>
        <v>16.244854801128117</v>
      </c>
      <c r="FI183" s="562">
        <f t="shared" si="584"/>
        <v>-50</v>
      </c>
      <c r="FJ183">
        <f t="shared" si="585"/>
        <v>-50</v>
      </c>
      <c r="FL183">
        <f t="shared" si="586"/>
        <v>0.51355206847360912</v>
      </c>
    </row>
    <row r="184" spans="5:168">
      <c r="E184" s="170">
        <v>74</v>
      </c>
      <c r="F184" s="217">
        <f t="shared" si="587"/>
        <v>0.44400000000000001</v>
      </c>
      <c r="G184" s="217"/>
      <c r="H184" s="217">
        <f t="shared" si="495"/>
        <v>75.48</v>
      </c>
      <c r="I184" s="541">
        <f t="shared" si="496"/>
        <v>7.7589227941119576</v>
      </c>
      <c r="J184" s="172">
        <f t="shared" si="497"/>
        <v>8.5263297255777371</v>
      </c>
      <c r="K184" s="172">
        <f t="shared" si="498"/>
        <v>16.285252519689696</v>
      </c>
      <c r="L184" s="443"/>
      <c r="M184" s="217">
        <f t="shared" si="499"/>
        <v>0.52356044538108182</v>
      </c>
      <c r="N184" s="172">
        <f t="shared" si="500"/>
        <v>136.50564736200542</v>
      </c>
      <c r="O184" s="172">
        <f t="shared" si="438"/>
        <v>75.48</v>
      </c>
      <c r="P184" s="217">
        <f t="shared" si="501"/>
        <v>0.80297439624709066</v>
      </c>
      <c r="Q184" s="217">
        <f t="shared" si="502"/>
        <v>170</v>
      </c>
      <c r="R184" s="217"/>
      <c r="S184" s="172">
        <f t="shared" si="503"/>
        <v>427.50453670873713</v>
      </c>
      <c r="T184" s="536">
        <f t="shared" si="504"/>
        <v>170</v>
      </c>
      <c r="U184" s="217">
        <f t="shared" si="505"/>
        <v>37.276501977686138</v>
      </c>
      <c r="V184" s="217">
        <f t="shared" si="506"/>
        <v>2.4021699253132338</v>
      </c>
      <c r="W184" s="217">
        <f t="shared" si="507"/>
        <v>2.1859641356504254</v>
      </c>
      <c r="X184" s="197">
        <f t="shared" si="508"/>
        <v>350</v>
      </c>
      <c r="Y184" s="443">
        <f t="shared" si="509"/>
        <v>208.84962435632809</v>
      </c>
      <c r="AA184" s="217">
        <f t="shared" si="510"/>
        <v>23.212985921873464</v>
      </c>
      <c r="AB184" s="173">
        <f t="shared" si="511"/>
        <v>1.3612531223275306</v>
      </c>
      <c r="AC184" s="173">
        <f t="shared" si="512"/>
        <v>0.27648905869108359</v>
      </c>
      <c r="AD184" s="173"/>
      <c r="AE184" s="173">
        <f t="shared" si="513"/>
        <v>0.78189172612779045</v>
      </c>
      <c r="AF184" s="545">
        <f t="shared" si="514"/>
        <v>1703.5606791704317</v>
      </c>
      <c r="AG184" s="528">
        <f t="shared" si="515"/>
        <v>9.122070138157555E-2</v>
      </c>
      <c r="AI184" s="173">
        <f t="shared" si="516"/>
        <v>29.41599331037072</v>
      </c>
      <c r="AJ184" s="173">
        <f t="shared" si="517"/>
        <v>37.276501977686138</v>
      </c>
      <c r="AK184" s="173">
        <f t="shared" si="518"/>
        <v>18.935680477298369</v>
      </c>
      <c r="AM184" s="545">
        <f t="shared" si="519"/>
        <v>444</v>
      </c>
      <c r="AN184" s="460">
        <f t="shared" si="520"/>
        <v>208.84962435632809</v>
      </c>
      <c r="AP184">
        <f t="shared" si="521"/>
        <v>444</v>
      </c>
      <c r="AQ184">
        <f t="shared" si="522"/>
        <v>208.84962435632809</v>
      </c>
      <c r="AS184" s="5">
        <f t="shared" si="439"/>
        <v>4.7881340609636593</v>
      </c>
      <c r="AT184" s="5">
        <f t="shared" si="523"/>
        <v>2.4021699253132338</v>
      </c>
      <c r="AU184" s="5">
        <f t="shared" si="478"/>
        <v>2.3859641356504255</v>
      </c>
      <c r="AV184" s="5"/>
      <c r="AW184" s="173">
        <f t="shared" si="479"/>
        <v>0.50169228654173759</v>
      </c>
      <c r="AX184" s="173">
        <f t="shared" si="435"/>
        <v>72.551101431189892</v>
      </c>
      <c r="AY184" s="173">
        <f t="shared" si="436"/>
        <v>0.46437921165557944</v>
      </c>
      <c r="AZ184" s="173">
        <f t="shared" si="440"/>
        <v>156.23244884829074</v>
      </c>
      <c r="BA184" s="460">
        <f t="shared" si="594"/>
        <v>0.62739026284651522</v>
      </c>
      <c r="BB184" s="5">
        <f t="shared" si="595"/>
        <v>37.137644539123215</v>
      </c>
      <c r="BD184" s="173">
        <f t="shared" si="441"/>
        <v>15.243799784671111</v>
      </c>
      <c r="BE184" s="173">
        <f t="shared" si="437"/>
        <v>0.75961465234410219</v>
      </c>
      <c r="BG184" s="528">
        <f t="shared" si="480"/>
        <v>9.2949372750055623</v>
      </c>
      <c r="BH184" s="528">
        <f t="shared" si="524"/>
        <v>2.8526327585303624</v>
      </c>
      <c r="BI184" s="528">
        <f t="shared" si="525"/>
        <v>6.4817924438401356E-2</v>
      </c>
      <c r="BJ184" s="528">
        <f t="shared" si="481"/>
        <v>1.1077778786197291E-2</v>
      </c>
      <c r="BK184">
        <f t="shared" si="482"/>
        <v>3.4915152573503807E-3</v>
      </c>
      <c r="BL184" s="460">
        <f t="shared" si="588"/>
        <v>68.309439695751735</v>
      </c>
      <c r="BM184" s="528">
        <f t="shared" si="526"/>
        <v>-12.137822817291658</v>
      </c>
      <c r="BN184" s="460">
        <f t="shared" si="527"/>
        <v>-12137.822817291659</v>
      </c>
      <c r="BO184" s="528">
        <f t="shared" si="483"/>
        <v>0.31079999999999997</v>
      </c>
      <c r="BR184" s="460">
        <f t="shared" si="484"/>
        <v>310.79999999999995</v>
      </c>
      <c r="BS184" s="528">
        <f t="shared" si="485"/>
        <v>6.9712029562541709</v>
      </c>
      <c r="BT184" s="528">
        <f t="shared" si="486"/>
        <v>1.7310432601675536E-2</v>
      </c>
      <c r="BU184" s="528">
        <f t="shared" si="487"/>
        <v>267.38813317327686</v>
      </c>
      <c r="BV184" s="528"/>
      <c r="BW184" s="528">
        <f t="shared" si="488"/>
        <v>7.2551101431189906</v>
      </c>
      <c r="BX184" s="460">
        <f t="shared" si="489"/>
        <v>281631.7567052517</v>
      </c>
      <c r="BY184" s="173">
        <f t="shared" si="490"/>
        <v>294.16951395726954</v>
      </c>
      <c r="BZ184" s="5">
        <f t="shared" si="491"/>
        <v>75.48</v>
      </c>
      <c r="CA184" s="173">
        <f t="shared" si="492"/>
        <v>0.20419342417619216</v>
      </c>
      <c r="CB184" s="5">
        <f t="shared" si="493"/>
        <v>20.419342417619216</v>
      </c>
      <c r="CE184" s="562">
        <f t="shared" si="528"/>
        <v>-50</v>
      </c>
      <c r="CF184">
        <f t="shared" si="529"/>
        <v>-50</v>
      </c>
      <c r="CG184" s="173">
        <f t="shared" si="530"/>
        <v>0.5008552224236682</v>
      </c>
      <c r="CI184" s="170">
        <v>74</v>
      </c>
      <c r="CJ184" s="217">
        <f t="shared" si="589"/>
        <v>0.44400000000000001</v>
      </c>
      <c r="CK184" s="217"/>
      <c r="CL184" s="217">
        <f t="shared" si="531"/>
        <v>75.48</v>
      </c>
      <c r="CM184" s="541">
        <f t="shared" si="532"/>
        <v>9</v>
      </c>
      <c r="CN184" s="443">
        <f t="shared" si="533"/>
        <v>8.5250000000000004</v>
      </c>
      <c r="CO184" s="443">
        <f t="shared" si="534"/>
        <v>17.524999999999999</v>
      </c>
      <c r="CP184" s="443"/>
      <c r="CQ184" s="217">
        <f t="shared" si="535"/>
        <v>0.48644793152639093</v>
      </c>
      <c r="CR184" s="172">
        <f t="shared" si="590"/>
        <v>147.11644793152644</v>
      </c>
      <c r="CS184" s="172">
        <f t="shared" si="536"/>
        <v>75.48</v>
      </c>
      <c r="CT184" s="217">
        <f t="shared" si="537"/>
        <v>0.86539087018544958</v>
      </c>
      <c r="CU184" s="217">
        <f t="shared" si="538"/>
        <v>170</v>
      </c>
      <c r="CV184" s="217"/>
      <c r="CW184" s="172">
        <f t="shared" si="539"/>
        <v>495.85699678242645</v>
      </c>
      <c r="CX184" s="536">
        <f t="shared" si="540"/>
        <v>170</v>
      </c>
      <c r="CY184" s="217">
        <f t="shared" si="541"/>
        <v>34.481251221896379</v>
      </c>
      <c r="CZ184" s="217">
        <f t="shared" si="542"/>
        <v>1.9156250678831321</v>
      </c>
      <c r="DA184" s="217">
        <f t="shared" si="543"/>
        <v>2.0223607754777935</v>
      </c>
      <c r="DB184" s="197">
        <f t="shared" si="544"/>
        <v>350</v>
      </c>
      <c r="DC184" s="443">
        <f t="shared" si="545"/>
        <v>253.93692099881622</v>
      </c>
      <c r="DE184" s="217">
        <f t="shared" si="546"/>
        <v>25.017322192785819</v>
      </c>
      <c r="DF184" s="173">
        <f t="shared" si="547"/>
        <v>1.467291624210312</v>
      </c>
      <c r="DG184" s="173">
        <f t="shared" si="548"/>
        <v>0.32119243899439714</v>
      </c>
      <c r="DH184" s="173"/>
      <c r="DI184" s="173">
        <f t="shared" si="549"/>
        <v>0.78201368523949166</v>
      </c>
      <c r="DJ184" s="545">
        <f t="shared" si="550"/>
        <v>1703.2950000000001</v>
      </c>
      <c r="DK184" s="528">
        <f t="shared" si="551"/>
        <v>9.1234929944607357E-2</v>
      </c>
      <c r="DM184" s="173">
        <f t="shared" si="552"/>
        <v>29.413699432164503</v>
      </c>
      <c r="DN184" s="173">
        <f t="shared" si="553"/>
        <v>34.481251221896379</v>
      </c>
      <c r="DO184" s="173">
        <f t="shared" si="554"/>
        <v>16.865124361898548</v>
      </c>
      <c r="DQ184" s="545">
        <f t="shared" si="555"/>
        <v>444</v>
      </c>
      <c r="DR184" s="460">
        <f t="shared" si="556"/>
        <v>253.93692099881622</v>
      </c>
      <c r="DT184">
        <f t="shared" si="591"/>
        <v>444</v>
      </c>
      <c r="DU184">
        <f t="shared" si="592"/>
        <v>253.93692099881622</v>
      </c>
      <c r="DW184" s="5">
        <f t="shared" si="557"/>
        <v>3.9379858433609249</v>
      </c>
      <c r="DX184" s="5">
        <f t="shared" si="558"/>
        <v>1.9156250678831321</v>
      </c>
      <c r="DY184" s="5">
        <f t="shared" si="559"/>
        <v>2.022360775477793</v>
      </c>
      <c r="DZ184" s="5"/>
      <c r="EA184" s="173">
        <f t="shared" si="560"/>
        <v>0.48644793152639093</v>
      </c>
      <c r="EB184" s="173">
        <f t="shared" si="561"/>
        <v>75.479999999999976</v>
      </c>
      <c r="EC184" s="173">
        <f t="shared" si="562"/>
        <v>0.44269794721407613</v>
      </c>
      <c r="ED184" s="173">
        <f t="shared" si="563"/>
        <v>170.5</v>
      </c>
      <c r="EE184" s="460">
        <f t="shared" si="564"/>
        <v>0.50031619420006512</v>
      </c>
      <c r="EF184" s="5">
        <f t="shared" si="565"/>
        <v>27.137385125878012</v>
      </c>
      <c r="EH184" s="173">
        <f t="shared" si="566"/>
        <v>13.884830097331347</v>
      </c>
      <c r="EI184" s="173">
        <f t="shared" si="567"/>
        <v>0.71332038461704761</v>
      </c>
      <c r="EK184" s="528">
        <f t="shared" si="568"/>
        <v>7.7115402732703382</v>
      </c>
      <c r="EL184" s="528">
        <f t="shared" si="569"/>
        <v>4.2198749999999992</v>
      </c>
      <c r="EM184" s="528">
        <f t="shared" si="570"/>
        <v>5.0787384199763246E-2</v>
      </c>
      <c r="EN184" s="528">
        <f t="shared" si="571"/>
        <v>1.5598107114467411E-2</v>
      </c>
      <c r="EO184">
        <f t="shared" si="572"/>
        <v>4.0499999999999998E-3</v>
      </c>
      <c r="EP184" s="460">
        <f t="shared" si="573"/>
        <v>54.837384199763243</v>
      </c>
      <c r="EQ184" s="460"/>
      <c r="ER184" s="460">
        <f t="shared" si="593"/>
        <v>12001.850764584568</v>
      </c>
      <c r="ES184" s="528">
        <f t="shared" si="574"/>
        <v>0.31079999999999997</v>
      </c>
      <c r="EV184" s="460">
        <f t="shared" si="494"/>
        <v>310.79999999999995</v>
      </c>
      <c r="EW184" s="528">
        <f t="shared" si="575"/>
        <v>5.783655204952753</v>
      </c>
      <c r="EX184" s="528">
        <f t="shared" si="576"/>
        <v>1.5264779133306382E-2</v>
      </c>
      <c r="EY184" s="528">
        <f t="shared" si="577"/>
        <v>358.70891443764418</v>
      </c>
      <c r="EZ184" s="528"/>
      <c r="FA184" s="528">
        <f t="shared" si="578"/>
        <v>7.5479999999999992</v>
      </c>
      <c r="FB184" s="460">
        <f t="shared" si="579"/>
        <v>372055.83442173025</v>
      </c>
      <c r="FC184" s="173">
        <f t="shared" si="580"/>
        <v>384.36848518631479</v>
      </c>
      <c r="FD184" s="5">
        <f t="shared" si="581"/>
        <v>75.48</v>
      </c>
      <c r="FE184" s="173">
        <f t="shared" si="582"/>
        <v>0.16414102129621697</v>
      </c>
      <c r="FF184" s="5">
        <f t="shared" si="583"/>
        <v>16.414102129621696</v>
      </c>
      <c r="FI184" s="562">
        <f t="shared" si="584"/>
        <v>-50</v>
      </c>
      <c r="FJ184">
        <f t="shared" si="585"/>
        <v>-50</v>
      </c>
      <c r="FL184">
        <f t="shared" si="586"/>
        <v>0.51355206847360901</v>
      </c>
    </row>
    <row r="185" spans="5:168">
      <c r="E185" s="170">
        <v>75</v>
      </c>
      <c r="F185" s="217">
        <f t="shared" si="587"/>
        <v>0.44999999999999996</v>
      </c>
      <c r="G185" s="217"/>
      <c r="H185" s="217">
        <f t="shared" si="495"/>
        <v>76.499999999999986</v>
      </c>
      <c r="I185" s="541">
        <f t="shared" si="496"/>
        <v>7.7425764952255864</v>
      </c>
      <c r="J185" s="172">
        <f t="shared" si="497"/>
        <v>8.5263472394694002</v>
      </c>
      <c r="K185" s="172">
        <f t="shared" si="498"/>
        <v>16.268923734694987</v>
      </c>
      <c r="L185" s="443"/>
      <c r="M185" s="217">
        <f t="shared" si="499"/>
        <v>0.52408701017254855</v>
      </c>
      <c r="N185" s="172">
        <f t="shared" si="500"/>
        <v>136.35506049743299</v>
      </c>
      <c r="O185" s="172">
        <f t="shared" si="438"/>
        <v>76.499999999999986</v>
      </c>
      <c r="P185" s="217">
        <f t="shared" si="501"/>
        <v>0.80208859116137055</v>
      </c>
      <c r="Q185" s="217">
        <f t="shared" si="502"/>
        <v>170</v>
      </c>
      <c r="R185" s="217"/>
      <c r="S185" s="172">
        <f t="shared" si="503"/>
        <v>418.85728452046561</v>
      </c>
      <c r="T185" s="536">
        <f t="shared" si="504"/>
        <v>170</v>
      </c>
      <c r="U185" s="217">
        <f t="shared" si="505"/>
        <v>37.822039710507035</v>
      </c>
      <c r="V185" s="217">
        <f t="shared" si="506"/>
        <v>2.4424711679522808</v>
      </c>
      <c r="W185" s="217">
        <f t="shared" si="507"/>
        <v>2.2179509377371263</v>
      </c>
      <c r="X185" s="197">
        <f t="shared" si="508"/>
        <v>350</v>
      </c>
      <c r="Y185" s="443">
        <f t="shared" si="509"/>
        <v>205.7434474321565</v>
      </c>
      <c r="AA185" s="217">
        <f t="shared" si="510"/>
        <v>23.187378342731275</v>
      </c>
      <c r="AB185" s="173">
        <f t="shared" si="511"/>
        <v>1.3597486527052491</v>
      </c>
      <c r="AC185" s="173">
        <f t="shared" si="512"/>
        <v>0.27587880653633762</v>
      </c>
      <c r="AD185" s="173"/>
      <c r="AE185" s="173">
        <f t="shared" si="513"/>
        <v>0.78189012005116709</v>
      </c>
      <c r="AF185" s="545">
        <f t="shared" si="514"/>
        <v>1726.5853159925532</v>
      </c>
      <c r="AG185" s="528">
        <f t="shared" si="515"/>
        <v>9.1220514005969505E-2</v>
      </c>
      <c r="AI185" s="173">
        <f t="shared" si="516"/>
        <v>29.614113460640851</v>
      </c>
      <c r="AJ185" s="173">
        <f t="shared" si="517"/>
        <v>37.822039710507035</v>
      </c>
      <c r="AK185" s="173">
        <f t="shared" si="518"/>
        <v>19.339782501610145</v>
      </c>
      <c r="AM185" s="545">
        <f t="shared" si="519"/>
        <v>449.99999999999994</v>
      </c>
      <c r="AN185" s="460">
        <f t="shared" si="520"/>
        <v>205.7434474321565</v>
      </c>
      <c r="AP185">
        <f t="shared" si="521"/>
        <v>449.99999999999994</v>
      </c>
      <c r="AQ185">
        <f t="shared" si="522"/>
        <v>205.7434474321565</v>
      </c>
      <c r="AS185" s="5">
        <f t="shared" si="439"/>
        <v>4.8604221056894072</v>
      </c>
      <c r="AT185" s="5">
        <f t="shared" si="523"/>
        <v>2.4424711679522808</v>
      </c>
      <c r="AU185" s="5">
        <f t="shared" si="478"/>
        <v>2.4179509377371264</v>
      </c>
      <c r="AV185" s="5"/>
      <c r="AW185" s="173">
        <f t="shared" si="479"/>
        <v>0.50252243834814803</v>
      </c>
      <c r="AX185" s="173">
        <f t="shared" si="435"/>
        <v>73.579344383931158</v>
      </c>
      <c r="AY185" s="173">
        <f t="shared" si="436"/>
        <v>0.47039040229706397</v>
      </c>
      <c r="AZ185" s="173">
        <f t="shared" si="440"/>
        <v>156.42186580470207</v>
      </c>
      <c r="BA185" s="460">
        <f t="shared" si="594"/>
        <v>0.64653648563442712</v>
      </c>
      <c r="BB185" s="5">
        <f t="shared" si="595"/>
        <v>38.224639428686878</v>
      </c>
      <c r="BD185" s="173">
        <f t="shared" si="441"/>
        <v>15.479682477991744</v>
      </c>
      <c r="BE185" s="173">
        <f t="shared" si="437"/>
        <v>0.77008926917860054</v>
      </c>
      <c r="BG185" s="528">
        <f t="shared" si="480"/>
        <v>9.5848227847777849</v>
      </c>
      <c r="BH185" s="528">
        <f t="shared" si="524"/>
        <v>2.8484742659414013</v>
      </c>
      <c r="BI185" s="528">
        <f t="shared" si="525"/>
        <v>6.3719375205395834E-2</v>
      </c>
      <c r="BJ185" s="528">
        <f t="shared" si="481"/>
        <v>1.0891147876868594E-2</v>
      </c>
      <c r="BK185">
        <f t="shared" si="482"/>
        <v>3.4841594228515139E-3</v>
      </c>
      <c r="BL185" s="460">
        <f t="shared" si="588"/>
        <v>67.203534628247354</v>
      </c>
      <c r="BM185" s="528">
        <f t="shared" si="526"/>
        <v>-11.76814853351013</v>
      </c>
      <c r="BN185" s="460">
        <f t="shared" si="527"/>
        <v>-11768.14853351013</v>
      </c>
      <c r="BO185" s="528">
        <f t="shared" si="483"/>
        <v>0.31499999999999995</v>
      </c>
      <c r="BR185" s="460">
        <f t="shared" si="484"/>
        <v>314.99999999999994</v>
      </c>
      <c r="BS185" s="528">
        <f t="shared" si="485"/>
        <v>7.1886170885833387</v>
      </c>
      <c r="BT185" s="528">
        <f t="shared" si="486"/>
        <v>1.7791124475120931E-2</v>
      </c>
      <c r="BU185" s="528">
        <f t="shared" si="487"/>
        <v>267.08371073616291</v>
      </c>
      <c r="BV185" s="528"/>
      <c r="BW185" s="528">
        <f t="shared" si="488"/>
        <v>7.3579344383931158</v>
      </c>
      <c r="BX185" s="460">
        <f t="shared" si="489"/>
        <v>281648.05338761449</v>
      </c>
      <c r="BY185" s="173">
        <f t="shared" si="490"/>
        <v>294.47444512083877</v>
      </c>
      <c r="BZ185" s="5">
        <f t="shared" si="491"/>
        <v>76.499999999999986</v>
      </c>
      <c r="CA185" s="173">
        <f t="shared" si="492"/>
        <v>0.20621366513556313</v>
      </c>
      <c r="CB185" s="5">
        <f t="shared" si="493"/>
        <v>20.621366513556314</v>
      </c>
      <c r="CE185" s="562">
        <f t="shared" si="528"/>
        <v>-50</v>
      </c>
      <c r="CF185">
        <f t="shared" si="529"/>
        <v>-50</v>
      </c>
      <c r="CG185" s="173">
        <f t="shared" si="530"/>
        <v>0.50102451370433432</v>
      </c>
      <c r="CI185" s="170">
        <v>75</v>
      </c>
      <c r="CJ185" s="217">
        <f t="shared" si="589"/>
        <v>0.44999999999999996</v>
      </c>
      <c r="CK185" s="217"/>
      <c r="CL185" s="217">
        <f t="shared" si="531"/>
        <v>76.499999999999986</v>
      </c>
      <c r="CM185" s="541">
        <f t="shared" si="532"/>
        <v>9</v>
      </c>
      <c r="CN185" s="443">
        <f t="shared" si="533"/>
        <v>8.5250000000000004</v>
      </c>
      <c r="CO185" s="443">
        <f t="shared" si="534"/>
        <v>17.524999999999999</v>
      </c>
      <c r="CP185" s="443"/>
      <c r="CQ185" s="217">
        <f t="shared" si="535"/>
        <v>0.48644793152639093</v>
      </c>
      <c r="CR185" s="172">
        <f t="shared" si="590"/>
        <v>147.11644793152644</v>
      </c>
      <c r="CS185" s="172">
        <f t="shared" si="536"/>
        <v>76.499999999999986</v>
      </c>
      <c r="CT185" s="217">
        <f t="shared" si="537"/>
        <v>0.86539087018544958</v>
      </c>
      <c r="CU185" s="217">
        <f t="shared" si="538"/>
        <v>170</v>
      </c>
      <c r="CV185" s="217"/>
      <c r="CW185" s="172">
        <f t="shared" si="539"/>
        <v>486.85133836635214</v>
      </c>
      <c r="CX185" s="536">
        <f t="shared" si="540"/>
        <v>170</v>
      </c>
      <c r="CY185" s="217">
        <f t="shared" si="541"/>
        <v>34.947214076246325</v>
      </c>
      <c r="CZ185" s="217">
        <f t="shared" si="542"/>
        <v>1.9415118931247957</v>
      </c>
      <c r="DA185" s="217">
        <f t="shared" si="543"/>
        <v>2.0496899751464119</v>
      </c>
      <c r="DB185" s="197">
        <f t="shared" si="544"/>
        <v>350</v>
      </c>
      <c r="DC185" s="443">
        <f t="shared" si="545"/>
        <v>250.55109538549868</v>
      </c>
      <c r="DE185" s="217">
        <f t="shared" si="546"/>
        <v>25.017322192785819</v>
      </c>
      <c r="DF185" s="173">
        <f t="shared" si="547"/>
        <v>1.467291624210312</v>
      </c>
      <c r="DG185" s="173">
        <f t="shared" si="548"/>
        <v>0.32119243899439714</v>
      </c>
      <c r="DH185" s="173"/>
      <c r="DI185" s="173">
        <f t="shared" si="549"/>
        <v>0.78201368523949166</v>
      </c>
      <c r="DJ185" s="545">
        <f t="shared" si="550"/>
        <v>1726.3124999999998</v>
      </c>
      <c r="DK185" s="528">
        <f t="shared" si="551"/>
        <v>9.1234929944607357E-2</v>
      </c>
      <c r="DM185" s="173">
        <f t="shared" si="552"/>
        <v>29.611773720213769</v>
      </c>
      <c r="DN185" s="173">
        <f t="shared" si="553"/>
        <v>34.947214076246325</v>
      </c>
      <c r="DO185" s="173">
        <f t="shared" si="554"/>
        <v>17.210282031787397</v>
      </c>
      <c r="DQ185" s="545">
        <f t="shared" si="555"/>
        <v>449.99999999999994</v>
      </c>
      <c r="DR185" s="460">
        <f t="shared" si="556"/>
        <v>250.55109538549868</v>
      </c>
      <c r="DT185">
        <f t="shared" si="591"/>
        <v>449.99999999999994</v>
      </c>
      <c r="DU185">
        <f t="shared" si="592"/>
        <v>250.55109538549868</v>
      </c>
      <c r="DW185" s="5">
        <f t="shared" si="557"/>
        <v>3.991201868271208</v>
      </c>
      <c r="DX185" s="5">
        <f t="shared" si="558"/>
        <v>1.9415118931247957</v>
      </c>
      <c r="DY185" s="5">
        <f t="shared" si="559"/>
        <v>2.0496899751464124</v>
      </c>
      <c r="DZ185" s="5"/>
      <c r="EA185" s="173">
        <f t="shared" si="560"/>
        <v>0.48644793152639082</v>
      </c>
      <c r="EB185" s="173">
        <f t="shared" si="561"/>
        <v>76.499999999999972</v>
      </c>
      <c r="EC185" s="173">
        <f t="shared" si="562"/>
        <v>0.4486803519061584</v>
      </c>
      <c r="ED185" s="173">
        <f t="shared" si="563"/>
        <v>170.49999999999991</v>
      </c>
      <c r="EE185" s="460">
        <f t="shared" si="564"/>
        <v>0.51392961876832821</v>
      </c>
      <c r="EF185" s="5">
        <f t="shared" si="565"/>
        <v>27.875783661991203</v>
      </c>
      <c r="EH185" s="173">
        <f t="shared" si="566"/>
        <v>14.07246293648447</v>
      </c>
      <c r="EI185" s="173">
        <f t="shared" si="567"/>
        <v>0.72295984927403478</v>
      </c>
      <c r="EK185" s="528">
        <f t="shared" si="568"/>
        <v>7.9213685239491642</v>
      </c>
      <c r="EL185" s="528">
        <f t="shared" si="569"/>
        <v>4.219875</v>
      </c>
      <c r="EM185" s="528">
        <f t="shared" si="570"/>
        <v>5.0110219077099734E-2</v>
      </c>
      <c r="EN185" s="528">
        <f t="shared" si="571"/>
        <v>1.5390132352941179E-2</v>
      </c>
      <c r="EO185">
        <f t="shared" si="572"/>
        <v>4.0499999999999998E-3</v>
      </c>
      <c r="EP185" s="460">
        <f t="shared" si="573"/>
        <v>54.160219077099732</v>
      </c>
      <c r="EQ185" s="460"/>
      <c r="ER185" s="460">
        <f t="shared" si="593"/>
        <v>12210.793875379204</v>
      </c>
      <c r="ES185" s="528">
        <f t="shared" si="574"/>
        <v>0.31499999999999995</v>
      </c>
      <c r="EV185" s="460">
        <f t="shared" si="494"/>
        <v>314.99999999999994</v>
      </c>
      <c r="EW185" s="528">
        <f t="shared" si="575"/>
        <v>5.9410263929618727</v>
      </c>
      <c r="EX185" s="528">
        <f t="shared" si="576"/>
        <v>1.5680128309870055E-2</v>
      </c>
      <c r="EY185" s="528">
        <f t="shared" si="577"/>
        <v>358.70891443764418</v>
      </c>
      <c r="EZ185" s="528"/>
      <c r="FA185" s="528">
        <f t="shared" si="578"/>
        <v>7.6499999999999977</v>
      </c>
      <c r="FB185" s="460">
        <f t="shared" si="579"/>
        <v>372315.62095891591</v>
      </c>
      <c r="FC185" s="173">
        <f t="shared" si="580"/>
        <v>384.84141483429511</v>
      </c>
      <c r="FD185" s="5">
        <f t="shared" si="581"/>
        <v>76.499999999999986</v>
      </c>
      <c r="FE185" s="173">
        <f t="shared" si="582"/>
        <v>0.16582079462230223</v>
      </c>
      <c r="FF185" s="5">
        <f t="shared" si="583"/>
        <v>16.582079462230222</v>
      </c>
      <c r="FI185" s="562">
        <f t="shared" si="584"/>
        <v>-50</v>
      </c>
      <c r="FJ185">
        <f t="shared" si="585"/>
        <v>-50</v>
      </c>
      <c r="FL185">
        <f t="shared" si="586"/>
        <v>0.51355206847360924</v>
      </c>
    </row>
    <row r="186" spans="5:168">
      <c r="E186" s="170">
        <v>76</v>
      </c>
      <c r="F186" s="217">
        <f t="shared" si="587"/>
        <v>0.45599999999999996</v>
      </c>
      <c r="G186" s="217"/>
      <c r="H186" s="217">
        <f t="shared" si="495"/>
        <v>77.52</v>
      </c>
      <c r="I186" s="541">
        <f t="shared" si="496"/>
        <v>7.7262299167729038</v>
      </c>
      <c r="J186" s="172">
        <f t="shared" si="497"/>
        <v>8.5263647536605998</v>
      </c>
      <c r="K186" s="172">
        <f t="shared" si="498"/>
        <v>16.252594670433503</v>
      </c>
      <c r="L186" s="443"/>
      <c r="M186" s="217">
        <f t="shared" si="499"/>
        <v>0.52461464205604125</v>
      </c>
      <c r="N186" s="172">
        <f t="shared" si="500"/>
        <v>136.20416727675209</v>
      </c>
      <c r="O186" s="172">
        <f t="shared" si="438"/>
        <v>77.52</v>
      </c>
      <c r="P186" s="217">
        <f t="shared" si="501"/>
        <v>0.80120098398089468</v>
      </c>
      <c r="Q186" s="217">
        <f t="shared" si="502"/>
        <v>170</v>
      </c>
      <c r="R186" s="217"/>
      <c r="S186" s="172">
        <f t="shared" si="503"/>
        <v>410.44630101133225</v>
      </c>
      <c r="T186" s="536">
        <f t="shared" si="504"/>
        <v>170</v>
      </c>
      <c r="U186" s="217">
        <f t="shared" si="505"/>
        <v>38.368872105964677</v>
      </c>
      <c r="V186" s="217">
        <f t="shared" si="506"/>
        <v>2.4830268138066622</v>
      </c>
      <c r="W186" s="217">
        <f t="shared" si="507"/>
        <v>2.2500135294758459</v>
      </c>
      <c r="X186" s="197">
        <f t="shared" si="508"/>
        <v>350</v>
      </c>
      <c r="Y186" s="443">
        <f t="shared" si="509"/>
        <v>202.71474190591906</v>
      </c>
      <c r="AA186" s="217">
        <f t="shared" si="510"/>
        <v>23.161718667742488</v>
      </c>
      <c r="AB186" s="173">
        <f t="shared" si="511"/>
        <v>1.3582411342300675</v>
      </c>
      <c r="AC186" s="173">
        <f t="shared" si="512"/>
        <v>0.27526799154743248</v>
      </c>
      <c r="AD186" s="173"/>
      <c r="AE186" s="173">
        <f t="shared" si="513"/>
        <v>0.78188851395367354</v>
      </c>
      <c r="AF186" s="545">
        <f t="shared" si="514"/>
        <v>1749.610047451155</v>
      </c>
      <c r="AG186" s="528">
        <f t="shared" si="515"/>
        <v>9.1220326627928588E-2</v>
      </c>
      <c r="AI186" s="173">
        <f t="shared" si="516"/>
        <v>29.810917760997693</v>
      </c>
      <c r="AJ186" s="173">
        <f t="shared" si="517"/>
        <v>38.368872105964677</v>
      </c>
      <c r="AK186" s="173">
        <f t="shared" si="518"/>
        <v>19.744843535282474</v>
      </c>
      <c r="AM186" s="545">
        <f t="shared" si="519"/>
        <v>455.99999999999994</v>
      </c>
      <c r="AN186" s="460">
        <f t="shared" si="520"/>
        <v>202.71474190591906</v>
      </c>
      <c r="AP186">
        <f t="shared" si="521"/>
        <v>455.99999999999994</v>
      </c>
      <c r="AQ186">
        <f t="shared" si="522"/>
        <v>202.71474190591906</v>
      </c>
      <c r="AS186" s="5">
        <f t="shared" si="439"/>
        <v>4.9330403432825083</v>
      </c>
      <c r="AT186" s="5">
        <f t="shared" si="523"/>
        <v>2.4830268138066622</v>
      </c>
      <c r="AU186" s="5">
        <f t="shared" si="478"/>
        <v>2.4500135294758461</v>
      </c>
      <c r="AV186" s="5"/>
      <c r="AW186" s="173">
        <f t="shared" si="479"/>
        <v>0.50334613970629405</v>
      </c>
      <c r="AX186" s="173">
        <f t="shared" si="435"/>
        <v>74.607657967392228</v>
      </c>
      <c r="AY186" s="173">
        <f t="shared" si="436"/>
        <v>0.47640121116357131</v>
      </c>
      <c r="AZ186" s="173">
        <f t="shared" si="440"/>
        <v>156.6067764294072</v>
      </c>
      <c r="BA186" s="460">
        <f t="shared" si="594"/>
        <v>0.66603542770343416</v>
      </c>
      <c r="BB186" s="5">
        <f t="shared" si="595"/>
        <v>39.330964954622125</v>
      </c>
      <c r="BD186" s="173">
        <f t="shared" si="441"/>
        <v>15.716353065023331</v>
      </c>
      <c r="BE186" s="173">
        <f t="shared" si="437"/>
        <v>0.78057622182294994</v>
      </c>
      <c r="BG186" s="528">
        <f t="shared" si="480"/>
        <v>9.88015014657873</v>
      </c>
      <c r="BH186" s="528">
        <f t="shared" si="524"/>
        <v>2.8442619288234883</v>
      </c>
      <c r="BI186" s="528">
        <f t="shared" si="525"/>
        <v>6.2648828139376389E-2</v>
      </c>
      <c r="BJ186" s="528">
        <f t="shared" si="481"/>
        <v>1.0709291436511415E-2</v>
      </c>
      <c r="BK186">
        <f t="shared" si="482"/>
        <v>3.4768034625478066E-3</v>
      </c>
      <c r="BL186" s="460">
        <f t="shared" si="588"/>
        <v>66.125631601924198</v>
      </c>
      <c r="BM186" s="528">
        <f t="shared" si="526"/>
        <v>-11.430420254687725</v>
      </c>
      <c r="BN186" s="460">
        <f t="shared" si="527"/>
        <v>-11430.420254687724</v>
      </c>
      <c r="BO186" s="528">
        <f t="shared" si="483"/>
        <v>0.31919999999999993</v>
      </c>
      <c r="BR186" s="460">
        <f t="shared" si="484"/>
        <v>319.19999999999993</v>
      </c>
      <c r="BS186" s="528">
        <f t="shared" si="485"/>
        <v>7.4101126099340471</v>
      </c>
      <c r="BT186" s="528">
        <f t="shared" si="486"/>
        <v>1.8278977142261732E-2</v>
      </c>
      <c r="BU186" s="528">
        <f t="shared" si="487"/>
        <v>266.76627121941362</v>
      </c>
      <c r="BV186" s="528"/>
      <c r="BW186" s="528">
        <f t="shared" si="488"/>
        <v>7.4607657967392242</v>
      </c>
      <c r="BX186" s="460">
        <f t="shared" si="489"/>
        <v>281655.42860322917</v>
      </c>
      <c r="BY186" s="173">
        <f t="shared" si="490"/>
        <v>294.77587560166984</v>
      </c>
      <c r="BZ186" s="5">
        <f t="shared" si="491"/>
        <v>77.52</v>
      </c>
      <c r="CA186" s="173">
        <f t="shared" si="492"/>
        <v>0.20822148479275901</v>
      </c>
      <c r="CB186" s="5">
        <f t="shared" si="493"/>
        <v>20.822148479275899</v>
      </c>
      <c r="CE186" s="562">
        <f t="shared" si="528"/>
        <v>-50</v>
      </c>
      <c r="CF186">
        <f t="shared" si="529"/>
        <v>-50</v>
      </c>
      <c r="CG186" s="173">
        <f t="shared" si="530"/>
        <v>0.50118934995129849</v>
      </c>
      <c r="CI186" s="170">
        <v>76</v>
      </c>
      <c r="CJ186" s="217">
        <f t="shared" si="589"/>
        <v>0.45599999999999996</v>
      </c>
      <c r="CK186" s="217"/>
      <c r="CL186" s="217">
        <f t="shared" si="531"/>
        <v>77.52</v>
      </c>
      <c r="CM186" s="541">
        <f t="shared" si="532"/>
        <v>9</v>
      </c>
      <c r="CN186" s="443">
        <f t="shared" si="533"/>
        <v>8.5250000000000004</v>
      </c>
      <c r="CO186" s="443">
        <f t="shared" si="534"/>
        <v>17.524999999999999</v>
      </c>
      <c r="CP186" s="443"/>
      <c r="CQ186" s="217">
        <f t="shared" si="535"/>
        <v>0.48644793152639093</v>
      </c>
      <c r="CR186" s="172">
        <f t="shared" si="590"/>
        <v>147.11644793152644</v>
      </c>
      <c r="CS186" s="172">
        <f t="shared" si="536"/>
        <v>77.52</v>
      </c>
      <c r="CT186" s="217">
        <f t="shared" si="537"/>
        <v>0.86539087018544958</v>
      </c>
      <c r="CU186" s="217">
        <f t="shared" si="538"/>
        <v>170</v>
      </c>
      <c r="CV186" s="217"/>
      <c r="CW186" s="172">
        <f t="shared" si="539"/>
        <v>478.08279207829383</v>
      </c>
      <c r="CX186" s="536">
        <f t="shared" si="540"/>
        <v>170</v>
      </c>
      <c r="CY186" s="217">
        <f t="shared" si="541"/>
        <v>35.413176930596279</v>
      </c>
      <c r="CZ186" s="217">
        <f t="shared" si="542"/>
        <v>1.9673987183664601</v>
      </c>
      <c r="DA186" s="217">
        <f t="shared" si="543"/>
        <v>2.0770191748150308</v>
      </c>
      <c r="DB186" s="197">
        <f t="shared" si="544"/>
        <v>350</v>
      </c>
      <c r="DC186" s="443">
        <f t="shared" si="545"/>
        <v>247.2543704462158</v>
      </c>
      <c r="DE186" s="217">
        <f t="shared" si="546"/>
        <v>25.017322192785819</v>
      </c>
      <c r="DF186" s="173">
        <f t="shared" si="547"/>
        <v>1.467291624210312</v>
      </c>
      <c r="DG186" s="173">
        <f t="shared" si="548"/>
        <v>0.32119243899439714</v>
      </c>
      <c r="DH186" s="173"/>
      <c r="DI186" s="173">
        <f t="shared" si="549"/>
        <v>0.78201368523949166</v>
      </c>
      <c r="DJ186" s="545">
        <f t="shared" si="550"/>
        <v>1749.3299999999997</v>
      </c>
      <c r="DK186" s="528">
        <f t="shared" si="551"/>
        <v>9.1234929944607357E-2</v>
      </c>
      <c r="DM186" s="173">
        <f t="shared" si="552"/>
        <v>29.808531856308711</v>
      </c>
      <c r="DN186" s="173">
        <f t="shared" si="553"/>
        <v>35.413176930596279</v>
      </c>
      <c r="DO186" s="173">
        <f t="shared" si="554"/>
        <v>17.555439701676253</v>
      </c>
      <c r="DQ186" s="545">
        <f t="shared" si="555"/>
        <v>455.99999999999994</v>
      </c>
      <c r="DR186" s="460">
        <f t="shared" si="556"/>
        <v>247.2543704462158</v>
      </c>
      <c r="DT186">
        <f t="shared" si="591"/>
        <v>455.99999999999994</v>
      </c>
      <c r="DU186">
        <f t="shared" si="592"/>
        <v>247.2543704462158</v>
      </c>
      <c r="DW186" s="5">
        <f t="shared" si="557"/>
        <v>4.0444178931814916</v>
      </c>
      <c r="DX186" s="5">
        <f t="shared" si="558"/>
        <v>1.9673987183664601</v>
      </c>
      <c r="DY186" s="5">
        <f t="shared" si="559"/>
        <v>2.0770191748150317</v>
      </c>
      <c r="DZ186" s="5"/>
      <c r="EA186" s="173">
        <f t="shared" si="560"/>
        <v>0.48644793152639082</v>
      </c>
      <c r="EB186" s="173">
        <f t="shared" si="561"/>
        <v>77.52</v>
      </c>
      <c r="EC186" s="173">
        <f t="shared" si="562"/>
        <v>0.45466275659824051</v>
      </c>
      <c r="ED186" s="173">
        <f t="shared" si="563"/>
        <v>170.49999999999997</v>
      </c>
      <c r="EE186" s="460">
        <f t="shared" si="564"/>
        <v>0.52772577386770925</v>
      </c>
      <c r="EF186" s="5">
        <f t="shared" si="565"/>
        <v>28.624093587850886</v>
      </c>
      <c r="EH186" s="173">
        <f t="shared" si="566"/>
        <v>14.260095775637597</v>
      </c>
      <c r="EI186" s="173">
        <f t="shared" si="567"/>
        <v>0.73259931393102196</v>
      </c>
      <c r="EK186" s="528">
        <f t="shared" si="568"/>
        <v>8.1340132612142888</v>
      </c>
      <c r="EL186" s="528">
        <f t="shared" si="569"/>
        <v>4.2198749999999992</v>
      </c>
      <c r="EM186" s="528">
        <f t="shared" si="570"/>
        <v>4.945087408924316E-2</v>
      </c>
      <c r="EN186" s="528">
        <f t="shared" si="571"/>
        <v>1.5187630611455111E-2</v>
      </c>
      <c r="EO186">
        <f t="shared" si="572"/>
        <v>4.0499999999999998E-3</v>
      </c>
      <c r="EP186" s="460">
        <f t="shared" si="573"/>
        <v>53.500874089243162</v>
      </c>
      <c r="EQ186" s="460"/>
      <c r="ER186" s="460">
        <f t="shared" si="593"/>
        <v>12422.576765914986</v>
      </c>
      <c r="ES186" s="528">
        <f t="shared" si="574"/>
        <v>0.31919999999999993</v>
      </c>
      <c r="EV186" s="460">
        <f t="shared" si="494"/>
        <v>319.19999999999993</v>
      </c>
      <c r="EW186" s="528">
        <f t="shared" si="575"/>
        <v>6.1005099459107166</v>
      </c>
      <c r="EX186" s="528">
        <f t="shared" si="576"/>
        <v>1.6101052643166122E-2</v>
      </c>
      <c r="EY186" s="528">
        <f t="shared" si="577"/>
        <v>358.70891443764418</v>
      </c>
      <c r="EZ186" s="528"/>
      <c r="FA186" s="528">
        <f t="shared" si="578"/>
        <v>7.7519999999999998</v>
      </c>
      <c r="FB186" s="460">
        <f t="shared" si="579"/>
        <v>372577.52543619805</v>
      </c>
      <c r="FC186" s="173">
        <f t="shared" si="580"/>
        <v>385.31930220211308</v>
      </c>
      <c r="FD186" s="5">
        <f t="shared" si="581"/>
        <v>77.52</v>
      </c>
      <c r="FE186" s="173">
        <f t="shared" si="582"/>
        <v>0.16748793724122524</v>
      </c>
      <c r="FF186" s="5">
        <f t="shared" si="583"/>
        <v>16.748793724122525</v>
      </c>
      <c r="FI186" s="562">
        <f t="shared" si="584"/>
        <v>-50</v>
      </c>
      <c r="FJ186">
        <f t="shared" si="585"/>
        <v>-50</v>
      </c>
      <c r="FL186">
        <f t="shared" si="586"/>
        <v>0.51355206847360924</v>
      </c>
    </row>
    <row r="187" spans="5:168">
      <c r="E187" s="170">
        <v>77</v>
      </c>
      <c r="F187" s="217">
        <f t="shared" si="587"/>
        <v>0.46199999999999997</v>
      </c>
      <c r="G187" s="217"/>
      <c r="H187" s="217">
        <f t="shared" si="495"/>
        <v>78.539999999999992</v>
      </c>
      <c r="I187" s="541">
        <f t="shared" si="496"/>
        <v>7.7098830699112018</v>
      </c>
      <c r="J187" s="172">
        <f t="shared" si="497"/>
        <v>8.5263822681393808</v>
      </c>
      <c r="K187" s="172">
        <f t="shared" si="498"/>
        <v>16.236265338050583</v>
      </c>
      <c r="L187" s="443"/>
      <c r="M187" s="217">
        <f t="shared" si="499"/>
        <v>0.52514334391752204</v>
      </c>
      <c r="N187" s="172">
        <f t="shared" si="500"/>
        <v>136.05296687120949</v>
      </c>
      <c r="O187" s="172">
        <f t="shared" si="438"/>
        <v>78.539999999999992</v>
      </c>
      <c r="P187" s="217">
        <f t="shared" si="501"/>
        <v>0.80031156983064411</v>
      </c>
      <c r="Q187" s="217">
        <f t="shared" si="502"/>
        <v>170</v>
      </c>
      <c r="R187" s="217"/>
      <c r="S187" s="172">
        <f t="shared" si="503"/>
        <v>402.26238346738813</v>
      </c>
      <c r="T187" s="536">
        <f t="shared" si="504"/>
        <v>170</v>
      </c>
      <c r="U187" s="217">
        <f t="shared" si="505"/>
        <v>38.917007402735443</v>
      </c>
      <c r="V187" s="217">
        <f t="shared" si="506"/>
        <v>2.5238390160944206</v>
      </c>
      <c r="W187" s="217">
        <f t="shared" si="507"/>
        <v>2.2821523935278516</v>
      </c>
      <c r="X187" s="197">
        <f t="shared" si="508"/>
        <v>350</v>
      </c>
      <c r="Y187" s="443">
        <f t="shared" si="509"/>
        <v>199.76063044731731</v>
      </c>
      <c r="AA187" s="217">
        <f t="shared" si="510"/>
        <v>23.136006755958888</v>
      </c>
      <c r="AB187" s="173">
        <f t="shared" si="511"/>
        <v>1.3567305586574179</v>
      </c>
      <c r="AC187" s="173">
        <f t="shared" si="512"/>
        <v>0.2746566144972466</v>
      </c>
      <c r="AD187" s="173"/>
      <c r="AE187" s="173">
        <f t="shared" si="513"/>
        <v>0.78188690783640658</v>
      </c>
      <c r="AF187" s="545">
        <f t="shared" si="514"/>
        <v>1772.6348735461768</v>
      </c>
      <c r="AG187" s="528">
        <f t="shared" si="515"/>
        <v>9.1220139247580781E-2</v>
      </c>
      <c r="AI187" s="173">
        <f t="shared" si="516"/>
        <v>30.006432102392953</v>
      </c>
      <c r="AJ187" s="173">
        <f t="shared" si="517"/>
        <v>38.917007402735443</v>
      </c>
      <c r="AK187" s="173">
        <f t="shared" si="518"/>
        <v>20.150869681038596</v>
      </c>
      <c r="AM187" s="545">
        <f t="shared" si="519"/>
        <v>461.99999999999994</v>
      </c>
      <c r="AN187" s="460">
        <f t="shared" si="520"/>
        <v>199.76063044731731</v>
      </c>
      <c r="AP187">
        <f t="shared" si="521"/>
        <v>461.99999999999994</v>
      </c>
      <c r="AQ187">
        <f t="shared" si="522"/>
        <v>199.76063044731731</v>
      </c>
      <c r="AS187" s="5">
        <f t="shared" si="439"/>
        <v>5.0059914096222728</v>
      </c>
      <c r="AT187" s="5">
        <f t="shared" si="523"/>
        <v>2.5238390160944206</v>
      </c>
      <c r="AU187" s="5">
        <f t="shared" si="478"/>
        <v>2.4821523935278522</v>
      </c>
      <c r="AV187" s="5"/>
      <c r="AW187" s="173">
        <f t="shared" si="479"/>
        <v>0.50416367300255849</v>
      </c>
      <c r="AX187" s="173">
        <f t="shared" si="435"/>
        <v>75.636039959707219</v>
      </c>
      <c r="AY187" s="173">
        <f t="shared" si="436"/>
        <v>0.48241165020761462</v>
      </c>
      <c r="AZ187" s="173">
        <f t="shared" si="440"/>
        <v>156.78734111656689</v>
      </c>
      <c r="BA187" s="460">
        <f t="shared" si="594"/>
        <v>0.68589036790330715</v>
      </c>
      <c r="BB187" s="5">
        <f t="shared" si="595"/>
        <v>40.456800129379459</v>
      </c>
      <c r="BD187" s="173">
        <f t="shared" si="441"/>
        <v>15.953816206922019</v>
      </c>
      <c r="BE187" s="173">
        <f t="shared" si="437"/>
        <v>0.79107559188519949</v>
      </c>
      <c r="BG187" s="528">
        <f t="shared" si="480"/>
        <v>10.180970062569907</v>
      </c>
      <c r="BH187" s="528">
        <f t="shared" si="524"/>
        <v>2.839997744628731</v>
      </c>
      <c r="BI187" s="528">
        <f t="shared" si="525"/>
        <v>6.1605244108822392E-2</v>
      </c>
      <c r="BJ187" s="528">
        <f t="shared" si="481"/>
        <v>1.0532032141360543E-2</v>
      </c>
      <c r="BK187">
        <f t="shared" si="482"/>
        <v>3.4694473814600407E-3</v>
      </c>
      <c r="BL187" s="460">
        <f t="shared" si="588"/>
        <v>65.074691490282433</v>
      </c>
      <c r="BM187" s="528">
        <f t="shared" si="526"/>
        <v>-11.120774195524053</v>
      </c>
      <c r="BN187" s="460">
        <f t="shared" si="527"/>
        <v>-11120.774195524053</v>
      </c>
      <c r="BO187" s="528">
        <f t="shared" si="483"/>
        <v>0.32339999999999997</v>
      </c>
      <c r="BR187" s="460">
        <f t="shared" si="484"/>
        <v>323.39999999999998</v>
      </c>
      <c r="BS187" s="528">
        <f t="shared" si="485"/>
        <v>7.6357275469274297</v>
      </c>
      <c r="BT187" s="528">
        <f t="shared" si="486"/>
        <v>1.877401776229556E-2</v>
      </c>
      <c r="BU187" s="528">
        <f t="shared" si="487"/>
        <v>266.43627102397505</v>
      </c>
      <c r="BV187" s="528"/>
      <c r="BW187" s="528">
        <f t="shared" si="488"/>
        <v>7.5636039959707233</v>
      </c>
      <c r="BX187" s="460">
        <f t="shared" si="489"/>
        <v>281654.37658463547</v>
      </c>
      <c r="BY187" s="173">
        <f t="shared" si="490"/>
        <v>295.07435111546579</v>
      </c>
      <c r="BZ187" s="5">
        <f t="shared" si="491"/>
        <v>78.539999999999992</v>
      </c>
      <c r="CA187" s="173">
        <f t="shared" si="492"/>
        <v>0.21021676433335709</v>
      </c>
      <c r="CB187" s="5">
        <f t="shared" si="493"/>
        <v>21.02167643333571</v>
      </c>
      <c r="CE187" s="562">
        <f t="shared" si="528"/>
        <v>-50</v>
      </c>
      <c r="CF187">
        <f t="shared" si="529"/>
        <v>-50</v>
      </c>
      <c r="CG187" s="173">
        <f t="shared" si="530"/>
        <v>0.50134990473730223</v>
      </c>
      <c r="CI187" s="170">
        <v>77</v>
      </c>
      <c r="CJ187" s="217">
        <f t="shared" si="589"/>
        <v>0.46199999999999997</v>
      </c>
      <c r="CK187" s="217"/>
      <c r="CL187" s="217">
        <f t="shared" si="531"/>
        <v>78.539999999999992</v>
      </c>
      <c r="CM187" s="541">
        <f t="shared" si="532"/>
        <v>9</v>
      </c>
      <c r="CN187" s="443">
        <f t="shared" si="533"/>
        <v>8.5250000000000004</v>
      </c>
      <c r="CO187" s="443">
        <f t="shared" si="534"/>
        <v>17.524999999999999</v>
      </c>
      <c r="CP187" s="443"/>
      <c r="CQ187" s="217">
        <f t="shared" si="535"/>
        <v>0.48644793152639093</v>
      </c>
      <c r="CR187" s="172">
        <f t="shared" si="590"/>
        <v>147.11644793152644</v>
      </c>
      <c r="CS187" s="172">
        <f t="shared" si="536"/>
        <v>78.539999999999992</v>
      </c>
      <c r="CT187" s="217">
        <f t="shared" si="537"/>
        <v>0.86539087018544958</v>
      </c>
      <c r="CU187" s="217">
        <f t="shared" si="538"/>
        <v>170</v>
      </c>
      <c r="CV187" s="217"/>
      <c r="CW187" s="172">
        <f t="shared" si="539"/>
        <v>469.54212155255078</v>
      </c>
      <c r="CX187" s="536">
        <f t="shared" si="540"/>
        <v>170</v>
      </c>
      <c r="CY187" s="217">
        <f t="shared" si="541"/>
        <v>35.879139784946233</v>
      </c>
      <c r="CZ187" s="217">
        <f t="shared" si="542"/>
        <v>1.993285543608124</v>
      </c>
      <c r="DA187" s="217">
        <f t="shared" si="543"/>
        <v>2.1043483744836498</v>
      </c>
      <c r="DB187" s="197">
        <f t="shared" si="544"/>
        <v>350</v>
      </c>
      <c r="DC187" s="443">
        <f t="shared" si="545"/>
        <v>244.04327472613511</v>
      </c>
      <c r="DE187" s="217">
        <f t="shared" si="546"/>
        <v>25.017322192785819</v>
      </c>
      <c r="DF187" s="173">
        <f t="shared" si="547"/>
        <v>1.467291624210312</v>
      </c>
      <c r="DG187" s="173">
        <f t="shared" si="548"/>
        <v>0.32119243899439714</v>
      </c>
      <c r="DH187" s="173"/>
      <c r="DI187" s="173">
        <f t="shared" si="549"/>
        <v>0.78201368523949166</v>
      </c>
      <c r="DJ187" s="545">
        <f t="shared" si="550"/>
        <v>1772.3474999999999</v>
      </c>
      <c r="DK187" s="528">
        <f t="shared" si="551"/>
        <v>9.1234929944607357E-2</v>
      </c>
      <c r="DM187" s="173">
        <f t="shared" si="552"/>
        <v>30.003999733368882</v>
      </c>
      <c r="DN187" s="173">
        <f t="shared" si="553"/>
        <v>35.879139784946233</v>
      </c>
      <c r="DO187" s="173">
        <f t="shared" si="554"/>
        <v>17.900597371565105</v>
      </c>
      <c r="DQ187" s="545">
        <f t="shared" si="555"/>
        <v>461.99999999999994</v>
      </c>
      <c r="DR187" s="460">
        <f t="shared" si="556"/>
        <v>244.04327472613511</v>
      </c>
      <c r="DT187">
        <f t="shared" si="591"/>
        <v>461.99999999999994</v>
      </c>
      <c r="DU187">
        <f t="shared" si="592"/>
        <v>244.04327472613511</v>
      </c>
      <c r="DW187" s="5">
        <f t="shared" si="557"/>
        <v>4.0976339180917734</v>
      </c>
      <c r="DX187" s="5">
        <f t="shared" si="558"/>
        <v>1.993285543608124</v>
      </c>
      <c r="DY187" s="5">
        <f t="shared" si="559"/>
        <v>2.1043483744836493</v>
      </c>
      <c r="DZ187" s="5"/>
      <c r="EA187" s="173">
        <f t="shared" si="560"/>
        <v>0.48644793152639093</v>
      </c>
      <c r="EB187" s="173">
        <f t="shared" si="561"/>
        <v>78.539999999999992</v>
      </c>
      <c r="EC187" s="173">
        <f t="shared" si="562"/>
        <v>0.46064516129032246</v>
      </c>
      <c r="ED187" s="173">
        <f t="shared" si="563"/>
        <v>170.50000000000003</v>
      </c>
      <c r="EE187" s="460">
        <f t="shared" si="564"/>
        <v>0.54170465949820779</v>
      </c>
      <c r="EF187" s="5">
        <f t="shared" si="565"/>
        <v>29.382314903457036</v>
      </c>
      <c r="EH187" s="173">
        <f t="shared" si="566"/>
        <v>14.447728614790726</v>
      </c>
      <c r="EI187" s="173">
        <f t="shared" si="567"/>
        <v>0.74223877858800902</v>
      </c>
      <c r="EK187" s="528">
        <f t="shared" si="568"/>
        <v>8.349474485065711</v>
      </c>
      <c r="EL187" s="528">
        <f t="shared" si="569"/>
        <v>4.2198750000000009</v>
      </c>
      <c r="EM187" s="528">
        <f t="shared" si="570"/>
        <v>4.8808654945227015E-2</v>
      </c>
      <c r="EN187" s="528">
        <f t="shared" si="571"/>
        <v>1.4990388655462188E-2</v>
      </c>
      <c r="EO187">
        <f t="shared" si="572"/>
        <v>4.0499999999999998E-3</v>
      </c>
      <c r="EP187" s="460">
        <f t="shared" si="573"/>
        <v>52.858654945227016</v>
      </c>
      <c r="EQ187" s="460"/>
      <c r="ER187" s="460">
        <f t="shared" si="593"/>
        <v>12637.198528666398</v>
      </c>
      <c r="ES187" s="528">
        <f t="shared" si="574"/>
        <v>0.32339999999999997</v>
      </c>
      <c r="EV187" s="460">
        <f t="shared" si="494"/>
        <v>323.39999999999998</v>
      </c>
      <c r="EW187" s="528">
        <f t="shared" si="575"/>
        <v>6.2621058637992828</v>
      </c>
      <c r="EX187" s="528">
        <f t="shared" si="576"/>
        <v>1.6527552133194581E-2</v>
      </c>
      <c r="EY187" s="528">
        <f t="shared" si="577"/>
        <v>358.70891443764424</v>
      </c>
      <c r="EZ187" s="528"/>
      <c r="FA187" s="528">
        <f t="shared" si="578"/>
        <v>7.8540000000000019</v>
      </c>
      <c r="FB187" s="460">
        <f t="shared" si="579"/>
        <v>372841.54785357666</v>
      </c>
      <c r="FC187" s="173">
        <f t="shared" si="580"/>
        <v>385.80214638224311</v>
      </c>
      <c r="FD187" s="5">
        <f t="shared" si="581"/>
        <v>78.539999999999992</v>
      </c>
      <c r="FE187" s="173">
        <f t="shared" si="582"/>
        <v>0.16914251831740132</v>
      </c>
      <c r="FF187" s="5">
        <f t="shared" si="583"/>
        <v>16.914251831740131</v>
      </c>
      <c r="FI187" s="562">
        <f t="shared" si="584"/>
        <v>-50</v>
      </c>
      <c r="FJ187">
        <f t="shared" si="585"/>
        <v>-50</v>
      </c>
      <c r="FL187">
        <f t="shared" si="586"/>
        <v>0.51355206847360901</v>
      </c>
    </row>
    <row r="188" spans="5:168">
      <c r="E188" s="170">
        <v>78</v>
      </c>
      <c r="F188" s="217">
        <f t="shared" si="587"/>
        <v>0.46799999999999997</v>
      </c>
      <c r="G188" s="217"/>
      <c r="H188" s="217">
        <f t="shared" si="495"/>
        <v>79.56</v>
      </c>
      <c r="I188" s="541">
        <f t="shared" si="496"/>
        <v>7.6935359652118658</v>
      </c>
      <c r="J188" s="172">
        <f t="shared" si="497"/>
        <v>8.5263997828944156</v>
      </c>
      <c r="K188" s="172">
        <f t="shared" si="498"/>
        <v>16.21993574810628</v>
      </c>
      <c r="L188" s="443"/>
      <c r="M188" s="217">
        <f t="shared" si="499"/>
        <v>0.52567311867221667</v>
      </c>
      <c r="N188" s="172">
        <f t="shared" si="500"/>
        <v>135.90145844366091</v>
      </c>
      <c r="O188" s="172">
        <f t="shared" si="438"/>
        <v>79.56</v>
      </c>
      <c r="P188" s="217">
        <f t="shared" si="501"/>
        <v>0.79942034378624072</v>
      </c>
      <c r="Q188" s="217">
        <f t="shared" si="502"/>
        <v>170</v>
      </c>
      <c r="R188" s="217"/>
      <c r="S188" s="172">
        <f t="shared" si="503"/>
        <v>394.29680110124332</v>
      </c>
      <c r="T188" s="536">
        <f t="shared" si="504"/>
        <v>170</v>
      </c>
      <c r="U188" s="217">
        <f t="shared" si="505"/>
        <v>39.466453909584679</v>
      </c>
      <c r="V188" s="217">
        <f t="shared" si="506"/>
        <v>2.5649099509017401</v>
      </c>
      <c r="W188" s="217">
        <f t="shared" si="507"/>
        <v>2.3143680166605551</v>
      </c>
      <c r="X188" s="197">
        <f t="shared" si="508"/>
        <v>350</v>
      </c>
      <c r="Y188" s="443">
        <f t="shared" si="509"/>
        <v>196.87837649096633</v>
      </c>
      <c r="AA188" s="217">
        <f t="shared" si="510"/>
        <v>23.110242465006269</v>
      </c>
      <c r="AB188" s="173">
        <f t="shared" si="511"/>
        <v>1.35521691765907</v>
      </c>
      <c r="AC188" s="173">
        <f t="shared" si="512"/>
        <v>0.27404467614807104</v>
      </c>
      <c r="AD188" s="173"/>
      <c r="AE188" s="173">
        <f t="shared" si="513"/>
        <v>0.78188530170040493</v>
      </c>
      <c r="AF188" s="545">
        <f t="shared" si="514"/>
        <v>1795.6597942775636</v>
      </c>
      <c r="AG188" s="528">
        <f t="shared" si="515"/>
        <v>9.1219951865047236E-2</v>
      </c>
      <c r="AI188" s="173">
        <f t="shared" si="516"/>
        <v>30.200681537795372</v>
      </c>
      <c r="AJ188" s="173">
        <f t="shared" si="517"/>
        <v>39.466453909584679</v>
      </c>
      <c r="AK188" s="173">
        <f t="shared" si="518"/>
        <v>20.557867093519516</v>
      </c>
      <c r="AM188" s="545">
        <f t="shared" si="519"/>
        <v>468</v>
      </c>
      <c r="AN188" s="460">
        <f t="shared" si="520"/>
        <v>196.87837649096633</v>
      </c>
      <c r="AP188">
        <f t="shared" si="521"/>
        <v>468</v>
      </c>
      <c r="AQ188">
        <f t="shared" si="522"/>
        <v>196.87837649096633</v>
      </c>
      <c r="AS188" s="5">
        <f t="shared" si="439"/>
        <v>5.0792779675622963</v>
      </c>
      <c r="AT188" s="5">
        <f t="shared" si="523"/>
        <v>2.5649099509017401</v>
      </c>
      <c r="AU188" s="5">
        <f t="shared" si="478"/>
        <v>2.5143680166605562</v>
      </c>
      <c r="AV188" s="5"/>
      <c r="AW188" s="173">
        <f t="shared" si="479"/>
        <v>0.50497530697905868</v>
      </c>
      <c r="AX188" s="173">
        <f t="shared" si="435"/>
        <v>76.664488247377463</v>
      </c>
      <c r="AY188" s="173">
        <f t="shared" si="436"/>
        <v>0.48842173078043216</v>
      </c>
      <c r="AZ188" s="173">
        <f t="shared" si="440"/>
        <v>156.96371274242432</v>
      </c>
      <c r="BA188" s="460">
        <f t="shared" si="594"/>
        <v>0.70610462177765543</v>
      </c>
      <c r="BB188" s="5">
        <f t="shared" si="595"/>
        <v>41.602325965081533</v>
      </c>
      <c r="BD188" s="173">
        <f t="shared" si="441"/>
        <v>16.192076613228171</v>
      </c>
      <c r="BE188" s="173">
        <f t="shared" si="437"/>
        <v>0.80158746094412558</v>
      </c>
      <c r="BG188" s="528">
        <f t="shared" si="480"/>
        <v>10.487333801946027</v>
      </c>
      <c r="BH188" s="528">
        <f t="shared" si="524"/>
        <v>2.8356836130867311</v>
      </c>
      <c r="BI188" s="528">
        <f t="shared" si="525"/>
        <v>6.0587634812230874E-2</v>
      </c>
      <c r="BJ188" s="528">
        <f t="shared" si="481"/>
        <v>1.0359201341326054E-2</v>
      </c>
      <c r="BK188">
        <f t="shared" si="482"/>
        <v>3.4620911843453394E-3</v>
      </c>
      <c r="BL188" s="460">
        <f t="shared" si="588"/>
        <v>64.049725996576214</v>
      </c>
      <c r="BM188" s="528">
        <f t="shared" si="526"/>
        <v>-10.835942861946215</v>
      </c>
      <c r="BN188" s="460">
        <f t="shared" si="527"/>
        <v>-10835.942861946214</v>
      </c>
      <c r="BO188" s="528">
        <f t="shared" si="483"/>
        <v>0.32759999999999995</v>
      </c>
      <c r="BR188" s="460">
        <f t="shared" si="484"/>
        <v>327.59999999999997</v>
      </c>
      <c r="BS188" s="528">
        <f t="shared" si="485"/>
        <v>7.8655003514595201</v>
      </c>
      <c r="BT188" s="528">
        <f t="shared" si="486"/>
        <v>1.9276273726285504E-2</v>
      </c>
      <c r="BU188" s="528">
        <f t="shared" si="487"/>
        <v>266.09414521592078</v>
      </c>
      <c r="BV188" s="528"/>
      <c r="BW188" s="528">
        <f t="shared" si="488"/>
        <v>7.6664488247377474</v>
      </c>
      <c r="BX188" s="460">
        <f t="shared" si="489"/>
        <v>281645.3706658443</v>
      </c>
      <c r="BY188" s="173">
        <f t="shared" si="490"/>
        <v>295.37039700821498</v>
      </c>
      <c r="BZ188" s="5">
        <f t="shared" si="491"/>
        <v>79.56</v>
      </c>
      <c r="CA188" s="173">
        <f t="shared" si="492"/>
        <v>0.21219938589896936</v>
      </c>
      <c r="CB188" s="5">
        <f t="shared" si="493"/>
        <v>21.219938589896937</v>
      </c>
      <c r="CE188" s="562">
        <f t="shared" si="528"/>
        <v>-50</v>
      </c>
      <c r="CF188">
        <f t="shared" si="529"/>
        <v>-50</v>
      </c>
      <c r="CG188" s="173">
        <f t="shared" si="530"/>
        <v>0.50150634273392158</v>
      </c>
      <c r="CI188" s="170">
        <v>78</v>
      </c>
      <c r="CJ188" s="217">
        <f t="shared" si="589"/>
        <v>0.46799999999999997</v>
      </c>
      <c r="CK188" s="217"/>
      <c r="CL188" s="217">
        <f t="shared" si="531"/>
        <v>79.56</v>
      </c>
      <c r="CM188" s="541">
        <f t="shared" si="532"/>
        <v>9</v>
      </c>
      <c r="CN188" s="443">
        <f t="shared" si="533"/>
        <v>8.5250000000000004</v>
      </c>
      <c r="CO188" s="443">
        <f t="shared" si="534"/>
        <v>17.524999999999999</v>
      </c>
      <c r="CP188" s="443"/>
      <c r="CQ188" s="217">
        <f t="shared" si="535"/>
        <v>0.48644793152639093</v>
      </c>
      <c r="CR188" s="172">
        <f t="shared" si="590"/>
        <v>147.11644793152644</v>
      </c>
      <c r="CS188" s="172">
        <f t="shared" si="536"/>
        <v>79.56</v>
      </c>
      <c r="CT188" s="217">
        <f t="shared" si="537"/>
        <v>0.86539087018544958</v>
      </c>
      <c r="CU188" s="217">
        <f t="shared" si="538"/>
        <v>170</v>
      </c>
      <c r="CV188" s="217"/>
      <c r="CW188" s="172">
        <f t="shared" si="539"/>
        <v>461.22056411764601</v>
      </c>
      <c r="CX188" s="536">
        <f t="shared" si="540"/>
        <v>170</v>
      </c>
      <c r="CY188" s="217">
        <f t="shared" si="541"/>
        <v>36.345102639296186</v>
      </c>
      <c r="CZ188" s="217">
        <f t="shared" si="542"/>
        <v>2.0191723688497882</v>
      </c>
      <c r="DA188" s="217">
        <f t="shared" si="543"/>
        <v>2.1316775741522687</v>
      </c>
      <c r="DB188" s="197">
        <f t="shared" si="544"/>
        <v>350</v>
      </c>
      <c r="DC188" s="443">
        <f t="shared" si="545"/>
        <v>240.91451479374871</v>
      </c>
      <c r="DE188" s="217">
        <f t="shared" si="546"/>
        <v>25.017322192785819</v>
      </c>
      <c r="DF188" s="173">
        <f t="shared" si="547"/>
        <v>1.467291624210312</v>
      </c>
      <c r="DG188" s="173">
        <f t="shared" si="548"/>
        <v>0.32119243899439714</v>
      </c>
      <c r="DH188" s="173"/>
      <c r="DI188" s="173">
        <f t="shared" si="549"/>
        <v>0.78201368523949166</v>
      </c>
      <c r="DJ188" s="545">
        <f t="shared" si="550"/>
        <v>1795.3649999999998</v>
      </c>
      <c r="DK188" s="528">
        <f t="shared" si="551"/>
        <v>9.1234929944607357E-2</v>
      </c>
      <c r="DM188" s="173">
        <f t="shared" si="552"/>
        <v>30.198202406292804</v>
      </c>
      <c r="DN188" s="173">
        <f t="shared" si="553"/>
        <v>36.345102639296186</v>
      </c>
      <c r="DO188" s="173">
        <f t="shared" si="554"/>
        <v>18.245755041453961</v>
      </c>
      <c r="DQ188" s="545">
        <f t="shared" si="555"/>
        <v>468</v>
      </c>
      <c r="DR188" s="460">
        <f t="shared" si="556"/>
        <v>240.91451479374871</v>
      </c>
      <c r="DT188">
        <f t="shared" si="591"/>
        <v>468</v>
      </c>
      <c r="DU188">
        <f t="shared" si="592"/>
        <v>240.91451479374871</v>
      </c>
      <c r="DW188" s="5">
        <f t="shared" si="557"/>
        <v>4.1508499430020569</v>
      </c>
      <c r="DX188" s="5">
        <f t="shared" si="558"/>
        <v>2.0191723688497882</v>
      </c>
      <c r="DY188" s="5">
        <f t="shared" si="559"/>
        <v>2.1316775741522687</v>
      </c>
      <c r="DZ188" s="5"/>
      <c r="EA188" s="173">
        <f t="shared" si="560"/>
        <v>0.48644793152639093</v>
      </c>
      <c r="EB188" s="173">
        <f t="shared" si="561"/>
        <v>79.559999999999988</v>
      </c>
      <c r="EC188" s="173">
        <f t="shared" si="562"/>
        <v>0.46662756598240457</v>
      </c>
      <c r="ED188" s="173">
        <f t="shared" si="563"/>
        <v>170.50000000000003</v>
      </c>
      <c r="EE188" s="460">
        <f t="shared" si="564"/>
        <v>0.55586627565982394</v>
      </c>
      <c r="EF188" s="5">
        <f t="shared" si="565"/>
        <v>30.150447608809685</v>
      </c>
      <c r="EH188" s="173">
        <f t="shared" si="566"/>
        <v>14.635361453943853</v>
      </c>
      <c r="EI188" s="173">
        <f t="shared" si="567"/>
        <v>0.75187824324499619</v>
      </c>
      <c r="EK188" s="528">
        <f t="shared" si="568"/>
        <v>8.5677521955034202</v>
      </c>
      <c r="EL188" s="528">
        <f t="shared" si="569"/>
        <v>4.219875</v>
      </c>
      <c r="EM188" s="528">
        <f t="shared" si="570"/>
        <v>4.8182902958749739E-2</v>
      </c>
      <c r="EN188" s="528">
        <f t="shared" si="571"/>
        <v>1.4798204185520364E-2</v>
      </c>
      <c r="EO188">
        <f t="shared" si="572"/>
        <v>4.0499999999999998E-3</v>
      </c>
      <c r="EP188" s="460">
        <f t="shared" si="573"/>
        <v>52.23290295874974</v>
      </c>
      <c r="EQ188" s="460"/>
      <c r="ER188" s="460">
        <f t="shared" si="593"/>
        <v>12854.658302647691</v>
      </c>
      <c r="ES188" s="528">
        <f t="shared" si="574"/>
        <v>0.32759999999999995</v>
      </c>
      <c r="EV188" s="460">
        <f t="shared" si="494"/>
        <v>327.59999999999997</v>
      </c>
      <c r="EW188" s="528">
        <f t="shared" si="575"/>
        <v>6.4258141466275651</v>
      </c>
      <c r="EX188" s="528">
        <f t="shared" si="576"/>
        <v>1.6959626779955449E-2</v>
      </c>
      <c r="EY188" s="528">
        <f t="shared" si="577"/>
        <v>358.70891443764424</v>
      </c>
      <c r="EZ188" s="528"/>
      <c r="FA188" s="528">
        <f t="shared" si="578"/>
        <v>7.9560000000000013</v>
      </c>
      <c r="FB188" s="460">
        <f t="shared" si="579"/>
        <v>373107.68821105175</v>
      </c>
      <c r="FC188" s="173">
        <f t="shared" si="580"/>
        <v>386.28994651369948</v>
      </c>
      <c r="FD188" s="5">
        <f t="shared" si="581"/>
        <v>79.56</v>
      </c>
      <c r="FE188" s="173">
        <f t="shared" si="582"/>
        <v>0.17078460692204961</v>
      </c>
      <c r="FF188" s="5">
        <f t="shared" si="583"/>
        <v>17.07846069220496</v>
      </c>
      <c r="FI188" s="562">
        <f t="shared" si="584"/>
        <v>-50</v>
      </c>
      <c r="FJ188">
        <f t="shared" si="585"/>
        <v>-50</v>
      </c>
      <c r="FL188">
        <f t="shared" si="586"/>
        <v>0.51355206847360901</v>
      </c>
    </row>
    <row r="189" spans="5:168">
      <c r="E189" s="170">
        <v>79</v>
      </c>
      <c r="F189" s="217">
        <f t="shared" si="587"/>
        <v>0.47399999999999998</v>
      </c>
      <c r="G189" s="217"/>
      <c r="H189" s="217">
        <f t="shared" si="495"/>
        <v>80.58</v>
      </c>
      <c r="I189" s="541">
        <f t="shared" si="496"/>
        <v>7.6771886126983295</v>
      </c>
      <c r="J189" s="172">
        <f t="shared" si="497"/>
        <v>8.5264172979149659</v>
      </c>
      <c r="K189" s="172">
        <f t="shared" si="498"/>
        <v>16.203605910613295</v>
      </c>
      <c r="L189" s="443"/>
      <c r="M189" s="217">
        <f t="shared" si="499"/>
        <v>0.52620396926361801</v>
      </c>
      <c r="N189" s="172">
        <f t="shared" si="500"/>
        <v>135.74964114885628</v>
      </c>
      <c r="O189" s="172">
        <f t="shared" si="438"/>
        <v>80.58</v>
      </c>
      <c r="P189" s="217">
        <f t="shared" si="501"/>
        <v>0.79852730087562518</v>
      </c>
      <c r="Q189" s="217">
        <f t="shared" si="502"/>
        <v>170</v>
      </c>
      <c r="R189" s="217"/>
      <c r="S189" s="172">
        <f t="shared" si="503"/>
        <v>386.54126518676378</v>
      </c>
      <c r="T189" s="536">
        <f t="shared" si="504"/>
        <v>170</v>
      </c>
      <c r="U189" s="217">
        <f t="shared" si="505"/>
        <v>40.017220006111152</v>
      </c>
      <c r="V189" s="217">
        <f t="shared" si="506"/>
        <v>2.6062418174747792</v>
      </c>
      <c r="W189" s="217">
        <f t="shared" si="507"/>
        <v>2.3466608897911252</v>
      </c>
      <c r="X189" s="197">
        <f t="shared" si="508"/>
        <v>350</v>
      </c>
      <c r="Y189" s="443">
        <f t="shared" si="509"/>
        <v>194.06537573277669</v>
      </c>
      <c r="AA189" s="217">
        <f t="shared" si="510"/>
        <v>23.084425651132914</v>
      </c>
      <c r="AB189" s="173">
        <f t="shared" si="511"/>
        <v>1.3537002028259826</v>
      </c>
      <c r="AC189" s="173">
        <f t="shared" si="512"/>
        <v>0.27343217725302454</v>
      </c>
      <c r="AD189" s="173"/>
      <c r="AE189" s="173">
        <f t="shared" si="513"/>
        <v>0.78188369554665371</v>
      </c>
      <c r="AF189" s="545">
        <f t="shared" si="514"/>
        <v>1818.6848096452616</v>
      </c>
      <c r="AG189" s="528">
        <f t="shared" si="515"/>
        <v>9.1219764480442944E-2</v>
      </c>
      <c r="AI189" s="173">
        <f t="shared" si="516"/>
        <v>30.393690319676342</v>
      </c>
      <c r="AJ189" s="173">
        <f t="shared" si="517"/>
        <v>40.017220006111152</v>
      </c>
      <c r="AK189" s="173">
        <f t="shared" si="518"/>
        <v>20.965841979835417</v>
      </c>
      <c r="AM189" s="545">
        <f t="shared" si="519"/>
        <v>474</v>
      </c>
      <c r="AN189" s="460">
        <f t="shared" si="520"/>
        <v>194.06537573277669</v>
      </c>
      <c r="AP189">
        <f t="shared" si="521"/>
        <v>474</v>
      </c>
      <c r="AQ189">
        <f t="shared" si="522"/>
        <v>194.06537573277669</v>
      </c>
      <c r="AS189" s="5">
        <f t="shared" si="439"/>
        <v>5.1529027072659046</v>
      </c>
      <c r="AT189" s="5">
        <f t="shared" si="523"/>
        <v>2.6062418174747792</v>
      </c>
      <c r="AU189" s="5">
        <f t="shared" si="478"/>
        <v>2.5466608897911254</v>
      </c>
      <c r="AV189" s="5"/>
      <c r="AW189" s="173">
        <f t="shared" si="479"/>
        <v>0.50578129755871781</v>
      </c>
      <c r="AX189" s="173">
        <f t="shared" si="435"/>
        <v>77.693000818716357</v>
      </c>
      <c r="AY189" s="173">
        <f t="shared" si="436"/>
        <v>0.49443146366818935</v>
      </c>
      <c r="AZ189" s="173">
        <f t="shared" si="440"/>
        <v>157.13603710069665</v>
      </c>
      <c r="BA189" s="460">
        <f t="shared" si="594"/>
        <v>0.72668154204885016</v>
      </c>
      <c r="BB189" s="5">
        <f t="shared" si="595"/>
        <v>42.767725499919536</v>
      </c>
      <c r="BD189" s="173">
        <f t="shared" si="441"/>
        <v>16.431139041825059</v>
      </c>
      <c r="BE189" s="173">
        <f t="shared" si="437"/>
        <v>0.8121119105877278</v>
      </c>
      <c r="BG189" s="528">
        <f t="shared" si="480"/>
        <v>10.799293208471509</v>
      </c>
      <c r="BH189" s="528">
        <f t="shared" si="524"/>
        <v>2.8313213421083874</v>
      </c>
      <c r="BI189" s="528">
        <f t="shared" si="525"/>
        <v>5.9595059707787834E-2</v>
      </c>
      <c r="BJ189" s="528">
        <f t="shared" si="481"/>
        <v>1.0190638536071758E-2</v>
      </c>
      <c r="BK189">
        <f t="shared" si="482"/>
        <v>3.4547348757142482E-3</v>
      </c>
      <c r="BL189" s="460">
        <f t="shared" si="588"/>
        <v>63.049794583502084</v>
      </c>
      <c r="BM189" s="528">
        <f t="shared" si="526"/>
        <v>-10.573144374688159</v>
      </c>
      <c r="BN189" s="460">
        <f t="shared" si="527"/>
        <v>-10573.14437468816</v>
      </c>
      <c r="BO189" s="528">
        <f t="shared" si="483"/>
        <v>0.33179999999999998</v>
      </c>
      <c r="BR189" s="460">
        <f t="shared" si="484"/>
        <v>331.8</v>
      </c>
      <c r="BS189" s="528">
        <f t="shared" si="485"/>
        <v>8.0994699063536313</v>
      </c>
      <c r="BT189" s="528">
        <f t="shared" si="486"/>
        <v>1.9785772659553488E-2</v>
      </c>
      <c r="BU189" s="528">
        <f t="shared" si="487"/>
        <v>265.74030876636994</v>
      </c>
      <c r="BV189" s="528"/>
      <c r="BW189" s="528">
        <f t="shared" si="488"/>
        <v>7.769300081871636</v>
      </c>
      <c r="BX189" s="460">
        <f t="shared" si="489"/>
        <v>281628.86452725471</v>
      </c>
      <c r="BY189" s="173">
        <f t="shared" si="490"/>
        <v>295.66451951095422</v>
      </c>
      <c r="BZ189" s="5">
        <f t="shared" si="491"/>
        <v>80.58</v>
      </c>
      <c r="CA189" s="173">
        <f t="shared" si="492"/>
        <v>0.21416923256380865</v>
      </c>
      <c r="CB189" s="5">
        <f t="shared" si="493"/>
        <v>21.416923256380866</v>
      </c>
      <c r="CE189" s="562">
        <f t="shared" si="528"/>
        <v>-50</v>
      </c>
      <c r="CF189">
        <f t="shared" si="529"/>
        <v>-50</v>
      </c>
      <c r="CG189" s="173">
        <f t="shared" si="530"/>
        <v>0.50165882027493036</v>
      </c>
      <c r="CI189" s="170">
        <v>79</v>
      </c>
      <c r="CJ189" s="217">
        <f t="shared" si="589"/>
        <v>0.47399999999999998</v>
      </c>
      <c r="CK189" s="217"/>
      <c r="CL189" s="217">
        <f t="shared" si="531"/>
        <v>80.58</v>
      </c>
      <c r="CM189" s="541">
        <f t="shared" si="532"/>
        <v>9</v>
      </c>
      <c r="CN189" s="443">
        <f t="shared" si="533"/>
        <v>8.5250000000000004</v>
      </c>
      <c r="CO189" s="443">
        <f t="shared" si="534"/>
        <v>17.524999999999999</v>
      </c>
      <c r="CP189" s="443"/>
      <c r="CQ189" s="217">
        <f t="shared" si="535"/>
        <v>0.48644793152639093</v>
      </c>
      <c r="CR189" s="172">
        <f t="shared" si="590"/>
        <v>147.11644793152644</v>
      </c>
      <c r="CS189" s="172">
        <f t="shared" si="536"/>
        <v>80.58</v>
      </c>
      <c r="CT189" s="217">
        <f t="shared" si="537"/>
        <v>0.86539087018544958</v>
      </c>
      <c r="CU189" s="217">
        <f t="shared" si="538"/>
        <v>170</v>
      </c>
      <c r="CV189" s="217"/>
      <c r="CW189" s="172">
        <f t="shared" si="539"/>
        <v>453.10980081651758</v>
      </c>
      <c r="CX189" s="536">
        <f t="shared" si="540"/>
        <v>170</v>
      </c>
      <c r="CY189" s="217">
        <f t="shared" si="541"/>
        <v>36.811065493646133</v>
      </c>
      <c r="CZ189" s="217">
        <f t="shared" si="542"/>
        <v>2.0450591940914515</v>
      </c>
      <c r="DA189" s="217">
        <f t="shared" si="543"/>
        <v>2.1590067738208876</v>
      </c>
      <c r="DB189" s="197">
        <f t="shared" si="544"/>
        <v>350</v>
      </c>
      <c r="DC189" s="443">
        <f t="shared" si="545"/>
        <v>237.86496397357473</v>
      </c>
      <c r="DE189" s="217">
        <f t="shared" si="546"/>
        <v>25.017322192785819</v>
      </c>
      <c r="DF189" s="173">
        <f t="shared" si="547"/>
        <v>1.467291624210312</v>
      </c>
      <c r="DG189" s="173">
        <f t="shared" si="548"/>
        <v>0.32119243899439714</v>
      </c>
      <c r="DH189" s="173"/>
      <c r="DI189" s="173">
        <f t="shared" si="549"/>
        <v>0.78201368523949166</v>
      </c>
      <c r="DJ189" s="545">
        <f t="shared" si="550"/>
        <v>1818.3824999999997</v>
      </c>
      <c r="DK189" s="528">
        <f t="shared" si="551"/>
        <v>9.1234929944607357E-2</v>
      </c>
      <c r="DM189" s="173">
        <f t="shared" si="552"/>
        <v>30.391164129444878</v>
      </c>
      <c r="DN189" s="173">
        <f t="shared" si="553"/>
        <v>36.811065493646133</v>
      </c>
      <c r="DO189" s="173">
        <f t="shared" si="554"/>
        <v>18.590912711342813</v>
      </c>
      <c r="DQ189" s="545">
        <f t="shared" si="555"/>
        <v>474</v>
      </c>
      <c r="DR189" s="460">
        <f t="shared" si="556"/>
        <v>237.86496397357473</v>
      </c>
      <c r="DT189">
        <f t="shared" si="591"/>
        <v>474</v>
      </c>
      <c r="DU189">
        <f t="shared" si="592"/>
        <v>237.86496397357473</v>
      </c>
      <c r="DW189" s="5">
        <f t="shared" si="557"/>
        <v>4.2040659679123387</v>
      </c>
      <c r="DX189" s="5">
        <f t="shared" si="558"/>
        <v>2.0450591940914515</v>
      </c>
      <c r="DY189" s="5">
        <f t="shared" si="559"/>
        <v>2.1590067738208871</v>
      </c>
      <c r="DZ189" s="5"/>
      <c r="EA189" s="173">
        <f t="shared" si="560"/>
        <v>0.48644793152639088</v>
      </c>
      <c r="EB189" s="173">
        <f t="shared" si="561"/>
        <v>80.580000000000013</v>
      </c>
      <c r="EC189" s="173">
        <f t="shared" si="562"/>
        <v>0.47260997067448673</v>
      </c>
      <c r="ED189" s="173">
        <f t="shared" si="563"/>
        <v>170.50000000000006</v>
      </c>
      <c r="EE189" s="460">
        <f t="shared" si="564"/>
        <v>0.57021062235255759</v>
      </c>
      <c r="EF189" s="5">
        <f t="shared" si="565"/>
        <v>30.928491703908815</v>
      </c>
      <c r="EH189" s="173">
        <f t="shared" si="566"/>
        <v>14.822994293096977</v>
      </c>
      <c r="EI189" s="173">
        <f t="shared" si="567"/>
        <v>0.76151770790198325</v>
      </c>
      <c r="EK189" s="528">
        <f t="shared" si="568"/>
        <v>8.7888463925274216</v>
      </c>
      <c r="EL189" s="528">
        <f t="shared" si="569"/>
        <v>4.2198750000000009</v>
      </c>
      <c r="EM189" s="528">
        <f t="shared" si="570"/>
        <v>4.7572992794714948E-2</v>
      </c>
      <c r="EN189" s="528">
        <f t="shared" si="571"/>
        <v>1.4610885145197323E-2</v>
      </c>
      <c r="EO189">
        <f t="shared" si="572"/>
        <v>4.0499999999999998E-3</v>
      </c>
      <c r="EP189" s="460">
        <f t="shared" si="573"/>
        <v>51.622992794714946</v>
      </c>
      <c r="EQ189" s="460"/>
      <c r="ER189" s="460">
        <f t="shared" si="593"/>
        <v>13074.955270467335</v>
      </c>
      <c r="ES189" s="528">
        <f t="shared" si="574"/>
        <v>0.33179999999999998</v>
      </c>
      <c r="EV189" s="460">
        <f t="shared" si="494"/>
        <v>331.8</v>
      </c>
      <c r="EW189" s="528">
        <f t="shared" si="575"/>
        <v>6.5916347943955662</v>
      </c>
      <c r="EX189" s="528">
        <f t="shared" si="576"/>
        <v>1.7397276583448709E-2</v>
      </c>
      <c r="EY189" s="528">
        <f t="shared" si="577"/>
        <v>358.70891443764481</v>
      </c>
      <c r="EZ189" s="528"/>
      <c r="FA189" s="528">
        <f t="shared" si="578"/>
        <v>8.0580000000000016</v>
      </c>
      <c r="FB189" s="460">
        <f t="shared" si="579"/>
        <v>373375.94650862383</v>
      </c>
      <c r="FC189" s="173">
        <f t="shared" si="580"/>
        <v>386.78270177909116</v>
      </c>
      <c r="FD189" s="5">
        <f t="shared" si="581"/>
        <v>80.58</v>
      </c>
      <c r="FE189" s="173">
        <f t="shared" si="582"/>
        <v>0.1724142720273982</v>
      </c>
      <c r="FF189" s="5">
        <f t="shared" si="583"/>
        <v>17.241427202739821</v>
      </c>
      <c r="FI189" s="562">
        <f t="shared" si="584"/>
        <v>-50</v>
      </c>
      <c r="FJ189">
        <f t="shared" si="585"/>
        <v>-50</v>
      </c>
      <c r="FL189">
        <f t="shared" si="586"/>
        <v>0.51355206847360912</v>
      </c>
    </row>
    <row r="190" spans="5:168">
      <c r="E190" s="170">
        <v>80</v>
      </c>
      <c r="F190" s="217">
        <f t="shared" si="587"/>
        <v>0.48</v>
      </c>
      <c r="G190" s="217"/>
      <c r="H190" s="217">
        <f t="shared" si="495"/>
        <v>81.599999999999994</v>
      </c>
      <c r="I190" s="541">
        <f t="shared" si="496"/>
        <v>7.660841021881124</v>
      </c>
      <c r="J190" s="172">
        <f t="shared" si="497"/>
        <v>8.5264348131908427</v>
      </c>
      <c r="K190" s="172">
        <f t="shared" si="498"/>
        <v>16.187275835071965</v>
      </c>
      <c r="L190" s="443"/>
      <c r="M190" s="217">
        <f t="shared" si="499"/>
        <v>0.52673589866257198</v>
      </c>
      <c r="N190" s="172">
        <f t="shared" si="500"/>
        <v>135.59751413370137</v>
      </c>
      <c r="O190" s="172">
        <f t="shared" si="438"/>
        <v>81.599999999999994</v>
      </c>
      <c r="P190" s="217">
        <f t="shared" si="501"/>
        <v>0.79763243608059631</v>
      </c>
      <c r="Q190" s="217">
        <f t="shared" si="502"/>
        <v>170</v>
      </c>
      <c r="R190" s="217"/>
      <c r="S190" s="172">
        <f t="shared" si="503"/>
        <v>378.9879014334881</v>
      </c>
      <c r="T190" s="536">
        <f t="shared" si="504"/>
        <v>170</v>
      </c>
      <c r="U190" s="217">
        <f t="shared" si="505"/>
        <v>40.569314143501394</v>
      </c>
      <c r="V190" s="217">
        <f t="shared" si="506"/>
        <v>2.6478368385159081</v>
      </c>
      <c r="W190" s="217">
        <f t="shared" si="507"/>
        <v>2.3790315080306796</v>
      </c>
      <c r="X190" s="197">
        <f t="shared" si="508"/>
        <v>350</v>
      </c>
      <c r="Y190" s="443">
        <f t="shared" si="509"/>
        <v>191.3191482354255</v>
      </c>
      <c r="AA190" s="217">
        <f t="shared" si="510"/>
        <v>23.058556169254043</v>
      </c>
      <c r="AB190" s="173">
        <f t="shared" si="511"/>
        <v>1.3521804056709168</v>
      </c>
      <c r="AC190" s="173">
        <f t="shared" si="512"/>
        <v>0.27281911855736607</v>
      </c>
      <c r="AD190" s="173"/>
      <c r="AE190" s="173">
        <f t="shared" si="513"/>
        <v>0.7818820893760875</v>
      </c>
      <c r="AF190" s="545">
        <f t="shared" si="514"/>
        <v>1841.709919649222</v>
      </c>
      <c r="AG190" s="528">
        <f t="shared" si="515"/>
        <v>9.1219577093876875E-2</v>
      </c>
      <c r="AI190" s="173">
        <f t="shared" si="516"/>
        <v>30.585481935366857</v>
      </c>
      <c r="AJ190" s="173">
        <f t="shared" si="517"/>
        <v>40.569314143501394</v>
      </c>
      <c r="AK190" s="173">
        <f t="shared" si="518"/>
        <v>21.374800600124487</v>
      </c>
      <c r="AM190" s="545">
        <f t="shared" si="519"/>
        <v>480</v>
      </c>
      <c r="AN190" s="460">
        <f t="shared" si="520"/>
        <v>191.3191482354255</v>
      </c>
      <c r="AP190">
        <f t="shared" si="521"/>
        <v>480</v>
      </c>
      <c r="AQ190">
        <f t="shared" si="522"/>
        <v>191.3191482354255</v>
      </c>
      <c r="AS190" s="5">
        <f t="shared" si="439"/>
        <v>5.2268683465465875</v>
      </c>
      <c r="AT190" s="5">
        <f t="shared" si="523"/>
        <v>2.6478368385159081</v>
      </c>
      <c r="AU190" s="5">
        <f t="shared" si="478"/>
        <v>2.5790315080306794</v>
      </c>
      <c r="AV190" s="5"/>
      <c r="AW190" s="173">
        <f t="shared" si="479"/>
        <v>0.50658188861124542</v>
      </c>
      <c r="AX190" s="173">
        <f t="shared" si="435"/>
        <v>78.721575757763944</v>
      </c>
      <c r="AY190" s="173">
        <f t="shared" si="436"/>
        <v>0.50044085912558867</v>
      </c>
      <c r="AZ190" s="173">
        <f t="shared" si="440"/>
        <v>157.30445330805469</v>
      </c>
      <c r="BA190" s="460">
        <f t="shared" si="594"/>
        <v>0.74762451911037398</v>
      </c>
      <c r="BB190" s="5">
        <f t="shared" si="595"/>
        <v>43.953183824953477</v>
      </c>
      <c r="BD190" s="173">
        <f t="shared" si="441"/>
        <v>16.671008298937341</v>
      </c>
      <c r="BE190" s="173">
        <f t="shared" si="437"/>
        <v>0.82264902244942295</v>
      </c>
      <c r="BG190" s="528">
        <f t="shared" si="480"/>
        <v>11.116900708129508</v>
      </c>
      <c r="BH190" s="528">
        <f t="shared" si="524"/>
        <v>2.8269126532667923</v>
      </c>
      <c r="BI190" s="528">
        <f t="shared" si="525"/>
        <v>5.8626623162932136E-2</v>
      </c>
      <c r="BJ190" s="528">
        <f t="shared" si="481"/>
        <v>1.0026190888616034E-2</v>
      </c>
      <c r="BK190">
        <f t="shared" si="482"/>
        <v>3.4473784598465056E-3</v>
      </c>
      <c r="BL190" s="460">
        <f t="shared" si="588"/>
        <v>62.074001622778638</v>
      </c>
      <c r="BM190" s="528">
        <f t="shared" si="526"/>
        <v>-10.329995558750351</v>
      </c>
      <c r="BN190" s="460">
        <f t="shared" si="527"/>
        <v>-10329.995558750352</v>
      </c>
      <c r="BO190" s="528">
        <f t="shared" si="483"/>
        <v>0.33599999999999997</v>
      </c>
      <c r="BR190" s="460">
        <f t="shared" si="484"/>
        <v>335.99999999999994</v>
      </c>
      <c r="BS190" s="528">
        <f t="shared" si="485"/>
        <v>8.3376755310971316</v>
      </c>
      <c r="BT190" s="528">
        <f t="shared" si="486"/>
        <v>2.0302542424109733E-2</v>
      </c>
      <c r="BU190" s="528">
        <f t="shared" si="487"/>
        <v>265.37515770612885</v>
      </c>
      <c r="BV190" s="528"/>
      <c r="BW190" s="528">
        <f t="shared" si="488"/>
        <v>7.8721575757763951</v>
      </c>
      <c r="BX190" s="460">
        <f t="shared" si="489"/>
        <v>281605.29335542646</v>
      </c>
      <c r="BY190" s="173">
        <f t="shared" si="490"/>
        <v>295.95720690933416</v>
      </c>
      <c r="BZ190" s="5">
        <f t="shared" si="491"/>
        <v>81.599999999999994</v>
      </c>
      <c r="CA190" s="173">
        <f t="shared" si="492"/>
        <v>0.21612618831454397</v>
      </c>
      <c r="CB190" s="5">
        <f t="shared" si="493"/>
        <v>21.612618831454398</v>
      </c>
      <c r="CE190" s="562">
        <f t="shared" si="528"/>
        <v>-50</v>
      </c>
      <c r="CF190">
        <f t="shared" si="529"/>
        <v>-50</v>
      </c>
      <c r="CG190" s="173">
        <f t="shared" si="530"/>
        <v>0.50180748587741386</v>
      </c>
      <c r="CI190" s="170">
        <v>80</v>
      </c>
      <c r="CJ190" s="217">
        <f t="shared" si="589"/>
        <v>0.48</v>
      </c>
      <c r="CK190" s="217"/>
      <c r="CL190" s="217">
        <f t="shared" si="531"/>
        <v>81.599999999999994</v>
      </c>
      <c r="CM190" s="541">
        <f t="shared" si="532"/>
        <v>9</v>
      </c>
      <c r="CN190" s="443">
        <f t="shared" si="533"/>
        <v>8.5250000000000004</v>
      </c>
      <c r="CO190" s="443">
        <f t="shared" si="534"/>
        <v>17.524999999999999</v>
      </c>
      <c r="CP190" s="443"/>
      <c r="CQ190" s="217">
        <f t="shared" si="535"/>
        <v>0.48644793152639093</v>
      </c>
      <c r="CR190" s="172">
        <f t="shared" si="590"/>
        <v>147.11644793152644</v>
      </c>
      <c r="CS190" s="172">
        <f t="shared" si="536"/>
        <v>81.599999999999994</v>
      </c>
      <c r="CT190" s="217">
        <f t="shared" si="537"/>
        <v>0.86539087018544958</v>
      </c>
      <c r="CU190" s="217">
        <f t="shared" si="538"/>
        <v>170</v>
      </c>
      <c r="CV190" s="217"/>
      <c r="CW190" s="172">
        <f t="shared" si="539"/>
        <v>445.20192867521934</v>
      </c>
      <c r="CX190" s="536">
        <f t="shared" si="540"/>
        <v>170</v>
      </c>
      <c r="CY190" s="217">
        <f t="shared" si="541"/>
        <v>37.277028347996087</v>
      </c>
      <c r="CZ190" s="217">
        <f t="shared" si="542"/>
        <v>2.0709460193331157</v>
      </c>
      <c r="DA190" s="217">
        <f t="shared" si="543"/>
        <v>2.1863359734895065</v>
      </c>
      <c r="DB190" s="197">
        <f t="shared" si="544"/>
        <v>350</v>
      </c>
      <c r="DC190" s="443">
        <f t="shared" si="545"/>
        <v>234.89165192390499</v>
      </c>
      <c r="DE190" s="217">
        <f t="shared" si="546"/>
        <v>25.017322192785819</v>
      </c>
      <c r="DF190" s="173">
        <f t="shared" si="547"/>
        <v>1.467291624210312</v>
      </c>
      <c r="DG190" s="173">
        <f t="shared" si="548"/>
        <v>0.32119243899439714</v>
      </c>
      <c r="DH190" s="173"/>
      <c r="DI190" s="173">
        <f t="shared" si="549"/>
        <v>0.78201368523949166</v>
      </c>
      <c r="DJ190" s="545">
        <f t="shared" si="550"/>
        <v>1841.4</v>
      </c>
      <c r="DK190" s="528">
        <f t="shared" si="551"/>
        <v>9.1234929944607357E-2</v>
      </c>
      <c r="DM190" s="173">
        <f t="shared" si="552"/>
        <v>30.582908392013433</v>
      </c>
      <c r="DN190" s="173">
        <f t="shared" si="553"/>
        <v>37.277028347996087</v>
      </c>
      <c r="DO190" s="173">
        <f t="shared" si="554"/>
        <v>18.936070381231666</v>
      </c>
      <c r="DQ190" s="545">
        <f t="shared" si="555"/>
        <v>480</v>
      </c>
      <c r="DR190" s="460">
        <f t="shared" si="556"/>
        <v>234.89165192390499</v>
      </c>
      <c r="DT190">
        <f t="shared" si="591"/>
        <v>480</v>
      </c>
      <c r="DU190">
        <f t="shared" si="592"/>
        <v>234.89165192390499</v>
      </c>
      <c r="DW190" s="5">
        <f t="shared" si="557"/>
        <v>4.2572819928226222</v>
      </c>
      <c r="DX190" s="5">
        <f t="shared" si="558"/>
        <v>2.0709460193331157</v>
      </c>
      <c r="DY190" s="5">
        <f t="shared" si="559"/>
        <v>2.1863359734895065</v>
      </c>
      <c r="DZ190" s="5"/>
      <c r="EA190" s="173">
        <f t="shared" si="560"/>
        <v>0.48644793152639088</v>
      </c>
      <c r="EB190" s="173">
        <f t="shared" si="561"/>
        <v>81.599999999999994</v>
      </c>
      <c r="EC190" s="173">
        <f t="shared" si="562"/>
        <v>0.4785923753665689</v>
      </c>
      <c r="ED190" s="173">
        <f t="shared" si="563"/>
        <v>170.5</v>
      </c>
      <c r="EE190" s="460">
        <f t="shared" si="564"/>
        <v>0.58473769957640909</v>
      </c>
      <c r="EF190" s="5">
        <f t="shared" si="565"/>
        <v>31.716447188754437</v>
      </c>
      <c r="EH190" s="173">
        <f t="shared" si="566"/>
        <v>15.010627132250105</v>
      </c>
      <c r="EI190" s="173">
        <f t="shared" si="567"/>
        <v>0.77115717255897043</v>
      </c>
      <c r="EK190" s="528">
        <f t="shared" si="568"/>
        <v>9.0127570761377207</v>
      </c>
      <c r="EL190" s="528">
        <f t="shared" si="569"/>
        <v>4.2198749999999992</v>
      </c>
      <c r="EM190" s="528">
        <f t="shared" si="570"/>
        <v>4.697833038478099E-2</v>
      </c>
      <c r="EN190" s="528">
        <f t="shared" si="571"/>
        <v>1.4428249080882354E-2</v>
      </c>
      <c r="EO190">
        <f t="shared" si="572"/>
        <v>4.0499999999999998E-3</v>
      </c>
      <c r="EP190" s="460">
        <f t="shared" si="573"/>
        <v>51.028330384780986</v>
      </c>
      <c r="EQ190" s="460"/>
      <c r="ER190" s="460">
        <f t="shared" si="593"/>
        <v>13298.088655603382</v>
      </c>
      <c r="ES190" s="528">
        <f t="shared" si="574"/>
        <v>0.33599999999999997</v>
      </c>
      <c r="EV190" s="460">
        <f t="shared" si="494"/>
        <v>335.99999999999994</v>
      </c>
      <c r="EW190" s="528">
        <f t="shared" si="575"/>
        <v>6.7595678071032905</v>
      </c>
      <c r="EX190" s="528">
        <f t="shared" si="576"/>
        <v>1.7840501543674371E-2</v>
      </c>
      <c r="EY190" s="528">
        <f t="shared" si="577"/>
        <v>358.70891443764413</v>
      </c>
      <c r="EZ190" s="528"/>
      <c r="FA190" s="528">
        <f t="shared" si="578"/>
        <v>8.16</v>
      </c>
      <c r="FB190" s="460">
        <f t="shared" si="579"/>
        <v>373646.32274629112</v>
      </c>
      <c r="FC190" s="173">
        <f t="shared" si="580"/>
        <v>387.28041140189447</v>
      </c>
      <c r="FD190" s="5">
        <f t="shared" si="581"/>
        <v>81.599999999999994</v>
      </c>
      <c r="FE190" s="173">
        <f t="shared" si="582"/>
        <v>0.17403158250101788</v>
      </c>
      <c r="FF190" s="5">
        <f t="shared" si="583"/>
        <v>17.403158250101789</v>
      </c>
      <c r="FI190" s="562">
        <f t="shared" si="584"/>
        <v>-50</v>
      </c>
      <c r="FJ190">
        <f t="shared" si="585"/>
        <v>-50</v>
      </c>
      <c r="FL190">
        <f t="shared" si="586"/>
        <v>0.51355206847360912</v>
      </c>
    </row>
    <row r="191" spans="5:168">
      <c r="E191" s="170">
        <v>81</v>
      </c>
      <c r="F191" s="217">
        <f t="shared" si="587"/>
        <v>0.48599999999999999</v>
      </c>
      <c r="G191" s="217"/>
      <c r="H191" s="217">
        <f t="shared" si="495"/>
        <v>82.62</v>
      </c>
      <c r="I191" s="541">
        <f t="shared" si="496"/>
        <v>7.6444932017902714</v>
      </c>
      <c r="J191" s="172">
        <f t="shared" si="497"/>
        <v>8.5264523287123684</v>
      </c>
      <c r="K191" s="172">
        <f t="shared" si="498"/>
        <v>16.170945530502639</v>
      </c>
      <c r="L191" s="443"/>
      <c r="M191" s="217">
        <f t="shared" si="499"/>
        <v>0.52726890986643715</v>
      </c>
      <c r="N191" s="172">
        <f t="shared" si="500"/>
        <v>135.44507653749866</v>
      </c>
      <c r="O191" s="172">
        <f t="shared" si="438"/>
        <v>82.62</v>
      </c>
      <c r="P191" s="217">
        <f t="shared" si="501"/>
        <v>0.79673574433822747</v>
      </c>
      <c r="Q191" s="217">
        <f t="shared" si="502"/>
        <v>170</v>
      </c>
      <c r="R191" s="217"/>
      <c r="S191" s="172">
        <f t="shared" si="503"/>
        <v>371.62922440722747</v>
      </c>
      <c r="T191" s="536">
        <f t="shared" si="504"/>
        <v>170</v>
      </c>
      <c r="U191" s="217">
        <f t="shared" si="505"/>
        <v>41.122744845293603</v>
      </c>
      <c r="V191" s="217">
        <f t="shared" si="506"/>
        <v>2.6896972604843854</v>
      </c>
      <c r="W191" s="217">
        <f t="shared" si="507"/>
        <v>2.4114803707290413</v>
      </c>
      <c r="X191" s="197">
        <f t="shared" si="508"/>
        <v>350</v>
      </c>
      <c r="Y191" s="443">
        <f t="shared" si="509"/>
        <v>188.63733109262034</v>
      </c>
      <c r="AA191" s="217">
        <f t="shared" si="510"/>
        <v>23.032633872992669</v>
      </c>
      <c r="AB191" s="173">
        <f t="shared" si="511"/>
        <v>1.3506575176308391</v>
      </c>
      <c r="AC191" s="173">
        <f t="shared" si="512"/>
        <v>0.27220550079971728</v>
      </c>
      <c r="AD191" s="173"/>
      <c r="AE191" s="173">
        <f t="shared" si="513"/>
        <v>0.78188048318959413</v>
      </c>
      <c r="AF191" s="545">
        <f t="shared" si="514"/>
        <v>1864.7351242893949</v>
      </c>
      <c r="AG191" s="528">
        <f t="shared" si="515"/>
        <v>9.1219389705452666E-2</v>
      </c>
      <c r="AI191" s="173">
        <f t="shared" si="516"/>
        <v>30.776079140431541</v>
      </c>
      <c r="AJ191" s="173">
        <f t="shared" si="517"/>
        <v>41.122744845293603</v>
      </c>
      <c r="AK191" s="173">
        <f t="shared" si="518"/>
        <v>21.784749268118716</v>
      </c>
      <c r="AM191" s="545">
        <f t="shared" si="519"/>
        <v>486</v>
      </c>
      <c r="AN191" s="460">
        <f t="shared" si="520"/>
        <v>188.63733109262034</v>
      </c>
      <c r="AP191">
        <f t="shared" si="521"/>
        <v>486</v>
      </c>
      <c r="AQ191">
        <f t="shared" si="522"/>
        <v>188.63733109262034</v>
      </c>
      <c r="AS191" s="5">
        <f t="shared" si="439"/>
        <v>5.3011776312134264</v>
      </c>
      <c r="AT191" s="5">
        <f t="shared" si="523"/>
        <v>2.6896972604843854</v>
      </c>
      <c r="AU191" s="5">
        <f t="shared" si="478"/>
        <v>2.611480370729041</v>
      </c>
      <c r="AV191" s="5"/>
      <c r="AW191" s="173">
        <f t="shared" si="479"/>
        <v>0.50737731266490693</v>
      </c>
      <c r="AX191" s="173">
        <f t="shared" si="435"/>
        <v>79.750211238631778</v>
      </c>
      <c r="AY191" s="173">
        <f t="shared" si="436"/>
        <v>0.50644992690709711</v>
      </c>
      <c r="AZ191" s="173">
        <f t="shared" si="440"/>
        <v>157.46909418206138</v>
      </c>
      <c r="BA191" s="460">
        <f t="shared" si="594"/>
        <v>0.76893698152671253</v>
      </c>
      <c r="BB191" s="5">
        <f t="shared" si="595"/>
        <v>45.158888111322639</v>
      </c>
      <c r="BD191" s="173">
        <f t="shared" si="441"/>
        <v>16.911689239166261</v>
      </c>
      <c r="BE191" s="173">
        <f t="shared" si="437"/>
        <v>0.83319887824212679</v>
      </c>
      <c r="BG191" s="528">
        <f t="shared" si="480"/>
        <v>11.440209316885275</v>
      </c>
      <c r="BH191" s="528">
        <f t="shared" si="524"/>
        <v>2.8224591868901734</v>
      </c>
      <c r="BI191" s="528">
        <f t="shared" si="525"/>
        <v>5.7681471805655873E-2</v>
      </c>
      <c r="BJ191" s="528">
        <f t="shared" si="481"/>
        <v>9.86571277335699E-3</v>
      </c>
      <c r="BK191">
        <f t="shared" si="482"/>
        <v>3.4400219408056219E-3</v>
      </c>
      <c r="BL191" s="460">
        <f t="shared" si="588"/>
        <v>61.121493746461496</v>
      </c>
      <c r="BM191" s="528">
        <f t="shared" si="526"/>
        <v>-10.104443050669742</v>
      </c>
      <c r="BN191" s="460">
        <f t="shared" si="527"/>
        <v>-10104.443050669743</v>
      </c>
      <c r="BO191" s="528">
        <f t="shared" si="483"/>
        <v>0.34019999999999995</v>
      </c>
      <c r="BR191" s="460">
        <f t="shared" si="484"/>
        <v>340.19999999999993</v>
      </c>
      <c r="BS191" s="528">
        <f t="shared" si="485"/>
        <v>8.5801569876639565</v>
      </c>
      <c r="BT191" s="528">
        <f t="shared" si="486"/>
        <v>2.0826611121118152E-2</v>
      </c>
      <c r="BU191" s="528">
        <f t="shared" si="487"/>
        <v>264.99907020182934</v>
      </c>
      <c r="BV191" s="528"/>
      <c r="BW191" s="528">
        <f t="shared" si="488"/>
        <v>7.9750211238631792</v>
      </c>
      <c r="BX191" s="460">
        <f t="shared" si="489"/>
        <v>281575.07492447761</v>
      </c>
      <c r="BY191" s="173">
        <f t="shared" si="490"/>
        <v>296.24893063477288</v>
      </c>
      <c r="BZ191" s="5">
        <f t="shared" si="491"/>
        <v>82.62</v>
      </c>
      <c r="CA191" s="173">
        <f t="shared" si="492"/>
        <v>0.21807013803315831</v>
      </c>
      <c r="CB191" s="5">
        <f t="shared" si="493"/>
        <v>21.807013803315829</v>
      </c>
      <c r="CE191" s="562">
        <f t="shared" si="528"/>
        <v>-50</v>
      </c>
      <c r="CF191">
        <f t="shared" si="529"/>
        <v>-50</v>
      </c>
      <c r="CG191" s="173">
        <f t="shared" si="530"/>
        <v>0.50195248072428056</v>
      </c>
      <c r="CI191" s="170">
        <v>81</v>
      </c>
      <c r="CJ191" s="217">
        <f t="shared" si="589"/>
        <v>0.48599999999999999</v>
      </c>
      <c r="CK191" s="217"/>
      <c r="CL191" s="217">
        <f t="shared" si="531"/>
        <v>82.62</v>
      </c>
      <c r="CM191" s="541">
        <f t="shared" si="532"/>
        <v>9</v>
      </c>
      <c r="CN191" s="443">
        <f t="shared" si="533"/>
        <v>8.5250000000000004</v>
      </c>
      <c r="CO191" s="443">
        <f t="shared" si="534"/>
        <v>17.524999999999999</v>
      </c>
      <c r="CP191" s="443"/>
      <c r="CQ191" s="217">
        <f t="shared" si="535"/>
        <v>0.48644793152639093</v>
      </c>
      <c r="CR191" s="172">
        <f t="shared" si="590"/>
        <v>147.11644793152644</v>
      </c>
      <c r="CS191" s="172">
        <f t="shared" si="536"/>
        <v>82.62</v>
      </c>
      <c r="CT191" s="217">
        <f t="shared" si="537"/>
        <v>0.86539087018544958</v>
      </c>
      <c r="CU191" s="217">
        <f t="shared" si="538"/>
        <v>170</v>
      </c>
      <c r="CV191" s="217"/>
      <c r="CW191" s="172">
        <f t="shared" si="539"/>
        <v>437.4894350258171</v>
      </c>
      <c r="CX191" s="536">
        <f t="shared" si="540"/>
        <v>170</v>
      </c>
      <c r="CY191" s="217">
        <f t="shared" si="541"/>
        <v>37.74299120234604</v>
      </c>
      <c r="CZ191" s="217">
        <f t="shared" si="542"/>
        <v>2.0968328445747799</v>
      </c>
      <c r="DA191" s="217">
        <f t="shared" si="543"/>
        <v>2.2136651731581254</v>
      </c>
      <c r="DB191" s="197">
        <f t="shared" si="544"/>
        <v>350</v>
      </c>
      <c r="DC191" s="443">
        <f t="shared" si="545"/>
        <v>231.9917549865728</v>
      </c>
      <c r="DE191" s="217">
        <f t="shared" si="546"/>
        <v>25.017322192785819</v>
      </c>
      <c r="DF191" s="173">
        <f t="shared" si="547"/>
        <v>1.467291624210312</v>
      </c>
      <c r="DG191" s="173">
        <f t="shared" si="548"/>
        <v>0.32119243899439714</v>
      </c>
      <c r="DH191" s="173"/>
      <c r="DI191" s="173">
        <f t="shared" si="549"/>
        <v>0.78201368523949166</v>
      </c>
      <c r="DJ191" s="545">
        <f t="shared" si="550"/>
        <v>1864.4175</v>
      </c>
      <c r="DK191" s="528">
        <f t="shared" si="551"/>
        <v>9.1234929944607357E-2</v>
      </c>
      <c r="DM191" s="173">
        <f t="shared" si="552"/>
        <v>30.773457951385872</v>
      </c>
      <c r="DN191" s="173">
        <f t="shared" si="553"/>
        <v>37.74299120234604</v>
      </c>
      <c r="DO191" s="173">
        <f t="shared" si="554"/>
        <v>19.281228051120522</v>
      </c>
      <c r="DQ191" s="545">
        <f t="shared" si="555"/>
        <v>486</v>
      </c>
      <c r="DR191" s="460">
        <f t="shared" si="556"/>
        <v>231.9917549865728</v>
      </c>
      <c r="DT191">
        <f t="shared" si="591"/>
        <v>486</v>
      </c>
      <c r="DU191">
        <f t="shared" si="592"/>
        <v>231.9917549865728</v>
      </c>
      <c r="DW191" s="5">
        <f t="shared" si="557"/>
        <v>4.3104980177329058</v>
      </c>
      <c r="DX191" s="5">
        <f t="shared" si="558"/>
        <v>2.0968328445747799</v>
      </c>
      <c r="DY191" s="5">
        <f t="shared" si="559"/>
        <v>2.2136651731581258</v>
      </c>
      <c r="DZ191" s="5"/>
      <c r="EA191" s="173">
        <f t="shared" si="560"/>
        <v>0.48644793152639082</v>
      </c>
      <c r="EB191" s="173">
        <f t="shared" si="561"/>
        <v>82.61999999999999</v>
      </c>
      <c r="EC191" s="173">
        <f t="shared" si="562"/>
        <v>0.48457478005865112</v>
      </c>
      <c r="ED191" s="173">
        <f t="shared" si="563"/>
        <v>170.49999999999994</v>
      </c>
      <c r="EE191" s="460">
        <f t="shared" si="564"/>
        <v>0.59944750733137819</v>
      </c>
      <c r="EF191" s="5">
        <f t="shared" si="565"/>
        <v>32.514314063346553</v>
      </c>
      <c r="EH191" s="173">
        <f t="shared" si="566"/>
        <v>15.19825997140323</v>
      </c>
      <c r="EI191" s="173">
        <f t="shared" si="567"/>
        <v>0.78079663721595771</v>
      </c>
      <c r="EK191" s="528">
        <f t="shared" si="568"/>
        <v>9.2394842463343085</v>
      </c>
      <c r="EL191" s="528">
        <f t="shared" si="569"/>
        <v>4.219875</v>
      </c>
      <c r="EM191" s="528">
        <f t="shared" si="570"/>
        <v>4.6398350997314555E-2</v>
      </c>
      <c r="EN191" s="528">
        <f t="shared" si="571"/>
        <v>1.4250122549019606E-2</v>
      </c>
      <c r="EO191">
        <f t="shared" si="572"/>
        <v>4.0499999999999998E-3</v>
      </c>
      <c r="EP191" s="460">
        <f t="shared" si="573"/>
        <v>50.448350997314556</v>
      </c>
      <c r="EQ191" s="460"/>
      <c r="ER191" s="460">
        <f t="shared" si="593"/>
        <v>13524.057719880642</v>
      </c>
      <c r="ES191" s="528">
        <f t="shared" si="574"/>
        <v>0.34019999999999995</v>
      </c>
      <c r="EV191" s="460">
        <f t="shared" si="494"/>
        <v>340.19999999999993</v>
      </c>
      <c r="EW191" s="528">
        <f t="shared" si="575"/>
        <v>6.929613184750731</v>
      </c>
      <c r="EX191" s="528">
        <f t="shared" si="576"/>
        <v>1.8289301660632439E-2</v>
      </c>
      <c r="EY191" s="528">
        <f t="shared" si="577"/>
        <v>358.70891443764486</v>
      </c>
      <c r="EZ191" s="528"/>
      <c r="FA191" s="528">
        <f t="shared" si="578"/>
        <v>8.2620000000000005</v>
      </c>
      <c r="FB191" s="460">
        <f t="shared" si="579"/>
        <v>373918.81692405621</v>
      </c>
      <c r="FC191" s="173">
        <f t="shared" si="580"/>
        <v>387.78307464393686</v>
      </c>
      <c r="FD191" s="5">
        <f t="shared" si="581"/>
        <v>82.62</v>
      </c>
      <c r="FE191" s="173">
        <f t="shared" si="582"/>
        <v>0.17563660710027826</v>
      </c>
      <c r="FF191" s="5">
        <f t="shared" si="583"/>
        <v>17.563660710027825</v>
      </c>
      <c r="FI191" s="562">
        <f t="shared" si="584"/>
        <v>-50</v>
      </c>
      <c r="FJ191">
        <f t="shared" si="585"/>
        <v>-50</v>
      </c>
      <c r="FL191">
        <f t="shared" si="586"/>
        <v>0.51355206847360924</v>
      </c>
    </row>
    <row r="192" spans="5:168">
      <c r="E192" s="170">
        <v>82</v>
      </c>
      <c r="F192" s="217">
        <f t="shared" si="587"/>
        <v>0.49199999999999994</v>
      </c>
      <c r="G192" s="217"/>
      <c r="H192" s="217">
        <f t="shared" si="495"/>
        <v>83.639999999999986</v>
      </c>
      <c r="I192" s="541">
        <f t="shared" si="496"/>
        <v>7.6281451610052535</v>
      </c>
      <c r="J192" s="172">
        <f t="shared" si="497"/>
        <v>8.5264698444703519</v>
      </c>
      <c r="K192" s="172">
        <f t="shared" si="498"/>
        <v>16.154615005475605</v>
      </c>
      <c r="L192" s="443"/>
      <c r="M192" s="217">
        <f t="shared" si="499"/>
        <v>0.52780300589831364</v>
      </c>
      <c r="N192" s="172">
        <f t="shared" si="500"/>
        <v>135.29232749216825</v>
      </c>
      <c r="O192" s="172">
        <f t="shared" si="438"/>
        <v>83.639999999999986</v>
      </c>
      <c r="P192" s="217">
        <f t="shared" si="501"/>
        <v>0.79583722054216621</v>
      </c>
      <c r="Q192" s="217">
        <f t="shared" si="502"/>
        <v>170</v>
      </c>
      <c r="R192" s="217"/>
      <c r="S192" s="172">
        <f t="shared" si="503"/>
        <v>364.4581138221896</v>
      </c>
      <c r="T192" s="536">
        <f t="shared" si="504"/>
        <v>170</v>
      </c>
      <c r="U192" s="217">
        <f t="shared" si="505"/>
        <v>41.677520708151668</v>
      </c>
      <c r="V192" s="217">
        <f t="shared" si="506"/>
        <v>2.7318253539015842</v>
      </c>
      <c r="W192" s="217">
        <f t="shared" si="507"/>
        <v>2.4440079815200821</v>
      </c>
      <c r="X192" s="197">
        <f t="shared" si="508"/>
        <v>350</v>
      </c>
      <c r="Y192" s="443">
        <f t="shared" si="509"/>
        <v>186.01767160654779</v>
      </c>
      <c r="AA192" s="217">
        <f t="shared" si="510"/>
        <v>23.006658614717146</v>
      </c>
      <c r="AB192" s="173">
        <f t="shared" si="511"/>
        <v>1.3491315300691289</v>
      </c>
      <c r="AC192" s="173">
        <f t="shared" si="512"/>
        <v>0.27159132471320019</v>
      </c>
      <c r="AD192" s="173"/>
      <c r="AE192" s="173">
        <f t="shared" si="513"/>
        <v>0.7818788769880165</v>
      </c>
      <c r="AF192" s="545">
        <f t="shared" si="514"/>
        <v>1887.7604235657359</v>
      </c>
      <c r="AG192" s="528">
        <f t="shared" si="515"/>
        <v>9.1219202315268588E-2</v>
      </c>
      <c r="AI192" s="173">
        <f t="shared" si="516"/>
        <v>30.965503990194037</v>
      </c>
      <c r="AJ192" s="173">
        <f t="shared" si="517"/>
        <v>41.677520708151668</v>
      </c>
      <c r="AK192" s="173">
        <f t="shared" si="518"/>
        <v>22.195694351717282</v>
      </c>
      <c r="AM192" s="545">
        <f t="shared" si="519"/>
        <v>491.99999999999994</v>
      </c>
      <c r="AN192" s="460">
        <f t="shared" si="520"/>
        <v>186.01767160654779</v>
      </c>
      <c r="AP192">
        <f t="shared" si="521"/>
        <v>491.99999999999994</v>
      </c>
      <c r="AQ192">
        <f t="shared" si="522"/>
        <v>186.01767160654779</v>
      </c>
      <c r="AS192" s="5">
        <f t="shared" si="439"/>
        <v>5.3758333354216665</v>
      </c>
      <c r="AT192" s="5">
        <f t="shared" si="523"/>
        <v>2.7318253539015842</v>
      </c>
      <c r="AU192" s="5">
        <f t="shared" si="478"/>
        <v>2.6440079815200823</v>
      </c>
      <c r="AV192" s="5"/>
      <c r="AW192" s="173">
        <f t="shared" si="479"/>
        <v>0.50816779156850611</v>
      </c>
      <c r="AX192" s="173">
        <f t="shared" si="435"/>
        <v>80.778905520243583</v>
      </c>
      <c r="AY192" s="173">
        <f t="shared" si="436"/>
        <v>0.51245867629598885</v>
      </c>
      <c r="AZ192" s="173">
        <f t="shared" si="440"/>
        <v>157.6300865937273</v>
      </c>
      <c r="BA192" s="460">
        <f t="shared" si="594"/>
        <v>0.79062239654092903</v>
      </c>
      <c r="BB192" s="5">
        <f t="shared" si="595"/>
        <v>46.385027637873989</v>
      </c>
      <c r="BD192" s="173">
        <f t="shared" si="441"/>
        <v>17.153186765559418</v>
      </c>
      <c r="BE192" s="173">
        <f t="shared" si="437"/>
        <v>0.84376155979040413</v>
      </c>
      <c r="BG192" s="528">
        <f t="shared" si="480"/>
        <v>11.769272648566512</v>
      </c>
      <c r="BH192" s="528">
        <f t="shared" si="524"/>
        <v>2.8179625067985152</v>
      </c>
      <c r="BI192" s="528">
        <f t="shared" si="525"/>
        <v>5.6758792061078076E-2</v>
      </c>
      <c r="BJ192" s="528">
        <f t="shared" si="481"/>
        <v>9.7090653557126202E-3</v>
      </c>
      <c r="BK192">
        <f t="shared" si="482"/>
        <v>3.432665322452364E-3</v>
      </c>
      <c r="BL192" s="460">
        <f t="shared" si="588"/>
        <v>60.191457383530441</v>
      </c>
      <c r="BM192" s="528">
        <f t="shared" si="526"/>
        <v>-9.8947082113123148</v>
      </c>
      <c r="BN192" s="460">
        <f t="shared" si="527"/>
        <v>-9894.7082113123142</v>
      </c>
      <c r="BO192" s="528">
        <f t="shared" si="483"/>
        <v>0.34439999999999993</v>
      </c>
      <c r="BR192" s="460">
        <f t="shared" si="484"/>
        <v>344.39999999999992</v>
      </c>
      <c r="BS192" s="528">
        <f t="shared" si="485"/>
        <v>8.8269544864248832</v>
      </c>
      <c r="BT192" s="528">
        <f t="shared" si="486"/>
        <v>2.1358007093398072E-2</v>
      </c>
      <c r="BU192" s="528">
        <f t="shared" si="487"/>
        <v>264.61240755970044</v>
      </c>
      <c r="BV192" s="528"/>
      <c r="BW192" s="528">
        <f t="shared" si="488"/>
        <v>8.0778905520243605</v>
      </c>
      <c r="BX192" s="460">
        <f t="shared" si="489"/>
        <v>281538.61060524307</v>
      </c>
      <c r="BY192" s="173">
        <f t="shared" si="490"/>
        <v>296.54014628334738</v>
      </c>
      <c r="BZ192" s="5">
        <f t="shared" si="491"/>
        <v>83.639999999999986</v>
      </c>
      <c r="CA192" s="173">
        <f t="shared" si="492"/>
        <v>0.22000096748256626</v>
      </c>
      <c r="CB192" s="5">
        <f t="shared" si="493"/>
        <v>22.000096748256624</v>
      </c>
      <c r="CE192" s="562">
        <f t="shared" si="528"/>
        <v>-50</v>
      </c>
      <c r="CF192">
        <f t="shared" si="529"/>
        <v>-50</v>
      </c>
      <c r="CG192" s="173">
        <f t="shared" si="530"/>
        <v>0.50209393911146738</v>
      </c>
      <c r="CI192" s="170">
        <v>82</v>
      </c>
      <c r="CJ192" s="217">
        <f t="shared" si="589"/>
        <v>0.49199999999999994</v>
      </c>
      <c r="CK192" s="217"/>
      <c r="CL192" s="217">
        <f t="shared" si="531"/>
        <v>83.639999999999986</v>
      </c>
      <c r="CM192" s="541">
        <f t="shared" si="532"/>
        <v>9</v>
      </c>
      <c r="CN192" s="443">
        <f t="shared" si="533"/>
        <v>8.5250000000000004</v>
      </c>
      <c r="CO192" s="443">
        <f t="shared" si="534"/>
        <v>17.524999999999999</v>
      </c>
      <c r="CP192" s="443"/>
      <c r="CQ192" s="217">
        <f t="shared" si="535"/>
        <v>0.48644793152639093</v>
      </c>
      <c r="CR192" s="172">
        <f t="shared" si="590"/>
        <v>147.11644793152644</v>
      </c>
      <c r="CS192" s="172">
        <f t="shared" si="536"/>
        <v>83.639999999999986</v>
      </c>
      <c r="CT192" s="217">
        <f t="shared" si="537"/>
        <v>0.86539087018544958</v>
      </c>
      <c r="CU192" s="217">
        <f t="shared" si="538"/>
        <v>170</v>
      </c>
      <c r="CV192" s="217"/>
      <c r="CW192" s="172">
        <f t="shared" si="539"/>
        <v>429.96517370812325</v>
      </c>
      <c r="CX192" s="536">
        <f t="shared" si="540"/>
        <v>170</v>
      </c>
      <c r="CY192" s="217">
        <f t="shared" si="541"/>
        <v>38.20895405669598</v>
      </c>
      <c r="CZ192" s="217">
        <f t="shared" si="542"/>
        <v>2.1227196698164432</v>
      </c>
      <c r="DA192" s="217">
        <f t="shared" si="543"/>
        <v>2.2409943728267439</v>
      </c>
      <c r="DB192" s="197">
        <f t="shared" si="544"/>
        <v>350</v>
      </c>
      <c r="DC192" s="443">
        <f t="shared" si="545"/>
        <v>229.16258724283421</v>
      </c>
      <c r="DE192" s="217">
        <f t="shared" si="546"/>
        <v>25.017322192785819</v>
      </c>
      <c r="DF192" s="173">
        <f t="shared" si="547"/>
        <v>1.467291624210312</v>
      </c>
      <c r="DG192" s="173">
        <f t="shared" si="548"/>
        <v>0.32119243899439714</v>
      </c>
      <c r="DH192" s="173"/>
      <c r="DI192" s="173">
        <f t="shared" si="549"/>
        <v>0.78201368523949166</v>
      </c>
      <c r="DJ192" s="545">
        <f t="shared" si="550"/>
        <v>1887.4349999999997</v>
      </c>
      <c r="DK192" s="528">
        <f t="shared" si="551"/>
        <v>9.1234929944607357E-2</v>
      </c>
      <c r="DM192" s="173">
        <f t="shared" si="552"/>
        <v>30.962834864675145</v>
      </c>
      <c r="DN192" s="173">
        <f t="shared" si="553"/>
        <v>38.20895405669598</v>
      </c>
      <c r="DO192" s="173">
        <f t="shared" si="554"/>
        <v>19.626385721009363</v>
      </c>
      <c r="DQ192" s="545">
        <f t="shared" si="555"/>
        <v>491.99999999999994</v>
      </c>
      <c r="DR192" s="460">
        <f t="shared" si="556"/>
        <v>229.16258724283421</v>
      </c>
      <c r="DT192">
        <f t="shared" si="591"/>
        <v>491.99999999999994</v>
      </c>
      <c r="DU192">
        <f t="shared" si="592"/>
        <v>229.16258724283421</v>
      </c>
      <c r="DW192" s="5">
        <f t="shared" si="557"/>
        <v>4.3637140426431866</v>
      </c>
      <c r="DX192" s="5">
        <f t="shared" si="558"/>
        <v>2.1227196698164432</v>
      </c>
      <c r="DY192" s="5">
        <f t="shared" si="559"/>
        <v>2.2409943728267434</v>
      </c>
      <c r="DZ192" s="5"/>
      <c r="EA192" s="173">
        <f t="shared" si="560"/>
        <v>0.48644793152639088</v>
      </c>
      <c r="EB192" s="173">
        <f t="shared" si="561"/>
        <v>83.639999999999972</v>
      </c>
      <c r="EC192" s="173">
        <f t="shared" si="562"/>
        <v>0.49055718475073301</v>
      </c>
      <c r="ED192" s="173">
        <f t="shared" si="563"/>
        <v>170.5</v>
      </c>
      <c r="EE192" s="460">
        <f t="shared" si="564"/>
        <v>0.6143400456174648</v>
      </c>
      <c r="EF192" s="5">
        <f t="shared" si="565"/>
        <v>33.32209232768512</v>
      </c>
      <c r="EH192" s="173">
        <f t="shared" si="566"/>
        <v>15.385892810556355</v>
      </c>
      <c r="EI192" s="173">
        <f t="shared" si="567"/>
        <v>0.79043610187294455</v>
      </c>
      <c r="EK192" s="528">
        <f t="shared" si="568"/>
        <v>9.4690279031171887</v>
      </c>
      <c r="EL192" s="528">
        <f t="shared" si="569"/>
        <v>4.219875</v>
      </c>
      <c r="EM192" s="528">
        <f t="shared" si="570"/>
        <v>4.583251744856684E-2</v>
      </c>
      <c r="EN192" s="528">
        <f t="shared" si="571"/>
        <v>1.4076340566714498E-2</v>
      </c>
      <c r="EO192">
        <f t="shared" si="572"/>
        <v>4.0499999999999998E-3</v>
      </c>
      <c r="EP192" s="460">
        <f t="shared" si="573"/>
        <v>49.882517448566837</v>
      </c>
      <c r="EQ192" s="460"/>
      <c r="ER192" s="460">
        <f t="shared" si="593"/>
        <v>13752.861761132468</v>
      </c>
      <c r="ES192" s="528">
        <f t="shared" si="574"/>
        <v>0.34439999999999993</v>
      </c>
      <c r="EV192" s="460">
        <f t="shared" si="494"/>
        <v>344.39999999999992</v>
      </c>
      <c r="EW192" s="528">
        <f t="shared" si="575"/>
        <v>7.1017709273378911</v>
      </c>
      <c r="EX192" s="528">
        <f t="shared" si="576"/>
        <v>1.874367693432288E-2</v>
      </c>
      <c r="EY192" s="528">
        <f t="shared" si="577"/>
        <v>358.70891443764418</v>
      </c>
      <c r="EZ192" s="528"/>
      <c r="FA192" s="528">
        <f t="shared" si="578"/>
        <v>8.3640000000000008</v>
      </c>
      <c r="FB192" s="460">
        <f t="shared" si="579"/>
        <v>374193.42904191639</v>
      </c>
      <c r="FC192" s="173">
        <f t="shared" si="580"/>
        <v>388.29069080304885</v>
      </c>
      <c r="FD192" s="5">
        <f t="shared" si="581"/>
        <v>83.639999999999986</v>
      </c>
      <c r="FE192" s="173">
        <f t="shared" si="582"/>
        <v>0.17722941446693394</v>
      </c>
      <c r="FF192" s="5">
        <f t="shared" si="583"/>
        <v>17.722941446693394</v>
      </c>
      <c r="FI192" s="562">
        <f t="shared" si="584"/>
        <v>-50</v>
      </c>
      <c r="FJ192">
        <f t="shared" si="585"/>
        <v>-50</v>
      </c>
      <c r="FL192">
        <f t="shared" si="586"/>
        <v>0.51355206847360912</v>
      </c>
    </row>
    <row r="193" spans="5:168">
      <c r="E193" s="170">
        <v>83</v>
      </c>
      <c r="F193" s="217">
        <f t="shared" si="587"/>
        <v>0.49799999999999994</v>
      </c>
      <c r="G193" s="217"/>
      <c r="H193" s="217">
        <f t="shared" si="495"/>
        <v>84.66</v>
      </c>
      <c r="I193" s="541">
        <f t="shared" si="496"/>
        <v>7.6117969076827645</v>
      </c>
      <c r="J193" s="172">
        <f t="shared" si="497"/>
        <v>8.5264873604560556</v>
      </c>
      <c r="K193" s="172">
        <f t="shared" si="498"/>
        <v>16.138284268138818</v>
      </c>
      <c r="L193" s="443"/>
      <c r="M193" s="217">
        <f t="shared" si="499"/>
        <v>0.52833818980633418</v>
      </c>
      <c r="N193" s="172">
        <f t="shared" si="500"/>
        <v>135.13926612245103</v>
      </c>
      <c r="O193" s="172">
        <f t="shared" si="438"/>
        <v>84.66</v>
      </c>
      <c r="P193" s="217">
        <f t="shared" si="501"/>
        <v>0.79493685954382964</v>
      </c>
      <c r="Q193" s="217">
        <f t="shared" si="502"/>
        <v>170</v>
      </c>
      <c r="R193" s="217"/>
      <c r="S193" s="172">
        <f t="shared" si="503"/>
        <v>357.46779254680189</v>
      </c>
      <c r="T193" s="536">
        <f t="shared" si="504"/>
        <v>170</v>
      </c>
      <c r="U193" s="217">
        <f t="shared" si="505"/>
        <v>42.233650402649268</v>
      </c>
      <c r="V193" s="217">
        <f t="shared" si="506"/>
        <v>2.7742234136608306</v>
      </c>
      <c r="W193" s="217">
        <f t="shared" si="507"/>
        <v>2.4766148483676589</v>
      </c>
      <c r="X193" s="197">
        <f t="shared" si="508"/>
        <v>350</v>
      </c>
      <c r="Y193" s="443">
        <f t="shared" si="509"/>
        <v>183.45802093710577</v>
      </c>
      <c r="AA193" s="217">
        <f t="shared" si="510"/>
        <v>22.980630245575675</v>
      </c>
      <c r="AB193" s="173">
        <f t="shared" si="511"/>
        <v>1.3476024342776081</v>
      </c>
      <c r="AC193" s="173">
        <f t="shared" si="512"/>
        <v>0.27097659102649979</v>
      </c>
      <c r="AD193" s="173"/>
      <c r="AE193" s="173">
        <f t="shared" si="513"/>
        <v>0.78187727077215619</v>
      </c>
      <c r="AF193" s="545">
        <f t="shared" si="514"/>
        <v>1910.785817478202</v>
      </c>
      <c r="AG193" s="528">
        <f t="shared" si="515"/>
        <v>9.1219014923418218E-2</v>
      </c>
      <c r="AI193" s="173">
        <f t="shared" si="516"/>
        <v>31.153777869537485</v>
      </c>
      <c r="AJ193" s="173">
        <f t="shared" si="517"/>
        <v>42.233650402649268</v>
      </c>
      <c r="AK193" s="173">
        <f t="shared" si="518"/>
        <v>22.607642273567357</v>
      </c>
      <c r="AM193" s="545">
        <f t="shared" si="519"/>
        <v>497.99999999999994</v>
      </c>
      <c r="AN193" s="460">
        <f t="shared" si="520"/>
        <v>183.45802093710577</v>
      </c>
      <c r="AP193">
        <f t="shared" si="521"/>
        <v>497.99999999999994</v>
      </c>
      <c r="AQ193">
        <f t="shared" si="522"/>
        <v>183.45802093710577</v>
      </c>
      <c r="AS193" s="5">
        <f t="shared" si="439"/>
        <v>5.4508382620284905</v>
      </c>
      <c r="AT193" s="5">
        <f t="shared" si="523"/>
        <v>2.7742234136608306</v>
      </c>
      <c r="AU193" s="5">
        <f t="shared" si="478"/>
        <v>2.6766148483676599</v>
      </c>
      <c r="AV193" s="5"/>
      <c r="AW193" s="173">
        <f t="shared" si="479"/>
        <v>0.50895353710759772</v>
      </c>
      <c r="AX193" s="173">
        <f t="shared" si="435"/>
        <v>81.807656941439518</v>
      </c>
      <c r="AY193" s="173">
        <f t="shared" si="436"/>
        <v>0.51846711613138008</v>
      </c>
      <c r="AZ193" s="173">
        <f t="shared" si="440"/>
        <v>157.7875517966493</v>
      </c>
      <c r="BA193" s="460">
        <f t="shared" si="594"/>
        <v>0.81268427059005499</v>
      </c>
      <c r="BB193" s="5">
        <f t="shared" si="595"/>
        <v>47.631793819215787</v>
      </c>
      <c r="BD193" s="173">
        <f t="shared" si="441"/>
        <v>17.395505829712626</v>
      </c>
      <c r="BE193" s="173">
        <f t="shared" si="437"/>
        <v>0.85433714906084679</v>
      </c>
      <c r="BG193" s="528">
        <f t="shared" si="480"/>
        <v>12.104144922862638</v>
      </c>
      <c r="BH193" s="528">
        <f t="shared" si="524"/>
        <v>2.8134241047126309</v>
      </c>
      <c r="BI193" s="528">
        <f t="shared" si="525"/>
        <v>5.5857807858346466E-2</v>
      </c>
      <c r="BJ193" s="528">
        <f t="shared" si="481"/>
        <v>9.5561162008257587E-3</v>
      </c>
      <c r="BK193">
        <f t="shared" si="482"/>
        <v>3.425308608457244E-3</v>
      </c>
      <c r="BL193" s="460">
        <f t="shared" si="588"/>
        <v>59.283116466803712</v>
      </c>
      <c r="BM193" s="528">
        <f t="shared" si="526"/>
        <v>-9.699242720976935</v>
      </c>
      <c r="BN193" s="460">
        <f t="shared" si="527"/>
        <v>-9699.2427209769357</v>
      </c>
      <c r="BO193" s="528">
        <f t="shared" si="483"/>
        <v>0.34859999999999997</v>
      </c>
      <c r="BR193" s="460">
        <f t="shared" si="484"/>
        <v>348.59999999999997</v>
      </c>
      <c r="BS193" s="528">
        <f t="shared" si="485"/>
        <v>9.0781086921469782</v>
      </c>
      <c r="BT193" s="528">
        <f t="shared" si="486"/>
        <v>2.1896758927962466E-2</v>
      </c>
      <c r="BU193" s="528">
        <f t="shared" si="487"/>
        <v>264.21551516257608</v>
      </c>
      <c r="BV193" s="528"/>
      <c r="BW193" s="528">
        <f t="shared" si="488"/>
        <v>8.1807656941439539</v>
      </c>
      <c r="BX193" s="460">
        <f t="shared" si="489"/>
        <v>281496.28630779497</v>
      </c>
      <c r="BY193" s="173">
        <f t="shared" si="490"/>
        <v>296.83129456803783</v>
      </c>
      <c r="BZ193" s="5">
        <f t="shared" si="491"/>
        <v>84.66</v>
      </c>
      <c r="CA193" s="173">
        <f t="shared" si="492"/>
        <v>0.22191856329476778</v>
      </c>
      <c r="CB193" s="5">
        <f t="shared" si="493"/>
        <v>22.191856329476778</v>
      </c>
      <c r="CE193" s="562">
        <f t="shared" si="528"/>
        <v>-50</v>
      </c>
      <c r="CF193">
        <f t="shared" si="529"/>
        <v>-50</v>
      </c>
      <c r="CG193" s="173">
        <f t="shared" si="530"/>
        <v>0.5022319888628185</v>
      </c>
      <c r="CI193" s="170">
        <v>83</v>
      </c>
      <c r="CJ193" s="217">
        <f t="shared" si="589"/>
        <v>0.49799999999999994</v>
      </c>
      <c r="CK193" s="217"/>
      <c r="CL193" s="217">
        <f t="shared" si="531"/>
        <v>84.66</v>
      </c>
      <c r="CM193" s="541">
        <f t="shared" si="532"/>
        <v>9</v>
      </c>
      <c r="CN193" s="443">
        <f t="shared" si="533"/>
        <v>8.5250000000000004</v>
      </c>
      <c r="CO193" s="443">
        <f t="shared" si="534"/>
        <v>17.524999999999999</v>
      </c>
      <c r="CP193" s="443"/>
      <c r="CQ193" s="217">
        <f t="shared" si="535"/>
        <v>0.48644793152639093</v>
      </c>
      <c r="CR193" s="172">
        <f t="shared" si="590"/>
        <v>147.11644793152644</v>
      </c>
      <c r="CS193" s="172">
        <f t="shared" si="536"/>
        <v>84.66</v>
      </c>
      <c r="CT193" s="217">
        <f t="shared" si="537"/>
        <v>0.86539087018544958</v>
      </c>
      <c r="CU193" s="217">
        <f t="shared" si="538"/>
        <v>170</v>
      </c>
      <c r="CV193" s="217"/>
      <c r="CW193" s="172">
        <f t="shared" si="539"/>
        <v>422.62234299181222</v>
      </c>
      <c r="CX193" s="536">
        <f t="shared" si="540"/>
        <v>170</v>
      </c>
      <c r="CY193" s="217">
        <f t="shared" si="541"/>
        <v>38.674916911045941</v>
      </c>
      <c r="CZ193" s="217">
        <f t="shared" si="542"/>
        <v>2.1486064950581079</v>
      </c>
      <c r="DA193" s="217">
        <f t="shared" si="543"/>
        <v>2.2683235724953632</v>
      </c>
      <c r="DB193" s="197">
        <f t="shared" si="544"/>
        <v>350</v>
      </c>
      <c r="DC193" s="443">
        <f t="shared" si="545"/>
        <v>226.40159221581203</v>
      </c>
      <c r="DE193" s="217">
        <f t="shared" si="546"/>
        <v>25.017322192785819</v>
      </c>
      <c r="DF193" s="173">
        <f t="shared" si="547"/>
        <v>1.467291624210312</v>
      </c>
      <c r="DG193" s="173">
        <f t="shared" si="548"/>
        <v>0.32119243899439714</v>
      </c>
      <c r="DH193" s="173"/>
      <c r="DI193" s="173">
        <f t="shared" si="549"/>
        <v>0.78201368523949166</v>
      </c>
      <c r="DJ193" s="545">
        <f t="shared" si="550"/>
        <v>1910.4524999999999</v>
      </c>
      <c r="DK193" s="528">
        <f t="shared" si="551"/>
        <v>9.1234929944607357E-2</v>
      </c>
      <c r="DM193" s="173">
        <f t="shared" si="552"/>
        <v>31.151060518521216</v>
      </c>
      <c r="DN193" s="173">
        <f t="shared" si="553"/>
        <v>38.674916911045941</v>
      </c>
      <c r="DO193" s="173">
        <f t="shared" si="554"/>
        <v>19.971543390898226</v>
      </c>
      <c r="DQ193" s="545">
        <f t="shared" si="555"/>
        <v>497.99999999999994</v>
      </c>
      <c r="DR193" s="460">
        <f t="shared" si="556"/>
        <v>226.40159221581203</v>
      </c>
      <c r="DT193">
        <f t="shared" si="591"/>
        <v>497.99999999999994</v>
      </c>
      <c r="DU193">
        <f t="shared" si="592"/>
        <v>226.40159221581203</v>
      </c>
      <c r="DW193" s="5">
        <f t="shared" si="557"/>
        <v>4.4169300675534711</v>
      </c>
      <c r="DX193" s="5">
        <f t="shared" si="558"/>
        <v>2.1486064950581079</v>
      </c>
      <c r="DY193" s="5">
        <f t="shared" si="559"/>
        <v>2.2683235724953632</v>
      </c>
      <c r="DZ193" s="5"/>
      <c r="EA193" s="173">
        <f t="shared" si="560"/>
        <v>0.48644793152639088</v>
      </c>
      <c r="EB193" s="173">
        <f t="shared" si="561"/>
        <v>84.66</v>
      </c>
      <c r="EC193" s="173">
        <f t="shared" si="562"/>
        <v>0.49653958944281523</v>
      </c>
      <c r="ED193" s="173">
        <f t="shared" si="563"/>
        <v>170.5</v>
      </c>
      <c r="EE193" s="460">
        <f t="shared" si="564"/>
        <v>0.62941531443466914</v>
      </c>
      <c r="EF193" s="5">
        <f t="shared" si="565"/>
        <v>34.139781981770213</v>
      </c>
      <c r="EH193" s="173">
        <f t="shared" si="566"/>
        <v>15.573525649709484</v>
      </c>
      <c r="EI193" s="173">
        <f t="shared" si="567"/>
        <v>0.80007556652993184</v>
      </c>
      <c r="EK193" s="528">
        <f t="shared" si="568"/>
        <v>9.70138804648637</v>
      </c>
      <c r="EL193" s="528">
        <f t="shared" si="569"/>
        <v>4.219875</v>
      </c>
      <c r="EM193" s="528">
        <f t="shared" si="570"/>
        <v>4.5280318443162403E-2</v>
      </c>
      <c r="EN193" s="528">
        <f t="shared" si="571"/>
        <v>1.390674610205528E-2</v>
      </c>
      <c r="EO193">
        <f t="shared" si="572"/>
        <v>4.0499999999999998E-3</v>
      </c>
      <c r="EP193" s="460">
        <f t="shared" si="573"/>
        <v>49.330318443162398</v>
      </c>
      <c r="EQ193" s="460"/>
      <c r="ER193" s="460">
        <f t="shared" si="593"/>
        <v>13984.500111031586</v>
      </c>
      <c r="ES193" s="528">
        <f t="shared" si="574"/>
        <v>0.34859999999999997</v>
      </c>
      <c r="EV193" s="460">
        <f t="shared" si="494"/>
        <v>348.59999999999997</v>
      </c>
      <c r="EW193" s="528">
        <f t="shared" si="575"/>
        <v>7.2760410348647762</v>
      </c>
      <c r="EX193" s="528">
        <f t="shared" si="576"/>
        <v>1.9203627364745738E-2</v>
      </c>
      <c r="EY193" s="528">
        <f t="shared" si="577"/>
        <v>358.70891443764418</v>
      </c>
      <c r="EZ193" s="528"/>
      <c r="FA193" s="528">
        <f t="shared" si="578"/>
        <v>8.4660000000000011</v>
      </c>
      <c r="FB193" s="460">
        <f t="shared" si="579"/>
        <v>374470.15909987374</v>
      </c>
      <c r="FC193" s="173">
        <f t="shared" si="580"/>
        <v>388.80325921090531</v>
      </c>
      <c r="FD193" s="5">
        <f t="shared" si="581"/>
        <v>84.66</v>
      </c>
      <c r="FE193" s="173">
        <f t="shared" si="582"/>
        <v>0.1788100731218259</v>
      </c>
      <c r="FF193" s="5">
        <f t="shared" si="583"/>
        <v>17.881007312182589</v>
      </c>
      <c r="FI193" s="562">
        <f t="shared" si="584"/>
        <v>-50</v>
      </c>
      <c r="FJ193">
        <f t="shared" si="585"/>
        <v>-50</v>
      </c>
      <c r="FL193">
        <f t="shared" si="586"/>
        <v>0.51355206847360912</v>
      </c>
    </row>
    <row r="194" spans="5:168">
      <c r="E194" s="170">
        <v>84</v>
      </c>
      <c r="F194" s="217">
        <f t="shared" si="587"/>
        <v>0.504</v>
      </c>
      <c r="G194" s="217"/>
      <c r="H194" s="217">
        <f t="shared" si="495"/>
        <v>85.68</v>
      </c>
      <c r="I194" s="541">
        <f t="shared" si="496"/>
        <v>7.5954484495824346</v>
      </c>
      <c r="J194" s="172">
        <f t="shared" si="497"/>
        <v>8.5265048766611624</v>
      </c>
      <c r="K194" s="172">
        <f t="shared" si="498"/>
        <v>16.121953326243599</v>
      </c>
      <c r="L194" s="443"/>
      <c r="M194" s="217">
        <f t="shared" si="499"/>
        <v>0.52887446466301058</v>
      </c>
      <c r="N194" s="172">
        <f t="shared" si="500"/>
        <v>134.98589154609522</v>
      </c>
      <c r="O194" s="172">
        <f t="shared" si="438"/>
        <v>85.68</v>
      </c>
      <c r="P194" s="217">
        <f t="shared" si="501"/>
        <v>0.79403465615350133</v>
      </c>
      <c r="Q194" s="217">
        <f t="shared" si="502"/>
        <v>170</v>
      </c>
      <c r="R194" s="217"/>
      <c r="S194" s="172">
        <f t="shared" si="503"/>
        <v>350.65180618044053</v>
      </c>
      <c r="T194" s="536">
        <f t="shared" si="504"/>
        <v>170</v>
      </c>
      <c r="U194" s="217">
        <f t="shared" si="505"/>
        <v>42.791142674064226</v>
      </c>
      <c r="V194" s="217">
        <f t="shared" si="506"/>
        <v>2.8168937593419319</v>
      </c>
      <c r="W194" s="217">
        <f t="shared" si="507"/>
        <v>2.5093014836121532</v>
      </c>
      <c r="X194" s="197">
        <f t="shared" si="508"/>
        <v>350</v>
      </c>
      <c r="Y194" s="443">
        <f t="shared" si="509"/>
        <v>180.95632818529216</v>
      </c>
      <c r="AA194" s="217">
        <f t="shared" si="510"/>
        <v>22.954548615528001</v>
      </c>
      <c r="AB194" s="173">
        <f t="shared" si="511"/>
        <v>1.3460702214784062</v>
      </c>
      <c r="AC194" s="173">
        <f t="shared" si="512"/>
        <v>0.2703613004648554</v>
      </c>
      <c r="AD194" s="173"/>
      <c r="AE194" s="173">
        <f t="shared" si="513"/>
        <v>0.78187566454277602</v>
      </c>
      <c r="AF194" s="545">
        <f t="shared" si="514"/>
        <v>1933.8113060267519</v>
      </c>
      <c r="AG194" s="528">
        <f t="shared" si="515"/>
        <v>9.1218827529990526E-2</v>
      </c>
      <c r="AI194" s="173">
        <f t="shared" si="516"/>
        <v>31.340921521093886</v>
      </c>
      <c r="AJ194" s="173">
        <f t="shared" si="517"/>
        <v>42.791142674064226</v>
      </c>
      <c r="AK194" s="173">
        <f t="shared" si="518"/>
        <v>23.02059951165251</v>
      </c>
      <c r="AM194" s="545">
        <f t="shared" si="519"/>
        <v>504</v>
      </c>
      <c r="AN194" s="460">
        <f t="shared" si="520"/>
        <v>180.95632818529216</v>
      </c>
      <c r="AP194">
        <f t="shared" si="521"/>
        <v>504</v>
      </c>
      <c r="AQ194">
        <f t="shared" si="522"/>
        <v>180.95632818529216</v>
      </c>
      <c r="AS194" s="5">
        <f t="shared" si="439"/>
        <v>5.5261952429540857</v>
      </c>
      <c r="AT194" s="5">
        <f t="shared" si="523"/>
        <v>2.8168937593419319</v>
      </c>
      <c r="AU194" s="5">
        <f t="shared" si="478"/>
        <v>2.7093014836121538</v>
      </c>
      <c r="AV194" s="5"/>
      <c r="AW194" s="173">
        <f t="shared" si="479"/>
        <v>0.50973475157858006</v>
      </c>
      <c r="AX194" s="173">
        <f t="shared" si="435"/>
        <v>82.836463916414942</v>
      </c>
      <c r="AY194" s="173">
        <f t="shared" si="436"/>
        <v>0.52447525483341306</v>
      </c>
      <c r="AZ194" s="173">
        <f t="shared" si="440"/>
        <v>157.94160573452783</v>
      </c>
      <c r="BA194" s="460">
        <f t="shared" si="594"/>
        <v>0.83512614982843147</v>
      </c>
      <c r="BB194" s="5">
        <f t="shared" si="595"/>
        <v>48.899380234203505</v>
      </c>
      <c r="BD194" s="173">
        <f t="shared" si="441"/>
        <v>17.638651431901945</v>
      </c>
      <c r="BE194" s="173">
        <f t="shared" si="437"/>
        <v>0.86492572819082314</v>
      </c>
      <c r="BG194" s="528">
        <f t="shared" si="480"/>
        <v>12.444880973445461</v>
      </c>
      <c r="BH194" s="528">
        <f t="shared" si="524"/>
        <v>2.808845404361799</v>
      </c>
      <c r="BI194" s="528">
        <f t="shared" si="525"/>
        <v>5.4977778494284299E-2</v>
      </c>
      <c r="BJ194" s="528">
        <f t="shared" si="481"/>
        <v>9.4067389090160165E-3</v>
      </c>
      <c r="BK194">
        <f t="shared" si="482"/>
        <v>3.4179518023120955E-3</v>
      </c>
      <c r="BL194" s="460">
        <f t="shared" si="588"/>
        <v>58.39573029659639</v>
      </c>
      <c r="BM194" s="528">
        <f t="shared" si="526"/>
        <v>-9.5166925158164162</v>
      </c>
      <c r="BN194" s="460">
        <f t="shared" si="527"/>
        <v>-9516.6925158164158</v>
      </c>
      <c r="BO194" s="528">
        <f t="shared" si="483"/>
        <v>0.3528</v>
      </c>
      <c r="BR194" s="460">
        <f t="shared" si="484"/>
        <v>352.8</v>
      </c>
      <c r="BS194" s="528">
        <f t="shared" si="485"/>
        <v>9.3336607300840946</v>
      </c>
      <c r="BT194" s="528">
        <f t="shared" si="486"/>
        <v>2.2442895458592769E-2</v>
      </c>
      <c r="BU194" s="528">
        <f t="shared" si="487"/>
        <v>263.80872334528522</v>
      </c>
      <c r="BV194" s="528"/>
      <c r="BW194" s="528">
        <f t="shared" si="488"/>
        <v>8.2836463916414953</v>
      </c>
      <c r="BX194" s="460">
        <f t="shared" si="489"/>
        <v>281448.47336246935</v>
      </c>
      <c r="BY194" s="173">
        <f t="shared" si="490"/>
        <v>297.12280220948224</v>
      </c>
      <c r="BZ194" s="5">
        <f t="shared" si="491"/>
        <v>85.68</v>
      </c>
      <c r="CA194" s="173">
        <f t="shared" si="492"/>
        <v>0.22382281296131448</v>
      </c>
      <c r="CB194" s="5">
        <f t="shared" si="493"/>
        <v>22.382281296131449</v>
      </c>
      <c r="CE194" s="562">
        <f t="shared" si="528"/>
        <v>-50</v>
      </c>
      <c r="CF194">
        <f t="shared" si="529"/>
        <v>-50</v>
      </c>
      <c r="CG194" s="173">
        <f t="shared" si="530"/>
        <v>0.50236675171532785</v>
      </c>
      <c r="CI194" s="170">
        <v>84</v>
      </c>
      <c r="CJ194" s="217">
        <f t="shared" si="589"/>
        <v>0.504</v>
      </c>
      <c r="CK194" s="217"/>
      <c r="CL194" s="217">
        <f t="shared" si="531"/>
        <v>85.68</v>
      </c>
      <c r="CM194" s="541">
        <f t="shared" si="532"/>
        <v>9</v>
      </c>
      <c r="CN194" s="443">
        <f t="shared" si="533"/>
        <v>8.5250000000000004</v>
      </c>
      <c r="CO194" s="443">
        <f t="shared" si="534"/>
        <v>17.524999999999999</v>
      </c>
      <c r="CP194" s="443"/>
      <c r="CQ194" s="217">
        <f t="shared" si="535"/>
        <v>0.48644793152639093</v>
      </c>
      <c r="CR194" s="172">
        <f t="shared" si="590"/>
        <v>147.11644793152644</v>
      </c>
      <c r="CS194" s="172">
        <f t="shared" si="536"/>
        <v>85.68</v>
      </c>
      <c r="CT194" s="217">
        <f t="shared" si="537"/>
        <v>0.86539087018544958</v>
      </c>
      <c r="CU194" s="217">
        <f t="shared" si="538"/>
        <v>170</v>
      </c>
      <c r="CV194" s="217"/>
      <c r="CW194" s="172">
        <f t="shared" si="539"/>
        <v>415.45446507555744</v>
      </c>
      <c r="CX194" s="536">
        <f t="shared" si="540"/>
        <v>170</v>
      </c>
      <c r="CY194" s="217">
        <f t="shared" si="541"/>
        <v>39.140879765395894</v>
      </c>
      <c r="CZ194" s="217">
        <f t="shared" si="542"/>
        <v>2.1744933202997716</v>
      </c>
      <c r="DA194" s="217">
        <f t="shared" si="543"/>
        <v>2.2956527721639817</v>
      </c>
      <c r="DB194" s="197">
        <f t="shared" si="544"/>
        <v>350</v>
      </c>
      <c r="DC194" s="443">
        <f t="shared" si="545"/>
        <v>223.70633516562381</v>
      </c>
      <c r="DE194" s="217">
        <f t="shared" si="546"/>
        <v>25.017322192785819</v>
      </c>
      <c r="DF194" s="173">
        <f t="shared" si="547"/>
        <v>1.467291624210312</v>
      </c>
      <c r="DG194" s="173">
        <f t="shared" si="548"/>
        <v>0.32119243899439714</v>
      </c>
      <c r="DH194" s="173"/>
      <c r="DI194" s="173">
        <f t="shared" si="549"/>
        <v>0.78201368523949166</v>
      </c>
      <c r="DJ194" s="545">
        <f t="shared" si="550"/>
        <v>1933.47</v>
      </c>
      <c r="DK194" s="528">
        <f t="shared" si="551"/>
        <v>9.1234929944607357E-2</v>
      </c>
      <c r="DM194" s="173">
        <f t="shared" si="552"/>
        <v>31.33815565728143</v>
      </c>
      <c r="DN194" s="173">
        <f t="shared" si="553"/>
        <v>39.140879765395894</v>
      </c>
      <c r="DO194" s="173">
        <f t="shared" si="554"/>
        <v>20.316701060787079</v>
      </c>
      <c r="DQ194" s="545">
        <f t="shared" si="555"/>
        <v>504</v>
      </c>
      <c r="DR194" s="460">
        <f t="shared" si="556"/>
        <v>223.70633516562381</v>
      </c>
      <c r="DT194">
        <f t="shared" si="591"/>
        <v>504</v>
      </c>
      <c r="DU194">
        <f t="shared" si="592"/>
        <v>223.70633516562381</v>
      </c>
      <c r="DW194" s="5">
        <f t="shared" si="557"/>
        <v>4.4701460924637528</v>
      </c>
      <c r="DX194" s="5">
        <f t="shared" si="558"/>
        <v>2.1744933202997716</v>
      </c>
      <c r="DY194" s="5">
        <f t="shared" si="559"/>
        <v>2.2956527721639812</v>
      </c>
      <c r="DZ194" s="5"/>
      <c r="EA194" s="173">
        <f t="shared" si="560"/>
        <v>0.48644793152639093</v>
      </c>
      <c r="EB194" s="173">
        <f t="shared" si="561"/>
        <v>85.68</v>
      </c>
      <c r="EC194" s="173">
        <f t="shared" si="562"/>
        <v>0.50252199413489729</v>
      </c>
      <c r="ED194" s="173">
        <f t="shared" si="563"/>
        <v>170.50000000000003</v>
      </c>
      <c r="EE194" s="460">
        <f t="shared" si="564"/>
        <v>0.64467331378299109</v>
      </c>
      <c r="EF194" s="5">
        <f t="shared" si="565"/>
        <v>34.967383025601762</v>
      </c>
      <c r="EH194" s="173">
        <f t="shared" si="566"/>
        <v>15.761158488862613</v>
      </c>
      <c r="EI194" s="173">
        <f t="shared" si="567"/>
        <v>0.80971503118691901</v>
      </c>
      <c r="EK194" s="528">
        <f t="shared" si="568"/>
        <v>9.93656467644184</v>
      </c>
      <c r="EL194" s="528">
        <f t="shared" si="569"/>
        <v>4.219875</v>
      </c>
      <c r="EM194" s="528">
        <f t="shared" si="570"/>
        <v>4.4741267033124761E-2</v>
      </c>
      <c r="EN194" s="528">
        <f t="shared" si="571"/>
        <v>1.3741189600840338E-2</v>
      </c>
      <c r="EO194">
        <f t="shared" si="572"/>
        <v>4.0499999999999998E-3</v>
      </c>
      <c r="EP194" s="460">
        <f t="shared" si="573"/>
        <v>48.791267033124761</v>
      </c>
      <c r="EQ194" s="460"/>
      <c r="ER194" s="460">
        <f t="shared" si="593"/>
        <v>14218.972133075804</v>
      </c>
      <c r="ES194" s="528">
        <f t="shared" si="574"/>
        <v>0.3528</v>
      </c>
      <c r="EV194" s="460">
        <f t="shared" si="494"/>
        <v>352.8</v>
      </c>
      <c r="EW194" s="528">
        <f t="shared" si="575"/>
        <v>7.4524235073313791</v>
      </c>
      <c r="EX194" s="528">
        <f t="shared" si="576"/>
        <v>1.9669152951900994E-2</v>
      </c>
      <c r="EY194" s="528">
        <f t="shared" si="577"/>
        <v>358.70891443764413</v>
      </c>
      <c r="EZ194" s="528"/>
      <c r="FA194" s="528">
        <f t="shared" si="578"/>
        <v>8.5680000000000014</v>
      </c>
      <c r="FB194" s="460">
        <f t="shared" si="579"/>
        <v>374749.00709792739</v>
      </c>
      <c r="FC194" s="173">
        <f t="shared" si="580"/>
        <v>389.3207792310032</v>
      </c>
      <c r="FD194" s="5">
        <f t="shared" si="581"/>
        <v>85.68</v>
      </c>
      <c r="FE194" s="173">
        <f t="shared" si="582"/>
        <v>0.18037865145971047</v>
      </c>
      <c r="FF194" s="5">
        <f t="shared" si="583"/>
        <v>18.037865145971047</v>
      </c>
      <c r="FI194" s="562">
        <f t="shared" si="584"/>
        <v>-50</v>
      </c>
      <c r="FJ194">
        <f t="shared" si="585"/>
        <v>-50</v>
      </c>
      <c r="FL194">
        <f t="shared" si="586"/>
        <v>0.51355206847360901</v>
      </c>
    </row>
    <row r="195" spans="5:168">
      <c r="E195" s="170">
        <v>85</v>
      </c>
      <c r="F195" s="217">
        <f t="shared" si="587"/>
        <v>0.51</v>
      </c>
      <c r="G195" s="217"/>
      <c r="H195" s="217">
        <f t="shared" si="495"/>
        <v>86.7</v>
      </c>
      <c r="I195" s="541">
        <f t="shared" si="496"/>
        <v>7.5790997940907028</v>
      </c>
      <c r="J195" s="172">
        <f t="shared" si="497"/>
        <v>8.5265223930777605</v>
      </c>
      <c r="K195" s="172">
        <f t="shared" si="498"/>
        <v>16.105622187168464</v>
      </c>
      <c r="L195" s="443"/>
      <c r="M195" s="217">
        <f t="shared" si="499"/>
        <v>0.52941183356463539</v>
      </c>
      <c r="N195" s="172">
        <f t="shared" si="500"/>
        <v>134.83220287402855</v>
      </c>
      <c r="O195" s="172">
        <f t="shared" si="438"/>
        <v>86.7</v>
      </c>
      <c r="P195" s="217">
        <f t="shared" si="501"/>
        <v>0.79313060514134448</v>
      </c>
      <c r="Q195" s="217">
        <f t="shared" si="502"/>
        <v>170</v>
      </c>
      <c r="R195" s="217"/>
      <c r="S195" s="172">
        <f t="shared" si="503"/>
        <v>344.00400407170713</v>
      </c>
      <c r="T195" s="536">
        <f t="shared" si="504"/>
        <v>170</v>
      </c>
      <c r="U195" s="217">
        <f t="shared" si="505"/>
        <v>43.350006343183189</v>
      </c>
      <c r="V195" s="217">
        <f t="shared" si="506"/>
        <v>2.8598387355304689</v>
      </c>
      <c r="W195" s="217">
        <f t="shared" si="507"/>
        <v>2.5420684040176096</v>
      </c>
      <c r="X195" s="197">
        <f t="shared" si="508"/>
        <v>350</v>
      </c>
      <c r="Y195" s="443">
        <f t="shared" si="509"/>
        <v>178.51063487651328</v>
      </c>
      <c r="AA195" s="217">
        <f t="shared" si="510"/>
        <v>22.928413573374613</v>
      </c>
      <c r="AB195" s="173">
        <f t="shared" si="511"/>
        <v>1.3445348828256756</v>
      </c>
      <c r="AC195" s="173">
        <f t="shared" si="512"/>
        <v>0.2697454537509888</v>
      </c>
      <c r="AD195" s="173"/>
      <c r="AE195" s="173">
        <f t="shared" si="513"/>
        <v>0.78187405830060175</v>
      </c>
      <c r="AF195" s="545">
        <f t="shared" si="514"/>
        <v>1956.8368892113454</v>
      </c>
      <c r="AG195" s="528">
        <f t="shared" si="515"/>
        <v>9.1218640135070209E-2</v>
      </c>
      <c r="AI195" s="173">
        <f t="shared" si="516"/>
        <v>31.526955071927741</v>
      </c>
      <c r="AJ195" s="173">
        <f t="shared" si="517"/>
        <v>43.350006343183189</v>
      </c>
      <c r="AK195" s="173">
        <f t="shared" si="518"/>
        <v>23.434572599888778</v>
      </c>
      <c r="AM195" s="545">
        <f t="shared" si="519"/>
        <v>510</v>
      </c>
      <c r="AN195" s="460">
        <f t="shared" si="520"/>
        <v>178.51063487651328</v>
      </c>
      <c r="AP195">
        <f t="shared" si="521"/>
        <v>510</v>
      </c>
      <c r="AQ195">
        <f t="shared" si="522"/>
        <v>178.51063487651328</v>
      </c>
      <c r="AS195" s="5">
        <f t="shared" si="439"/>
        <v>5.6019071395480786</v>
      </c>
      <c r="AT195" s="5">
        <f t="shared" si="523"/>
        <v>2.8598387355304689</v>
      </c>
      <c r="AU195" s="5">
        <f t="shared" si="478"/>
        <v>2.7420684040176098</v>
      </c>
      <c r="AV195" s="5"/>
      <c r="AW195" s="173">
        <f t="shared" si="479"/>
        <v>0.510511628323989</v>
      </c>
      <c r="AX195" s="173">
        <f t="shared" si="435"/>
        <v>83.865324930467551</v>
      </c>
      <c r="AY195" s="173">
        <f t="shared" si="436"/>
        <v>0.53048310042673719</v>
      </c>
      <c r="AZ195" s="173">
        <f t="shared" si="440"/>
        <v>158.09235932870183</v>
      </c>
      <c r="BA195" s="460">
        <f t="shared" si="594"/>
        <v>0.85795162065914066</v>
      </c>
      <c r="BB195" s="5">
        <f t="shared" si="595"/>
        <v>50.187982654866019</v>
      </c>
      <c r="BD195" s="173">
        <f t="shared" si="441"/>
        <v>17.882628621243963</v>
      </c>
      <c r="BE195" s="173">
        <f t="shared" si="437"/>
        <v>0.87552737951573201</v>
      </c>
      <c r="BG195" s="528">
        <f t="shared" si="480"/>
        <v>12.791536256213352</v>
      </c>
      <c r="BH195" s="528">
        <f t="shared" si="524"/>
        <v>2.8042277653137337</v>
      </c>
      <c r="BI195" s="528">
        <f t="shared" si="525"/>
        <v>5.4117996641423298E-2</v>
      </c>
      <c r="BJ195" s="528">
        <f t="shared" si="481"/>
        <v>9.2608127758697159E-3</v>
      </c>
      <c r="BK195">
        <f t="shared" si="482"/>
        <v>3.4105949073408161E-3</v>
      </c>
      <c r="BL195" s="460">
        <f t="shared" si="588"/>
        <v>57.528591548764112</v>
      </c>
      <c r="BM195" s="528">
        <f t="shared" si="526"/>
        <v>-9.3458682930927903</v>
      </c>
      <c r="BN195" s="460">
        <f t="shared" si="527"/>
        <v>-9345.8682930927898</v>
      </c>
      <c r="BO195" s="528">
        <f t="shared" si="483"/>
        <v>0.35699999999999998</v>
      </c>
      <c r="BR195" s="460">
        <f t="shared" si="484"/>
        <v>357</v>
      </c>
      <c r="BS195" s="528">
        <f t="shared" si="485"/>
        <v>9.5936521921600129</v>
      </c>
      <c r="BT195" s="528">
        <f t="shared" si="486"/>
        <v>2.2996445768450537E-2</v>
      </c>
      <c r="BU195" s="528">
        <f t="shared" si="487"/>
        <v>263.3923482130607</v>
      </c>
      <c r="BV195" s="528"/>
      <c r="BW195" s="528">
        <f t="shared" si="488"/>
        <v>8.3865324930467562</v>
      </c>
      <c r="BX195" s="460">
        <f t="shared" si="489"/>
        <v>281395.52934403589</v>
      </c>
      <c r="BY195" s="173">
        <f t="shared" si="490"/>
        <v>297.41508276988759</v>
      </c>
      <c r="BZ195" s="5">
        <f t="shared" si="491"/>
        <v>86.7</v>
      </c>
      <c r="CA195" s="173">
        <f t="shared" si="492"/>
        <v>0.22571360482592531</v>
      </c>
      <c r="CB195" s="5">
        <f t="shared" si="493"/>
        <v>22.571360482592532</v>
      </c>
      <c r="CE195" s="562">
        <f t="shared" si="528"/>
        <v>-50</v>
      </c>
      <c r="CF195">
        <f t="shared" si="529"/>
        <v>-50</v>
      </c>
      <c r="CG195" s="173">
        <f t="shared" si="530"/>
        <v>0.50249834367719004</v>
      </c>
      <c r="CI195" s="170">
        <v>85</v>
      </c>
      <c r="CJ195" s="217">
        <f t="shared" si="589"/>
        <v>0.51</v>
      </c>
      <c r="CK195" s="217"/>
      <c r="CL195" s="217">
        <f t="shared" si="531"/>
        <v>86.7</v>
      </c>
      <c r="CM195" s="541">
        <f t="shared" si="532"/>
        <v>9</v>
      </c>
      <c r="CN195" s="443">
        <f t="shared" si="533"/>
        <v>8.5250000000000004</v>
      </c>
      <c r="CO195" s="443">
        <f t="shared" si="534"/>
        <v>17.524999999999999</v>
      </c>
      <c r="CP195" s="443"/>
      <c r="CQ195" s="217">
        <f t="shared" si="535"/>
        <v>0.48644793152639093</v>
      </c>
      <c r="CR195" s="172">
        <f t="shared" si="590"/>
        <v>147.11644793152644</v>
      </c>
      <c r="CS195" s="172">
        <f t="shared" si="536"/>
        <v>86.7</v>
      </c>
      <c r="CT195" s="217">
        <f t="shared" si="537"/>
        <v>0.86539087018544958</v>
      </c>
      <c r="CU195" s="217">
        <f t="shared" si="538"/>
        <v>170</v>
      </c>
      <c r="CV195" s="217"/>
      <c r="CW195" s="172">
        <f t="shared" si="539"/>
        <v>408.4553670333126</v>
      </c>
      <c r="CX195" s="536">
        <f t="shared" si="540"/>
        <v>170</v>
      </c>
      <c r="CY195" s="217">
        <f t="shared" si="541"/>
        <v>39.606842619745841</v>
      </c>
      <c r="CZ195" s="217">
        <f t="shared" si="542"/>
        <v>2.2003801455414358</v>
      </c>
      <c r="DA195" s="217">
        <f t="shared" si="543"/>
        <v>2.3229819718326006</v>
      </c>
      <c r="DB195" s="197">
        <f t="shared" si="544"/>
        <v>350</v>
      </c>
      <c r="DC195" s="443">
        <f t="shared" si="545"/>
        <v>221.07449592838117</v>
      </c>
      <c r="DE195" s="217">
        <f t="shared" si="546"/>
        <v>25.017322192785819</v>
      </c>
      <c r="DF195" s="173">
        <f t="shared" si="547"/>
        <v>1.467291624210312</v>
      </c>
      <c r="DG195" s="173">
        <f t="shared" si="548"/>
        <v>0.32119243899439714</v>
      </c>
      <c r="DH195" s="173"/>
      <c r="DI195" s="173">
        <f t="shared" si="549"/>
        <v>0.78201368523949166</v>
      </c>
      <c r="DJ195" s="545">
        <f t="shared" si="550"/>
        <v>1956.4875</v>
      </c>
      <c r="DK195" s="528">
        <f t="shared" si="551"/>
        <v>9.1234929944607357E-2</v>
      </c>
      <c r="DM195" s="173">
        <f t="shared" si="552"/>
        <v>31.524140409715038</v>
      </c>
      <c r="DN195" s="173">
        <f t="shared" si="553"/>
        <v>39.606842619745841</v>
      </c>
      <c r="DO195" s="173">
        <f t="shared" si="554"/>
        <v>20.661858730675927</v>
      </c>
      <c r="DQ195" s="545">
        <f t="shared" si="555"/>
        <v>510</v>
      </c>
      <c r="DR195" s="460">
        <f t="shared" si="556"/>
        <v>221.07449592838117</v>
      </c>
      <c r="DT195">
        <f t="shared" si="591"/>
        <v>510</v>
      </c>
      <c r="DU195">
        <f t="shared" si="592"/>
        <v>221.07449592838117</v>
      </c>
      <c r="DW195" s="5">
        <f t="shared" si="557"/>
        <v>4.5233621173740364</v>
      </c>
      <c r="DX195" s="5">
        <f t="shared" si="558"/>
        <v>2.2003801455414358</v>
      </c>
      <c r="DY195" s="5">
        <f t="shared" si="559"/>
        <v>2.3229819718326006</v>
      </c>
      <c r="DZ195" s="5"/>
      <c r="EA195" s="173">
        <f t="shared" si="560"/>
        <v>0.48644793152639088</v>
      </c>
      <c r="EB195" s="173">
        <f t="shared" si="561"/>
        <v>86.699999999999989</v>
      </c>
      <c r="EC195" s="173">
        <f t="shared" si="562"/>
        <v>0.5085043988269794</v>
      </c>
      <c r="ED195" s="173">
        <f t="shared" si="563"/>
        <v>170.5</v>
      </c>
      <c r="EE195" s="460">
        <f t="shared" si="564"/>
        <v>0.66011404366243087</v>
      </c>
      <c r="EF195" s="5">
        <f t="shared" si="565"/>
        <v>35.804895459179818</v>
      </c>
      <c r="EH195" s="173">
        <f t="shared" si="566"/>
        <v>15.948791328015737</v>
      </c>
      <c r="EI195" s="173">
        <f t="shared" si="567"/>
        <v>0.81935449584390607</v>
      </c>
      <c r="EK195" s="528">
        <f t="shared" si="568"/>
        <v>10.174557792983601</v>
      </c>
      <c r="EL195" s="528">
        <f t="shared" si="569"/>
        <v>4.219875</v>
      </c>
      <c r="EM195" s="528">
        <f t="shared" si="570"/>
        <v>4.4214899185676226E-2</v>
      </c>
      <c r="EN195" s="528">
        <f t="shared" si="571"/>
        <v>1.3579528546712804E-2</v>
      </c>
      <c r="EO195">
        <f t="shared" si="572"/>
        <v>4.0499999999999998E-3</v>
      </c>
      <c r="EP195" s="460">
        <f t="shared" si="573"/>
        <v>48.264899185676228</v>
      </c>
      <c r="EQ195" s="460"/>
      <c r="ER195" s="460">
        <f t="shared" si="593"/>
        <v>14456.277220715987</v>
      </c>
      <c r="ES195" s="528">
        <f t="shared" si="574"/>
        <v>0.35699999999999998</v>
      </c>
      <c r="EV195" s="460">
        <f t="shared" si="494"/>
        <v>357</v>
      </c>
      <c r="EW195" s="528">
        <f t="shared" si="575"/>
        <v>7.6309183447376991</v>
      </c>
      <c r="EX195" s="528">
        <f t="shared" si="576"/>
        <v>2.0140253695788642E-2</v>
      </c>
      <c r="EY195" s="528">
        <f t="shared" si="577"/>
        <v>358.70891443764424</v>
      </c>
      <c r="EZ195" s="528"/>
      <c r="FA195" s="528">
        <f t="shared" si="578"/>
        <v>8.67</v>
      </c>
      <c r="FB195" s="460">
        <f t="shared" si="579"/>
        <v>375029.97303607775</v>
      </c>
      <c r="FC195" s="173">
        <f t="shared" si="580"/>
        <v>389.84325025679374</v>
      </c>
      <c r="FD195" s="5">
        <f t="shared" si="581"/>
        <v>86.7</v>
      </c>
      <c r="FE195" s="173">
        <f t="shared" si="582"/>
        <v>0.18193521774420304</v>
      </c>
      <c r="FF195" s="5">
        <f t="shared" si="583"/>
        <v>18.193521774420304</v>
      </c>
      <c r="FI195" s="562">
        <f t="shared" si="584"/>
        <v>-50</v>
      </c>
      <c r="FJ195">
        <f t="shared" si="585"/>
        <v>-50</v>
      </c>
      <c r="FL195">
        <f t="shared" si="586"/>
        <v>0.51355206847360912</v>
      </c>
    </row>
    <row r="196" spans="5:168">
      <c r="E196" s="170">
        <v>86</v>
      </c>
      <c r="F196" s="217">
        <f t="shared" si="587"/>
        <v>0.51600000000000001</v>
      </c>
      <c r="G196" s="217"/>
      <c r="H196" s="217">
        <f t="shared" si="495"/>
        <v>87.72</v>
      </c>
      <c r="I196" s="541">
        <f t="shared" si="496"/>
        <v>7.5627509482429867</v>
      </c>
      <c r="J196" s="172">
        <f t="shared" si="497"/>
        <v>8.5265399096983128</v>
      </c>
      <c r="K196" s="172">
        <f t="shared" si="498"/>
        <v>16.0892908579413</v>
      </c>
      <c r="L196" s="443"/>
      <c r="M196" s="217">
        <f t="shared" si="499"/>
        <v>0.52995029963072882</v>
      </c>
      <c r="N196" s="172">
        <f t="shared" si="500"/>
        <v>134.67819921051623</v>
      </c>
      <c r="O196" s="172">
        <f t="shared" si="438"/>
        <v>87.72</v>
      </c>
      <c r="P196" s="217">
        <f t="shared" si="501"/>
        <v>0.79222470123833078</v>
      </c>
      <c r="Q196" s="217">
        <f t="shared" si="502"/>
        <v>170</v>
      </c>
      <c r="R196" s="217"/>
      <c r="S196" s="172">
        <f t="shared" si="503"/>
        <v>337.5185216609284</v>
      </c>
      <c r="T196" s="536">
        <f t="shared" si="504"/>
        <v>170</v>
      </c>
      <c r="U196" s="217">
        <f t="shared" si="505"/>
        <v>43.910250307116904</v>
      </c>
      <c r="V196" s="217">
        <f t="shared" si="506"/>
        <v>2.9030607121419445</v>
      </c>
      <c r="W196" s="217">
        <f t="shared" si="507"/>
        <v>2.5749161308195028</v>
      </c>
      <c r="X196" s="197">
        <f t="shared" si="508"/>
        <v>350</v>
      </c>
      <c r="Y196" s="443">
        <f t="shared" si="509"/>
        <v>176.11906981262584</v>
      </c>
      <c r="AA196" s="217">
        <f t="shared" si="510"/>
        <v>22.902224966783589</v>
      </c>
      <c r="AB196" s="173">
        <f t="shared" si="511"/>
        <v>1.3429964094071729</v>
      </c>
      <c r="AC196" s="173">
        <f t="shared" si="512"/>
        <v>0.26912905160597461</v>
      </c>
      <c r="AD196" s="173"/>
      <c r="AE196" s="173">
        <f t="shared" si="513"/>
        <v>0.7818724520463245</v>
      </c>
      <c r="AF196" s="545">
        <f t="shared" si="514"/>
        <v>1979.8625670319482</v>
      </c>
      <c r="AG196" s="528">
        <f t="shared" si="515"/>
        <v>9.1218452738737882E-2</v>
      </c>
      <c r="AI196" s="173">
        <f t="shared" si="516"/>
        <v>31.711898058810959</v>
      </c>
      <c r="AJ196" s="173">
        <f t="shared" si="517"/>
        <v>43.910250307116904</v>
      </c>
      <c r="AK196" s="173">
        <f t="shared" si="518"/>
        <v>23.849568128728567</v>
      </c>
      <c r="AM196" s="545">
        <f t="shared" si="519"/>
        <v>516</v>
      </c>
      <c r="AN196" s="460">
        <f t="shared" si="520"/>
        <v>176.11906981262584</v>
      </c>
      <c r="AP196">
        <f t="shared" si="521"/>
        <v>516</v>
      </c>
      <c r="AQ196">
        <f t="shared" si="522"/>
        <v>176.11906981262584</v>
      </c>
      <c r="AS196" s="5">
        <f t="shared" si="439"/>
        <v>5.6779768429614474</v>
      </c>
      <c r="AT196" s="5">
        <f t="shared" si="523"/>
        <v>2.9030607121419445</v>
      </c>
      <c r="AU196" s="5">
        <f t="shared" si="478"/>
        <v>2.7749161308195029</v>
      </c>
      <c r="AV196" s="5"/>
      <c r="AW196" s="173">
        <f t="shared" si="479"/>
        <v>0.5112843522320184</v>
      </c>
      <c r="AX196" s="173">
        <f t="shared" si="435"/>
        <v>84.894238536028482</v>
      </c>
      <c r="AY196" s="173">
        <f t="shared" si="436"/>
        <v>0.53649066056242134</v>
      </c>
      <c r="AZ196" s="173">
        <f t="shared" si="440"/>
        <v>158.23991874719866</v>
      </c>
      <c r="BA196" s="460">
        <f t="shared" si="594"/>
        <v>0.88116431027367259</v>
      </c>
      <c r="BB196" s="5">
        <f t="shared" si="595"/>
        <v>51.497799075779582</v>
      </c>
      <c r="BD196" s="173">
        <f t="shared" si="441"/>
        <v>18.127442495882715</v>
      </c>
      <c r="BE196" s="173">
        <f t="shared" si="437"/>
        <v>0.88614218559488545</v>
      </c>
      <c r="BG196" s="528">
        <f t="shared" si="480"/>
        <v>13.144166857661382</v>
      </c>
      <c r="BH196" s="528">
        <f t="shared" si="524"/>
        <v>2.7995724865485614</v>
      </c>
      <c r="BI196" s="528">
        <f t="shared" si="525"/>
        <v>5.3277786489164355E-2</v>
      </c>
      <c r="BJ196" s="528">
        <f t="shared" si="481"/>
        <v>9.1182224750468634E-3</v>
      </c>
      <c r="BK196">
        <f t="shared" si="482"/>
        <v>3.4032379267093437E-3</v>
      </c>
      <c r="BL196" s="460">
        <f t="shared" si="588"/>
        <v>56.681024415873701</v>
      </c>
      <c r="BM196" s="528">
        <f t="shared" si="526"/>
        <v>-9.1857212305491895</v>
      </c>
      <c r="BN196" s="460">
        <f t="shared" si="527"/>
        <v>-9185.7212305491903</v>
      </c>
      <c r="BO196" s="528">
        <f t="shared" si="483"/>
        <v>0.36119999999999997</v>
      </c>
      <c r="BR196" s="460">
        <f t="shared" si="484"/>
        <v>361.2</v>
      </c>
      <c r="BS196" s="528">
        <f t="shared" si="485"/>
        <v>9.8581251432460366</v>
      </c>
      <c r="BT196" s="528">
        <f t="shared" si="486"/>
        <v>2.3557439192726411E-2</v>
      </c>
      <c r="BU196" s="528">
        <f t="shared" si="487"/>
        <v>262.96669240727135</v>
      </c>
      <c r="BV196" s="528"/>
      <c r="BW196" s="528">
        <f t="shared" si="488"/>
        <v>8.4894238536028492</v>
      </c>
      <c r="BX196" s="460">
        <f t="shared" si="489"/>
        <v>281337.79884331295</v>
      </c>
      <c r="BY196" s="173">
        <f t="shared" si="490"/>
        <v>297.70853743441381</v>
      </c>
      <c r="BZ196" s="5">
        <f t="shared" si="491"/>
        <v>87.72</v>
      </c>
      <c r="CA196" s="173">
        <f t="shared" si="492"/>
        <v>0.22759082807906206</v>
      </c>
      <c r="CB196" s="5">
        <f t="shared" si="493"/>
        <v>22.759082807906207</v>
      </c>
      <c r="CE196" s="562">
        <f t="shared" si="528"/>
        <v>-50</v>
      </c>
      <c r="CF196">
        <f t="shared" si="529"/>
        <v>-50</v>
      </c>
      <c r="CG196" s="173">
        <f t="shared" si="530"/>
        <v>0.50262687536086936</v>
      </c>
      <c r="CI196" s="170">
        <v>86</v>
      </c>
      <c r="CJ196" s="217">
        <f t="shared" si="589"/>
        <v>0.51600000000000001</v>
      </c>
      <c r="CK196" s="217"/>
      <c r="CL196" s="217">
        <f t="shared" si="531"/>
        <v>87.72</v>
      </c>
      <c r="CM196" s="541">
        <f t="shared" si="532"/>
        <v>9</v>
      </c>
      <c r="CN196" s="443">
        <f t="shared" si="533"/>
        <v>8.5250000000000004</v>
      </c>
      <c r="CO196" s="443">
        <f t="shared" si="534"/>
        <v>17.524999999999999</v>
      </c>
      <c r="CP196" s="443"/>
      <c r="CQ196" s="217">
        <f t="shared" si="535"/>
        <v>0.48644793152639093</v>
      </c>
      <c r="CR196" s="172">
        <f t="shared" si="590"/>
        <v>147.11644793152644</v>
      </c>
      <c r="CS196" s="172">
        <f t="shared" si="536"/>
        <v>87.72</v>
      </c>
      <c r="CT196" s="217">
        <f t="shared" si="537"/>
        <v>0.86539087018544958</v>
      </c>
      <c r="CU196" s="217">
        <f t="shared" si="538"/>
        <v>170</v>
      </c>
      <c r="CV196" s="217"/>
      <c r="CW196" s="172">
        <f t="shared" si="539"/>
        <v>401.61916308995086</v>
      </c>
      <c r="CX196" s="536">
        <f t="shared" si="540"/>
        <v>170</v>
      </c>
      <c r="CY196" s="217">
        <f t="shared" si="541"/>
        <v>40.072805474095794</v>
      </c>
      <c r="CZ196" s="217">
        <f t="shared" si="542"/>
        <v>2.2262669707830995</v>
      </c>
      <c r="DA196" s="217">
        <f t="shared" si="543"/>
        <v>2.3503111715012195</v>
      </c>
      <c r="DB196" s="197">
        <f t="shared" si="544"/>
        <v>350</v>
      </c>
      <c r="DC196" s="443">
        <f t="shared" si="545"/>
        <v>218.50386225479534</v>
      </c>
      <c r="DE196" s="217">
        <f t="shared" si="546"/>
        <v>25.017322192785819</v>
      </c>
      <c r="DF196" s="173">
        <f t="shared" si="547"/>
        <v>1.467291624210312</v>
      </c>
      <c r="DG196" s="173">
        <f t="shared" si="548"/>
        <v>0.32119243899439714</v>
      </c>
      <c r="DH196" s="173"/>
      <c r="DI196" s="173">
        <f t="shared" si="549"/>
        <v>0.78201368523949166</v>
      </c>
      <c r="DJ196" s="545">
        <f t="shared" si="550"/>
        <v>1979.5050000000001</v>
      </c>
      <c r="DK196" s="528">
        <f t="shared" si="551"/>
        <v>9.1234929944607357E-2</v>
      </c>
      <c r="DM196" s="173">
        <f t="shared" si="552"/>
        <v>31.709034314259039</v>
      </c>
      <c r="DN196" s="173">
        <f t="shared" si="553"/>
        <v>40.072805474095794</v>
      </c>
      <c r="DO196" s="173">
        <f t="shared" si="554"/>
        <v>21.007016400564783</v>
      </c>
      <c r="DQ196" s="545">
        <f t="shared" si="555"/>
        <v>516</v>
      </c>
      <c r="DR196" s="460">
        <f t="shared" si="556"/>
        <v>218.50386225479534</v>
      </c>
      <c r="DT196">
        <f t="shared" si="591"/>
        <v>516</v>
      </c>
      <c r="DU196">
        <f t="shared" si="592"/>
        <v>218.50386225479534</v>
      </c>
      <c r="DW196" s="5">
        <f t="shared" si="557"/>
        <v>4.576578142284319</v>
      </c>
      <c r="DX196" s="5">
        <f t="shared" si="558"/>
        <v>2.2262669707830995</v>
      </c>
      <c r="DY196" s="5">
        <f t="shared" si="559"/>
        <v>2.3503111715012195</v>
      </c>
      <c r="DZ196" s="5"/>
      <c r="EA196" s="173">
        <f t="shared" si="560"/>
        <v>0.48644793152639088</v>
      </c>
      <c r="EB196" s="173">
        <f t="shared" si="561"/>
        <v>87.72</v>
      </c>
      <c r="EC196" s="173">
        <f t="shared" si="562"/>
        <v>0.51448680351906162</v>
      </c>
      <c r="ED196" s="173">
        <f t="shared" si="563"/>
        <v>170.5</v>
      </c>
      <c r="EE196" s="460">
        <f t="shared" si="564"/>
        <v>0.67573750407298783</v>
      </c>
      <c r="EF196" s="5">
        <f t="shared" si="565"/>
        <v>36.652319282504351</v>
      </c>
      <c r="EH196" s="173">
        <f t="shared" si="566"/>
        <v>16.136424167168865</v>
      </c>
      <c r="EI196" s="173">
        <f t="shared" si="567"/>
        <v>0.82899396050089325</v>
      </c>
      <c r="EK196" s="528">
        <f t="shared" si="568"/>
        <v>10.415367396111655</v>
      </c>
      <c r="EL196" s="528">
        <f t="shared" si="569"/>
        <v>4.219875</v>
      </c>
      <c r="EM196" s="528">
        <f t="shared" si="570"/>
        <v>4.3700772450959061E-2</v>
      </c>
      <c r="EN196" s="528">
        <f t="shared" si="571"/>
        <v>1.3421627051983586E-2</v>
      </c>
      <c r="EO196">
        <f t="shared" si="572"/>
        <v>4.0499999999999998E-3</v>
      </c>
      <c r="EP196" s="460">
        <f t="shared" si="573"/>
        <v>47.750772450959062</v>
      </c>
      <c r="EQ196" s="460"/>
      <c r="ER196" s="460">
        <f t="shared" si="593"/>
        <v>14696.414795614597</v>
      </c>
      <c r="ES196" s="528">
        <f t="shared" si="574"/>
        <v>0.36119999999999997</v>
      </c>
      <c r="EV196" s="460">
        <f t="shared" si="494"/>
        <v>361.2</v>
      </c>
      <c r="EW196" s="528">
        <f t="shared" si="575"/>
        <v>7.8115255470837415</v>
      </c>
      <c r="EX196" s="528">
        <f t="shared" si="576"/>
        <v>2.0616929596408696E-2</v>
      </c>
      <c r="EY196" s="528">
        <f t="shared" si="577"/>
        <v>358.70891443764356</v>
      </c>
      <c r="EZ196" s="528"/>
      <c r="FA196" s="528">
        <f t="shared" si="578"/>
        <v>8.7719999999999985</v>
      </c>
      <c r="FB196" s="460">
        <f t="shared" si="579"/>
        <v>375313.05691432371</v>
      </c>
      <c r="FC196" s="173">
        <f t="shared" si="580"/>
        <v>390.37067170993828</v>
      </c>
      <c r="FD196" s="5">
        <f t="shared" si="581"/>
        <v>87.72</v>
      </c>
      <c r="FE196" s="173">
        <f t="shared" si="582"/>
        <v>0.18347984010284241</v>
      </c>
      <c r="FF196" s="5">
        <f t="shared" si="583"/>
        <v>18.34798401028424</v>
      </c>
      <c r="FI196" s="562">
        <f t="shared" si="584"/>
        <v>-50</v>
      </c>
      <c r="FJ196">
        <f t="shared" si="585"/>
        <v>-50</v>
      </c>
      <c r="FL196">
        <f t="shared" si="586"/>
        <v>0.51355206847360912</v>
      </c>
    </row>
    <row r="197" spans="5:168">
      <c r="E197" s="170">
        <v>87</v>
      </c>
      <c r="F197" s="217">
        <f t="shared" si="587"/>
        <v>0.52200000000000002</v>
      </c>
      <c r="G197" s="217"/>
      <c r="H197" s="217">
        <f t="shared" si="495"/>
        <v>88.740000000000009</v>
      </c>
      <c r="I197" s="541">
        <f t="shared" si="496"/>
        <v>7.5464019187442855</v>
      </c>
      <c r="J197" s="172">
        <f t="shared" si="497"/>
        <v>8.5265574265156321</v>
      </c>
      <c r="K197" s="172">
        <f t="shared" si="498"/>
        <v>16.072959345259918</v>
      </c>
      <c r="L197" s="443"/>
      <c r="M197" s="217">
        <f t="shared" si="499"/>
        <v>0.53048986600353132</v>
      </c>
      <c r="N197" s="172">
        <f t="shared" si="500"/>
        <v>134.52387965330615</v>
      </c>
      <c r="O197" s="172">
        <f t="shared" si="438"/>
        <v>88.740000000000009</v>
      </c>
      <c r="P197" s="217">
        <f t="shared" si="501"/>
        <v>0.791316939137095</v>
      </c>
      <c r="Q197" s="217">
        <f t="shared" si="502"/>
        <v>170</v>
      </c>
      <c r="R197" s="217"/>
      <c r="S197" s="172">
        <f t="shared" si="503"/>
        <v>331.18976404034333</v>
      </c>
      <c r="T197" s="536">
        <f t="shared" si="504"/>
        <v>170</v>
      </c>
      <c r="U197" s="217">
        <f t="shared" si="505"/>
        <v>44.471883540126186</v>
      </c>
      <c r="V197" s="217">
        <f t="shared" si="506"/>
        <v>2.9465620847508651</v>
      </c>
      <c r="W197" s="217">
        <f t="shared" si="507"/>
        <v>2.6078451897731232</v>
      </c>
      <c r="X197" s="197">
        <f t="shared" si="508"/>
        <v>350</v>
      </c>
      <c r="Y197" s="443">
        <f t="shared" si="509"/>
        <v>173.77984426427676</v>
      </c>
      <c r="AA197" s="217">
        <f t="shared" si="510"/>
        <v>22.875982642315289</v>
      </c>
      <c r="AB197" s="173">
        <f t="shared" si="511"/>
        <v>1.3414547922457101</v>
      </c>
      <c r="AC197" s="173">
        <f t="shared" si="512"/>
        <v>0.26851209475005589</v>
      </c>
      <c r="AD197" s="173"/>
      <c r="AE197" s="173">
        <f t="shared" si="513"/>
        <v>0.78187084578060384</v>
      </c>
      <c r="AF197" s="545">
        <f t="shared" si="514"/>
        <v>2002.888339488522</v>
      </c>
      <c r="AG197" s="528">
        <f t="shared" si="515"/>
        <v>9.121826534107047E-2</v>
      </c>
      <c r="AI197" s="173">
        <f t="shared" si="516"/>
        <v>31.895769452178932</v>
      </c>
      <c r="AJ197" s="173">
        <f t="shared" si="517"/>
        <v>44.471883540126186</v>
      </c>
      <c r="AK197" s="173">
        <f t="shared" si="518"/>
        <v>24.26559274577248</v>
      </c>
      <c r="AM197" s="545">
        <f t="shared" si="519"/>
        <v>522</v>
      </c>
      <c r="AN197" s="460">
        <f t="shared" si="520"/>
        <v>173.77984426427676</v>
      </c>
      <c r="AP197">
        <f t="shared" si="521"/>
        <v>522</v>
      </c>
      <c r="AQ197">
        <f t="shared" si="522"/>
        <v>173.77984426427676</v>
      </c>
      <c r="AS197" s="5">
        <f t="shared" si="439"/>
        <v>5.754407274523988</v>
      </c>
      <c r="AT197" s="5">
        <f t="shared" si="523"/>
        <v>2.9465620847508651</v>
      </c>
      <c r="AU197" s="5">
        <f t="shared" si="478"/>
        <v>2.8078451897731229</v>
      </c>
      <c r="AV197" s="5"/>
      <c r="AW197" s="173">
        <f t="shared" si="479"/>
        <v>0.51205310020302808</v>
      </c>
      <c r="AX197" s="173">
        <f t="shared" ref="AX197:AX210" si="596">0.5*L*AJ197^2*AN197*1000</f>
        <v>85.923203348956037</v>
      </c>
      <c r="AY197" s="173">
        <f t="shared" ref="AY197:AY210" si="597">AJ197*Nps/2*(1-AW197)</f>
        <v>0.54249794253841399</v>
      </c>
      <c r="AZ197" s="173">
        <f t="shared" si="440"/>
        <v>158.38438565667346</v>
      </c>
      <c r="BA197" s="460">
        <f t="shared" si="594"/>
        <v>0.90476788719997159</v>
      </c>
      <c r="BB197" s="5">
        <f t="shared" si="595"/>
        <v>52.829029743897514</v>
      </c>
      <c r="BD197" s="173">
        <f t="shared" si="441"/>
        <v>18.373098203201785</v>
      </c>
      <c r="BE197" s="173">
        <f t="shared" ref="BE197:BE210" si="598">AJ197*Nps*SQRT((1-AW197)/3)</f>
        <v>0.89677022923612593</v>
      </c>
      <c r="BG197" s="528">
        <f t="shared" si="480"/>
        <v>13.502829503379868</v>
      </c>
      <c r="BH197" s="528">
        <f t="shared" si="524"/>
        <v>2.7948808097965205</v>
      </c>
      <c r="BI197" s="528">
        <f t="shared" si="525"/>
        <v>5.2456502007800845E-2</v>
      </c>
      <c r="BJ197" s="528">
        <f t="shared" si="481"/>
        <v>8.9788577620532901E-3</v>
      </c>
      <c r="BK197">
        <f t="shared" si="482"/>
        <v>3.3958808634349281E-3</v>
      </c>
      <c r="BL197" s="460">
        <f t="shared" si="588"/>
        <v>55.852382871235768</v>
      </c>
      <c r="BM197" s="528">
        <f t="shared" si="526"/>
        <v>-9.0353228753431445</v>
      </c>
      <c r="BN197" s="460">
        <f t="shared" si="527"/>
        <v>-9035.3228753431449</v>
      </c>
      <c r="BO197" s="528">
        <f t="shared" si="483"/>
        <v>0.3654</v>
      </c>
      <c r="BR197" s="460">
        <f t="shared" si="484"/>
        <v>365.4</v>
      </c>
      <c r="BS197" s="528">
        <f t="shared" si="485"/>
        <v>10.1271221275349</v>
      </c>
      <c r="BT197" s="528">
        <f t="shared" si="486"/>
        <v>2.4125905321326416E-2</v>
      </c>
      <c r="BU197" s="528">
        <f t="shared" si="487"/>
        <v>262.53204582236754</v>
      </c>
      <c r="BV197" s="528"/>
      <c r="BW197" s="528">
        <f t="shared" si="488"/>
        <v>8.5923203348956054</v>
      </c>
      <c r="BX197" s="460">
        <f t="shared" si="489"/>
        <v>281275.61419011938</v>
      </c>
      <c r="BY197" s="173">
        <f t="shared" si="490"/>
        <v>298.00355574392904</v>
      </c>
      <c r="BZ197" s="5">
        <f t="shared" si="491"/>
        <v>88.740000000000009</v>
      </c>
      <c r="CA197" s="173">
        <f t="shared" si="492"/>
        <v>0.22945437275432357</v>
      </c>
      <c r="CB197" s="5">
        <f t="shared" si="493"/>
        <v>22.945437275432358</v>
      </c>
      <c r="CE197" s="562">
        <f t="shared" si="528"/>
        <v>-50</v>
      </c>
      <c r="CF197">
        <f t="shared" si="529"/>
        <v>-50</v>
      </c>
      <c r="CG197" s="173">
        <f t="shared" si="530"/>
        <v>0.50275245229319954</v>
      </c>
      <c r="CI197" s="170">
        <v>87</v>
      </c>
      <c r="CJ197" s="217">
        <f t="shared" si="589"/>
        <v>0.52200000000000002</v>
      </c>
      <c r="CK197" s="217"/>
      <c r="CL197" s="217">
        <f t="shared" si="531"/>
        <v>88.740000000000009</v>
      </c>
      <c r="CM197" s="541">
        <f t="shared" si="532"/>
        <v>9</v>
      </c>
      <c r="CN197" s="443">
        <f t="shared" si="533"/>
        <v>8.5250000000000004</v>
      </c>
      <c r="CO197" s="443">
        <f t="shared" si="534"/>
        <v>17.524999999999999</v>
      </c>
      <c r="CP197" s="443"/>
      <c r="CQ197" s="217">
        <f t="shared" si="535"/>
        <v>0.48644793152639093</v>
      </c>
      <c r="CR197" s="172">
        <f t="shared" si="590"/>
        <v>147.11644793152644</v>
      </c>
      <c r="CS197" s="172">
        <f t="shared" si="536"/>
        <v>88.740000000000009</v>
      </c>
      <c r="CT197" s="217">
        <f t="shared" si="537"/>
        <v>0.86539087018544958</v>
      </c>
      <c r="CU197" s="217">
        <f t="shared" si="538"/>
        <v>170</v>
      </c>
      <c r="CV197" s="217"/>
      <c r="CW197" s="172">
        <f t="shared" si="539"/>
        <v>394.94023811930356</v>
      </c>
      <c r="CX197" s="536">
        <f t="shared" si="540"/>
        <v>170</v>
      </c>
      <c r="CY197" s="217">
        <f t="shared" si="541"/>
        <v>40.538768328445748</v>
      </c>
      <c r="CZ197" s="217">
        <f t="shared" si="542"/>
        <v>2.2521537960247637</v>
      </c>
      <c r="DA197" s="217">
        <f t="shared" si="543"/>
        <v>2.377640371169838</v>
      </c>
      <c r="DB197" s="197">
        <f t="shared" si="544"/>
        <v>350</v>
      </c>
      <c r="DC197" s="443">
        <f t="shared" si="545"/>
        <v>215.99232360818851</v>
      </c>
      <c r="DE197" s="217">
        <f t="shared" si="546"/>
        <v>25.017322192785819</v>
      </c>
      <c r="DF197" s="173">
        <f t="shared" si="547"/>
        <v>1.467291624210312</v>
      </c>
      <c r="DG197" s="173">
        <f t="shared" si="548"/>
        <v>0.32119243899439714</v>
      </c>
      <c r="DH197" s="173"/>
      <c r="DI197" s="173">
        <f t="shared" si="549"/>
        <v>0.78201368523949166</v>
      </c>
      <c r="DJ197" s="545">
        <f t="shared" si="550"/>
        <v>2002.5225</v>
      </c>
      <c r="DK197" s="528">
        <f t="shared" si="551"/>
        <v>9.1234929944607357E-2</v>
      </c>
      <c r="DM197" s="173">
        <f t="shared" si="552"/>
        <v>31.892856342985112</v>
      </c>
      <c r="DN197" s="173">
        <f t="shared" si="553"/>
        <v>40.538768328445748</v>
      </c>
      <c r="DO197" s="173">
        <f t="shared" si="554"/>
        <v>21.352174070453639</v>
      </c>
      <c r="DQ197" s="545">
        <f t="shared" si="555"/>
        <v>522</v>
      </c>
      <c r="DR197" s="460">
        <f t="shared" si="556"/>
        <v>215.99232360818851</v>
      </c>
      <c r="DT197">
        <f t="shared" si="591"/>
        <v>522</v>
      </c>
      <c r="DU197">
        <f t="shared" si="592"/>
        <v>215.99232360818851</v>
      </c>
      <c r="DW197" s="5">
        <f t="shared" si="557"/>
        <v>4.6297941671946017</v>
      </c>
      <c r="DX197" s="5">
        <f t="shared" si="558"/>
        <v>2.2521537960247637</v>
      </c>
      <c r="DY197" s="5">
        <f t="shared" si="559"/>
        <v>2.377640371169838</v>
      </c>
      <c r="DZ197" s="5"/>
      <c r="EA197" s="173">
        <f t="shared" si="560"/>
        <v>0.48644793152639093</v>
      </c>
      <c r="EB197" s="173">
        <f t="shared" si="561"/>
        <v>88.740000000000009</v>
      </c>
      <c r="EC197" s="173">
        <f t="shared" si="562"/>
        <v>0.52046920821114362</v>
      </c>
      <c r="ED197" s="173">
        <f t="shared" si="563"/>
        <v>170.50000000000003</v>
      </c>
      <c r="EE197" s="460">
        <f t="shared" si="564"/>
        <v>0.69154369501466273</v>
      </c>
      <c r="EF197" s="5">
        <f t="shared" si="565"/>
        <v>37.509654495575369</v>
      </c>
      <c r="EH197" s="173">
        <f t="shared" si="566"/>
        <v>16.32405700632199</v>
      </c>
      <c r="EI197" s="173">
        <f t="shared" si="567"/>
        <v>0.83863342515788053</v>
      </c>
      <c r="EK197" s="528">
        <f t="shared" si="568"/>
        <v>10.658993485826002</v>
      </c>
      <c r="EL197" s="528">
        <f t="shared" si="569"/>
        <v>4.2198750000000009</v>
      </c>
      <c r="EM197" s="528">
        <f t="shared" si="570"/>
        <v>4.31984647216377E-2</v>
      </c>
      <c r="EN197" s="528">
        <f t="shared" si="571"/>
        <v>1.326735547667343E-2</v>
      </c>
      <c r="EO197">
        <f t="shared" si="572"/>
        <v>4.0499999999999998E-3</v>
      </c>
      <c r="EP197" s="460">
        <f t="shared" si="573"/>
        <v>47.248464721637696</v>
      </c>
      <c r="EQ197" s="460"/>
      <c r="ER197" s="460">
        <f t="shared" si="593"/>
        <v>14939.384306024314</v>
      </c>
      <c r="ES197" s="528">
        <f t="shared" si="574"/>
        <v>0.3654</v>
      </c>
      <c r="EV197" s="460">
        <f t="shared" si="494"/>
        <v>365.4</v>
      </c>
      <c r="EW197" s="528">
        <f t="shared" si="575"/>
        <v>7.9942451143695008</v>
      </c>
      <c r="EX197" s="528">
        <f t="shared" si="576"/>
        <v>2.1099180653761151E-2</v>
      </c>
      <c r="EY197" s="528">
        <f t="shared" si="577"/>
        <v>358.70891443764481</v>
      </c>
      <c r="EZ197" s="528"/>
      <c r="FA197" s="528">
        <f t="shared" si="578"/>
        <v>8.8740000000000041</v>
      </c>
      <c r="FB197" s="460">
        <f t="shared" si="579"/>
        <v>375598.25873266812</v>
      </c>
      <c r="FC197" s="173">
        <f t="shared" si="580"/>
        <v>390.90304303869243</v>
      </c>
      <c r="FD197" s="5">
        <f t="shared" si="581"/>
        <v>88.740000000000009</v>
      </c>
      <c r="FE197" s="173">
        <f t="shared" si="582"/>
        <v>0.18501258652226801</v>
      </c>
      <c r="FF197" s="5">
        <f t="shared" si="583"/>
        <v>18.501258652226802</v>
      </c>
      <c r="FI197" s="562">
        <f t="shared" si="584"/>
        <v>-50</v>
      </c>
      <c r="FJ197">
        <f t="shared" si="585"/>
        <v>-50</v>
      </c>
      <c r="FL197">
        <f t="shared" si="586"/>
        <v>0.51355206847360901</v>
      </c>
    </row>
    <row r="198" spans="5:168">
      <c r="E198" s="170">
        <v>88</v>
      </c>
      <c r="F198" s="217">
        <f t="shared" si="587"/>
        <v>0.52800000000000002</v>
      </c>
      <c r="G198" s="217"/>
      <c r="H198" s="217">
        <f t="shared" si="495"/>
        <v>89.76</v>
      </c>
      <c r="I198" s="541">
        <f t="shared" si="496"/>
        <v>7.5300527119883576</v>
      </c>
      <c r="J198" s="172">
        <f t="shared" si="497"/>
        <v>8.5265749435228706</v>
      </c>
      <c r="K198" s="172">
        <f t="shared" si="498"/>
        <v>16.056627655511228</v>
      </c>
      <c r="L198" s="443"/>
      <c r="M198" s="217">
        <f t="shared" si="499"/>
        <v>0.53103053584753623</v>
      </c>
      <c r="N198" s="172">
        <f t="shared" si="500"/>
        <v>134.36924329376305</v>
      </c>
      <c r="O198" s="172">
        <f t="shared" ref="O198:O261" si="599">T198*F198</f>
        <v>89.76</v>
      </c>
      <c r="P198" s="217">
        <f t="shared" si="501"/>
        <v>0.79040731349272386</v>
      </c>
      <c r="Q198" s="217">
        <f t="shared" si="502"/>
        <v>170</v>
      </c>
      <c r="R198" s="217"/>
      <c r="S198" s="172">
        <f t="shared" si="503"/>
        <v>325.01239063512327</v>
      </c>
      <c r="T198" s="536">
        <f t="shared" si="504"/>
        <v>170</v>
      </c>
      <c r="U198" s="217">
        <f t="shared" si="505"/>
        <v>45.03491509445869</v>
      </c>
      <c r="V198" s="217">
        <f t="shared" si="506"/>
        <v>2.9903452749248376</v>
      </c>
      <c r="W198" s="217">
        <f t="shared" si="507"/>
        <v>2.6408561112026008</v>
      </c>
      <c r="X198" s="197">
        <f t="shared" si="508"/>
        <v>350</v>
      </c>
      <c r="Y198" s="443">
        <f t="shared" si="509"/>
        <v>171.49124747758205</v>
      </c>
      <c r="AA198" s="217">
        <f t="shared" si="510"/>
        <v>22.849686445445084</v>
      </c>
      <c r="AB198" s="173">
        <f t="shared" si="511"/>
        <v>1.3399100223004916</v>
      </c>
      <c r="AC198" s="173">
        <f t="shared" si="512"/>
        <v>0.26789458390341114</v>
      </c>
      <c r="AD198" s="173"/>
      <c r="AE198" s="173">
        <f t="shared" si="513"/>
        <v>0.78186923950406784</v>
      </c>
      <c r="AF198" s="545">
        <f t="shared" si="514"/>
        <v>2025.9142065810338</v>
      </c>
      <c r="AG198" s="528">
        <f t="shared" si="515"/>
        <v>9.1218077942141262E-2</v>
      </c>
      <c r="AI198" s="173">
        <f t="shared" si="516"/>
        <v>32.078587678851008</v>
      </c>
      <c r="AJ198" s="173">
        <f t="shared" si="517"/>
        <v>45.03491509445869</v>
      </c>
      <c r="AK198" s="173">
        <f t="shared" si="518"/>
        <v>24.682653156389151</v>
      </c>
      <c r="AM198" s="545">
        <f t="shared" si="519"/>
        <v>528</v>
      </c>
      <c r="AN198" s="460">
        <f t="shared" si="520"/>
        <v>171.49124747758205</v>
      </c>
      <c r="AP198">
        <f t="shared" si="521"/>
        <v>528</v>
      </c>
      <c r="AQ198">
        <f t="shared" si="522"/>
        <v>171.49124747758205</v>
      </c>
      <c r="AS198" s="5">
        <f t="shared" ref="AS198:AS262" si="600">1/AN198*1000</f>
        <v>5.8312013861274385</v>
      </c>
      <c r="AT198" s="5">
        <f t="shared" si="523"/>
        <v>2.9903452749248376</v>
      </c>
      <c r="AU198" s="5">
        <f t="shared" si="478"/>
        <v>2.840856111202601</v>
      </c>
      <c r="AV198" s="5"/>
      <c r="AW198" s="173">
        <f t="shared" si="479"/>
        <v>0.51281804158555344</v>
      </c>
      <c r="AX198" s="173">
        <f t="shared" si="596"/>
        <v>86.952218045071433</v>
      </c>
      <c r="AY198" s="173">
        <f t="shared" si="597"/>
        <v>0.54850495331866767</v>
      </c>
      <c r="AZ198" s="173">
        <f t="shared" ref="AZ198:AZ210" si="601">AX198/AY198</f>
        <v>158.52585745849112</v>
      </c>
      <c r="BA198" s="460">
        <f t="shared" si="594"/>
        <v>0.92876606185900856</v>
      </c>
      <c r="BB198" s="5">
        <f t="shared" si="595"/>
        <v>54.181877188843714</v>
      </c>
      <c r="BD198" s="173">
        <f t="shared" ref="BD198:BD210" si="602">AJ198*SQRT(AW198/3)</f>
        <v>18.619600940060039</v>
      </c>
      <c r="BE198" s="173">
        <f t="shared" si="598"/>
        <v>0.90741159351928458</v>
      </c>
      <c r="BG198" s="528">
        <f t="shared" si="480"/>
        <v>13.867581566683386</v>
      </c>
      <c r="BH198" s="528">
        <f t="shared" si="524"/>
        <v>2.790153922657431</v>
      </c>
      <c r="BI198" s="528">
        <f t="shared" si="525"/>
        <v>5.1653525326033331E-2</v>
      </c>
      <c r="BJ198" s="528">
        <f t="shared" si="481"/>
        <v>8.8426131973790671E-3</v>
      </c>
      <c r="BK198">
        <f t="shared" si="482"/>
        <v>3.3885237203947608E-3</v>
      </c>
      <c r="BL198" s="460">
        <f t="shared" si="588"/>
        <v>55.04204904642809</v>
      </c>
      <c r="BM198" s="528">
        <f t="shared" si="526"/>
        <v>-8.8938483904832548</v>
      </c>
      <c r="BN198" s="460">
        <f t="shared" si="527"/>
        <v>-8893.8483904832556</v>
      </c>
      <c r="BO198" s="528">
        <f t="shared" si="483"/>
        <v>0.36959999999999998</v>
      </c>
      <c r="BR198" s="460">
        <f t="shared" si="484"/>
        <v>369.59999999999997</v>
      </c>
      <c r="BS198" s="528">
        <f t="shared" si="485"/>
        <v>10.40068617501254</v>
      </c>
      <c r="BT198" s="528">
        <f t="shared" si="486"/>
        <v>2.4701874001596218E-2</v>
      </c>
      <c r="BU198" s="528">
        <f t="shared" si="487"/>
        <v>262.08868627764303</v>
      </c>
      <c r="BV198" s="528"/>
      <c r="BW198" s="528">
        <f t="shared" si="488"/>
        <v>8.6952218045071437</v>
      </c>
      <c r="BX198" s="460">
        <f t="shared" si="489"/>
        <v>281209.2961311643</v>
      </c>
      <c r="BY198" s="173">
        <f t="shared" si="490"/>
        <v>298.3005162827489</v>
      </c>
      <c r="BZ198" s="5">
        <f t="shared" si="491"/>
        <v>89.76</v>
      </c>
      <c r="CA198" s="173">
        <f t="shared" si="492"/>
        <v>0.23130412972650641</v>
      </c>
      <c r="CB198" s="5">
        <f t="shared" si="493"/>
        <v>23.130412972650642</v>
      </c>
      <c r="CE198" s="562">
        <f t="shared" si="528"/>
        <v>-50</v>
      </c>
      <c r="CF198">
        <f t="shared" si="529"/>
        <v>-50</v>
      </c>
      <c r="CG198" s="173">
        <f t="shared" si="530"/>
        <v>0.50287517520434066</v>
      </c>
      <c r="CI198" s="170">
        <v>88</v>
      </c>
      <c r="CJ198" s="217">
        <f t="shared" si="589"/>
        <v>0.52800000000000002</v>
      </c>
      <c r="CK198" s="217"/>
      <c r="CL198" s="217">
        <f t="shared" si="531"/>
        <v>89.76</v>
      </c>
      <c r="CM198" s="541">
        <f t="shared" si="532"/>
        <v>9</v>
      </c>
      <c r="CN198" s="443">
        <f t="shared" si="533"/>
        <v>8.5250000000000004</v>
      </c>
      <c r="CO198" s="443">
        <f t="shared" si="534"/>
        <v>17.524999999999999</v>
      </c>
      <c r="CP198" s="443"/>
      <c r="CQ198" s="217">
        <f t="shared" si="535"/>
        <v>0.48644793152639093</v>
      </c>
      <c r="CR198" s="172">
        <f t="shared" si="590"/>
        <v>147.11644793152644</v>
      </c>
      <c r="CS198" s="172">
        <f t="shared" si="536"/>
        <v>89.76</v>
      </c>
      <c r="CT198" s="217">
        <f t="shared" si="537"/>
        <v>0.86539087018544958</v>
      </c>
      <c r="CU198" s="217">
        <f t="shared" si="538"/>
        <v>170</v>
      </c>
      <c r="CV198" s="217"/>
      <c r="CW198" s="172">
        <f t="shared" si="539"/>
        <v>388.41323226735943</v>
      </c>
      <c r="CX198" s="536">
        <f t="shared" si="540"/>
        <v>170</v>
      </c>
      <c r="CY198" s="217">
        <f t="shared" si="541"/>
        <v>41.004731182795695</v>
      </c>
      <c r="CZ198" s="217">
        <f t="shared" si="542"/>
        <v>2.2780406212664275</v>
      </c>
      <c r="DA198" s="217">
        <f t="shared" si="543"/>
        <v>2.4049695708384569</v>
      </c>
      <c r="DB198" s="197">
        <f t="shared" si="544"/>
        <v>350</v>
      </c>
      <c r="DC198" s="443">
        <f t="shared" si="545"/>
        <v>213.53786538536818</v>
      </c>
      <c r="DE198" s="217">
        <f t="shared" si="546"/>
        <v>25.017322192785819</v>
      </c>
      <c r="DF198" s="173">
        <f t="shared" si="547"/>
        <v>1.467291624210312</v>
      </c>
      <c r="DG198" s="173">
        <f t="shared" si="548"/>
        <v>0.32119243899439714</v>
      </c>
      <c r="DH198" s="173"/>
      <c r="DI198" s="173">
        <f t="shared" si="549"/>
        <v>0.78201368523949166</v>
      </c>
      <c r="DJ198" s="545">
        <f t="shared" si="550"/>
        <v>2025.54</v>
      </c>
      <c r="DK198" s="528">
        <f t="shared" si="551"/>
        <v>9.1234929944607357E-2</v>
      </c>
      <c r="DM198" s="173">
        <f t="shared" si="552"/>
        <v>32.07562492432087</v>
      </c>
      <c r="DN198" s="173">
        <f t="shared" si="553"/>
        <v>41.004731182795695</v>
      </c>
      <c r="DO198" s="173">
        <f t="shared" si="554"/>
        <v>21.697331740342488</v>
      </c>
      <c r="DQ198" s="545">
        <f t="shared" si="555"/>
        <v>528</v>
      </c>
      <c r="DR198" s="460">
        <f t="shared" si="556"/>
        <v>213.53786538536818</v>
      </c>
      <c r="DT198">
        <f t="shared" si="591"/>
        <v>528</v>
      </c>
      <c r="DU198">
        <f t="shared" si="592"/>
        <v>213.53786538536818</v>
      </c>
      <c r="DW198" s="5">
        <f t="shared" si="557"/>
        <v>4.6830101921048843</v>
      </c>
      <c r="DX198" s="5">
        <f t="shared" si="558"/>
        <v>2.2780406212664275</v>
      </c>
      <c r="DY198" s="5">
        <f t="shared" si="559"/>
        <v>2.4049695708384569</v>
      </c>
      <c r="DZ198" s="5"/>
      <c r="EA198" s="173">
        <f t="shared" si="560"/>
        <v>0.48644793152639088</v>
      </c>
      <c r="EB198" s="173">
        <f t="shared" si="561"/>
        <v>89.759999999999991</v>
      </c>
      <c r="EC198" s="173">
        <f t="shared" si="562"/>
        <v>0.52645161290322573</v>
      </c>
      <c r="ED198" s="173">
        <f t="shared" si="563"/>
        <v>170.5</v>
      </c>
      <c r="EE198" s="460">
        <f t="shared" si="564"/>
        <v>0.70753261648745525</v>
      </c>
      <c r="EF198" s="5">
        <f t="shared" si="565"/>
        <v>38.376901098392878</v>
      </c>
      <c r="EH198" s="173">
        <f t="shared" si="566"/>
        <v>16.511689845475114</v>
      </c>
      <c r="EI198" s="173">
        <f t="shared" si="567"/>
        <v>0.84827288981486737</v>
      </c>
      <c r="EK198" s="528">
        <f t="shared" si="568"/>
        <v>10.905436062126642</v>
      </c>
      <c r="EL198" s="528">
        <f t="shared" si="569"/>
        <v>4.219875</v>
      </c>
      <c r="EM198" s="528">
        <f t="shared" si="570"/>
        <v>4.2707573077073631E-2</v>
      </c>
      <c r="EN198" s="528">
        <f t="shared" si="571"/>
        <v>1.3116590073529414E-2</v>
      </c>
      <c r="EO198">
        <f t="shared" si="572"/>
        <v>4.0499999999999998E-3</v>
      </c>
      <c r="EP198" s="460">
        <f t="shared" si="573"/>
        <v>46.75757307707363</v>
      </c>
      <c r="EQ198" s="460"/>
      <c r="ER198" s="460">
        <f t="shared" si="593"/>
        <v>15185.185225277244</v>
      </c>
      <c r="ES198" s="528">
        <f t="shared" si="574"/>
        <v>0.36959999999999998</v>
      </c>
      <c r="EV198" s="460">
        <f t="shared" si="494"/>
        <v>369.59999999999997</v>
      </c>
      <c r="EW198" s="528">
        <f t="shared" si="575"/>
        <v>8.1790770465949816</v>
      </c>
      <c r="EX198" s="528">
        <f t="shared" si="576"/>
        <v>2.1587006867845981E-2</v>
      </c>
      <c r="EY198" s="528">
        <f t="shared" si="577"/>
        <v>358.7089144376435</v>
      </c>
      <c r="EZ198" s="528"/>
      <c r="FA198" s="528">
        <f t="shared" si="578"/>
        <v>8.9759999999999991</v>
      </c>
      <c r="FB198" s="460">
        <f t="shared" si="579"/>
        <v>375885.57849110634</v>
      </c>
      <c r="FC198" s="173">
        <f t="shared" si="580"/>
        <v>391.44036371638356</v>
      </c>
      <c r="FD198" s="5">
        <f t="shared" si="581"/>
        <v>89.76</v>
      </c>
      <c r="FE198" s="173">
        <f t="shared" si="582"/>
        <v>0.18653352484351815</v>
      </c>
      <c r="FF198" s="5">
        <f t="shared" si="583"/>
        <v>18.653352484351814</v>
      </c>
      <c r="FI198" s="562">
        <f t="shared" si="584"/>
        <v>-50</v>
      </c>
      <c r="FJ198">
        <f t="shared" si="585"/>
        <v>-50</v>
      </c>
      <c r="FL198">
        <f t="shared" si="586"/>
        <v>0.51355206847360912</v>
      </c>
    </row>
    <row r="199" spans="5:168">
      <c r="E199" s="170">
        <v>89</v>
      </c>
      <c r="F199" s="217">
        <f t="shared" si="587"/>
        <v>0.53400000000000003</v>
      </c>
      <c r="G199" s="217"/>
      <c r="H199" s="217">
        <f t="shared" si="495"/>
        <v>90.78</v>
      </c>
      <c r="I199" s="541">
        <f t="shared" si="496"/>
        <v>7.5137033340755686</v>
      </c>
      <c r="J199" s="172">
        <f t="shared" si="497"/>
        <v>8.5265924607134913</v>
      </c>
      <c r="K199" s="172">
        <f t="shared" si="498"/>
        <v>16.04029579478906</v>
      </c>
      <c r="L199" s="443"/>
      <c r="M199" s="217">
        <f t="shared" si="499"/>
        <v>0.53157231234905955</v>
      </c>
      <c r="N199" s="172">
        <f t="shared" si="500"/>
        <v>134.21428921699146</v>
      </c>
      <c r="O199" s="172">
        <f t="shared" si="599"/>
        <v>90.78</v>
      </c>
      <c r="P199" s="217">
        <f t="shared" si="501"/>
        <v>0.7894958189234792</v>
      </c>
      <c r="Q199" s="217">
        <f t="shared" si="502"/>
        <v>170</v>
      </c>
      <c r="R199" s="217"/>
      <c r="S199" s="172">
        <f t="shared" si="503"/>
        <v>318.98130091707998</v>
      </c>
      <c r="T199" s="536">
        <f t="shared" si="504"/>
        <v>170</v>
      </c>
      <c r="U199" s="217">
        <f t="shared" si="505"/>
        <v>45.59935410119671</v>
      </c>
      <c r="V199" s="217">
        <f t="shared" si="506"/>
        <v>3.0344127305637709</v>
      </c>
      <c r="W199" s="217">
        <f t="shared" si="507"/>
        <v>2.6739494300505733</v>
      </c>
      <c r="X199" s="197">
        <f t="shared" si="508"/>
        <v>350</v>
      </c>
      <c r="Y199" s="443">
        <f t="shared" si="509"/>
        <v>169.25164247142581</v>
      </c>
      <c r="AA199" s="217">
        <f t="shared" si="510"/>
        <v>22.82333622058427</v>
      </c>
      <c r="AB199" s="173">
        <f t="shared" si="511"/>
        <v>1.3383620904683446</v>
      </c>
      <c r="AC199" s="173">
        <f t="shared" si="512"/>
        <v>0.26727651978687667</v>
      </c>
      <c r="AD199" s="173"/>
      <c r="AE199" s="173">
        <f t="shared" si="513"/>
        <v>0.78186763321731578</v>
      </c>
      <c r="AF199" s="545">
        <f t="shared" si="514"/>
        <v>2048.940168309452</v>
      </c>
      <c r="AG199" s="528">
        <f t="shared" si="515"/>
        <v>9.1217890542020189E-2</v>
      </c>
      <c r="AI199" s="173">
        <f t="shared" si="516"/>
        <v>32.260370643592175</v>
      </c>
      <c r="AJ199" s="173">
        <f t="shared" si="517"/>
        <v>45.59935410119671</v>
      </c>
      <c r="AK199" s="173">
        <f t="shared" si="518"/>
        <v>25.100756124343238</v>
      </c>
      <c r="AM199" s="545">
        <f t="shared" si="519"/>
        <v>534</v>
      </c>
      <c r="AN199" s="460">
        <f t="shared" si="520"/>
        <v>169.25164247142581</v>
      </c>
      <c r="AP199">
        <f t="shared" si="521"/>
        <v>534</v>
      </c>
      <c r="AQ199">
        <f t="shared" si="522"/>
        <v>169.25164247142581</v>
      </c>
      <c r="AS199" s="5">
        <f t="shared" si="600"/>
        <v>5.9083621606143453</v>
      </c>
      <c r="AT199" s="5">
        <f t="shared" si="523"/>
        <v>3.0344127305637709</v>
      </c>
      <c r="AU199" s="5">
        <f t="shared" si="478"/>
        <v>2.8739494300505743</v>
      </c>
      <c r="AV199" s="5"/>
      <c r="AW199" s="173">
        <f t="shared" si="479"/>
        <v>0.5135793385841223</v>
      </c>
      <c r="AX199" s="173">
        <f t="shared" si="596"/>
        <v>87.981281356918458</v>
      </c>
      <c r="AY199" s="173">
        <f t="shared" si="597"/>
        <v>0.55451169955102297</v>
      </c>
      <c r="AZ199" s="173">
        <f t="shared" si="601"/>
        <v>158.6644275101051</v>
      </c>
      <c r="BA199" s="460">
        <f t="shared" si="594"/>
        <v>0.95316258713003155</v>
      </c>
      <c r="BB199" s="5">
        <f t="shared" si="595"/>
        <v>55.556546253678256</v>
      </c>
      <c r="BD199" s="173">
        <f t="shared" si="602"/>
        <v>18.866955953049988</v>
      </c>
      <c r="BE199" s="173">
        <f t="shared" si="598"/>
        <v>0.91806636181856871</v>
      </c>
      <c r="BG199" s="528">
        <f t="shared" si="480"/>
        <v>14.238481077373136</v>
      </c>
      <c r="BH199" s="528">
        <f t="shared" si="524"/>
        <v>2.785392961518387</v>
      </c>
      <c r="BI199" s="528">
        <f t="shared" si="525"/>
        <v>5.0868265213412728E-2</v>
      </c>
      <c r="BJ199" s="528">
        <f t="shared" si="481"/>
        <v>8.7093878875419087E-3</v>
      </c>
      <c r="BK199">
        <f t="shared" si="482"/>
        <v>3.3811665003340057E-3</v>
      </c>
      <c r="BL199" s="460">
        <f t="shared" si="588"/>
        <v>54.249431713746738</v>
      </c>
      <c r="BM199" s="528">
        <f t="shared" si="526"/>
        <v>-8.7605625225655928</v>
      </c>
      <c r="BN199" s="460">
        <f t="shared" si="527"/>
        <v>-8760.5625225655931</v>
      </c>
      <c r="BO199" s="528">
        <f t="shared" si="483"/>
        <v>0.37380000000000002</v>
      </c>
      <c r="BR199" s="460">
        <f t="shared" si="484"/>
        <v>373.8</v>
      </c>
      <c r="BS199" s="528">
        <f t="shared" si="485"/>
        <v>10.678860808029851</v>
      </c>
      <c r="BT199" s="528">
        <f t="shared" si="486"/>
        <v>2.5285375341083494E-2</v>
      </c>
      <c r="BU199" s="528">
        <f t="shared" si="487"/>
        <v>261.63688014708163</v>
      </c>
      <c r="BV199" s="528"/>
      <c r="BW199" s="528">
        <f t="shared" si="488"/>
        <v>8.7981281356918473</v>
      </c>
      <c r="BX199" s="460">
        <f t="shared" si="489"/>
        <v>281139.15446614439</v>
      </c>
      <c r="BY199" s="173">
        <f t="shared" si="490"/>
        <v>298.59978732463725</v>
      </c>
      <c r="BZ199" s="5">
        <f t="shared" si="491"/>
        <v>90.78</v>
      </c>
      <c r="CA199" s="173">
        <f t="shared" si="492"/>
        <v>0.23313999071121294</v>
      </c>
      <c r="CB199" s="5">
        <f t="shared" si="493"/>
        <v>23.313999071121295</v>
      </c>
      <c r="CE199" s="562">
        <f t="shared" si="528"/>
        <v>-50</v>
      </c>
      <c r="CF199">
        <f t="shared" si="529"/>
        <v>-50</v>
      </c>
      <c r="CG199" s="173">
        <f t="shared" si="530"/>
        <v>0.5029951402972539</v>
      </c>
      <c r="CI199" s="170">
        <v>89</v>
      </c>
      <c r="CJ199" s="217">
        <f t="shared" si="589"/>
        <v>0.53400000000000003</v>
      </c>
      <c r="CK199" s="217"/>
      <c r="CL199" s="217">
        <f t="shared" si="531"/>
        <v>90.78</v>
      </c>
      <c r="CM199" s="541">
        <f t="shared" si="532"/>
        <v>9</v>
      </c>
      <c r="CN199" s="443">
        <f t="shared" si="533"/>
        <v>8.5250000000000004</v>
      </c>
      <c r="CO199" s="443">
        <f t="shared" si="534"/>
        <v>17.524999999999999</v>
      </c>
      <c r="CP199" s="443"/>
      <c r="CQ199" s="217">
        <f t="shared" si="535"/>
        <v>0.48644793152639093</v>
      </c>
      <c r="CR199" s="172">
        <f t="shared" si="590"/>
        <v>147.11644793152644</v>
      </c>
      <c r="CS199" s="172">
        <f t="shared" si="536"/>
        <v>90.78</v>
      </c>
      <c r="CT199" s="217">
        <f t="shared" si="537"/>
        <v>0.86539087018544958</v>
      </c>
      <c r="CU199" s="217">
        <f t="shared" si="538"/>
        <v>170</v>
      </c>
      <c r="CV199" s="217"/>
      <c r="CW199" s="172">
        <f t="shared" si="539"/>
        <v>382.03302661213496</v>
      </c>
      <c r="CX199" s="536">
        <f t="shared" si="540"/>
        <v>170</v>
      </c>
      <c r="CY199" s="217">
        <f t="shared" si="541"/>
        <v>41.470694037145648</v>
      </c>
      <c r="CZ199" s="217">
        <f t="shared" si="542"/>
        <v>2.3039274465080912</v>
      </c>
      <c r="DA199" s="217">
        <f t="shared" si="543"/>
        <v>2.4322987705070758</v>
      </c>
      <c r="DB199" s="197">
        <f t="shared" si="544"/>
        <v>350</v>
      </c>
      <c r="DC199" s="443">
        <f t="shared" si="545"/>
        <v>211.13856352710565</v>
      </c>
      <c r="DE199" s="217">
        <f t="shared" si="546"/>
        <v>25.017322192785819</v>
      </c>
      <c r="DF199" s="173">
        <f t="shared" si="547"/>
        <v>1.467291624210312</v>
      </c>
      <c r="DG199" s="173">
        <f t="shared" si="548"/>
        <v>0.32119243899439714</v>
      </c>
      <c r="DH199" s="173"/>
      <c r="DI199" s="173">
        <f t="shared" si="549"/>
        <v>0.78201368523949166</v>
      </c>
      <c r="DJ199" s="545">
        <f t="shared" si="550"/>
        <v>2048.5574999999999</v>
      </c>
      <c r="DK199" s="528">
        <f t="shared" si="551"/>
        <v>9.1234929944607357E-2</v>
      </c>
      <c r="DM199" s="173">
        <f t="shared" si="552"/>
        <v>32.257357964612396</v>
      </c>
      <c r="DN199" s="173">
        <f t="shared" si="553"/>
        <v>41.470694037145648</v>
      </c>
      <c r="DO199" s="173">
        <f t="shared" si="554"/>
        <v>22.04248941023134</v>
      </c>
      <c r="DQ199" s="545">
        <f t="shared" si="555"/>
        <v>534</v>
      </c>
      <c r="DR199" s="460">
        <f t="shared" si="556"/>
        <v>211.13856352710565</v>
      </c>
      <c r="DT199">
        <f t="shared" si="591"/>
        <v>534</v>
      </c>
      <c r="DU199">
        <f t="shared" si="592"/>
        <v>211.13856352710565</v>
      </c>
      <c r="DW199" s="5">
        <f t="shared" si="557"/>
        <v>4.736226217015167</v>
      </c>
      <c r="DX199" s="5">
        <f t="shared" si="558"/>
        <v>2.3039274465080912</v>
      </c>
      <c r="DY199" s="5">
        <f t="shared" si="559"/>
        <v>2.4322987705070758</v>
      </c>
      <c r="DZ199" s="5"/>
      <c r="EA199" s="173">
        <f t="shared" si="560"/>
        <v>0.48644793152639088</v>
      </c>
      <c r="EB199" s="173">
        <f t="shared" si="561"/>
        <v>90.780000000000015</v>
      </c>
      <c r="EC199" s="173">
        <f t="shared" si="562"/>
        <v>0.53243401759530795</v>
      </c>
      <c r="ED199" s="173">
        <f t="shared" si="563"/>
        <v>170.50000000000003</v>
      </c>
      <c r="EE199" s="460">
        <f t="shared" si="564"/>
        <v>0.72370426849136515</v>
      </c>
      <c r="EF199" s="5">
        <f t="shared" si="565"/>
        <v>39.254059090956858</v>
      </c>
      <c r="EH199" s="173">
        <f t="shared" si="566"/>
        <v>16.699322684628243</v>
      </c>
      <c r="EI199" s="173">
        <f t="shared" si="567"/>
        <v>0.85791235447185465</v>
      </c>
      <c r="EK199" s="528">
        <f t="shared" si="568"/>
        <v>11.154695125013577</v>
      </c>
      <c r="EL199" s="528">
        <f t="shared" si="569"/>
        <v>4.2198750000000009</v>
      </c>
      <c r="EM199" s="528">
        <f t="shared" si="570"/>
        <v>4.2227712705421132E-2</v>
      </c>
      <c r="EN199" s="528">
        <f t="shared" si="571"/>
        <v>1.2969212656972906E-2</v>
      </c>
      <c r="EO199">
        <f t="shared" si="572"/>
        <v>4.0499999999999998E-3</v>
      </c>
      <c r="EP199" s="460">
        <f t="shared" si="573"/>
        <v>46.277712705421131</v>
      </c>
      <c r="EQ199" s="460"/>
      <c r="ER199" s="460">
        <f t="shared" si="593"/>
        <v>15433.81705037597</v>
      </c>
      <c r="ES199" s="528">
        <f t="shared" si="574"/>
        <v>0.37380000000000002</v>
      </c>
      <c r="EV199" s="460">
        <f t="shared" si="494"/>
        <v>373.8</v>
      </c>
      <c r="EW199" s="528">
        <f t="shared" si="575"/>
        <v>8.3660213437601829</v>
      </c>
      <c r="EX199" s="528">
        <f t="shared" si="576"/>
        <v>2.2080408238663238E-2</v>
      </c>
      <c r="EY199" s="528">
        <f t="shared" si="577"/>
        <v>358.70891443764486</v>
      </c>
      <c r="EZ199" s="528"/>
      <c r="FA199" s="528">
        <f t="shared" si="578"/>
        <v>9.0780000000000012</v>
      </c>
      <c r="FB199" s="460">
        <f t="shared" si="579"/>
        <v>376175.01618964365</v>
      </c>
      <c r="FC199" s="173">
        <f t="shared" si="580"/>
        <v>391.98263324001965</v>
      </c>
      <c r="FD199" s="5">
        <f t="shared" si="581"/>
        <v>90.78</v>
      </c>
      <c r="FE199" s="173">
        <f t="shared" si="582"/>
        <v>0.18804272275743025</v>
      </c>
      <c r="FF199" s="5">
        <f t="shared" si="583"/>
        <v>18.804272275743024</v>
      </c>
      <c r="FI199" s="562">
        <f t="shared" si="584"/>
        <v>-50</v>
      </c>
      <c r="FJ199">
        <f t="shared" si="585"/>
        <v>-50</v>
      </c>
      <c r="FL199">
        <f t="shared" si="586"/>
        <v>0.51355206847360912</v>
      </c>
    </row>
    <row r="200" spans="5:168">
      <c r="E200" s="170">
        <v>90</v>
      </c>
      <c r="F200" s="217">
        <f t="shared" si="587"/>
        <v>0.54</v>
      </c>
      <c r="G200" s="217"/>
      <c r="H200" s="217">
        <f t="shared" si="495"/>
        <v>91.800000000000011</v>
      </c>
      <c r="I200" s="541">
        <f t="shared" si="496"/>
        <v>7.4973537908295302</v>
      </c>
      <c r="J200" s="172">
        <f t="shared" si="497"/>
        <v>8.5266099780812539</v>
      </c>
      <c r="K200" s="172">
        <f t="shared" si="498"/>
        <v>16.023963768910782</v>
      </c>
      <c r="L200" s="443"/>
      <c r="M200" s="217">
        <f t="shared" si="499"/>
        <v>0.53211519871584489</v>
      </c>
      <c r="N200" s="172">
        <f t="shared" si="500"/>
        <v>134.0590165019492</v>
      </c>
      <c r="O200" s="172">
        <f t="shared" si="599"/>
        <v>91.800000000000011</v>
      </c>
      <c r="P200" s="217">
        <f t="shared" si="501"/>
        <v>0.78858245001146587</v>
      </c>
      <c r="Q200" s="217">
        <f t="shared" si="502"/>
        <v>170</v>
      </c>
      <c r="R200" s="217"/>
      <c r="S200" s="172">
        <f t="shared" si="503"/>
        <v>313.09162107074633</v>
      </c>
      <c r="T200" s="536">
        <f t="shared" si="504"/>
        <v>170</v>
      </c>
      <c r="U200" s="217">
        <f t="shared" si="505"/>
        <v>46.165209771116103</v>
      </c>
      <c r="V200" s="217">
        <f t="shared" si="506"/>
        <v>3.0787669262442692</v>
      </c>
      <c r="W200" s="217">
        <f t="shared" si="507"/>
        <v>2.7071256859285056</v>
      </c>
      <c r="X200" s="197">
        <f t="shared" si="508"/>
        <v>350</v>
      </c>
      <c r="Y200" s="443">
        <f t="shared" si="509"/>
        <v>167.05946210368401</v>
      </c>
      <c r="AA200" s="217">
        <f t="shared" si="510"/>
        <v>22.796931811099313</v>
      </c>
      <c r="AB200" s="173">
        <f t="shared" si="511"/>
        <v>1.3368109875848524</v>
      </c>
      <c r="AC200" s="173">
        <f t="shared" si="512"/>
        <v>0.26665790312262688</v>
      </c>
      <c r="AD200" s="173"/>
      <c r="AE200" s="173">
        <f t="shared" si="513"/>
        <v>0.78186602692092044</v>
      </c>
      <c r="AF200" s="545">
        <f t="shared" si="514"/>
        <v>2071.9662246737448</v>
      </c>
      <c r="AG200" s="528">
        <f t="shared" si="515"/>
        <v>9.1217703140774056E-2</v>
      </c>
      <c r="AI200" s="173">
        <f t="shared" si="516"/>
        <v>32.441135749587623</v>
      </c>
      <c r="AJ200" s="173">
        <f t="shared" si="517"/>
        <v>46.165209771116103</v>
      </c>
      <c r="AK200" s="173">
        <f t="shared" si="518"/>
        <v>25.519908472431677</v>
      </c>
      <c r="AM200" s="545">
        <f t="shared" si="519"/>
        <v>540</v>
      </c>
      <c r="AN200" s="460">
        <f t="shared" si="520"/>
        <v>167.05946210368401</v>
      </c>
      <c r="AP200">
        <f t="shared" si="521"/>
        <v>540</v>
      </c>
      <c r="AQ200">
        <f t="shared" si="522"/>
        <v>167.05946210368401</v>
      </c>
      <c r="AS200" s="5">
        <f t="shared" si="600"/>
        <v>5.9858926121727762</v>
      </c>
      <c r="AT200" s="5">
        <f t="shared" si="523"/>
        <v>3.0787669262442692</v>
      </c>
      <c r="AU200" s="5">
        <f t="shared" si="478"/>
        <v>2.9071256859285071</v>
      </c>
      <c r="AV200" s="5"/>
      <c r="AW200" s="173">
        <f t="shared" si="479"/>
        <v>0.51433714664098018</v>
      </c>
      <c r="AX200" s="173">
        <f t="shared" si="596"/>
        <v>89.010392070730575</v>
      </c>
      <c r="AY200" s="173">
        <f t="shared" si="597"/>
        <v>0.56051818758394878</v>
      </c>
      <c r="AZ200" s="173">
        <f t="shared" si="601"/>
        <v>158.80018533278994</v>
      </c>
      <c r="BA200" s="460">
        <f t="shared" si="594"/>
        <v>0.97796125892465025</v>
      </c>
      <c r="BB200" s="5">
        <f t="shared" si="595"/>
        <v>56.953244126143169</v>
      </c>
      <c r="BD200" s="173">
        <f t="shared" si="602"/>
        <v>19.115168538777453</v>
      </c>
      <c r="BE200" s="173">
        <f t="shared" si="598"/>
        <v>0.92873461782396527</v>
      </c>
      <c r="BG200" s="528">
        <f t="shared" si="480"/>
        <v>14.615586730634696</v>
      </c>
      <c r="BH200" s="528">
        <f t="shared" si="524"/>
        <v>2.780599014284741</v>
      </c>
      <c r="BI200" s="528">
        <f t="shared" si="525"/>
        <v>5.0100155659879901E-2</v>
      </c>
      <c r="BJ200" s="528">
        <f t="shared" si="481"/>
        <v>8.5790852426991093E-3</v>
      </c>
      <c r="BK200">
        <f t="shared" si="482"/>
        <v>3.3738092058732887E-3</v>
      </c>
      <c r="BL200" s="460">
        <f t="shared" si="588"/>
        <v>53.473964865753189</v>
      </c>
      <c r="BM200" s="528">
        <f t="shared" si="526"/>
        <v>-8.6348077887484482</v>
      </c>
      <c r="BN200" s="460">
        <f t="shared" si="527"/>
        <v>-8634.8077887484487</v>
      </c>
      <c r="BO200" s="528">
        <f t="shared" si="483"/>
        <v>0.378</v>
      </c>
      <c r="BR200" s="460">
        <f t="shared" si="484"/>
        <v>378</v>
      </c>
      <c r="BS200" s="528">
        <f t="shared" si="485"/>
        <v>10.96169004797602</v>
      </c>
      <c r="BT200" s="528">
        <f t="shared" si="486"/>
        <v>2.5876439710338803E-2</v>
      </c>
      <c r="BU200" s="528">
        <f t="shared" si="487"/>
        <v>261.17688295031519</v>
      </c>
      <c r="BV200" s="528"/>
      <c r="BW200" s="528">
        <f t="shared" si="488"/>
        <v>8.9010392070730582</v>
      </c>
      <c r="BX200" s="460">
        <f t="shared" si="489"/>
        <v>281065.4886450746</v>
      </c>
      <c r="BY200" s="173">
        <f t="shared" si="490"/>
        <v>298.90172744010249</v>
      </c>
      <c r="BZ200" s="5">
        <f t="shared" si="491"/>
        <v>91.800000000000011</v>
      </c>
      <c r="CA200" s="173">
        <f t="shared" si="492"/>
        <v>0.2349618482658837</v>
      </c>
      <c r="CB200" s="5">
        <f t="shared" si="493"/>
        <v>23.496184826588369</v>
      </c>
      <c r="CE200" s="562">
        <f t="shared" si="528"/>
        <v>-50</v>
      </c>
      <c r="CF200">
        <f t="shared" si="529"/>
        <v>-50</v>
      </c>
      <c r="CG200" s="173">
        <f t="shared" si="530"/>
        <v>0.50311243949921325</v>
      </c>
      <c r="CI200" s="170">
        <v>90</v>
      </c>
      <c r="CJ200" s="217">
        <f t="shared" si="589"/>
        <v>0.54</v>
      </c>
      <c r="CK200" s="217"/>
      <c r="CL200" s="217">
        <f t="shared" si="531"/>
        <v>91.800000000000011</v>
      </c>
      <c r="CM200" s="541">
        <f t="shared" si="532"/>
        <v>9</v>
      </c>
      <c r="CN200" s="443">
        <f t="shared" si="533"/>
        <v>8.5250000000000004</v>
      </c>
      <c r="CO200" s="443">
        <f t="shared" si="534"/>
        <v>17.524999999999999</v>
      </c>
      <c r="CP200" s="443"/>
      <c r="CQ200" s="217">
        <f t="shared" si="535"/>
        <v>0.48644793152639093</v>
      </c>
      <c r="CR200" s="172">
        <f t="shared" si="590"/>
        <v>147.11644793152644</v>
      </c>
      <c r="CS200" s="172">
        <f t="shared" si="536"/>
        <v>91.800000000000011</v>
      </c>
      <c r="CT200" s="217">
        <f t="shared" si="537"/>
        <v>0.86539087018544958</v>
      </c>
      <c r="CU200" s="217">
        <f t="shared" si="538"/>
        <v>170</v>
      </c>
      <c r="CV200" s="217"/>
      <c r="CW200" s="172">
        <f t="shared" si="539"/>
        <v>375.79472977958142</v>
      </c>
      <c r="CX200" s="536">
        <f t="shared" si="540"/>
        <v>170</v>
      </c>
      <c r="CY200" s="217">
        <f t="shared" si="541"/>
        <v>41.936656891495602</v>
      </c>
      <c r="CZ200" s="217">
        <f t="shared" si="542"/>
        <v>2.3298142717497554</v>
      </c>
      <c r="DA200" s="217">
        <f t="shared" si="543"/>
        <v>2.4596279701756947</v>
      </c>
      <c r="DB200" s="197">
        <f t="shared" si="544"/>
        <v>350</v>
      </c>
      <c r="DC200" s="443">
        <f t="shared" si="545"/>
        <v>208.79257948791559</v>
      </c>
      <c r="DE200" s="217">
        <f t="shared" si="546"/>
        <v>25.017322192785819</v>
      </c>
      <c r="DF200" s="173">
        <f t="shared" si="547"/>
        <v>1.467291624210312</v>
      </c>
      <c r="DG200" s="173">
        <f t="shared" si="548"/>
        <v>0.32119243899439714</v>
      </c>
      <c r="DH200" s="173"/>
      <c r="DI200" s="173">
        <f t="shared" si="549"/>
        <v>0.78201368523949166</v>
      </c>
      <c r="DJ200" s="545">
        <f t="shared" si="550"/>
        <v>2071.5749999999998</v>
      </c>
      <c r="DK200" s="528">
        <f t="shared" si="551"/>
        <v>9.1234929944607357E-2</v>
      </c>
      <c r="DM200" s="173">
        <f t="shared" si="552"/>
        <v>32.438072868599505</v>
      </c>
      <c r="DN200" s="173">
        <f t="shared" si="553"/>
        <v>41.936656891495602</v>
      </c>
      <c r="DO200" s="173">
        <f t="shared" si="554"/>
        <v>22.387647080120196</v>
      </c>
      <c r="DQ200" s="545">
        <f t="shared" si="555"/>
        <v>540</v>
      </c>
      <c r="DR200" s="460">
        <f t="shared" si="556"/>
        <v>208.79257948791559</v>
      </c>
      <c r="DT200">
        <f t="shared" si="591"/>
        <v>540</v>
      </c>
      <c r="DU200">
        <f t="shared" si="592"/>
        <v>208.79257948791559</v>
      </c>
      <c r="DW200" s="5">
        <f t="shared" si="557"/>
        <v>4.7894422419254488</v>
      </c>
      <c r="DX200" s="5">
        <f t="shared" si="558"/>
        <v>2.3298142717497554</v>
      </c>
      <c r="DY200" s="5">
        <f t="shared" si="559"/>
        <v>2.4596279701756933</v>
      </c>
      <c r="DZ200" s="5"/>
      <c r="EA200" s="173">
        <f t="shared" si="560"/>
        <v>0.48644793152639104</v>
      </c>
      <c r="EB200" s="173">
        <f t="shared" si="561"/>
        <v>91.800000000000026</v>
      </c>
      <c r="EC200" s="173">
        <f t="shared" si="562"/>
        <v>0.53841642228738995</v>
      </c>
      <c r="ED200" s="173">
        <f t="shared" si="563"/>
        <v>170.50000000000009</v>
      </c>
      <c r="EE200" s="460">
        <f t="shared" si="564"/>
        <v>0.74005865102639301</v>
      </c>
      <c r="EF200" s="5">
        <f t="shared" si="565"/>
        <v>40.141128473267322</v>
      </c>
      <c r="EH200" s="173">
        <f t="shared" si="566"/>
        <v>16.886955523781374</v>
      </c>
      <c r="EI200" s="173">
        <f t="shared" si="567"/>
        <v>0.86755181912884194</v>
      </c>
      <c r="EK200" s="528">
        <f t="shared" si="568"/>
        <v>11.406770674486811</v>
      </c>
      <c r="EL200" s="528">
        <f t="shared" si="569"/>
        <v>4.2198750000000009</v>
      </c>
      <c r="EM200" s="528">
        <f t="shared" si="570"/>
        <v>4.1758515897583122E-2</v>
      </c>
      <c r="EN200" s="528">
        <f t="shared" si="571"/>
        <v>1.2825110294117651E-2</v>
      </c>
      <c r="EO200">
        <f t="shared" si="572"/>
        <v>4.0499999999999998E-3</v>
      </c>
      <c r="EP200" s="460">
        <f t="shared" si="573"/>
        <v>45.808515897583121</v>
      </c>
      <c r="EQ200" s="460"/>
      <c r="ER200" s="460">
        <f t="shared" si="593"/>
        <v>15685.279300678514</v>
      </c>
      <c r="ES200" s="528">
        <f t="shared" si="574"/>
        <v>0.378</v>
      </c>
      <c r="EV200" s="460">
        <f t="shared" si="494"/>
        <v>378</v>
      </c>
      <c r="EW200" s="528">
        <f t="shared" si="575"/>
        <v>8.5550780058651075</v>
      </c>
      <c r="EX200" s="528">
        <f t="shared" si="576"/>
        <v>2.2579384766212886E-2</v>
      </c>
      <c r="EY200" s="528">
        <f t="shared" si="577"/>
        <v>358.70891443764418</v>
      </c>
      <c r="EZ200" s="528"/>
      <c r="FA200" s="528">
        <f t="shared" si="578"/>
        <v>9.1800000000000033</v>
      </c>
      <c r="FB200" s="460">
        <f t="shared" si="579"/>
        <v>376466.57182827551</v>
      </c>
      <c r="FC200" s="173">
        <f t="shared" si="580"/>
        <v>392.52985112895402</v>
      </c>
      <c r="FD200" s="5">
        <f t="shared" si="581"/>
        <v>91.800000000000011</v>
      </c>
      <c r="FE200" s="173">
        <f t="shared" si="582"/>
        <v>0.18954024780016715</v>
      </c>
      <c r="FF200" s="5">
        <f t="shared" si="583"/>
        <v>18.954024780016717</v>
      </c>
      <c r="FI200" s="562">
        <f t="shared" si="584"/>
        <v>-50</v>
      </c>
      <c r="FJ200">
        <f t="shared" si="585"/>
        <v>-50</v>
      </c>
      <c r="FL200">
        <f t="shared" si="586"/>
        <v>0.51355206847360901</v>
      </c>
    </row>
    <row r="201" spans="5:168">
      <c r="E201" s="170">
        <v>91</v>
      </c>
      <c r="F201" s="217">
        <f t="shared" si="587"/>
        <v>0.54600000000000004</v>
      </c>
      <c r="G201" s="217"/>
      <c r="H201" s="217">
        <f t="shared" si="495"/>
        <v>92.820000000000007</v>
      </c>
      <c r="I201" s="541">
        <f t="shared" si="496"/>
        <v>7.4810040878126216</v>
      </c>
      <c r="J201" s="172">
        <f t="shared" si="497"/>
        <v>8.5266274956202022</v>
      </c>
      <c r="K201" s="172">
        <f t="shared" si="498"/>
        <v>16.007631583432826</v>
      </c>
      <c r="L201" s="443"/>
      <c r="M201" s="217">
        <f t="shared" si="499"/>
        <v>0.53265919817669838</v>
      </c>
      <c r="N201" s="172">
        <f t="shared" si="500"/>
        <v>133.90342422155129</v>
      </c>
      <c r="O201" s="172">
        <f t="shared" si="599"/>
        <v>92.820000000000007</v>
      </c>
      <c r="P201" s="217">
        <f t="shared" si="501"/>
        <v>0.78766720130324286</v>
      </c>
      <c r="Q201" s="217">
        <f t="shared" si="502"/>
        <v>170</v>
      </c>
      <c r="R201" s="217"/>
      <c r="S201" s="172">
        <f t="shared" si="503"/>
        <v>307.33869153857944</v>
      </c>
      <c r="T201" s="536">
        <f t="shared" si="504"/>
        <v>170</v>
      </c>
      <c r="U201" s="217">
        <f t="shared" si="505"/>
        <v>46.732491395556671</v>
      </c>
      <c r="V201" s="217">
        <f t="shared" si="506"/>
        <v>3.1234103635693131</v>
      </c>
      <c r="W201" s="217">
        <f t="shared" si="507"/>
        <v>2.740385423167679</v>
      </c>
      <c r="X201" s="197">
        <f t="shared" si="508"/>
        <v>350</v>
      </c>
      <c r="Y201" s="443">
        <f t="shared" si="509"/>
        <v>164.91320538650811</v>
      </c>
      <c r="AA201" s="217">
        <f t="shared" si="510"/>
        <v>22.77047305932955</v>
      </c>
      <c r="AB201" s="173">
        <f t="shared" si="511"/>
        <v>1.3352567044253931</v>
      </c>
      <c r="AC201" s="173">
        <f t="shared" si="512"/>
        <v>0.26603873463481631</v>
      </c>
      <c r="AD201" s="173"/>
      <c r="AE201" s="173">
        <f t="shared" si="513"/>
        <v>0.78186442061542794</v>
      </c>
      <c r="AF201" s="545">
        <f t="shared" si="514"/>
        <v>2094.9923756738835</v>
      </c>
      <c r="AG201" s="528">
        <f t="shared" si="515"/>
        <v>9.1217515738466606E-2</v>
      </c>
      <c r="AI201" s="173">
        <f t="shared" si="516"/>
        <v>32.620899917896217</v>
      </c>
      <c r="AJ201" s="173">
        <f t="shared" si="517"/>
        <v>46.732491395556671</v>
      </c>
      <c r="AK201" s="173">
        <f t="shared" si="518"/>
        <v>25.940117083128396</v>
      </c>
      <c r="AM201" s="545">
        <f t="shared" si="519"/>
        <v>546</v>
      </c>
      <c r="AN201" s="460">
        <f t="shared" si="520"/>
        <v>164.91320538650811</v>
      </c>
      <c r="AP201">
        <f t="shared" si="521"/>
        <v>546</v>
      </c>
      <c r="AQ201">
        <f t="shared" si="522"/>
        <v>164.91320538650811</v>
      </c>
      <c r="AS201" s="5">
        <f t="shared" si="600"/>
        <v>6.0637957867369918</v>
      </c>
      <c r="AT201" s="5">
        <f t="shared" si="523"/>
        <v>3.1234103635693131</v>
      </c>
      <c r="AU201" s="5">
        <f t="shared" si="478"/>
        <v>2.9403854231676787</v>
      </c>
      <c r="AV201" s="5"/>
      <c r="AW201" s="173">
        <f t="shared" si="479"/>
        <v>0.51509161479365406</v>
      </c>
      <c r="AX201" s="173">
        <f t="shared" si="596"/>
        <v>90.039549023590112</v>
      </c>
      <c r="AY201" s="173">
        <f t="shared" si="597"/>
        <v>0.5665244234822211</v>
      </c>
      <c r="AZ201" s="173">
        <f t="shared" si="601"/>
        <v>158.93321680669919</v>
      </c>
      <c r="BA201" s="460">
        <f t="shared" si="594"/>
        <v>1.0031659167699087</v>
      </c>
      <c r="BB201" s="5">
        <f t="shared" si="595"/>
        <v>58.372180370397359</v>
      </c>
      <c r="BD201" s="173">
        <f t="shared" si="602"/>
        <v>19.364244044161691</v>
      </c>
      <c r="BE201" s="173">
        <f t="shared" si="598"/>
        <v>0.93941644556173987</v>
      </c>
      <c r="BG201" s="528">
        <f t="shared" si="480"/>
        <v>14.99895789607406</v>
      </c>
      <c r="BH201" s="528">
        <f t="shared" si="524"/>
        <v>2.7757731229381859</v>
      </c>
      <c r="BI201" s="528">
        <f t="shared" si="525"/>
        <v>4.9348654545229992E-2</v>
      </c>
      <c r="BJ201" s="528">
        <f t="shared" si="481"/>
        <v>8.4516127496043064E-3</v>
      </c>
      <c r="BK201">
        <f t="shared" si="482"/>
        <v>3.3664518395156795E-3</v>
      </c>
      <c r="BL201" s="460">
        <f t="shared" si="588"/>
        <v>52.715106384745674</v>
      </c>
      <c r="BM201" s="528">
        <f t="shared" si="526"/>
        <v>-8.5159944840433663</v>
      </c>
      <c r="BN201" s="460">
        <f t="shared" si="527"/>
        <v>-8515.9944840433654</v>
      </c>
      <c r="BO201" s="528">
        <f t="shared" si="483"/>
        <v>0.38219999999999998</v>
      </c>
      <c r="BR201" s="460">
        <f t="shared" si="484"/>
        <v>382.2</v>
      </c>
      <c r="BS201" s="528">
        <f t="shared" si="485"/>
        <v>11.249218422055545</v>
      </c>
      <c r="BT201" s="528">
        <f t="shared" si="486"/>
        <v>2.6475097745755599E-2</v>
      </c>
      <c r="BU201" s="528">
        <f t="shared" si="487"/>
        <v>260.70893990746663</v>
      </c>
      <c r="BV201" s="528"/>
      <c r="BW201" s="528">
        <f t="shared" si="488"/>
        <v>9.0039549023590126</v>
      </c>
      <c r="BX201" s="460">
        <f t="shared" si="489"/>
        <v>280988.58832962689</v>
      </c>
      <c r="BY201" s="173">
        <f t="shared" si="490"/>
        <v>299.20668606777355</v>
      </c>
      <c r="BZ201" s="5">
        <f t="shared" si="491"/>
        <v>92.820000000000007</v>
      </c>
      <c r="CA201" s="173">
        <f t="shared" si="492"/>
        <v>0.23676959579214282</v>
      </c>
      <c r="CB201" s="5">
        <f t="shared" si="493"/>
        <v>23.676959579214284</v>
      </c>
      <c r="CE201" s="562">
        <f t="shared" si="528"/>
        <v>-50</v>
      </c>
      <c r="CF201">
        <f t="shared" si="529"/>
        <v>-50</v>
      </c>
      <c r="CG201" s="173">
        <f t="shared" si="530"/>
        <v>0.50322716069673412</v>
      </c>
      <c r="CI201" s="170">
        <v>91</v>
      </c>
      <c r="CJ201" s="217">
        <f t="shared" si="589"/>
        <v>0.54600000000000004</v>
      </c>
      <c r="CK201" s="217"/>
      <c r="CL201" s="217">
        <f t="shared" si="531"/>
        <v>92.820000000000007</v>
      </c>
      <c r="CM201" s="541">
        <f t="shared" si="532"/>
        <v>9</v>
      </c>
      <c r="CN201" s="443">
        <f t="shared" si="533"/>
        <v>8.5250000000000004</v>
      </c>
      <c r="CO201" s="443">
        <f t="shared" si="534"/>
        <v>17.524999999999999</v>
      </c>
      <c r="CP201" s="443"/>
      <c r="CQ201" s="217">
        <f t="shared" si="535"/>
        <v>0.48644793152639093</v>
      </c>
      <c r="CR201" s="172">
        <f t="shared" si="590"/>
        <v>147.11644793152644</v>
      </c>
      <c r="CS201" s="172">
        <f t="shared" si="536"/>
        <v>92.820000000000007</v>
      </c>
      <c r="CT201" s="217">
        <f t="shared" si="537"/>
        <v>0.86539087018544958</v>
      </c>
      <c r="CU201" s="217">
        <f t="shared" si="538"/>
        <v>170</v>
      </c>
      <c r="CV201" s="217"/>
      <c r="CW201" s="172">
        <f t="shared" si="539"/>
        <v>369.69366544199295</v>
      </c>
      <c r="CX201" s="536">
        <f t="shared" si="540"/>
        <v>170</v>
      </c>
      <c r="CY201" s="217">
        <f t="shared" si="541"/>
        <v>42.402619745845548</v>
      </c>
      <c r="CZ201" s="217">
        <f t="shared" si="542"/>
        <v>2.3557010969914192</v>
      </c>
      <c r="DA201" s="217">
        <f t="shared" si="543"/>
        <v>2.4869571698443136</v>
      </c>
      <c r="DB201" s="197">
        <f t="shared" si="544"/>
        <v>350</v>
      </c>
      <c r="DC201" s="443">
        <f t="shared" si="545"/>
        <v>206.49815553749892</v>
      </c>
      <c r="DE201" s="217">
        <f t="shared" si="546"/>
        <v>25.017322192785819</v>
      </c>
      <c r="DF201" s="173">
        <f t="shared" si="547"/>
        <v>1.467291624210312</v>
      </c>
      <c r="DG201" s="173">
        <f t="shared" si="548"/>
        <v>0.32119243899439714</v>
      </c>
      <c r="DH201" s="173"/>
      <c r="DI201" s="173">
        <f t="shared" si="549"/>
        <v>0.78201368523949166</v>
      </c>
      <c r="DJ201" s="545">
        <f t="shared" si="550"/>
        <v>2094.5925000000002</v>
      </c>
      <c r="DK201" s="528">
        <f t="shared" si="551"/>
        <v>9.1234929944607357E-2</v>
      </c>
      <c r="DM201" s="173">
        <f t="shared" si="552"/>
        <v>32.617786558869994</v>
      </c>
      <c r="DN201" s="173">
        <f t="shared" si="553"/>
        <v>42.402619745845548</v>
      </c>
      <c r="DO201" s="173">
        <f t="shared" si="554"/>
        <v>22.732804750009048</v>
      </c>
      <c r="DQ201" s="545">
        <f t="shared" si="555"/>
        <v>546</v>
      </c>
      <c r="DR201" s="460">
        <f t="shared" si="556"/>
        <v>206.49815553749892</v>
      </c>
      <c r="DT201">
        <f t="shared" si="591"/>
        <v>546</v>
      </c>
      <c r="DU201">
        <f t="shared" si="592"/>
        <v>206.49815553749892</v>
      </c>
      <c r="DW201" s="5">
        <f t="shared" si="557"/>
        <v>4.8426582668357323</v>
      </c>
      <c r="DX201" s="5">
        <f t="shared" si="558"/>
        <v>2.3557010969914192</v>
      </c>
      <c r="DY201" s="5">
        <f t="shared" si="559"/>
        <v>2.4869571698443131</v>
      </c>
      <c r="DZ201" s="5"/>
      <c r="EA201" s="173">
        <f t="shared" si="560"/>
        <v>0.48644793152639093</v>
      </c>
      <c r="EB201" s="173">
        <f t="shared" si="561"/>
        <v>92.82</v>
      </c>
      <c r="EC201" s="173">
        <f t="shared" si="562"/>
        <v>0.54439882697947195</v>
      </c>
      <c r="ED201" s="173">
        <f t="shared" si="563"/>
        <v>170.50000000000006</v>
      </c>
      <c r="EE201" s="460">
        <f t="shared" si="564"/>
        <v>0.75659576409253815</v>
      </c>
      <c r="EF201" s="5">
        <f t="shared" si="565"/>
        <v>41.038109245324293</v>
      </c>
      <c r="EH201" s="173">
        <f t="shared" si="566"/>
        <v>17.074588362934495</v>
      </c>
      <c r="EI201" s="173">
        <f t="shared" si="567"/>
        <v>0.87719128378582878</v>
      </c>
      <c r="EK201" s="528">
        <f t="shared" si="568"/>
        <v>11.661662710546322</v>
      </c>
      <c r="EL201" s="528">
        <f t="shared" si="569"/>
        <v>4.2198750000000009</v>
      </c>
      <c r="EM201" s="528">
        <f t="shared" si="570"/>
        <v>4.1299631107499783E-2</v>
      </c>
      <c r="EN201" s="528">
        <f t="shared" si="571"/>
        <v>1.2684175016160312E-2</v>
      </c>
      <c r="EO201">
        <f t="shared" si="572"/>
        <v>4.0499999999999998E-3</v>
      </c>
      <c r="EP201" s="460">
        <f t="shared" si="573"/>
        <v>45.349631107499782</v>
      </c>
      <c r="EQ201" s="460"/>
      <c r="ER201" s="460">
        <f t="shared" si="593"/>
        <v>15939.571516669981</v>
      </c>
      <c r="ES201" s="528">
        <f t="shared" si="574"/>
        <v>0.38219999999999998</v>
      </c>
      <c r="EV201" s="460">
        <f t="shared" si="494"/>
        <v>382.2</v>
      </c>
      <c r="EW201" s="528">
        <f t="shared" si="575"/>
        <v>8.746247032909741</v>
      </c>
      <c r="EX201" s="528">
        <f t="shared" si="576"/>
        <v>2.3083936450494912E-2</v>
      </c>
      <c r="EY201" s="528">
        <f t="shared" si="577"/>
        <v>358.70891443764356</v>
      </c>
      <c r="EZ201" s="528"/>
      <c r="FA201" s="528">
        <f t="shared" si="578"/>
        <v>9.282</v>
      </c>
      <c r="FB201" s="460">
        <f t="shared" si="579"/>
        <v>376760.24540700379</v>
      </c>
      <c r="FC201" s="173">
        <f t="shared" si="580"/>
        <v>393.08201692367373</v>
      </c>
      <c r="FD201" s="5">
        <f t="shared" si="581"/>
        <v>92.820000000000007</v>
      </c>
      <c r="FE201" s="173">
        <f t="shared" si="582"/>
        <v>0.19102616734883882</v>
      </c>
      <c r="FF201" s="5">
        <f t="shared" si="583"/>
        <v>19.102616734883881</v>
      </c>
      <c r="FI201" s="562">
        <f t="shared" si="584"/>
        <v>-50</v>
      </c>
      <c r="FJ201">
        <f t="shared" si="585"/>
        <v>-50</v>
      </c>
      <c r="FL201">
        <f t="shared" si="586"/>
        <v>0.51355206847360901</v>
      </c>
    </row>
    <row r="202" spans="5:168">
      <c r="E202" s="170">
        <v>92</v>
      </c>
      <c r="F202" s="217">
        <f t="shared" si="587"/>
        <v>0.55200000000000005</v>
      </c>
      <c r="G202" s="217"/>
      <c r="H202" s="217">
        <f t="shared" si="495"/>
        <v>93.84</v>
      </c>
      <c r="I202" s="541">
        <f t="shared" si="496"/>
        <v>7.4646542303404706</v>
      </c>
      <c r="J202" s="172">
        <f t="shared" si="497"/>
        <v>8.5266450133246359</v>
      </c>
      <c r="K202" s="172">
        <f t="shared" si="498"/>
        <v>15.991299243665107</v>
      </c>
      <c r="L202" s="443"/>
      <c r="M202" s="217">
        <f t="shared" si="499"/>
        <v>0.53320431398115531</v>
      </c>
      <c r="N202" s="172">
        <f t="shared" si="500"/>
        <v>133.74751144276604</v>
      </c>
      <c r="O202" s="172">
        <f t="shared" si="599"/>
        <v>93.84</v>
      </c>
      <c r="P202" s="217">
        <f t="shared" si="501"/>
        <v>0.78675006731038843</v>
      </c>
      <c r="Q202" s="217">
        <f t="shared" si="502"/>
        <v>170</v>
      </c>
      <c r="R202" s="217"/>
      <c r="S202" s="172">
        <f t="shared" si="503"/>
        <v>301.71805537840027</v>
      </c>
      <c r="T202" s="536">
        <f t="shared" si="504"/>
        <v>170</v>
      </c>
      <c r="U202" s="217">
        <f t="shared" si="505"/>
        <v>47.301208347303842</v>
      </c>
      <c r="V202" s="217">
        <f t="shared" si="506"/>
        <v>3.1683455715233029</v>
      </c>
      <c r="W202" s="217">
        <f t="shared" si="507"/>
        <v>2.773729190870851</v>
      </c>
      <c r="X202" s="197">
        <f t="shared" si="508"/>
        <v>350</v>
      </c>
      <c r="Y202" s="443">
        <f t="shared" si="509"/>
        <v>162.81143403246438</v>
      </c>
      <c r="AA202" s="217">
        <f t="shared" si="510"/>
        <v>22.743959806603428</v>
      </c>
      <c r="AB202" s="173">
        <f t="shared" si="511"/>
        <v>1.3336992317060996</v>
      </c>
      <c r="AC202" s="173">
        <f t="shared" si="512"/>
        <v>0.26541901505018728</v>
      </c>
      <c r="AD202" s="173"/>
      <c r="AE202" s="173">
        <f t="shared" si="513"/>
        <v>0.78186281430136118</v>
      </c>
      <c r="AF202" s="545">
        <f t="shared" si="514"/>
        <v>2118.0186213098395</v>
      </c>
      <c r="AG202" s="528">
        <f t="shared" si="515"/>
        <v>9.1217328335158818E-2</v>
      </c>
      <c r="AI202" s="173">
        <f t="shared" si="516"/>
        <v>32.799679605944583</v>
      </c>
      <c r="AJ202" s="173">
        <f t="shared" si="517"/>
        <v>47.301208347303842</v>
      </c>
      <c r="AK202" s="173">
        <f t="shared" si="518"/>
        <v>26.361388899237411</v>
      </c>
      <c r="AM202" s="545">
        <f t="shared" si="519"/>
        <v>552</v>
      </c>
      <c r="AN202" s="460">
        <f t="shared" si="520"/>
        <v>162.81143403246438</v>
      </c>
      <c r="AP202">
        <f t="shared" si="521"/>
        <v>552</v>
      </c>
      <c r="AQ202">
        <f t="shared" si="522"/>
        <v>162.81143403246438</v>
      </c>
      <c r="AS202" s="5">
        <f t="shared" si="600"/>
        <v>6.1420747623941532</v>
      </c>
      <c r="AT202" s="5">
        <f t="shared" si="523"/>
        <v>3.1683455715233029</v>
      </c>
      <c r="AU202" s="5">
        <f t="shared" si="478"/>
        <v>2.9737291908708503</v>
      </c>
      <c r="AV202" s="5"/>
      <c r="AW202" s="173">
        <f t="shared" si="479"/>
        <v>0.51584288601011685</v>
      </c>
      <c r="AX202" s="173">
        <f t="shared" si="596"/>
        <v>91.0687511007647</v>
      </c>
      <c r="AY202" s="173">
        <f t="shared" si="597"/>
        <v>0.57253041304162</v>
      </c>
      <c r="AZ202" s="173">
        <f t="shared" si="601"/>
        <v>159.06360435414018</v>
      </c>
      <c r="BA202" s="460">
        <f t="shared" si="594"/>
        <v>1.028780444400508</v>
      </c>
      <c r="BB202" s="5">
        <f t="shared" si="595"/>
        <v>59.813566959249258</v>
      </c>
      <c r="BD202" s="173">
        <f t="shared" si="602"/>
        <v>19.614187866754882</v>
      </c>
      <c r="BE202" s="173">
        <f t="shared" si="598"/>
        <v>0.9501119294141015</v>
      </c>
      <c r="BG202" s="528">
        <f t="shared" si="480"/>
        <v>15.38865462689418</v>
      </c>
      <c r="BH202" s="528">
        <f t="shared" si="524"/>
        <v>2.7709162859345309</v>
      </c>
      <c r="BI202" s="528">
        <f t="shared" si="525"/>
        <v>4.8613242391929351E-2</v>
      </c>
      <c r="BJ202" s="528">
        <f t="shared" si="481"/>
        <v>8.3268817587874838E-3</v>
      </c>
      <c r="BK202">
        <f t="shared" si="482"/>
        <v>3.3590944036532115E-3</v>
      </c>
      <c r="BL202" s="460">
        <f t="shared" si="588"/>
        <v>51.972336795582564</v>
      </c>
      <c r="BM202" s="528">
        <f t="shared" si="526"/>
        <v>-8.4035921899006443</v>
      </c>
      <c r="BN202" s="460">
        <f t="shared" si="527"/>
        <v>-8403.5921899006444</v>
      </c>
      <c r="BO202" s="528">
        <f t="shared" si="483"/>
        <v>0.38640000000000002</v>
      </c>
      <c r="BR202" s="460">
        <f t="shared" si="484"/>
        <v>386.40000000000003</v>
      </c>
      <c r="BS202" s="528">
        <f t="shared" si="485"/>
        <v>11.541490970170633</v>
      </c>
      <c r="BT202" s="528">
        <f t="shared" si="486"/>
        <v>2.7081380352449596E-2</v>
      </c>
      <c r="BU202" s="528">
        <f t="shared" si="487"/>
        <v>260.23328646041466</v>
      </c>
      <c r="BV202" s="528"/>
      <c r="BW202" s="528">
        <f t="shared" si="488"/>
        <v>9.1068751100764729</v>
      </c>
      <c r="BX202" s="460">
        <f t="shared" si="489"/>
        <v>280908.73392101424</v>
      </c>
      <c r="BY202" s="173">
        <f t="shared" si="490"/>
        <v>299.51500405239733</v>
      </c>
      <c r="BZ202" s="5">
        <f t="shared" si="491"/>
        <v>93.84</v>
      </c>
      <c r="CA202" s="173">
        <f t="shared" si="492"/>
        <v>0.23856312753936626</v>
      </c>
      <c r="CB202" s="5">
        <f t="shared" si="493"/>
        <v>23.856312753936628</v>
      </c>
      <c r="CE202" s="562">
        <f t="shared" si="528"/>
        <v>-50</v>
      </c>
      <c r="CF202">
        <f t="shared" si="529"/>
        <v>-50</v>
      </c>
      <c r="CG202" s="173">
        <f t="shared" si="530"/>
        <v>0.50333938795517852</v>
      </c>
      <c r="CI202" s="170">
        <v>92</v>
      </c>
      <c r="CJ202" s="217">
        <f t="shared" si="589"/>
        <v>0.55200000000000005</v>
      </c>
      <c r="CK202" s="217"/>
      <c r="CL202" s="217">
        <f t="shared" si="531"/>
        <v>93.84</v>
      </c>
      <c r="CM202" s="541">
        <f t="shared" si="532"/>
        <v>9</v>
      </c>
      <c r="CN202" s="443">
        <f t="shared" si="533"/>
        <v>8.5250000000000004</v>
      </c>
      <c r="CO202" s="443">
        <f t="shared" si="534"/>
        <v>17.524999999999999</v>
      </c>
      <c r="CP202" s="443"/>
      <c r="CQ202" s="217">
        <f t="shared" si="535"/>
        <v>0.48644793152639093</v>
      </c>
      <c r="CR202" s="172">
        <f t="shared" si="590"/>
        <v>147.11644793152644</v>
      </c>
      <c r="CS202" s="172">
        <f t="shared" si="536"/>
        <v>93.84</v>
      </c>
      <c r="CT202" s="217">
        <f t="shared" si="537"/>
        <v>0.86539087018544958</v>
      </c>
      <c r="CU202" s="217">
        <f t="shared" si="538"/>
        <v>170</v>
      </c>
      <c r="CV202" s="217"/>
      <c r="CW202" s="172">
        <f t="shared" si="539"/>
        <v>363.72536063176716</v>
      </c>
      <c r="CX202" s="536">
        <f t="shared" si="540"/>
        <v>170</v>
      </c>
      <c r="CY202" s="217">
        <f t="shared" si="541"/>
        <v>42.868582600195502</v>
      </c>
      <c r="CZ202" s="217">
        <f t="shared" si="542"/>
        <v>2.3815879222330834</v>
      </c>
      <c r="DA202" s="217">
        <f t="shared" si="543"/>
        <v>2.5142863695129325</v>
      </c>
      <c r="DB202" s="197">
        <f t="shared" si="544"/>
        <v>350</v>
      </c>
      <c r="DC202" s="443">
        <f t="shared" si="545"/>
        <v>204.25361036861304</v>
      </c>
      <c r="DE202" s="217">
        <f t="shared" si="546"/>
        <v>25.017322192785819</v>
      </c>
      <c r="DF202" s="173">
        <f t="shared" si="547"/>
        <v>1.467291624210312</v>
      </c>
      <c r="DG202" s="173">
        <f t="shared" si="548"/>
        <v>0.32119243899439714</v>
      </c>
      <c r="DH202" s="173"/>
      <c r="DI202" s="173">
        <f t="shared" si="549"/>
        <v>0.78201368523949166</v>
      </c>
      <c r="DJ202" s="545">
        <f t="shared" si="550"/>
        <v>2117.61</v>
      </c>
      <c r="DK202" s="528">
        <f t="shared" si="551"/>
        <v>9.1234929944607357E-2</v>
      </c>
      <c r="DM202" s="173">
        <f t="shared" si="552"/>
        <v>32.796515494354409</v>
      </c>
      <c r="DN202" s="173">
        <f t="shared" si="553"/>
        <v>42.868582600195502</v>
      </c>
      <c r="DO202" s="173">
        <f t="shared" si="554"/>
        <v>23.077962419897901</v>
      </c>
      <c r="DQ202" s="545">
        <f t="shared" si="555"/>
        <v>552</v>
      </c>
      <c r="DR202" s="460">
        <f t="shared" si="556"/>
        <v>204.25361036861304</v>
      </c>
      <c r="DT202">
        <f t="shared" si="591"/>
        <v>552</v>
      </c>
      <c r="DU202">
        <f t="shared" si="592"/>
        <v>204.25361036861304</v>
      </c>
      <c r="DW202" s="5">
        <f t="shared" si="557"/>
        <v>4.8958742917460158</v>
      </c>
      <c r="DX202" s="5">
        <f t="shared" si="558"/>
        <v>2.3815879222330834</v>
      </c>
      <c r="DY202" s="5">
        <f t="shared" si="559"/>
        <v>2.5142863695129325</v>
      </c>
      <c r="DZ202" s="5"/>
      <c r="EA202" s="173">
        <f t="shared" si="560"/>
        <v>0.48644793152639088</v>
      </c>
      <c r="EB202" s="173">
        <f t="shared" si="561"/>
        <v>93.84</v>
      </c>
      <c r="EC202" s="173">
        <f t="shared" si="562"/>
        <v>0.55038123167155428</v>
      </c>
      <c r="ED202" s="173">
        <f t="shared" si="563"/>
        <v>170.5</v>
      </c>
      <c r="EE202" s="460">
        <f t="shared" si="564"/>
        <v>0.77331560768980123</v>
      </c>
      <c r="EF202" s="5">
        <f t="shared" si="565"/>
        <v>41.945001407127748</v>
      </c>
      <c r="EH202" s="173">
        <f t="shared" si="566"/>
        <v>17.262221202087623</v>
      </c>
      <c r="EI202" s="173">
        <f t="shared" si="567"/>
        <v>0.88683074844281606</v>
      </c>
      <c r="EK202" s="528">
        <f t="shared" si="568"/>
        <v>11.919371233192139</v>
      </c>
      <c r="EL202" s="528">
        <f t="shared" si="569"/>
        <v>4.219875</v>
      </c>
      <c r="EM202" s="528">
        <f t="shared" si="570"/>
        <v>4.085072207372261E-2</v>
      </c>
      <c r="EN202" s="528">
        <f t="shared" si="571"/>
        <v>1.2546303548593351E-2</v>
      </c>
      <c r="EO202">
        <f t="shared" si="572"/>
        <v>4.0499999999999998E-3</v>
      </c>
      <c r="EP202" s="460">
        <f t="shared" si="573"/>
        <v>44.900722073722605</v>
      </c>
      <c r="EQ202" s="460"/>
      <c r="ER202" s="460">
        <f t="shared" si="593"/>
        <v>16196.693258814455</v>
      </c>
      <c r="ES202" s="528">
        <f t="shared" si="574"/>
        <v>0.38640000000000002</v>
      </c>
      <c r="EV202" s="460">
        <f t="shared" si="494"/>
        <v>386.40000000000003</v>
      </c>
      <c r="EW202" s="528">
        <f t="shared" si="575"/>
        <v>8.9395284248941049</v>
      </c>
      <c r="EX202" s="528">
        <f t="shared" si="576"/>
        <v>2.359406329150936E-2</v>
      </c>
      <c r="EY202" s="528">
        <f t="shared" si="577"/>
        <v>358.70891443764424</v>
      </c>
      <c r="EZ202" s="528"/>
      <c r="FA202" s="528">
        <f t="shared" si="578"/>
        <v>9.3840000000000021</v>
      </c>
      <c r="FB202" s="460">
        <f t="shared" si="579"/>
        <v>377056.03692582983</v>
      </c>
      <c r="FC202" s="173">
        <f t="shared" si="580"/>
        <v>393.63913018464433</v>
      </c>
      <c r="FD202" s="5">
        <f t="shared" si="581"/>
        <v>93.84</v>
      </c>
      <c r="FE202" s="173">
        <f t="shared" si="582"/>
        <v>0.19250054861724208</v>
      </c>
      <c r="FF202" s="5">
        <f t="shared" si="583"/>
        <v>19.250054861724209</v>
      </c>
      <c r="FI202" s="562">
        <f t="shared" si="584"/>
        <v>-50</v>
      </c>
      <c r="FJ202">
        <f t="shared" si="585"/>
        <v>-50</v>
      </c>
      <c r="FL202">
        <f t="shared" si="586"/>
        <v>0.51355206847360912</v>
      </c>
    </row>
    <row r="203" spans="5:168">
      <c r="E203" s="170">
        <v>93</v>
      </c>
      <c r="F203" s="217">
        <f t="shared" si="587"/>
        <v>0.55800000000000005</v>
      </c>
      <c r="G203" s="217"/>
      <c r="H203" s="217">
        <f t="shared" si="495"/>
        <v>94.860000000000014</v>
      </c>
      <c r="I203" s="541">
        <f t="shared" si="496"/>
        <v>7.4483042234954873</v>
      </c>
      <c r="J203" s="172">
        <f t="shared" si="497"/>
        <v>8.5266625311891122</v>
      </c>
      <c r="K203" s="172">
        <f t="shared" si="498"/>
        <v>15.974966754684599</v>
      </c>
      <c r="L203" s="443"/>
      <c r="M203" s="217">
        <f t="shared" si="499"/>
        <v>0.53375054939917166</v>
      </c>
      <c r="N203" s="172">
        <f t="shared" si="500"/>
        <v>133.59127722670297</v>
      </c>
      <c r="O203" s="172">
        <f t="shared" si="599"/>
        <v>94.860000000000014</v>
      </c>
      <c r="P203" s="217">
        <f t="shared" si="501"/>
        <v>0.78583104251001745</v>
      </c>
      <c r="Q203" s="217">
        <f t="shared" si="502"/>
        <v>170</v>
      </c>
      <c r="R203" s="217"/>
      <c r="S203" s="172">
        <f t="shared" si="503"/>
        <v>296.22544737194164</v>
      </c>
      <c r="T203" s="536">
        <f t="shared" si="504"/>
        <v>170</v>
      </c>
      <c r="U203" s="217">
        <f t="shared" si="505"/>
        <v>47.871370081482198</v>
      </c>
      <c r="V203" s="217">
        <f t="shared" si="506"/>
        <v>3.2135751068325842</v>
      </c>
      <c r="W203" s="217">
        <f t="shared" si="507"/>
        <v>2.8071575429645943</v>
      </c>
      <c r="X203" s="197">
        <f t="shared" si="508"/>
        <v>350</v>
      </c>
      <c r="Y203" s="443">
        <f t="shared" si="509"/>
        <v>160.75276921482939</v>
      </c>
      <c r="AA203" s="217">
        <f t="shared" si="510"/>
        <v>22.717391893253506</v>
      </c>
      <c r="AB203" s="173">
        <f t="shared" si="511"/>
        <v>1.332138560084738</v>
      </c>
      <c r="AC203" s="173">
        <f t="shared" si="512"/>
        <v>0.26479874509864498</v>
      </c>
      <c r="AD203" s="173"/>
      <c r="AE203" s="173">
        <f t="shared" si="513"/>
        <v>0.78186120797921932</v>
      </c>
      <c r="AF203" s="545">
        <f t="shared" si="514"/>
        <v>2141.0449615815864</v>
      </c>
      <c r="AG203" s="528">
        <f t="shared" si="515"/>
        <v>9.1217140930908922E-2</v>
      </c>
      <c r="AI203" s="173">
        <f t="shared" si="516"/>
        <v>32.97749082511897</v>
      </c>
      <c r="AJ203" s="173">
        <f t="shared" si="517"/>
        <v>47.871370081482198</v>
      </c>
      <c r="AK203" s="173">
        <f t="shared" si="518"/>
        <v>26.783730924554714</v>
      </c>
      <c r="AM203" s="545">
        <f t="shared" si="519"/>
        <v>558</v>
      </c>
      <c r="AN203" s="460">
        <f t="shared" si="520"/>
        <v>160.75276921482939</v>
      </c>
      <c r="AP203">
        <f t="shared" si="521"/>
        <v>558</v>
      </c>
      <c r="AQ203">
        <f t="shared" si="522"/>
        <v>160.75276921482939</v>
      </c>
      <c r="AS203" s="5">
        <f t="shared" si="600"/>
        <v>6.2207326497971795</v>
      </c>
      <c r="AT203" s="5">
        <f t="shared" si="523"/>
        <v>3.2135751068325842</v>
      </c>
      <c r="AU203" s="5">
        <f t="shared" si="478"/>
        <v>3.0071575429645954</v>
      </c>
      <c r="AV203" s="5"/>
      <c r="AW203" s="173">
        <f t="shared" si="479"/>
        <v>0.51659109750317911</v>
      </c>
      <c r="AX203" s="173">
        <f t="shared" si="596"/>
        <v>92.097997233209611</v>
      </c>
      <c r="AY203" s="173">
        <f t="shared" si="597"/>
        <v>0.5785361618027115</v>
      </c>
      <c r="AZ203" s="173">
        <f t="shared" si="601"/>
        <v>159.19142711189116</v>
      </c>
      <c r="BA203" s="460">
        <f t="shared" si="594"/>
        <v>1.0548087703603426</v>
      </c>
      <c r="BB203" s="5">
        <f t="shared" si="595"/>
        <v>61.277618306895548</v>
      </c>
      <c r="BD203" s="173">
        <f t="shared" si="602"/>
        <v>19.865005455080333</v>
      </c>
      <c r="BE203" s="173">
        <f t="shared" si="598"/>
        <v>0.96082115413809566</v>
      </c>
      <c r="BG203" s="528">
        <f t="shared" si="480"/>
        <v>15.784737669214856</v>
      </c>
      <c r="BH203" s="528">
        <f t="shared" si="524"/>
        <v>2.7660294604528346</v>
      </c>
      <c r="BI203" s="528">
        <f t="shared" si="525"/>
        <v>4.7893421195256358E-2</v>
      </c>
      <c r="BJ203" s="528">
        <f t="shared" si="481"/>
        <v>8.2048072849296525E-3</v>
      </c>
      <c r="BK203">
        <f t="shared" si="482"/>
        <v>3.3517369005729692E-3</v>
      </c>
      <c r="BL203" s="460">
        <f t="shared" si="588"/>
        <v>51.245158095829332</v>
      </c>
      <c r="BM203" s="528">
        <f t="shared" si="526"/>
        <v>-8.2971225274032676</v>
      </c>
      <c r="BN203" s="460">
        <f t="shared" si="527"/>
        <v>-8297.1225274032677</v>
      </c>
      <c r="BO203" s="528">
        <f t="shared" si="483"/>
        <v>0.3906</v>
      </c>
      <c r="BR203" s="460">
        <f t="shared" si="484"/>
        <v>390.6</v>
      </c>
      <c r="BS203" s="528">
        <f t="shared" si="485"/>
        <v>11.838553251911142</v>
      </c>
      <c r="BT203" s="528">
        <f t="shared" si="486"/>
        <v>2.7695318707177865E-2</v>
      </c>
      <c r="BU203" s="528">
        <f t="shared" si="487"/>
        <v>259.75014876283637</v>
      </c>
      <c r="BV203" s="528"/>
      <c r="BW203" s="528">
        <f t="shared" si="488"/>
        <v>9.2097997233209608</v>
      </c>
      <c r="BX203" s="460">
        <f t="shared" si="489"/>
        <v>280826.19705677562</v>
      </c>
      <c r="BY203" s="173">
        <f t="shared" si="490"/>
        <v>299.82701415182407</v>
      </c>
      <c r="BZ203" s="5">
        <f t="shared" si="491"/>
        <v>94.860000000000014</v>
      </c>
      <c r="CA203" s="173">
        <f t="shared" si="492"/>
        <v>0.24034233860937279</v>
      </c>
      <c r="CB203" s="5">
        <f t="shared" si="493"/>
        <v>24.034233860937277</v>
      </c>
      <c r="CE203" s="562">
        <f t="shared" si="528"/>
        <v>-50</v>
      </c>
      <c r="CF203">
        <f t="shared" si="529"/>
        <v>-50</v>
      </c>
      <c r="CG203" s="173">
        <f t="shared" si="530"/>
        <v>0.50344920172419383</v>
      </c>
      <c r="CI203" s="170">
        <v>93</v>
      </c>
      <c r="CJ203" s="217">
        <f t="shared" si="589"/>
        <v>0.55800000000000005</v>
      </c>
      <c r="CK203" s="217"/>
      <c r="CL203" s="217">
        <f t="shared" si="531"/>
        <v>94.860000000000014</v>
      </c>
      <c r="CM203" s="541">
        <f t="shared" si="532"/>
        <v>9</v>
      </c>
      <c r="CN203" s="443">
        <f t="shared" si="533"/>
        <v>8.5250000000000004</v>
      </c>
      <c r="CO203" s="443">
        <f t="shared" si="534"/>
        <v>17.524999999999999</v>
      </c>
      <c r="CP203" s="443"/>
      <c r="CQ203" s="217">
        <f t="shared" si="535"/>
        <v>0.48644793152639093</v>
      </c>
      <c r="CR203" s="172">
        <f t="shared" si="590"/>
        <v>147.11644793152644</v>
      </c>
      <c r="CS203" s="172">
        <f t="shared" si="536"/>
        <v>94.860000000000014</v>
      </c>
      <c r="CT203" s="217">
        <f t="shared" si="537"/>
        <v>0.86539087018544958</v>
      </c>
      <c r="CU203" s="217">
        <f t="shared" si="538"/>
        <v>170</v>
      </c>
      <c r="CV203" s="217"/>
      <c r="CW203" s="172">
        <f t="shared" si="539"/>
        <v>357.88553480914982</v>
      </c>
      <c r="CX203" s="536">
        <f t="shared" si="540"/>
        <v>170</v>
      </c>
      <c r="CY203" s="217">
        <f t="shared" si="541"/>
        <v>43.334545454545456</v>
      </c>
      <c r="CZ203" s="217">
        <f t="shared" si="542"/>
        <v>2.4074747474747475</v>
      </c>
      <c r="DA203" s="217">
        <f t="shared" si="543"/>
        <v>2.5416155691815514</v>
      </c>
      <c r="DB203" s="197">
        <f t="shared" si="544"/>
        <v>350</v>
      </c>
      <c r="DC203" s="443">
        <f t="shared" si="545"/>
        <v>202.05733498830534</v>
      </c>
      <c r="DE203" s="217">
        <f t="shared" si="546"/>
        <v>25.017322192785819</v>
      </c>
      <c r="DF203" s="173">
        <f t="shared" si="547"/>
        <v>1.467291624210312</v>
      </c>
      <c r="DG203" s="173">
        <f t="shared" si="548"/>
        <v>0.32119243899439714</v>
      </c>
      <c r="DH203" s="173"/>
      <c r="DI203" s="173">
        <f t="shared" si="549"/>
        <v>0.78201368523949166</v>
      </c>
      <c r="DJ203" s="545">
        <f t="shared" si="550"/>
        <v>2140.6275000000001</v>
      </c>
      <c r="DK203" s="528">
        <f t="shared" si="551"/>
        <v>9.1234929944607357E-2</v>
      </c>
      <c r="DM203" s="173">
        <f t="shared" si="552"/>
        <v>32.974275687918563</v>
      </c>
      <c r="DN203" s="173">
        <f t="shared" si="553"/>
        <v>43.334545454545456</v>
      </c>
      <c r="DO203" s="173">
        <f t="shared" si="554"/>
        <v>23.423120089786757</v>
      </c>
      <c r="DQ203" s="545">
        <f t="shared" si="555"/>
        <v>558</v>
      </c>
      <c r="DR203" s="460">
        <f t="shared" si="556"/>
        <v>202.05733498830534</v>
      </c>
      <c r="DT203">
        <f t="shared" si="591"/>
        <v>558</v>
      </c>
      <c r="DU203">
        <f t="shared" si="592"/>
        <v>202.05733498830534</v>
      </c>
      <c r="DW203" s="5">
        <f t="shared" si="557"/>
        <v>4.9490903166562994</v>
      </c>
      <c r="DX203" s="5">
        <f t="shared" si="558"/>
        <v>2.4074747474747475</v>
      </c>
      <c r="DY203" s="5">
        <f t="shared" si="559"/>
        <v>2.5416155691815518</v>
      </c>
      <c r="DZ203" s="5"/>
      <c r="EA203" s="173">
        <f t="shared" si="560"/>
        <v>0.48644793152639088</v>
      </c>
      <c r="EB203" s="173">
        <f t="shared" si="561"/>
        <v>94.860000000000014</v>
      </c>
      <c r="EC203" s="173">
        <f t="shared" si="562"/>
        <v>0.55636363636363639</v>
      </c>
      <c r="ED203" s="173">
        <f t="shared" si="563"/>
        <v>170.50000000000003</v>
      </c>
      <c r="EE203" s="460">
        <f t="shared" si="564"/>
        <v>0.79021818181818193</v>
      </c>
      <c r="EF203" s="5">
        <f t="shared" si="565"/>
        <v>42.861804958677695</v>
      </c>
      <c r="EH203" s="173">
        <f t="shared" si="566"/>
        <v>17.449854041240748</v>
      </c>
      <c r="EI203" s="173">
        <f t="shared" si="567"/>
        <v>0.89647021309980335</v>
      </c>
      <c r="EK203" s="528">
        <f t="shared" si="568"/>
        <v>12.179896242424244</v>
      </c>
      <c r="EL203" s="528">
        <f t="shared" si="569"/>
        <v>4.219875</v>
      </c>
      <c r="EM203" s="528">
        <f t="shared" si="570"/>
        <v>4.0411466997661065E-2</v>
      </c>
      <c r="EN203" s="528">
        <f t="shared" si="571"/>
        <v>1.2411397058823529E-2</v>
      </c>
      <c r="EO203">
        <f t="shared" si="572"/>
        <v>4.0499999999999998E-3</v>
      </c>
      <c r="EP203" s="460">
        <f t="shared" si="573"/>
        <v>44.461466997661063</v>
      </c>
      <c r="EQ203" s="460"/>
      <c r="ER203" s="460">
        <f t="shared" si="593"/>
        <v>16456.644106480726</v>
      </c>
      <c r="ES203" s="528">
        <f t="shared" si="574"/>
        <v>0.3906</v>
      </c>
      <c r="EV203" s="460">
        <f t="shared" si="494"/>
        <v>390.6</v>
      </c>
      <c r="EW203" s="528">
        <f t="shared" si="575"/>
        <v>9.1349221818181814</v>
      </c>
      <c r="EX203" s="528">
        <f t="shared" si="576"/>
        <v>2.4109765289256204E-2</v>
      </c>
      <c r="EY203" s="528">
        <f t="shared" si="577"/>
        <v>358.70891443764418</v>
      </c>
      <c r="EZ203" s="528"/>
      <c r="FA203" s="528">
        <f t="shared" si="578"/>
        <v>9.4860000000000007</v>
      </c>
      <c r="FB203" s="460">
        <f t="shared" si="579"/>
        <v>377353.94638475165</v>
      </c>
      <c r="FC203" s="173">
        <f t="shared" si="580"/>
        <v>394.20119049123235</v>
      </c>
      <c r="FD203" s="5">
        <f t="shared" si="581"/>
        <v>94.860000000000014</v>
      </c>
      <c r="FE203" s="173">
        <f t="shared" si="582"/>
        <v>0.1939634586517055</v>
      </c>
      <c r="FF203" s="5">
        <f t="shared" si="583"/>
        <v>19.396345865170549</v>
      </c>
      <c r="FI203" s="562">
        <f t="shared" si="584"/>
        <v>-50</v>
      </c>
      <c r="FJ203">
        <f t="shared" si="585"/>
        <v>-50</v>
      </c>
      <c r="FL203">
        <f t="shared" si="586"/>
        <v>0.51355206847360912</v>
      </c>
    </row>
    <row r="204" spans="5:168">
      <c r="E204" s="170">
        <v>94</v>
      </c>
      <c r="F204" s="217">
        <f t="shared" si="587"/>
        <v>0.56399999999999995</v>
      </c>
      <c r="G204" s="217"/>
      <c r="H204" s="217">
        <f t="shared" si="495"/>
        <v>95.88</v>
      </c>
      <c r="I204" s="541">
        <f>VIN_min-F204*(Rdcr_pri+RON/1000)/CG204/Nps</f>
        <v>7.4319540721395185</v>
      </c>
      <c r="J204" s="172">
        <f t="shared" si="497"/>
        <v>8.5266800492084212</v>
      </c>
      <c r="K204" s="172">
        <f t="shared" si="498"/>
        <v>15.95863412134794</v>
      </c>
      <c r="L204" s="443"/>
      <c r="M204" s="217">
        <f t="shared" si="499"/>
        <v>0.53429790772084218</v>
      </c>
      <c r="N204" s="172">
        <f t="shared" si="500"/>
        <v>133.43472062869375</v>
      </c>
      <c r="O204" s="172">
        <f t="shared" si="599"/>
        <v>95.88</v>
      </c>
      <c r="P204" s="217">
        <f t="shared" si="501"/>
        <v>0.78491012134525739</v>
      </c>
      <c r="Q204" s="217">
        <f t="shared" si="502"/>
        <v>170</v>
      </c>
      <c r="R204" s="217"/>
      <c r="S204" s="172">
        <f>(SQRT(Isw_max^2*Nps^2*I204^2+4*Isw_max*F204/Efficiency*(Nps^2*Vfwd1*I204-Nps*I204^2)+4*(F204/Efficiency)^2*Nps^2*Vfwd1^2+8*(F204/Efficiency)^2*Nps*Vfwd1*I204+4*(F204/Efficiency)^2*I204^2)-2*0*F204/Efficiency*I204-2*F204/Efficiency*Nps*Vfwd1+Isw_max*Nps*I204)/(4*F204/Efficiency*Nps)</f>
        <v>365.17632454997067</v>
      </c>
      <c r="T204" s="536">
        <f t="shared" si="504"/>
        <v>170</v>
      </c>
      <c r="U204" s="217">
        <f t="shared" si="505"/>
        <v>48.442986136460718</v>
      </c>
      <c r="V204" s="217">
        <f t="shared" si="506"/>
        <v>3.2591015543315174</v>
      </c>
      <c r="W204" s="217">
        <f t="shared" si="507"/>
        <v>2.840671038252335</v>
      </c>
      <c r="X204" s="197">
        <f t="shared" si="508"/>
        <v>350</v>
      </c>
      <c r="Y204" s="443">
        <f t="shared" si="509"/>
        <v>158.7358885267079</v>
      </c>
      <c r="AA204" s="217">
        <f t="shared" si="510"/>
        <v>22.690769158630157</v>
      </c>
      <c r="AB204" s="173">
        <f t="shared" si="511"/>
        <v>1.3305746801615166</v>
      </c>
      <c r="AC204" s="173">
        <f t="shared" si="512"/>
        <v>0.26417792551380231</v>
      </c>
      <c r="AD204" s="173"/>
      <c r="AE204" s="173">
        <f t="shared" si="513"/>
        <v>0.78185960164948032</v>
      </c>
      <c r="AF204" s="545">
        <f t="shared" si="514"/>
        <v>2164.071396489097</v>
      </c>
      <c r="AG204" s="528">
        <f t="shared" si="515"/>
        <v>9.1216953525772693E-2</v>
      </c>
      <c r="AI204" s="173">
        <f t="shared" si="516"/>
        <v>33.154349157508037</v>
      </c>
      <c r="AJ204" s="173">
        <f t="shared" si="517"/>
        <v>48.442986136460718</v>
      </c>
      <c r="AK204" s="173">
        <f t="shared" si="518"/>
        <v>27.2071502245388</v>
      </c>
      <c r="AM204" s="545">
        <f t="shared" si="519"/>
        <v>564</v>
      </c>
      <c r="AN204" s="460">
        <f t="shared" si="520"/>
        <v>158.7358885267079</v>
      </c>
      <c r="AP204">
        <f t="shared" si="521"/>
        <v>564</v>
      </c>
      <c r="AQ204">
        <f t="shared" si="522"/>
        <v>158.7358885267079</v>
      </c>
      <c r="AS204" s="5">
        <f t="shared" si="600"/>
        <v>6.2997725925838521</v>
      </c>
      <c r="AT204" s="5">
        <f t="shared" si="523"/>
        <v>3.2591015543315174</v>
      </c>
      <c r="AU204" s="5">
        <f t="shared" si="478"/>
        <v>3.0406710382523348</v>
      </c>
      <c r="AV204" s="5"/>
      <c r="AW204" s="173">
        <f t="shared" si="479"/>
        <v>0.51733638102558821</v>
      </c>
      <c r="AX204" s="173">
        <f t="shared" si="596"/>
        <v>93.12728639522274</v>
      </c>
      <c r="AY204" s="173">
        <f t="shared" si="597"/>
        <v>0.58454167506378474</v>
      </c>
      <c r="AZ204" s="173">
        <f t="shared" si="601"/>
        <v>159.31676109331428</v>
      </c>
      <c r="BA204" s="460">
        <f t="shared" si="594"/>
        <v>1.0812548686135151</v>
      </c>
      <c r="BB204" s="5">
        <f t="shared" si="595"/>
        <v>62.764551302175661</v>
      </c>
      <c r="BD204" s="173">
        <f t="shared" si="602"/>
        <v>20.116702308988479</v>
      </c>
      <c r="BE204" s="173">
        <f t="shared" si="598"/>
        <v>0.97154420488379301</v>
      </c>
      <c r="BG204" s="528">
        <f t="shared" si="480"/>
        <v>16.187268471538495</v>
      </c>
      <c r="BH204" s="528">
        <f t="shared" si="524"/>
        <v>2.7611135645064775</v>
      </c>
      <c r="BI204" s="528">
        <f t="shared" si="525"/>
        <v>4.7188713325230058E-2</v>
      </c>
      <c r="BJ204" s="528">
        <f t="shared" si="481"/>
        <v>8.0853078194873234E-3</v>
      </c>
      <c r="BK204">
        <f t="shared" si="482"/>
        <v>3.3443793324627832E-3</v>
      </c>
      <c r="BL204" s="460">
        <f t="shared" si="588"/>
        <v>50.533092657692841</v>
      </c>
      <c r="BM204" s="528">
        <f t="shared" si="526"/>
        <v>-8.1961529473433004</v>
      </c>
      <c r="BN204" s="460">
        <f t="shared" si="527"/>
        <v>-8196.1529473433002</v>
      </c>
      <c r="BO204" s="528">
        <f t="shared" si="483"/>
        <v>0.39479999999999993</v>
      </c>
      <c r="BR204" s="460">
        <f t="shared" si="484"/>
        <v>394.79999999999995</v>
      </c>
      <c r="BS204" s="528">
        <f t="shared" si="485"/>
        <v>12.140451353653871</v>
      </c>
      <c r="BT204" s="528">
        <f t="shared" si="486"/>
        <v>2.8316944261298448E-2</v>
      </c>
      <c r="BU204" s="528">
        <f t="shared" si="487"/>
        <v>259.25974414117701</v>
      </c>
      <c r="BV204" s="528"/>
      <c r="BW204" s="528">
        <f t="shared" si="488"/>
        <v>9.312728639522275</v>
      </c>
      <c r="BX204" s="460">
        <f t="shared" si="489"/>
        <v>280741.24107861443</v>
      </c>
      <c r="BY204" s="173">
        <f t="shared" si="490"/>
        <v>300.14304151513659</v>
      </c>
      <c r="BZ204" s="5">
        <f t="shared" si="491"/>
        <v>95.88</v>
      </c>
      <c r="CA204" s="173">
        <f t="shared" si="492"/>
        <v>0.24210712496216036</v>
      </c>
      <c r="CB204" s="5">
        <f t="shared" si="493"/>
        <v>24.210712496216036</v>
      </c>
      <c r="CE204" s="562">
        <f t="shared" si="528"/>
        <v>-50</v>
      </c>
      <c r="CF204">
        <f t="shared" si="529"/>
        <v>-50</v>
      </c>
      <c r="CG204" s="173">
        <f t="shared" si="530"/>
        <v>0.50355667903003876</v>
      </c>
      <c r="CI204" s="170">
        <v>94</v>
      </c>
      <c r="CJ204" s="217">
        <f t="shared" si="589"/>
        <v>0.56399999999999995</v>
      </c>
      <c r="CK204" s="217"/>
      <c r="CL204" s="217">
        <f t="shared" si="531"/>
        <v>95.88</v>
      </c>
      <c r="CM204" s="541">
        <f t="shared" si="532"/>
        <v>9</v>
      </c>
      <c r="CN204" s="443">
        <f t="shared" si="533"/>
        <v>8.5250000000000004</v>
      </c>
      <c r="CO204" s="443">
        <f t="shared" si="534"/>
        <v>17.524999999999999</v>
      </c>
      <c r="CP204" s="443"/>
      <c r="CQ204" s="217">
        <f t="shared" si="535"/>
        <v>0.48644793152639093</v>
      </c>
      <c r="CR204" s="172">
        <f t="shared" si="590"/>
        <v>147.11644793152644</v>
      </c>
      <c r="CS204" s="172">
        <f t="shared" si="536"/>
        <v>95.88</v>
      </c>
      <c r="CT204" s="217">
        <f t="shared" si="537"/>
        <v>0.86539087018544958</v>
      </c>
      <c r="CU204" s="217">
        <f t="shared" si="538"/>
        <v>170</v>
      </c>
      <c r="CV204" s="217"/>
      <c r="CW204" s="172">
        <f t="shared" si="539"/>
        <v>352.17008962781722</v>
      </c>
      <c r="CX204" s="536">
        <f t="shared" si="540"/>
        <v>170</v>
      </c>
      <c r="CY204" s="217">
        <f t="shared" si="541"/>
        <v>43.800508308895402</v>
      </c>
      <c r="CZ204" s="217">
        <f t="shared" si="542"/>
        <v>2.4333615727164113</v>
      </c>
      <c r="DA204" s="217">
        <f t="shared" si="543"/>
        <v>2.5689447688501703</v>
      </c>
      <c r="DB204" s="197">
        <f t="shared" si="544"/>
        <v>350</v>
      </c>
      <c r="DC204" s="443">
        <f t="shared" si="545"/>
        <v>199.90778887140848</v>
      </c>
      <c r="DE204" s="217">
        <f t="shared" si="546"/>
        <v>25.017322192785819</v>
      </c>
      <c r="DF204" s="173">
        <f t="shared" si="547"/>
        <v>1.467291624210312</v>
      </c>
      <c r="DG204" s="173">
        <f t="shared" si="548"/>
        <v>0.32119243899439714</v>
      </c>
      <c r="DH204" s="173"/>
      <c r="DI204" s="173">
        <f t="shared" si="549"/>
        <v>0.78201368523949166</v>
      </c>
      <c r="DJ204" s="545">
        <f t="shared" si="550"/>
        <v>2163.6449999999995</v>
      </c>
      <c r="DK204" s="528">
        <f t="shared" si="551"/>
        <v>9.1234929944607357E-2</v>
      </c>
      <c r="DM204" s="173">
        <f t="shared" si="552"/>
        <v>33.151082723107031</v>
      </c>
      <c r="DN204" s="173">
        <f t="shared" si="553"/>
        <v>43.800508308895402</v>
      </c>
      <c r="DO204" s="173">
        <f t="shared" si="554"/>
        <v>23.768277759675605</v>
      </c>
      <c r="DQ204" s="545">
        <f t="shared" si="555"/>
        <v>564</v>
      </c>
      <c r="DR204" s="460">
        <f t="shared" si="556"/>
        <v>199.90778887140848</v>
      </c>
      <c r="DT204">
        <f t="shared" si="591"/>
        <v>564</v>
      </c>
      <c r="DU204">
        <f t="shared" si="592"/>
        <v>199.90778887140848</v>
      </c>
      <c r="DW204" s="5">
        <f t="shared" si="557"/>
        <v>5.002306341566582</v>
      </c>
      <c r="DX204" s="5">
        <f t="shared" si="558"/>
        <v>2.4333615727164113</v>
      </c>
      <c r="DY204" s="5">
        <f t="shared" si="559"/>
        <v>2.5689447688501708</v>
      </c>
      <c r="DZ204" s="5"/>
      <c r="EA204" s="173">
        <f t="shared" si="560"/>
        <v>0.48644793152639082</v>
      </c>
      <c r="EB204" s="173">
        <f t="shared" si="561"/>
        <v>95.879999999999981</v>
      </c>
      <c r="EC204" s="173">
        <f t="shared" si="562"/>
        <v>0.5623460410557185</v>
      </c>
      <c r="ED204" s="173">
        <f t="shared" si="563"/>
        <v>170.49999999999997</v>
      </c>
      <c r="EE204" s="460">
        <f t="shared" si="564"/>
        <v>0.80730348647767991</v>
      </c>
      <c r="EF204" s="5">
        <f t="shared" si="565"/>
        <v>43.788519899974105</v>
      </c>
      <c r="EH204" s="173">
        <f t="shared" si="566"/>
        <v>17.637486880393872</v>
      </c>
      <c r="EI204" s="173">
        <f t="shared" si="567"/>
        <v>0.9061096777567903</v>
      </c>
      <c r="EK204" s="528">
        <f t="shared" si="568"/>
        <v>12.44323773824264</v>
      </c>
      <c r="EL204" s="528">
        <f t="shared" si="569"/>
        <v>4.2198749999999992</v>
      </c>
      <c r="EM204" s="528">
        <f t="shared" si="570"/>
        <v>3.9981557774281695E-2</v>
      </c>
      <c r="EN204" s="528">
        <f t="shared" si="571"/>
        <v>1.2279360919899875E-2</v>
      </c>
      <c r="EO204">
        <f t="shared" si="572"/>
        <v>4.0499999999999998E-3</v>
      </c>
      <c r="EP204" s="460">
        <f t="shared" si="573"/>
        <v>44.031557774281694</v>
      </c>
      <c r="EQ204" s="460"/>
      <c r="ER204" s="460">
        <f t="shared" si="593"/>
        <v>16719.423656936822</v>
      </c>
      <c r="ES204" s="528">
        <f t="shared" si="574"/>
        <v>0.39479999999999993</v>
      </c>
      <c r="EV204" s="460">
        <f t="shared" si="494"/>
        <v>394.79999999999995</v>
      </c>
      <c r="EW204" s="528">
        <f t="shared" si="575"/>
        <v>9.3324283036819793</v>
      </c>
      <c r="EX204" s="528">
        <f t="shared" si="576"/>
        <v>2.4631042443735429E-2</v>
      </c>
      <c r="EY204" s="528">
        <f t="shared" si="577"/>
        <v>358.70891443764424</v>
      </c>
      <c r="EZ204" s="528"/>
      <c r="FA204" s="528">
        <f t="shared" si="578"/>
        <v>9.5879999999999992</v>
      </c>
      <c r="FB204" s="460">
        <f t="shared" si="579"/>
        <v>377653.97378376999</v>
      </c>
      <c r="FC204" s="173">
        <f t="shared" si="580"/>
        <v>394.76819744070679</v>
      </c>
      <c r="FD204" s="5">
        <f t="shared" si="581"/>
        <v>95.88</v>
      </c>
      <c r="FE204" s="173">
        <f t="shared" si="582"/>
        <v>0.19541496432703551</v>
      </c>
      <c r="FF204" s="5">
        <f t="shared" si="583"/>
        <v>19.54149643270355</v>
      </c>
      <c r="FI204" s="562">
        <f t="shared" si="584"/>
        <v>-50</v>
      </c>
      <c r="FJ204">
        <f t="shared" si="585"/>
        <v>-50</v>
      </c>
      <c r="FL204">
        <f t="shared" si="586"/>
        <v>0.51355206847360924</v>
      </c>
    </row>
    <row r="205" spans="5:168">
      <c r="E205" s="170">
        <v>95</v>
      </c>
      <c r="F205" s="217">
        <f t="shared" si="587"/>
        <v>0.56999999999999995</v>
      </c>
      <c r="G205" s="217"/>
      <c r="H205" s="217">
        <f t="shared" si="495"/>
        <v>96.899999999999991</v>
      </c>
      <c r="I205" s="541">
        <f t="shared" si="496"/>
        <v>7.4156037809256787</v>
      </c>
      <c r="J205" s="172">
        <f t="shared" si="497"/>
        <v>8.52669756737758</v>
      </c>
      <c r="K205" s="172">
        <f t="shared" si="498"/>
        <v>15.942301348303259</v>
      </c>
      <c r="L205" s="443"/>
      <c r="M205" s="217">
        <f t="shared" si="499"/>
        <v>0.5348463922561405</v>
      </c>
      <c r="N205" s="172">
        <f t="shared" si="500"/>
        <v>133.27784069836633</v>
      </c>
      <c r="O205" s="172">
        <f t="shared" si="599"/>
        <v>96.899999999999991</v>
      </c>
      <c r="P205" s="217">
        <f t="shared" si="501"/>
        <v>0.78398729822568436</v>
      </c>
      <c r="Q205" s="217">
        <f t="shared" si="502"/>
        <v>170</v>
      </c>
      <c r="R205" s="217"/>
      <c r="S205" s="172">
        <f t="shared" si="503"/>
        <v>285.60815303299904</v>
      </c>
      <c r="T205" s="536">
        <f t="shared" si="504"/>
        <v>170</v>
      </c>
      <c r="U205" s="217">
        <f t="shared" si="505"/>
        <v>49.016066134770263</v>
      </c>
      <c r="V205" s="217">
        <f t="shared" si="506"/>
        <v>3.3049275273342382</v>
      </c>
      <c r="W205" s="217">
        <f t="shared" si="507"/>
        <v>2.8742702404681011</v>
      </c>
      <c r="X205" s="197">
        <f t="shared" si="508"/>
        <v>350</v>
      </c>
      <c r="Y205" s="443">
        <f t="shared" si="509"/>
        <v>156.75952312488099</v>
      </c>
      <c r="AA205" s="217">
        <f t="shared" si="510"/>
        <v>22.664091441114167</v>
      </c>
      <c r="AB205" s="173">
        <f t="shared" si="511"/>
        <v>1.3290075824798251</v>
      </c>
      <c r="AC205" s="173">
        <f t="shared" si="512"/>
        <v>0.26355655703349734</v>
      </c>
      <c r="AD205" s="173"/>
      <c r="AE205" s="173">
        <f t="shared" si="513"/>
        <v>0.78185799531260103</v>
      </c>
      <c r="AF205" s="545">
        <f t="shared" si="514"/>
        <v>2187.0979260323484</v>
      </c>
      <c r="AG205" s="528">
        <f t="shared" si="515"/>
        <v>9.1216766119803477E-2</v>
      </c>
      <c r="AI205" s="173">
        <f t="shared" si="516"/>
        <v>33.330269771846289</v>
      </c>
      <c r="AJ205" s="173">
        <f t="shared" si="517"/>
        <v>49.016066134770263</v>
      </c>
      <c r="AK205" s="173">
        <f t="shared" si="518"/>
        <v>27.631653926990317</v>
      </c>
      <c r="AM205" s="545">
        <f t="shared" si="519"/>
        <v>570</v>
      </c>
      <c r="AN205" s="460">
        <f t="shared" si="520"/>
        <v>156.75952312488099</v>
      </c>
      <c r="AP205">
        <f t="shared" si="521"/>
        <v>570</v>
      </c>
      <c r="AQ205">
        <f t="shared" si="522"/>
        <v>156.75952312488099</v>
      </c>
      <c r="AS205" s="5">
        <f t="shared" si="600"/>
        <v>6.3791977678023395</v>
      </c>
      <c r="AT205" s="5">
        <f t="shared" si="523"/>
        <v>3.3049275273342382</v>
      </c>
      <c r="AU205" s="5">
        <f t="shared" si="478"/>
        <v>3.0742702404681013</v>
      </c>
      <c r="AV205" s="5"/>
      <c r="AW205" s="173">
        <f t="shared" si="479"/>
        <v>0.5180788631472073</v>
      </c>
      <c r="AX205" s="173">
        <f t="shared" si="596"/>
        <v>94.156617602242378</v>
      </c>
      <c r="AY205" s="173">
        <f t="shared" si="597"/>
        <v>0.59054695789300393</v>
      </c>
      <c r="AZ205" s="173">
        <f t="shared" si="601"/>
        <v>159.43967934096409</v>
      </c>
      <c r="BA205" s="460">
        <f t="shared" si="594"/>
        <v>1.1081227591650091</v>
      </c>
      <c r="BB205" s="5">
        <f t="shared" si="595"/>
        <v>64.274585342351827</v>
      </c>
      <c r="BD205" s="173">
        <f t="shared" si="602"/>
        <v>20.369283980030136</v>
      </c>
      <c r="BE205" s="173">
        <f t="shared" si="598"/>
        <v>0.98228116721182701</v>
      </c>
      <c r="BG205" s="528">
        <f t="shared" si="480"/>
        <v>16.596309194364494</v>
      </c>
      <c r="BH205" s="528">
        <f t="shared" si="524"/>
        <v>2.7561694789259827</v>
      </c>
      <c r="BI205" s="528">
        <f t="shared" si="525"/>
        <v>4.6498660495238951E-2</v>
      </c>
      <c r="BJ205" s="528">
        <f t="shared" si="481"/>
        <v>7.9683051546987869E-3</v>
      </c>
      <c r="BK205">
        <f t="shared" si="482"/>
        <v>3.3370217014165554E-3</v>
      </c>
      <c r="BL205" s="460">
        <f t="shared" si="588"/>
        <v>49.835682196655505</v>
      </c>
      <c r="BM205" s="528">
        <f t="shared" si="526"/>
        <v>-8.100291388153515</v>
      </c>
      <c r="BN205" s="460">
        <f t="shared" si="527"/>
        <v>-8100.2913881535151</v>
      </c>
      <c r="BO205" s="528">
        <f t="shared" si="483"/>
        <v>0.39899999999999997</v>
      </c>
      <c r="BR205" s="460">
        <f t="shared" si="484"/>
        <v>398.99999999999994</v>
      </c>
      <c r="BS205" s="528">
        <f t="shared" si="485"/>
        <v>12.447231895773371</v>
      </c>
      <c r="BT205" s="528">
        <f t="shared" si="486"/>
        <v>2.8946288743770879E-2</v>
      </c>
      <c r="BU205" s="528">
        <f t="shared" si="487"/>
        <v>258.76228152854969</v>
      </c>
      <c r="BV205" s="528"/>
      <c r="BW205" s="528">
        <f t="shared" si="488"/>
        <v>9.4156617602242374</v>
      </c>
      <c r="BX205" s="460">
        <f t="shared" si="489"/>
        <v>280654.12147329107</v>
      </c>
      <c r="BY205" s="173">
        <f t="shared" si="490"/>
        <v>300.4634041339329</v>
      </c>
      <c r="BZ205" s="5">
        <f t="shared" si="491"/>
        <v>96.899999999999991</v>
      </c>
      <c r="CA205" s="173">
        <f t="shared" si="492"/>
        <v>0.24385738342260493</v>
      </c>
      <c r="CB205" s="5">
        <f t="shared" si="493"/>
        <v>24.385738342260492</v>
      </c>
      <c r="CE205" s="562">
        <f t="shared" si="528"/>
        <v>-50</v>
      </c>
      <c r="CF205">
        <f t="shared" si="529"/>
        <v>-50</v>
      </c>
      <c r="CG205" s="173">
        <f t="shared" si="530"/>
        <v>0.50366189365576064</v>
      </c>
      <c r="CI205" s="170">
        <v>95</v>
      </c>
      <c r="CJ205" s="217">
        <f t="shared" si="589"/>
        <v>0.56999999999999995</v>
      </c>
      <c r="CK205" s="217"/>
      <c r="CL205" s="217">
        <f t="shared" si="531"/>
        <v>96.899999999999991</v>
      </c>
      <c r="CM205" s="541">
        <f t="shared" si="532"/>
        <v>9</v>
      </c>
      <c r="CN205" s="443">
        <f t="shared" si="533"/>
        <v>8.5250000000000004</v>
      </c>
      <c r="CO205" s="443">
        <f t="shared" si="534"/>
        <v>17.524999999999999</v>
      </c>
      <c r="CP205" s="443"/>
      <c r="CQ205" s="217">
        <f t="shared" si="535"/>
        <v>0.48644793152639093</v>
      </c>
      <c r="CR205" s="172">
        <f t="shared" si="590"/>
        <v>147.11644793152644</v>
      </c>
      <c r="CS205" s="172">
        <f t="shared" si="536"/>
        <v>96.899999999999991</v>
      </c>
      <c r="CT205" s="217">
        <f t="shared" si="537"/>
        <v>0.86539087018544958</v>
      </c>
      <c r="CU205" s="217">
        <f t="shared" si="538"/>
        <v>170</v>
      </c>
      <c r="CV205" s="217"/>
      <c r="CW205" s="172">
        <f t="shared" si="539"/>
        <v>346.57509934687721</v>
      </c>
      <c r="CX205" s="536">
        <f t="shared" si="540"/>
        <v>170</v>
      </c>
      <c r="CY205" s="217">
        <f t="shared" si="541"/>
        <v>44.266471163245349</v>
      </c>
      <c r="CZ205" s="217">
        <f t="shared" si="542"/>
        <v>2.459248397958075</v>
      </c>
      <c r="DA205" s="217">
        <f t="shared" si="543"/>
        <v>2.5962739685187888</v>
      </c>
      <c r="DB205" s="197">
        <f t="shared" si="544"/>
        <v>350</v>
      </c>
      <c r="DC205" s="443">
        <f t="shared" si="545"/>
        <v>197.80349635697263</v>
      </c>
      <c r="DE205" s="217">
        <f t="shared" si="546"/>
        <v>25.017322192785819</v>
      </c>
      <c r="DF205" s="173">
        <f t="shared" si="547"/>
        <v>1.467291624210312</v>
      </c>
      <c r="DG205" s="173">
        <f t="shared" si="548"/>
        <v>0.32119243899439714</v>
      </c>
      <c r="DH205" s="173"/>
      <c r="DI205" s="173">
        <f t="shared" si="549"/>
        <v>0.78201368523949166</v>
      </c>
      <c r="DJ205" s="545">
        <f t="shared" si="550"/>
        <v>2186.6624999999995</v>
      </c>
      <c r="DK205" s="528">
        <f t="shared" si="551"/>
        <v>9.1234929944607357E-2</v>
      </c>
      <c r="DM205" s="173">
        <f t="shared" si="552"/>
        <v>33.326951770087135</v>
      </c>
      <c r="DN205" s="173">
        <f t="shared" si="553"/>
        <v>44.266471163245349</v>
      </c>
      <c r="DO205" s="173">
        <f t="shared" si="554"/>
        <v>24.113435429564454</v>
      </c>
      <c r="DQ205" s="545">
        <f t="shared" si="555"/>
        <v>570</v>
      </c>
      <c r="DR205" s="460">
        <f t="shared" si="556"/>
        <v>197.80349635697263</v>
      </c>
      <c r="DT205">
        <f t="shared" si="591"/>
        <v>570</v>
      </c>
      <c r="DU205">
        <f t="shared" si="592"/>
        <v>197.80349635697263</v>
      </c>
      <c r="DW205" s="5">
        <f t="shared" si="557"/>
        <v>5.0555223664768647</v>
      </c>
      <c r="DX205" s="5">
        <f t="shared" si="558"/>
        <v>2.459248397958075</v>
      </c>
      <c r="DY205" s="5">
        <f t="shared" si="559"/>
        <v>2.5962739685187897</v>
      </c>
      <c r="DZ205" s="5"/>
      <c r="EA205" s="173">
        <f t="shared" si="560"/>
        <v>0.48644793152639082</v>
      </c>
      <c r="EB205" s="173">
        <f t="shared" si="561"/>
        <v>96.899999999999977</v>
      </c>
      <c r="EC205" s="173">
        <f t="shared" si="562"/>
        <v>0.56832844574780061</v>
      </c>
      <c r="ED205" s="173">
        <f t="shared" si="563"/>
        <v>170.49999999999994</v>
      </c>
      <c r="EE205" s="460">
        <f t="shared" si="564"/>
        <v>0.82457152166829562</v>
      </c>
      <c r="EF205" s="5">
        <f t="shared" si="565"/>
        <v>44.725146231017014</v>
      </c>
      <c r="EH205" s="173">
        <f t="shared" si="566"/>
        <v>17.825119719546997</v>
      </c>
      <c r="EI205" s="173">
        <f t="shared" si="567"/>
        <v>0.91574914241377736</v>
      </c>
      <c r="EK205" s="528">
        <f t="shared" si="568"/>
        <v>12.709395720647329</v>
      </c>
      <c r="EL205" s="528">
        <f t="shared" si="569"/>
        <v>4.2198749999999992</v>
      </c>
      <c r="EM205" s="528">
        <f t="shared" si="570"/>
        <v>3.9560699271394523E-2</v>
      </c>
      <c r="EN205" s="528">
        <f t="shared" si="571"/>
        <v>1.2150104489164088E-2</v>
      </c>
      <c r="EO205">
        <f t="shared" si="572"/>
        <v>4.0499999999999998E-3</v>
      </c>
      <c r="EP205" s="460">
        <f t="shared" si="573"/>
        <v>43.610699271394523</v>
      </c>
      <c r="EQ205" s="460"/>
      <c r="ER205" s="460">
        <f t="shared" si="593"/>
        <v>16985.031524407885</v>
      </c>
      <c r="ES205" s="528">
        <f t="shared" si="574"/>
        <v>0.39899999999999997</v>
      </c>
      <c r="EV205" s="460">
        <f t="shared" si="494"/>
        <v>398.99999999999994</v>
      </c>
      <c r="EW205" s="528">
        <f t="shared" si="575"/>
        <v>9.5320467904854951</v>
      </c>
      <c r="EX205" s="528">
        <f t="shared" si="576"/>
        <v>2.515789475494706E-2</v>
      </c>
      <c r="EY205" s="528">
        <f t="shared" si="577"/>
        <v>358.70891443764486</v>
      </c>
      <c r="EZ205" s="528"/>
      <c r="FA205" s="528">
        <f t="shared" si="578"/>
        <v>9.6899999999999977</v>
      </c>
      <c r="FB205" s="460">
        <f t="shared" si="579"/>
        <v>377956.11912288528</v>
      </c>
      <c r="FC205" s="173">
        <f t="shared" si="580"/>
        <v>395.34015064729317</v>
      </c>
      <c r="FD205" s="5">
        <f t="shared" si="581"/>
        <v>96.899999999999991</v>
      </c>
      <c r="FE205" s="173">
        <f t="shared" si="582"/>
        <v>0.19685513234257102</v>
      </c>
      <c r="FF205" s="5">
        <f t="shared" si="583"/>
        <v>19.685513234257101</v>
      </c>
      <c r="FI205" s="562">
        <f t="shared" si="584"/>
        <v>-50</v>
      </c>
      <c r="FJ205">
        <f t="shared" si="585"/>
        <v>-50</v>
      </c>
      <c r="FL205">
        <f t="shared" si="586"/>
        <v>0.51355206847360924</v>
      </c>
    </row>
    <row r="206" spans="5:168">
      <c r="E206" s="170">
        <v>96</v>
      </c>
      <c r="F206" s="217">
        <f t="shared" si="587"/>
        <v>0.57599999999999996</v>
      </c>
      <c r="G206" s="217"/>
      <c r="H206" s="217">
        <f>F206*Vout</f>
        <v>97.919999999999987</v>
      </c>
      <c r="I206" s="541">
        <f t="shared" si="496"/>
        <v>7.3992533543094385</v>
      </c>
      <c r="J206" s="172">
        <f t="shared" si="497"/>
        <v>8.5267150856918104</v>
      </c>
      <c r="K206" s="172">
        <f t="shared" si="498"/>
        <v>15.925968440001249</v>
      </c>
      <c r="L206" s="443"/>
      <c r="M206" s="217">
        <f t="shared" si="499"/>
        <v>0.53539600633468232</v>
      </c>
      <c r="N206" s="172">
        <f>M206*I206*(Isw_max+VIN_min/Lmag*ILIM_delay)*0.5*Efficiency</f>
        <v>133.12063647971326</v>
      </c>
      <c r="O206" s="172">
        <f t="shared" si="599"/>
        <v>97.919999999999987</v>
      </c>
      <c r="P206" s="217">
        <f>N206/Vout</f>
        <v>0.78306256752772507</v>
      </c>
      <c r="Q206" s="217">
        <f t="shared" si="502"/>
        <v>170</v>
      </c>
      <c r="R206" s="217"/>
      <c r="S206" s="172">
        <f t="shared" si="503"/>
        <v>280.47580628993273</v>
      </c>
      <c r="T206" s="536">
        <f>MIN(Vout, S206)</f>
        <v>170</v>
      </c>
      <c r="U206" s="217">
        <f t="shared" si="505"/>
        <v>49.590619784032896</v>
      </c>
      <c r="V206" s="217">
        <f>L*U206/I206*1000000</f>
        <v>3.3510556680121346</v>
      </c>
      <c r="W206" s="217">
        <f t="shared" si="507"/>
        <v>2.9079557183309697</v>
      </c>
      <c r="X206" s="197">
        <f t="shared" si="508"/>
        <v>350</v>
      </c>
      <c r="Y206" s="443">
        <f t="shared" si="509"/>
        <v>154.82245504542598</v>
      </c>
      <c r="AA206" s="217">
        <f t="shared" si="510"/>
        <v>22.637358578128307</v>
      </c>
      <c r="AB206" s="173">
        <f>L*AA206/J206*1000000</f>
        <v>1.32743725752692</v>
      </c>
      <c r="AC206" s="173">
        <f>0.5*AB206*AA206*Nps*X206/1000</f>
        <v>0.26293464040028619</v>
      </c>
      <c r="AD206" s="173"/>
      <c r="AE206" s="173">
        <f t="shared" si="513"/>
        <v>0.78185638896901999</v>
      </c>
      <c r="AF206" s="545">
        <f>MAX(12000,F206/(0.5*AE206/1000000*Isw_min*Nps))/1000</f>
        <v>2210.124550211317</v>
      </c>
      <c r="AG206" s="528">
        <f t="shared" si="515"/>
        <v>9.1216578713052332E-2</v>
      </c>
      <c r="AI206" s="173">
        <f t="shared" si="516"/>
        <v>33.505267438704045</v>
      </c>
      <c r="AJ206" s="173">
        <f>MAX(IF(F206&gt;AC206,U206,AI206),Isw_min)</f>
        <v>49.590619784032896</v>
      </c>
      <c r="AK206" s="173">
        <f>IF(F206&gt;AG206, (AJ206-Isw_min)/1.08*0.8+1.2, AF206*0.2/350+1)</f>
        <v>28.057249222740417</v>
      </c>
      <c r="AM206" s="545">
        <f t="shared" si="519"/>
        <v>576</v>
      </c>
      <c r="AN206" s="460">
        <f t="shared" si="520"/>
        <v>154.82245504542598</v>
      </c>
      <c r="AP206">
        <f t="shared" si="521"/>
        <v>576</v>
      </c>
      <c r="AQ206">
        <f t="shared" si="522"/>
        <v>154.82245504542598</v>
      </c>
      <c r="AS206" s="5">
        <f t="shared" si="600"/>
        <v>6.4590113863431053</v>
      </c>
      <c r="AT206" s="5">
        <f t="shared" si="523"/>
        <v>3.3510556680121346</v>
      </c>
      <c r="AU206" s="5">
        <f t="shared" si="478"/>
        <v>3.1079557183309707</v>
      </c>
      <c r="AV206" s="5"/>
      <c r="AW206" s="173">
        <f t="shared" si="479"/>
        <v>0.51881866551552869</v>
      </c>
      <c r="AX206" s="173">
        <f t="shared" si="596"/>
        <v>95.185989908776705</v>
      </c>
      <c r="AY206" s="173">
        <f t="shared" si="597"/>
        <v>0.59655201513982437</v>
      </c>
      <c r="AZ206" s="173">
        <f t="shared" si="601"/>
        <v>159.56025207033505</v>
      </c>
      <c r="BA206" s="460">
        <f t="shared" si="594"/>
        <v>1.1354165086911701</v>
      </c>
      <c r="BB206" s="5">
        <f t="shared" si="595"/>
        <v>65.807942367422044</v>
      </c>
      <c r="BD206" s="173">
        <f t="shared" si="602"/>
        <v>20.622756071846204</v>
      </c>
      <c r="BE206" s="173">
        <f t="shared" si="598"/>
        <v>0.99303212711032451</v>
      </c>
      <c r="BG206" s="528">
        <f t="shared" si="480"/>
        <v>17.011922719954779</v>
      </c>
      <c r="BH206" s="528">
        <f t="shared" si="524"/>
        <v>2.7511980492226003</v>
      </c>
      <c r="BI206" s="528">
        <f t="shared" si="525"/>
        <v>4.582282279269162E-2</v>
      </c>
      <c r="BJ206" s="528">
        <f t="shared" si="481"/>
        <v>7.8537242181737979E-3</v>
      </c>
      <c r="BK206">
        <f t="shared" si="482"/>
        <v>3.3296640094392471E-3</v>
      </c>
      <c r="BL206" s="460">
        <f t="shared" si="588"/>
        <v>49.152486802130866</v>
      </c>
      <c r="BM206" s="528">
        <f t="shared" si="526"/>
        <v>-8.0091816634396586</v>
      </c>
      <c r="BN206" s="460">
        <f t="shared" si="527"/>
        <v>-8009.1816634396582</v>
      </c>
      <c r="BO206" s="528">
        <f t="shared" si="483"/>
        <v>0.40319999999999995</v>
      </c>
      <c r="BR206" s="460">
        <f t="shared" si="484"/>
        <v>403.19999999999993</v>
      </c>
      <c r="BS206" s="528">
        <f t="shared" si="485"/>
        <v>12.758942039966085</v>
      </c>
      <c r="BT206" s="528">
        <f t="shared" si="486"/>
        <v>2.958338416419767E-2</v>
      </c>
      <c r="BU206" s="528">
        <f t="shared" si="487"/>
        <v>258.25796187339012</v>
      </c>
      <c r="BV206" s="528"/>
      <c r="BW206" s="528">
        <f t="shared" si="488"/>
        <v>9.5185989908776705</v>
      </c>
      <c r="BX206" s="460">
        <f t="shared" si="489"/>
        <v>280565.08628839807</v>
      </c>
      <c r="BY206" s="173">
        <f t="shared" si="490"/>
        <v>300.78841326859572</v>
      </c>
      <c r="BZ206" s="5">
        <f t="shared" si="491"/>
        <v>97.919999999999987</v>
      </c>
      <c r="CA206" s="173">
        <f t="shared" si="492"/>
        <v>0.24559301168805475</v>
      </c>
      <c r="CB206" s="5">
        <f t="shared" si="493"/>
        <v>24.559301168805476</v>
      </c>
      <c r="CE206" s="562">
        <f t="shared" si="528"/>
        <v>-50</v>
      </c>
      <c r="CF206">
        <f t="shared" si="529"/>
        <v>-50</v>
      </c>
      <c r="CG206" s="173">
        <f t="shared" si="530"/>
        <v>0.50376491631011311</v>
      </c>
      <c r="CI206" s="170">
        <v>96</v>
      </c>
      <c r="CJ206" s="217">
        <f t="shared" si="589"/>
        <v>0.57599999999999996</v>
      </c>
      <c r="CK206" s="217"/>
      <c r="CL206" s="217">
        <f t="shared" si="531"/>
        <v>97.919999999999987</v>
      </c>
      <c r="CM206" s="541">
        <f t="shared" si="532"/>
        <v>9</v>
      </c>
      <c r="CN206" s="443">
        <f t="shared" si="533"/>
        <v>8.5250000000000004</v>
      </c>
      <c r="CO206" s="443">
        <f t="shared" si="534"/>
        <v>17.524999999999999</v>
      </c>
      <c r="CP206" s="443"/>
      <c r="CQ206" s="217">
        <f t="shared" si="535"/>
        <v>0.48644793152639093</v>
      </c>
      <c r="CR206" s="172">
        <f t="shared" si="590"/>
        <v>147.11644793152644</v>
      </c>
      <c r="CS206" s="172">
        <f t="shared" si="536"/>
        <v>97.919999999999987</v>
      </c>
      <c r="CT206" s="217">
        <f t="shared" si="537"/>
        <v>0.86539087018544958</v>
      </c>
      <c r="CU206" s="217">
        <f t="shared" si="538"/>
        <v>170</v>
      </c>
      <c r="CV206" s="217"/>
      <c r="CW206" s="172">
        <f t="shared" si="539"/>
        <v>341.09680184215637</v>
      </c>
      <c r="CX206" s="536">
        <f t="shared" si="540"/>
        <v>170</v>
      </c>
      <c r="CY206" s="217">
        <f t="shared" si="541"/>
        <v>44.732434017595295</v>
      </c>
      <c r="CZ206" s="217">
        <f t="shared" si="542"/>
        <v>2.4851352231997383</v>
      </c>
      <c r="DA206" s="217">
        <f t="shared" si="543"/>
        <v>2.6236031681874072</v>
      </c>
      <c r="DB206" s="197">
        <f t="shared" si="544"/>
        <v>350</v>
      </c>
      <c r="DC206" s="443">
        <f t="shared" si="545"/>
        <v>195.74304326992086</v>
      </c>
      <c r="DE206" s="217">
        <f t="shared" si="546"/>
        <v>25.017322192785819</v>
      </c>
      <c r="DF206" s="173">
        <f t="shared" si="547"/>
        <v>1.467291624210312</v>
      </c>
      <c r="DG206" s="173">
        <f t="shared" si="548"/>
        <v>0.32119243899439714</v>
      </c>
      <c r="DH206" s="173"/>
      <c r="DI206" s="173">
        <f t="shared" si="549"/>
        <v>0.78201368523949166</v>
      </c>
      <c r="DJ206" s="545">
        <f t="shared" si="550"/>
        <v>2209.6799999999998</v>
      </c>
      <c r="DK206" s="528">
        <f t="shared" si="551"/>
        <v>9.1234929944607357E-2</v>
      </c>
      <c r="DM206" s="173">
        <f t="shared" si="552"/>
        <v>33.501897600839612</v>
      </c>
      <c r="DN206" s="173">
        <f t="shared" si="553"/>
        <v>44.732434017595295</v>
      </c>
      <c r="DO206" s="173">
        <f t="shared" si="554"/>
        <v>24.458593099453303</v>
      </c>
      <c r="DQ206" s="545">
        <f t="shared" si="555"/>
        <v>576</v>
      </c>
      <c r="DR206" s="460">
        <f t="shared" si="556"/>
        <v>195.74304326992086</v>
      </c>
      <c r="DT206">
        <f t="shared" si="591"/>
        <v>576</v>
      </c>
      <c r="DU206">
        <f t="shared" si="592"/>
        <v>195.74304326992086</v>
      </c>
      <c r="DW206" s="5">
        <f t="shared" si="557"/>
        <v>5.1087383913871456</v>
      </c>
      <c r="DX206" s="5">
        <f t="shared" si="558"/>
        <v>2.4851352231997383</v>
      </c>
      <c r="DY206" s="5">
        <f t="shared" si="559"/>
        <v>2.6236031681874072</v>
      </c>
      <c r="DZ206" s="5"/>
      <c r="EA206" s="173">
        <f t="shared" si="560"/>
        <v>0.48644793152639088</v>
      </c>
      <c r="EB206" s="173">
        <f t="shared" si="561"/>
        <v>97.919999999999959</v>
      </c>
      <c r="EC206" s="173">
        <f t="shared" si="562"/>
        <v>0.5743108504398825</v>
      </c>
      <c r="ED206" s="173">
        <f t="shared" si="563"/>
        <v>170.5</v>
      </c>
      <c r="EE206" s="460">
        <f t="shared" si="564"/>
        <v>0.84202228739002893</v>
      </c>
      <c r="EF206" s="5">
        <f t="shared" si="565"/>
        <v>45.671683951806379</v>
      </c>
      <c r="EH206" s="173">
        <f t="shared" si="566"/>
        <v>18.012752558700122</v>
      </c>
      <c r="EI206" s="173">
        <f t="shared" si="567"/>
        <v>0.92538860707076431</v>
      </c>
      <c r="EK206" s="528">
        <f t="shared" si="568"/>
        <v>12.97837018963831</v>
      </c>
      <c r="EL206" s="528">
        <f t="shared" si="569"/>
        <v>4.219875</v>
      </c>
      <c r="EM206" s="528">
        <f t="shared" si="570"/>
        <v>3.9148608653984174E-2</v>
      </c>
      <c r="EN206" s="528">
        <f t="shared" si="571"/>
        <v>1.2023540900735298E-2</v>
      </c>
      <c r="EO206">
        <f t="shared" si="572"/>
        <v>4.0499999999999998E-3</v>
      </c>
      <c r="EP206" s="460">
        <f t="shared" si="573"/>
        <v>43.198608653984174</v>
      </c>
      <c r="EQ206" s="460"/>
      <c r="ER206" s="460">
        <f t="shared" si="593"/>
        <v>17253.46733919303</v>
      </c>
      <c r="ES206" s="528">
        <f t="shared" si="574"/>
        <v>0.40319999999999995</v>
      </c>
      <c r="EV206" s="460">
        <f t="shared" si="494"/>
        <v>403.19999999999993</v>
      </c>
      <c r="EW206" s="528">
        <f t="shared" si="575"/>
        <v>9.7337776422287323</v>
      </c>
      <c r="EX206" s="528">
        <f t="shared" si="576"/>
        <v>2.5690322222891082E-2</v>
      </c>
      <c r="EY206" s="528">
        <f t="shared" si="577"/>
        <v>358.70891443764413</v>
      </c>
      <c r="EZ206" s="528"/>
      <c r="FA206" s="528">
        <f t="shared" si="578"/>
        <v>9.791999999999998</v>
      </c>
      <c r="FB206" s="460">
        <f t="shared" si="579"/>
        <v>378260.38240209571</v>
      </c>
      <c r="FC206" s="173">
        <f t="shared" si="580"/>
        <v>395.91704974128874</v>
      </c>
      <c r="FD206" s="5">
        <f t="shared" si="581"/>
        <v>97.919999999999987</v>
      </c>
      <c r="FE206" s="173">
        <f t="shared" si="582"/>
        <v>0.1982840292183389</v>
      </c>
      <c r="FF206" s="5">
        <f t="shared" si="583"/>
        <v>19.828402921833892</v>
      </c>
      <c r="FI206" s="562">
        <f t="shared" si="584"/>
        <v>-50</v>
      </c>
      <c r="FJ206">
        <f t="shared" si="585"/>
        <v>-50</v>
      </c>
      <c r="FL206">
        <f t="shared" si="586"/>
        <v>0.51355206847360912</v>
      </c>
    </row>
    <row r="207" spans="5:168">
      <c r="E207" s="170">
        <v>97</v>
      </c>
      <c r="F207" s="217">
        <f>IF(PLOT_TYPE=1, E207/100*Iout_max, min_I*EXP(N207*rr/100))</f>
        <v>0.58199999999999996</v>
      </c>
      <c r="G207" s="217"/>
      <c r="H207" s="217">
        <f>F207*Vout</f>
        <v>98.94</v>
      </c>
      <c r="I207" s="541">
        <f t="shared" si="496"/>
        <v>7.3829027965590059</v>
      </c>
      <c r="J207" s="172">
        <f t="shared" si="497"/>
        <v>8.5267326041465434</v>
      </c>
      <c r="K207" s="172">
        <f t="shared" si="498"/>
        <v>15.90963540070555</v>
      </c>
      <c r="L207" s="443"/>
      <c r="M207" s="217">
        <f t="shared" si="499"/>
        <v>0.53594675330550656</v>
      </c>
      <c r="N207" s="172">
        <f>M207*I207*(Isw_max+VIN_min/Lmag*ILIM_delay)*0.5*Efficiency</f>
        <v>132.96310701115371</v>
      </c>
      <c r="O207" s="172">
        <f t="shared" si="599"/>
        <v>98.94</v>
      </c>
      <c r="P207" s="217">
        <f>N207/Vout</f>
        <v>0.78213592359502182</v>
      </c>
      <c r="Q207" s="217">
        <f t="shared" si="502"/>
        <v>170</v>
      </c>
      <c r="R207" s="217"/>
      <c r="S207" s="172">
        <f t="shared" si="503"/>
        <v>275.45614952274764</v>
      </c>
      <c r="T207" s="536">
        <f>MIN(Vout, S207)</f>
        <v>170</v>
      </c>
      <c r="U207" s="217">
        <f t="shared" si="505"/>
        <v>50.166656877904011</v>
      </c>
      <c r="V207" s="217">
        <f>L*U207/I207*1000000</f>
        <v>3.3974886477772319</v>
      </c>
      <c r="W207" s="217">
        <f t="shared" si="507"/>
        <v>2.9417280456002572</v>
      </c>
      <c r="X207" s="197">
        <f t="shared" si="508"/>
        <v>350</v>
      </c>
      <c r="Y207" s="443">
        <f t="shared" si="509"/>
        <v>152.92351467917214</v>
      </c>
      <c r="AA207" s="217">
        <f t="shared" si="510"/>
        <v>22.610570406147932</v>
      </c>
      <c r="AB207" s="173">
        <f>L*AA207/J207*1000000</f>
        <v>1.3258636957345438</v>
      </c>
      <c r="AC207" s="173">
        <f>0.5*AB207*AA207*Nps*X207/1000</f>
        <v>0.26231217636191229</v>
      </c>
      <c r="AD207" s="173"/>
      <c r="AE207" s="173">
        <f t="shared" si="513"/>
        <v>0.7818547826191562</v>
      </c>
      <c r="AF207" s="545">
        <f>MAX(12000,F207/(0.5*AE207/1000000*Isw_min*Nps))/1000</f>
        <v>2233.1512690259792</v>
      </c>
      <c r="AG207" s="528">
        <f t="shared" si="515"/>
        <v>9.1216391305568231E-2</v>
      </c>
      <c r="AI207" s="173">
        <f t="shared" si="516"/>
        <v>33.679356544967384</v>
      </c>
      <c r="AJ207" s="173">
        <f>MAX(IF(F207&gt;AC207,U207,AI207),Isw_min)</f>
        <v>50.166656877904011</v>
      </c>
      <c r="AK207" s="173">
        <f>IF(F207&gt;AG207, (AJ207-Isw_min)/1.08*0.8+1.2, AF207*0.2/350+1)</f>
        <v>28.483943366348651</v>
      </c>
      <c r="AM207" s="545">
        <f t="shared" si="519"/>
        <v>582</v>
      </c>
      <c r="AN207" s="460">
        <f t="shared" si="520"/>
        <v>152.92351467917214</v>
      </c>
      <c r="AP207">
        <f t="shared" si="521"/>
        <v>582</v>
      </c>
      <c r="AQ207">
        <f t="shared" si="522"/>
        <v>152.92351467917214</v>
      </c>
      <c r="AS207" s="5">
        <f t="shared" si="600"/>
        <v>6.5392166933774893</v>
      </c>
      <c r="AT207" s="5">
        <f t="shared" si="523"/>
        <v>3.3974886477772319</v>
      </c>
      <c r="AU207" s="5">
        <f t="shared" si="478"/>
        <v>3.1417280456002574</v>
      </c>
      <c r="AV207" s="5"/>
      <c r="AW207" s="173">
        <f t="shared" si="479"/>
        <v>0.51955590510068228</v>
      </c>
      <c r="AX207" s="173">
        <f t="shared" si="596"/>
        <v>96.215402406457329</v>
      </c>
      <c r="AY207" s="173">
        <f t="shared" si="597"/>
        <v>0.60255685144573068</v>
      </c>
      <c r="AZ207" s="173">
        <f t="shared" si="601"/>
        <v>159.67854680534319</v>
      </c>
      <c r="BA207" s="460">
        <f t="shared" si="594"/>
        <v>1.1631402311802053</v>
      </c>
      <c r="BB207" s="5">
        <f t="shared" si="595"/>
        <v>67.364846894978115</v>
      </c>
      <c r="BD207" s="173">
        <f t="shared" si="602"/>
        <v>20.877124240573526</v>
      </c>
      <c r="BE207" s="173">
        <f t="shared" si="598"/>
        <v>1.0037971710112914</v>
      </c>
      <c r="BG207" s="528">
        <f t="shared" si="480"/>
        <v>17.434172662253708</v>
      </c>
      <c r="BH207" s="528">
        <f t="shared" si="524"/>
        <v>2.7462000873409069</v>
      </c>
      <c r="BI207" s="528">
        <f t="shared" si="525"/>
        <v>4.5160777767379687E-2</v>
      </c>
      <c r="BJ207" s="528">
        <f t="shared" si="481"/>
        <v>7.7414929173313324E-3</v>
      </c>
      <c r="BK207">
        <f t="shared" si="482"/>
        <v>3.3223062584515524E-3</v>
      </c>
      <c r="BL207" s="460">
        <f t="shared" si="588"/>
        <v>48.483084025831232</v>
      </c>
      <c r="BM207" s="528">
        <f t="shared" si="526"/>
        <v>-7.9224994654689596</v>
      </c>
      <c r="BN207" s="460">
        <f t="shared" si="527"/>
        <v>-7922.4994654689599</v>
      </c>
      <c r="BO207" s="528">
        <f t="shared" si="483"/>
        <v>0.40739999999999993</v>
      </c>
      <c r="BR207" s="460">
        <f t="shared" si="484"/>
        <v>407.39999999999992</v>
      </c>
      <c r="BS207" s="528">
        <f t="shared" si="485"/>
        <v>13.075629496690281</v>
      </c>
      <c r="BT207" s="528">
        <f t="shared" si="486"/>
        <v>3.0228262815908149E-2</v>
      </c>
      <c r="BU207" s="528">
        <f t="shared" si="487"/>
        <v>257.74697852456814</v>
      </c>
      <c r="BV207" s="528"/>
      <c r="BW207" s="528">
        <f t="shared" si="488"/>
        <v>9.621540240645734</v>
      </c>
      <c r="BX207" s="460">
        <f t="shared" si="489"/>
        <v>280474.37652472005</v>
      </c>
      <c r="BY207" s="173">
        <f t="shared" si="490"/>
        <v>301.11837385125784</v>
      </c>
      <c r="BZ207" s="5">
        <f t="shared" si="491"/>
        <v>98.94</v>
      </c>
      <c r="CA207" s="173">
        <f t="shared" si="492"/>
        <v>0.24731390833675188</v>
      </c>
      <c r="CB207" s="5">
        <f t="shared" si="493"/>
        <v>24.731390833675189</v>
      </c>
      <c r="CE207" s="562">
        <f t="shared" si="528"/>
        <v>-50</v>
      </c>
      <c r="CF207">
        <f t="shared" si="529"/>
        <v>-50</v>
      </c>
      <c r="CG207" s="173">
        <f t="shared" si="530"/>
        <v>0.50386581478602555</v>
      </c>
      <c r="CI207" s="170">
        <v>97</v>
      </c>
      <c r="CJ207" s="217">
        <f t="shared" si="589"/>
        <v>0.58199999999999996</v>
      </c>
      <c r="CK207" s="217"/>
      <c r="CL207" s="217">
        <f t="shared" si="531"/>
        <v>98.94</v>
      </c>
      <c r="CM207" s="541">
        <f t="shared" si="532"/>
        <v>9</v>
      </c>
      <c r="CN207" s="443">
        <f t="shared" si="533"/>
        <v>8.5250000000000004</v>
      </c>
      <c r="CO207" s="443">
        <f t="shared" si="534"/>
        <v>17.524999999999999</v>
      </c>
      <c r="CP207" s="443"/>
      <c r="CQ207" s="217">
        <f t="shared" si="535"/>
        <v>0.48644793152639093</v>
      </c>
      <c r="CR207" s="172">
        <f t="shared" si="590"/>
        <v>147.11644793152644</v>
      </c>
      <c r="CS207" s="172">
        <f t="shared" si="536"/>
        <v>98.94</v>
      </c>
      <c r="CT207" s="217">
        <f t="shared" si="537"/>
        <v>0.86539087018544958</v>
      </c>
      <c r="CU207" s="217">
        <f t="shared" si="538"/>
        <v>170</v>
      </c>
      <c r="CV207" s="217"/>
      <c r="CW207" s="172">
        <f t="shared" si="539"/>
        <v>335.73159017352651</v>
      </c>
      <c r="CX207" s="536">
        <f t="shared" si="540"/>
        <v>170</v>
      </c>
      <c r="CY207" s="217">
        <f t="shared" si="541"/>
        <v>45.198396871945256</v>
      </c>
      <c r="CZ207" s="217">
        <f t="shared" si="542"/>
        <v>2.511022048441403</v>
      </c>
      <c r="DA207" s="217">
        <f t="shared" si="543"/>
        <v>2.650932367856027</v>
      </c>
      <c r="DB207" s="197">
        <f t="shared" si="544"/>
        <v>350</v>
      </c>
      <c r="DC207" s="443">
        <f t="shared" si="545"/>
        <v>193.72507375167419</v>
      </c>
      <c r="DE207" s="217">
        <f t="shared" si="546"/>
        <v>25.017322192785819</v>
      </c>
      <c r="DF207" s="173">
        <f t="shared" si="547"/>
        <v>1.467291624210312</v>
      </c>
      <c r="DG207" s="173">
        <f t="shared" si="548"/>
        <v>0.32119243899439714</v>
      </c>
      <c r="DH207" s="173"/>
      <c r="DI207" s="173">
        <f t="shared" si="549"/>
        <v>0.78201368523949166</v>
      </c>
      <c r="DJ207" s="545">
        <f t="shared" si="550"/>
        <v>2232.6975000000002</v>
      </c>
      <c r="DK207" s="528">
        <f t="shared" si="551"/>
        <v>9.1234929944607357E-2</v>
      </c>
      <c r="DM207" s="173">
        <f t="shared" si="552"/>
        <v>33.675934603639014</v>
      </c>
      <c r="DN207" s="173">
        <f t="shared" si="553"/>
        <v>45.198396871945256</v>
      </c>
      <c r="DO207" s="173">
        <f t="shared" si="554"/>
        <v>24.803750769342162</v>
      </c>
      <c r="DQ207" s="545">
        <f t="shared" si="555"/>
        <v>582</v>
      </c>
      <c r="DR207" s="460">
        <f t="shared" si="556"/>
        <v>193.72507375167419</v>
      </c>
      <c r="DT207">
        <f t="shared" si="591"/>
        <v>582</v>
      </c>
      <c r="DU207">
        <f t="shared" si="592"/>
        <v>193.72507375167419</v>
      </c>
      <c r="DW207" s="5">
        <f t="shared" si="557"/>
        <v>5.16195441629743</v>
      </c>
      <c r="DX207" s="5">
        <f t="shared" si="558"/>
        <v>2.511022048441403</v>
      </c>
      <c r="DY207" s="5">
        <f t="shared" si="559"/>
        <v>2.650932367856027</v>
      </c>
      <c r="DZ207" s="5"/>
      <c r="EA207" s="173">
        <f t="shared" si="560"/>
        <v>0.48644793152639082</v>
      </c>
      <c r="EB207" s="173">
        <f t="shared" si="561"/>
        <v>98.939999999999969</v>
      </c>
      <c r="EC207" s="173">
        <f t="shared" si="562"/>
        <v>0.58029325513196484</v>
      </c>
      <c r="ED207" s="173">
        <f t="shared" si="563"/>
        <v>170.49999999999994</v>
      </c>
      <c r="EE207" s="460">
        <f t="shared" si="564"/>
        <v>0.85965578364288031</v>
      </c>
      <c r="EF207" s="5">
        <f t="shared" si="565"/>
        <v>46.628133062342272</v>
      </c>
      <c r="EH207" s="173">
        <f t="shared" si="566"/>
        <v>18.20038539785325</v>
      </c>
      <c r="EI207" s="173">
        <f t="shared" si="567"/>
        <v>0.93502807172775171</v>
      </c>
      <c r="EK207" s="528">
        <f t="shared" si="568"/>
        <v>13.250161145215591</v>
      </c>
      <c r="EL207" s="528">
        <f t="shared" si="569"/>
        <v>4.2198749999999992</v>
      </c>
      <c r="EM207" s="528">
        <f t="shared" si="570"/>
        <v>3.874501475033483E-2</v>
      </c>
      <c r="EN207" s="528">
        <f t="shared" si="571"/>
        <v>1.1899586870830805E-2</v>
      </c>
      <c r="EO207">
        <f t="shared" si="572"/>
        <v>4.0499999999999998E-3</v>
      </c>
      <c r="EP207" s="460">
        <f t="shared" si="573"/>
        <v>42.795014750334829</v>
      </c>
      <c r="EQ207" s="460"/>
      <c r="ER207" s="460">
        <f t="shared" si="593"/>
        <v>17524.730746836758</v>
      </c>
      <c r="ES207" s="528">
        <f t="shared" si="574"/>
        <v>0.40739999999999993</v>
      </c>
      <c r="EV207" s="460">
        <f t="shared" si="494"/>
        <v>407.39999999999992</v>
      </c>
      <c r="EW207" s="528">
        <f t="shared" si="575"/>
        <v>9.9376208589116928</v>
      </c>
      <c r="EX207" s="528">
        <f t="shared" si="576"/>
        <v>2.6228324847567527E-2</v>
      </c>
      <c r="EY207" s="528">
        <f t="shared" si="577"/>
        <v>358.70891443764424</v>
      </c>
      <c r="EZ207" s="528"/>
      <c r="FA207" s="528">
        <f t="shared" si="578"/>
        <v>9.8940000000000001</v>
      </c>
      <c r="FB207" s="460">
        <f t="shared" si="579"/>
        <v>378566.76362140349</v>
      </c>
      <c r="FC207" s="173">
        <f t="shared" si="580"/>
        <v>396.49889436824026</v>
      </c>
      <c r="FD207" s="5">
        <f t="shared" si="581"/>
        <v>98.94</v>
      </c>
      <c r="FE207" s="173">
        <f t="shared" si="582"/>
        <v>0.19970172129130778</v>
      </c>
      <c r="FF207" s="5">
        <f t="shared" si="583"/>
        <v>19.970172129130777</v>
      </c>
      <c r="FI207" s="562">
        <f t="shared" si="584"/>
        <v>-50</v>
      </c>
      <c r="FJ207">
        <f t="shared" si="585"/>
        <v>-50</v>
      </c>
      <c r="FL207">
        <f t="shared" si="586"/>
        <v>0.51355206847360924</v>
      </c>
    </row>
    <row r="208" spans="5:168">
      <c r="E208" s="170">
        <v>98</v>
      </c>
      <c r="F208" s="217">
        <f>IF(PLOT_TYPE=1, E208/100*Iout_max, min_I*EXP(N208*rr/100))</f>
        <v>0.58799999999999997</v>
      </c>
      <c r="G208" s="217"/>
      <c r="H208" s="217">
        <f>F208*Vout</f>
        <v>99.96</v>
      </c>
      <c r="I208" s="541">
        <f t="shared" si="496"/>
        <v>7.366552111765059</v>
      </c>
      <c r="J208" s="172">
        <f t="shared" si="497"/>
        <v>8.5267501227373952</v>
      </c>
      <c r="K208" s="172">
        <f t="shared" si="498"/>
        <v>15.893302234502453</v>
      </c>
      <c r="L208" s="443"/>
      <c r="M208" s="217">
        <f t="shared" si="499"/>
        <v>0.53649863653687679</v>
      </c>
      <c r="N208" s="172">
        <f>M208*I208*(Isw_max+VIN_min/Lmag*ILIM_delay)*0.5*Efficiency</f>
        <v>132.8052513255906</v>
      </c>
      <c r="O208" s="172">
        <f t="shared" si="599"/>
        <v>99.96</v>
      </c>
      <c r="P208" s="217">
        <f>N208/Vout</f>
        <v>0.78120736073876829</v>
      </c>
      <c r="Q208" s="217">
        <f t="shared" si="502"/>
        <v>170</v>
      </c>
      <c r="R208" s="217"/>
      <c r="S208" s="172">
        <f t="shared" si="503"/>
        <v>270.54573538646099</v>
      </c>
      <c r="T208" s="536">
        <f>MIN(Vout, S208)</f>
        <v>170</v>
      </c>
      <c r="U208" s="217">
        <f t="shared" si="505"/>
        <v>50.744187297026762</v>
      </c>
      <c r="V208" s="217">
        <f>L*U208/I208*1000000</f>
        <v>3.4442291676715109</v>
      </c>
      <c r="W208" s="217">
        <f t="shared" si="507"/>
        <v>2.9755878011314376</v>
      </c>
      <c r="X208" s="197">
        <f t="shared" si="508"/>
        <v>350</v>
      </c>
      <c r="Y208" s="443">
        <f t="shared" si="509"/>
        <v>151.06157839600036</v>
      </c>
      <c r="AA208" s="217">
        <f t="shared" si="510"/>
        <v>22.583726760710626</v>
      </c>
      <c r="AB208" s="173">
        <f>L*AA208/J208*1000000</f>
        <v>1.3242868874794955</v>
      </c>
      <c r="AC208" s="173">
        <f>0.5*AB208*AA208*Nps*X208/1000</f>
        <v>0.26168916567175254</v>
      </c>
      <c r="AD208" s="173"/>
      <c r="AE208" s="173">
        <f t="shared" si="513"/>
        <v>0.78185317626341155</v>
      </c>
      <c r="AF208" s="545">
        <f>MAX(12000,F208/(0.5*AE208/1000000*Isw_min*Nps))/1000</f>
        <v>2256.1780824763141</v>
      </c>
      <c r="AG208" s="528">
        <f t="shared" si="515"/>
        <v>9.1216203897398027E-2</v>
      </c>
      <c r="AI208" s="173">
        <f t="shared" si="516"/>
        <v>33.852551107647791</v>
      </c>
      <c r="AJ208" s="173">
        <f>MAX(IF(F208&gt;AC208,U208,AI208),Isw_min)</f>
        <v>50.744187297026762</v>
      </c>
      <c r="AK208" s="173">
        <f>IF(F208&gt;AG208, (AJ208-Isw_min)/1.08*0.8+1.2, AF208*0.2/350+1)</f>
        <v>28.911743676809945</v>
      </c>
      <c r="AM208" s="545">
        <f t="shared" si="519"/>
        <v>588</v>
      </c>
      <c r="AN208" s="460">
        <f t="shared" si="520"/>
        <v>151.06157839600036</v>
      </c>
      <c r="AP208">
        <f t="shared" si="521"/>
        <v>588</v>
      </c>
      <c r="AQ208">
        <f t="shared" si="522"/>
        <v>151.06157839600036</v>
      </c>
      <c r="AS208" s="5">
        <f t="shared" si="600"/>
        <v>6.6198169688029482</v>
      </c>
      <c r="AT208" s="5">
        <f t="shared" si="523"/>
        <v>3.4442291676715109</v>
      </c>
      <c r="AU208" s="5">
        <f t="shared" si="478"/>
        <v>3.1755878011314373</v>
      </c>
      <c r="AV208" s="5"/>
      <c r="AW208" s="173">
        <f t="shared" si="479"/>
        <v>0.52029069442600095</v>
      </c>
      <c r="AX208" s="173">
        <f t="shared" si="596"/>
        <v>97.244854222206712</v>
      </c>
      <c r="AY208" s="173">
        <f t="shared" si="597"/>
        <v>0.60856147125434135</v>
      </c>
      <c r="AZ208" s="173">
        <f t="shared" si="601"/>
        <v>159.79462850608945</v>
      </c>
      <c r="BA208" s="460">
        <f t="shared" si="594"/>
        <v>1.1912980885828519</v>
      </c>
      <c r="BB208" s="5">
        <f t="shared" si="595"/>
        <v>68.945526055616895</v>
      </c>
      <c r="BD208" s="173">
        <f t="shared" si="602"/>
        <v>21.132394195266137</v>
      </c>
      <c r="BE208" s="173">
        <f t="shared" si="598"/>
        <v>1.0145763858064847</v>
      </c>
      <c r="BG208" s="528">
        <f t="shared" si="480"/>
        <v>17.863123376964719</v>
      </c>
      <c r="BH208" s="528">
        <f t="shared" si="524"/>
        <v>2.741176373308079</v>
      </c>
      <c r="BI208" s="528">
        <f t="shared" si="525"/>
        <v>4.4512119573584773E-2</v>
      </c>
      <c r="BJ208" s="528">
        <f t="shared" si="481"/>
        <v>7.631541993008229E-3</v>
      </c>
      <c r="BK208">
        <f t="shared" si="482"/>
        <v>3.3149484502942765E-3</v>
      </c>
      <c r="BL208" s="460">
        <f t="shared" si="588"/>
        <v>47.82706802387905</v>
      </c>
      <c r="BM208" s="528">
        <f t="shared" si="526"/>
        <v>-7.8399488907597554</v>
      </c>
      <c r="BN208" s="460">
        <f t="shared" si="527"/>
        <v>-7839.9488907597552</v>
      </c>
      <c r="BO208" s="528">
        <f t="shared" si="483"/>
        <v>0.41159999999999997</v>
      </c>
      <c r="BR208" s="460">
        <f t="shared" si="484"/>
        <v>411.59999999999997</v>
      </c>
      <c r="BS208" s="528">
        <f t="shared" si="485"/>
        <v>13.397342532723538</v>
      </c>
      <c r="BT208" s="528">
        <f t="shared" si="486"/>
        <v>3.0880957279084464E-2</v>
      </c>
      <c r="BU208" s="528">
        <f t="shared" si="487"/>
        <v>257.22951759452201</v>
      </c>
      <c r="BV208" s="528"/>
      <c r="BW208" s="528">
        <f t="shared" si="488"/>
        <v>9.7244854222206705</v>
      </c>
      <c r="BX208" s="460">
        <f t="shared" si="489"/>
        <v>280382.22650674527</v>
      </c>
      <c r="BY208" s="173">
        <f t="shared" si="490"/>
        <v>301.45358486703498</v>
      </c>
      <c r="BZ208" s="5">
        <f t="shared" si="491"/>
        <v>99.96</v>
      </c>
      <c r="CA208" s="173">
        <f t="shared" si="492"/>
        <v>0.24901997283702032</v>
      </c>
      <c r="CB208" s="5">
        <f t="shared" si="493"/>
        <v>24.90199728370203</v>
      </c>
      <c r="CE208" s="562">
        <f t="shared" si="528"/>
        <v>-50</v>
      </c>
      <c r="CF208">
        <f t="shared" si="529"/>
        <v>-50</v>
      </c>
      <c r="CG208" s="173">
        <f t="shared" si="530"/>
        <v>0.50396465410936819</v>
      </c>
      <c r="CI208" s="170">
        <v>98</v>
      </c>
      <c r="CJ208" s="217">
        <f t="shared" si="589"/>
        <v>0.58799999999999997</v>
      </c>
      <c r="CK208" s="217"/>
      <c r="CL208" s="217">
        <f t="shared" si="531"/>
        <v>99.96</v>
      </c>
      <c r="CM208" s="541">
        <f t="shared" si="532"/>
        <v>9</v>
      </c>
      <c r="CN208" s="443">
        <f t="shared" si="533"/>
        <v>8.5250000000000004</v>
      </c>
      <c r="CO208" s="443">
        <f t="shared" si="534"/>
        <v>17.524999999999999</v>
      </c>
      <c r="CP208" s="443"/>
      <c r="CQ208" s="217">
        <f t="shared" si="535"/>
        <v>0.48644793152639093</v>
      </c>
      <c r="CR208" s="172">
        <f t="shared" si="590"/>
        <v>147.11644793152644</v>
      </c>
      <c r="CS208" s="172">
        <f t="shared" si="536"/>
        <v>99.96</v>
      </c>
      <c r="CT208" s="217">
        <f t="shared" si="537"/>
        <v>0.86539087018544958</v>
      </c>
      <c r="CU208" s="217">
        <f t="shared" si="538"/>
        <v>170</v>
      </c>
      <c r="CV208" s="217"/>
      <c r="CW208" s="172">
        <f t="shared" si="539"/>
        <v>330.47600466855465</v>
      </c>
      <c r="CX208" s="536">
        <f t="shared" si="540"/>
        <v>170</v>
      </c>
      <c r="CY208" s="217">
        <f t="shared" si="541"/>
        <v>45.664359726295203</v>
      </c>
      <c r="CZ208" s="217">
        <f t="shared" si="542"/>
        <v>2.5369088736830667</v>
      </c>
      <c r="DA208" s="217">
        <f t="shared" si="543"/>
        <v>2.6782615675246455</v>
      </c>
      <c r="DB208" s="197">
        <f t="shared" si="544"/>
        <v>350</v>
      </c>
      <c r="DC208" s="443">
        <f t="shared" si="545"/>
        <v>191.74828728482038</v>
      </c>
      <c r="DE208" s="217">
        <f t="shared" si="546"/>
        <v>25.017322192785819</v>
      </c>
      <c r="DF208" s="173">
        <f t="shared" si="547"/>
        <v>1.467291624210312</v>
      </c>
      <c r="DG208" s="173">
        <f t="shared" si="548"/>
        <v>0.32119243899439714</v>
      </c>
      <c r="DH208" s="173"/>
      <c r="DI208" s="173">
        <f t="shared" si="549"/>
        <v>0.78201368523949166</v>
      </c>
      <c r="DJ208" s="545">
        <f t="shared" si="550"/>
        <v>2255.7150000000001</v>
      </c>
      <c r="DK208" s="528">
        <f t="shared" si="551"/>
        <v>9.1234929944607357E-2</v>
      </c>
      <c r="DM208" s="173">
        <f t="shared" si="552"/>
        <v>33.849076796864047</v>
      </c>
      <c r="DN208" s="173">
        <f t="shared" si="553"/>
        <v>45.664359726295203</v>
      </c>
      <c r="DO208" s="173">
        <f t="shared" si="554"/>
        <v>25.148908439231011</v>
      </c>
      <c r="DQ208" s="545">
        <f t="shared" si="555"/>
        <v>588</v>
      </c>
      <c r="DR208" s="460">
        <f t="shared" si="556"/>
        <v>191.74828728482038</v>
      </c>
      <c r="DT208">
        <f t="shared" si="591"/>
        <v>588</v>
      </c>
      <c r="DU208">
        <f t="shared" si="592"/>
        <v>191.74828728482038</v>
      </c>
      <c r="DW208" s="5">
        <f t="shared" si="557"/>
        <v>5.2151704412077127</v>
      </c>
      <c r="DX208" s="5">
        <f t="shared" si="558"/>
        <v>2.5369088736830667</v>
      </c>
      <c r="DY208" s="5">
        <f t="shared" si="559"/>
        <v>2.6782615675246459</v>
      </c>
      <c r="DZ208" s="5"/>
      <c r="EA208" s="173">
        <f t="shared" si="560"/>
        <v>0.48644793152639082</v>
      </c>
      <c r="EB208" s="173">
        <f t="shared" si="561"/>
        <v>99.959999999999965</v>
      </c>
      <c r="EC208" s="173">
        <f t="shared" si="562"/>
        <v>0.58627565982404695</v>
      </c>
      <c r="ED208" s="173">
        <f t="shared" si="563"/>
        <v>170.49999999999994</v>
      </c>
      <c r="EE208" s="460">
        <f t="shared" si="564"/>
        <v>0.87747201042684886</v>
      </c>
      <c r="EF208" s="5">
        <f t="shared" si="565"/>
        <v>47.594493562624635</v>
      </c>
      <c r="EH208" s="173">
        <f t="shared" si="566"/>
        <v>18.388018237006374</v>
      </c>
      <c r="EI208" s="173">
        <f t="shared" si="567"/>
        <v>0.94466753638473877</v>
      </c>
      <c r="EK208" s="528">
        <f t="shared" si="568"/>
        <v>13.52476858737916</v>
      </c>
      <c r="EL208" s="528">
        <f t="shared" si="569"/>
        <v>4.2198749999999992</v>
      </c>
      <c r="EM208" s="528">
        <f t="shared" si="570"/>
        <v>3.8349657456964073E-2</v>
      </c>
      <c r="EN208" s="528">
        <f t="shared" si="571"/>
        <v>1.1778162515006003E-2</v>
      </c>
      <c r="EO208">
        <f t="shared" si="572"/>
        <v>4.0499999999999998E-3</v>
      </c>
      <c r="EP208" s="460">
        <f t="shared" si="573"/>
        <v>42.399657456964071</v>
      </c>
      <c r="EQ208" s="460"/>
      <c r="ER208" s="460">
        <f t="shared" si="593"/>
        <v>17798.82140735113</v>
      </c>
      <c r="ES208" s="528">
        <f t="shared" si="574"/>
        <v>0.41159999999999997</v>
      </c>
      <c r="EV208" s="460">
        <f t="shared" si="494"/>
        <v>411.59999999999997</v>
      </c>
      <c r="EW208" s="528">
        <f t="shared" si="575"/>
        <v>10.143576440534369</v>
      </c>
      <c r="EX208" s="528">
        <f t="shared" si="576"/>
        <v>2.677190262897635E-2</v>
      </c>
      <c r="EY208" s="528">
        <f t="shared" si="577"/>
        <v>358.70891443764418</v>
      </c>
      <c r="EZ208" s="528"/>
      <c r="FA208" s="528">
        <f t="shared" si="578"/>
        <v>9.9959999999999987</v>
      </c>
      <c r="FB208" s="460">
        <f t="shared" si="579"/>
        <v>378875.2627808075</v>
      </c>
      <c r="FC208" s="173">
        <f t="shared" si="580"/>
        <v>397.08568418815867</v>
      </c>
      <c r="FD208" s="5">
        <f t="shared" si="581"/>
        <v>99.96</v>
      </c>
      <c r="FE208" s="173">
        <f t="shared" si="582"/>
        <v>0.20110827471174608</v>
      </c>
      <c r="FF208" s="5">
        <f t="shared" si="583"/>
        <v>20.110827471174609</v>
      </c>
      <c r="FI208" s="562">
        <f t="shared" si="584"/>
        <v>-50</v>
      </c>
      <c r="FJ208">
        <f t="shared" si="585"/>
        <v>-50</v>
      </c>
      <c r="FL208">
        <f t="shared" si="586"/>
        <v>0.51355206847360924</v>
      </c>
    </row>
    <row r="209" spans="5:168">
      <c r="E209" s="170">
        <v>99</v>
      </c>
      <c r="F209" s="217">
        <f>IF(PLOT_TYPE=1, E209/100*Iout_max, min_I*EXP(N209*rr/100))</f>
        <v>0.59399999999999997</v>
      </c>
      <c r="G209" s="217"/>
      <c r="H209" s="217">
        <f>F209*Vout</f>
        <v>100.97999999999999</v>
      </c>
      <c r="I209" s="541">
        <f t="shared" si="496"/>
        <v>7.3502013038498877</v>
      </c>
      <c r="J209" s="172">
        <f t="shared" si="497"/>
        <v>8.526767641460161</v>
      </c>
      <c r="K209" s="172">
        <f t="shared" si="498"/>
        <v>15.876968945310049</v>
      </c>
      <c r="L209" s="443"/>
      <c r="M209" s="217">
        <f t="shared" si="499"/>
        <v>0.53705165941609923</v>
      </c>
      <c r="N209" s="172">
        <f>M209*I209*(Isw_max+VIN_min/Lmag*ILIM_delay)*0.5*Efficiency</f>
        <v>132.64706845046288</v>
      </c>
      <c r="O209" s="172">
        <f t="shared" si="599"/>
        <v>100.97999999999999</v>
      </c>
      <c r="P209" s="217">
        <f>N209/Vout</f>
        <v>0.78027687323801698</v>
      </c>
      <c r="Q209" s="217">
        <f t="shared" si="502"/>
        <v>170</v>
      </c>
      <c r="R209" s="217"/>
      <c r="S209" s="172">
        <f t="shared" si="503"/>
        <v>265.74125585873588</v>
      </c>
      <c r="T209" s="536">
        <f>MIN(Vout, S209)</f>
        <v>170</v>
      </c>
      <c r="U209" s="217">
        <f t="shared" si="505"/>
        <v>51.323221009999365</v>
      </c>
      <c r="V209" s="217">
        <f>L*U209/I209*1000000</f>
        <v>3.4912799587623056</v>
      </c>
      <c r="W209" s="217">
        <f t="shared" si="507"/>
        <v>3.0095355689328098</v>
      </c>
      <c r="X209" s="197">
        <f t="shared" si="508"/>
        <v>350</v>
      </c>
      <c r="Y209" s="443">
        <f t="shared" si="509"/>
        <v>149.23556630784771</v>
      </c>
      <c r="AA209" s="217">
        <f t="shared" si="510"/>
        <v>22.556827476425063</v>
      </c>
      <c r="AB209" s="173">
        <f>L*AA209/J209*1000000</f>
        <v>1.3227068230841537</v>
      </c>
      <c r="AC209" s="173">
        <f>0.5*AB209*AA209*Nps*X209/1000</f>
        <v>0.26106560908924598</v>
      </c>
      <c r="AD209" s="173"/>
      <c r="AE209" s="173">
        <f t="shared" si="513"/>
        <v>0.78185156990217186</v>
      </c>
      <c r="AF209" s="545">
        <f>MAX(12000,F209/(0.5*AE209/1000000*Isw_min*Nps))/1000</f>
        <v>2279.2049905623007</v>
      </c>
      <c r="AG209" s="528">
        <f t="shared" si="515"/>
        <v>9.1216016488586724E-2</v>
      </c>
      <c r="AI209" s="173">
        <f t="shared" si="516"/>
        <v>34.024864787059428</v>
      </c>
      <c r="AJ209" s="173">
        <f>MAX(IF(F209&gt;AC209,U209,AI209),Isw_min)</f>
        <v>51.323221009999365</v>
      </c>
      <c r="AK209" s="173">
        <f>IF(F209&gt;AG209, (AJ209-Isw_min)/1.08*0.8+1.2, AF209*0.2/350+1)</f>
        <v>29.340657538271131</v>
      </c>
      <c r="AM209" s="545">
        <f t="shared" si="519"/>
        <v>594</v>
      </c>
      <c r="AN209" s="460">
        <f t="shared" si="520"/>
        <v>149.23556630784771</v>
      </c>
      <c r="AP209">
        <f t="shared" si="521"/>
        <v>594</v>
      </c>
      <c r="AQ209">
        <f t="shared" si="522"/>
        <v>149.23556630784771</v>
      </c>
      <c r="AS209" s="5">
        <f t="shared" si="600"/>
        <v>6.7008155276951156</v>
      </c>
      <c r="AT209" s="5">
        <f t="shared" si="523"/>
        <v>3.4912799587623056</v>
      </c>
      <c r="AU209" s="5">
        <f t="shared" si="478"/>
        <v>3.20953556893281</v>
      </c>
      <c r="AV209" s="5"/>
      <c r="AW209" s="173">
        <f t="shared" si="479"/>
        <v>0.52102314178513187</v>
      </c>
      <c r="AX209" s="173">
        <f t="shared" si="596"/>
        <v>98.274344516513068</v>
      </c>
      <c r="AY209" s="173">
        <f t="shared" si="597"/>
        <v>0.61456587882092018</v>
      </c>
      <c r="AZ209" s="173">
        <f t="shared" si="601"/>
        <v>159.90855968941528</v>
      </c>
      <c r="BA209" s="460">
        <f t="shared" si="594"/>
        <v>1.2198942914734174</v>
      </c>
      <c r="BB209" s="5">
        <f t="shared" si="595"/>
        <v>70.550209628915312</v>
      </c>
      <c r="BD209" s="173">
        <f t="shared" si="602"/>
        <v>21.388571698331621</v>
      </c>
      <c r="BE209" s="173">
        <f t="shared" si="598"/>
        <v>1.0253698588628166</v>
      </c>
      <c r="BG209" s="528">
        <f t="shared" si="480"/>
        <v>18.298839971786894</v>
      </c>
      <c r="BH209" s="528">
        <f t="shared" si="524"/>
        <v>2.7361276567868673</v>
      </c>
      <c r="BI209" s="528">
        <f t="shared" si="525"/>
        <v>4.387645816226874E-2</v>
      </c>
      <c r="BJ209" s="528">
        <f t="shared" si="481"/>
        <v>7.5238048816140797E-3</v>
      </c>
      <c r="BK209">
        <f t="shared" si="482"/>
        <v>3.3075905867324495E-3</v>
      </c>
      <c r="BL209" s="460">
        <f t="shared" si="588"/>
        <v>47.184048749001185</v>
      </c>
      <c r="BM209" s="528">
        <f t="shared" si="526"/>
        <v>-7.7612594099120846</v>
      </c>
      <c r="BN209" s="460">
        <f t="shared" si="527"/>
        <v>-7761.2594099120843</v>
      </c>
      <c r="BO209" s="528">
        <f t="shared" si="483"/>
        <v>0.41579999999999995</v>
      </c>
      <c r="BR209" s="460">
        <f t="shared" si="484"/>
        <v>415.79999999999995</v>
      </c>
      <c r="BS209" s="528">
        <f t="shared" si="485"/>
        <v>13.724129978840171</v>
      </c>
      <c r="BT209" s="528">
        <f t="shared" si="486"/>
        <v>3.1541500423930578E-2</v>
      </c>
      <c r="BU209" s="528">
        <f t="shared" si="487"/>
        <v>256.70575830186579</v>
      </c>
      <c r="BV209" s="528"/>
      <c r="BW209" s="528">
        <f t="shared" si="488"/>
        <v>9.8274344516513086</v>
      </c>
      <c r="BX209" s="460">
        <f t="shared" si="489"/>
        <v>280288.86423278117</v>
      </c>
      <c r="BY209" s="173">
        <f t="shared" si="490"/>
        <v>301.7943397149856</v>
      </c>
      <c r="BZ209" s="5">
        <f t="shared" si="491"/>
        <v>100.97999999999999</v>
      </c>
      <c r="CA209" s="173">
        <f t="shared" si="492"/>
        <v>0.25071110555716203</v>
      </c>
      <c r="CB209" s="5">
        <f t="shared" si="493"/>
        <v>25.071110555716203</v>
      </c>
      <c r="CE209" s="562">
        <f t="shared" si="528"/>
        <v>-50</v>
      </c>
      <c r="CF209">
        <f t="shared" si="529"/>
        <v>-50</v>
      </c>
      <c r="CG209" s="173">
        <f t="shared" si="530"/>
        <v>0.50406149667870392</v>
      </c>
      <c r="CI209" s="170">
        <v>99</v>
      </c>
      <c r="CJ209" s="217">
        <f t="shared" si="589"/>
        <v>0.59399999999999997</v>
      </c>
      <c r="CK209" s="217"/>
      <c r="CL209" s="217">
        <f t="shared" si="531"/>
        <v>100.97999999999999</v>
      </c>
      <c r="CM209" s="541">
        <f t="shared" si="532"/>
        <v>9</v>
      </c>
      <c r="CN209" s="443">
        <f t="shared" si="533"/>
        <v>8.5250000000000004</v>
      </c>
      <c r="CO209" s="443">
        <f t="shared" si="534"/>
        <v>17.524999999999999</v>
      </c>
      <c r="CP209" s="443"/>
      <c r="CQ209" s="217">
        <f t="shared" si="535"/>
        <v>0.48644793152639093</v>
      </c>
      <c r="CR209" s="172">
        <f t="shared" si="590"/>
        <v>147.11644793152644</v>
      </c>
      <c r="CS209" s="172">
        <f t="shared" si="536"/>
        <v>100.97999999999999</v>
      </c>
      <c r="CT209" s="217">
        <f t="shared" si="537"/>
        <v>0.86539087018544958</v>
      </c>
      <c r="CU209" s="217">
        <f t="shared" si="538"/>
        <v>170</v>
      </c>
      <c r="CV209" s="217"/>
      <c r="CW209" s="172">
        <f t="shared" si="539"/>
        <v>325.3267254859706</v>
      </c>
      <c r="CX209" s="536">
        <f t="shared" si="540"/>
        <v>170</v>
      </c>
      <c r="CY209" s="217">
        <f t="shared" si="541"/>
        <v>46.130322580645149</v>
      </c>
      <c r="CZ209" s="217">
        <f t="shared" si="542"/>
        <v>2.56279569892473</v>
      </c>
      <c r="DA209" s="217">
        <f t="shared" si="543"/>
        <v>2.705590767193264</v>
      </c>
      <c r="DB209" s="197">
        <f t="shared" si="544"/>
        <v>350</v>
      </c>
      <c r="DC209" s="443">
        <f t="shared" si="545"/>
        <v>189.81143589810509</v>
      </c>
      <c r="DE209" s="217">
        <f t="shared" si="546"/>
        <v>25.017322192785819</v>
      </c>
      <c r="DF209" s="173">
        <f t="shared" si="547"/>
        <v>1.467291624210312</v>
      </c>
      <c r="DG209" s="173">
        <f t="shared" si="548"/>
        <v>0.32119243899439714</v>
      </c>
      <c r="DH209" s="173"/>
      <c r="DI209" s="173">
        <f t="shared" si="549"/>
        <v>0.78201368523949166</v>
      </c>
      <c r="DJ209" s="545">
        <f t="shared" si="550"/>
        <v>2278.7325000000001</v>
      </c>
      <c r="DK209" s="528">
        <f t="shared" si="551"/>
        <v>9.1234929944607357E-2</v>
      </c>
      <c r="DM209" s="173">
        <f t="shared" si="552"/>
        <v>34.021337842175292</v>
      </c>
      <c r="DN209" s="173">
        <f t="shared" si="553"/>
        <v>46.130322580645149</v>
      </c>
      <c r="DO209" s="173">
        <f t="shared" si="554"/>
        <v>25.49406610911986</v>
      </c>
      <c r="DQ209" s="545">
        <f t="shared" si="555"/>
        <v>594</v>
      </c>
      <c r="DR209" s="460">
        <f t="shared" si="556"/>
        <v>189.81143589810509</v>
      </c>
      <c r="DT209">
        <f t="shared" si="591"/>
        <v>594</v>
      </c>
      <c r="DU209">
        <f t="shared" si="592"/>
        <v>189.81143589810509</v>
      </c>
      <c r="DW209" s="5">
        <f t="shared" si="557"/>
        <v>5.2683864661179935</v>
      </c>
      <c r="DX209" s="5">
        <f t="shared" si="558"/>
        <v>2.56279569892473</v>
      </c>
      <c r="DY209" s="5">
        <f t="shared" si="559"/>
        <v>2.7055907671932635</v>
      </c>
      <c r="DZ209" s="5"/>
      <c r="EA209" s="173">
        <f t="shared" si="560"/>
        <v>0.48644793152639088</v>
      </c>
      <c r="EB209" s="173">
        <f t="shared" si="561"/>
        <v>100.97999999999996</v>
      </c>
      <c r="EC209" s="173">
        <f t="shared" si="562"/>
        <v>0.59225806451612895</v>
      </c>
      <c r="ED209" s="173">
        <f t="shared" si="563"/>
        <v>170.49999999999997</v>
      </c>
      <c r="EE209" s="460">
        <f t="shared" si="564"/>
        <v>0.89547096774193502</v>
      </c>
      <c r="EF209" s="5">
        <f t="shared" si="565"/>
        <v>48.570765452653461</v>
      </c>
      <c r="EH209" s="173">
        <f t="shared" si="566"/>
        <v>18.575651076159502</v>
      </c>
      <c r="EI209" s="173">
        <f t="shared" si="567"/>
        <v>0.95430700104172572</v>
      </c>
      <c r="EK209" s="528">
        <f t="shared" si="568"/>
        <v>13.802192516129027</v>
      </c>
      <c r="EL209" s="528">
        <f t="shared" si="569"/>
        <v>4.219875</v>
      </c>
      <c r="EM209" s="528">
        <f t="shared" si="570"/>
        <v>3.7962287179621017E-2</v>
      </c>
      <c r="EN209" s="528">
        <f t="shared" si="571"/>
        <v>1.1659191176470593E-2</v>
      </c>
      <c r="EO209">
        <f t="shared" si="572"/>
        <v>4.0499999999999998E-3</v>
      </c>
      <c r="EP209" s="460">
        <f t="shared" si="573"/>
        <v>42.012287179621012</v>
      </c>
      <c r="EQ209" s="460"/>
      <c r="ER209" s="460">
        <f t="shared" si="593"/>
        <v>18075.738994485117</v>
      </c>
      <c r="ES209" s="528">
        <f t="shared" si="574"/>
        <v>0.41579999999999995</v>
      </c>
      <c r="EV209" s="460">
        <f t="shared" si="494"/>
        <v>415.79999999999995</v>
      </c>
      <c r="EW209" s="528">
        <f t="shared" si="575"/>
        <v>10.351644387096771</v>
      </c>
      <c r="EX209" s="528">
        <f t="shared" si="576"/>
        <v>2.7321055567117569E-2</v>
      </c>
      <c r="EY209" s="528">
        <f t="shared" si="577"/>
        <v>358.70891443764481</v>
      </c>
      <c r="EZ209" s="528"/>
      <c r="FA209" s="528">
        <f t="shared" si="578"/>
        <v>10.097999999999999</v>
      </c>
      <c r="FB209" s="460">
        <f t="shared" si="579"/>
        <v>379185.87988030876</v>
      </c>
      <c r="FC209" s="173">
        <f t="shared" si="580"/>
        <v>397.67741887479383</v>
      </c>
      <c r="FD209" s="5">
        <f t="shared" si="581"/>
        <v>100.97999999999999</v>
      </c>
      <c r="FE209" s="173">
        <f t="shared" si="582"/>
        <v>0.20250375543967331</v>
      </c>
      <c r="FF209" s="5">
        <f t="shared" si="583"/>
        <v>20.25037554396733</v>
      </c>
      <c r="FI209" s="562">
        <f t="shared" si="584"/>
        <v>-50</v>
      </c>
      <c r="FJ209">
        <f t="shared" si="585"/>
        <v>-50</v>
      </c>
      <c r="FL209">
        <f t="shared" si="586"/>
        <v>0.51355206847360912</v>
      </c>
    </row>
    <row r="210" spans="5:168">
      <c r="E210" s="170">
        <v>100</v>
      </c>
      <c r="F210" s="217">
        <f>IF(PLOT_TYPE=1, E210/100*Iout_max, min_I*EXP(N210*rr/100))</f>
        <v>0.6</v>
      </c>
      <c r="G210" s="217"/>
      <c r="H210" s="217">
        <f>F210*Vout</f>
        <v>102</v>
      </c>
      <c r="I210" s="541">
        <f t="shared" si="496"/>
        <v>7.3338503765759633</v>
      </c>
      <c r="J210" s="172">
        <f t="shared" si="497"/>
        <v>8.526785160310812</v>
      </c>
      <c r="K210" s="172">
        <f t="shared" si="498"/>
        <v>15.860635536886775</v>
      </c>
      <c r="L210" s="443"/>
      <c r="M210" s="217">
        <f>(Vout+Vfwd1+F210/FL210*Rdcr_sec)*Nps/((Vout+Vfwd1+F210/FL210*Rdcr_sec)*Nps+I210)</f>
        <v>0.53760582534935664</v>
      </c>
      <c r="N210" s="172">
        <f>M210*I210*(Isw_max+VIN_min/Lmag*ILIM_delay)*0.5*Efficiency</f>
        <v>132.48855740779277</v>
      </c>
      <c r="O210" s="172">
        <f t="shared" si="599"/>
        <v>102</v>
      </c>
      <c r="P210" s="217">
        <f>N210/Vout</f>
        <v>0.77934445533995744</v>
      </c>
      <c r="Q210" s="217">
        <f t="shared" si="502"/>
        <v>170</v>
      </c>
      <c r="R210" s="217"/>
      <c r="S210" s="172">
        <f t="shared" si="503"/>
        <v>261.03953527542541</v>
      </c>
      <c r="T210" s="536">
        <f>MIN(Vout, S210)</f>
        <v>170</v>
      </c>
      <c r="U210" s="217">
        <f>MIN(2*(Vout+Vfwd1+F210/FL210*Rdcr_sec)*F210/(I210*M210), Isw_max)</f>
        <v>51.90376807435544</v>
      </c>
      <c r="V210" s="217">
        <f>L*U210/I210*1000000</f>
        <v>3.5386437825438932</v>
      </c>
      <c r="W210" s="217">
        <f t="shared" si="507"/>
        <v>3.0435719382229331</v>
      </c>
      <c r="X210" s="197">
        <f t="shared" si="508"/>
        <v>350</v>
      </c>
      <c r="Y210" s="443">
        <f>MIN(1/(V210+W210+0.2)*1000, 350)</f>
        <v>147.44444016105928</v>
      </c>
      <c r="AA210" s="217">
        <f t="shared" si="510"/>
        <v>22.529872386979079</v>
      </c>
      <c r="AB210" s="173">
        <f>L*AA210/J210*1000000</f>
        <v>1.3211234928169477</v>
      </c>
      <c r="AC210" s="173">
        <f>0.5*AB210*AA210*Nps*X210/1000</f>
        <v>0.2604415073803017</v>
      </c>
      <c r="AD210" s="173"/>
      <c r="AE210" s="173">
        <f t="shared" si="513"/>
        <v>0.78184996353580671</v>
      </c>
      <c r="AF210" s="545">
        <f>MAX(12000,F210/(0.5*AE210/1000000*Isw_min*Nps))/1000</f>
        <v>2302.2319932839191</v>
      </c>
      <c r="AG210" s="528">
        <f t="shared" si="515"/>
        <v>9.1215829079177468E-2</v>
      </c>
      <c r="AI210" s="173">
        <f t="shared" si="516"/>
        <v>34.196310899398782</v>
      </c>
      <c r="AJ210" s="173">
        <f>MAX(IF(F210&gt;AC210,U210,AI210),Isw_min)</f>
        <v>51.90376807435544</v>
      </c>
      <c r="AK210" s="173">
        <f>IF(F210&gt;AG210, (AJ210-Isw_min)/1.08*0.8+1.2, AF210*0.2/350+1)</f>
        <v>29.77069240075711</v>
      </c>
      <c r="AM210" s="545">
        <f t="shared" si="519"/>
        <v>600</v>
      </c>
      <c r="AN210" s="460">
        <f t="shared" si="520"/>
        <v>147.44444016105928</v>
      </c>
      <c r="AP210">
        <f t="shared" si="521"/>
        <v>600</v>
      </c>
      <c r="AQ210">
        <f t="shared" si="522"/>
        <v>147.44444016105928</v>
      </c>
      <c r="AS210" s="5">
        <f t="shared" si="600"/>
        <v>6.7822157207668274</v>
      </c>
      <c r="AT210" s="5">
        <f t="shared" si="523"/>
        <v>3.5386437825438932</v>
      </c>
      <c r="AU210" s="5">
        <f t="shared" si="478"/>
        <v>3.2435719382229342</v>
      </c>
      <c r="AV210" s="5"/>
      <c r="AW210" s="173">
        <f t="shared" si="479"/>
        <v>0.52175335144659751</v>
      </c>
      <c r="AX210" s="173">
        <f t="shared" si="596"/>
        <v>99.303872481804646</v>
      </c>
      <c r="AY210" s="173">
        <f t="shared" si="597"/>
        <v>0.62057007822133958</v>
      </c>
      <c r="AZ210" s="173">
        <f t="shared" si="601"/>
        <v>160.02040054271808</v>
      </c>
      <c r="BA210" s="460">
        <f t="shared" si="594"/>
        <v>1.2489330997213739</v>
      </c>
      <c r="BB210" s="5">
        <f t="shared" si="595"/>
        <v>72.179130079979473</v>
      </c>
      <c r="BD210" s="173">
        <f t="shared" si="602"/>
        <v>21.645662565982114</v>
      </c>
      <c r="BE210" s="173">
        <f t="shared" si="598"/>
        <v>1.0361776780373306</v>
      </c>
      <c r="BG210" s="528">
        <f t="shared" si="480"/>
        <v>18.741388316814376</v>
      </c>
      <c r="BH210" s="528">
        <f t="shared" si="524"/>
        <v>2.7310546585387736</v>
      </c>
      <c r="BI210" s="528">
        <f t="shared" si="525"/>
        <v>4.3253418519968667E-2</v>
      </c>
      <c r="BJ210" s="528">
        <f t="shared" si="481"/>
        <v>7.4182175852558468E-3</v>
      </c>
      <c r="BK210">
        <f t="shared" si="482"/>
        <v>3.3002326694591836E-3</v>
      </c>
      <c r="BL210" s="460">
        <f t="shared" si="588"/>
        <v>46.553651189427853</v>
      </c>
      <c r="BM210" s="528">
        <f t="shared" si="526"/>
        <v>-7.6861832168114637</v>
      </c>
      <c r="BN210" s="460">
        <f t="shared" si="527"/>
        <v>-7686.1832168114634</v>
      </c>
      <c r="BO210" s="528">
        <f t="shared" si="483"/>
        <v>0.42</v>
      </c>
      <c r="BR210" s="460">
        <f t="shared" si="484"/>
        <v>420</v>
      </c>
      <c r="BS210" s="528">
        <f t="shared" si="485"/>
        <v>14.056041237610781</v>
      </c>
      <c r="BT210" s="528">
        <f t="shared" si="486"/>
        <v>3.2209925413885017E-2</v>
      </c>
      <c r="BU210" s="528">
        <f t="shared" si="487"/>
        <v>256.17587329480506</v>
      </c>
      <c r="BV210" s="528"/>
      <c r="BW210" s="528">
        <f t="shared" si="488"/>
        <v>9.9303872481804643</v>
      </c>
      <c r="BX210" s="460">
        <f t="shared" si="489"/>
        <v>280194.51170601021</v>
      </c>
      <c r="BY210" s="173">
        <f t="shared" si="490"/>
        <v>302.14092655013803</v>
      </c>
      <c r="BZ210" s="5">
        <f t="shared" si="491"/>
        <v>102</v>
      </c>
      <c r="CA210" s="173">
        <f t="shared" si="492"/>
        <v>0.25238720777601276</v>
      </c>
      <c r="CB210" s="5">
        <f t="shared" si="493"/>
        <v>25.238720777601277</v>
      </c>
      <c r="CE210" s="562">
        <f t="shared" si="528"/>
        <v>-50</v>
      </c>
      <c r="CF210">
        <f t="shared" si="529"/>
        <v>-50</v>
      </c>
      <c r="CG210" s="173">
        <f t="shared" si="530"/>
        <v>0.50415640239665283</v>
      </c>
      <c r="CI210" s="170">
        <v>100</v>
      </c>
      <c r="CJ210" s="217">
        <f t="shared" si="589"/>
        <v>0.6</v>
      </c>
      <c r="CK210" s="217"/>
      <c r="CL210" s="217">
        <f t="shared" si="531"/>
        <v>102</v>
      </c>
      <c r="CM210" s="541">
        <f t="shared" si="532"/>
        <v>9</v>
      </c>
      <c r="CN210" s="443">
        <f t="shared" si="533"/>
        <v>8.5250000000000004</v>
      </c>
      <c r="CO210" s="443">
        <f t="shared" si="534"/>
        <v>17.524999999999999</v>
      </c>
      <c r="CP210" s="443"/>
      <c r="CQ210" s="217">
        <f t="shared" si="535"/>
        <v>0.48644793152639093</v>
      </c>
      <c r="CR210" s="172">
        <f t="shared" si="590"/>
        <v>147.11644793152644</v>
      </c>
      <c r="CS210" s="172">
        <f t="shared" si="536"/>
        <v>102</v>
      </c>
      <c r="CT210" s="217">
        <f t="shared" si="537"/>
        <v>0.86539087018544958</v>
      </c>
      <c r="CU210" s="217">
        <f t="shared" si="538"/>
        <v>170</v>
      </c>
      <c r="CV210" s="217"/>
      <c r="CW210" s="172">
        <f t="shared" si="539"/>
        <v>320.28056562536642</v>
      </c>
      <c r="CX210" s="536">
        <f t="shared" si="540"/>
        <v>170</v>
      </c>
      <c r="CY210" s="217">
        <f t="shared" si="541"/>
        <v>46.59628543499511</v>
      </c>
      <c r="CZ210" s="217">
        <f t="shared" si="542"/>
        <v>2.5886825241663951</v>
      </c>
      <c r="DA210" s="217">
        <f t="shared" si="543"/>
        <v>2.7329199668618829</v>
      </c>
      <c r="DB210" s="197">
        <f t="shared" si="544"/>
        <v>350</v>
      </c>
      <c r="DC210" s="443">
        <f t="shared" si="545"/>
        <v>187.91332153912398</v>
      </c>
      <c r="DE210" s="217">
        <f t="shared" si="546"/>
        <v>25.017322192785819</v>
      </c>
      <c r="DF210" s="173">
        <f t="shared" si="547"/>
        <v>1.467291624210312</v>
      </c>
      <c r="DG210" s="173">
        <f t="shared" si="548"/>
        <v>0.32119243899439714</v>
      </c>
      <c r="DH210" s="173"/>
      <c r="DI210" s="173">
        <f t="shared" si="549"/>
        <v>0.78201368523949166</v>
      </c>
      <c r="DJ210" s="545">
        <f t="shared" si="550"/>
        <v>2301.75</v>
      </c>
      <c r="DK210" s="528">
        <f t="shared" si="551"/>
        <v>9.1234929944607357E-2</v>
      </c>
      <c r="DM210" s="173">
        <f t="shared" si="552"/>
        <v>34.192731057095415</v>
      </c>
      <c r="DN210" s="173">
        <f t="shared" si="553"/>
        <v>46.59628543499511</v>
      </c>
      <c r="DO210" s="173">
        <f t="shared" si="554"/>
        <v>25.839223779008719</v>
      </c>
      <c r="DQ210" s="545">
        <f t="shared" si="555"/>
        <v>600</v>
      </c>
      <c r="DR210" s="460">
        <f t="shared" si="556"/>
        <v>187.91332153912398</v>
      </c>
      <c r="DT210">
        <f>IF(CL210&gt;CR210, " ",DQ210)</f>
        <v>600</v>
      </c>
      <c r="DU210">
        <f>IF(CL210&gt;CR210, " ",DR210)</f>
        <v>187.91332153912398</v>
      </c>
      <c r="DW210" s="5">
        <f t="shared" si="557"/>
        <v>5.321602491028278</v>
      </c>
      <c r="DX210" s="5">
        <f t="shared" si="558"/>
        <v>2.5886825241663951</v>
      </c>
      <c r="DY210" s="5">
        <f t="shared" si="559"/>
        <v>2.7329199668618829</v>
      </c>
      <c r="DZ210" s="5"/>
      <c r="EA210" s="173">
        <f t="shared" si="560"/>
        <v>0.48644793152639093</v>
      </c>
      <c r="EB210" s="173">
        <f t="shared" si="561"/>
        <v>102.00000000000001</v>
      </c>
      <c r="EC210" s="173">
        <f t="shared" si="562"/>
        <v>0.59824046920821095</v>
      </c>
      <c r="ED210" s="173">
        <f t="shared" si="563"/>
        <v>170.50000000000009</v>
      </c>
      <c r="EE210" s="460">
        <f t="shared" si="564"/>
        <v>0.91365265558813935</v>
      </c>
      <c r="EF210" s="5">
        <f t="shared" si="565"/>
        <v>49.556948732428808</v>
      </c>
      <c r="EH210" s="173">
        <f t="shared" si="566"/>
        <v>18.763283915312634</v>
      </c>
      <c r="EI210" s="173">
        <f t="shared" si="567"/>
        <v>0.96394646569871301</v>
      </c>
      <c r="EK210" s="528">
        <f t="shared" si="568"/>
        <v>14.082432931465192</v>
      </c>
      <c r="EL210" s="528">
        <f t="shared" si="569"/>
        <v>4.219875</v>
      </c>
      <c r="EM210" s="528">
        <f t="shared" si="570"/>
        <v>3.7582664307824795E-2</v>
      </c>
      <c r="EN210" s="528">
        <f t="shared" si="571"/>
        <v>1.1542599264705883E-2</v>
      </c>
      <c r="EO210">
        <f t="shared" si="572"/>
        <v>4.0499999999999998E-3</v>
      </c>
      <c r="EP210" s="460">
        <f t="shared" si="573"/>
        <v>41.63266430782479</v>
      </c>
      <c r="EQ210" s="460"/>
      <c r="ER210" s="460">
        <f t="shared" si="593"/>
        <v>18355.483195037723</v>
      </c>
      <c r="ES210" s="528">
        <f t="shared" si="574"/>
        <v>0.42</v>
      </c>
      <c r="EV210" s="460">
        <f t="shared" si="494"/>
        <v>420</v>
      </c>
      <c r="EW210" s="528">
        <f t="shared" si="575"/>
        <v>10.561824698598894</v>
      </c>
      <c r="EX210" s="528">
        <f t="shared" si="576"/>
        <v>2.7875783661991203E-2</v>
      </c>
      <c r="EY210" s="528">
        <f t="shared" si="577"/>
        <v>358.70891443764418</v>
      </c>
      <c r="EZ210" s="528"/>
      <c r="FA210" s="528">
        <f t="shared" si="578"/>
        <v>10.200000000000001</v>
      </c>
      <c r="FB210" s="460">
        <f t="shared" si="579"/>
        <v>379498.61491990503</v>
      </c>
      <c r="FC210" s="173">
        <f t="shared" si="580"/>
        <v>398.27409811494277</v>
      </c>
      <c r="FD210" s="5">
        <f t="shared" si="581"/>
        <v>102</v>
      </c>
      <c r="FE210" s="173">
        <f t="shared" si="582"/>
        <v>0.20388822924141181</v>
      </c>
      <c r="FF210" s="5">
        <f t="shared" si="583"/>
        <v>20.388822924141181</v>
      </c>
      <c r="FI210" s="562">
        <f t="shared" si="584"/>
        <v>-50</v>
      </c>
      <c r="FJ210">
        <f t="shared" si="585"/>
        <v>-50</v>
      </c>
      <c r="FL210">
        <f t="shared" si="586"/>
        <v>0.51355206847360901</v>
      </c>
    </row>
    <row r="211" spans="5:168" ht="13">
      <c r="E211" s="170"/>
      <c r="F211" s="217"/>
      <c r="G211" s="217"/>
      <c r="H211" s="217"/>
      <c r="I211" s="541"/>
      <c r="J211" s="443"/>
      <c r="K211" s="443"/>
      <c r="L211" s="443"/>
      <c r="M211" s="217"/>
      <c r="N211" s="172"/>
      <c r="O211" s="172"/>
      <c r="P211" s="217"/>
      <c r="Q211" s="217"/>
      <c r="R211" s="217"/>
      <c r="S211" s="172"/>
      <c r="T211" s="536"/>
      <c r="U211" s="217"/>
      <c r="V211" s="217"/>
      <c r="W211" s="217"/>
      <c r="X211" s="197"/>
      <c r="Y211" s="443"/>
      <c r="AA211" s="217"/>
      <c r="AB211" s="173"/>
      <c r="AC211" s="173"/>
      <c r="AD211" s="173"/>
      <c r="AE211" s="173"/>
      <c r="AF211" s="545"/>
      <c r="AG211" s="528"/>
      <c r="AI211" s="173"/>
      <c r="AJ211" s="173"/>
      <c r="AK211" s="173"/>
      <c r="AM211" s="545"/>
      <c r="AN211" s="460"/>
      <c r="AS211" s="5"/>
      <c r="AT211" s="5"/>
      <c r="AU211" s="5"/>
      <c r="AV211" s="5"/>
      <c r="AW211" s="173"/>
      <c r="AX211" s="173"/>
      <c r="BA211" s="460"/>
      <c r="BB211" s="5"/>
      <c r="CE211" s="562"/>
      <c r="CF211" s="530">
        <f>MAX(CF110:CF210)</f>
        <v>-50</v>
      </c>
      <c r="CH211" s="76"/>
      <c r="CI211" s="170"/>
      <c r="CJ211" s="217"/>
      <c r="CK211" s="217"/>
      <c r="CL211" s="217"/>
      <c r="CM211" s="541"/>
      <c r="CN211" s="443"/>
      <c r="CO211" s="443"/>
      <c r="CP211" s="443"/>
      <c r="CQ211" s="217"/>
      <c r="CR211" s="172"/>
      <c r="CS211" s="172"/>
      <c r="CT211" s="217"/>
      <c r="CU211" s="217"/>
      <c r="CV211" s="217"/>
      <c r="CW211" s="172"/>
      <c r="CX211" s="536"/>
      <c r="CY211" s="217"/>
      <c r="CZ211" s="217"/>
      <c r="DA211" s="217"/>
      <c r="DB211" s="197"/>
      <c r="DC211" s="443"/>
      <c r="DE211" s="217"/>
      <c r="DF211" s="173"/>
      <c r="DG211" s="173"/>
      <c r="DH211" s="173"/>
      <c r="DI211" s="173"/>
      <c r="DJ211" s="545"/>
      <c r="DK211" s="528"/>
      <c r="DM211" s="173"/>
      <c r="DN211" s="173"/>
      <c r="DO211" s="173"/>
      <c r="DQ211" s="545"/>
      <c r="DR211" s="460"/>
      <c r="DW211" s="5"/>
      <c r="DX211" s="5"/>
      <c r="DY211" s="5"/>
      <c r="DZ211" s="5"/>
      <c r="EA211" s="173"/>
      <c r="EB211" s="173"/>
      <c r="EE211" s="460"/>
      <c r="EF211" s="5"/>
      <c r="FI211" s="562"/>
    </row>
    <row r="212" spans="5:168">
      <c r="E212" s="170">
        <v>110</v>
      </c>
      <c r="F212" s="217">
        <f>Ioutmax_Vinmin</f>
        <v>0.8653785611250181</v>
      </c>
      <c r="G212" s="217"/>
      <c r="H212" s="217">
        <f>F212*Vout</f>
        <v>147.11435539125307</v>
      </c>
      <c r="I212" s="541">
        <f>VIN_min-F212*(Rdcr_pri+RON/1000)/CG212/Nps</f>
        <v>6.5969163937705275</v>
      </c>
      <c r="J212" s="172">
        <f>(T212+Vfwd1+F212/CG212*Rdcr_sec)*Nps</f>
        <v>6.1626922280126601</v>
      </c>
      <c r="K212" s="172">
        <f>(Vout+Vfwd1+F212/CG212*Rdcr_sec)*Nps++I212</f>
        <v>15.124491126205774</v>
      </c>
      <c r="L212" s="443"/>
      <c r="M212" s="217">
        <f>(Vout+Vfwd1+F212/FL212*Rdcr_sec)*Nps/((Vout+Vfwd1+F212/FL212*Rdcr_sec)*Nps+I212)</f>
        <v>0.56382420504790864</v>
      </c>
      <c r="N212" s="172">
        <f>M212*I212*(Isw_max+VIN_min/Lmag*ILIM_delay)*0.5*Efficiency</f>
        <v>124.98763669104048</v>
      </c>
      <c r="O212" s="172">
        <f>T212*F212</f>
        <v>106.18398301311414</v>
      </c>
      <c r="P212" s="217">
        <f>N212/Vout</f>
        <v>0.73522139230023809</v>
      </c>
      <c r="Q212" s="217">
        <f>MIN(Vout,N212/F212)</f>
        <v>144.43116839935669</v>
      </c>
      <c r="R212" s="217"/>
      <c r="S212" s="172">
        <f>(SQRT(Isw_max^2*Nps^2*I212^2+4*Isw_max*F212/Efficiency*(Nps^2*Vfwd1*I212-Nps*I212^2)+4*(F212/Efficiency)^2*Nps^2*Vfwd1^2+8*(F212/Efficiency)^2*Nps*Vfwd1*I212+4*(F212/Efficiency)^2*I212^2)-2*F212/Efficiency*I212-2*F212/Efficiency*Nps*Vfwd1+Isw_max*Nps*I212)/(4*F212/Efficiency*Nps)</f>
        <v>122.70234991154828</v>
      </c>
      <c r="T212" s="536">
        <f>MIN(Vout, S212)</f>
        <v>122.70234991154828</v>
      </c>
      <c r="U212" s="217">
        <f>MIN(2*(Vout+Vfwd1+F212/FL212*Rdcr_sec)*F212/(I212*M212), Isw_max)</f>
        <v>66.666666666666671</v>
      </c>
      <c r="V212" s="217">
        <f>L*U212/I212*1000000</f>
        <v>5.0528658154300734</v>
      </c>
      <c r="W212" s="217">
        <f>L*U212/J212*1000000</f>
        <v>5.4088914552337855</v>
      </c>
      <c r="X212" s="197">
        <f>IF(1/((350000*L)*(1/I212+1/J212))&gt;Isw_min, 350, 0.001/((Isw_min*L)*(1/I212+1/J212)))</f>
        <v>350</v>
      </c>
      <c r="Y212" s="443">
        <f>MIN(1/(V212+W212+0.2)*1000, 350)</f>
        <v>93.793168857026004</v>
      </c>
      <c r="AA212" s="217">
        <f>1/((X212*1000*L)*(1/I212+1/J212))</f>
        <v>18.206902105281181</v>
      </c>
      <c r="AB212" s="173">
        <f>L*AA212/J212*1000000</f>
        <v>1.4771873583530006</v>
      </c>
      <c r="AC212" s="173">
        <f>0.5*AB212*AA212*Nps*X212/1000</f>
        <v>0.23533129921605495</v>
      </c>
      <c r="AD212" s="173"/>
      <c r="AE212" s="173">
        <f>L*Isw_min/J212*1000000</f>
        <v>1.081778291046757</v>
      </c>
      <c r="AF212" s="545">
        <f>MAX(12000,F212/(0.5*AE212/1000000*Isw_min*Nps))/1000</f>
        <v>2399.8777798202677</v>
      </c>
      <c r="AG212" s="528">
        <f>0.5*AE212/1000000*Isw_min*Nps*X212*1000</f>
        <v>0.12620746728878832</v>
      </c>
      <c r="AI212" s="173">
        <f>SQRT(F212/(0.5*L/J212*Fsw_DCM*Nps))</f>
        <v>34.913973405447948</v>
      </c>
      <c r="AJ212" s="173">
        <f>MAX(IF(F212&gt;AC212,U212,AI212),Isw_min)</f>
        <v>66.666666666666671</v>
      </c>
      <c r="AK212" s="173">
        <f>IF(F212&gt;AG212, (AJ212-Isw_min)/1.08*0.8+1.2, AF212*0.2/350+1)</f>
        <v>40.706172839506181</v>
      </c>
      <c r="AM212" s="545">
        <f>F212*1000</f>
        <v>865.37856112501811</v>
      </c>
      <c r="AN212" s="460">
        <f>IF(F212&gt;AG212, Y212, AF212)</f>
        <v>93.793168857026004</v>
      </c>
      <c r="AP212" t="str">
        <f>IF(H212&gt;N212, "",AM212)</f>
        <v/>
      </c>
      <c r="AQ212" t="str">
        <f>IF(H212&gt;N212, "",AN212)</f>
        <v/>
      </c>
      <c r="AS212" s="5">
        <f>1/AN212*1000</f>
        <v>10.661757270663859</v>
      </c>
      <c r="AT212" s="5">
        <f>L*AJ212/I212*1000000</f>
        <v>5.0528658154300734</v>
      </c>
      <c r="AU212" s="5">
        <f>AS212-AT212</f>
        <v>5.6088914552337856</v>
      </c>
      <c r="AV212" s="5"/>
      <c r="AW212" s="173">
        <f>AT212/AS212</f>
        <v>0.47392429663852725</v>
      </c>
      <c r="AX212" s="173">
        <f>0.5*L*AJ212^2*AN212*1000</f>
        <v>104.21463206336225</v>
      </c>
      <c r="AY212" s="173">
        <f>AJ212*Nps/2*(1-AW212)</f>
        <v>0.87679283893578797</v>
      </c>
      <c r="AZ212" s="173">
        <f>AX212/AY212</f>
        <v>118.85889965736185</v>
      </c>
      <c r="BA212" s="460">
        <f>F212*AT212/Vout_ripple*1000</f>
        <v>2.5721422052439227</v>
      </c>
      <c r="BB212" s="5">
        <f>H212/Efficiency/I212*AU212/Vinripple1</f>
        <v>200.12949120905373</v>
      </c>
      <c r="BD212" s="173">
        <f>AJ212*SQRT(AW212/3)</f>
        <v>26.497359662693086</v>
      </c>
      <c r="BE212" s="173">
        <f>AJ212*Nps*SQRT((1-AW212)/3)</f>
        <v>1.3958612147948011</v>
      </c>
      <c r="BG212" s="528">
        <f>Rdson*BD212^2</f>
        <v>28.084402763764583</v>
      </c>
      <c r="BH212" s="528">
        <f>0.5*K212*AJ212*AN212*1000*Tfall</f>
        <v>2.1278609251152143</v>
      </c>
      <c r="BI212" s="528">
        <f>Qg*Vdd*AN212*1000*0+Qg*I212*AN212*1000</f>
        <v>2.4749827730264087E-2</v>
      </c>
      <c r="BJ212" s="528">
        <f>0.5*(Coss+Csw)*K212^2*AN212*1000</f>
        <v>4.2910418239606755E-3</v>
      </c>
      <c r="BK212">
        <f>I212*IQ</f>
        <v>2.9686123771967372E-3</v>
      </c>
      <c r="BL212" s="460">
        <f>(BK212+BI212)*1000</f>
        <v>27.718440107460825</v>
      </c>
      <c r="BM212" s="528">
        <f>(BH212+BI212*0+BJ212+BK212*0+BG212*(1+RdsonTC*(Ta-25)))/(1-BG212*RdsonTC*ThetaJA)</f>
        <v>-6.6631968375681572</v>
      </c>
      <c r="BN212" s="460">
        <f>BM212*1000</f>
        <v>-6663.1968375681572</v>
      </c>
      <c r="BO212" s="528">
        <f>Vfwd2*F212</f>
        <v>0.60576499278751261</v>
      </c>
      <c r="BR212" s="460">
        <f>SUM(BO212:BQ212)*1000</f>
        <v>605.7649927875126</v>
      </c>
      <c r="BS212" s="528">
        <f>Rdcr_pri*BD212^2</f>
        <v>21.063302072823436</v>
      </c>
      <c r="BT212" s="528">
        <f>Rdcr_sec*BE212^2</f>
        <v>5.8452855929052527E-2</v>
      </c>
      <c r="BU212" s="528">
        <f>AJ212^2.5*AN212^2.5*k_core</f>
        <v>154.58590015185692</v>
      </c>
      <c r="BV212" s="528"/>
      <c r="BW212" s="528">
        <f>0.5*Lleak*0.000000001*AJ212^2*AN212*1000</f>
        <v>10.421463206336227</v>
      </c>
      <c r="BX212" s="460">
        <f>SUM(BS212:BW212)*1000</f>
        <v>186129.11828694565</v>
      </c>
      <c r="BY212" s="173">
        <f>SUM(BG212:BK212,BO212:BQ212,BS212:BW212)</f>
        <v>216.97915645054437</v>
      </c>
      <c r="BZ212" s="5">
        <f>MIN(H212,O212)</f>
        <v>106.18398301311414</v>
      </c>
      <c r="CA212" s="173">
        <f>BZ212/(BZ212+BY212)</f>
        <v>0.32857702518097709</v>
      </c>
      <c r="CB212" s="5">
        <f>CA212*100</f>
        <v>32.85770251809771</v>
      </c>
      <c r="CE212" s="562">
        <f>IF(ABS(F212-Ioutmax_Vinmin)&lt;Iout/200, AN212, -50)</f>
        <v>93.793168857026004</v>
      </c>
      <c r="CF212">
        <f>IF(ABS(F212-Ioutmax_Vinmin)&lt;Iout/200, N212*CA212, -50)</f>
        <v>41.068065848342826</v>
      </c>
      <c r="CG212" s="173">
        <f>MIN(SQRT(2*DU212*1000*Ls1_*CL212)/CU212,1-EA212-0.00000005*DU212*1000)</f>
        <v>0.50415640239665283</v>
      </c>
      <c r="CI212" s="170">
        <v>100</v>
      </c>
      <c r="CJ212" s="217">
        <f>IF(PLOT_TYPE=1, CI212/100*Iout_max, min_I*EXP(CR212*rr/100))</f>
        <v>0.6</v>
      </c>
      <c r="CK212" s="217"/>
      <c r="CL212" s="217">
        <f>CJ212*Vout</f>
        <v>102</v>
      </c>
      <c r="CM212" s="541">
        <f t="shared" si="532"/>
        <v>9</v>
      </c>
      <c r="CN212" s="443">
        <f>(CX212+Vfwd1)*Nps</f>
        <v>8.5250000000000004</v>
      </c>
      <c r="CO212" s="443">
        <f>(Vout+Vfwd1)*Nps+CM212</f>
        <v>17.524999999999999</v>
      </c>
      <c r="CP212" s="443"/>
      <c r="CQ212" s="217">
        <f>(Vout+Vfwd1)*Nps/((Vout+Vfwd1)*Nps+CM212)</f>
        <v>0.48644793152639093</v>
      </c>
      <c r="CR212" s="172">
        <f>CQ212*CM212*(Isw_max+VIN_min/Lmag*ILIM_delay)*0.5*Efficiency</f>
        <v>147.11644793152644</v>
      </c>
      <c r="CS212" s="172">
        <f>CX212*CJ212</f>
        <v>102</v>
      </c>
      <c r="CT212" s="217">
        <f>CR212/Vout</f>
        <v>0.86539087018544958</v>
      </c>
      <c r="CU212" s="217">
        <f>MIN(Vout,CR212/CJ212)</f>
        <v>170</v>
      </c>
      <c r="CV212" s="217"/>
      <c r="CW212" s="172">
        <f>(SQRT(Isw_max^2*Nps^2*CM212^2+4*Isw_max*CJ212/Efficiency*(Nps^2*Vfwd1*CM212-Nps*CM212^2)+4*(CJ212/Efficiency)^2*Nps^2*Vfwd1^2+8*(CJ212/Efficiency)^2*Nps*Vfwd1*CM212+4*(CJ212/Efficiency)^2*CM212^2)-2*CJ212/Efficiency*CM212-2*CJ212/Efficiency*Nps*Vfwd1+Isw_max*Nps*CM212)/(4*CJ212/Efficiency*Nps)</f>
        <v>320.28056562536642</v>
      </c>
      <c r="CX212" s="536">
        <f>MIN(Vout, CW212)</f>
        <v>170</v>
      </c>
      <c r="CY212" s="217">
        <f>MIN(2*Vout*CJ212/(Efficiency*CM212*CQ212), Isw_max)</f>
        <v>46.59628543499511</v>
      </c>
      <c r="CZ212" s="217">
        <f>L*CY212/CM212*1000000</f>
        <v>2.5886825241663951</v>
      </c>
      <c r="DA212" s="217">
        <f>L*CY212/CN212*1000000</f>
        <v>2.7329199668618829</v>
      </c>
      <c r="DB212" s="197">
        <f>IF(1/((350000*L)*(1/CM212+1/CN212))&gt;Isw_min, 350, 0.001/((Isw_min*L)*(1/CM212+1/CN212)))</f>
        <v>350</v>
      </c>
      <c r="DC212" s="443">
        <f>MIN(1/(CZ212+DA212)*1000, 350)</f>
        <v>187.91332153912398</v>
      </c>
      <c r="DE212" s="217">
        <f>1/((DB212*1000*L)*(1/CM212+1/CN212))</f>
        <v>25.017322192785819</v>
      </c>
      <c r="DF212" s="173">
        <f>L*DE212/CN212*1000000</f>
        <v>1.467291624210312</v>
      </c>
      <c r="DG212" s="173">
        <f>0.5*DF212*DE212*Nps*DB212/1000</f>
        <v>0.32119243899439714</v>
      </c>
      <c r="DH212" s="173"/>
      <c r="DI212" s="173">
        <f>L*Isw_min/CN212*1000000</f>
        <v>0.78201368523949166</v>
      </c>
      <c r="DJ212" s="545">
        <f>MAX(12000,CJ212/(0.5*DI212/1000000*Isw_min*Nps))/1000</f>
        <v>2301.75</v>
      </c>
      <c r="DK212" s="528">
        <f>0.5*DI212/1000000*Isw_min*Nps*DB212*1000</f>
        <v>9.1234929944607357E-2</v>
      </c>
      <c r="DM212" s="173">
        <f>SQRT(CJ212/(0.5*L/CN212*Fsw_DCM*Nps))</f>
        <v>34.192731057095415</v>
      </c>
      <c r="DN212" s="173">
        <f>MAX(IF(CJ212&gt;DG212,CY212,DM212),Isw_min)</f>
        <v>46.59628543499511</v>
      </c>
      <c r="DO212" s="173">
        <f>IF(CJ212&gt;DK212, (DN212-Isw_min)/1.08*0.8+1.2, DJ212*0.2/350+1)</f>
        <v>25.839223779008719</v>
      </c>
      <c r="DQ212" s="545">
        <f>CJ212*1000</f>
        <v>600</v>
      </c>
      <c r="DR212" s="460">
        <f>IF(CJ212&gt;DK212, DC212, DJ212)</f>
        <v>187.91332153912398</v>
      </c>
      <c r="DT212">
        <f>IF(CL212&gt;CR212, " ",DQ212)</f>
        <v>600</v>
      </c>
      <c r="DU212">
        <f>IF(CL212&gt;CR212, " ",DR212)</f>
        <v>187.91332153912398</v>
      </c>
      <c r="DW212" s="5">
        <f>1/DR212*1000</f>
        <v>5.321602491028278</v>
      </c>
      <c r="DX212" s="5">
        <f>L*DN212/CM212*1000000</f>
        <v>2.5886825241663951</v>
      </c>
      <c r="DY212" s="5">
        <f>DW212-DX212</f>
        <v>2.7329199668618829</v>
      </c>
      <c r="DZ212" s="5"/>
      <c r="EA212" s="173">
        <f>DX212/DW212</f>
        <v>0.48644793152639093</v>
      </c>
      <c r="EB212" s="173">
        <f>0.5*L*DN212^2*DR212*1000</f>
        <v>102.00000000000001</v>
      </c>
      <c r="EC212" s="173">
        <f>DN212*Nps/2*(1-EA212)</f>
        <v>0.59824046920821095</v>
      </c>
      <c r="ED212" s="173">
        <f>EB212/EC212</f>
        <v>170.50000000000009</v>
      </c>
      <c r="EE212" s="460">
        <f>CJ212*DX212/Vout_ripple*1000</f>
        <v>0.91365265558813935</v>
      </c>
      <c r="EF212" s="5">
        <f>CL212/Efficiency/CM212*DY212/Vinripple1</f>
        <v>49.556948732428808</v>
      </c>
      <c r="EH212" s="173">
        <f>DN212*SQRT(EA212/3)</f>
        <v>18.763283915312634</v>
      </c>
      <c r="EI212" s="173">
        <f>DN212*Nps*SQRT((1-EA212)/3)</f>
        <v>0.96394646569871301</v>
      </c>
      <c r="EK212" s="528">
        <f>Rdson*EH212^2</f>
        <v>14.082432931465192</v>
      </c>
      <c r="EL212" s="528">
        <f>0.5*CO212*DN212*DR212*1000*Trise</f>
        <v>4.219875</v>
      </c>
      <c r="EM212" s="528">
        <f>Qg*Vdd*DR212*1000</f>
        <v>3.7582664307824795E-2</v>
      </c>
      <c r="EN212" s="528">
        <f>0.5*(Coss+Csw)*CO212^2*DR212*1000</f>
        <v>1.1542599264705883E-2</v>
      </c>
      <c r="EO212">
        <f>CM212*IQ</f>
        <v>4.0499999999999998E-3</v>
      </c>
      <c r="EP212" s="460">
        <f>(EO212+EM212)*1000</f>
        <v>41.63266430782479</v>
      </c>
      <c r="EQ212" s="460"/>
      <c r="ER212" s="460">
        <f>SUM(EK212:EO212)*1000</f>
        <v>18355.483195037723</v>
      </c>
      <c r="ES212" s="528">
        <f>Vfwd2*CJ212</f>
        <v>0.42</v>
      </c>
      <c r="EV212" s="460">
        <f>SUM(ES212:EU212)*1000</f>
        <v>420</v>
      </c>
      <c r="EW212" s="528">
        <f>Rdcr_pri*EH212^2</f>
        <v>10.561824698598894</v>
      </c>
      <c r="EX212" s="528">
        <f>Rdcr_sec*EI212^2</f>
        <v>2.7875783661991203E-2</v>
      </c>
      <c r="EY212" s="528">
        <f>DN212^2.5*DR212^2.5*k_core</f>
        <v>358.70891443764418</v>
      </c>
      <c r="EZ212" s="528"/>
      <c r="FA212" s="528">
        <f>0.5*Lleak*0.000000001*DN212^2*DR212*1000</f>
        <v>10.200000000000001</v>
      </c>
      <c r="FB212" s="460">
        <f>SUM(EW212:FA212)*1000</f>
        <v>379498.61491990503</v>
      </c>
      <c r="FC212" s="173">
        <f>SUM(EK212:EO212,ES212:EU212,EW212:FA212)</f>
        <v>398.27409811494277</v>
      </c>
      <c r="FD212" s="5">
        <f>MIN(CL212,CS212)</f>
        <v>102</v>
      </c>
      <c r="FE212" s="173">
        <f>FD212/(FD212+FC212)</f>
        <v>0.20388822924141181</v>
      </c>
      <c r="FF212" s="5">
        <f>FE212*100</f>
        <v>20.388822924141181</v>
      </c>
      <c r="FI212" s="562">
        <f>IF(ABS(CJ212-Ioutmax_Vinmin)&lt;Iout/200, DR212, -50)</f>
        <v>-50</v>
      </c>
      <c r="FJ212">
        <f>IF(ABS(CJ212-Ioutmax_Vinmin)&lt;Iout/200, CR212*FE212, -50)</f>
        <v>-50</v>
      </c>
      <c r="FL212">
        <f>MIN(SQRT(2*L*DR212*1000*CJ212*(CX212+Vfwd1))/(Nps*(CX212+Vfwd1)), 1-EA212)</f>
        <v>0.51355206847360901</v>
      </c>
    </row>
    <row r="213" spans="5:168">
      <c r="H213" s="217"/>
      <c r="I213" s="541"/>
      <c r="J213" s="443"/>
      <c r="K213" s="443"/>
      <c r="L213" s="443"/>
      <c r="M213" s="217"/>
      <c r="N213" s="172"/>
      <c r="O213" s="172"/>
      <c r="P213" s="217"/>
      <c r="Q213" s="217"/>
      <c r="R213" s="217"/>
      <c r="S213" s="172"/>
      <c r="T213" s="172"/>
      <c r="U213" s="217"/>
      <c r="V213" s="217"/>
      <c r="W213" s="217"/>
      <c r="X213" s="197"/>
      <c r="Y213" s="443"/>
      <c r="AA213" s="217"/>
      <c r="AB213" s="173"/>
      <c r="AC213" s="173"/>
      <c r="AD213" s="173"/>
      <c r="AE213" s="173"/>
      <c r="AF213" s="545"/>
      <c r="AI213" s="173"/>
      <c r="AJ213" s="173"/>
      <c r="AK213" s="173"/>
      <c r="AM213" s="545"/>
      <c r="AN213" s="460"/>
      <c r="AS213" s="5"/>
      <c r="AT213" s="5"/>
      <c r="AU213" s="5"/>
      <c r="AV213" s="5"/>
      <c r="AW213" s="173"/>
      <c r="AX213" s="173"/>
      <c r="BA213" s="460"/>
      <c r="BB213" s="5"/>
      <c r="CE213" s="562"/>
      <c r="CL213" s="217"/>
      <c r="CM213" s="541"/>
      <c r="CN213" s="443"/>
      <c r="CO213" s="443"/>
      <c r="CP213" s="443"/>
      <c r="CQ213" s="217"/>
      <c r="CR213" s="172"/>
      <c r="CS213" s="172"/>
      <c r="CT213" s="217"/>
      <c r="CU213" s="217"/>
      <c r="CV213" s="217"/>
      <c r="CW213" s="172"/>
      <c r="CX213" s="172"/>
      <c r="CY213" s="217"/>
      <c r="CZ213" s="217"/>
      <c r="DA213" s="217"/>
      <c r="DB213" s="197"/>
      <c r="DC213" s="443"/>
      <c r="DE213" s="217"/>
      <c r="DF213" s="173"/>
      <c r="DG213" s="173"/>
      <c r="DH213" s="173"/>
      <c r="DI213" s="173"/>
      <c r="DJ213" s="545"/>
      <c r="DM213" s="173"/>
      <c r="DN213" s="173"/>
      <c r="DO213" s="173"/>
      <c r="DQ213" s="545"/>
      <c r="DR213" s="460"/>
      <c r="DW213" s="5"/>
      <c r="DX213" s="5"/>
      <c r="DY213" s="5"/>
      <c r="DZ213" s="5"/>
      <c r="EA213" s="173"/>
      <c r="EB213" s="173"/>
      <c r="EE213" s="460"/>
      <c r="EF213" s="5"/>
      <c r="FI213" s="562"/>
    </row>
    <row r="214" spans="5:168" ht="13">
      <c r="E214" s="445" t="s">
        <v>435</v>
      </c>
      <c r="H214" s="217"/>
      <c r="I214" s="541"/>
      <c r="J214" s="443"/>
      <c r="K214" s="443"/>
      <c r="L214" s="443"/>
      <c r="M214" s="217"/>
      <c r="N214" s="172"/>
      <c r="O214" s="172"/>
      <c r="P214" s="217"/>
      <c r="Q214" s="217"/>
      <c r="R214" s="217"/>
      <c r="S214" s="172"/>
      <c r="T214" s="172"/>
      <c r="U214" s="217"/>
      <c r="V214" s="217"/>
      <c r="W214" s="217"/>
      <c r="X214" s="197"/>
      <c r="Y214" s="443"/>
      <c r="AA214" s="217"/>
      <c r="AB214" s="173"/>
      <c r="AC214" s="173"/>
      <c r="AD214" s="173"/>
      <c r="AE214" s="173"/>
      <c r="AF214" s="545"/>
      <c r="AI214" s="173"/>
      <c r="AJ214" s="173"/>
      <c r="AK214" s="173"/>
      <c r="AM214" s="545"/>
      <c r="AN214" s="460"/>
      <c r="AS214" s="5"/>
      <c r="AT214" s="5"/>
      <c r="AU214" s="5"/>
      <c r="AV214" s="5"/>
      <c r="AW214" s="173"/>
      <c r="AX214" s="173"/>
      <c r="BA214" s="460"/>
      <c r="BB214" s="5"/>
      <c r="CE214" s="562"/>
      <c r="CI214" s="445" t="s">
        <v>435</v>
      </c>
      <c r="CL214" s="217"/>
      <c r="CM214" s="541"/>
      <c r="CN214" s="443"/>
      <c r="CO214" s="443"/>
      <c r="CP214" s="443"/>
      <c r="CQ214" s="217"/>
      <c r="CR214" s="172"/>
      <c r="CS214" s="172"/>
      <c r="CT214" s="217"/>
      <c r="CU214" s="217"/>
      <c r="CV214" s="217"/>
      <c r="CW214" s="172"/>
      <c r="CX214" s="172"/>
      <c r="CY214" s="217"/>
      <c r="CZ214" s="217"/>
      <c r="DA214" s="217"/>
      <c r="DB214" s="197"/>
      <c r="DC214" s="443"/>
      <c r="DE214" s="217"/>
      <c r="DF214" s="173"/>
      <c r="DG214" s="173"/>
      <c r="DH214" s="173"/>
      <c r="DI214" s="173"/>
      <c r="DJ214" s="545"/>
      <c r="DM214" s="173"/>
      <c r="DN214" s="173"/>
      <c r="DO214" s="173"/>
      <c r="DQ214" s="545"/>
      <c r="DR214" s="460"/>
      <c r="DW214" s="5"/>
      <c r="DX214" s="5"/>
      <c r="DY214" s="5"/>
      <c r="DZ214" s="5"/>
      <c r="EA214" s="173"/>
      <c r="EB214" s="173"/>
      <c r="EE214" s="460"/>
      <c r="EF214" s="5"/>
      <c r="FI214" s="562"/>
    </row>
    <row r="215" spans="5:168" ht="45" customHeight="1" thickBot="1">
      <c r="E215" s="241" t="s">
        <v>25</v>
      </c>
      <c r="F215" s="444" t="s">
        <v>194</v>
      </c>
      <c r="G215" s="260"/>
      <c r="H215" s="527" t="s">
        <v>223</v>
      </c>
      <c r="I215" s="242" t="s">
        <v>412</v>
      </c>
      <c r="J215" s="243" t="s">
        <v>418</v>
      </c>
      <c r="K215" s="527" t="s">
        <v>413</v>
      </c>
      <c r="L215" s="527"/>
      <c r="M215" s="244" t="s">
        <v>48</v>
      </c>
      <c r="N215" s="527" t="s">
        <v>402</v>
      </c>
      <c r="O215" s="527" t="s">
        <v>656</v>
      </c>
      <c r="P215" s="527" t="s">
        <v>403</v>
      </c>
      <c r="Q215" s="527" t="s">
        <v>433</v>
      </c>
      <c r="R215" s="527" t="s">
        <v>654</v>
      </c>
      <c r="S215" s="527" t="s">
        <v>657</v>
      </c>
      <c r="T215" s="527" t="s">
        <v>655</v>
      </c>
      <c r="U215" s="527" t="s">
        <v>414</v>
      </c>
      <c r="V215" s="527" t="s">
        <v>466</v>
      </c>
      <c r="W215" s="527" t="s">
        <v>465</v>
      </c>
      <c r="X215" s="546" t="s">
        <v>420</v>
      </c>
      <c r="Y215" s="542" t="s">
        <v>425</v>
      </c>
      <c r="AA215" s="245" t="s">
        <v>417</v>
      </c>
      <c r="AB215" s="245" t="s">
        <v>464</v>
      </c>
      <c r="AC215" s="245" t="s">
        <v>423</v>
      </c>
      <c r="AD215" s="544"/>
      <c r="AE215" s="245" t="s">
        <v>463</v>
      </c>
      <c r="AF215" s="245" t="s">
        <v>681</v>
      </c>
      <c r="AG215" s="245" t="s">
        <v>427</v>
      </c>
      <c r="AH215" s="544"/>
      <c r="AI215" s="245" t="s">
        <v>429</v>
      </c>
      <c r="AJ215" s="547" t="s">
        <v>430</v>
      </c>
      <c r="AK215" s="547" t="s">
        <v>431</v>
      </c>
      <c r="AM215" s="543" t="s">
        <v>275</v>
      </c>
      <c r="AN215" s="543" t="s">
        <v>432</v>
      </c>
      <c r="AP215" s="245" t="s">
        <v>275</v>
      </c>
      <c r="AQ215" s="245" t="s">
        <v>432</v>
      </c>
      <c r="AR215" s="548"/>
      <c r="AS215" s="245" t="s">
        <v>467</v>
      </c>
      <c r="AT215" s="245" t="s">
        <v>461</v>
      </c>
      <c r="AU215" s="245" t="s">
        <v>462</v>
      </c>
      <c r="AV215" s="245" t="s">
        <v>653</v>
      </c>
      <c r="AW215" s="245" t="s">
        <v>48</v>
      </c>
      <c r="AX215" s="548" t="s">
        <v>651</v>
      </c>
      <c r="AY215" s="544" t="s">
        <v>650</v>
      </c>
      <c r="AZ215" s="544" t="s">
        <v>652</v>
      </c>
      <c r="BA215" s="245" t="s">
        <v>481</v>
      </c>
      <c r="BB215" s="245" t="s">
        <v>514</v>
      </c>
      <c r="BC215" s="544"/>
      <c r="BD215" s="557" t="s">
        <v>456</v>
      </c>
      <c r="BE215" s="245" t="s">
        <v>457</v>
      </c>
      <c r="BF215" s="544"/>
      <c r="BG215" s="557" t="s">
        <v>474</v>
      </c>
      <c r="BH215" s="245" t="s">
        <v>475</v>
      </c>
      <c r="BI215" s="245" t="s">
        <v>473</v>
      </c>
      <c r="BJ215" s="245" t="s">
        <v>469</v>
      </c>
      <c r="BK215" s="245" t="s">
        <v>478</v>
      </c>
      <c r="BL215" s="245" t="s">
        <v>777</v>
      </c>
      <c r="BM215" s="245" t="s">
        <v>776</v>
      </c>
      <c r="BN215" s="245" t="s">
        <v>491</v>
      </c>
      <c r="BO215" s="557" t="s">
        <v>476</v>
      </c>
      <c r="BP215" s="245" t="s">
        <v>477</v>
      </c>
      <c r="BQ215" s="245" t="s">
        <v>483</v>
      </c>
      <c r="BR215" s="245" t="s">
        <v>487</v>
      </c>
      <c r="BS215" s="557" t="s">
        <v>458</v>
      </c>
      <c r="BT215" s="245" t="s">
        <v>459</v>
      </c>
      <c r="BU215" s="245" t="s">
        <v>468</v>
      </c>
      <c r="BV215" s="245" t="s">
        <v>666</v>
      </c>
      <c r="BW215" s="245" t="s">
        <v>484</v>
      </c>
      <c r="BX215" s="245" t="s">
        <v>667</v>
      </c>
      <c r="BY215" s="557" t="s">
        <v>482</v>
      </c>
      <c r="BZ215" s="245" t="s">
        <v>223</v>
      </c>
      <c r="CA215" s="245" t="s">
        <v>47</v>
      </c>
      <c r="CB215" s="245" t="s">
        <v>485</v>
      </c>
      <c r="CC215" s="245"/>
      <c r="CE215" s="569" t="s">
        <v>664</v>
      </c>
      <c r="CF215" s="569" t="s">
        <v>665</v>
      </c>
      <c r="CG215" s="781" t="s">
        <v>828</v>
      </c>
      <c r="CI215" s="241" t="s">
        <v>25</v>
      </c>
      <c r="CJ215" s="444" t="s">
        <v>194</v>
      </c>
      <c r="CK215" s="260"/>
      <c r="CL215" s="527" t="s">
        <v>223</v>
      </c>
      <c r="CM215" s="242" t="s">
        <v>412</v>
      </c>
      <c r="CN215" s="243" t="s">
        <v>418</v>
      </c>
      <c r="CO215" s="527" t="s">
        <v>413</v>
      </c>
      <c r="CP215" s="527"/>
      <c r="CQ215" s="244" t="s">
        <v>48</v>
      </c>
      <c r="CR215" s="527" t="s">
        <v>402</v>
      </c>
      <c r="CS215" s="527" t="s">
        <v>656</v>
      </c>
      <c r="CT215" s="527" t="s">
        <v>403</v>
      </c>
      <c r="CU215" s="527" t="s">
        <v>433</v>
      </c>
      <c r="CV215" s="527" t="s">
        <v>654</v>
      </c>
      <c r="CW215" s="527" t="s">
        <v>657</v>
      </c>
      <c r="CX215" s="527" t="s">
        <v>655</v>
      </c>
      <c r="CY215" s="527" t="s">
        <v>414</v>
      </c>
      <c r="CZ215" s="527" t="s">
        <v>466</v>
      </c>
      <c r="DA215" s="527" t="s">
        <v>465</v>
      </c>
      <c r="DB215" s="546" t="s">
        <v>420</v>
      </c>
      <c r="DC215" s="542" t="s">
        <v>425</v>
      </c>
      <c r="DE215" s="245" t="s">
        <v>417</v>
      </c>
      <c r="DF215" s="245" t="s">
        <v>464</v>
      </c>
      <c r="DG215" s="245" t="s">
        <v>423</v>
      </c>
      <c r="DH215" s="544"/>
      <c r="DI215" s="245" t="s">
        <v>463</v>
      </c>
      <c r="DJ215" s="245" t="s">
        <v>681</v>
      </c>
      <c r="DK215" s="245" t="s">
        <v>427</v>
      </c>
      <c r="DL215" s="544"/>
      <c r="DM215" s="245" t="s">
        <v>429</v>
      </c>
      <c r="DN215" s="547" t="s">
        <v>430</v>
      </c>
      <c r="DO215" s="547" t="s">
        <v>431</v>
      </c>
      <c r="DQ215" s="543" t="s">
        <v>275</v>
      </c>
      <c r="DR215" s="543" t="s">
        <v>432</v>
      </c>
      <c r="DT215" s="245" t="s">
        <v>275</v>
      </c>
      <c r="DU215" s="245" t="s">
        <v>432</v>
      </c>
      <c r="DV215" s="548"/>
      <c r="DW215" s="245" t="s">
        <v>467</v>
      </c>
      <c r="DX215" s="245" t="s">
        <v>461</v>
      </c>
      <c r="DY215" s="245" t="s">
        <v>462</v>
      </c>
      <c r="DZ215" s="245" t="s">
        <v>653</v>
      </c>
      <c r="EA215" s="245" t="s">
        <v>48</v>
      </c>
      <c r="EB215" s="548" t="s">
        <v>651</v>
      </c>
      <c r="EC215" s="544" t="s">
        <v>650</v>
      </c>
      <c r="ED215" s="544" t="s">
        <v>652</v>
      </c>
      <c r="EE215" s="245" t="s">
        <v>481</v>
      </c>
      <c r="EF215" s="245" t="s">
        <v>514</v>
      </c>
      <c r="EG215" s="544"/>
      <c r="EH215" s="557" t="s">
        <v>456</v>
      </c>
      <c r="EI215" s="245" t="s">
        <v>457</v>
      </c>
      <c r="EJ215" s="544"/>
      <c r="EK215" s="557" t="s">
        <v>474</v>
      </c>
      <c r="EL215" s="245" t="s">
        <v>475</v>
      </c>
      <c r="EM215" s="245" t="s">
        <v>473</v>
      </c>
      <c r="EN215" s="245" t="s">
        <v>469</v>
      </c>
      <c r="EO215" s="245" t="s">
        <v>478</v>
      </c>
      <c r="EP215" s="245" t="s">
        <v>777</v>
      </c>
      <c r="EQ215" s="245" t="s">
        <v>776</v>
      </c>
      <c r="ER215" s="245" t="s">
        <v>491</v>
      </c>
      <c r="ES215" s="557" t="s">
        <v>476</v>
      </c>
      <c r="ET215" s="245" t="s">
        <v>477</v>
      </c>
      <c r="EU215" s="245" t="s">
        <v>483</v>
      </c>
      <c r="EV215" s="245" t="s">
        <v>487</v>
      </c>
      <c r="EW215" s="557" t="s">
        <v>458</v>
      </c>
      <c r="EX215" s="245" t="s">
        <v>459</v>
      </c>
      <c r="EY215" s="245" t="s">
        <v>468</v>
      </c>
      <c r="EZ215" s="245" t="s">
        <v>666</v>
      </c>
      <c r="FA215" s="245" t="s">
        <v>484</v>
      </c>
      <c r="FB215" s="245" t="s">
        <v>667</v>
      </c>
      <c r="FC215" s="557" t="s">
        <v>482</v>
      </c>
      <c r="FD215" s="245" t="s">
        <v>223</v>
      </c>
      <c r="FE215" s="245" t="s">
        <v>47</v>
      </c>
      <c r="FF215" s="245" t="s">
        <v>485</v>
      </c>
      <c r="FG215" s="245"/>
      <c r="FI215" s="569" t="s">
        <v>664</v>
      </c>
      <c r="FJ215" s="569" t="s">
        <v>665</v>
      </c>
      <c r="FL215" t="s">
        <v>825</v>
      </c>
    </row>
    <row r="216" spans="5:168">
      <c r="E216" s="170">
        <v>0.1</v>
      </c>
      <c r="F216" s="217">
        <v>1.0000000000000001E-9</v>
      </c>
      <c r="G216" s="217"/>
      <c r="H216" s="217">
        <f t="shared" ref="H216:H247" si="603">F216*Vout</f>
        <v>1.7000000000000001E-7</v>
      </c>
      <c r="I216" s="541">
        <f t="shared" ref="I216:I247" si="604">VIN_max-F216*(Rdcr_pri+RON/1000)/CG216/Nps</f>
        <v>15.999736529571551</v>
      </c>
      <c r="J216" s="172">
        <f t="shared" ref="J216:J247" si="605">(T216+Vfwd1+F216/CG216*Rdcr_sec)*Nps</f>
        <v>8.5250002822897439</v>
      </c>
      <c r="K216" s="172">
        <f t="shared" ref="K216:K247" si="606">(Vout+Vfwd1+F216/CG216*Rdcr_sec)*Nps+I216</f>
        <v>24.524736811861295</v>
      </c>
      <c r="L216" s="443"/>
      <c r="M216" s="217">
        <f t="shared" ref="M216:M247" si="607">(Vout+Vfwd1+F216/FL216*Rdcr_sec)*Nps/((Vout+Vfwd1+F216/FL216*Rdcr_sec)*Nps+I216)</f>
        <v>0.34760822707126021</v>
      </c>
      <c r="N216" s="172">
        <f t="shared" ref="N216:N247" si="608">M216*I216*(Isw_max+VIN_max/Lmag*ILIM_delay)*0.5*Efficiency</f>
        <v>188.05758884507429</v>
      </c>
      <c r="O216" s="172">
        <f t="shared" si="599"/>
        <v>1.7000000000000001E-7</v>
      </c>
      <c r="P216" s="217">
        <f t="shared" ref="P216:P247" si="609">N216/Vout</f>
        <v>1.1062211108533782</v>
      </c>
      <c r="Q216" s="217">
        <f t="shared" ref="Q216:Q247" si="610">MIN(Vout,N216/F216)</f>
        <v>170</v>
      </c>
      <c r="R216" s="217"/>
      <c r="S216" s="172">
        <f t="shared" ref="S216:S247" si="611">(SQRT(Isw_max^2*Nps^2*I216^2+4*Isw_max*F216/Efficiency*(Nps^2*Vfwd1*I216-Nps*I216^2)+4*(F216/Efficiency)^2*Nps^2*Vfwd1^2+8*(F216/Efficiency)^2*Nps*Vfwd1*I216+4*(F216/Efficiency)^2*I216^2)-2*F216/Efficiency*I216-2*F216/Efficiency*Nps*Vfwd1+Isw_max*Nps*I216)/(4*F216/Efficiency*Nps)</f>
        <v>533324550665.72369</v>
      </c>
      <c r="T216" s="172">
        <f t="shared" ref="T216:T247" si="612">MIN(Vout, S216)</f>
        <v>170</v>
      </c>
      <c r="U216" s="217">
        <f t="shared" ref="U216:U247" si="613">MIN(2*(Vout+Vfwd1+F216/FL216*Rdcr_sec)*F216/(I216*M216), Isw_max)</f>
        <v>6.131285166339638E-8</v>
      </c>
      <c r="V216" s="217">
        <f t="shared" ref="V216:V247" si="614">L*U216/I216*1000000</f>
        <v>1.9160581660227581E-9</v>
      </c>
      <c r="W216" s="217">
        <f t="shared" ref="W216:W247" si="615">L*U216/J216*1000000</f>
        <v>3.5960615620606326E-9</v>
      </c>
      <c r="X216" s="197">
        <f t="shared" ref="X216:X247" si="616">IF(1/((350000*L)*(1/I216+1/J216))&gt;Isw_min, 350, 0.001/((Isw_min*L)*(1/I216+1/J216)))</f>
        <v>350</v>
      </c>
      <c r="Y216" s="443">
        <f>MIN(1/(V216+W216+0.2)*1000, 350)</f>
        <v>350</v>
      </c>
      <c r="AA216" s="217">
        <f t="shared" ref="AA216:AA247" si="617">1/((X216*1000*L)*(1/I216+1/J216))</f>
        <v>31.780800277000495</v>
      </c>
      <c r="AB216" s="173">
        <f t="shared" ref="AB216:AB247" si="618">L*AA216/J216*1000000</f>
        <v>1.8639764941136423</v>
      </c>
      <c r="AC216" s="173">
        <f t="shared" ref="AC216:AC247" si="619">0.5*AB216*AA216*Nps*X216/1000</f>
        <v>0.51833831595393098</v>
      </c>
      <c r="AD216" s="173"/>
      <c r="AE216" s="173">
        <f t="shared" ref="AE216:AE247" si="620">L*Isw_min/J216*1000000</f>
        <v>0.78201365934454325</v>
      </c>
      <c r="AF216" s="545">
        <f t="shared" ref="AF216:AF247" si="621">MAX(12000,F216/(0.5*AE216/1000000*Isw_min*Nps))/1000</f>
        <v>12</v>
      </c>
      <c r="AG216" s="528">
        <f t="shared" ref="AG216:AG247" si="622">0.5*AE216/1000000*Isw_min*Nps*X216*1000</f>
        <v>9.1234926923530066E-2</v>
      </c>
      <c r="AI216" s="173">
        <f t="shared" ref="AI216:AI247" si="623">SQRT(F216/(0.5*L/J216*Fsw_DCM*Nps))</f>
        <v>1.3959124231465235E-3</v>
      </c>
      <c r="AJ216" s="173">
        <f t="shared" ref="AJ216:AJ247" si="624">MAX(IF(F216&gt;AC216,U216,AI216),Isw_min)</f>
        <v>13.333333333333334</v>
      </c>
      <c r="AK216" s="173">
        <f t="shared" ref="AK216:AK247" si="625">IF(F216&gt;AG216, (AJ216-Isw_min)/1.08*0.8+1.2, AF216*0.2/350+1)</f>
        <v>1.0068571428571429</v>
      </c>
      <c r="AM216" s="545">
        <f t="shared" ref="AM216:AM247" si="626">F216*1000</f>
        <v>1.0000000000000002E-6</v>
      </c>
      <c r="AN216" s="460">
        <f t="shared" ref="AN216:AN247" si="627">IF(F216&gt;AG216, Y216, AF216)</f>
        <v>12</v>
      </c>
      <c r="AP216">
        <f t="shared" ref="AP216:AP247" si="628">IF(H216&gt;N216, "",AM216)</f>
        <v>1.0000000000000002E-6</v>
      </c>
      <c r="AQ216">
        <f t="shared" ref="AQ216:AQ247" si="629">IF(H216&gt;N216, "",AN216)</f>
        <v>12</v>
      </c>
      <c r="AS216" s="5">
        <f t="shared" si="600"/>
        <v>83.333333333333329</v>
      </c>
      <c r="AT216" s="5">
        <f t="shared" ref="AT216:AT247" si="630">L*AJ216/I216*1000000</f>
        <v>0.41667352798872553</v>
      </c>
      <c r="AU216" s="5">
        <f t="shared" si="478"/>
        <v>82.916659805344608</v>
      </c>
      <c r="AV216" s="5"/>
      <c r="AW216" s="173">
        <f t="shared" si="479"/>
        <v>5.000082335864707E-3</v>
      </c>
      <c r="AX216" s="173">
        <f t="shared" ref="AX216:AX279" si="631">0.5*L*AJ216^2*AN216*1000</f>
        <v>0.53333333333333333</v>
      </c>
      <c r="AY216" s="173">
        <f t="shared" ref="AY216:AY279" si="632">AJ216*Nps/2*(1-AW216)</f>
        <v>0.33166663922137846</v>
      </c>
      <c r="AZ216" s="173">
        <f t="shared" ref="AZ216:AZ279" si="633">AX216/AY216</f>
        <v>1.60804033406974</v>
      </c>
      <c r="BA216" s="460">
        <f t="shared" si="594"/>
        <v>2.4510207528748564E-10</v>
      </c>
      <c r="BB216" s="5">
        <f t="shared" si="595"/>
        <v>1.4096064285414629E-6</v>
      </c>
      <c r="BD216" s="173">
        <f>AJ216*SQRT(AW216/3)</f>
        <v>0.54433553573016835</v>
      </c>
      <c r="BE216" s="173">
        <f>AJ216*Nps*SQRT((1-AW216)/3)</f>
        <v>0.38393670729626977</v>
      </c>
      <c r="BG216" s="528">
        <f>Rdson*BD216^2</f>
        <v>1.1852047018345975E-2</v>
      </c>
      <c r="BH216" s="528">
        <f t="shared" ref="BH216:BH247" si="634">0.5*K216*AJ216*AN216*1000*Tfall</f>
        <v>8.8289052522700653E-2</v>
      </c>
      <c r="BI216" s="528">
        <f t="shared" ref="BI216:BI247" si="635">Qg*Vdd*AN216*1000*0+Qg*I216*AN216*1000</f>
        <v>7.6798735341943435E-3</v>
      </c>
      <c r="BJ216" s="528">
        <f>0.5*(Coss+Csw)*K216^2*AN216*1000</f>
        <v>1.4435105176585552E-3</v>
      </c>
      <c r="BK216">
        <f>I216*IQ</f>
        <v>7.1998814383071978E-3</v>
      </c>
      <c r="BL216" s="460">
        <f>(BK216+BI216)*1000</f>
        <v>14.879754972501541</v>
      </c>
      <c r="BM216" s="528">
        <f t="shared" ref="BM216:BM247" si="636">(BH216+BI216*0+BJ216+BK216*0+BG216*(1+RdsonTC*(Ta-25)))/(1-BG216*RdsonTC*ThetaJA)</f>
        <v>0.105080574524269</v>
      </c>
      <c r="BN216" s="460">
        <f>BM216*1000</f>
        <v>105.080574524269</v>
      </c>
      <c r="BO216" s="528">
        <f t="shared" ref="BO216:BO279" si="637">Vfwd2*F216</f>
        <v>6.9999999999999996E-10</v>
      </c>
      <c r="BR216" s="460">
        <f>SUM(BO216:BQ216)*1000</f>
        <v>6.9999999999999997E-7</v>
      </c>
      <c r="BS216" s="528">
        <f>Rdcr_pri*BD216^2</f>
        <v>8.8890352637594813E-3</v>
      </c>
      <c r="BT216" s="528">
        <f>Rdcr_sec*BE216^2</f>
        <v>4.422221856285046E-3</v>
      </c>
      <c r="BU216" s="528">
        <f>AJ216^2.5*AN216^2.5*k_core</f>
        <v>1.6190861620062107E-2</v>
      </c>
      <c r="BV216" s="528"/>
      <c r="BW216" s="528">
        <f>0.5*Lleak*0.000000001*AJ216^2*AN216*1000</f>
        <v>5.3333333333333337E-2</v>
      </c>
      <c r="BX216" s="460">
        <f>SUM(BS216:BW216)*1000</f>
        <v>82.835452073439967</v>
      </c>
      <c r="BY216" s="173">
        <f>SUM(BG216:BK216,BO216:BQ216,BS216:BW216)</f>
        <v>0.19929981780464673</v>
      </c>
      <c r="BZ216" s="5">
        <f>MIN(H216,O216)</f>
        <v>1.7000000000000001E-7</v>
      </c>
      <c r="CA216" s="173">
        <f>BZ216/(BZ216+BY216)</f>
        <v>8.5298550126673126E-7</v>
      </c>
      <c r="CB216" s="5">
        <f>CA216*100</f>
        <v>8.529855012667312E-5</v>
      </c>
      <c r="CE216" s="562">
        <f t="shared" ref="CE216:CE247" si="638">IF(ABS(F216-Ioutmax_Vinmax)&lt;Iout/200, AN216, -50)</f>
        <v>-50</v>
      </c>
      <c r="CF216">
        <f t="shared" ref="CF216:CF247" si="639">IF(ABS(F216-Ioutmax_Vinmin)&lt;Iout/200, N216*CA216, -50)</f>
        <v>-50</v>
      </c>
      <c r="CG216" s="173">
        <f t="shared" ref="CG216:CG247" si="640">MIN(SQRT(2*DU216*1000*Ls1_*CL216)/CU216,1-EA216-0.00000005*DU216*1000)</f>
        <v>5.313689313240571E-6</v>
      </c>
      <c r="CI216" s="170">
        <v>0.1</v>
      </c>
      <c r="CJ216" s="217">
        <v>1.0000000000000001E-9</v>
      </c>
      <c r="CK216" s="217"/>
      <c r="CL216" s="217">
        <f t="shared" ref="CL216:CL279" si="641">CJ216*Vout</f>
        <v>1.7000000000000001E-7</v>
      </c>
      <c r="CM216" s="541">
        <f t="shared" ref="CM216:CM279" si="642">VIN_max</f>
        <v>16</v>
      </c>
      <c r="CN216" s="443">
        <f t="shared" ref="CN216:CN279" si="643">(CX216+Vfwd1)*Nps</f>
        <v>8.5250000000000004</v>
      </c>
      <c r="CO216" s="443">
        <f t="shared" ref="CO216:CO279" si="644">(Vout+Vfwd1)*Nps+CM216</f>
        <v>24.524999999999999</v>
      </c>
      <c r="CP216" s="443"/>
      <c r="CQ216" s="217">
        <f t="shared" ref="CQ216:CQ279" si="645">(Vout+Vfwd1)*Nps/((Vout+Vfwd1)*Nps+CM216)</f>
        <v>0.34760448521916415</v>
      </c>
      <c r="CR216" s="172">
        <f t="shared" ref="CR216:CR279" si="646">CQ216*CM216*(Isw_max+VIN_max/Lmag*ILIM_delay)*0.5*Efficiency</f>
        <v>188.05866123003739</v>
      </c>
      <c r="CS216" s="172">
        <f t="shared" ref="CS216:CS279" si="647">CX216*CJ216</f>
        <v>1.7000000000000001E-7</v>
      </c>
      <c r="CT216" s="217">
        <f t="shared" ref="CT216:CT279" si="648">CR216/Vout</f>
        <v>1.1062274190002199</v>
      </c>
      <c r="CU216" s="217">
        <f t="shared" ref="CU216:CU279" si="649">MIN(Vout,CR216/CJ216)</f>
        <v>170</v>
      </c>
      <c r="CV216" s="217"/>
      <c r="CW216" s="172">
        <f t="shared" ref="CW216:CW279" si="650">(SQRT(Isw_max^2*Nps^2*CM216^2+4*Isw_max*CJ216/Efficiency*(Nps^2*Vfwd1*CM216-Nps*CM216^2)+4*(CJ216/Efficiency)^2*Nps^2*Vfwd1^2+8*(CJ216/Efficiency)^2*Nps*Vfwd1*CM216+4*(CJ216/Efficiency)^2*CM216^2)-2*CJ216/Efficiency*CM216-2*CJ216/Efficiency*Nps*Vfwd1+Isw_max*Nps*CM216)/(4*CJ216/Efficiency*Nps)</f>
        <v>533333333013.33331</v>
      </c>
      <c r="CX216" s="172">
        <f t="shared" ref="CX216:CX279" si="651">MIN(Vout, CW216)</f>
        <v>170</v>
      </c>
      <c r="CY216" s="217">
        <f t="shared" ref="CY216:CY279" si="652">MIN(2*Vout*CJ216/(Efficiency*CM216*CQ216), Isw_max)</f>
        <v>6.113269794721407E-8</v>
      </c>
      <c r="CZ216" s="217">
        <f t="shared" ref="CZ216:CZ279" si="653">L*CY216/CM216*1000000</f>
        <v>1.9103968108504397E-9</v>
      </c>
      <c r="DA216" s="217">
        <f t="shared" ref="DA216:DA279" si="654">L*CY216/CN216*1000000</f>
        <v>3.5854954807750184E-9</v>
      </c>
      <c r="DB216" s="197">
        <f t="shared" ref="DB216:DB279" si="655">IF(1/((350000*L)*(1/CM216+1/CN216))&gt;Isw_min, 350, 0.001/((Isw_min*L)*(1/CM216+1/CN216)))</f>
        <v>350</v>
      </c>
      <c r="DC216" s="443">
        <f t="shared" ref="DC216:DC279" si="656">MIN(1/(CZ216+DA216)*1000, 350)</f>
        <v>350</v>
      </c>
      <c r="DE216" s="217">
        <f t="shared" ref="DE216:DE279" si="657">1/((DB216*1000*L)*(1/CM216+1/CN216))</f>
        <v>31.780981505752148</v>
      </c>
      <c r="DF216" s="173">
        <f t="shared" ref="DF216:DF279" si="658">L*DE216/CN216*1000000</f>
        <v>1.8639871850881022</v>
      </c>
      <c r="DG216" s="173">
        <f t="shared" ref="DG216:DG279" si="659">0.5*DF216*DE216*Nps*DB216/1000</f>
        <v>0.51834424474213492</v>
      </c>
      <c r="DH216" s="173"/>
      <c r="DI216" s="173">
        <f t="shared" ref="DI216:DI279" si="660">L*Isw_min/CN216*1000000</f>
        <v>0.78201368523949166</v>
      </c>
      <c r="DJ216" s="545">
        <f t="shared" ref="DJ216:DJ279" si="661">MAX(12000,CJ216/(0.5*DI216/1000000*Isw_min*Nps))/1000</f>
        <v>12</v>
      </c>
      <c r="DK216" s="528">
        <f t="shared" ref="DK216:DK279" si="662">0.5*DI216/1000000*Isw_min*Nps*DB216*1000</f>
        <v>9.1234929944607357E-2</v>
      </c>
      <c r="DM216" s="173">
        <f t="shared" ref="DM216:DM279" si="663">SQRT(CJ216/(0.5*L/CN216*Fsw_DCM*Nps))</f>
        <v>1.3959124000349839E-3</v>
      </c>
      <c r="DN216" s="173">
        <f t="shared" ref="DN216:DN279" si="664">MAX(IF(CJ216&gt;DG216,CY216,DM216),Isw_min)</f>
        <v>13.333333333333334</v>
      </c>
      <c r="DO216" s="173">
        <f t="shared" ref="DO216:DO279" si="665">IF(CJ216&gt;DK216, (DN216-Isw_min)/1.08*0.8+1.2, DJ216*0.2/350+1)</f>
        <v>1.0068571428571429</v>
      </c>
      <c r="DQ216" s="545">
        <f t="shared" ref="DQ216:DQ279" si="666">CJ216*1000</f>
        <v>1.0000000000000002E-6</v>
      </c>
      <c r="DR216" s="460">
        <f t="shared" ref="DR216:DR279" si="667">IF(CJ216&gt;DK216, DC216, DJ216)</f>
        <v>12</v>
      </c>
      <c r="DT216">
        <f t="shared" ref="DT216:DT279" si="668">IF(CL216&gt;CR216, "",DQ216)</f>
        <v>1.0000000000000002E-6</v>
      </c>
      <c r="DU216">
        <f t="shared" ref="DU216:DU279" si="669">IF(CL216&gt;CR216, "",DR216)</f>
        <v>12</v>
      </c>
      <c r="DW216" s="5">
        <f t="shared" ref="DW216:DW280" si="670">1/DR216*1000</f>
        <v>83.333333333333329</v>
      </c>
      <c r="DX216" s="5">
        <f t="shared" ref="DX216:DX279" si="671">L*DN216/CM216*1000000</f>
        <v>0.41666666666666669</v>
      </c>
      <c r="DY216" s="5">
        <f t="shared" ref="DY216:DY279" si="672">DW216-DX216</f>
        <v>82.916666666666657</v>
      </c>
      <c r="DZ216" s="5"/>
      <c r="EA216" s="173">
        <f t="shared" ref="EA216:EA279" si="673">DX216/DW216</f>
        <v>5.0000000000000001E-3</v>
      </c>
      <c r="EB216" s="173">
        <f>0.5*L*DN216^2*DR216*1000</f>
        <v>0.53333333333333333</v>
      </c>
      <c r="EC216" s="173">
        <f>DN216*Nps/2*(1-EA216)</f>
        <v>0.33166666666666672</v>
      </c>
      <c r="ED216" s="173">
        <f>EB216/EC216</f>
        <v>1.6080402010050248</v>
      </c>
      <c r="EE216" s="460">
        <f t="shared" ref="EE216:EE279" si="674">CJ216*DX216/Vout_ripple*1000</f>
        <v>2.4509803921568628E-10</v>
      </c>
      <c r="EF216" s="5">
        <f t="shared" ref="EF216:EF279" si="675">CL216/Efficiency/CM216*DY216/Vinripple1</f>
        <v>1.4095833333333333E-6</v>
      </c>
      <c r="EH216" s="173">
        <f>DN216*SQRT(EA216/3)</f>
        <v>0.54433105395181747</v>
      </c>
      <c r="EI216" s="173">
        <f>DN216*Nps*SQRT((1-EA216)/3)</f>
        <v>0.38393672318157773</v>
      </c>
      <c r="EK216" s="528">
        <f>Rdson*EH216^2</f>
        <v>1.1851851851851856E-2</v>
      </c>
      <c r="EL216" s="528">
        <f>0.5*CO216*DN216*DR216*1000*Trise</f>
        <v>0.10791000000000001</v>
      </c>
      <c r="EM216" s="528">
        <f>Qg*Vdd*DR216*1000</f>
        <v>2.3999999999999998E-3</v>
      </c>
      <c r="EN216" s="528">
        <f>0.5*(Coss+Csw)*CO216^2*DR216*1000</f>
        <v>1.4435414999999997E-3</v>
      </c>
      <c r="EO216">
        <f>CM216*IQ</f>
        <v>7.1999999999999998E-3</v>
      </c>
      <c r="EP216" s="460">
        <f>(EO216+EM216)*1000</f>
        <v>9.6</v>
      </c>
      <c r="EQ216" s="460"/>
      <c r="ER216" s="460">
        <f>SUM(EK216:EO216)*1000</f>
        <v>130.80539335185188</v>
      </c>
      <c r="ES216" s="528">
        <f>Vfwd2*CJ216</f>
        <v>6.9999999999999996E-10</v>
      </c>
      <c r="EV216" s="460">
        <f>SUM(ES216:EU216)*1000</f>
        <v>6.9999999999999997E-7</v>
      </c>
      <c r="EW216" s="528">
        <f>Rdcr_pri*EH216^2</f>
        <v>8.8888888888888906E-3</v>
      </c>
      <c r="EX216" s="528">
        <f>Rdcr_sec*EI216^2</f>
        <v>4.4222222222222232E-3</v>
      </c>
      <c r="EY216" s="528">
        <f>DN216^2.5*DR216^2.5*k_core</f>
        <v>1.6190861620062107E-2</v>
      </c>
      <c r="EZ216" s="528"/>
      <c r="FA216" s="528">
        <f>0.5*Lleak*0.000000001*DN216^2*DR216*1000</f>
        <v>5.3333333333333337E-2</v>
      </c>
      <c r="FB216" s="460">
        <f>SUM(EW216:FA216)*1000</f>
        <v>82.835306064506568</v>
      </c>
      <c r="FC216" s="173">
        <f>SUM(EK216:EO216,ES216:EU216,EW216:FA216)</f>
        <v>0.21364070011635844</v>
      </c>
      <c r="FD216" s="5">
        <f>MIN(CL216,CS216)</f>
        <v>1.7000000000000001E-7</v>
      </c>
      <c r="FE216" s="173">
        <f>FD216/(FD216+FC216)</f>
        <v>7.9572789563818176E-7</v>
      </c>
      <c r="FF216" s="5">
        <f>FE216*100</f>
        <v>7.9572789563818179E-5</v>
      </c>
      <c r="FI216" s="562">
        <f t="shared" ref="FI216:FI279" si="676">IF(ABS(CJ216-Ioutmax_Vinmax)&lt;Iout/200, DR216, -50)</f>
        <v>-50</v>
      </c>
      <c r="FJ216">
        <f t="shared" ref="FJ216:FJ279" si="677">IF(ABS(CJ216-Ioutmax_Vinmin)&lt;Iout/200, CR216*FE216, -50)</f>
        <v>-50</v>
      </c>
      <c r="FL216">
        <f t="shared" ref="FL216:FL247" si="678">MIN(SQRT(2*L*DR216*1000*CJ216*(CX216+Vfwd1))/(Nps*(CX216+Vfwd1)), 1-EA216)</f>
        <v>5.3058922594245823E-6</v>
      </c>
    </row>
    <row r="217" spans="5:168">
      <c r="E217" s="170">
        <v>1</v>
      </c>
      <c r="F217" s="217">
        <f t="shared" ref="F217:F248" si="679">IF(PLOT_TYPE=1, E217/100*Iout_max, min_I*EXP(N217*rr/100))</f>
        <v>6.0000000000000001E-3</v>
      </c>
      <c r="G217" s="217"/>
      <c r="H217" s="217">
        <f t="shared" si="603"/>
        <v>1.02</v>
      </c>
      <c r="I217" s="541">
        <f t="shared" si="604"/>
        <v>15.534018097703177</v>
      </c>
      <c r="J217" s="172">
        <f t="shared" si="605"/>
        <v>8.5254992663238891</v>
      </c>
      <c r="K217" s="172">
        <f t="shared" si="606"/>
        <v>24.059517364027066</v>
      </c>
      <c r="L217" s="443"/>
      <c r="M217" s="217">
        <f t="shared" si="607"/>
        <v>0.35435040574706606</v>
      </c>
      <c r="N217" s="172">
        <f t="shared" si="608"/>
        <v>186.12500695569855</v>
      </c>
      <c r="O217" s="172">
        <f t="shared" si="599"/>
        <v>1.02</v>
      </c>
      <c r="P217" s="217">
        <f t="shared" si="609"/>
        <v>1.0948529820923445</v>
      </c>
      <c r="Q217" s="217">
        <f t="shared" si="610"/>
        <v>170</v>
      </c>
      <c r="R217" s="217"/>
      <c r="S217" s="172">
        <f t="shared" si="611"/>
        <v>85989.421987334252</v>
      </c>
      <c r="T217" s="172">
        <f t="shared" si="612"/>
        <v>170</v>
      </c>
      <c r="U217" s="217">
        <f t="shared" si="613"/>
        <v>0.37171865689422201</v>
      </c>
      <c r="V217" s="217">
        <f t="shared" si="614"/>
        <v>1.1964665373641589E-2</v>
      </c>
      <c r="W217" s="217">
        <f t="shared" si="615"/>
        <v>2.1800404016368149E-2</v>
      </c>
      <c r="X217" s="197">
        <f t="shared" si="616"/>
        <v>350</v>
      </c>
      <c r="Y217" s="443">
        <f t="shared" ref="Y217:Y280" si="680">MIN(1/(V217+W217+0.2)*1000, 350)</f>
        <v>350</v>
      </c>
      <c r="AA217" s="217">
        <f t="shared" si="617"/>
        <v>31.454201771203781</v>
      </c>
      <c r="AB217" s="173">
        <f t="shared" si="618"/>
        <v>1.8447131826900338</v>
      </c>
      <c r="AC217" s="173">
        <f t="shared" si="619"/>
        <v>0.50770983076040344</v>
      </c>
      <c r="AD217" s="173"/>
      <c r="AE217" s="173">
        <f t="shared" si="620"/>
        <v>0.78196788931767369</v>
      </c>
      <c r="AF217" s="545">
        <f t="shared" si="621"/>
        <v>23.018848019074497</v>
      </c>
      <c r="AG217" s="528">
        <f t="shared" si="622"/>
        <v>9.1229587087061942E-2</v>
      </c>
      <c r="AI217" s="173">
        <f t="shared" si="623"/>
        <v>3.4193732290479648</v>
      </c>
      <c r="AJ217" s="173">
        <f t="shared" si="624"/>
        <v>13.333333333333334</v>
      </c>
      <c r="AK217" s="173">
        <f t="shared" si="625"/>
        <v>1.0131536274394712</v>
      </c>
      <c r="AM217" s="545">
        <f t="shared" si="626"/>
        <v>6</v>
      </c>
      <c r="AN217" s="460">
        <f t="shared" si="627"/>
        <v>23.018848019074497</v>
      </c>
      <c r="AP217">
        <f t="shared" si="628"/>
        <v>6</v>
      </c>
      <c r="AQ217">
        <f t="shared" si="629"/>
        <v>23.018848019074497</v>
      </c>
      <c r="AS217" s="5">
        <f t="shared" si="600"/>
        <v>43.442660517648541</v>
      </c>
      <c r="AT217" s="5">
        <f t="shared" si="630"/>
        <v>0.42916563021465676</v>
      </c>
      <c r="AU217" s="5">
        <f t="shared" si="478"/>
        <v>43.013494887433886</v>
      </c>
      <c r="AV217" s="5"/>
      <c r="AW217" s="173">
        <f t="shared" si="479"/>
        <v>9.87889841692151E-3</v>
      </c>
      <c r="AX217" s="173">
        <f t="shared" si="631"/>
        <v>1.0230599119588666</v>
      </c>
      <c r="AY217" s="173">
        <f t="shared" si="632"/>
        <v>0.33004036719435953</v>
      </c>
      <c r="AZ217" s="173">
        <f t="shared" si="633"/>
        <v>3.0998023685884171</v>
      </c>
      <c r="BA217" s="460">
        <f t="shared" si="594"/>
        <v>1.5147022242870238E-3</v>
      </c>
      <c r="BB217" s="5">
        <f t="shared" si="595"/>
        <v>4.518986859341398</v>
      </c>
      <c r="BD217" s="173">
        <f t="shared" ref="BD217:BD280" si="681">AJ217*SQRT(AW217/3)</f>
        <v>0.76512495873826891</v>
      </c>
      <c r="BE217" s="173">
        <f t="shared" ref="BE217:BE280" si="682">AJ217*Nps*SQRT((1-AW217)/3)</f>
        <v>0.38299426580816792</v>
      </c>
      <c r="BG217" s="528">
        <f t="shared" ref="BG217:BG280" si="683">Rdson*BD217^2</f>
        <v>2.3416648099369511E-2</v>
      </c>
      <c r="BH217" s="528">
        <f t="shared" si="634"/>
        <v>0.16614671208444687</v>
      </c>
      <c r="BI217" s="528">
        <f t="shared" si="635"/>
        <v>1.4303008068663288E-2</v>
      </c>
      <c r="BJ217" s="528">
        <f t="shared" ref="BJ217:BJ280" si="684">0.5*(Coss+Csw)*K217^2*AN217*1000</f>
        <v>2.6649398029145038E-3</v>
      </c>
      <c r="BK217">
        <f t="shared" ref="BK217:BK280" si="685">I217*IQ</f>
        <v>6.9903081439664297E-3</v>
      </c>
      <c r="BL217" s="460">
        <f t="shared" ref="BL217:BL280" si="686">(BK217+BI217)*1000</f>
        <v>21.293316212629719</v>
      </c>
      <c r="BM217" s="528">
        <f t="shared" si="636"/>
        <v>0.19966167170174945</v>
      </c>
      <c r="BN217" s="460">
        <f t="shared" ref="BN217:BN280" si="687">BM217*1000</f>
        <v>199.66167170174944</v>
      </c>
      <c r="BO217" s="528">
        <f t="shared" si="637"/>
        <v>4.1999999999999997E-3</v>
      </c>
      <c r="BR217" s="460">
        <f t="shared" ref="BR217:BR280" si="688">SUM(BO217:BQ217)*1000</f>
        <v>4.2</v>
      </c>
      <c r="BS217" s="528">
        <f t="shared" ref="BS217:BS280" si="689">Rdcr_pri*BD217^2</f>
        <v>1.7562486074527133E-2</v>
      </c>
      <c r="BT217" s="528">
        <f t="shared" ref="BT217:BT280" si="690">Rdcr_sec*BE217^2</f>
        <v>4.4005382292581271E-3</v>
      </c>
      <c r="BU217" s="528">
        <f t="shared" ref="BU217:BU280" si="691">AJ217^2.5*AN217^2.5*k_core</f>
        <v>8.2513652100190932E-2</v>
      </c>
      <c r="BV217" s="528"/>
      <c r="BW217" s="528">
        <f t="shared" ref="BW217:BW280" si="692">0.5*Lleak*0.000000001*AJ217^2*AN217*1000</f>
        <v>0.10230599119588667</v>
      </c>
      <c r="BX217" s="460">
        <f t="shared" ref="BX217:BX280" si="693">SUM(BS217:BW217)*1000</f>
        <v>206.78266759986286</v>
      </c>
      <c r="BY217" s="173">
        <f t="shared" ref="BY217:BY280" si="694">SUM(BG217:BK217,BO217:BQ217,BS217:BW217)</f>
        <v>0.42450428379922345</v>
      </c>
      <c r="BZ217" s="5">
        <f t="shared" ref="BZ217:BZ280" si="695">MIN(H217,O217)</f>
        <v>1.02</v>
      </c>
      <c r="CA217" s="173">
        <f t="shared" ref="CA217:CA280" si="696">BZ217/(BZ217+BY217)</f>
        <v>0.70612459335688149</v>
      </c>
      <c r="CB217" s="5">
        <f t="shared" ref="CB217:CB280" si="697">CA217*100</f>
        <v>70.612459335688143</v>
      </c>
      <c r="CE217" s="562">
        <f t="shared" si="638"/>
        <v>-50</v>
      </c>
      <c r="CF217">
        <f t="shared" si="639"/>
        <v>-50</v>
      </c>
      <c r="CG217" s="173">
        <f t="shared" si="640"/>
        <v>1.8026451153138005E-2</v>
      </c>
      <c r="CI217" s="170">
        <v>1</v>
      </c>
      <c r="CJ217" s="217">
        <f t="shared" ref="CJ217:CJ280" si="698">IF(PLOT_TYPE=1, CI217/100*Iout_max, min_I*EXP(CR217*rr/100))</f>
        <v>6.0000000000000001E-3</v>
      </c>
      <c r="CK217" s="217"/>
      <c r="CL217" s="217">
        <f t="shared" si="641"/>
        <v>1.02</v>
      </c>
      <c r="CM217" s="541">
        <f t="shared" si="642"/>
        <v>16</v>
      </c>
      <c r="CN217" s="443">
        <f t="shared" si="643"/>
        <v>8.5250000000000004</v>
      </c>
      <c r="CO217" s="443">
        <f t="shared" si="644"/>
        <v>24.524999999999999</v>
      </c>
      <c r="CP217" s="443"/>
      <c r="CQ217" s="217">
        <f t="shared" si="645"/>
        <v>0.34760448521916415</v>
      </c>
      <c r="CR217" s="172">
        <f t="shared" si="646"/>
        <v>188.05866123003739</v>
      </c>
      <c r="CS217" s="172">
        <f t="shared" si="647"/>
        <v>1.02</v>
      </c>
      <c r="CT217" s="217">
        <f t="shared" si="648"/>
        <v>1.1062274190002199</v>
      </c>
      <c r="CU217" s="217">
        <f t="shared" si="649"/>
        <v>170</v>
      </c>
      <c r="CV217" s="217"/>
      <c r="CW217" s="172">
        <f t="shared" si="650"/>
        <v>88568.89069538207</v>
      </c>
      <c r="CX217" s="172">
        <f t="shared" si="651"/>
        <v>170</v>
      </c>
      <c r="CY217" s="217">
        <f t="shared" si="652"/>
        <v>0.36679618768328442</v>
      </c>
      <c r="CZ217" s="217">
        <f t="shared" si="653"/>
        <v>1.1462380865102637E-2</v>
      </c>
      <c r="DA217" s="217">
        <f t="shared" si="654"/>
        <v>2.1512972884650112E-2</v>
      </c>
      <c r="DB217" s="197">
        <f t="shared" si="655"/>
        <v>350</v>
      </c>
      <c r="DC217" s="443">
        <f t="shared" si="656"/>
        <v>350</v>
      </c>
      <c r="DE217" s="217">
        <f t="shared" si="657"/>
        <v>31.780981505752148</v>
      </c>
      <c r="DF217" s="173">
        <f t="shared" si="658"/>
        <v>1.8639871850881022</v>
      </c>
      <c r="DG217" s="173">
        <f t="shared" si="659"/>
        <v>0.51834424474213492</v>
      </c>
      <c r="DH217" s="173"/>
      <c r="DI217" s="173">
        <f t="shared" si="660"/>
        <v>0.78201368523949166</v>
      </c>
      <c r="DJ217" s="545">
        <f t="shared" si="661"/>
        <v>23.017499999999998</v>
      </c>
      <c r="DK217" s="528">
        <f t="shared" si="662"/>
        <v>9.1234929944607357E-2</v>
      </c>
      <c r="DM217" s="173">
        <f t="shared" si="663"/>
        <v>3.4192731057095411</v>
      </c>
      <c r="DN217" s="173">
        <f t="shared" si="664"/>
        <v>13.333333333333334</v>
      </c>
      <c r="DO217" s="173">
        <f t="shared" si="665"/>
        <v>1.0131528571428572</v>
      </c>
      <c r="DQ217" s="545">
        <f t="shared" si="666"/>
        <v>6</v>
      </c>
      <c r="DR217" s="460">
        <f t="shared" si="667"/>
        <v>23.017499999999998</v>
      </c>
      <c r="DT217">
        <f t="shared" si="668"/>
        <v>6</v>
      </c>
      <c r="DU217">
        <f t="shared" si="669"/>
        <v>23.017499999999998</v>
      </c>
      <c r="DW217" s="5">
        <f t="shared" si="670"/>
        <v>43.445204735527319</v>
      </c>
      <c r="DX217" s="5">
        <f t="shared" si="671"/>
        <v>0.41666666666666669</v>
      </c>
      <c r="DY217" s="5">
        <f t="shared" si="672"/>
        <v>43.028538068860655</v>
      </c>
      <c r="DZ217" s="5"/>
      <c r="EA217" s="173">
        <f t="shared" si="673"/>
        <v>9.5906250000000002E-3</v>
      </c>
      <c r="EB217" s="173">
        <f t="shared" ref="EB217:EB280" si="699">0.5*L*DN217^2*DR217*1000</f>
        <v>1.0230000000000001</v>
      </c>
      <c r="EC217" s="173">
        <f t="shared" ref="EC217:EC280" si="700">DN217*Nps/2*(1-EA217)</f>
        <v>0.33013645833333338</v>
      </c>
      <c r="ED217" s="173">
        <f t="shared" ref="ED217:ED280" si="701">EB217/EC217</f>
        <v>3.0987186485386409</v>
      </c>
      <c r="EE217" s="460">
        <f t="shared" si="674"/>
        <v>1.4705882352941176E-3</v>
      </c>
      <c r="EF217" s="5">
        <f t="shared" si="675"/>
        <v>4.3889108830237866</v>
      </c>
      <c r="EH217" s="173">
        <f t="shared" ref="EH217:EH280" si="702">DN217*SQRT(EA217/3)</f>
        <v>0.7538788585265761</v>
      </c>
      <c r="EI217" s="173">
        <f t="shared" ref="EI217:EI280" si="703">DN217*Nps*SQRT((1-EA217)/3)</f>
        <v>0.38305001607468292</v>
      </c>
      <c r="EK217" s="528">
        <f t="shared" ref="EK217:EK280" si="704">Rdson*EH217^2</f>
        <v>2.2733333333333335E-2</v>
      </c>
      <c r="EL217" s="528">
        <f t="shared" ref="EL217:EL280" si="705">0.5*CO217*DN217*DR217*1000*Trise</f>
        <v>0.20698486875000002</v>
      </c>
      <c r="EM217" s="528">
        <f t="shared" ref="EM217:EM280" si="706">Qg*Vdd*DR217*1000</f>
        <v>4.6034999999999991E-3</v>
      </c>
      <c r="EN217" s="528">
        <f t="shared" ref="EN217:EN280" si="707">0.5*(Coss+Csw)*CO217^2*DR217*1000</f>
        <v>2.7688930396874995E-3</v>
      </c>
      <c r="EO217">
        <f t="shared" ref="EO217:EO280" si="708">CM217*IQ</f>
        <v>7.1999999999999998E-3</v>
      </c>
      <c r="EP217" s="460">
        <f t="shared" ref="EP217:EP280" si="709">(EO217+EM217)*1000</f>
        <v>11.803499999999998</v>
      </c>
      <c r="EQ217" s="460"/>
      <c r="ER217" s="460">
        <f t="shared" ref="ER217:ER280" si="710">SUM(EK217:EO217)*1000</f>
        <v>244.29059512302086</v>
      </c>
      <c r="ES217" s="528">
        <f t="shared" ref="ES217:ES280" si="711">Vfwd2*CJ217</f>
        <v>4.1999999999999997E-3</v>
      </c>
      <c r="EV217" s="460">
        <f t="shared" ref="EV217:EV280" si="712">SUM(ES217:EU217)*1000</f>
        <v>4.2</v>
      </c>
      <c r="EW217" s="528">
        <f t="shared" ref="EW217:EW280" si="713">Rdcr_pri*EH217^2</f>
        <v>1.7049999999999999E-2</v>
      </c>
      <c r="EX217" s="528">
        <f t="shared" ref="EX217:EX280" si="714">Rdcr_sec*EI217^2</f>
        <v>4.4018194444444452E-3</v>
      </c>
      <c r="EY217" s="528">
        <f t="shared" ref="EY217:EY280" si="715">DN217^2.5*DR217^2.5*k_core</f>
        <v>8.2501572315448427E-2</v>
      </c>
      <c r="EZ217" s="528"/>
      <c r="FA217" s="528">
        <f t="shared" ref="FA217:FA280" si="716">0.5*Lleak*0.000000001*DN217^2*DR217*1000</f>
        <v>0.1023</v>
      </c>
      <c r="FB217" s="460">
        <f t="shared" ref="FB217:FB280" si="717">SUM(EW217:FA217)*1000</f>
        <v>206.25339175989288</v>
      </c>
      <c r="FC217" s="173">
        <f t="shared" ref="FC217:FC280" si="718">SUM(EK217:EO217,ES217:EU217,EW217:FA217)</f>
        <v>0.45474398688291373</v>
      </c>
      <c r="FD217" s="5">
        <f t="shared" ref="FD217:FD280" si="719">MIN(CL217,CS217)</f>
        <v>1.02</v>
      </c>
      <c r="FE217" s="173">
        <f t="shared" ref="FE217:FE280" si="720">FD217/(FD217+FC217)</f>
        <v>0.69164547139867893</v>
      </c>
      <c r="FF217" s="5">
        <f t="shared" ref="FF217:FF280" si="721">FE217*100</f>
        <v>69.164547139867892</v>
      </c>
      <c r="FI217" s="562">
        <f t="shared" si="676"/>
        <v>-50</v>
      </c>
      <c r="FJ217">
        <f t="shared" si="677"/>
        <v>-50</v>
      </c>
      <c r="FL217">
        <f t="shared" si="678"/>
        <v>1.7999999999999999E-2</v>
      </c>
    </row>
    <row r="218" spans="5:168">
      <c r="E218" s="170">
        <v>2</v>
      </c>
      <c r="F218" s="217">
        <f t="shared" si="679"/>
        <v>1.2E-2</v>
      </c>
      <c r="G218" s="217"/>
      <c r="H218" s="217">
        <f t="shared" si="603"/>
        <v>2.04</v>
      </c>
      <c r="I218" s="541">
        <f t="shared" si="604"/>
        <v>15.534018097703177</v>
      </c>
      <c r="J218" s="172">
        <f t="shared" si="605"/>
        <v>8.5254992663238891</v>
      </c>
      <c r="K218" s="172">
        <f t="shared" si="606"/>
        <v>24.059517364027066</v>
      </c>
      <c r="L218" s="443"/>
      <c r="M218" s="217">
        <f t="shared" si="607"/>
        <v>0.35435040574706606</v>
      </c>
      <c r="N218" s="172">
        <f t="shared" si="608"/>
        <v>186.12500695569855</v>
      </c>
      <c r="O218" s="172">
        <f t="shared" si="599"/>
        <v>2.04</v>
      </c>
      <c r="P218" s="217">
        <f t="shared" si="609"/>
        <v>1.0948529820923445</v>
      </c>
      <c r="Q218" s="217">
        <f t="shared" si="610"/>
        <v>170</v>
      </c>
      <c r="R218" s="217"/>
      <c r="S218" s="172">
        <f t="shared" si="611"/>
        <v>42839.373535509003</v>
      </c>
      <c r="T218" s="172">
        <f t="shared" si="612"/>
        <v>170</v>
      </c>
      <c r="U218" s="217">
        <f t="shared" si="613"/>
        <v>0.74343731378844402</v>
      </c>
      <c r="V218" s="217">
        <f t="shared" si="614"/>
        <v>2.3929330747283178E-2</v>
      </c>
      <c r="W218" s="217">
        <f t="shared" si="615"/>
        <v>4.3600808032736298E-2</v>
      </c>
      <c r="X218" s="197">
        <f t="shared" si="616"/>
        <v>350</v>
      </c>
      <c r="Y218" s="443">
        <f t="shared" si="680"/>
        <v>350</v>
      </c>
      <c r="AA218" s="217">
        <f t="shared" si="617"/>
        <v>31.454201771203781</v>
      </c>
      <c r="AB218" s="173">
        <f t="shared" si="618"/>
        <v>1.8447131826900338</v>
      </c>
      <c r="AC218" s="173">
        <f t="shared" si="619"/>
        <v>0.50770983076040344</v>
      </c>
      <c r="AD218" s="173"/>
      <c r="AE218" s="173">
        <f t="shared" si="620"/>
        <v>0.78196788931767369</v>
      </c>
      <c r="AF218" s="545">
        <f t="shared" si="621"/>
        <v>46.037696038148994</v>
      </c>
      <c r="AG218" s="528">
        <f t="shared" si="622"/>
        <v>9.1229587087061942E-2</v>
      </c>
      <c r="AI218" s="173">
        <f t="shared" si="623"/>
        <v>4.8357239953351154</v>
      </c>
      <c r="AJ218" s="173">
        <f t="shared" si="624"/>
        <v>13.333333333333334</v>
      </c>
      <c r="AK218" s="173">
        <f t="shared" si="625"/>
        <v>1.0263072548789423</v>
      </c>
      <c r="AM218" s="545">
        <f t="shared" si="626"/>
        <v>12</v>
      </c>
      <c r="AN218" s="460">
        <f t="shared" si="627"/>
        <v>46.037696038148994</v>
      </c>
      <c r="AP218">
        <f t="shared" si="628"/>
        <v>12</v>
      </c>
      <c r="AQ218">
        <f t="shared" si="629"/>
        <v>46.037696038148994</v>
      </c>
      <c r="AS218" s="5">
        <f t="shared" si="600"/>
        <v>21.72133025882427</v>
      </c>
      <c r="AT218" s="5">
        <f t="shared" si="630"/>
        <v>0.42916563021465676</v>
      </c>
      <c r="AU218" s="5">
        <f t="shared" si="478"/>
        <v>21.292164628609612</v>
      </c>
      <c r="AV218" s="5"/>
      <c r="AW218" s="173">
        <f t="shared" si="479"/>
        <v>1.975779683384302E-2</v>
      </c>
      <c r="AX218" s="173">
        <f t="shared" si="631"/>
        <v>2.0461198239177332</v>
      </c>
      <c r="AY218" s="173">
        <f t="shared" si="632"/>
        <v>0.32674740105538569</v>
      </c>
      <c r="AZ218" s="173">
        <f t="shared" si="633"/>
        <v>6.2620844643563158</v>
      </c>
      <c r="BA218" s="460">
        <f t="shared" si="594"/>
        <v>3.0294044485740476E-3</v>
      </c>
      <c r="BB218" s="5">
        <f t="shared" si="595"/>
        <v>4.4738988271204301</v>
      </c>
      <c r="BD218" s="173">
        <f t="shared" si="681"/>
        <v>1.0820500935578146</v>
      </c>
      <c r="BE218" s="173">
        <f t="shared" si="682"/>
        <v>0.3810788201090779</v>
      </c>
      <c r="BG218" s="528">
        <f t="shared" si="683"/>
        <v>4.6833296198739015E-2</v>
      </c>
      <c r="BH218" s="528">
        <f t="shared" si="634"/>
        <v>0.33229342416889374</v>
      </c>
      <c r="BI218" s="528">
        <f t="shared" si="635"/>
        <v>2.8606016137326575E-2</v>
      </c>
      <c r="BJ218" s="528">
        <f t="shared" si="684"/>
        <v>5.3298796058290077E-3</v>
      </c>
      <c r="BK218">
        <f t="shared" si="685"/>
        <v>6.9903081439664297E-3</v>
      </c>
      <c r="BL218" s="460">
        <f t="shared" si="686"/>
        <v>35.596324281293001</v>
      </c>
      <c r="BM218" s="528">
        <f t="shared" si="636"/>
        <v>0.40157009782454861</v>
      </c>
      <c r="BN218" s="460">
        <f t="shared" si="687"/>
        <v>401.57009782454861</v>
      </c>
      <c r="BO218" s="528">
        <f t="shared" si="637"/>
        <v>8.3999999999999995E-3</v>
      </c>
      <c r="BR218" s="460">
        <f t="shared" si="688"/>
        <v>8.4</v>
      </c>
      <c r="BS218" s="528">
        <f t="shared" si="689"/>
        <v>3.5124972149054259E-2</v>
      </c>
      <c r="BT218" s="528">
        <f t="shared" si="690"/>
        <v>4.3566320140718089E-3</v>
      </c>
      <c r="BU218" s="528">
        <f t="shared" si="691"/>
        <v>0.4667677035241003</v>
      </c>
      <c r="BV218" s="528"/>
      <c r="BW218" s="528">
        <f t="shared" si="692"/>
        <v>0.20461198239177333</v>
      </c>
      <c r="BX218" s="460">
        <f t="shared" si="693"/>
        <v>710.86129007899967</v>
      </c>
      <c r="BY218" s="173">
        <f t="shared" si="694"/>
        <v>1.1393142143337545</v>
      </c>
      <c r="BZ218" s="5">
        <f t="shared" si="695"/>
        <v>2.04</v>
      </c>
      <c r="CA218" s="173">
        <f t="shared" si="696"/>
        <v>0.64164780907869312</v>
      </c>
      <c r="CB218" s="5">
        <f t="shared" si="697"/>
        <v>64.164780907869314</v>
      </c>
      <c r="CE218" s="562">
        <f t="shared" si="638"/>
        <v>-50</v>
      </c>
      <c r="CF218">
        <f t="shared" si="639"/>
        <v>-50</v>
      </c>
      <c r="CG218" s="173">
        <f t="shared" si="640"/>
        <v>3.6052902306276009E-2</v>
      </c>
      <c r="CI218" s="170">
        <v>2</v>
      </c>
      <c r="CJ218" s="217">
        <f t="shared" si="698"/>
        <v>1.2E-2</v>
      </c>
      <c r="CK218" s="217"/>
      <c r="CL218" s="217">
        <f t="shared" si="641"/>
        <v>2.04</v>
      </c>
      <c r="CM218" s="541">
        <f t="shared" si="642"/>
        <v>16</v>
      </c>
      <c r="CN218" s="443">
        <f t="shared" si="643"/>
        <v>8.5250000000000004</v>
      </c>
      <c r="CO218" s="443">
        <f t="shared" si="644"/>
        <v>24.524999999999999</v>
      </c>
      <c r="CP218" s="443"/>
      <c r="CQ218" s="217">
        <f t="shared" si="645"/>
        <v>0.34760448521916415</v>
      </c>
      <c r="CR218" s="172">
        <f t="shared" si="646"/>
        <v>188.05866123003739</v>
      </c>
      <c r="CS218" s="172">
        <f t="shared" si="647"/>
        <v>2.04</v>
      </c>
      <c r="CT218" s="217">
        <f t="shared" si="648"/>
        <v>1.1062274190002199</v>
      </c>
      <c r="CU218" s="217">
        <f t="shared" si="649"/>
        <v>170</v>
      </c>
      <c r="CV218" s="217"/>
      <c r="CW218" s="172">
        <f t="shared" si="650"/>
        <v>44124.44807051104</v>
      </c>
      <c r="CX218" s="172">
        <f t="shared" si="651"/>
        <v>170</v>
      </c>
      <c r="CY218" s="217">
        <f t="shared" si="652"/>
        <v>0.73359237536656885</v>
      </c>
      <c r="CZ218" s="217">
        <f t="shared" si="653"/>
        <v>2.2924761730205273E-2</v>
      </c>
      <c r="DA218" s="217">
        <f t="shared" si="654"/>
        <v>4.3025945769300224E-2</v>
      </c>
      <c r="DB218" s="197">
        <f t="shared" si="655"/>
        <v>350</v>
      </c>
      <c r="DC218" s="443">
        <f t="shared" si="656"/>
        <v>350</v>
      </c>
      <c r="DE218" s="217">
        <f t="shared" si="657"/>
        <v>31.780981505752148</v>
      </c>
      <c r="DF218" s="173">
        <f t="shared" si="658"/>
        <v>1.8639871850881022</v>
      </c>
      <c r="DG218" s="173">
        <f t="shared" si="659"/>
        <v>0.51834424474213492</v>
      </c>
      <c r="DH218" s="173"/>
      <c r="DI218" s="173">
        <f t="shared" si="660"/>
        <v>0.78201368523949166</v>
      </c>
      <c r="DJ218" s="545">
        <f t="shared" si="661"/>
        <v>46.034999999999997</v>
      </c>
      <c r="DK218" s="528">
        <f t="shared" si="662"/>
        <v>9.1234929944607357E-2</v>
      </c>
      <c r="DM218" s="173">
        <f t="shared" si="663"/>
        <v>4.8355823995520071</v>
      </c>
      <c r="DN218" s="173">
        <f t="shared" si="664"/>
        <v>13.333333333333334</v>
      </c>
      <c r="DO218" s="173">
        <f t="shared" si="665"/>
        <v>1.0263057142857144</v>
      </c>
      <c r="DQ218" s="545">
        <f t="shared" si="666"/>
        <v>12</v>
      </c>
      <c r="DR218" s="460">
        <f t="shared" si="667"/>
        <v>46.034999999999997</v>
      </c>
      <c r="DT218">
        <f t="shared" si="668"/>
        <v>12</v>
      </c>
      <c r="DU218">
        <f t="shared" si="669"/>
        <v>46.034999999999997</v>
      </c>
      <c r="DW218" s="5">
        <f t="shared" si="670"/>
        <v>21.72260236776366</v>
      </c>
      <c r="DX218" s="5">
        <f t="shared" si="671"/>
        <v>0.41666666666666669</v>
      </c>
      <c r="DY218" s="5">
        <f t="shared" si="672"/>
        <v>21.305935701096992</v>
      </c>
      <c r="DZ218" s="5"/>
      <c r="EA218" s="173">
        <f t="shared" si="673"/>
        <v>1.918125E-2</v>
      </c>
      <c r="EB218" s="173">
        <f t="shared" si="699"/>
        <v>2.0460000000000003</v>
      </c>
      <c r="EC218" s="173">
        <f t="shared" si="700"/>
        <v>0.32693958333333334</v>
      </c>
      <c r="ED218" s="173">
        <f t="shared" si="701"/>
        <v>6.2580369716627056</v>
      </c>
      <c r="EE218" s="460">
        <f t="shared" si="674"/>
        <v>2.9411764705882353E-3</v>
      </c>
      <c r="EF218" s="5">
        <f t="shared" si="675"/>
        <v>4.3464108830237862</v>
      </c>
      <c r="EH218" s="173">
        <f t="shared" si="702"/>
        <v>1.0661457061146318</v>
      </c>
      <c r="EI218" s="173">
        <f t="shared" si="703"/>
        <v>0.38119087276780583</v>
      </c>
      <c r="EK218" s="528">
        <f t="shared" si="704"/>
        <v>4.5466666666666669E-2</v>
      </c>
      <c r="EL218" s="528">
        <f t="shared" si="705"/>
        <v>0.41396973750000005</v>
      </c>
      <c r="EM218" s="528">
        <f t="shared" si="706"/>
        <v>9.2069999999999982E-3</v>
      </c>
      <c r="EN218" s="528">
        <f t="shared" si="707"/>
        <v>5.537786079374999E-3</v>
      </c>
      <c r="EO218">
        <f t="shared" si="708"/>
        <v>7.1999999999999998E-3</v>
      </c>
      <c r="EP218" s="460">
        <f t="shared" si="709"/>
        <v>16.406999999999996</v>
      </c>
      <c r="EQ218" s="460"/>
      <c r="ER218" s="460">
        <f t="shared" si="710"/>
        <v>481.38119024604168</v>
      </c>
      <c r="ES218" s="528">
        <f t="shared" si="711"/>
        <v>8.3999999999999995E-3</v>
      </c>
      <c r="EV218" s="460">
        <f t="shared" si="712"/>
        <v>8.4</v>
      </c>
      <c r="EW218" s="528">
        <f t="shared" si="713"/>
        <v>3.4099999999999998E-2</v>
      </c>
      <c r="EX218" s="528">
        <f t="shared" si="714"/>
        <v>4.3591944444444459E-3</v>
      </c>
      <c r="EY218" s="528">
        <f t="shared" si="715"/>
        <v>0.46669936994244704</v>
      </c>
      <c r="EZ218" s="528"/>
      <c r="FA218" s="528">
        <f t="shared" si="716"/>
        <v>0.2046</v>
      </c>
      <c r="FB218" s="460">
        <f t="shared" si="717"/>
        <v>709.75856438689141</v>
      </c>
      <c r="FC218" s="173">
        <f t="shared" si="718"/>
        <v>1.1995397546329332</v>
      </c>
      <c r="FD218" s="5">
        <f t="shared" si="719"/>
        <v>2.04</v>
      </c>
      <c r="FE218" s="173">
        <f t="shared" si="720"/>
        <v>0.62971908187962611</v>
      </c>
      <c r="FF218" s="5">
        <f t="shared" si="721"/>
        <v>62.971908187962612</v>
      </c>
      <c r="FI218" s="562">
        <f t="shared" si="676"/>
        <v>-50</v>
      </c>
      <c r="FJ218">
        <f t="shared" si="677"/>
        <v>-50</v>
      </c>
      <c r="FL218">
        <f t="shared" si="678"/>
        <v>3.5999999999999997E-2</v>
      </c>
    </row>
    <row r="219" spans="5:168">
      <c r="E219" s="170">
        <v>3</v>
      </c>
      <c r="F219" s="217">
        <f t="shared" si="679"/>
        <v>1.7999999999999999E-2</v>
      </c>
      <c r="G219" s="217"/>
      <c r="H219" s="217">
        <f t="shared" si="603"/>
        <v>3.0599999999999996</v>
      </c>
      <c r="I219" s="541">
        <f t="shared" si="604"/>
        <v>15.534018097703177</v>
      </c>
      <c r="J219" s="172">
        <f t="shared" si="605"/>
        <v>8.5254992663238891</v>
      </c>
      <c r="K219" s="172">
        <f t="shared" si="606"/>
        <v>24.059517364027066</v>
      </c>
      <c r="L219" s="443"/>
      <c r="M219" s="217">
        <f t="shared" si="607"/>
        <v>0.35435040574706606</v>
      </c>
      <c r="N219" s="172">
        <f t="shared" si="608"/>
        <v>186.12500695569855</v>
      </c>
      <c r="O219" s="172">
        <f t="shared" si="599"/>
        <v>3.0599999999999996</v>
      </c>
      <c r="P219" s="217">
        <f t="shared" si="609"/>
        <v>1.0948529820923445</v>
      </c>
      <c r="Q219" s="217">
        <f t="shared" si="610"/>
        <v>170</v>
      </c>
      <c r="R219" s="217"/>
      <c r="S219" s="172">
        <f t="shared" si="611"/>
        <v>28456.025277837522</v>
      </c>
      <c r="T219" s="172">
        <f t="shared" si="612"/>
        <v>170</v>
      </c>
      <c r="U219" s="217">
        <f t="shared" si="613"/>
        <v>1.1151559706826661</v>
      </c>
      <c r="V219" s="217">
        <f t="shared" si="614"/>
        <v>3.5893996120924775E-2</v>
      </c>
      <c r="W219" s="217">
        <f t="shared" si="615"/>
        <v>6.5401212049104457E-2</v>
      </c>
      <c r="X219" s="197">
        <f t="shared" si="616"/>
        <v>350</v>
      </c>
      <c r="Y219" s="443">
        <f t="shared" si="680"/>
        <v>350</v>
      </c>
      <c r="AA219" s="217">
        <f t="shared" si="617"/>
        <v>31.454201771203781</v>
      </c>
      <c r="AB219" s="173">
        <f t="shared" si="618"/>
        <v>1.8447131826900338</v>
      </c>
      <c r="AC219" s="173">
        <f t="shared" si="619"/>
        <v>0.50770983076040344</v>
      </c>
      <c r="AD219" s="173"/>
      <c r="AE219" s="173">
        <f t="shared" si="620"/>
        <v>0.78196788931767369</v>
      </c>
      <c r="AF219" s="545">
        <f t="shared" si="621"/>
        <v>69.056544057223476</v>
      </c>
      <c r="AG219" s="528">
        <f t="shared" si="622"/>
        <v>9.1229587087061942E-2</v>
      </c>
      <c r="AI219" s="173">
        <f t="shared" si="623"/>
        <v>5.9225281627519273</v>
      </c>
      <c r="AJ219" s="173">
        <f t="shared" si="624"/>
        <v>13.333333333333334</v>
      </c>
      <c r="AK219" s="173">
        <f t="shared" si="625"/>
        <v>1.0394608823184135</v>
      </c>
      <c r="AM219" s="545">
        <f t="shared" si="626"/>
        <v>18</v>
      </c>
      <c r="AN219" s="460">
        <f t="shared" si="627"/>
        <v>69.056544057223476</v>
      </c>
      <c r="AP219">
        <f t="shared" si="628"/>
        <v>18</v>
      </c>
      <c r="AQ219">
        <f t="shared" si="629"/>
        <v>69.056544057223476</v>
      </c>
      <c r="AS219" s="5">
        <f t="shared" si="600"/>
        <v>14.480886839216184</v>
      </c>
      <c r="AT219" s="5">
        <f t="shared" si="630"/>
        <v>0.42916563021465676</v>
      </c>
      <c r="AU219" s="5">
        <f t="shared" si="478"/>
        <v>14.051721209001528</v>
      </c>
      <c r="AV219" s="5"/>
      <c r="AW219" s="173">
        <f t="shared" si="479"/>
        <v>2.9636695250764521E-2</v>
      </c>
      <c r="AX219" s="173">
        <f t="shared" si="631"/>
        <v>3.0691797358765993</v>
      </c>
      <c r="AY219" s="173">
        <f t="shared" si="632"/>
        <v>0.32345443491641185</v>
      </c>
      <c r="AZ219" s="173">
        <f t="shared" si="633"/>
        <v>9.4887545340651975</v>
      </c>
      <c r="BA219" s="460">
        <f t="shared" si="594"/>
        <v>4.5441066728610707E-3</v>
      </c>
      <c r="BB219" s="5">
        <f t="shared" si="595"/>
        <v>4.4288107948994639</v>
      </c>
      <c r="BD219" s="173">
        <f t="shared" si="681"/>
        <v>1.3252353026737225</v>
      </c>
      <c r="BE219" s="173">
        <f t="shared" si="682"/>
        <v>0.37915369789772113</v>
      </c>
      <c r="BG219" s="528">
        <f t="shared" si="683"/>
        <v>7.0249944298108519E-2</v>
      </c>
      <c r="BH219" s="528">
        <f t="shared" si="634"/>
        <v>0.4984401362533406</v>
      </c>
      <c r="BI219" s="528">
        <f t="shared" si="635"/>
        <v>4.2909024205989854E-2</v>
      </c>
      <c r="BJ219" s="528">
        <f t="shared" si="684"/>
        <v>7.994819408743508E-3</v>
      </c>
      <c r="BK219">
        <f t="shared" si="685"/>
        <v>6.9903081439664297E-3</v>
      </c>
      <c r="BL219" s="460">
        <f t="shared" si="686"/>
        <v>49.899332349956282</v>
      </c>
      <c r="BM219" s="528">
        <f t="shared" si="636"/>
        <v>0.60576341639190656</v>
      </c>
      <c r="BN219" s="460">
        <f t="shared" si="687"/>
        <v>605.76341639190662</v>
      </c>
      <c r="BO219" s="528">
        <f t="shared" si="637"/>
        <v>1.2599999999999998E-2</v>
      </c>
      <c r="BR219" s="460">
        <f t="shared" si="688"/>
        <v>12.599999999999998</v>
      </c>
      <c r="BS219" s="528">
        <f t="shared" si="689"/>
        <v>5.2687458223581382E-2</v>
      </c>
      <c r="BT219" s="528">
        <f t="shared" si="690"/>
        <v>4.3127257988854915E-3</v>
      </c>
      <c r="BU219" s="528">
        <f t="shared" si="691"/>
        <v>1.2862605398003384</v>
      </c>
      <c r="BV219" s="528"/>
      <c r="BW219" s="528">
        <f t="shared" si="692"/>
        <v>0.30691797358765993</v>
      </c>
      <c r="BX219" s="460">
        <f t="shared" si="693"/>
        <v>1650.178697410465</v>
      </c>
      <c r="BY219" s="173">
        <f t="shared" si="694"/>
        <v>2.2893629297206139</v>
      </c>
      <c r="BZ219" s="5">
        <f t="shared" si="695"/>
        <v>3.0599999999999996</v>
      </c>
      <c r="CA219" s="173">
        <f t="shared" si="696"/>
        <v>0.57203073341666444</v>
      </c>
      <c r="CB219" s="5">
        <f t="shared" si="697"/>
        <v>57.203073341666446</v>
      </c>
      <c r="CE219" s="562">
        <f t="shared" si="638"/>
        <v>-50</v>
      </c>
      <c r="CF219">
        <f t="shared" si="639"/>
        <v>-50</v>
      </c>
      <c r="CG219" s="173">
        <f t="shared" si="640"/>
        <v>5.4079353459414017E-2</v>
      </c>
      <c r="CI219" s="170">
        <v>3</v>
      </c>
      <c r="CJ219" s="217">
        <f t="shared" si="698"/>
        <v>1.7999999999999999E-2</v>
      </c>
      <c r="CK219" s="217"/>
      <c r="CL219" s="217">
        <f t="shared" si="641"/>
        <v>3.0599999999999996</v>
      </c>
      <c r="CM219" s="541">
        <f t="shared" si="642"/>
        <v>16</v>
      </c>
      <c r="CN219" s="443">
        <f t="shared" si="643"/>
        <v>8.5250000000000004</v>
      </c>
      <c r="CO219" s="443">
        <f t="shared" si="644"/>
        <v>24.524999999999999</v>
      </c>
      <c r="CP219" s="443"/>
      <c r="CQ219" s="217">
        <f t="shared" si="645"/>
        <v>0.34760448521916415</v>
      </c>
      <c r="CR219" s="172">
        <f t="shared" si="646"/>
        <v>188.05866123003739</v>
      </c>
      <c r="CS219" s="172">
        <f t="shared" si="647"/>
        <v>3.0599999999999996</v>
      </c>
      <c r="CT219" s="217">
        <f t="shared" si="648"/>
        <v>1.1062274190002199</v>
      </c>
      <c r="CU219" s="217">
        <f t="shared" si="649"/>
        <v>170</v>
      </c>
      <c r="CV219" s="217"/>
      <c r="CW219" s="172">
        <f t="shared" si="650"/>
        <v>29309.635088492229</v>
      </c>
      <c r="CX219" s="172">
        <f t="shared" si="651"/>
        <v>170</v>
      </c>
      <c r="CY219" s="217">
        <f t="shared" si="652"/>
        <v>1.1003885630498531</v>
      </c>
      <c r="CZ219" s="217">
        <f t="shared" si="653"/>
        <v>3.4387142595307903E-2</v>
      </c>
      <c r="DA219" s="217">
        <f t="shared" si="654"/>
        <v>6.4538918653950311E-2</v>
      </c>
      <c r="DB219" s="197">
        <f t="shared" si="655"/>
        <v>350</v>
      </c>
      <c r="DC219" s="443">
        <f t="shared" si="656"/>
        <v>350</v>
      </c>
      <c r="DE219" s="217">
        <f t="shared" si="657"/>
        <v>31.780981505752148</v>
      </c>
      <c r="DF219" s="173">
        <f t="shared" si="658"/>
        <v>1.8639871850881022</v>
      </c>
      <c r="DG219" s="173">
        <f t="shared" si="659"/>
        <v>0.51834424474213492</v>
      </c>
      <c r="DH219" s="173"/>
      <c r="DI219" s="173">
        <f t="shared" si="660"/>
        <v>0.78201368523949166</v>
      </c>
      <c r="DJ219" s="545">
        <f t="shared" si="661"/>
        <v>69.052499999999995</v>
      </c>
      <c r="DK219" s="528">
        <f t="shared" si="662"/>
        <v>9.1234929944607357E-2</v>
      </c>
      <c r="DM219" s="173">
        <f t="shared" si="663"/>
        <v>5.922354744042754</v>
      </c>
      <c r="DN219" s="173">
        <f t="shared" si="664"/>
        <v>13.333333333333334</v>
      </c>
      <c r="DO219" s="173">
        <f t="shared" si="665"/>
        <v>1.0394585714285713</v>
      </c>
      <c r="DQ219" s="545">
        <f t="shared" si="666"/>
        <v>18</v>
      </c>
      <c r="DR219" s="460">
        <f t="shared" si="667"/>
        <v>69.052499999999995</v>
      </c>
      <c r="DT219">
        <f t="shared" si="668"/>
        <v>18</v>
      </c>
      <c r="DU219">
        <f t="shared" si="669"/>
        <v>69.052499999999995</v>
      </c>
      <c r="DW219" s="5">
        <f t="shared" si="670"/>
        <v>14.481734911842439</v>
      </c>
      <c r="DX219" s="5">
        <f t="shared" si="671"/>
        <v>0.41666666666666669</v>
      </c>
      <c r="DY219" s="5">
        <f t="shared" si="672"/>
        <v>14.065068245175773</v>
      </c>
      <c r="DZ219" s="5"/>
      <c r="EA219" s="173">
        <f t="shared" si="673"/>
        <v>2.8771874999999999E-2</v>
      </c>
      <c r="EB219" s="173">
        <f t="shared" si="699"/>
        <v>3.069</v>
      </c>
      <c r="EC219" s="173">
        <f t="shared" si="700"/>
        <v>0.32374270833333335</v>
      </c>
      <c r="ED219" s="173">
        <f t="shared" si="701"/>
        <v>9.4797501874237824</v>
      </c>
      <c r="EE219" s="460">
        <f t="shared" si="674"/>
        <v>4.4117647058823529E-3</v>
      </c>
      <c r="EF219" s="5">
        <f t="shared" si="675"/>
        <v>4.3039108830237858</v>
      </c>
      <c r="EH219" s="173">
        <f t="shared" si="702"/>
        <v>1.3057564857200596</v>
      </c>
      <c r="EI219" s="173">
        <f t="shared" si="703"/>
        <v>0.3793226175014458</v>
      </c>
      <c r="EK219" s="528">
        <f t="shared" si="704"/>
        <v>6.8200000000000011E-2</v>
      </c>
      <c r="EL219" s="528">
        <f t="shared" si="705"/>
        <v>0.62095460624999999</v>
      </c>
      <c r="EM219" s="528">
        <f t="shared" si="706"/>
        <v>1.3810499999999998E-2</v>
      </c>
      <c r="EN219" s="528">
        <f t="shared" si="707"/>
        <v>8.3066791190624985E-3</v>
      </c>
      <c r="EO219">
        <f t="shared" si="708"/>
        <v>7.1999999999999998E-3</v>
      </c>
      <c r="EP219" s="460">
        <f t="shared" si="709"/>
        <v>21.010499999999997</v>
      </c>
      <c r="EQ219" s="460"/>
      <c r="ER219" s="460">
        <f t="shared" si="710"/>
        <v>718.47178536906245</v>
      </c>
      <c r="ES219" s="528">
        <f t="shared" si="711"/>
        <v>1.2599999999999998E-2</v>
      </c>
      <c r="EV219" s="460">
        <f t="shared" si="712"/>
        <v>12.599999999999998</v>
      </c>
      <c r="EW219" s="528">
        <f t="shared" si="713"/>
        <v>5.1150000000000008E-2</v>
      </c>
      <c r="EX219" s="528">
        <f t="shared" si="714"/>
        <v>4.3165694444444449E-3</v>
      </c>
      <c r="EY219" s="528">
        <f t="shared" si="715"/>
        <v>1.2860722345920703</v>
      </c>
      <c r="EZ219" s="528"/>
      <c r="FA219" s="528">
        <f t="shared" si="716"/>
        <v>0.30690000000000001</v>
      </c>
      <c r="FB219" s="460">
        <f t="shared" si="717"/>
        <v>1648.4388040365147</v>
      </c>
      <c r="FC219" s="173">
        <f t="shared" si="718"/>
        <v>2.3795105894055775</v>
      </c>
      <c r="FD219" s="5">
        <f t="shared" si="719"/>
        <v>3.0599999999999996</v>
      </c>
      <c r="FE219" s="173">
        <f t="shared" si="720"/>
        <v>0.56255060996845907</v>
      </c>
      <c r="FF219" s="5">
        <f t="shared" si="721"/>
        <v>56.255060996845906</v>
      </c>
      <c r="FI219" s="562">
        <f t="shared" si="676"/>
        <v>-50</v>
      </c>
      <c r="FJ219">
        <f t="shared" si="677"/>
        <v>-50</v>
      </c>
      <c r="FL219">
        <f t="shared" si="678"/>
        <v>5.3999999999999992E-2</v>
      </c>
    </row>
    <row r="220" spans="5:168">
      <c r="E220" s="170">
        <v>4</v>
      </c>
      <c r="F220" s="217">
        <f t="shared" si="679"/>
        <v>2.4E-2</v>
      </c>
      <c r="G220" s="217"/>
      <c r="H220" s="217">
        <f t="shared" si="603"/>
        <v>4.08</v>
      </c>
      <c r="I220" s="541">
        <f t="shared" si="604"/>
        <v>15.534018097703177</v>
      </c>
      <c r="J220" s="172">
        <f t="shared" si="605"/>
        <v>8.5254992663238891</v>
      </c>
      <c r="K220" s="172">
        <f t="shared" si="606"/>
        <v>24.059517364027066</v>
      </c>
      <c r="L220" s="443"/>
      <c r="M220" s="217">
        <f t="shared" si="607"/>
        <v>0.35435040574706606</v>
      </c>
      <c r="N220" s="172">
        <f t="shared" si="608"/>
        <v>186.12500695569855</v>
      </c>
      <c r="O220" s="172">
        <f t="shared" si="599"/>
        <v>4.08</v>
      </c>
      <c r="P220" s="217">
        <f t="shared" si="609"/>
        <v>1.0948529820923445</v>
      </c>
      <c r="Q220" s="217">
        <f t="shared" si="610"/>
        <v>170</v>
      </c>
      <c r="R220" s="217"/>
      <c r="S220" s="172">
        <f t="shared" si="611"/>
        <v>21264.352078765325</v>
      </c>
      <c r="T220" s="172">
        <f t="shared" si="612"/>
        <v>170</v>
      </c>
      <c r="U220" s="217">
        <f t="shared" si="613"/>
        <v>1.486874627576888</v>
      </c>
      <c r="V220" s="217">
        <f t="shared" si="614"/>
        <v>4.7858661494566357E-2</v>
      </c>
      <c r="W220" s="217">
        <f t="shared" si="615"/>
        <v>8.7201616065472595E-2</v>
      </c>
      <c r="X220" s="197">
        <f t="shared" si="616"/>
        <v>350</v>
      </c>
      <c r="Y220" s="443">
        <f t="shared" si="680"/>
        <v>350</v>
      </c>
      <c r="AA220" s="217">
        <f t="shared" si="617"/>
        <v>31.454201771203781</v>
      </c>
      <c r="AB220" s="173">
        <f t="shared" si="618"/>
        <v>1.8447131826900338</v>
      </c>
      <c r="AC220" s="173">
        <f t="shared" si="619"/>
        <v>0.50770983076040344</v>
      </c>
      <c r="AD220" s="173"/>
      <c r="AE220" s="173">
        <f t="shared" si="620"/>
        <v>0.78196788931767369</v>
      </c>
      <c r="AF220" s="545">
        <f t="shared" si="621"/>
        <v>92.075392076297987</v>
      </c>
      <c r="AG220" s="528">
        <f t="shared" si="622"/>
        <v>9.1229587087061942E-2</v>
      </c>
      <c r="AI220" s="173">
        <f t="shared" si="623"/>
        <v>6.8387464580959296</v>
      </c>
      <c r="AJ220" s="173">
        <f t="shared" si="624"/>
        <v>13.333333333333334</v>
      </c>
      <c r="AK220" s="173">
        <f t="shared" si="625"/>
        <v>1.0526145097578845</v>
      </c>
      <c r="AM220" s="545">
        <f t="shared" si="626"/>
        <v>24</v>
      </c>
      <c r="AN220" s="460">
        <f t="shared" si="627"/>
        <v>92.075392076297987</v>
      </c>
      <c r="AP220">
        <f t="shared" si="628"/>
        <v>24</v>
      </c>
      <c r="AQ220">
        <f t="shared" si="629"/>
        <v>92.075392076297987</v>
      </c>
      <c r="AS220" s="5">
        <f t="shared" si="600"/>
        <v>10.860665129412135</v>
      </c>
      <c r="AT220" s="5">
        <f t="shared" si="630"/>
        <v>0.42916563021465676</v>
      </c>
      <c r="AU220" s="5">
        <f t="shared" si="478"/>
        <v>10.431499499197479</v>
      </c>
      <c r="AV220" s="5"/>
      <c r="AW220" s="173">
        <f t="shared" si="479"/>
        <v>3.951559366768604E-2</v>
      </c>
      <c r="AX220" s="173">
        <f t="shared" si="631"/>
        <v>4.0922396478354663</v>
      </c>
      <c r="AY220" s="173">
        <f t="shared" si="632"/>
        <v>0.32016146877743801</v>
      </c>
      <c r="AZ220" s="173">
        <f t="shared" si="633"/>
        <v>12.781799332261963</v>
      </c>
      <c r="BA220" s="460">
        <f t="shared" si="594"/>
        <v>6.0588088971480951E-3</v>
      </c>
      <c r="BB220" s="5">
        <f t="shared" si="595"/>
        <v>4.3837227626784969</v>
      </c>
      <c r="BD220" s="173">
        <f t="shared" si="681"/>
        <v>1.5302499174765378</v>
      </c>
      <c r="BE220" s="173">
        <f t="shared" si="682"/>
        <v>0.37721875102293867</v>
      </c>
      <c r="BG220" s="528">
        <f t="shared" si="683"/>
        <v>9.3666592397478043E-2</v>
      </c>
      <c r="BH220" s="528">
        <f t="shared" si="634"/>
        <v>0.66458684833778747</v>
      </c>
      <c r="BI220" s="528">
        <f t="shared" si="635"/>
        <v>5.721203227465315E-2</v>
      </c>
      <c r="BJ220" s="528">
        <f t="shared" si="684"/>
        <v>1.0659759211658015E-2</v>
      </c>
      <c r="BK220">
        <f t="shared" si="685"/>
        <v>6.9903081439664297E-3</v>
      </c>
      <c r="BL220" s="460">
        <f t="shared" si="686"/>
        <v>64.202340418619585</v>
      </c>
      <c r="BM220" s="528">
        <f t="shared" si="636"/>
        <v>0.81228063351545998</v>
      </c>
      <c r="BN220" s="460">
        <f t="shared" si="687"/>
        <v>812.28063351545995</v>
      </c>
      <c r="BO220" s="528">
        <f t="shared" si="637"/>
        <v>1.6799999999999999E-2</v>
      </c>
      <c r="BR220" s="460">
        <f t="shared" si="688"/>
        <v>16.8</v>
      </c>
      <c r="BS220" s="528">
        <f t="shared" si="689"/>
        <v>7.0249944298108533E-2</v>
      </c>
      <c r="BT220" s="528">
        <f t="shared" si="690"/>
        <v>4.2688195836991733E-3</v>
      </c>
      <c r="BU220" s="528">
        <f t="shared" si="691"/>
        <v>2.6404368672061089</v>
      </c>
      <c r="BV220" s="528"/>
      <c r="BW220" s="528">
        <f t="shared" si="692"/>
        <v>0.40922396478354667</v>
      </c>
      <c r="BX220" s="460">
        <f t="shared" si="693"/>
        <v>3124.1795958714633</v>
      </c>
      <c r="BY220" s="173">
        <f t="shared" si="694"/>
        <v>3.9740951362370063</v>
      </c>
      <c r="BZ220" s="5">
        <f t="shared" si="695"/>
        <v>4.08</v>
      </c>
      <c r="CA220" s="173">
        <f t="shared" si="696"/>
        <v>0.50657459726832044</v>
      </c>
      <c r="CB220" s="5">
        <f t="shared" si="697"/>
        <v>50.657459726832045</v>
      </c>
      <c r="CE220" s="562">
        <f t="shared" si="638"/>
        <v>-50</v>
      </c>
      <c r="CF220">
        <f t="shared" si="639"/>
        <v>-50</v>
      </c>
      <c r="CG220" s="173">
        <f t="shared" si="640"/>
        <v>7.2105804612552019E-2</v>
      </c>
      <c r="CI220" s="170">
        <v>4</v>
      </c>
      <c r="CJ220" s="217">
        <f t="shared" si="698"/>
        <v>2.4E-2</v>
      </c>
      <c r="CK220" s="217"/>
      <c r="CL220" s="217">
        <f t="shared" si="641"/>
        <v>4.08</v>
      </c>
      <c r="CM220" s="541">
        <f t="shared" si="642"/>
        <v>16</v>
      </c>
      <c r="CN220" s="443">
        <f t="shared" si="643"/>
        <v>8.5250000000000004</v>
      </c>
      <c r="CO220" s="443">
        <f t="shared" si="644"/>
        <v>24.524999999999999</v>
      </c>
      <c r="CP220" s="443"/>
      <c r="CQ220" s="217">
        <f t="shared" si="645"/>
        <v>0.34760448521916415</v>
      </c>
      <c r="CR220" s="172">
        <f t="shared" si="646"/>
        <v>188.05866123003739</v>
      </c>
      <c r="CS220" s="172">
        <f t="shared" si="647"/>
        <v>4.08</v>
      </c>
      <c r="CT220" s="217">
        <f t="shared" si="648"/>
        <v>1.1062274190002199</v>
      </c>
      <c r="CU220" s="217">
        <f t="shared" si="649"/>
        <v>170</v>
      </c>
      <c r="CV220" s="217"/>
      <c r="CW220" s="172">
        <f t="shared" si="650"/>
        <v>21902.229527247826</v>
      </c>
      <c r="CX220" s="172">
        <f t="shared" si="651"/>
        <v>170</v>
      </c>
      <c r="CY220" s="217">
        <f t="shared" si="652"/>
        <v>1.4671847507331377</v>
      </c>
      <c r="CZ220" s="217">
        <f t="shared" si="653"/>
        <v>4.5849523460410546E-2</v>
      </c>
      <c r="DA220" s="217">
        <f t="shared" si="654"/>
        <v>8.6051891538600447E-2</v>
      </c>
      <c r="DB220" s="197">
        <f t="shared" si="655"/>
        <v>350</v>
      </c>
      <c r="DC220" s="443">
        <f t="shared" si="656"/>
        <v>350</v>
      </c>
      <c r="DE220" s="217">
        <f t="shared" si="657"/>
        <v>31.780981505752148</v>
      </c>
      <c r="DF220" s="173">
        <f t="shared" si="658"/>
        <v>1.8639871850881022</v>
      </c>
      <c r="DG220" s="173">
        <f t="shared" si="659"/>
        <v>0.51834424474213492</v>
      </c>
      <c r="DH220" s="173"/>
      <c r="DI220" s="173">
        <f t="shared" si="660"/>
        <v>0.78201368523949166</v>
      </c>
      <c r="DJ220" s="545">
        <f t="shared" si="661"/>
        <v>92.07</v>
      </c>
      <c r="DK220" s="528">
        <f t="shared" si="662"/>
        <v>9.1234929944607357E-2</v>
      </c>
      <c r="DM220" s="173">
        <f t="shared" si="663"/>
        <v>6.8385462114190823</v>
      </c>
      <c r="DN220" s="173">
        <f t="shared" si="664"/>
        <v>13.333333333333334</v>
      </c>
      <c r="DO220" s="173">
        <f t="shared" si="665"/>
        <v>1.0526114285714285</v>
      </c>
      <c r="DQ220" s="545">
        <f t="shared" si="666"/>
        <v>24</v>
      </c>
      <c r="DR220" s="460">
        <f t="shared" si="667"/>
        <v>92.07</v>
      </c>
      <c r="DT220">
        <f t="shared" si="668"/>
        <v>24</v>
      </c>
      <c r="DU220">
        <f t="shared" si="669"/>
        <v>92.07</v>
      </c>
      <c r="DW220" s="5">
        <f t="shared" si="670"/>
        <v>10.86130118388183</v>
      </c>
      <c r="DX220" s="5">
        <f t="shared" si="671"/>
        <v>0.41666666666666669</v>
      </c>
      <c r="DY220" s="5">
        <f t="shared" si="672"/>
        <v>10.444634517215164</v>
      </c>
      <c r="DZ220" s="5"/>
      <c r="EA220" s="173">
        <f t="shared" si="673"/>
        <v>3.8362500000000001E-2</v>
      </c>
      <c r="EB220" s="173">
        <f t="shared" si="699"/>
        <v>4.0920000000000005</v>
      </c>
      <c r="EC220" s="173">
        <f t="shared" si="700"/>
        <v>0.32054583333333336</v>
      </c>
      <c r="ED220" s="173">
        <f t="shared" si="701"/>
        <v>12.765725130311578</v>
      </c>
      <c r="EE220" s="460">
        <f t="shared" si="674"/>
        <v>5.8823529411764705E-3</v>
      </c>
      <c r="EF220" s="5">
        <f t="shared" si="675"/>
        <v>4.2614108830237871</v>
      </c>
      <c r="EH220" s="173">
        <f t="shared" si="702"/>
        <v>1.5077577170531522</v>
      </c>
      <c r="EI220" s="173">
        <f t="shared" si="703"/>
        <v>0.37744511497013028</v>
      </c>
      <c r="EK220" s="528">
        <f t="shared" si="704"/>
        <v>9.0933333333333338E-2</v>
      </c>
      <c r="EL220" s="528">
        <f t="shared" si="705"/>
        <v>0.82793947500000009</v>
      </c>
      <c r="EM220" s="528">
        <f t="shared" si="706"/>
        <v>1.8413999999999996E-2</v>
      </c>
      <c r="EN220" s="528">
        <f t="shared" si="707"/>
        <v>1.1075572158749998E-2</v>
      </c>
      <c r="EO220">
        <f t="shared" si="708"/>
        <v>7.1999999999999998E-3</v>
      </c>
      <c r="EP220" s="460">
        <f t="shared" si="709"/>
        <v>25.613999999999997</v>
      </c>
      <c r="EQ220" s="460"/>
      <c r="ER220" s="460">
        <f t="shared" si="710"/>
        <v>955.56238049208343</v>
      </c>
      <c r="ES220" s="528">
        <f t="shared" si="711"/>
        <v>1.6799999999999999E-2</v>
      </c>
      <c r="EV220" s="460">
        <f t="shared" si="712"/>
        <v>16.8</v>
      </c>
      <c r="EW220" s="528">
        <f t="shared" si="713"/>
        <v>6.8199999999999997E-2</v>
      </c>
      <c r="EX220" s="528">
        <f t="shared" si="714"/>
        <v>4.2739444444444465E-3</v>
      </c>
      <c r="EY220" s="528">
        <f t="shared" si="715"/>
        <v>2.6400503140943461</v>
      </c>
      <c r="EZ220" s="528"/>
      <c r="FA220" s="528">
        <f t="shared" si="716"/>
        <v>0.40920000000000001</v>
      </c>
      <c r="FB220" s="460">
        <f t="shared" si="717"/>
        <v>3121.7242585387908</v>
      </c>
      <c r="FC220" s="173">
        <f t="shared" si="718"/>
        <v>4.0940866390308743</v>
      </c>
      <c r="FD220" s="5">
        <f t="shared" si="719"/>
        <v>4.08</v>
      </c>
      <c r="FE220" s="173">
        <f t="shared" si="720"/>
        <v>0.49913833559314064</v>
      </c>
      <c r="FF220" s="5">
        <f t="shared" si="721"/>
        <v>49.913833559314064</v>
      </c>
      <c r="FI220" s="562">
        <f t="shared" si="676"/>
        <v>-50</v>
      </c>
      <c r="FJ220">
        <f t="shared" si="677"/>
        <v>-50</v>
      </c>
      <c r="FL220">
        <f t="shared" si="678"/>
        <v>7.1999999999999995E-2</v>
      </c>
    </row>
    <row r="221" spans="5:168">
      <c r="E221" s="170">
        <v>5</v>
      </c>
      <c r="F221" s="217">
        <f t="shared" si="679"/>
        <v>0.03</v>
      </c>
      <c r="G221" s="217"/>
      <c r="H221" s="217">
        <f t="shared" si="603"/>
        <v>5.0999999999999996</v>
      </c>
      <c r="I221" s="541">
        <f t="shared" si="604"/>
        <v>15.534018097703177</v>
      </c>
      <c r="J221" s="172">
        <f t="shared" si="605"/>
        <v>8.5254992663238891</v>
      </c>
      <c r="K221" s="172">
        <f t="shared" si="606"/>
        <v>24.059517364027066</v>
      </c>
      <c r="L221" s="443"/>
      <c r="M221" s="217">
        <f t="shared" si="607"/>
        <v>0.35435040574706606</v>
      </c>
      <c r="N221" s="172">
        <f t="shared" si="608"/>
        <v>186.12500695569855</v>
      </c>
      <c r="O221" s="172">
        <f t="shared" si="599"/>
        <v>5.0999999999999996</v>
      </c>
      <c r="P221" s="217">
        <f t="shared" si="609"/>
        <v>1.0948529820923445</v>
      </c>
      <c r="Q221" s="217">
        <f t="shared" si="610"/>
        <v>170</v>
      </c>
      <c r="R221" s="217"/>
      <c r="S221" s="172">
        <f t="shared" si="611"/>
        <v>16949.348911299163</v>
      </c>
      <c r="T221" s="172">
        <f t="shared" si="612"/>
        <v>170</v>
      </c>
      <c r="U221" s="217">
        <f t="shared" si="613"/>
        <v>1.8585932844711099</v>
      </c>
      <c r="V221" s="217">
        <f t="shared" si="614"/>
        <v>5.9823326868207946E-2</v>
      </c>
      <c r="W221" s="217">
        <f t="shared" si="615"/>
        <v>0.10900202008184072</v>
      </c>
      <c r="X221" s="197">
        <f t="shared" si="616"/>
        <v>350</v>
      </c>
      <c r="Y221" s="443">
        <f t="shared" si="680"/>
        <v>350</v>
      </c>
      <c r="AA221" s="217">
        <f t="shared" si="617"/>
        <v>31.454201771203781</v>
      </c>
      <c r="AB221" s="173">
        <f t="shared" si="618"/>
        <v>1.8447131826900338</v>
      </c>
      <c r="AC221" s="173">
        <f t="shared" si="619"/>
        <v>0.50770983076040344</v>
      </c>
      <c r="AD221" s="173"/>
      <c r="AE221" s="173">
        <f t="shared" si="620"/>
        <v>0.78196788931767369</v>
      </c>
      <c r="AF221" s="545">
        <f t="shared" si="621"/>
        <v>115.09424009537247</v>
      </c>
      <c r="AG221" s="528">
        <f t="shared" si="622"/>
        <v>9.1229587087061942E-2</v>
      </c>
      <c r="AI221" s="173">
        <f t="shared" si="623"/>
        <v>7.6459509805942076</v>
      </c>
      <c r="AJ221" s="173">
        <f t="shared" si="624"/>
        <v>13.333333333333334</v>
      </c>
      <c r="AK221" s="173">
        <f t="shared" si="625"/>
        <v>1.0657681371973557</v>
      </c>
      <c r="AM221" s="545">
        <f t="shared" si="626"/>
        <v>30</v>
      </c>
      <c r="AN221" s="460">
        <f t="shared" si="627"/>
        <v>115.09424009537247</v>
      </c>
      <c r="AP221">
        <f t="shared" si="628"/>
        <v>30</v>
      </c>
      <c r="AQ221">
        <f t="shared" si="629"/>
        <v>115.09424009537247</v>
      </c>
      <c r="AS221" s="5">
        <f t="shared" si="600"/>
        <v>8.6885321035297096</v>
      </c>
      <c r="AT221" s="5">
        <f t="shared" si="630"/>
        <v>0.42916563021465676</v>
      </c>
      <c r="AU221" s="5">
        <f t="shared" si="478"/>
        <v>8.2593664733150529</v>
      </c>
      <c r="AV221" s="5"/>
      <c r="AW221" s="173">
        <f t="shared" si="479"/>
        <v>4.9394492084607541E-2</v>
      </c>
      <c r="AX221" s="173">
        <f t="shared" si="631"/>
        <v>5.1152995597943329</v>
      </c>
      <c r="AY221" s="173">
        <f t="shared" si="632"/>
        <v>0.31686850263846417</v>
      </c>
      <c r="AZ221" s="173">
        <f t="shared" si="633"/>
        <v>16.143288200628479</v>
      </c>
      <c r="BA221" s="460">
        <f t="shared" si="594"/>
        <v>7.5735111214351187E-3</v>
      </c>
      <c r="BB221" s="5">
        <f t="shared" si="595"/>
        <v>4.3386347304575308</v>
      </c>
      <c r="BD221" s="173">
        <f t="shared" si="681"/>
        <v>1.7108714190204908</v>
      </c>
      <c r="BE221" s="173">
        <f t="shared" si="682"/>
        <v>0.37527382751411692</v>
      </c>
      <c r="BG221" s="528">
        <f t="shared" si="683"/>
        <v>0.11708324049684751</v>
      </c>
      <c r="BH221" s="528">
        <f t="shared" si="634"/>
        <v>0.83073356042223423</v>
      </c>
      <c r="BI221" s="528">
        <f t="shared" si="635"/>
        <v>7.1515040343316419E-2</v>
      </c>
      <c r="BJ221" s="528">
        <f t="shared" si="684"/>
        <v>1.3324699014572516E-2</v>
      </c>
      <c r="BK221">
        <f t="shared" si="685"/>
        <v>6.9903081439664297E-3</v>
      </c>
      <c r="BL221" s="460">
        <f t="shared" si="686"/>
        <v>78.505348487282859</v>
      </c>
      <c r="BM221" s="528">
        <f t="shared" si="636"/>
        <v>1.0211616482353303</v>
      </c>
      <c r="BN221" s="460">
        <f t="shared" si="687"/>
        <v>1021.1616482353303</v>
      </c>
      <c r="BO221" s="528">
        <f t="shared" si="637"/>
        <v>2.0999999999999998E-2</v>
      </c>
      <c r="BR221" s="460">
        <f t="shared" si="688"/>
        <v>20.999999999999996</v>
      </c>
      <c r="BS221" s="528">
        <f t="shared" si="689"/>
        <v>8.7812430372635628E-2</v>
      </c>
      <c r="BT221" s="528">
        <f t="shared" si="690"/>
        <v>4.2249133685128551E-3</v>
      </c>
      <c r="BU221" s="528">
        <f t="shared" si="691"/>
        <v>4.6126533791948754</v>
      </c>
      <c r="BV221" s="528"/>
      <c r="BW221" s="528">
        <f t="shared" si="692"/>
        <v>0.51152995597943329</v>
      </c>
      <c r="BX221" s="460">
        <f t="shared" si="693"/>
        <v>5216.220678915457</v>
      </c>
      <c r="BY221" s="173">
        <f t="shared" si="694"/>
        <v>6.2768675273363943</v>
      </c>
      <c r="BZ221" s="5">
        <f t="shared" si="695"/>
        <v>5.0999999999999996</v>
      </c>
      <c r="CA221" s="173">
        <f t="shared" si="696"/>
        <v>0.44827805085588757</v>
      </c>
      <c r="CB221" s="5">
        <f t="shared" si="697"/>
        <v>44.827805085588757</v>
      </c>
      <c r="CE221" s="562">
        <f t="shared" si="638"/>
        <v>-50</v>
      </c>
      <c r="CF221">
        <f t="shared" si="639"/>
        <v>-50</v>
      </c>
      <c r="CG221" s="173">
        <f t="shared" si="640"/>
        <v>9.013225576569002E-2</v>
      </c>
      <c r="CI221" s="170">
        <v>5</v>
      </c>
      <c r="CJ221" s="217">
        <f t="shared" si="698"/>
        <v>0.03</v>
      </c>
      <c r="CK221" s="217"/>
      <c r="CL221" s="217">
        <f t="shared" si="641"/>
        <v>5.0999999999999996</v>
      </c>
      <c r="CM221" s="541">
        <f t="shared" si="642"/>
        <v>16</v>
      </c>
      <c r="CN221" s="443">
        <f t="shared" si="643"/>
        <v>8.5250000000000004</v>
      </c>
      <c r="CO221" s="443">
        <f t="shared" si="644"/>
        <v>24.524999999999999</v>
      </c>
      <c r="CP221" s="443"/>
      <c r="CQ221" s="217">
        <f t="shared" si="645"/>
        <v>0.34760448521916415</v>
      </c>
      <c r="CR221" s="172">
        <f t="shared" si="646"/>
        <v>188.05866123003739</v>
      </c>
      <c r="CS221" s="172">
        <f t="shared" si="647"/>
        <v>5.0999999999999996</v>
      </c>
      <c r="CT221" s="217">
        <f t="shared" si="648"/>
        <v>1.1062274190002199</v>
      </c>
      <c r="CU221" s="217">
        <f t="shared" si="649"/>
        <v>170</v>
      </c>
      <c r="CV221" s="217"/>
      <c r="CW221" s="172">
        <f t="shared" si="650"/>
        <v>17457.786942479936</v>
      </c>
      <c r="CX221" s="172">
        <f t="shared" si="651"/>
        <v>170</v>
      </c>
      <c r="CY221" s="217">
        <f t="shared" si="652"/>
        <v>1.8339809384164221</v>
      </c>
      <c r="CZ221" s="217">
        <f t="shared" si="653"/>
        <v>5.731190432551319E-2</v>
      </c>
      <c r="DA221" s="217">
        <f t="shared" si="654"/>
        <v>0.10756486442325056</v>
      </c>
      <c r="DB221" s="197">
        <f t="shared" si="655"/>
        <v>350</v>
      </c>
      <c r="DC221" s="443">
        <f t="shared" si="656"/>
        <v>350</v>
      </c>
      <c r="DE221" s="217">
        <f t="shared" si="657"/>
        <v>31.780981505752148</v>
      </c>
      <c r="DF221" s="173">
        <f t="shared" si="658"/>
        <v>1.8639871850881022</v>
      </c>
      <c r="DG221" s="173">
        <f t="shared" si="659"/>
        <v>0.51834424474213492</v>
      </c>
      <c r="DH221" s="173"/>
      <c r="DI221" s="173">
        <f t="shared" si="660"/>
        <v>0.78201368523949166</v>
      </c>
      <c r="DJ221" s="545">
        <f t="shared" si="661"/>
        <v>115.08750000000001</v>
      </c>
      <c r="DK221" s="528">
        <f t="shared" si="662"/>
        <v>9.1234929944607357E-2</v>
      </c>
      <c r="DM221" s="173">
        <f t="shared" si="663"/>
        <v>7.6457270980033583</v>
      </c>
      <c r="DN221" s="173">
        <f t="shared" si="664"/>
        <v>13.333333333333334</v>
      </c>
      <c r="DO221" s="173">
        <f t="shared" si="665"/>
        <v>1.0657642857142857</v>
      </c>
      <c r="DQ221" s="545">
        <f t="shared" si="666"/>
        <v>30</v>
      </c>
      <c r="DR221" s="460">
        <f t="shared" si="667"/>
        <v>115.08750000000001</v>
      </c>
      <c r="DT221">
        <f t="shared" si="668"/>
        <v>30</v>
      </c>
      <c r="DU221">
        <f t="shared" si="669"/>
        <v>115.08750000000001</v>
      </c>
      <c r="DW221" s="5">
        <f t="shared" si="670"/>
        <v>8.6890409471054628</v>
      </c>
      <c r="DX221" s="5">
        <f t="shared" si="671"/>
        <v>0.41666666666666669</v>
      </c>
      <c r="DY221" s="5">
        <f t="shared" si="672"/>
        <v>8.2723742804387967</v>
      </c>
      <c r="DZ221" s="5"/>
      <c r="EA221" s="173">
        <f t="shared" si="673"/>
        <v>4.7953125000000006E-2</v>
      </c>
      <c r="EB221" s="173">
        <f t="shared" si="699"/>
        <v>5.1150000000000002</v>
      </c>
      <c r="EC221" s="173">
        <f t="shared" si="700"/>
        <v>0.31734895833333338</v>
      </c>
      <c r="ED221" s="173">
        <f t="shared" si="701"/>
        <v>16.117903858462849</v>
      </c>
      <c r="EE221" s="460">
        <f t="shared" si="674"/>
        <v>7.3529411764705881E-3</v>
      </c>
      <c r="EF221" s="5">
        <f t="shared" si="675"/>
        <v>4.2189108830237867</v>
      </c>
      <c r="EH221" s="173">
        <f t="shared" si="702"/>
        <v>1.6857243744653714</v>
      </c>
      <c r="EI221" s="173">
        <f t="shared" si="703"/>
        <v>0.37555822648622877</v>
      </c>
      <c r="EK221" s="528">
        <f t="shared" si="704"/>
        <v>0.11366666666666671</v>
      </c>
      <c r="EL221" s="528">
        <f t="shared" si="705"/>
        <v>1.03492434375</v>
      </c>
      <c r="EM221" s="528">
        <f t="shared" si="706"/>
        <v>2.30175E-2</v>
      </c>
      <c r="EN221" s="528">
        <f t="shared" si="707"/>
        <v>1.3844465198437499E-2</v>
      </c>
      <c r="EO221">
        <f t="shared" si="708"/>
        <v>7.1999999999999998E-3</v>
      </c>
      <c r="EP221" s="460">
        <f t="shared" si="709"/>
        <v>30.217500000000001</v>
      </c>
      <c r="EQ221" s="460"/>
      <c r="ER221" s="460">
        <f t="shared" si="710"/>
        <v>1192.6529756151042</v>
      </c>
      <c r="ES221" s="528">
        <f t="shared" si="711"/>
        <v>2.0999999999999998E-2</v>
      </c>
      <c r="EV221" s="460">
        <f t="shared" si="712"/>
        <v>20.999999999999996</v>
      </c>
      <c r="EW221" s="528">
        <f t="shared" si="713"/>
        <v>8.525000000000002E-2</v>
      </c>
      <c r="EX221" s="528">
        <f t="shared" si="714"/>
        <v>4.2313194444444447E-3</v>
      </c>
      <c r="EY221" s="528">
        <f t="shared" si="715"/>
        <v>4.6119780986989349</v>
      </c>
      <c r="EZ221" s="528"/>
      <c r="FA221" s="528">
        <f t="shared" si="716"/>
        <v>0.51150000000000018</v>
      </c>
      <c r="FB221" s="460">
        <f t="shared" si="717"/>
        <v>5212.9594181433795</v>
      </c>
      <c r="FC221" s="173">
        <f t="shared" si="718"/>
        <v>6.426612393758484</v>
      </c>
      <c r="FD221" s="5">
        <f t="shared" si="719"/>
        <v>5.0999999999999996</v>
      </c>
      <c r="FE221" s="173">
        <f t="shared" si="720"/>
        <v>0.44245436783851477</v>
      </c>
      <c r="FF221" s="5">
        <f t="shared" si="721"/>
        <v>44.245436783851474</v>
      </c>
      <c r="FI221" s="562">
        <f t="shared" si="676"/>
        <v>-50</v>
      </c>
      <c r="FJ221">
        <f t="shared" si="677"/>
        <v>-50</v>
      </c>
      <c r="FL221">
        <f t="shared" si="678"/>
        <v>8.9999999999999983E-2</v>
      </c>
    </row>
    <row r="222" spans="5:168">
      <c r="E222" s="170">
        <v>6</v>
      </c>
      <c r="F222" s="217">
        <f t="shared" si="679"/>
        <v>3.5999999999999997E-2</v>
      </c>
      <c r="G222" s="217"/>
      <c r="H222" s="217">
        <f t="shared" si="603"/>
        <v>6.1199999999999992</v>
      </c>
      <c r="I222" s="541">
        <f t="shared" si="604"/>
        <v>15.534018097703177</v>
      </c>
      <c r="J222" s="172">
        <f t="shared" si="605"/>
        <v>8.5254992663238891</v>
      </c>
      <c r="K222" s="172">
        <f t="shared" si="606"/>
        <v>24.059517364027066</v>
      </c>
      <c r="L222" s="443"/>
      <c r="M222" s="217">
        <f t="shared" si="607"/>
        <v>0.35435040574706606</v>
      </c>
      <c r="N222" s="172">
        <f t="shared" si="608"/>
        <v>186.12500695569855</v>
      </c>
      <c r="O222" s="172">
        <f t="shared" si="599"/>
        <v>6.1199999999999992</v>
      </c>
      <c r="P222" s="217">
        <f t="shared" si="609"/>
        <v>1.0948529820923445</v>
      </c>
      <c r="Q222" s="217">
        <f t="shared" si="610"/>
        <v>170</v>
      </c>
      <c r="R222" s="217"/>
      <c r="S222" s="172">
        <f t="shared" si="611"/>
        <v>14072.680766541094</v>
      </c>
      <c r="T222" s="172">
        <f t="shared" si="612"/>
        <v>170</v>
      </c>
      <c r="U222" s="217">
        <f t="shared" si="613"/>
        <v>2.2303119413653323</v>
      </c>
      <c r="V222" s="217">
        <f t="shared" si="614"/>
        <v>7.1787992241849549E-2</v>
      </c>
      <c r="W222" s="217">
        <f t="shared" si="615"/>
        <v>0.13080242409820891</v>
      </c>
      <c r="X222" s="197">
        <f t="shared" si="616"/>
        <v>350</v>
      </c>
      <c r="Y222" s="443">
        <f t="shared" si="680"/>
        <v>350</v>
      </c>
      <c r="AA222" s="217">
        <f t="shared" si="617"/>
        <v>31.454201771203781</v>
      </c>
      <c r="AB222" s="173">
        <f t="shared" si="618"/>
        <v>1.8447131826900338</v>
      </c>
      <c r="AC222" s="173">
        <f t="shared" si="619"/>
        <v>0.50770983076040344</v>
      </c>
      <c r="AD222" s="173"/>
      <c r="AE222" s="173">
        <f t="shared" si="620"/>
        <v>0.78196788931767369</v>
      </c>
      <c r="AF222" s="545">
        <f t="shared" si="621"/>
        <v>138.11308811444695</v>
      </c>
      <c r="AG222" s="528">
        <f t="shared" si="622"/>
        <v>9.1229587087061942E-2</v>
      </c>
      <c r="AI222" s="173">
        <f t="shared" si="623"/>
        <v>8.3757196513003844</v>
      </c>
      <c r="AJ222" s="173">
        <f t="shared" si="624"/>
        <v>13.333333333333334</v>
      </c>
      <c r="AK222" s="173">
        <f t="shared" si="625"/>
        <v>1.0789217646368268</v>
      </c>
      <c r="AM222" s="545">
        <f t="shared" si="626"/>
        <v>36</v>
      </c>
      <c r="AN222" s="460">
        <f>IF(F222&gt;AG222, Y222, AF222)</f>
        <v>138.11308811444695</v>
      </c>
      <c r="AP222">
        <f t="shared" si="628"/>
        <v>36</v>
      </c>
      <c r="AQ222">
        <f t="shared" si="629"/>
        <v>138.11308811444695</v>
      </c>
      <c r="AS222" s="5">
        <f t="shared" si="600"/>
        <v>7.2404434196080922</v>
      </c>
      <c r="AT222" s="5">
        <f t="shared" si="630"/>
        <v>0.42916563021465676</v>
      </c>
      <c r="AU222" s="5">
        <f t="shared" si="478"/>
        <v>6.8112777893934355</v>
      </c>
      <c r="AV222" s="5"/>
      <c r="AW222" s="173">
        <f t="shared" si="479"/>
        <v>5.9273390501529043E-2</v>
      </c>
      <c r="AX222" s="173">
        <f t="shared" si="631"/>
        <v>6.1383594717531986</v>
      </c>
      <c r="AY222" s="173">
        <f t="shared" si="632"/>
        <v>0.31357553649949038</v>
      </c>
      <c r="AZ222" s="173">
        <f t="shared" si="633"/>
        <v>19.57537740436322</v>
      </c>
      <c r="BA222" s="460">
        <f t="shared" si="594"/>
        <v>9.0882133457221414E-3</v>
      </c>
      <c r="BB222" s="5">
        <f t="shared" si="595"/>
        <v>4.2935466982365647</v>
      </c>
      <c r="BD222" s="173">
        <f t="shared" si="681"/>
        <v>1.8741657383767918</v>
      </c>
      <c r="BE222" s="173">
        <f t="shared" si="682"/>
        <v>0.37331877144189335</v>
      </c>
      <c r="BG222" s="528">
        <f t="shared" si="683"/>
        <v>0.14049988859621701</v>
      </c>
      <c r="BH222" s="528">
        <f t="shared" si="634"/>
        <v>0.99688027250668121</v>
      </c>
      <c r="BI222" s="528">
        <f t="shared" si="635"/>
        <v>8.5818048411979708E-2</v>
      </c>
      <c r="BJ222" s="528">
        <f t="shared" si="684"/>
        <v>1.5989638817487016E-2</v>
      </c>
      <c r="BK222">
        <f t="shared" si="685"/>
        <v>6.9903081439664297E-3</v>
      </c>
      <c r="BL222" s="460">
        <f t="shared" si="686"/>
        <v>92.808356555946133</v>
      </c>
      <c r="BM222" s="528">
        <f t="shared" si="636"/>
        <v>1.2324472782183604</v>
      </c>
      <c r="BN222" s="460">
        <f t="shared" si="687"/>
        <v>1232.4472782183605</v>
      </c>
      <c r="BO222" s="528">
        <f t="shared" si="637"/>
        <v>2.5199999999999997E-2</v>
      </c>
      <c r="BR222" s="460">
        <f t="shared" si="688"/>
        <v>25.199999999999996</v>
      </c>
      <c r="BS222" s="528">
        <f t="shared" si="689"/>
        <v>0.10537491644716275</v>
      </c>
      <c r="BT222" s="528">
        <f t="shared" si="690"/>
        <v>4.1810071533265377E-3</v>
      </c>
      <c r="BU222" s="528">
        <f t="shared" si="691"/>
        <v>7.2761884005239024</v>
      </c>
      <c r="BV222" s="528"/>
      <c r="BW222" s="528">
        <f t="shared" si="692"/>
        <v>0.61383594717531986</v>
      </c>
      <c r="BX222" s="460">
        <f t="shared" si="693"/>
        <v>7999.5802712997111</v>
      </c>
      <c r="BY222" s="173">
        <f t="shared" si="694"/>
        <v>9.2709584277760424</v>
      </c>
      <c r="BZ222" s="5">
        <f t="shared" si="695"/>
        <v>6.1199999999999992</v>
      </c>
      <c r="CA222" s="173">
        <f t="shared" si="696"/>
        <v>0.39763605552694131</v>
      </c>
      <c r="CB222" s="5">
        <f t="shared" si="697"/>
        <v>39.763605552694131</v>
      </c>
      <c r="CE222" s="562">
        <f t="shared" si="638"/>
        <v>-50</v>
      </c>
      <c r="CF222">
        <f t="shared" si="639"/>
        <v>-50</v>
      </c>
      <c r="CG222" s="173">
        <f t="shared" si="640"/>
        <v>0.10815870691882803</v>
      </c>
      <c r="CI222" s="170">
        <v>6</v>
      </c>
      <c r="CJ222" s="217">
        <f t="shared" si="698"/>
        <v>3.5999999999999997E-2</v>
      </c>
      <c r="CK222" s="217"/>
      <c r="CL222" s="217">
        <f t="shared" si="641"/>
        <v>6.1199999999999992</v>
      </c>
      <c r="CM222" s="541">
        <f t="shared" si="642"/>
        <v>16</v>
      </c>
      <c r="CN222" s="443">
        <f t="shared" si="643"/>
        <v>8.5250000000000004</v>
      </c>
      <c r="CO222" s="443">
        <f t="shared" si="644"/>
        <v>24.524999999999999</v>
      </c>
      <c r="CP222" s="443"/>
      <c r="CQ222" s="217">
        <f t="shared" si="645"/>
        <v>0.34760448521916415</v>
      </c>
      <c r="CR222" s="172">
        <f t="shared" si="646"/>
        <v>188.05866123003739</v>
      </c>
      <c r="CS222" s="172">
        <f t="shared" si="647"/>
        <v>6.1199999999999992</v>
      </c>
      <c r="CT222" s="217">
        <f t="shared" si="648"/>
        <v>1.1062274190002199</v>
      </c>
      <c r="CU222" s="217">
        <f t="shared" si="649"/>
        <v>170</v>
      </c>
      <c r="CV222" s="217"/>
      <c r="CW222" s="172">
        <f t="shared" si="650"/>
        <v>14494.825852855742</v>
      </c>
      <c r="CX222" s="172">
        <f t="shared" si="651"/>
        <v>170</v>
      </c>
      <c r="CY222" s="217">
        <f t="shared" si="652"/>
        <v>2.2007771260997062</v>
      </c>
      <c r="CZ222" s="217">
        <f t="shared" si="653"/>
        <v>6.8774285190615805E-2</v>
      </c>
      <c r="DA222" s="217">
        <f t="shared" si="654"/>
        <v>0.12907783730790062</v>
      </c>
      <c r="DB222" s="197">
        <f t="shared" si="655"/>
        <v>350</v>
      </c>
      <c r="DC222" s="443">
        <f t="shared" si="656"/>
        <v>350</v>
      </c>
      <c r="DE222" s="217">
        <f t="shared" si="657"/>
        <v>31.780981505752148</v>
      </c>
      <c r="DF222" s="173">
        <f t="shared" si="658"/>
        <v>1.8639871850881022</v>
      </c>
      <c r="DG222" s="173">
        <f t="shared" si="659"/>
        <v>0.51834424474213492</v>
      </c>
      <c r="DH222" s="173"/>
      <c r="DI222" s="173">
        <f t="shared" si="660"/>
        <v>0.78201368523949166</v>
      </c>
      <c r="DJ222" s="545">
        <f t="shared" si="661"/>
        <v>138.10499999999999</v>
      </c>
      <c r="DK222" s="528">
        <f t="shared" si="662"/>
        <v>9.1234929944607357E-2</v>
      </c>
      <c r="DM222" s="173">
        <f t="shared" si="663"/>
        <v>8.3754744002099031</v>
      </c>
      <c r="DN222" s="173">
        <f t="shared" si="664"/>
        <v>13.333333333333334</v>
      </c>
      <c r="DO222" s="173">
        <f t="shared" si="665"/>
        <v>1.0789171428571429</v>
      </c>
      <c r="DQ222" s="545">
        <f t="shared" si="666"/>
        <v>36</v>
      </c>
      <c r="DR222" s="460">
        <f t="shared" si="667"/>
        <v>138.10499999999999</v>
      </c>
      <c r="DT222">
        <f t="shared" si="668"/>
        <v>36</v>
      </c>
      <c r="DU222">
        <f t="shared" si="669"/>
        <v>138.10499999999999</v>
      </c>
      <c r="DW222" s="5">
        <f t="shared" si="670"/>
        <v>7.2408674559212196</v>
      </c>
      <c r="DX222" s="5">
        <f t="shared" si="671"/>
        <v>0.41666666666666669</v>
      </c>
      <c r="DY222" s="5">
        <f t="shared" si="672"/>
        <v>6.8242007892545526</v>
      </c>
      <c r="DZ222" s="5"/>
      <c r="EA222" s="173">
        <f t="shared" si="673"/>
        <v>5.7543749999999998E-2</v>
      </c>
      <c r="EB222" s="173">
        <f t="shared" si="699"/>
        <v>6.1379999999999999</v>
      </c>
      <c r="EC222" s="173">
        <f t="shared" si="700"/>
        <v>0.31415208333333339</v>
      </c>
      <c r="ED222" s="173">
        <f t="shared" si="701"/>
        <v>19.538307481116494</v>
      </c>
      <c r="EE222" s="460">
        <f t="shared" si="674"/>
        <v>8.8235294117647058E-3</v>
      </c>
      <c r="EF222" s="5">
        <f t="shared" si="675"/>
        <v>4.1764108830237863</v>
      </c>
      <c r="EH222" s="173">
        <f t="shared" si="702"/>
        <v>1.8466185312619388</v>
      </c>
      <c r="EI222" s="173">
        <f t="shared" si="703"/>
        <v>0.37366180986039793</v>
      </c>
      <c r="EK222" s="528">
        <f t="shared" si="704"/>
        <v>0.13639999999999999</v>
      </c>
      <c r="EL222" s="528">
        <f t="shared" si="705"/>
        <v>1.2419092125</v>
      </c>
      <c r="EM222" s="528">
        <f t="shared" si="706"/>
        <v>2.7620999999999996E-2</v>
      </c>
      <c r="EN222" s="528">
        <f t="shared" si="707"/>
        <v>1.6613358238124997E-2</v>
      </c>
      <c r="EO222">
        <f t="shared" si="708"/>
        <v>7.1999999999999998E-3</v>
      </c>
      <c r="EP222" s="460">
        <f t="shared" si="709"/>
        <v>34.820999999999998</v>
      </c>
      <c r="EQ222" s="460"/>
      <c r="ER222" s="460">
        <f t="shared" si="710"/>
        <v>1429.7435707381251</v>
      </c>
      <c r="ES222" s="528">
        <f t="shared" si="711"/>
        <v>2.5199999999999997E-2</v>
      </c>
      <c r="EV222" s="460">
        <f t="shared" si="712"/>
        <v>25.199999999999996</v>
      </c>
      <c r="EW222" s="528">
        <f t="shared" si="713"/>
        <v>0.10229999999999999</v>
      </c>
      <c r="EX222" s="528">
        <f t="shared" si="714"/>
        <v>4.1886944444444445E-3</v>
      </c>
      <c r="EY222" s="528">
        <f t="shared" si="715"/>
        <v>7.2751231854063105</v>
      </c>
      <c r="EZ222" s="528"/>
      <c r="FA222" s="528">
        <f t="shared" si="716"/>
        <v>0.61380000000000001</v>
      </c>
      <c r="FB222" s="460">
        <f t="shared" si="717"/>
        <v>7995.4118798507552</v>
      </c>
      <c r="FC222" s="173">
        <f t="shared" si="718"/>
        <v>9.45035545058888</v>
      </c>
      <c r="FD222" s="5">
        <f t="shared" si="719"/>
        <v>6.1199999999999992</v>
      </c>
      <c r="FE222" s="173">
        <f t="shared" si="720"/>
        <v>0.39305461069410186</v>
      </c>
      <c r="FF222" s="5">
        <f t="shared" si="721"/>
        <v>39.305461069410185</v>
      </c>
      <c r="FI222" s="562">
        <f t="shared" si="676"/>
        <v>-50</v>
      </c>
      <c r="FJ222">
        <f t="shared" si="677"/>
        <v>-50</v>
      </c>
      <c r="FL222">
        <f t="shared" si="678"/>
        <v>0.10799999999999998</v>
      </c>
    </row>
    <row r="223" spans="5:168">
      <c r="E223" s="170">
        <v>7</v>
      </c>
      <c r="F223" s="217">
        <f t="shared" si="679"/>
        <v>4.2000000000000003E-2</v>
      </c>
      <c r="G223" s="217"/>
      <c r="H223" s="217">
        <f t="shared" si="603"/>
        <v>7.1400000000000006</v>
      </c>
      <c r="I223" s="541">
        <f t="shared" si="604"/>
        <v>15.534018097703177</v>
      </c>
      <c r="J223" s="172">
        <f t="shared" si="605"/>
        <v>8.5254992663238891</v>
      </c>
      <c r="K223" s="172">
        <f t="shared" si="606"/>
        <v>24.059517364027066</v>
      </c>
      <c r="L223" s="443"/>
      <c r="M223" s="217">
        <f t="shared" si="607"/>
        <v>0.35435040574706606</v>
      </c>
      <c r="N223" s="172">
        <f t="shared" si="608"/>
        <v>186.12500695569855</v>
      </c>
      <c r="O223" s="172">
        <f t="shared" si="599"/>
        <v>7.1400000000000006</v>
      </c>
      <c r="P223" s="217">
        <f t="shared" si="609"/>
        <v>1.0948529820923445</v>
      </c>
      <c r="Q223" s="217">
        <f t="shared" si="610"/>
        <v>170</v>
      </c>
      <c r="R223" s="217"/>
      <c r="S223" s="172">
        <f t="shared" si="611"/>
        <v>12017.918355050562</v>
      </c>
      <c r="T223" s="172">
        <f t="shared" si="612"/>
        <v>170</v>
      </c>
      <c r="U223" s="217">
        <f t="shared" si="613"/>
        <v>2.602030598259554</v>
      </c>
      <c r="V223" s="217">
        <f t="shared" si="614"/>
        <v>8.3752657615491125E-2</v>
      </c>
      <c r="W223" s="217">
        <f t="shared" si="615"/>
        <v>0.15260282811457704</v>
      </c>
      <c r="X223" s="197">
        <f t="shared" si="616"/>
        <v>350</v>
      </c>
      <c r="Y223" s="443">
        <f t="shared" si="680"/>
        <v>350</v>
      </c>
      <c r="AA223" s="217">
        <f t="shared" si="617"/>
        <v>31.454201771203781</v>
      </c>
      <c r="AB223" s="173">
        <f t="shared" si="618"/>
        <v>1.8447131826900338</v>
      </c>
      <c r="AC223" s="173">
        <f t="shared" si="619"/>
        <v>0.50770983076040344</v>
      </c>
      <c r="AD223" s="173"/>
      <c r="AE223" s="173">
        <f t="shared" si="620"/>
        <v>0.78196788931767369</v>
      </c>
      <c r="AF223" s="545">
        <f t="shared" si="621"/>
        <v>161.13193613352149</v>
      </c>
      <c r="AG223" s="528">
        <f t="shared" si="622"/>
        <v>9.1229587087061942E-2</v>
      </c>
      <c r="AI223" s="173">
        <f t="shared" si="623"/>
        <v>9.0468112037728172</v>
      </c>
      <c r="AJ223" s="173">
        <f t="shared" si="624"/>
        <v>13.333333333333334</v>
      </c>
      <c r="AK223" s="173">
        <f t="shared" si="625"/>
        <v>1.092075392076298</v>
      </c>
      <c r="AM223" s="545">
        <f t="shared" si="626"/>
        <v>42</v>
      </c>
      <c r="AN223" s="460">
        <f t="shared" si="627"/>
        <v>161.13193613352149</v>
      </c>
      <c r="AP223">
        <f t="shared" si="628"/>
        <v>42</v>
      </c>
      <c r="AQ223">
        <f t="shared" si="629"/>
        <v>161.13193613352149</v>
      </c>
      <c r="AS223" s="5">
        <f t="shared" si="600"/>
        <v>6.2060943596640765</v>
      </c>
      <c r="AT223" s="5">
        <f t="shared" si="630"/>
        <v>0.42916563021465676</v>
      </c>
      <c r="AU223" s="5">
        <f t="shared" si="478"/>
        <v>5.7769287294494198</v>
      </c>
      <c r="AV223" s="5"/>
      <c r="AW223" s="173">
        <f t="shared" si="479"/>
        <v>6.9152288918450572E-2</v>
      </c>
      <c r="AX223" s="173">
        <f t="shared" si="631"/>
        <v>7.161419383712067</v>
      </c>
      <c r="AY223" s="173">
        <f t="shared" si="632"/>
        <v>0.31028257036051649</v>
      </c>
      <c r="AZ223" s="173">
        <f t="shared" si="633"/>
        <v>23.080314744689762</v>
      </c>
      <c r="BA223" s="460">
        <f t="shared" si="594"/>
        <v>1.0602915570009168E-2</v>
      </c>
      <c r="BB223" s="5">
        <f t="shared" si="595"/>
        <v>4.2484586660155967</v>
      </c>
      <c r="BD223" s="173">
        <f t="shared" si="681"/>
        <v>2.0243303627100158</v>
      </c>
      <c r="BE223" s="173">
        <f t="shared" si="682"/>
        <v>0.37135342277226158</v>
      </c>
      <c r="BG223" s="528">
        <f t="shared" si="683"/>
        <v>0.16391653669558656</v>
      </c>
      <c r="BH223" s="528">
        <f t="shared" si="634"/>
        <v>1.1630269845911283</v>
      </c>
      <c r="BI223" s="528">
        <f t="shared" si="635"/>
        <v>0.10012105648064303</v>
      </c>
      <c r="BJ223" s="528">
        <f t="shared" si="684"/>
        <v>1.8654578620401527E-2</v>
      </c>
      <c r="BK223">
        <f t="shared" si="685"/>
        <v>6.9903081439664297E-3</v>
      </c>
      <c r="BL223" s="460">
        <f t="shared" si="686"/>
        <v>107.11136462460946</v>
      </c>
      <c r="BM223" s="528">
        <f t="shared" si="636"/>
        <v>1.4461792863489962</v>
      </c>
      <c r="BN223" s="460">
        <f t="shared" si="687"/>
        <v>1446.1792863489961</v>
      </c>
      <c r="BO223" s="528">
        <f t="shared" si="637"/>
        <v>2.9399999999999999E-2</v>
      </c>
      <c r="BR223" s="460">
        <f t="shared" si="688"/>
        <v>29.4</v>
      </c>
      <c r="BS223" s="528">
        <f t="shared" si="689"/>
        <v>0.12293740252168993</v>
      </c>
      <c r="BT223" s="528">
        <f t="shared" si="690"/>
        <v>4.1371009381402212E-3</v>
      </c>
      <c r="BU223" s="528">
        <f t="shared" si="691"/>
        <v>10.697219558015561</v>
      </c>
      <c r="BV223" s="528"/>
      <c r="BW223" s="528">
        <f t="shared" si="692"/>
        <v>0.71614193837120665</v>
      </c>
      <c r="BX223" s="460">
        <f t="shared" si="693"/>
        <v>11540.435999846599</v>
      </c>
      <c r="BY223" s="173">
        <f t="shared" si="694"/>
        <v>13.022545464378323</v>
      </c>
      <c r="BZ223" s="5">
        <f t="shared" si="695"/>
        <v>7.1400000000000006</v>
      </c>
      <c r="CA223" s="173">
        <f t="shared" si="696"/>
        <v>0.35412195412600145</v>
      </c>
      <c r="CB223" s="5">
        <f t="shared" si="697"/>
        <v>35.412195412600141</v>
      </c>
      <c r="CE223" s="562">
        <f t="shared" si="638"/>
        <v>-50</v>
      </c>
      <c r="CF223">
        <f t="shared" si="639"/>
        <v>-50</v>
      </c>
      <c r="CG223" s="173">
        <f t="shared" si="640"/>
        <v>0.12618515807196604</v>
      </c>
      <c r="CI223" s="170">
        <v>7</v>
      </c>
      <c r="CJ223" s="217">
        <f t="shared" si="698"/>
        <v>4.2000000000000003E-2</v>
      </c>
      <c r="CK223" s="217"/>
      <c r="CL223" s="217">
        <f t="shared" si="641"/>
        <v>7.1400000000000006</v>
      </c>
      <c r="CM223" s="541">
        <f t="shared" si="642"/>
        <v>16</v>
      </c>
      <c r="CN223" s="443">
        <f t="shared" si="643"/>
        <v>8.5250000000000004</v>
      </c>
      <c r="CO223" s="443">
        <f t="shared" si="644"/>
        <v>24.524999999999999</v>
      </c>
      <c r="CP223" s="443"/>
      <c r="CQ223" s="217">
        <f t="shared" si="645"/>
        <v>0.34760448521916415</v>
      </c>
      <c r="CR223" s="172">
        <f t="shared" si="646"/>
        <v>188.05866123003739</v>
      </c>
      <c r="CS223" s="172">
        <f t="shared" si="647"/>
        <v>7.1400000000000006</v>
      </c>
      <c r="CT223" s="217">
        <f t="shared" si="648"/>
        <v>1.1062274190002199</v>
      </c>
      <c r="CU223" s="217">
        <f t="shared" si="649"/>
        <v>170</v>
      </c>
      <c r="CV223" s="217"/>
      <c r="CW223" s="172">
        <f t="shared" si="650"/>
        <v>12378.425623605472</v>
      </c>
      <c r="CX223" s="172">
        <f t="shared" si="651"/>
        <v>170</v>
      </c>
      <c r="CY223" s="217">
        <f t="shared" si="652"/>
        <v>2.567573313782991</v>
      </c>
      <c r="CZ223" s="217">
        <f t="shared" si="653"/>
        <v>8.0236666055718456E-2</v>
      </c>
      <c r="DA223" s="217">
        <f t="shared" si="654"/>
        <v>0.15059081019255077</v>
      </c>
      <c r="DB223" s="197">
        <f t="shared" si="655"/>
        <v>350</v>
      </c>
      <c r="DC223" s="443">
        <f t="shared" si="656"/>
        <v>350</v>
      </c>
      <c r="DE223" s="217">
        <f t="shared" si="657"/>
        <v>31.780981505752148</v>
      </c>
      <c r="DF223" s="173">
        <f t="shared" si="658"/>
        <v>1.8639871850881022</v>
      </c>
      <c r="DG223" s="173">
        <f t="shared" si="659"/>
        <v>0.51834424474213492</v>
      </c>
      <c r="DH223" s="173"/>
      <c r="DI223" s="173">
        <f t="shared" si="660"/>
        <v>0.78201368523949166</v>
      </c>
      <c r="DJ223" s="545">
        <f t="shared" si="661"/>
        <v>161.1225</v>
      </c>
      <c r="DK223" s="528">
        <f t="shared" si="662"/>
        <v>9.1234929944607357E-2</v>
      </c>
      <c r="DM223" s="173">
        <f t="shared" si="663"/>
        <v>9.0465463023189141</v>
      </c>
      <c r="DN223" s="173">
        <f t="shared" si="664"/>
        <v>13.333333333333334</v>
      </c>
      <c r="DO223" s="173">
        <f t="shared" si="665"/>
        <v>1.0920700000000001</v>
      </c>
      <c r="DQ223" s="545">
        <f t="shared" si="666"/>
        <v>42</v>
      </c>
      <c r="DR223" s="460">
        <f t="shared" si="667"/>
        <v>161.1225</v>
      </c>
      <c r="DT223">
        <f t="shared" si="668"/>
        <v>42</v>
      </c>
      <c r="DU223">
        <f t="shared" si="669"/>
        <v>161.1225</v>
      </c>
      <c r="DW223" s="5">
        <f t="shared" si="670"/>
        <v>6.2064578193610451</v>
      </c>
      <c r="DX223" s="5">
        <f t="shared" si="671"/>
        <v>0.41666666666666669</v>
      </c>
      <c r="DY223" s="5">
        <f t="shared" si="672"/>
        <v>5.7897911526943782</v>
      </c>
      <c r="DZ223" s="5"/>
      <c r="EA223" s="173">
        <f t="shared" si="673"/>
        <v>6.713437500000001E-2</v>
      </c>
      <c r="EB223" s="173">
        <f t="shared" si="699"/>
        <v>7.1610000000000005</v>
      </c>
      <c r="EC223" s="173">
        <f t="shared" si="700"/>
        <v>0.3109552083333334</v>
      </c>
      <c r="ED223" s="173">
        <f t="shared" si="701"/>
        <v>23.029040222164898</v>
      </c>
      <c r="EE223" s="460">
        <f t="shared" si="674"/>
        <v>1.0294117647058825E-2</v>
      </c>
      <c r="EF223" s="5">
        <f t="shared" si="675"/>
        <v>4.1339108830237858</v>
      </c>
      <c r="EH223" s="173">
        <f t="shared" si="702"/>
        <v>1.9945759783305659</v>
      </c>
      <c r="EI223" s="173">
        <f t="shared" si="703"/>
        <v>0.37175571927653628</v>
      </c>
      <c r="EK223" s="528">
        <f t="shared" si="704"/>
        <v>0.15913333333333335</v>
      </c>
      <c r="EL223" s="528">
        <f t="shared" si="705"/>
        <v>1.44889408125</v>
      </c>
      <c r="EM223" s="528">
        <f t="shared" si="706"/>
        <v>3.2224499999999996E-2</v>
      </c>
      <c r="EN223" s="528">
        <f t="shared" si="707"/>
        <v>1.9382251277812498E-2</v>
      </c>
      <c r="EO223">
        <f t="shared" si="708"/>
        <v>7.1999999999999998E-3</v>
      </c>
      <c r="EP223" s="460">
        <f t="shared" si="709"/>
        <v>39.424499999999995</v>
      </c>
      <c r="EQ223" s="460"/>
      <c r="ER223" s="460">
        <f t="shared" si="710"/>
        <v>1666.8341658611462</v>
      </c>
      <c r="ES223" s="528">
        <f t="shared" si="711"/>
        <v>2.9399999999999999E-2</v>
      </c>
      <c r="EV223" s="460">
        <f t="shared" si="712"/>
        <v>29.4</v>
      </c>
      <c r="EW223" s="528">
        <f t="shared" si="713"/>
        <v>0.11935000000000001</v>
      </c>
      <c r="EX223" s="528">
        <f t="shared" si="714"/>
        <v>4.1460694444444453E-3</v>
      </c>
      <c r="EY223" s="528">
        <f t="shared" si="715"/>
        <v>10.695653512805897</v>
      </c>
      <c r="EZ223" s="528"/>
      <c r="FA223" s="528">
        <f t="shared" si="716"/>
        <v>0.71610000000000007</v>
      </c>
      <c r="FB223" s="460">
        <f t="shared" si="717"/>
        <v>11535.249582250342</v>
      </c>
      <c r="FC223" s="173">
        <f t="shared" si="718"/>
        <v>13.231483748111488</v>
      </c>
      <c r="FD223" s="5">
        <f t="shared" si="719"/>
        <v>7.1400000000000006</v>
      </c>
      <c r="FE223" s="173">
        <f t="shared" si="720"/>
        <v>0.35048993427697211</v>
      </c>
      <c r="FF223" s="5">
        <f t="shared" si="721"/>
        <v>35.048993427697212</v>
      </c>
      <c r="FI223" s="562">
        <f t="shared" si="676"/>
        <v>-50</v>
      </c>
      <c r="FJ223">
        <f t="shared" si="677"/>
        <v>-50</v>
      </c>
      <c r="FL223">
        <f t="shared" si="678"/>
        <v>0.126</v>
      </c>
    </row>
    <row r="224" spans="5:168">
      <c r="E224" s="170">
        <v>8</v>
      </c>
      <c r="F224" s="217">
        <f t="shared" si="679"/>
        <v>4.8000000000000001E-2</v>
      </c>
      <c r="G224" s="217"/>
      <c r="H224" s="217">
        <f t="shared" si="603"/>
        <v>8.16</v>
      </c>
      <c r="I224" s="541">
        <f t="shared" si="604"/>
        <v>15.534018097703177</v>
      </c>
      <c r="J224" s="172">
        <f t="shared" si="605"/>
        <v>8.5254992663238891</v>
      </c>
      <c r="K224" s="172">
        <f t="shared" si="606"/>
        <v>24.059517364027066</v>
      </c>
      <c r="L224" s="443"/>
      <c r="M224" s="217">
        <f t="shared" si="607"/>
        <v>0.35435040574706606</v>
      </c>
      <c r="N224" s="172">
        <f t="shared" si="608"/>
        <v>186.12500695569855</v>
      </c>
      <c r="O224" s="172">
        <f t="shared" si="599"/>
        <v>8.16</v>
      </c>
      <c r="P224" s="217">
        <f t="shared" si="609"/>
        <v>1.0948529820923445</v>
      </c>
      <c r="Q224" s="217">
        <f t="shared" si="610"/>
        <v>170</v>
      </c>
      <c r="R224" s="217"/>
      <c r="S224" s="172">
        <f t="shared" si="611"/>
        <v>10476.847032184931</v>
      </c>
      <c r="T224" s="172">
        <f t="shared" si="612"/>
        <v>170</v>
      </c>
      <c r="U224" s="217">
        <f t="shared" si="613"/>
        <v>2.9737492551537761</v>
      </c>
      <c r="V224" s="217">
        <f t="shared" si="614"/>
        <v>9.5717322989132714E-2</v>
      </c>
      <c r="W224" s="217">
        <f t="shared" si="615"/>
        <v>0.17440323213094519</v>
      </c>
      <c r="X224" s="197">
        <f t="shared" si="616"/>
        <v>350</v>
      </c>
      <c r="Y224" s="443">
        <f t="shared" si="680"/>
        <v>350</v>
      </c>
      <c r="AA224" s="217">
        <f t="shared" si="617"/>
        <v>31.454201771203781</v>
      </c>
      <c r="AB224" s="173">
        <f t="shared" si="618"/>
        <v>1.8447131826900338</v>
      </c>
      <c r="AC224" s="173">
        <f t="shared" si="619"/>
        <v>0.50770983076040344</v>
      </c>
      <c r="AD224" s="173"/>
      <c r="AE224" s="173">
        <f t="shared" si="620"/>
        <v>0.78196788931767369</v>
      </c>
      <c r="AF224" s="545">
        <f t="shared" si="621"/>
        <v>184.15078415259597</v>
      </c>
      <c r="AG224" s="528">
        <f t="shared" si="622"/>
        <v>9.1229587087061942E-2</v>
      </c>
      <c r="AI224" s="173">
        <f t="shared" si="623"/>
        <v>9.6714479906702309</v>
      </c>
      <c r="AJ224" s="173">
        <f t="shared" si="624"/>
        <v>13.333333333333334</v>
      </c>
      <c r="AK224" s="173">
        <f t="shared" si="625"/>
        <v>1.105229019515769</v>
      </c>
      <c r="AM224" s="545">
        <f t="shared" si="626"/>
        <v>48</v>
      </c>
      <c r="AN224" s="460">
        <f t="shared" si="627"/>
        <v>184.15078415259597</v>
      </c>
      <c r="AP224">
        <f t="shared" si="628"/>
        <v>48</v>
      </c>
      <c r="AQ224">
        <f t="shared" si="629"/>
        <v>184.15078415259597</v>
      </c>
      <c r="AS224" s="5">
        <f t="shared" si="600"/>
        <v>5.4303325647060676</v>
      </c>
      <c r="AT224" s="5">
        <f t="shared" si="630"/>
        <v>0.42916563021465676</v>
      </c>
      <c r="AU224" s="5">
        <f t="shared" si="478"/>
        <v>5.0011669344914109</v>
      </c>
      <c r="AV224" s="5"/>
      <c r="AW224" s="173">
        <f t="shared" si="479"/>
        <v>7.903118733537208E-2</v>
      </c>
      <c r="AX224" s="173">
        <f t="shared" si="631"/>
        <v>8.1844792956709327</v>
      </c>
      <c r="AY224" s="173">
        <f t="shared" si="632"/>
        <v>0.3069896042215427</v>
      </c>
      <c r="AZ224" s="173">
        <f t="shared" si="633"/>
        <v>26.6604444682254</v>
      </c>
      <c r="BA224" s="460">
        <f t="shared" si="594"/>
        <v>1.211761779429619E-2</v>
      </c>
      <c r="BB224" s="5">
        <f t="shared" si="595"/>
        <v>4.2033706337946306</v>
      </c>
      <c r="BD224" s="173">
        <f t="shared" si="681"/>
        <v>2.1641001871156291</v>
      </c>
      <c r="BE224" s="173">
        <f t="shared" si="682"/>
        <v>0.36937761721369017</v>
      </c>
      <c r="BG224" s="528">
        <f t="shared" si="683"/>
        <v>0.18733318479495606</v>
      </c>
      <c r="BH224" s="528">
        <f t="shared" si="634"/>
        <v>1.3291736966755749</v>
      </c>
      <c r="BI224" s="528">
        <f t="shared" si="635"/>
        <v>0.1144240645493063</v>
      </c>
      <c r="BJ224" s="528">
        <f t="shared" si="684"/>
        <v>2.1319518423316031E-2</v>
      </c>
      <c r="BK224">
        <f t="shared" si="685"/>
        <v>6.9903081439664297E-3</v>
      </c>
      <c r="BL224" s="460">
        <f t="shared" si="686"/>
        <v>121.41437269327274</v>
      </c>
      <c r="BM224" s="528">
        <f t="shared" si="636"/>
        <v>1.6624004082491901</v>
      </c>
      <c r="BN224" s="460">
        <f t="shared" si="687"/>
        <v>1662.4004082491901</v>
      </c>
      <c r="BO224" s="528">
        <f t="shared" si="637"/>
        <v>3.3599999999999998E-2</v>
      </c>
      <c r="BR224" s="460">
        <f t="shared" si="688"/>
        <v>33.6</v>
      </c>
      <c r="BS224" s="528">
        <f t="shared" si="689"/>
        <v>0.14049988859621704</v>
      </c>
      <c r="BT224" s="528">
        <f t="shared" si="690"/>
        <v>4.0931947229539021E-3</v>
      </c>
      <c r="BU224" s="528">
        <f t="shared" si="691"/>
        <v>14.93656651277124</v>
      </c>
      <c r="BV224" s="528"/>
      <c r="BW224" s="528">
        <f t="shared" si="692"/>
        <v>0.81844792956709334</v>
      </c>
      <c r="BX224" s="460">
        <f t="shared" si="693"/>
        <v>15899.607525657502</v>
      </c>
      <c r="BY224" s="173">
        <f t="shared" si="694"/>
        <v>17.592448298244623</v>
      </c>
      <c r="BZ224" s="5">
        <f t="shared" si="695"/>
        <v>8.16</v>
      </c>
      <c r="CA224" s="173">
        <f t="shared" si="696"/>
        <v>0.31686307668681796</v>
      </c>
      <c r="CB224" s="5">
        <f t="shared" si="697"/>
        <v>31.686307668681795</v>
      </c>
      <c r="CE224" s="562">
        <f t="shared" si="638"/>
        <v>-50</v>
      </c>
      <c r="CF224">
        <f t="shared" si="639"/>
        <v>-50</v>
      </c>
      <c r="CG224" s="173">
        <f t="shared" si="640"/>
        <v>0.14421160922510404</v>
      </c>
      <c r="CI224" s="170">
        <v>8</v>
      </c>
      <c r="CJ224" s="217">
        <f t="shared" si="698"/>
        <v>4.8000000000000001E-2</v>
      </c>
      <c r="CK224" s="217"/>
      <c r="CL224" s="217">
        <f t="shared" si="641"/>
        <v>8.16</v>
      </c>
      <c r="CM224" s="541">
        <f t="shared" si="642"/>
        <v>16</v>
      </c>
      <c r="CN224" s="443">
        <f t="shared" si="643"/>
        <v>8.5250000000000004</v>
      </c>
      <c r="CO224" s="443">
        <f t="shared" si="644"/>
        <v>24.524999999999999</v>
      </c>
      <c r="CP224" s="443"/>
      <c r="CQ224" s="217">
        <f t="shared" si="645"/>
        <v>0.34760448521916415</v>
      </c>
      <c r="CR224" s="172">
        <f t="shared" si="646"/>
        <v>188.05866123003739</v>
      </c>
      <c r="CS224" s="172">
        <f t="shared" si="647"/>
        <v>8.16</v>
      </c>
      <c r="CT224" s="217">
        <f t="shared" si="648"/>
        <v>1.1062274190002199</v>
      </c>
      <c r="CU224" s="217">
        <f t="shared" si="649"/>
        <v>170</v>
      </c>
      <c r="CV224" s="217"/>
      <c r="CW224" s="172">
        <f t="shared" si="650"/>
        <v>10791.125937421895</v>
      </c>
      <c r="CX224" s="172">
        <f t="shared" si="651"/>
        <v>170</v>
      </c>
      <c r="CY224" s="217">
        <f t="shared" si="652"/>
        <v>2.9343695014662754</v>
      </c>
      <c r="CZ224" s="217">
        <f t="shared" si="653"/>
        <v>9.1699046920821092E-2</v>
      </c>
      <c r="DA224" s="217">
        <f t="shared" si="654"/>
        <v>0.17210378307720089</v>
      </c>
      <c r="DB224" s="197">
        <f t="shared" si="655"/>
        <v>350</v>
      </c>
      <c r="DC224" s="443">
        <f t="shared" si="656"/>
        <v>350</v>
      </c>
      <c r="DE224" s="217">
        <f t="shared" si="657"/>
        <v>31.780981505752148</v>
      </c>
      <c r="DF224" s="173">
        <f t="shared" si="658"/>
        <v>1.8639871850881022</v>
      </c>
      <c r="DG224" s="173">
        <f t="shared" si="659"/>
        <v>0.51834424474213492</v>
      </c>
      <c r="DH224" s="173"/>
      <c r="DI224" s="173">
        <f t="shared" si="660"/>
        <v>0.78201368523949166</v>
      </c>
      <c r="DJ224" s="545">
        <f t="shared" si="661"/>
        <v>184.14</v>
      </c>
      <c r="DK224" s="528">
        <f t="shared" si="662"/>
        <v>9.1234929944607357E-2</v>
      </c>
      <c r="DM224" s="173">
        <f t="shared" si="663"/>
        <v>9.6711647991040142</v>
      </c>
      <c r="DN224" s="173">
        <f t="shared" si="664"/>
        <v>13.333333333333334</v>
      </c>
      <c r="DO224" s="173">
        <f t="shared" si="665"/>
        <v>1.1052228571428571</v>
      </c>
      <c r="DQ224" s="545">
        <f t="shared" si="666"/>
        <v>48</v>
      </c>
      <c r="DR224" s="460">
        <f t="shared" si="667"/>
        <v>184.14</v>
      </c>
      <c r="DT224">
        <f t="shared" si="668"/>
        <v>48</v>
      </c>
      <c r="DU224">
        <f t="shared" si="669"/>
        <v>184.14</v>
      </c>
      <c r="DW224" s="5">
        <f t="shared" si="670"/>
        <v>5.4306505919409149</v>
      </c>
      <c r="DX224" s="5">
        <f t="shared" si="671"/>
        <v>0.41666666666666669</v>
      </c>
      <c r="DY224" s="5">
        <f t="shared" si="672"/>
        <v>5.013983925274248</v>
      </c>
      <c r="DZ224" s="5"/>
      <c r="EA224" s="173">
        <f t="shared" si="673"/>
        <v>7.6725000000000002E-2</v>
      </c>
      <c r="EB224" s="173">
        <f t="shared" si="699"/>
        <v>8.1840000000000011</v>
      </c>
      <c r="EC224" s="173">
        <f t="shared" si="700"/>
        <v>0.30775833333333336</v>
      </c>
      <c r="ED224" s="173">
        <f t="shared" si="701"/>
        <v>26.592293736968944</v>
      </c>
      <c r="EE224" s="460">
        <f t="shared" si="674"/>
        <v>1.1764705882352941E-2</v>
      </c>
      <c r="EF224" s="5">
        <f t="shared" si="675"/>
        <v>4.0914108830237863</v>
      </c>
      <c r="EH224" s="173">
        <f t="shared" si="702"/>
        <v>2.1322914122292635</v>
      </c>
      <c r="EI224" s="173">
        <f t="shared" si="703"/>
        <v>0.36983980516093923</v>
      </c>
      <c r="EK224" s="528">
        <f t="shared" si="704"/>
        <v>0.18186666666666668</v>
      </c>
      <c r="EL224" s="528">
        <f t="shared" si="705"/>
        <v>1.6558789500000002</v>
      </c>
      <c r="EM224" s="528">
        <f t="shared" si="706"/>
        <v>3.6827999999999993E-2</v>
      </c>
      <c r="EN224" s="528">
        <f t="shared" si="707"/>
        <v>2.2151144317499996E-2</v>
      </c>
      <c r="EO224">
        <f t="shared" si="708"/>
        <v>7.1999999999999998E-3</v>
      </c>
      <c r="EP224" s="460">
        <f t="shared" si="709"/>
        <v>44.027999999999992</v>
      </c>
      <c r="EQ224" s="460"/>
      <c r="ER224" s="460">
        <f t="shared" si="710"/>
        <v>1903.9247609841671</v>
      </c>
      <c r="ES224" s="528">
        <f t="shared" si="711"/>
        <v>3.3599999999999998E-2</v>
      </c>
      <c r="EV224" s="460">
        <f t="shared" si="712"/>
        <v>33.6</v>
      </c>
      <c r="EW224" s="528">
        <f t="shared" si="713"/>
        <v>0.13639999999999999</v>
      </c>
      <c r="EX224" s="528">
        <f t="shared" si="714"/>
        <v>4.1034444444444452E-3</v>
      </c>
      <c r="EY224" s="528">
        <f t="shared" si="715"/>
        <v>14.934379838158312</v>
      </c>
      <c r="EZ224" s="528"/>
      <c r="FA224" s="528">
        <f t="shared" si="716"/>
        <v>0.81840000000000002</v>
      </c>
      <c r="FB224" s="460">
        <f t="shared" si="717"/>
        <v>15893.283282602757</v>
      </c>
      <c r="FC224" s="173">
        <f t="shared" si="718"/>
        <v>17.830808043586924</v>
      </c>
      <c r="FD224" s="5">
        <f t="shared" si="719"/>
        <v>8.16</v>
      </c>
      <c r="FE224" s="173">
        <f t="shared" si="720"/>
        <v>0.31395714924736368</v>
      </c>
      <c r="FF224" s="5">
        <f t="shared" si="721"/>
        <v>31.395714924736367</v>
      </c>
      <c r="FI224" s="562">
        <f t="shared" si="676"/>
        <v>-50</v>
      </c>
      <c r="FJ224">
        <f t="shared" si="677"/>
        <v>-50</v>
      </c>
      <c r="FL224">
        <f t="shared" si="678"/>
        <v>0.14399999999999999</v>
      </c>
    </row>
    <row r="225" spans="5:168">
      <c r="E225" s="170">
        <v>9</v>
      </c>
      <c r="F225" s="217">
        <f t="shared" si="679"/>
        <v>5.3999999999999999E-2</v>
      </c>
      <c r="G225" s="217"/>
      <c r="H225" s="217">
        <f t="shared" si="603"/>
        <v>9.18</v>
      </c>
      <c r="I225" s="541">
        <f t="shared" si="604"/>
        <v>15.534018097703177</v>
      </c>
      <c r="J225" s="172">
        <f t="shared" si="605"/>
        <v>8.5254992663238891</v>
      </c>
      <c r="K225" s="172">
        <f t="shared" si="606"/>
        <v>24.059517364027066</v>
      </c>
      <c r="L225" s="443"/>
      <c r="M225" s="217">
        <f t="shared" si="607"/>
        <v>0.35435040574706606</v>
      </c>
      <c r="N225" s="172">
        <f t="shared" si="608"/>
        <v>186.12500695569855</v>
      </c>
      <c r="O225" s="172">
        <f t="shared" si="599"/>
        <v>9.18</v>
      </c>
      <c r="P225" s="217">
        <f t="shared" si="609"/>
        <v>1.0948529820923445</v>
      </c>
      <c r="Q225" s="217">
        <f t="shared" si="610"/>
        <v>170</v>
      </c>
      <c r="R225" s="217"/>
      <c r="S225" s="172">
        <f t="shared" si="611"/>
        <v>9278.2364398796981</v>
      </c>
      <c r="T225" s="172">
        <f t="shared" si="612"/>
        <v>170</v>
      </c>
      <c r="U225" s="217">
        <f t="shared" si="613"/>
        <v>3.3454679120479982</v>
      </c>
      <c r="V225" s="217">
        <f t="shared" si="614"/>
        <v>0.1076819883627743</v>
      </c>
      <c r="W225" s="217">
        <f t="shared" si="615"/>
        <v>0.19620363614731332</v>
      </c>
      <c r="X225" s="197">
        <f t="shared" si="616"/>
        <v>350</v>
      </c>
      <c r="Y225" s="443">
        <f t="shared" si="680"/>
        <v>350</v>
      </c>
      <c r="AA225" s="217">
        <f t="shared" si="617"/>
        <v>31.454201771203781</v>
      </c>
      <c r="AB225" s="173">
        <f t="shared" si="618"/>
        <v>1.8447131826900338</v>
      </c>
      <c r="AC225" s="173">
        <f t="shared" si="619"/>
        <v>0.50770983076040344</v>
      </c>
      <c r="AD225" s="173"/>
      <c r="AE225" s="173">
        <f t="shared" si="620"/>
        <v>0.78196788931767369</v>
      </c>
      <c r="AF225" s="545">
        <f t="shared" si="621"/>
        <v>207.16963217167046</v>
      </c>
      <c r="AG225" s="528">
        <f t="shared" si="622"/>
        <v>9.1229587087061942E-2</v>
      </c>
      <c r="AI225" s="173">
        <f t="shared" si="623"/>
        <v>10.258119687143894</v>
      </c>
      <c r="AJ225" s="173">
        <f t="shared" si="624"/>
        <v>13.333333333333334</v>
      </c>
      <c r="AK225" s="173">
        <f t="shared" si="625"/>
        <v>1.1183826469552403</v>
      </c>
      <c r="AM225" s="545">
        <f t="shared" si="626"/>
        <v>54</v>
      </c>
      <c r="AN225" s="460">
        <f t="shared" si="627"/>
        <v>207.16963217167046</v>
      </c>
      <c r="AP225">
        <f t="shared" si="628"/>
        <v>54</v>
      </c>
      <c r="AQ225">
        <f t="shared" si="629"/>
        <v>207.16963217167046</v>
      </c>
      <c r="AS225" s="5">
        <f t="shared" si="600"/>
        <v>4.8269622797387273</v>
      </c>
      <c r="AT225" s="5">
        <f t="shared" si="630"/>
        <v>0.42916563021465676</v>
      </c>
      <c r="AU225" s="5">
        <f t="shared" si="478"/>
        <v>4.3977966495240706</v>
      </c>
      <c r="AV225" s="5"/>
      <c r="AW225" s="173">
        <f t="shared" si="479"/>
        <v>8.8910085752293574E-2</v>
      </c>
      <c r="AX225" s="173">
        <f t="shared" si="631"/>
        <v>9.2075392076297984</v>
      </c>
      <c r="AY225" s="173">
        <f t="shared" si="632"/>
        <v>0.30369663808256886</v>
      </c>
      <c r="AZ225" s="173">
        <f t="shared" si="633"/>
        <v>30.318212495742078</v>
      </c>
      <c r="BA225" s="460">
        <f t="shared" si="594"/>
        <v>1.3632320018583215E-2</v>
      </c>
      <c r="BB225" s="5">
        <f t="shared" si="595"/>
        <v>4.1582826015736645</v>
      </c>
      <c r="BD225" s="173">
        <f t="shared" si="681"/>
        <v>2.2953748762148063</v>
      </c>
      <c r="BE225" s="173">
        <f t="shared" si="682"/>
        <v>0.36739118605684162</v>
      </c>
      <c r="BG225" s="528">
        <f t="shared" si="683"/>
        <v>0.2107498328943255</v>
      </c>
      <c r="BH225" s="528">
        <f t="shared" si="634"/>
        <v>1.495320408760022</v>
      </c>
      <c r="BI225" s="528">
        <f t="shared" si="635"/>
        <v>0.12872707261796959</v>
      </c>
      <c r="BJ225" s="528">
        <f t="shared" si="684"/>
        <v>2.3984458226230528E-2</v>
      </c>
      <c r="BK225">
        <f t="shared" si="685"/>
        <v>6.9903081439664297E-3</v>
      </c>
      <c r="BL225" s="460">
        <f t="shared" si="686"/>
        <v>135.717380761936</v>
      </c>
      <c r="BM225" s="528">
        <f t="shared" si="636"/>
        <v>1.8811543807654374</v>
      </c>
      <c r="BN225" s="460">
        <f t="shared" si="687"/>
        <v>1881.1543807654375</v>
      </c>
      <c r="BO225" s="528">
        <f t="shared" si="637"/>
        <v>3.78E-2</v>
      </c>
      <c r="BR225" s="460">
        <f t="shared" si="688"/>
        <v>37.799999999999997</v>
      </c>
      <c r="BS225" s="528">
        <f t="shared" si="689"/>
        <v>0.1580623746707441</v>
      </c>
      <c r="BT225" s="528">
        <f t="shared" si="690"/>
        <v>4.0492885077675848E-3</v>
      </c>
      <c r="BU225" s="528">
        <f t="shared" si="691"/>
        <v>20.050817460346391</v>
      </c>
      <c r="BV225" s="528"/>
      <c r="BW225" s="528">
        <f t="shared" si="692"/>
        <v>0.9207539207629799</v>
      </c>
      <c r="BX225" s="460">
        <f t="shared" si="693"/>
        <v>21133.683044287882</v>
      </c>
      <c r="BY225" s="173">
        <f t="shared" si="694"/>
        <v>23.037255124930397</v>
      </c>
      <c r="BZ225" s="5">
        <f t="shared" si="695"/>
        <v>9.18</v>
      </c>
      <c r="CA225" s="173">
        <f t="shared" si="696"/>
        <v>0.28494047566753511</v>
      </c>
      <c r="CB225" s="5">
        <f t="shared" si="697"/>
        <v>28.494047566753512</v>
      </c>
      <c r="CE225" s="562">
        <f t="shared" si="638"/>
        <v>-50</v>
      </c>
      <c r="CF225">
        <f t="shared" si="639"/>
        <v>-50</v>
      </c>
      <c r="CG225" s="173">
        <f t="shared" si="640"/>
        <v>0.16223806037824204</v>
      </c>
      <c r="CI225" s="170">
        <v>9</v>
      </c>
      <c r="CJ225" s="217">
        <f t="shared" si="698"/>
        <v>5.3999999999999999E-2</v>
      </c>
      <c r="CK225" s="217"/>
      <c r="CL225" s="217">
        <f t="shared" si="641"/>
        <v>9.18</v>
      </c>
      <c r="CM225" s="541">
        <f t="shared" si="642"/>
        <v>16</v>
      </c>
      <c r="CN225" s="443">
        <f t="shared" si="643"/>
        <v>8.5250000000000004</v>
      </c>
      <c r="CO225" s="443">
        <f t="shared" si="644"/>
        <v>24.524999999999999</v>
      </c>
      <c r="CP225" s="443"/>
      <c r="CQ225" s="217">
        <f t="shared" si="645"/>
        <v>0.34760448521916415</v>
      </c>
      <c r="CR225" s="172">
        <f t="shared" si="646"/>
        <v>188.05866123003739</v>
      </c>
      <c r="CS225" s="172">
        <f t="shared" si="647"/>
        <v>9.18</v>
      </c>
      <c r="CT225" s="217">
        <f t="shared" si="648"/>
        <v>1.1062274190002199</v>
      </c>
      <c r="CU225" s="217">
        <f t="shared" si="649"/>
        <v>170</v>
      </c>
      <c r="CV225" s="217"/>
      <c r="CW225" s="172">
        <f t="shared" si="650"/>
        <v>9556.5599514268561</v>
      </c>
      <c r="CX225" s="172">
        <f t="shared" si="651"/>
        <v>170</v>
      </c>
      <c r="CY225" s="217">
        <f t="shared" si="652"/>
        <v>3.3011656891495598</v>
      </c>
      <c r="CZ225" s="217">
        <f t="shared" si="653"/>
        <v>0.10316142778592373</v>
      </c>
      <c r="DA225" s="217">
        <f t="shared" si="654"/>
        <v>0.19361675596185099</v>
      </c>
      <c r="DB225" s="197">
        <f t="shared" si="655"/>
        <v>350</v>
      </c>
      <c r="DC225" s="443">
        <f t="shared" si="656"/>
        <v>350</v>
      </c>
      <c r="DE225" s="217">
        <f t="shared" si="657"/>
        <v>31.780981505752148</v>
      </c>
      <c r="DF225" s="173">
        <f t="shared" si="658"/>
        <v>1.8639871850881022</v>
      </c>
      <c r="DG225" s="173">
        <f t="shared" si="659"/>
        <v>0.51834424474213492</v>
      </c>
      <c r="DH225" s="173"/>
      <c r="DI225" s="173">
        <f t="shared" si="660"/>
        <v>0.78201368523949166</v>
      </c>
      <c r="DJ225" s="545">
        <f t="shared" si="661"/>
        <v>207.1575</v>
      </c>
      <c r="DK225" s="528">
        <f t="shared" si="662"/>
        <v>9.1234929944607357E-2</v>
      </c>
      <c r="DM225" s="173">
        <f t="shared" si="663"/>
        <v>10.257819317128623</v>
      </c>
      <c r="DN225" s="173">
        <f t="shared" si="664"/>
        <v>13.333333333333334</v>
      </c>
      <c r="DO225" s="173">
        <f t="shared" si="665"/>
        <v>1.1183757142857143</v>
      </c>
      <c r="DQ225" s="545">
        <f t="shared" si="666"/>
        <v>54</v>
      </c>
      <c r="DR225" s="460">
        <f t="shared" si="667"/>
        <v>207.1575</v>
      </c>
      <c r="DT225">
        <f t="shared" si="668"/>
        <v>54</v>
      </c>
      <c r="DU225">
        <f t="shared" si="669"/>
        <v>207.1575</v>
      </c>
      <c r="DW225" s="5">
        <f t="shared" si="670"/>
        <v>4.8272449706141458</v>
      </c>
      <c r="DX225" s="5">
        <f t="shared" si="671"/>
        <v>0.41666666666666669</v>
      </c>
      <c r="DY225" s="5">
        <f t="shared" si="672"/>
        <v>4.4105783039474789</v>
      </c>
      <c r="DZ225" s="5"/>
      <c r="EA225" s="173">
        <f t="shared" si="673"/>
        <v>8.6315625000000007E-2</v>
      </c>
      <c r="EB225" s="173">
        <f t="shared" si="699"/>
        <v>9.2070000000000007</v>
      </c>
      <c r="EC225" s="173">
        <f t="shared" si="700"/>
        <v>0.30456145833333337</v>
      </c>
      <c r="ED225" s="173">
        <f t="shared" si="701"/>
        <v>30.23035170104556</v>
      </c>
      <c r="EE225" s="460">
        <f t="shared" si="674"/>
        <v>1.3235294117647057E-2</v>
      </c>
      <c r="EF225" s="5">
        <f t="shared" si="675"/>
        <v>4.048910883023785</v>
      </c>
      <c r="EH225" s="173">
        <f t="shared" si="702"/>
        <v>2.2616365755797285</v>
      </c>
      <c r="EI225" s="173">
        <f t="shared" si="703"/>
        <v>0.36791391404532142</v>
      </c>
      <c r="EK225" s="528">
        <f t="shared" si="704"/>
        <v>0.20460000000000006</v>
      </c>
      <c r="EL225" s="528">
        <f t="shared" si="705"/>
        <v>1.8628638187500002</v>
      </c>
      <c r="EM225" s="528">
        <f t="shared" si="706"/>
        <v>4.1431499999999996E-2</v>
      </c>
      <c r="EN225" s="528">
        <f t="shared" si="707"/>
        <v>2.4920037357187494E-2</v>
      </c>
      <c r="EO225">
        <f t="shared" si="708"/>
        <v>7.1999999999999998E-3</v>
      </c>
      <c r="EP225" s="460">
        <f t="shared" si="709"/>
        <v>48.631499999999996</v>
      </c>
      <c r="EQ225" s="460"/>
      <c r="ER225" s="460">
        <f t="shared" si="710"/>
        <v>2141.0153561071875</v>
      </c>
      <c r="ES225" s="528">
        <f t="shared" si="711"/>
        <v>3.78E-2</v>
      </c>
      <c r="EV225" s="460">
        <f t="shared" si="712"/>
        <v>37.799999999999997</v>
      </c>
      <c r="EW225" s="528">
        <f t="shared" si="713"/>
        <v>0.15345000000000003</v>
      </c>
      <c r="EX225" s="528">
        <f t="shared" si="714"/>
        <v>4.060819444444445E-3</v>
      </c>
      <c r="EY225" s="528">
        <f t="shared" si="715"/>
        <v>20.04788207265398</v>
      </c>
      <c r="EZ225" s="528"/>
      <c r="FA225" s="528">
        <f t="shared" si="716"/>
        <v>0.92070000000000007</v>
      </c>
      <c r="FB225" s="460">
        <f t="shared" si="717"/>
        <v>21126.092892098422</v>
      </c>
      <c r="FC225" s="173">
        <f t="shared" si="718"/>
        <v>23.30490824820561</v>
      </c>
      <c r="FD225" s="5">
        <f t="shared" si="719"/>
        <v>9.18</v>
      </c>
      <c r="FE225" s="173">
        <f t="shared" si="720"/>
        <v>0.28259276368764502</v>
      </c>
      <c r="FF225" s="5">
        <f t="shared" si="721"/>
        <v>28.259276368764503</v>
      </c>
      <c r="FI225" s="562">
        <f t="shared" si="676"/>
        <v>-50</v>
      </c>
      <c r="FJ225">
        <f t="shared" si="677"/>
        <v>-50</v>
      </c>
      <c r="FL225">
        <f t="shared" si="678"/>
        <v>0.16199999999999998</v>
      </c>
    </row>
    <row r="226" spans="5:168">
      <c r="E226" s="170">
        <v>10</v>
      </c>
      <c r="F226" s="217">
        <f t="shared" si="679"/>
        <v>0.06</v>
      </c>
      <c r="G226" s="217"/>
      <c r="H226" s="217">
        <f t="shared" si="603"/>
        <v>10.199999999999999</v>
      </c>
      <c r="I226" s="541">
        <f t="shared" si="604"/>
        <v>15.534018097703177</v>
      </c>
      <c r="J226" s="172">
        <f t="shared" si="605"/>
        <v>8.5254992663238891</v>
      </c>
      <c r="K226" s="172">
        <f t="shared" si="606"/>
        <v>24.059517364027066</v>
      </c>
      <c r="L226" s="443"/>
      <c r="M226" s="217">
        <f t="shared" si="607"/>
        <v>0.35435040574706606</v>
      </c>
      <c r="N226" s="172">
        <f t="shared" si="608"/>
        <v>186.12500695569855</v>
      </c>
      <c r="O226" s="172">
        <f t="shared" si="599"/>
        <v>10.199999999999999</v>
      </c>
      <c r="P226" s="217">
        <f t="shared" si="609"/>
        <v>1.0948529820923445</v>
      </c>
      <c r="Q226" s="217">
        <f t="shared" si="610"/>
        <v>170</v>
      </c>
      <c r="R226" s="217"/>
      <c r="S226" s="172">
        <f t="shared" si="611"/>
        <v>8319.3483633605993</v>
      </c>
      <c r="T226" s="172">
        <f t="shared" si="612"/>
        <v>170</v>
      </c>
      <c r="U226" s="217">
        <f t="shared" si="613"/>
        <v>3.7171865689422199</v>
      </c>
      <c r="V226" s="217">
        <f t="shared" si="614"/>
        <v>0.11964665373641589</v>
      </c>
      <c r="W226" s="217">
        <f t="shared" si="615"/>
        <v>0.21800404016368144</v>
      </c>
      <c r="X226" s="197">
        <f t="shared" si="616"/>
        <v>350</v>
      </c>
      <c r="Y226" s="443">
        <f t="shared" si="680"/>
        <v>350</v>
      </c>
      <c r="AA226" s="217">
        <f t="shared" si="617"/>
        <v>31.454201771203781</v>
      </c>
      <c r="AB226" s="173">
        <f t="shared" si="618"/>
        <v>1.8447131826900338</v>
      </c>
      <c r="AC226" s="173">
        <f t="shared" si="619"/>
        <v>0.50770983076040344</v>
      </c>
      <c r="AD226" s="173"/>
      <c r="AE226" s="173">
        <f t="shared" si="620"/>
        <v>0.78196788931767369</v>
      </c>
      <c r="AF226" s="545">
        <f t="shared" si="621"/>
        <v>230.18848019074494</v>
      </c>
      <c r="AG226" s="528">
        <f t="shared" si="622"/>
        <v>9.1229587087061942E-2</v>
      </c>
      <c r="AI226" s="173">
        <f t="shared" si="623"/>
        <v>10.813007573996193</v>
      </c>
      <c r="AJ226" s="173">
        <f t="shared" si="624"/>
        <v>13.333333333333334</v>
      </c>
      <c r="AK226" s="173">
        <f t="shared" si="625"/>
        <v>1.1315362743947115</v>
      </c>
      <c r="AM226" s="545">
        <f t="shared" si="626"/>
        <v>60</v>
      </c>
      <c r="AN226" s="460">
        <f t="shared" si="627"/>
        <v>230.18848019074494</v>
      </c>
      <c r="AP226">
        <f t="shared" si="628"/>
        <v>60</v>
      </c>
      <c r="AQ226">
        <f t="shared" si="629"/>
        <v>230.18848019074494</v>
      </c>
      <c r="AS226" s="5">
        <f t="shared" si="600"/>
        <v>4.3442660517648548</v>
      </c>
      <c r="AT226" s="5">
        <f t="shared" si="630"/>
        <v>0.42916563021465676</v>
      </c>
      <c r="AU226" s="5">
        <f t="shared" si="478"/>
        <v>3.9151004215501981</v>
      </c>
      <c r="AV226" s="5"/>
      <c r="AW226" s="173">
        <f t="shared" si="479"/>
        <v>9.8788984169215083E-2</v>
      </c>
      <c r="AX226" s="173">
        <f t="shared" si="631"/>
        <v>10.230599119588666</v>
      </c>
      <c r="AY226" s="173">
        <f t="shared" si="632"/>
        <v>0.30040367194359502</v>
      </c>
      <c r="AZ226" s="173">
        <f t="shared" si="633"/>
        <v>34.056171994827025</v>
      </c>
      <c r="BA226" s="460">
        <f t="shared" si="594"/>
        <v>1.5147022242870237E-2</v>
      </c>
      <c r="BB226" s="5">
        <f t="shared" si="595"/>
        <v>4.1131945693526983</v>
      </c>
      <c r="BD226" s="173">
        <f t="shared" si="681"/>
        <v>2.4195375642552803</v>
      </c>
      <c r="BE226" s="173">
        <f t="shared" si="682"/>
        <v>0.36539395600644825</v>
      </c>
      <c r="BG226" s="528">
        <f t="shared" si="683"/>
        <v>0.234166480993695</v>
      </c>
      <c r="BH226" s="528">
        <f t="shared" si="634"/>
        <v>1.6614671208444685</v>
      </c>
      <c r="BI226" s="528">
        <f t="shared" si="635"/>
        <v>0.14303008068663284</v>
      </c>
      <c r="BJ226" s="528">
        <f t="shared" si="684"/>
        <v>2.6649398029145031E-2</v>
      </c>
      <c r="BK226">
        <f t="shared" si="685"/>
        <v>6.9903081439664297E-3</v>
      </c>
      <c r="BL226" s="460">
        <f t="shared" si="686"/>
        <v>150.02038883059927</v>
      </c>
      <c r="BM226" s="528">
        <f t="shared" si="636"/>
        <v>2.1024859714627966</v>
      </c>
      <c r="BN226" s="460">
        <f t="shared" si="687"/>
        <v>2102.4859714627964</v>
      </c>
      <c r="BO226" s="528">
        <f t="shared" si="637"/>
        <v>4.1999999999999996E-2</v>
      </c>
      <c r="BR226" s="460">
        <f t="shared" si="688"/>
        <v>41.999999999999993</v>
      </c>
      <c r="BS226" s="528">
        <f t="shared" si="689"/>
        <v>0.17562486074527123</v>
      </c>
      <c r="BT226" s="528">
        <f t="shared" si="690"/>
        <v>4.0053822925812674E-3</v>
      </c>
      <c r="BU226" s="528">
        <f t="shared" si="691"/>
        <v>26.093107869533949</v>
      </c>
      <c r="BV226" s="528"/>
      <c r="BW226" s="528">
        <f t="shared" si="692"/>
        <v>1.0230599119588666</v>
      </c>
      <c r="BX226" s="460">
        <f t="shared" si="693"/>
        <v>27295.798024530668</v>
      </c>
      <c r="BY226" s="173">
        <f t="shared" si="694"/>
        <v>29.410101413228578</v>
      </c>
      <c r="BZ226" s="5">
        <f t="shared" si="695"/>
        <v>10.199999999999999</v>
      </c>
      <c r="CA226" s="173">
        <f t="shared" si="696"/>
        <v>0.2575100703123549</v>
      </c>
      <c r="CB226" s="5">
        <f t="shared" si="697"/>
        <v>25.751007031235488</v>
      </c>
      <c r="CE226" s="562">
        <f t="shared" si="638"/>
        <v>-50</v>
      </c>
      <c r="CF226">
        <f t="shared" si="639"/>
        <v>-50</v>
      </c>
      <c r="CG226" s="173">
        <f t="shared" si="640"/>
        <v>0.18026451153138004</v>
      </c>
      <c r="CI226" s="170">
        <v>10</v>
      </c>
      <c r="CJ226" s="217">
        <f t="shared" si="698"/>
        <v>0.06</v>
      </c>
      <c r="CK226" s="217"/>
      <c r="CL226" s="217">
        <f t="shared" si="641"/>
        <v>10.199999999999999</v>
      </c>
      <c r="CM226" s="541">
        <f t="shared" si="642"/>
        <v>16</v>
      </c>
      <c r="CN226" s="443">
        <f t="shared" si="643"/>
        <v>8.5250000000000004</v>
      </c>
      <c r="CO226" s="443">
        <f t="shared" si="644"/>
        <v>24.524999999999999</v>
      </c>
      <c r="CP226" s="443"/>
      <c r="CQ226" s="217">
        <f t="shared" si="645"/>
        <v>0.34760448521916415</v>
      </c>
      <c r="CR226" s="172">
        <f t="shared" si="646"/>
        <v>188.05866123003739</v>
      </c>
      <c r="CS226" s="172">
        <f t="shared" si="647"/>
        <v>10.199999999999999</v>
      </c>
      <c r="CT226" s="217">
        <f t="shared" si="648"/>
        <v>1.1062274190002199</v>
      </c>
      <c r="CU226" s="217">
        <f t="shared" si="649"/>
        <v>170</v>
      </c>
      <c r="CV226" s="217"/>
      <c r="CW226" s="172">
        <f t="shared" si="650"/>
        <v>8568.9075599579101</v>
      </c>
      <c r="CX226" s="172">
        <f t="shared" si="651"/>
        <v>170</v>
      </c>
      <c r="CY226" s="217">
        <f t="shared" si="652"/>
        <v>3.6679618768328441</v>
      </c>
      <c r="CZ226" s="217">
        <f t="shared" si="653"/>
        <v>0.11462380865102638</v>
      </c>
      <c r="DA226" s="217">
        <f t="shared" si="654"/>
        <v>0.21512972884650111</v>
      </c>
      <c r="DB226" s="197">
        <f t="shared" si="655"/>
        <v>350</v>
      </c>
      <c r="DC226" s="443">
        <f t="shared" si="656"/>
        <v>350</v>
      </c>
      <c r="DE226" s="217">
        <f t="shared" si="657"/>
        <v>31.780981505752148</v>
      </c>
      <c r="DF226" s="173">
        <f t="shared" si="658"/>
        <v>1.8639871850881022</v>
      </c>
      <c r="DG226" s="173">
        <f t="shared" si="659"/>
        <v>0.51834424474213492</v>
      </c>
      <c r="DH226" s="173"/>
      <c r="DI226" s="173">
        <f t="shared" si="660"/>
        <v>0.78201368523949166</v>
      </c>
      <c r="DJ226" s="545">
        <f t="shared" si="661"/>
        <v>230.17500000000001</v>
      </c>
      <c r="DK226" s="528">
        <f t="shared" si="662"/>
        <v>9.1234929944607357E-2</v>
      </c>
      <c r="DM226" s="173">
        <f t="shared" si="663"/>
        <v>10.812690956199836</v>
      </c>
      <c r="DN226" s="173">
        <f t="shared" si="664"/>
        <v>13.333333333333334</v>
      </c>
      <c r="DO226" s="173">
        <f t="shared" si="665"/>
        <v>1.1315285714285714</v>
      </c>
      <c r="DQ226" s="545">
        <f t="shared" si="666"/>
        <v>60</v>
      </c>
      <c r="DR226" s="460">
        <f t="shared" si="667"/>
        <v>230.17500000000001</v>
      </c>
      <c r="DT226">
        <f t="shared" si="668"/>
        <v>60</v>
      </c>
      <c r="DU226">
        <f t="shared" si="669"/>
        <v>230.17500000000001</v>
      </c>
      <c r="DW226" s="5">
        <f t="shared" si="670"/>
        <v>4.3445204735527314</v>
      </c>
      <c r="DX226" s="5">
        <f t="shared" si="671"/>
        <v>0.41666666666666669</v>
      </c>
      <c r="DY226" s="5">
        <f t="shared" si="672"/>
        <v>3.9278538068860649</v>
      </c>
      <c r="DZ226" s="5"/>
      <c r="EA226" s="173">
        <f t="shared" si="673"/>
        <v>9.5906250000000012E-2</v>
      </c>
      <c r="EB226" s="173">
        <f t="shared" si="699"/>
        <v>10.23</v>
      </c>
      <c r="EC226" s="173">
        <f t="shared" si="700"/>
        <v>0.30136458333333338</v>
      </c>
      <c r="ED226" s="173">
        <f t="shared" si="701"/>
        <v>33.945594690816073</v>
      </c>
      <c r="EE226" s="460">
        <f t="shared" si="674"/>
        <v>1.4705882352941176E-2</v>
      </c>
      <c r="EF226" s="5">
        <f t="shared" si="675"/>
        <v>4.0064108830237855</v>
      </c>
      <c r="EH226" s="173">
        <f t="shared" si="702"/>
        <v>2.3839742727918303</v>
      </c>
      <c r="EI226" s="173">
        <f t="shared" si="703"/>
        <v>0.36597788842335116</v>
      </c>
      <c r="EK226" s="528">
        <f t="shared" si="704"/>
        <v>0.22733333333333344</v>
      </c>
      <c r="EL226" s="528">
        <f t="shared" si="705"/>
        <v>2.0698486875</v>
      </c>
      <c r="EM226" s="528">
        <f t="shared" si="706"/>
        <v>4.6035E-2</v>
      </c>
      <c r="EN226" s="528">
        <f t="shared" si="707"/>
        <v>2.7688930396874999E-2</v>
      </c>
      <c r="EO226">
        <f t="shared" si="708"/>
        <v>7.1999999999999998E-3</v>
      </c>
      <c r="EP226" s="460">
        <f t="shared" si="709"/>
        <v>53.234999999999999</v>
      </c>
      <c r="EQ226" s="460"/>
      <c r="ER226" s="460">
        <f t="shared" si="710"/>
        <v>2378.1059512302086</v>
      </c>
      <c r="ES226" s="528">
        <f t="shared" si="711"/>
        <v>4.1999999999999996E-2</v>
      </c>
      <c r="EV226" s="460">
        <f t="shared" si="712"/>
        <v>41.999999999999993</v>
      </c>
      <c r="EW226" s="528">
        <f t="shared" si="713"/>
        <v>0.17050000000000007</v>
      </c>
      <c r="EX226" s="528">
        <f t="shared" si="714"/>
        <v>4.0181944444444458E-3</v>
      </c>
      <c r="EY226" s="528">
        <f t="shared" si="715"/>
        <v>26.089287906190837</v>
      </c>
      <c r="EZ226" s="528"/>
      <c r="FA226" s="528">
        <f t="shared" si="716"/>
        <v>1.0230000000000004</v>
      </c>
      <c r="FB226" s="460">
        <f t="shared" si="717"/>
        <v>27286.80610063528</v>
      </c>
      <c r="FC226" s="173">
        <f t="shared" si="718"/>
        <v>29.706912051865491</v>
      </c>
      <c r="FD226" s="5">
        <f t="shared" si="719"/>
        <v>10.199999999999999</v>
      </c>
      <c r="FE226" s="173">
        <f t="shared" si="720"/>
        <v>0.25559481993353556</v>
      </c>
      <c r="FF226" s="5">
        <f t="shared" si="721"/>
        <v>25.559481993353554</v>
      </c>
      <c r="FI226" s="562">
        <f t="shared" si="676"/>
        <v>-50</v>
      </c>
      <c r="FJ226">
        <f t="shared" si="677"/>
        <v>-50</v>
      </c>
      <c r="FL226">
        <f t="shared" si="678"/>
        <v>0.17999999999999997</v>
      </c>
    </row>
    <row r="227" spans="5:168">
      <c r="E227" s="170">
        <v>11</v>
      </c>
      <c r="F227" s="217">
        <f t="shared" si="679"/>
        <v>6.6000000000000003E-2</v>
      </c>
      <c r="G227" s="217"/>
      <c r="H227" s="217">
        <f t="shared" si="603"/>
        <v>11.22</v>
      </c>
      <c r="I227" s="541">
        <f t="shared" si="604"/>
        <v>15.534018097703177</v>
      </c>
      <c r="J227" s="172">
        <f t="shared" si="605"/>
        <v>8.5254992663238891</v>
      </c>
      <c r="K227" s="172">
        <f t="shared" si="606"/>
        <v>24.059517364027066</v>
      </c>
      <c r="L227" s="443"/>
      <c r="M227" s="217">
        <f t="shared" si="607"/>
        <v>0.35435040574706606</v>
      </c>
      <c r="N227" s="172">
        <f t="shared" si="608"/>
        <v>186.12500695569855</v>
      </c>
      <c r="O227" s="172">
        <f t="shared" si="599"/>
        <v>11.22</v>
      </c>
      <c r="P227" s="217">
        <f t="shared" si="609"/>
        <v>1.0948529820923445</v>
      </c>
      <c r="Q227" s="217">
        <f t="shared" si="610"/>
        <v>170</v>
      </c>
      <c r="R227" s="217"/>
      <c r="S227" s="172">
        <f t="shared" si="611"/>
        <v>7534.8039387400504</v>
      </c>
      <c r="T227" s="172">
        <f t="shared" si="612"/>
        <v>170</v>
      </c>
      <c r="U227" s="217">
        <f t="shared" si="613"/>
        <v>4.0889052258364424</v>
      </c>
      <c r="V227" s="217">
        <f t="shared" si="614"/>
        <v>0.1316113191100575</v>
      </c>
      <c r="W227" s="217">
        <f t="shared" si="615"/>
        <v>0.23980444418004959</v>
      </c>
      <c r="X227" s="197">
        <f t="shared" si="616"/>
        <v>350</v>
      </c>
      <c r="Y227" s="443">
        <f t="shared" si="680"/>
        <v>350</v>
      </c>
      <c r="AA227" s="217">
        <f t="shared" si="617"/>
        <v>31.454201771203781</v>
      </c>
      <c r="AB227" s="173">
        <f t="shared" si="618"/>
        <v>1.8447131826900338</v>
      </c>
      <c r="AC227" s="173">
        <f t="shared" si="619"/>
        <v>0.50770983076040344</v>
      </c>
      <c r="AD227" s="173"/>
      <c r="AE227" s="173">
        <f t="shared" si="620"/>
        <v>0.78196788931767369</v>
      </c>
      <c r="AF227" s="545">
        <f t="shared" si="621"/>
        <v>253.20732820981948</v>
      </c>
      <c r="AG227" s="528">
        <f t="shared" si="622"/>
        <v>9.1229587087061942E-2</v>
      </c>
      <c r="AI227" s="173">
        <f t="shared" si="623"/>
        <v>11.340778018938073</v>
      </c>
      <c r="AJ227" s="173">
        <f t="shared" si="624"/>
        <v>13.333333333333334</v>
      </c>
      <c r="AK227" s="173">
        <f t="shared" si="625"/>
        <v>1.1446899018341825</v>
      </c>
      <c r="AM227" s="545">
        <f t="shared" si="626"/>
        <v>66</v>
      </c>
      <c r="AN227" s="460">
        <f t="shared" si="627"/>
        <v>253.20732820981948</v>
      </c>
      <c r="AP227">
        <f t="shared" si="628"/>
        <v>66</v>
      </c>
      <c r="AQ227">
        <f t="shared" si="629"/>
        <v>253.20732820981948</v>
      </c>
      <c r="AS227" s="5">
        <f t="shared" si="600"/>
        <v>3.9493327743316855</v>
      </c>
      <c r="AT227" s="5">
        <f t="shared" si="630"/>
        <v>0.42916563021465676</v>
      </c>
      <c r="AU227" s="5">
        <f t="shared" si="478"/>
        <v>3.5201671441170288</v>
      </c>
      <c r="AV227" s="5"/>
      <c r="AW227" s="173">
        <f t="shared" si="479"/>
        <v>0.1086678825861366</v>
      </c>
      <c r="AX227" s="173">
        <f t="shared" si="631"/>
        <v>11.253659031547533</v>
      </c>
      <c r="AY227" s="173">
        <f t="shared" si="632"/>
        <v>0.29711070580462118</v>
      </c>
      <c r="AZ227" s="173">
        <f t="shared" si="633"/>
        <v>37.876989323124207</v>
      </c>
      <c r="BA227" s="460">
        <f t="shared" si="594"/>
        <v>1.6661724467157264E-2</v>
      </c>
      <c r="BB227" s="5">
        <f t="shared" si="595"/>
        <v>4.0681065371317313</v>
      </c>
      <c r="BD227" s="173">
        <f t="shared" si="681"/>
        <v>2.5376324058709949</v>
      </c>
      <c r="BE227" s="173">
        <f t="shared" si="682"/>
        <v>0.36338574900487169</v>
      </c>
      <c r="BG227" s="528">
        <f t="shared" si="683"/>
        <v>0.25758312909306452</v>
      </c>
      <c r="BH227" s="528">
        <f t="shared" si="634"/>
        <v>1.8276138329289158</v>
      </c>
      <c r="BI227" s="528">
        <f t="shared" si="635"/>
        <v>0.15733308875529617</v>
      </c>
      <c r="BJ227" s="528">
        <f t="shared" si="684"/>
        <v>2.9314337832059539E-2</v>
      </c>
      <c r="BK227">
        <f t="shared" si="685"/>
        <v>6.9903081439664297E-3</v>
      </c>
      <c r="BL227" s="460">
        <f t="shared" si="686"/>
        <v>164.3233968992626</v>
      </c>
      <c r="BM227" s="528">
        <f t="shared" si="636"/>
        <v>2.3264410091677097</v>
      </c>
      <c r="BN227" s="460">
        <f t="shared" si="687"/>
        <v>2326.4410091677096</v>
      </c>
      <c r="BO227" s="528">
        <f t="shared" si="637"/>
        <v>4.6199999999999998E-2</v>
      </c>
      <c r="BR227" s="460">
        <f t="shared" si="688"/>
        <v>46.199999999999996</v>
      </c>
      <c r="BS227" s="528">
        <f t="shared" si="689"/>
        <v>0.19318734681979841</v>
      </c>
      <c r="BT227" s="528">
        <f t="shared" si="690"/>
        <v>3.9614760773949483E-3</v>
      </c>
      <c r="BU227" s="528">
        <f t="shared" si="691"/>
        <v>33.113685715888707</v>
      </c>
      <c r="BV227" s="528"/>
      <c r="BW227" s="528">
        <f t="shared" si="692"/>
        <v>1.1253659031547534</v>
      </c>
      <c r="BX227" s="460">
        <f t="shared" si="693"/>
        <v>34436.200441940651</v>
      </c>
      <c r="BY227" s="173">
        <f t="shared" si="694"/>
        <v>36.761235138693955</v>
      </c>
      <c r="BZ227" s="5">
        <f t="shared" si="695"/>
        <v>11.22</v>
      </c>
      <c r="CA227" s="173">
        <f t="shared" si="696"/>
        <v>0.2338414167031676</v>
      </c>
      <c r="CB227" s="5">
        <f t="shared" si="697"/>
        <v>23.384141670316762</v>
      </c>
      <c r="CE227" s="562">
        <f t="shared" si="638"/>
        <v>-50</v>
      </c>
      <c r="CF227">
        <f t="shared" si="639"/>
        <v>-50</v>
      </c>
      <c r="CG227" s="173">
        <f t="shared" si="640"/>
        <v>0.19829096268451804</v>
      </c>
      <c r="CI227" s="170">
        <v>11</v>
      </c>
      <c r="CJ227" s="217">
        <f t="shared" si="698"/>
        <v>6.6000000000000003E-2</v>
      </c>
      <c r="CK227" s="217"/>
      <c r="CL227" s="217">
        <f t="shared" si="641"/>
        <v>11.22</v>
      </c>
      <c r="CM227" s="541">
        <f t="shared" si="642"/>
        <v>16</v>
      </c>
      <c r="CN227" s="443">
        <f t="shared" si="643"/>
        <v>8.5250000000000004</v>
      </c>
      <c r="CO227" s="443">
        <f t="shared" si="644"/>
        <v>24.524999999999999</v>
      </c>
      <c r="CP227" s="443"/>
      <c r="CQ227" s="217">
        <f t="shared" si="645"/>
        <v>0.34760448521916415</v>
      </c>
      <c r="CR227" s="172">
        <f t="shared" si="646"/>
        <v>188.05866123003739</v>
      </c>
      <c r="CS227" s="172">
        <f t="shared" si="647"/>
        <v>11.22</v>
      </c>
      <c r="CT227" s="217">
        <f t="shared" si="648"/>
        <v>1.1062274190002199</v>
      </c>
      <c r="CU227" s="217">
        <f t="shared" si="649"/>
        <v>170</v>
      </c>
      <c r="CV227" s="217"/>
      <c r="CW227" s="172">
        <f t="shared" si="650"/>
        <v>7760.8286958350009</v>
      </c>
      <c r="CX227" s="172">
        <f t="shared" si="651"/>
        <v>170</v>
      </c>
      <c r="CY227" s="217">
        <f t="shared" si="652"/>
        <v>4.0347580645161285</v>
      </c>
      <c r="CZ227" s="217">
        <f t="shared" si="653"/>
        <v>0.12608618951612899</v>
      </c>
      <c r="DA227" s="217">
        <f t="shared" si="654"/>
        <v>0.23664270173115118</v>
      </c>
      <c r="DB227" s="197">
        <f t="shared" si="655"/>
        <v>350</v>
      </c>
      <c r="DC227" s="443">
        <f t="shared" si="656"/>
        <v>350</v>
      </c>
      <c r="DE227" s="217">
        <f t="shared" si="657"/>
        <v>31.780981505752148</v>
      </c>
      <c r="DF227" s="173">
        <f t="shared" si="658"/>
        <v>1.8639871850881022</v>
      </c>
      <c r="DG227" s="173">
        <f t="shared" si="659"/>
        <v>0.51834424474213492</v>
      </c>
      <c r="DH227" s="173"/>
      <c r="DI227" s="173">
        <f t="shared" si="660"/>
        <v>0.78201368523949166</v>
      </c>
      <c r="DJ227" s="545">
        <f t="shared" si="661"/>
        <v>253.1925</v>
      </c>
      <c r="DK227" s="528">
        <f t="shared" si="662"/>
        <v>9.1234929944607357E-2</v>
      </c>
      <c r="DM227" s="173">
        <f t="shared" si="663"/>
        <v>11.340445947391764</v>
      </c>
      <c r="DN227" s="173">
        <f t="shared" si="664"/>
        <v>13.333333333333334</v>
      </c>
      <c r="DO227" s="173">
        <f t="shared" si="665"/>
        <v>1.1446814285714286</v>
      </c>
      <c r="DQ227" s="545">
        <f t="shared" si="666"/>
        <v>66</v>
      </c>
      <c r="DR227" s="460">
        <f t="shared" si="667"/>
        <v>253.1925</v>
      </c>
      <c r="DT227">
        <f t="shared" si="668"/>
        <v>66</v>
      </c>
      <c r="DU227">
        <f t="shared" si="669"/>
        <v>253.1925</v>
      </c>
      <c r="DW227" s="5">
        <f t="shared" si="670"/>
        <v>3.9495640668661194</v>
      </c>
      <c r="DX227" s="5">
        <f t="shared" si="671"/>
        <v>0.41666666666666669</v>
      </c>
      <c r="DY227" s="5">
        <f t="shared" si="672"/>
        <v>3.5328974001994529</v>
      </c>
      <c r="DZ227" s="5"/>
      <c r="EA227" s="173">
        <f t="shared" si="673"/>
        <v>0.10549687500000002</v>
      </c>
      <c r="EB227" s="173">
        <f t="shared" si="699"/>
        <v>11.253</v>
      </c>
      <c r="EC227" s="173">
        <f t="shared" si="700"/>
        <v>0.29816770833333334</v>
      </c>
      <c r="ED227" s="173">
        <f t="shared" si="701"/>
        <v>37.740505378335037</v>
      </c>
      <c r="EE227" s="460">
        <f t="shared" si="674"/>
        <v>1.6176470588235296E-2</v>
      </c>
      <c r="EF227" s="5">
        <f t="shared" si="675"/>
        <v>3.9639108830237868</v>
      </c>
      <c r="EH227" s="173">
        <f t="shared" si="702"/>
        <v>2.500333311114074</v>
      </c>
      <c r="EI227" s="173">
        <f t="shared" si="703"/>
        <v>0.36403156660031766</v>
      </c>
      <c r="EK227" s="528">
        <f t="shared" si="704"/>
        <v>0.25006666666666677</v>
      </c>
      <c r="EL227" s="528">
        <f t="shared" si="705"/>
        <v>2.2768335562500002</v>
      </c>
      <c r="EM227" s="528">
        <f t="shared" si="706"/>
        <v>5.0638500000000003E-2</v>
      </c>
      <c r="EN227" s="528">
        <f t="shared" si="707"/>
        <v>3.0457823436562496E-2</v>
      </c>
      <c r="EO227">
        <f t="shared" si="708"/>
        <v>7.1999999999999998E-3</v>
      </c>
      <c r="EP227" s="460">
        <f t="shared" si="709"/>
        <v>57.838500000000003</v>
      </c>
      <c r="EQ227" s="460"/>
      <c r="ER227" s="460">
        <f t="shared" si="710"/>
        <v>2615.1965463532292</v>
      </c>
      <c r="ES227" s="528">
        <f t="shared" si="711"/>
        <v>4.6199999999999998E-2</v>
      </c>
      <c r="EV227" s="460">
        <f t="shared" si="712"/>
        <v>46.199999999999996</v>
      </c>
      <c r="EW227" s="528">
        <f t="shared" si="713"/>
        <v>0.18755000000000005</v>
      </c>
      <c r="EX227" s="528">
        <f t="shared" si="714"/>
        <v>3.9755694444444448E-3</v>
      </c>
      <c r="EY227" s="528">
        <f t="shared" si="715"/>
        <v>33.108837958150495</v>
      </c>
      <c r="EZ227" s="528"/>
      <c r="FA227" s="528">
        <f t="shared" si="716"/>
        <v>1.1253000000000002</v>
      </c>
      <c r="FB227" s="460">
        <f t="shared" si="717"/>
        <v>34425.663527594945</v>
      </c>
      <c r="FC227" s="173">
        <f t="shared" si="718"/>
        <v>37.087060073948173</v>
      </c>
      <c r="FD227" s="5">
        <f t="shared" si="719"/>
        <v>11.22</v>
      </c>
      <c r="FE227" s="173">
        <f t="shared" si="720"/>
        <v>0.23226418628714909</v>
      </c>
      <c r="FF227" s="5">
        <f t="shared" si="721"/>
        <v>23.22641862871491</v>
      </c>
      <c r="FI227" s="562">
        <f t="shared" si="676"/>
        <v>-50</v>
      </c>
      <c r="FJ227">
        <f t="shared" si="677"/>
        <v>-50</v>
      </c>
      <c r="FL227">
        <f t="shared" si="678"/>
        <v>0.19799999999999998</v>
      </c>
    </row>
    <row r="228" spans="5:168">
      <c r="E228" s="170">
        <v>12</v>
      </c>
      <c r="F228" s="217">
        <f t="shared" si="679"/>
        <v>7.1999999999999995E-2</v>
      </c>
      <c r="G228" s="217"/>
      <c r="H228" s="217">
        <f t="shared" si="603"/>
        <v>12.239999999999998</v>
      </c>
      <c r="I228" s="541">
        <f t="shared" si="604"/>
        <v>15.534018097703177</v>
      </c>
      <c r="J228" s="172">
        <f t="shared" si="605"/>
        <v>8.5254992663238891</v>
      </c>
      <c r="K228" s="172">
        <f t="shared" si="606"/>
        <v>24.059517364027066</v>
      </c>
      <c r="L228" s="443"/>
      <c r="M228" s="217">
        <f t="shared" si="607"/>
        <v>0.35435040574706606</v>
      </c>
      <c r="N228" s="172">
        <f t="shared" si="608"/>
        <v>186.12500695569855</v>
      </c>
      <c r="O228" s="172">
        <f t="shared" si="599"/>
        <v>12.239999999999998</v>
      </c>
      <c r="P228" s="217">
        <f t="shared" si="609"/>
        <v>1.0948529820923445</v>
      </c>
      <c r="Q228" s="217">
        <f t="shared" si="610"/>
        <v>170</v>
      </c>
      <c r="R228" s="217"/>
      <c r="S228" s="172">
        <f t="shared" si="611"/>
        <v>6881.0172568153903</v>
      </c>
      <c r="T228" s="172">
        <f t="shared" si="612"/>
        <v>170</v>
      </c>
      <c r="U228" s="217">
        <f t="shared" si="613"/>
        <v>4.4606238827306646</v>
      </c>
      <c r="V228" s="217">
        <f t="shared" si="614"/>
        <v>0.1435759844836991</v>
      </c>
      <c r="W228" s="217">
        <f t="shared" si="615"/>
        <v>0.26160484819641783</v>
      </c>
      <c r="X228" s="197">
        <f t="shared" si="616"/>
        <v>350</v>
      </c>
      <c r="Y228" s="443">
        <f t="shared" si="680"/>
        <v>350</v>
      </c>
      <c r="AA228" s="217">
        <f t="shared" si="617"/>
        <v>31.454201771203781</v>
      </c>
      <c r="AB228" s="173">
        <f t="shared" si="618"/>
        <v>1.8447131826900338</v>
      </c>
      <c r="AC228" s="173">
        <f t="shared" si="619"/>
        <v>0.50770983076040344</v>
      </c>
      <c r="AD228" s="173"/>
      <c r="AE228" s="173">
        <f t="shared" si="620"/>
        <v>0.78196788931767369</v>
      </c>
      <c r="AF228" s="545">
        <f t="shared" si="621"/>
        <v>276.22617622889391</v>
      </c>
      <c r="AG228" s="528">
        <f t="shared" si="622"/>
        <v>9.1229587087061942E-2</v>
      </c>
      <c r="AI228" s="173">
        <f t="shared" si="623"/>
        <v>11.845056325503855</v>
      </c>
      <c r="AJ228" s="173">
        <f t="shared" si="624"/>
        <v>13.333333333333334</v>
      </c>
      <c r="AK228" s="173">
        <f t="shared" si="625"/>
        <v>1.1578435292736537</v>
      </c>
      <c r="AM228" s="545">
        <f t="shared" si="626"/>
        <v>72</v>
      </c>
      <c r="AN228" s="460">
        <f t="shared" si="627"/>
        <v>276.22617622889391</v>
      </c>
      <c r="AP228">
        <f t="shared" si="628"/>
        <v>72</v>
      </c>
      <c r="AQ228">
        <f t="shared" si="629"/>
        <v>276.22617622889391</v>
      </c>
      <c r="AS228" s="5">
        <f t="shared" si="600"/>
        <v>3.6202217098040461</v>
      </c>
      <c r="AT228" s="5">
        <f t="shared" si="630"/>
        <v>0.42916563021465676</v>
      </c>
      <c r="AU228" s="5">
        <f t="shared" si="478"/>
        <v>3.1910560795893894</v>
      </c>
      <c r="AV228" s="5"/>
      <c r="AW228" s="173">
        <f t="shared" si="479"/>
        <v>0.11854678100305809</v>
      </c>
      <c r="AX228" s="173">
        <f t="shared" si="631"/>
        <v>12.276718943506397</v>
      </c>
      <c r="AY228" s="173">
        <f t="shared" si="632"/>
        <v>0.29381773966564734</v>
      </c>
      <c r="AZ228" s="173">
        <f t="shared" si="633"/>
        <v>41.783450371229478</v>
      </c>
      <c r="BA228" s="460">
        <f t="shared" si="594"/>
        <v>1.8176426691444283E-2</v>
      </c>
      <c r="BB228" s="5">
        <f t="shared" si="595"/>
        <v>4.0230185049107643</v>
      </c>
      <c r="BD228" s="173">
        <f t="shared" si="681"/>
        <v>2.6504706053474449</v>
      </c>
      <c r="BE228" s="173">
        <f t="shared" si="682"/>
        <v>0.36136638204683769</v>
      </c>
      <c r="BG228" s="528">
        <f t="shared" si="683"/>
        <v>0.28099977719243407</v>
      </c>
      <c r="BH228" s="528">
        <f t="shared" si="634"/>
        <v>1.9937605450133624</v>
      </c>
      <c r="BI228" s="528">
        <f t="shared" si="635"/>
        <v>0.17163609682395942</v>
      </c>
      <c r="BJ228" s="528">
        <f t="shared" si="684"/>
        <v>3.1979277634974032E-2</v>
      </c>
      <c r="BK228">
        <f t="shared" si="685"/>
        <v>6.9903081439664297E-3</v>
      </c>
      <c r="BL228" s="460">
        <f t="shared" si="686"/>
        <v>178.62640496792585</v>
      </c>
      <c r="BM228" s="528">
        <f t="shared" si="636"/>
        <v>2.5530664156033533</v>
      </c>
      <c r="BN228" s="460">
        <f t="shared" si="687"/>
        <v>2553.0664156033536</v>
      </c>
      <c r="BO228" s="528">
        <f t="shared" si="637"/>
        <v>5.0399999999999993E-2</v>
      </c>
      <c r="BR228" s="460">
        <f t="shared" si="688"/>
        <v>50.399999999999991</v>
      </c>
      <c r="BS228" s="528">
        <f t="shared" si="689"/>
        <v>0.21074983289432553</v>
      </c>
      <c r="BT228" s="528">
        <f t="shared" si="690"/>
        <v>3.917569862208631E-3</v>
      </c>
      <c r="BU228" s="528">
        <f t="shared" si="691"/>
        <v>41.16033727361085</v>
      </c>
      <c r="BV228" s="528"/>
      <c r="BW228" s="528">
        <f t="shared" si="692"/>
        <v>1.2276718943506397</v>
      </c>
      <c r="BX228" s="460">
        <f t="shared" si="693"/>
        <v>42602.676570718024</v>
      </c>
      <c r="BY228" s="173">
        <f t="shared" si="694"/>
        <v>45.138442575526724</v>
      </c>
      <c r="BZ228" s="5">
        <f t="shared" si="695"/>
        <v>12.239999999999998</v>
      </c>
      <c r="CA228" s="173">
        <f t="shared" si="696"/>
        <v>0.21332053382049537</v>
      </c>
      <c r="CB228" s="5">
        <f t="shared" si="697"/>
        <v>21.332053382049537</v>
      </c>
      <c r="CE228" s="562">
        <f t="shared" si="638"/>
        <v>-50</v>
      </c>
      <c r="CF228">
        <f t="shared" si="639"/>
        <v>-50</v>
      </c>
      <c r="CG228" s="173">
        <f t="shared" si="640"/>
        <v>0.21631741383765607</v>
      </c>
      <c r="CI228" s="170">
        <v>12</v>
      </c>
      <c r="CJ228" s="217">
        <f t="shared" si="698"/>
        <v>7.1999999999999995E-2</v>
      </c>
      <c r="CK228" s="217"/>
      <c r="CL228" s="217">
        <f t="shared" si="641"/>
        <v>12.239999999999998</v>
      </c>
      <c r="CM228" s="541">
        <f t="shared" si="642"/>
        <v>16</v>
      </c>
      <c r="CN228" s="443">
        <f t="shared" si="643"/>
        <v>8.5250000000000004</v>
      </c>
      <c r="CO228" s="443">
        <f t="shared" si="644"/>
        <v>24.524999999999999</v>
      </c>
      <c r="CP228" s="443"/>
      <c r="CQ228" s="217">
        <f t="shared" si="645"/>
        <v>0.34760448521916415</v>
      </c>
      <c r="CR228" s="172">
        <f t="shared" si="646"/>
        <v>188.05866123003739</v>
      </c>
      <c r="CS228" s="172">
        <f t="shared" si="647"/>
        <v>12.239999999999998</v>
      </c>
      <c r="CT228" s="217">
        <f t="shared" si="648"/>
        <v>1.1062274190002199</v>
      </c>
      <c r="CU228" s="217">
        <f t="shared" si="649"/>
        <v>170</v>
      </c>
      <c r="CV228" s="217"/>
      <c r="CW228" s="172">
        <f t="shared" si="650"/>
        <v>7087.4299809938339</v>
      </c>
      <c r="CX228" s="172">
        <f t="shared" si="651"/>
        <v>170</v>
      </c>
      <c r="CY228" s="217">
        <f t="shared" si="652"/>
        <v>4.4015542521994124</v>
      </c>
      <c r="CZ228" s="217">
        <f t="shared" si="653"/>
        <v>0.13754857038123161</v>
      </c>
      <c r="DA228" s="217">
        <f t="shared" si="654"/>
        <v>0.25815567461580124</v>
      </c>
      <c r="DB228" s="197">
        <f t="shared" si="655"/>
        <v>350</v>
      </c>
      <c r="DC228" s="443">
        <f t="shared" si="656"/>
        <v>350</v>
      </c>
      <c r="DE228" s="217">
        <f t="shared" si="657"/>
        <v>31.780981505752148</v>
      </c>
      <c r="DF228" s="173">
        <f t="shared" si="658"/>
        <v>1.8639871850881022</v>
      </c>
      <c r="DG228" s="173">
        <f t="shared" si="659"/>
        <v>0.51834424474213492</v>
      </c>
      <c r="DH228" s="173"/>
      <c r="DI228" s="173">
        <f t="shared" si="660"/>
        <v>0.78201368523949166</v>
      </c>
      <c r="DJ228" s="545">
        <f t="shared" si="661"/>
        <v>276.20999999999998</v>
      </c>
      <c r="DK228" s="528">
        <f t="shared" si="662"/>
        <v>9.1234929944607357E-2</v>
      </c>
      <c r="DM228" s="173">
        <f t="shared" si="663"/>
        <v>11.844709488085508</v>
      </c>
      <c r="DN228" s="173">
        <f t="shared" si="664"/>
        <v>13.333333333333334</v>
      </c>
      <c r="DO228" s="173">
        <f t="shared" si="665"/>
        <v>1.1578342857142858</v>
      </c>
      <c r="DQ228" s="545">
        <f t="shared" si="666"/>
        <v>72</v>
      </c>
      <c r="DR228" s="460">
        <f t="shared" si="667"/>
        <v>276.20999999999998</v>
      </c>
      <c r="DT228">
        <f t="shared" si="668"/>
        <v>72</v>
      </c>
      <c r="DU228">
        <f t="shared" si="669"/>
        <v>276.20999999999998</v>
      </c>
      <c r="DW228" s="5">
        <f t="shared" si="670"/>
        <v>3.6204337279606098</v>
      </c>
      <c r="DX228" s="5">
        <f t="shared" si="671"/>
        <v>0.41666666666666669</v>
      </c>
      <c r="DY228" s="5">
        <f t="shared" si="672"/>
        <v>3.2037670612939433</v>
      </c>
      <c r="DZ228" s="5"/>
      <c r="EA228" s="173">
        <f t="shared" si="673"/>
        <v>0.1150875</v>
      </c>
      <c r="EB228" s="173">
        <f t="shared" si="699"/>
        <v>12.276</v>
      </c>
      <c r="EC228" s="173">
        <f t="shared" si="700"/>
        <v>0.29497083333333335</v>
      </c>
      <c r="ED228" s="173">
        <f t="shared" si="701"/>
        <v>41.617674063819869</v>
      </c>
      <c r="EE228" s="460">
        <f t="shared" si="674"/>
        <v>1.7647058823529412E-2</v>
      </c>
      <c r="EF228" s="5">
        <f t="shared" si="675"/>
        <v>3.9214108830237864</v>
      </c>
      <c r="EH228" s="173">
        <f t="shared" si="702"/>
        <v>2.6115129714401193</v>
      </c>
      <c r="EI228" s="173">
        <f t="shared" si="703"/>
        <v>0.36207478253552561</v>
      </c>
      <c r="EK228" s="528">
        <f t="shared" si="704"/>
        <v>0.27280000000000004</v>
      </c>
      <c r="EL228" s="528">
        <f t="shared" si="705"/>
        <v>2.4838184249999999</v>
      </c>
      <c r="EM228" s="528">
        <f t="shared" si="706"/>
        <v>5.5241999999999992E-2</v>
      </c>
      <c r="EN228" s="528">
        <f t="shared" si="707"/>
        <v>3.3226716476249994E-2</v>
      </c>
      <c r="EO228">
        <f t="shared" si="708"/>
        <v>7.1999999999999998E-3</v>
      </c>
      <c r="EP228" s="460">
        <f t="shared" si="709"/>
        <v>62.441999999999993</v>
      </c>
      <c r="EQ228" s="460"/>
      <c r="ER228" s="460">
        <f t="shared" si="710"/>
        <v>2852.2871414762499</v>
      </c>
      <c r="ES228" s="528">
        <f t="shared" si="711"/>
        <v>5.0399999999999993E-2</v>
      </c>
      <c r="EV228" s="460">
        <f t="shared" si="712"/>
        <v>50.399999999999991</v>
      </c>
      <c r="EW228" s="528">
        <f t="shared" si="713"/>
        <v>0.20460000000000003</v>
      </c>
      <c r="EX228" s="528">
        <f t="shared" si="714"/>
        <v>3.9329444444444446E-3</v>
      </c>
      <c r="EY228" s="528">
        <f t="shared" si="715"/>
        <v>41.154311506946279</v>
      </c>
      <c r="EZ228" s="528"/>
      <c r="FA228" s="528">
        <f t="shared" si="716"/>
        <v>1.2276</v>
      </c>
      <c r="FB228" s="460">
        <f t="shared" si="717"/>
        <v>42590.444451390722</v>
      </c>
      <c r="FC228" s="173">
        <f t="shared" si="718"/>
        <v>45.493131592866973</v>
      </c>
      <c r="FD228" s="5">
        <f t="shared" si="719"/>
        <v>12.239999999999998</v>
      </c>
      <c r="FE228" s="173">
        <f t="shared" si="720"/>
        <v>0.21200997871233218</v>
      </c>
      <c r="FF228" s="5">
        <f t="shared" si="721"/>
        <v>21.20099787123322</v>
      </c>
      <c r="FI228" s="562">
        <f t="shared" si="676"/>
        <v>-50</v>
      </c>
      <c r="FJ228">
        <f t="shared" si="677"/>
        <v>-50</v>
      </c>
      <c r="FL228">
        <f t="shared" si="678"/>
        <v>0.21599999999999997</v>
      </c>
    </row>
    <row r="229" spans="5:168">
      <c r="E229" s="170">
        <v>13</v>
      </c>
      <c r="F229" s="217">
        <f t="shared" si="679"/>
        <v>7.8E-2</v>
      </c>
      <c r="G229" s="217"/>
      <c r="H229" s="217">
        <f t="shared" si="603"/>
        <v>13.26</v>
      </c>
      <c r="I229" s="541">
        <f t="shared" si="604"/>
        <v>15.534018097703177</v>
      </c>
      <c r="J229" s="172">
        <f t="shared" si="605"/>
        <v>8.5254992663238891</v>
      </c>
      <c r="K229" s="172">
        <f t="shared" si="606"/>
        <v>24.059517364027066</v>
      </c>
      <c r="L229" s="443"/>
      <c r="M229" s="217">
        <f t="shared" si="607"/>
        <v>0.35435040574706606</v>
      </c>
      <c r="N229" s="172">
        <f t="shared" si="608"/>
        <v>186.12500695569855</v>
      </c>
      <c r="O229" s="172">
        <f t="shared" si="599"/>
        <v>13.26</v>
      </c>
      <c r="P229" s="217">
        <f t="shared" si="609"/>
        <v>1.0948529820923445</v>
      </c>
      <c r="Q229" s="217">
        <f t="shared" si="610"/>
        <v>170</v>
      </c>
      <c r="R229" s="217"/>
      <c r="S229" s="172">
        <f t="shared" si="611"/>
        <v>6327.8134574217893</v>
      </c>
      <c r="T229" s="172">
        <f t="shared" si="612"/>
        <v>170</v>
      </c>
      <c r="U229" s="217">
        <f t="shared" si="613"/>
        <v>4.8323425396248867</v>
      </c>
      <c r="V229" s="217">
        <f t="shared" si="614"/>
        <v>0.15554064985734067</v>
      </c>
      <c r="W229" s="217">
        <f t="shared" si="615"/>
        <v>0.28340525221278595</v>
      </c>
      <c r="X229" s="197">
        <f t="shared" si="616"/>
        <v>350</v>
      </c>
      <c r="Y229" s="443">
        <f t="shared" si="680"/>
        <v>350</v>
      </c>
      <c r="AA229" s="217">
        <f t="shared" si="617"/>
        <v>31.454201771203781</v>
      </c>
      <c r="AB229" s="173">
        <f t="shared" si="618"/>
        <v>1.8447131826900338</v>
      </c>
      <c r="AC229" s="173">
        <f t="shared" si="619"/>
        <v>0.50770983076040344</v>
      </c>
      <c r="AD229" s="173"/>
      <c r="AE229" s="173">
        <f t="shared" si="620"/>
        <v>0.78196788931767369</v>
      </c>
      <c r="AF229" s="545">
        <f t="shared" si="621"/>
        <v>299.24502424796844</v>
      </c>
      <c r="AG229" s="528">
        <f t="shared" si="622"/>
        <v>9.1229587087061942E-2</v>
      </c>
      <c r="AI229" s="173">
        <f t="shared" si="623"/>
        <v>12.328725507281309</v>
      </c>
      <c r="AJ229" s="173">
        <f t="shared" si="624"/>
        <v>13.333333333333334</v>
      </c>
      <c r="AK229" s="173">
        <f t="shared" si="625"/>
        <v>1.1709971567131248</v>
      </c>
      <c r="AM229" s="545">
        <f t="shared" si="626"/>
        <v>78</v>
      </c>
      <c r="AN229" s="460">
        <f t="shared" si="627"/>
        <v>299.24502424796844</v>
      </c>
      <c r="AP229">
        <f t="shared" si="628"/>
        <v>78</v>
      </c>
      <c r="AQ229">
        <f t="shared" si="629"/>
        <v>299.24502424796844</v>
      </c>
      <c r="AS229" s="5">
        <f t="shared" si="600"/>
        <v>3.3417431167421956</v>
      </c>
      <c r="AT229" s="5">
        <f t="shared" si="630"/>
        <v>0.42916563021465676</v>
      </c>
      <c r="AU229" s="5">
        <f t="shared" si="478"/>
        <v>2.9125774865275389</v>
      </c>
      <c r="AV229" s="5"/>
      <c r="AW229" s="173">
        <f t="shared" si="479"/>
        <v>0.12842567941997962</v>
      </c>
      <c r="AX229" s="173">
        <f t="shared" si="631"/>
        <v>13.299778855465265</v>
      </c>
      <c r="AY229" s="173">
        <f t="shared" si="632"/>
        <v>0.2905247735266735</v>
      </c>
      <c r="AZ229" s="173">
        <f t="shared" si="633"/>
        <v>45.778467336948779</v>
      </c>
      <c r="BA229" s="460">
        <f t="shared" si="594"/>
        <v>1.9691128915731312E-2</v>
      </c>
      <c r="BB229" s="5">
        <f t="shared" si="595"/>
        <v>3.9779304726897968</v>
      </c>
      <c r="BD229" s="173">
        <f t="shared" si="681"/>
        <v>2.7586972708680975</v>
      </c>
      <c r="BE229" s="173">
        <f t="shared" si="682"/>
        <v>0.35933566698479907</v>
      </c>
      <c r="BG229" s="528">
        <f t="shared" si="683"/>
        <v>0.30441642529180357</v>
      </c>
      <c r="BH229" s="528">
        <f t="shared" si="634"/>
        <v>2.1599072570978097</v>
      </c>
      <c r="BI229" s="528">
        <f t="shared" si="635"/>
        <v>0.18593910489262272</v>
      </c>
      <c r="BJ229" s="528">
        <f t="shared" si="684"/>
        <v>3.4644217437888543E-2</v>
      </c>
      <c r="BK229">
        <f t="shared" si="685"/>
        <v>6.9903081439664297E-3</v>
      </c>
      <c r="BL229" s="460">
        <f t="shared" si="686"/>
        <v>192.92941303658915</v>
      </c>
      <c r="BM229" s="528">
        <f t="shared" si="636"/>
        <v>2.7824102381634224</v>
      </c>
      <c r="BN229" s="460">
        <f t="shared" si="687"/>
        <v>2782.4102381634225</v>
      </c>
      <c r="BO229" s="528">
        <f t="shared" si="637"/>
        <v>5.4599999999999996E-2</v>
      </c>
      <c r="BR229" s="460">
        <f t="shared" si="688"/>
        <v>54.599999999999994</v>
      </c>
      <c r="BS229" s="528">
        <f t="shared" si="689"/>
        <v>0.22831231896885265</v>
      </c>
      <c r="BT229" s="528">
        <f t="shared" si="690"/>
        <v>3.8736636470223127E-3</v>
      </c>
      <c r="BU229" s="528">
        <f t="shared" si="691"/>
        <v>50.278717403842961</v>
      </c>
      <c r="BV229" s="528"/>
      <c r="BW229" s="528">
        <f t="shared" si="692"/>
        <v>1.3299778855465265</v>
      </c>
      <c r="BX229" s="460">
        <f t="shared" si="693"/>
        <v>51840.881272005361</v>
      </c>
      <c r="BY229" s="173">
        <f t="shared" si="694"/>
        <v>54.587378584869455</v>
      </c>
      <c r="BZ229" s="5">
        <f t="shared" si="695"/>
        <v>13.26</v>
      </c>
      <c r="CA229" s="173">
        <f t="shared" si="696"/>
        <v>0.19543864887002566</v>
      </c>
      <c r="CB229" s="5">
        <f t="shared" si="697"/>
        <v>19.543864887002567</v>
      </c>
      <c r="CE229" s="562">
        <f t="shared" si="638"/>
        <v>-50</v>
      </c>
      <c r="CF229">
        <f t="shared" si="639"/>
        <v>-50</v>
      </c>
      <c r="CG229" s="173">
        <f t="shared" si="640"/>
        <v>0.23434386499079404</v>
      </c>
      <c r="CI229" s="170">
        <v>13</v>
      </c>
      <c r="CJ229" s="217">
        <f t="shared" si="698"/>
        <v>7.8E-2</v>
      </c>
      <c r="CK229" s="217"/>
      <c r="CL229" s="217">
        <f t="shared" si="641"/>
        <v>13.26</v>
      </c>
      <c r="CM229" s="541">
        <f t="shared" si="642"/>
        <v>16</v>
      </c>
      <c r="CN229" s="443">
        <f t="shared" si="643"/>
        <v>8.5250000000000004</v>
      </c>
      <c r="CO229" s="443">
        <f t="shared" si="644"/>
        <v>24.524999999999999</v>
      </c>
      <c r="CP229" s="443"/>
      <c r="CQ229" s="217">
        <f t="shared" si="645"/>
        <v>0.34760448521916415</v>
      </c>
      <c r="CR229" s="172">
        <f t="shared" si="646"/>
        <v>188.05866123003739</v>
      </c>
      <c r="CS229" s="172">
        <f t="shared" si="647"/>
        <v>13.26</v>
      </c>
      <c r="CT229" s="217">
        <f t="shared" si="648"/>
        <v>1.1062274190002199</v>
      </c>
      <c r="CU229" s="217">
        <f t="shared" si="649"/>
        <v>170</v>
      </c>
      <c r="CV229" s="217"/>
      <c r="CW229" s="172">
        <f t="shared" si="650"/>
        <v>6517.6313845192217</v>
      </c>
      <c r="CX229" s="172">
        <f t="shared" si="651"/>
        <v>170</v>
      </c>
      <c r="CY229" s="217">
        <f t="shared" si="652"/>
        <v>4.7683504398826972</v>
      </c>
      <c r="CZ229" s="217">
        <f t="shared" si="653"/>
        <v>0.14901095124633426</v>
      </c>
      <c r="DA229" s="217">
        <f t="shared" si="654"/>
        <v>0.27966864750045139</v>
      </c>
      <c r="DB229" s="197">
        <f t="shared" si="655"/>
        <v>350</v>
      </c>
      <c r="DC229" s="443">
        <f t="shared" si="656"/>
        <v>350</v>
      </c>
      <c r="DE229" s="217">
        <f t="shared" si="657"/>
        <v>31.780981505752148</v>
      </c>
      <c r="DF229" s="173">
        <f t="shared" si="658"/>
        <v>1.8639871850881022</v>
      </c>
      <c r="DG229" s="173">
        <f t="shared" si="659"/>
        <v>0.51834424474213492</v>
      </c>
      <c r="DH229" s="173"/>
      <c r="DI229" s="173">
        <f t="shared" si="660"/>
        <v>0.78201368523949166</v>
      </c>
      <c r="DJ229" s="545">
        <f t="shared" si="661"/>
        <v>299.22750000000002</v>
      </c>
      <c r="DK229" s="528">
        <f t="shared" si="662"/>
        <v>9.1234929944607357E-2</v>
      </c>
      <c r="DM229" s="173">
        <f t="shared" si="663"/>
        <v>12.328364507450752</v>
      </c>
      <c r="DN229" s="173">
        <f t="shared" si="664"/>
        <v>13.333333333333334</v>
      </c>
      <c r="DO229" s="173">
        <f t="shared" si="665"/>
        <v>1.1709871428571428</v>
      </c>
      <c r="DQ229" s="545">
        <f t="shared" si="666"/>
        <v>78</v>
      </c>
      <c r="DR229" s="460">
        <f t="shared" si="667"/>
        <v>299.22750000000002</v>
      </c>
      <c r="DT229">
        <f t="shared" si="668"/>
        <v>78</v>
      </c>
      <c r="DU229">
        <f t="shared" si="669"/>
        <v>299.22750000000002</v>
      </c>
      <c r="DW229" s="5">
        <f t="shared" si="670"/>
        <v>3.3419388258097933</v>
      </c>
      <c r="DX229" s="5">
        <f t="shared" si="671"/>
        <v>0.41666666666666669</v>
      </c>
      <c r="DY229" s="5">
        <f t="shared" si="672"/>
        <v>2.9252721591431268</v>
      </c>
      <c r="DZ229" s="5"/>
      <c r="EA229" s="173">
        <f t="shared" si="673"/>
        <v>0.12467812500000001</v>
      </c>
      <c r="EB229" s="173">
        <f t="shared" si="699"/>
        <v>13.299000000000001</v>
      </c>
      <c r="EC229" s="173">
        <f t="shared" si="700"/>
        <v>0.29177395833333336</v>
      </c>
      <c r="ED229" s="173">
        <f t="shared" si="701"/>
        <v>45.579804571889625</v>
      </c>
      <c r="EE229" s="460">
        <f t="shared" si="674"/>
        <v>1.9117647058823531E-2</v>
      </c>
      <c r="EF229" s="5">
        <f t="shared" si="675"/>
        <v>3.8789108830237859</v>
      </c>
      <c r="EH229" s="173">
        <f t="shared" si="702"/>
        <v>2.7181488799058329</v>
      </c>
      <c r="EI229" s="173">
        <f t="shared" si="703"/>
        <v>0.36010736567698093</v>
      </c>
      <c r="EK229" s="528">
        <f t="shared" si="704"/>
        <v>0.29553333333333337</v>
      </c>
      <c r="EL229" s="528">
        <f t="shared" si="705"/>
        <v>2.6908032937500002</v>
      </c>
      <c r="EM229" s="528">
        <f t="shared" si="706"/>
        <v>5.9845500000000003E-2</v>
      </c>
      <c r="EN229" s="528">
        <f t="shared" si="707"/>
        <v>3.5995609515937492E-2</v>
      </c>
      <c r="EO229">
        <f t="shared" si="708"/>
        <v>7.1999999999999998E-3</v>
      </c>
      <c r="EP229" s="460">
        <f t="shared" si="709"/>
        <v>67.045500000000004</v>
      </c>
      <c r="EQ229" s="460"/>
      <c r="ER229" s="460">
        <f t="shared" si="710"/>
        <v>3089.377736599271</v>
      </c>
      <c r="ES229" s="528">
        <f t="shared" si="711"/>
        <v>5.4599999999999996E-2</v>
      </c>
      <c r="EV229" s="460">
        <f t="shared" si="712"/>
        <v>54.599999999999994</v>
      </c>
      <c r="EW229" s="528">
        <f t="shared" si="713"/>
        <v>0.22165000000000001</v>
      </c>
      <c r="EX229" s="528">
        <f t="shared" si="714"/>
        <v>3.8903194444444458E-3</v>
      </c>
      <c r="EY229" s="528">
        <f t="shared" si="715"/>
        <v>50.271356729967628</v>
      </c>
      <c r="EZ229" s="528"/>
      <c r="FA229" s="528">
        <f t="shared" si="716"/>
        <v>1.3299000000000001</v>
      </c>
      <c r="FB229" s="460">
        <f t="shared" si="717"/>
        <v>51826.797049412075</v>
      </c>
      <c r="FC229" s="173">
        <f t="shared" si="718"/>
        <v>54.970774786011347</v>
      </c>
      <c r="FD229" s="5">
        <f t="shared" si="719"/>
        <v>13.26</v>
      </c>
      <c r="FE229" s="173">
        <f t="shared" si="720"/>
        <v>0.19434045768330568</v>
      </c>
      <c r="FF229" s="5">
        <f t="shared" si="721"/>
        <v>19.43404576833057</v>
      </c>
      <c r="FI229" s="562">
        <f t="shared" si="676"/>
        <v>-50</v>
      </c>
      <c r="FJ229">
        <f t="shared" si="677"/>
        <v>-50</v>
      </c>
      <c r="FL229">
        <f t="shared" si="678"/>
        <v>0.23399999999999999</v>
      </c>
    </row>
    <row r="230" spans="5:168">
      <c r="E230" s="170">
        <v>14</v>
      </c>
      <c r="F230" s="217">
        <f t="shared" si="679"/>
        <v>8.4000000000000005E-2</v>
      </c>
      <c r="G230" s="217"/>
      <c r="H230" s="217">
        <f t="shared" si="603"/>
        <v>14.280000000000001</v>
      </c>
      <c r="I230" s="541">
        <f t="shared" si="604"/>
        <v>15.534018097703177</v>
      </c>
      <c r="J230" s="172">
        <f t="shared" si="605"/>
        <v>8.5254992663238891</v>
      </c>
      <c r="K230" s="172">
        <f t="shared" si="606"/>
        <v>24.059517364027066</v>
      </c>
      <c r="L230" s="443"/>
      <c r="M230" s="217">
        <f t="shared" si="607"/>
        <v>0.35435040574706606</v>
      </c>
      <c r="N230" s="172">
        <f t="shared" si="608"/>
        <v>186.12500695569855</v>
      </c>
      <c r="O230" s="172">
        <f t="shared" si="599"/>
        <v>14.280000000000001</v>
      </c>
      <c r="P230" s="217">
        <f t="shared" si="609"/>
        <v>1.0948529820923445</v>
      </c>
      <c r="Q230" s="217">
        <f t="shared" si="610"/>
        <v>170</v>
      </c>
      <c r="R230" s="217"/>
      <c r="S230" s="172">
        <f t="shared" si="611"/>
        <v>5853.6390690625212</v>
      </c>
      <c r="T230" s="172">
        <f t="shared" si="612"/>
        <v>170</v>
      </c>
      <c r="U230" s="217">
        <f t="shared" si="613"/>
        <v>5.2040611965191079</v>
      </c>
      <c r="V230" s="217">
        <f t="shared" si="614"/>
        <v>0.16750531523098225</v>
      </c>
      <c r="W230" s="217">
        <f t="shared" si="615"/>
        <v>0.30520565622915408</v>
      </c>
      <c r="X230" s="197">
        <f t="shared" si="616"/>
        <v>350</v>
      </c>
      <c r="Y230" s="443">
        <f t="shared" si="680"/>
        <v>350</v>
      </c>
      <c r="AA230" s="217">
        <f t="shared" si="617"/>
        <v>31.454201771203781</v>
      </c>
      <c r="AB230" s="173">
        <f t="shared" si="618"/>
        <v>1.8447131826900338</v>
      </c>
      <c r="AC230" s="173">
        <f t="shared" si="619"/>
        <v>0.50770983076040344</v>
      </c>
      <c r="AD230" s="173"/>
      <c r="AE230" s="173">
        <f t="shared" si="620"/>
        <v>0.78196788931767369</v>
      </c>
      <c r="AF230" s="545">
        <f t="shared" si="621"/>
        <v>322.26387226704298</v>
      </c>
      <c r="AG230" s="528">
        <f t="shared" si="622"/>
        <v>9.1229587087061942E-2</v>
      </c>
      <c r="AI230" s="173">
        <f t="shared" si="623"/>
        <v>12.794123100604383</v>
      </c>
      <c r="AJ230" s="173">
        <f t="shared" si="624"/>
        <v>13.333333333333334</v>
      </c>
      <c r="AK230" s="173">
        <f t="shared" si="625"/>
        <v>1.184150784152596</v>
      </c>
      <c r="AM230" s="545">
        <f t="shared" si="626"/>
        <v>84</v>
      </c>
      <c r="AN230" s="460">
        <f t="shared" si="627"/>
        <v>322.26387226704298</v>
      </c>
      <c r="AP230">
        <f t="shared" si="628"/>
        <v>84</v>
      </c>
      <c r="AQ230">
        <f t="shared" si="629"/>
        <v>322.26387226704298</v>
      </c>
      <c r="AS230" s="5">
        <f t="shared" si="600"/>
        <v>3.1030471798320383</v>
      </c>
      <c r="AT230" s="5">
        <f t="shared" si="630"/>
        <v>0.42916563021465676</v>
      </c>
      <c r="AU230" s="5">
        <f t="shared" si="478"/>
        <v>2.6738815496173816</v>
      </c>
      <c r="AV230" s="5"/>
      <c r="AW230" s="173">
        <f t="shared" si="479"/>
        <v>0.13830457783690114</v>
      </c>
      <c r="AX230" s="173">
        <f t="shared" si="631"/>
        <v>14.322838767424134</v>
      </c>
      <c r="AY230" s="173">
        <f t="shared" si="632"/>
        <v>0.28723180738769966</v>
      </c>
      <c r="AZ230" s="173">
        <f t="shared" si="633"/>
        <v>49.865085965536743</v>
      </c>
      <c r="BA230" s="460">
        <f t="shared" si="594"/>
        <v>2.1205831140018335E-2</v>
      </c>
      <c r="BB230" s="5">
        <f t="shared" si="595"/>
        <v>3.9328424404688298</v>
      </c>
      <c r="BD230" s="173">
        <f t="shared" si="681"/>
        <v>2.8628354536681506</v>
      </c>
      <c r="BE230" s="173">
        <f t="shared" si="682"/>
        <v>0.35729341032434375</v>
      </c>
      <c r="BG230" s="528">
        <f t="shared" si="683"/>
        <v>0.32783307339117301</v>
      </c>
      <c r="BH230" s="528">
        <f t="shared" si="634"/>
        <v>2.3260539691822566</v>
      </c>
      <c r="BI230" s="528">
        <f t="shared" si="635"/>
        <v>0.20024211296128605</v>
      </c>
      <c r="BJ230" s="528">
        <f t="shared" si="684"/>
        <v>3.7309157240803054E-2</v>
      </c>
      <c r="BK230">
        <f t="shared" si="685"/>
        <v>6.9903081439664297E-3</v>
      </c>
      <c r="BL230" s="460">
        <f t="shared" si="686"/>
        <v>207.23242110525248</v>
      </c>
      <c r="BM230" s="528">
        <f t="shared" si="636"/>
        <v>3.0145216838723945</v>
      </c>
      <c r="BN230" s="460">
        <f t="shared" si="687"/>
        <v>3014.5216838723945</v>
      </c>
      <c r="BO230" s="528">
        <f t="shared" si="637"/>
        <v>5.8799999999999998E-2</v>
      </c>
      <c r="BR230" s="460">
        <f t="shared" si="688"/>
        <v>58.8</v>
      </c>
      <c r="BS230" s="528">
        <f t="shared" si="689"/>
        <v>0.24587480504337975</v>
      </c>
      <c r="BT230" s="528">
        <f t="shared" si="690"/>
        <v>3.8297574318359958E-3</v>
      </c>
      <c r="BU230" s="528">
        <f t="shared" si="691"/>
        <v>60.512611914513393</v>
      </c>
      <c r="BV230" s="528"/>
      <c r="BW230" s="528">
        <f t="shared" si="692"/>
        <v>1.4322838767424133</v>
      </c>
      <c r="BX230" s="460">
        <f t="shared" si="693"/>
        <v>62194.600353731017</v>
      </c>
      <c r="BY230" s="173">
        <f t="shared" si="694"/>
        <v>65.151828974650513</v>
      </c>
      <c r="BZ230" s="5">
        <f t="shared" si="695"/>
        <v>14.280000000000001</v>
      </c>
      <c r="CA230" s="173">
        <f t="shared" si="696"/>
        <v>0.17977679960708509</v>
      </c>
      <c r="CB230" s="5">
        <f t="shared" si="697"/>
        <v>17.97767996070851</v>
      </c>
      <c r="CE230" s="562">
        <f t="shared" si="638"/>
        <v>-50</v>
      </c>
      <c r="CF230">
        <f t="shared" si="639"/>
        <v>-50</v>
      </c>
      <c r="CG230" s="173">
        <f t="shared" si="640"/>
        <v>0.25237031614393207</v>
      </c>
      <c r="CI230" s="170">
        <v>14</v>
      </c>
      <c r="CJ230" s="217">
        <f t="shared" si="698"/>
        <v>8.4000000000000005E-2</v>
      </c>
      <c r="CK230" s="217"/>
      <c r="CL230" s="217">
        <f t="shared" si="641"/>
        <v>14.280000000000001</v>
      </c>
      <c r="CM230" s="541">
        <f t="shared" si="642"/>
        <v>16</v>
      </c>
      <c r="CN230" s="443">
        <f t="shared" si="643"/>
        <v>8.5250000000000004</v>
      </c>
      <c r="CO230" s="443">
        <f t="shared" si="644"/>
        <v>24.524999999999999</v>
      </c>
      <c r="CP230" s="443"/>
      <c r="CQ230" s="217">
        <f t="shared" si="645"/>
        <v>0.34760448521916415</v>
      </c>
      <c r="CR230" s="172">
        <f t="shared" si="646"/>
        <v>188.05866123003739</v>
      </c>
      <c r="CS230" s="172">
        <f t="shared" si="647"/>
        <v>14.280000000000001</v>
      </c>
      <c r="CT230" s="217">
        <f t="shared" si="648"/>
        <v>1.1062274190002199</v>
      </c>
      <c r="CU230" s="217">
        <f t="shared" si="649"/>
        <v>170</v>
      </c>
      <c r="CV230" s="217"/>
      <c r="CW230" s="172">
        <f t="shared" si="650"/>
        <v>6029.2328843784817</v>
      </c>
      <c r="CX230" s="172">
        <f t="shared" si="651"/>
        <v>170</v>
      </c>
      <c r="CY230" s="217">
        <f t="shared" si="652"/>
        <v>5.1351466275659821</v>
      </c>
      <c r="CZ230" s="217">
        <f t="shared" si="653"/>
        <v>0.16047333211143691</v>
      </c>
      <c r="DA230" s="217">
        <f t="shared" si="654"/>
        <v>0.30118162038510154</v>
      </c>
      <c r="DB230" s="197">
        <f t="shared" si="655"/>
        <v>350</v>
      </c>
      <c r="DC230" s="443">
        <f t="shared" si="656"/>
        <v>350</v>
      </c>
      <c r="DE230" s="217">
        <f t="shared" si="657"/>
        <v>31.780981505752148</v>
      </c>
      <c r="DF230" s="173">
        <f t="shared" si="658"/>
        <v>1.8639871850881022</v>
      </c>
      <c r="DG230" s="173">
        <f t="shared" si="659"/>
        <v>0.51834424474213492</v>
      </c>
      <c r="DH230" s="173"/>
      <c r="DI230" s="173">
        <f t="shared" si="660"/>
        <v>0.78201368523949166</v>
      </c>
      <c r="DJ230" s="545">
        <f t="shared" si="661"/>
        <v>322.245</v>
      </c>
      <c r="DK230" s="528">
        <f t="shared" si="662"/>
        <v>9.1234929944607357E-2</v>
      </c>
      <c r="DM230" s="173">
        <f t="shared" si="663"/>
        <v>12.793748473375581</v>
      </c>
      <c r="DN230" s="173">
        <f t="shared" si="664"/>
        <v>13.333333333333334</v>
      </c>
      <c r="DO230" s="173">
        <f t="shared" si="665"/>
        <v>1.18414</v>
      </c>
      <c r="DQ230" s="545">
        <f t="shared" si="666"/>
        <v>84</v>
      </c>
      <c r="DR230" s="460">
        <f t="shared" si="667"/>
        <v>322.245</v>
      </c>
      <c r="DT230">
        <f t="shared" si="668"/>
        <v>84</v>
      </c>
      <c r="DU230">
        <f t="shared" si="669"/>
        <v>322.245</v>
      </c>
      <c r="DW230" s="5">
        <f t="shared" si="670"/>
        <v>3.1032289096805226</v>
      </c>
      <c r="DX230" s="5">
        <f t="shared" si="671"/>
        <v>0.41666666666666669</v>
      </c>
      <c r="DY230" s="5">
        <f t="shared" si="672"/>
        <v>2.686562243013856</v>
      </c>
      <c r="DZ230" s="5"/>
      <c r="EA230" s="173">
        <f t="shared" si="673"/>
        <v>0.13426875000000002</v>
      </c>
      <c r="EB230" s="173">
        <f t="shared" si="699"/>
        <v>14.322000000000001</v>
      </c>
      <c r="EC230" s="173">
        <f t="shared" si="700"/>
        <v>0.28857708333333337</v>
      </c>
      <c r="ED230" s="173">
        <f t="shared" si="701"/>
        <v>49.629720539717141</v>
      </c>
      <c r="EE230" s="460">
        <f t="shared" si="674"/>
        <v>2.058823529411765E-2</v>
      </c>
      <c r="EF230" s="5">
        <f t="shared" si="675"/>
        <v>3.8364108830237869</v>
      </c>
      <c r="EH230" s="173">
        <f t="shared" si="702"/>
        <v>2.8207563997386709</v>
      </c>
      <c r="EI230" s="173">
        <f t="shared" si="703"/>
        <v>0.35812914078790276</v>
      </c>
      <c r="EK230" s="528">
        <f t="shared" si="704"/>
        <v>0.31826666666666675</v>
      </c>
      <c r="EL230" s="528">
        <f t="shared" si="705"/>
        <v>2.8977881624999999</v>
      </c>
      <c r="EM230" s="528">
        <f t="shared" si="706"/>
        <v>6.4448999999999992E-2</v>
      </c>
      <c r="EN230" s="528">
        <f t="shared" si="707"/>
        <v>3.8764502555624997E-2</v>
      </c>
      <c r="EO230">
        <f t="shared" si="708"/>
        <v>7.1999999999999998E-3</v>
      </c>
      <c r="EP230" s="460">
        <f t="shared" si="709"/>
        <v>71.648999999999987</v>
      </c>
      <c r="EQ230" s="460"/>
      <c r="ER230" s="460">
        <f t="shared" si="710"/>
        <v>3326.4683317222921</v>
      </c>
      <c r="ES230" s="528">
        <f t="shared" si="711"/>
        <v>5.8799999999999998E-2</v>
      </c>
      <c r="EV230" s="460">
        <f t="shared" si="712"/>
        <v>58.8</v>
      </c>
      <c r="EW230" s="528">
        <f t="shared" si="713"/>
        <v>0.23870000000000005</v>
      </c>
      <c r="EX230" s="528">
        <f t="shared" si="714"/>
        <v>3.8476944444444439E-3</v>
      </c>
      <c r="EY230" s="528">
        <f t="shared" si="715"/>
        <v>60.503753025014099</v>
      </c>
      <c r="EZ230" s="528"/>
      <c r="FA230" s="528">
        <f t="shared" si="716"/>
        <v>1.4322000000000001</v>
      </c>
      <c r="FB230" s="460">
        <f t="shared" si="717"/>
        <v>62178.500719458549</v>
      </c>
      <c r="FC230" s="173">
        <f t="shared" si="718"/>
        <v>65.563769051180827</v>
      </c>
      <c r="FD230" s="5">
        <f t="shared" si="719"/>
        <v>14.280000000000001</v>
      </c>
      <c r="FE230" s="173">
        <f t="shared" si="720"/>
        <v>0.17884927239402171</v>
      </c>
      <c r="FF230" s="5">
        <f t="shared" si="721"/>
        <v>17.88492723940217</v>
      </c>
      <c r="FI230" s="562">
        <f t="shared" si="676"/>
        <v>-50</v>
      </c>
      <c r="FJ230">
        <f t="shared" si="677"/>
        <v>-50</v>
      </c>
      <c r="FL230">
        <f t="shared" si="678"/>
        <v>0.252</v>
      </c>
    </row>
    <row r="231" spans="5:168">
      <c r="E231" s="170">
        <v>15</v>
      </c>
      <c r="F231" s="217">
        <f t="shared" si="679"/>
        <v>0.09</v>
      </c>
      <c r="G231" s="217"/>
      <c r="H231" s="217">
        <f t="shared" si="603"/>
        <v>15.299999999999999</v>
      </c>
      <c r="I231" s="541">
        <f t="shared" si="604"/>
        <v>15.534018097703177</v>
      </c>
      <c r="J231" s="172">
        <f t="shared" si="605"/>
        <v>8.5254992663238891</v>
      </c>
      <c r="K231" s="172">
        <f t="shared" si="606"/>
        <v>24.059517364027066</v>
      </c>
      <c r="L231" s="443"/>
      <c r="M231" s="217">
        <f t="shared" si="607"/>
        <v>0.35435040574706606</v>
      </c>
      <c r="N231" s="172">
        <f t="shared" si="608"/>
        <v>186.12500695569855</v>
      </c>
      <c r="O231" s="172">
        <f t="shared" si="599"/>
        <v>15.299999999999999</v>
      </c>
      <c r="P231" s="217">
        <f t="shared" si="609"/>
        <v>1.0948529820923445</v>
      </c>
      <c r="Q231" s="217">
        <f t="shared" si="610"/>
        <v>170</v>
      </c>
      <c r="R231" s="217"/>
      <c r="S231" s="172">
        <f t="shared" si="611"/>
        <v>5442.6882126871369</v>
      </c>
      <c r="T231" s="172">
        <f t="shared" si="612"/>
        <v>170</v>
      </c>
      <c r="U231" s="217">
        <f t="shared" si="613"/>
        <v>5.57577985341333</v>
      </c>
      <c r="V231" s="217">
        <f t="shared" si="614"/>
        <v>0.17946998060462382</v>
      </c>
      <c r="W231" s="217">
        <f t="shared" si="615"/>
        <v>0.3270060602455222</v>
      </c>
      <c r="X231" s="197">
        <f t="shared" si="616"/>
        <v>350</v>
      </c>
      <c r="Y231" s="443">
        <f t="shared" si="680"/>
        <v>350</v>
      </c>
      <c r="AA231" s="217">
        <f t="shared" si="617"/>
        <v>31.454201771203781</v>
      </c>
      <c r="AB231" s="173">
        <f t="shared" si="618"/>
        <v>1.8447131826900338</v>
      </c>
      <c r="AC231" s="173">
        <f t="shared" si="619"/>
        <v>0.50770983076040344</v>
      </c>
      <c r="AD231" s="173"/>
      <c r="AE231" s="173">
        <f t="shared" si="620"/>
        <v>0.78196788931767369</v>
      </c>
      <c r="AF231" s="545">
        <f t="shared" si="621"/>
        <v>345.28272028611741</v>
      </c>
      <c r="AG231" s="528">
        <f t="shared" si="622"/>
        <v>9.1229587087061942E-2</v>
      </c>
      <c r="AI231" s="173">
        <f t="shared" si="623"/>
        <v>13.243175570570248</v>
      </c>
      <c r="AJ231" s="173">
        <f t="shared" si="624"/>
        <v>13.333333333333334</v>
      </c>
      <c r="AK231" s="173">
        <f t="shared" si="625"/>
        <v>1.197304411592067</v>
      </c>
      <c r="AM231" s="545">
        <f t="shared" si="626"/>
        <v>90</v>
      </c>
      <c r="AN231" s="460">
        <f t="shared" si="627"/>
        <v>345.28272028611741</v>
      </c>
      <c r="AP231">
        <f t="shared" si="628"/>
        <v>90</v>
      </c>
      <c r="AQ231">
        <f t="shared" si="629"/>
        <v>345.28272028611741</v>
      </c>
      <c r="AS231" s="5">
        <f t="shared" si="600"/>
        <v>2.8961773678432365</v>
      </c>
      <c r="AT231" s="5">
        <f t="shared" si="630"/>
        <v>0.42916563021465676</v>
      </c>
      <c r="AU231" s="5">
        <f t="shared" si="478"/>
        <v>2.4670117376285798</v>
      </c>
      <c r="AV231" s="5"/>
      <c r="AW231" s="173">
        <f t="shared" si="479"/>
        <v>0.14818347625382264</v>
      </c>
      <c r="AX231" s="173">
        <f t="shared" si="631"/>
        <v>15.345898679382996</v>
      </c>
      <c r="AY231" s="173">
        <f t="shared" si="632"/>
        <v>0.28393884124872582</v>
      </c>
      <c r="AZ231" s="173">
        <f t="shared" si="633"/>
        <v>54.046493293745037</v>
      </c>
      <c r="BA231" s="460">
        <f t="shared" si="594"/>
        <v>2.2720533364305354E-2</v>
      </c>
      <c r="BB231" s="5">
        <f t="shared" si="595"/>
        <v>3.8877544082478641</v>
      </c>
      <c r="BD231" s="173">
        <f t="shared" si="681"/>
        <v>2.9633162229609522</v>
      </c>
      <c r="BE231" s="173">
        <f t="shared" si="682"/>
        <v>0.35523941300901457</v>
      </c>
      <c r="BG231" s="528">
        <f t="shared" si="683"/>
        <v>0.35124972149054257</v>
      </c>
      <c r="BH231" s="528">
        <f t="shared" si="634"/>
        <v>2.4922006812667026</v>
      </c>
      <c r="BI231" s="528">
        <f t="shared" si="635"/>
        <v>0.2145451210299493</v>
      </c>
      <c r="BJ231" s="528">
        <f t="shared" si="684"/>
        <v>3.9974097043717544E-2</v>
      </c>
      <c r="BK231">
        <f t="shared" si="685"/>
        <v>6.9903081439664297E-3</v>
      </c>
      <c r="BL231" s="460">
        <f t="shared" si="686"/>
        <v>221.53542917391573</v>
      </c>
      <c r="BM231" s="528">
        <f t="shared" si="636"/>
        <v>3.2494511545827369</v>
      </c>
      <c r="BN231" s="460">
        <f t="shared" si="687"/>
        <v>3249.4511545827368</v>
      </c>
      <c r="BO231" s="528">
        <f t="shared" si="637"/>
        <v>6.3E-2</v>
      </c>
      <c r="BR231" s="460">
        <f t="shared" si="688"/>
        <v>63</v>
      </c>
      <c r="BS231" s="528">
        <f t="shared" si="689"/>
        <v>0.26343729111790692</v>
      </c>
      <c r="BT231" s="528">
        <f t="shared" si="690"/>
        <v>3.7858512166496767E-3</v>
      </c>
      <c r="BU231" s="528">
        <f t="shared" si="691"/>
        <v>71.904150094228243</v>
      </c>
      <c r="BV231" s="528"/>
      <c r="BW231" s="528">
        <f t="shared" si="692"/>
        <v>1.5345898679382999</v>
      </c>
      <c r="BX231" s="460">
        <f t="shared" si="693"/>
        <v>73705.96310450109</v>
      </c>
      <c r="BY231" s="173">
        <f t="shared" si="694"/>
        <v>76.873923033475975</v>
      </c>
      <c r="BZ231" s="5">
        <f t="shared" si="695"/>
        <v>15.299999999999999</v>
      </c>
      <c r="CA231" s="173">
        <f t="shared" si="696"/>
        <v>0.16599054804733984</v>
      </c>
      <c r="CB231" s="5">
        <f t="shared" si="697"/>
        <v>16.599054804733985</v>
      </c>
      <c r="CE231" s="562">
        <f t="shared" si="638"/>
        <v>-50</v>
      </c>
      <c r="CF231">
        <f t="shared" si="639"/>
        <v>-50</v>
      </c>
      <c r="CG231" s="173">
        <f t="shared" si="640"/>
        <v>0.27039676729707002</v>
      </c>
      <c r="CI231" s="170">
        <v>15</v>
      </c>
      <c r="CJ231" s="217">
        <f t="shared" si="698"/>
        <v>0.09</v>
      </c>
      <c r="CK231" s="217"/>
      <c r="CL231" s="217">
        <f t="shared" si="641"/>
        <v>15.299999999999999</v>
      </c>
      <c r="CM231" s="541">
        <f t="shared" si="642"/>
        <v>16</v>
      </c>
      <c r="CN231" s="443">
        <f t="shared" si="643"/>
        <v>8.5250000000000004</v>
      </c>
      <c r="CO231" s="443">
        <f t="shared" si="644"/>
        <v>24.524999999999999</v>
      </c>
      <c r="CP231" s="443"/>
      <c r="CQ231" s="217">
        <f t="shared" si="645"/>
        <v>0.34760448521916415</v>
      </c>
      <c r="CR231" s="172">
        <f t="shared" si="646"/>
        <v>188.05866123003739</v>
      </c>
      <c r="CS231" s="172">
        <f t="shared" si="647"/>
        <v>15.299999999999999</v>
      </c>
      <c r="CT231" s="217">
        <f t="shared" si="648"/>
        <v>1.1062274190002199</v>
      </c>
      <c r="CU231" s="217">
        <f t="shared" si="649"/>
        <v>170</v>
      </c>
      <c r="CV231" s="217"/>
      <c r="CW231" s="172">
        <f t="shared" si="650"/>
        <v>5605.9544644614698</v>
      </c>
      <c r="CX231" s="172">
        <f t="shared" si="651"/>
        <v>170</v>
      </c>
      <c r="CY231" s="217">
        <f t="shared" si="652"/>
        <v>5.501942815249266</v>
      </c>
      <c r="CZ231" s="217">
        <f t="shared" si="653"/>
        <v>0.17193571297653953</v>
      </c>
      <c r="DA231" s="217">
        <f t="shared" si="654"/>
        <v>0.32269459326975164</v>
      </c>
      <c r="DB231" s="197">
        <f t="shared" si="655"/>
        <v>350</v>
      </c>
      <c r="DC231" s="443">
        <f t="shared" si="656"/>
        <v>350</v>
      </c>
      <c r="DE231" s="217">
        <f t="shared" si="657"/>
        <v>31.780981505752148</v>
      </c>
      <c r="DF231" s="173">
        <f t="shared" si="658"/>
        <v>1.8639871850881022</v>
      </c>
      <c r="DG231" s="173">
        <f t="shared" si="659"/>
        <v>0.51834424474213492</v>
      </c>
      <c r="DH231" s="173"/>
      <c r="DI231" s="173">
        <f t="shared" si="660"/>
        <v>0.78201368523949166</v>
      </c>
      <c r="DJ231" s="545">
        <f t="shared" si="661"/>
        <v>345.26249999999999</v>
      </c>
      <c r="DK231" s="528">
        <f t="shared" si="662"/>
        <v>9.1234929944607357E-2</v>
      </c>
      <c r="DM231" s="173">
        <f t="shared" si="663"/>
        <v>13.242787794547965</v>
      </c>
      <c r="DN231" s="173">
        <f t="shared" si="664"/>
        <v>13.333333333333334</v>
      </c>
      <c r="DO231" s="173">
        <f t="shared" si="665"/>
        <v>1.1972928571428572</v>
      </c>
      <c r="DQ231" s="545">
        <f t="shared" si="666"/>
        <v>90</v>
      </c>
      <c r="DR231" s="460">
        <f t="shared" si="667"/>
        <v>345.26249999999999</v>
      </c>
      <c r="DT231">
        <f t="shared" si="668"/>
        <v>90</v>
      </c>
      <c r="DU231">
        <f t="shared" si="669"/>
        <v>345.26249999999999</v>
      </c>
      <c r="DW231" s="5">
        <f t="shared" si="670"/>
        <v>2.8963469823684878</v>
      </c>
      <c r="DX231" s="5">
        <f t="shared" si="671"/>
        <v>0.41666666666666669</v>
      </c>
      <c r="DY231" s="5">
        <f t="shared" si="672"/>
        <v>2.4796803157018212</v>
      </c>
      <c r="DZ231" s="5"/>
      <c r="EA231" s="173">
        <f t="shared" si="673"/>
        <v>0.14385937500000001</v>
      </c>
      <c r="EB231" s="173">
        <f t="shared" si="699"/>
        <v>15.345000000000001</v>
      </c>
      <c r="EC231" s="173">
        <f t="shared" si="700"/>
        <v>0.28538020833333338</v>
      </c>
      <c r="ED231" s="173">
        <f t="shared" si="701"/>
        <v>53.770372127826541</v>
      </c>
      <c r="EE231" s="460">
        <f t="shared" si="674"/>
        <v>2.2058823529411763E-2</v>
      </c>
      <c r="EF231" s="5">
        <f t="shared" si="675"/>
        <v>3.7939108830237864</v>
      </c>
      <c r="EH231" s="173">
        <f t="shared" si="702"/>
        <v>2.9197602641312868</v>
      </c>
      <c r="EI231" s="173">
        <f t="shared" si="703"/>
        <v>0.35613992776456305</v>
      </c>
      <c r="EK231" s="528">
        <f t="shared" si="704"/>
        <v>0.34100000000000008</v>
      </c>
      <c r="EL231" s="528">
        <f t="shared" si="705"/>
        <v>3.1047730312500001</v>
      </c>
      <c r="EM231" s="528">
        <f t="shared" si="706"/>
        <v>6.9052500000000003E-2</v>
      </c>
      <c r="EN231" s="528">
        <f t="shared" si="707"/>
        <v>4.1533395595312494E-2</v>
      </c>
      <c r="EO231">
        <f t="shared" si="708"/>
        <v>7.1999999999999998E-3</v>
      </c>
      <c r="EP231" s="460">
        <f t="shared" si="709"/>
        <v>76.252499999999998</v>
      </c>
      <c r="EQ231" s="460"/>
      <c r="ER231" s="460">
        <f t="shared" si="710"/>
        <v>3563.5589268453127</v>
      </c>
      <c r="ES231" s="528">
        <f t="shared" si="711"/>
        <v>6.3E-2</v>
      </c>
      <c r="EV231" s="460">
        <f t="shared" si="712"/>
        <v>63</v>
      </c>
      <c r="EW231" s="528">
        <f t="shared" si="713"/>
        <v>0.25575000000000003</v>
      </c>
      <c r="EX231" s="528">
        <f t="shared" si="714"/>
        <v>3.8050694444444456E-3</v>
      </c>
      <c r="EY231" s="528">
        <f t="shared" si="715"/>
        <v>71.893623513073138</v>
      </c>
      <c r="EZ231" s="528"/>
      <c r="FA231" s="528">
        <f t="shared" si="716"/>
        <v>1.5345</v>
      </c>
      <c r="FB231" s="460">
        <f t="shared" si="717"/>
        <v>73687.678582517576</v>
      </c>
      <c r="FC231" s="173">
        <f t="shared" si="718"/>
        <v>77.314237509362883</v>
      </c>
      <c r="FD231" s="5">
        <f t="shared" si="719"/>
        <v>15.299999999999999</v>
      </c>
      <c r="FE231" s="173">
        <f t="shared" si="720"/>
        <v>0.165201381682306</v>
      </c>
      <c r="FF231" s="5">
        <f t="shared" si="721"/>
        <v>16.520138168230599</v>
      </c>
      <c r="FI231" s="562">
        <f t="shared" si="676"/>
        <v>-50</v>
      </c>
      <c r="FJ231">
        <f t="shared" si="677"/>
        <v>-50</v>
      </c>
      <c r="FL231">
        <f t="shared" si="678"/>
        <v>0.26999999999999996</v>
      </c>
    </row>
    <row r="232" spans="5:168">
      <c r="E232" s="170">
        <v>16</v>
      </c>
      <c r="F232" s="217">
        <f t="shared" si="679"/>
        <v>9.6000000000000002E-2</v>
      </c>
      <c r="G232" s="217"/>
      <c r="H232" s="217">
        <f t="shared" si="603"/>
        <v>16.32</v>
      </c>
      <c r="I232" s="541">
        <f t="shared" si="604"/>
        <v>15.522004184118732</v>
      </c>
      <c r="J232" s="172">
        <f t="shared" si="605"/>
        <v>8.5255121383741592</v>
      </c>
      <c r="K232" s="172">
        <f t="shared" si="606"/>
        <v>24.047516322492889</v>
      </c>
      <c r="L232" s="443"/>
      <c r="M232" s="217">
        <f t="shared" si="607"/>
        <v>0.35452778198873025</v>
      </c>
      <c r="N232" s="172">
        <f t="shared" si="608"/>
        <v>186.07415507057954</v>
      </c>
      <c r="O232" s="172">
        <f t="shared" si="599"/>
        <v>16.32</v>
      </c>
      <c r="P232" s="217">
        <f t="shared" si="609"/>
        <v>1.0945538533563501</v>
      </c>
      <c r="Q232" s="217">
        <f t="shared" si="610"/>
        <v>170</v>
      </c>
      <c r="R232" s="217"/>
      <c r="S232" s="172">
        <f t="shared" si="611"/>
        <v>5079.175259549681</v>
      </c>
      <c r="T232" s="172">
        <f t="shared" si="612"/>
        <v>170</v>
      </c>
      <c r="U232" s="217">
        <f t="shared" si="613"/>
        <v>5.9491328872855602</v>
      </c>
      <c r="V232" s="217">
        <f t="shared" si="614"/>
        <v>0.19163546204208567</v>
      </c>
      <c r="W232" s="217">
        <f t="shared" si="615"/>
        <v>0.34890178975336472</v>
      </c>
      <c r="X232" s="197">
        <f t="shared" si="616"/>
        <v>350</v>
      </c>
      <c r="Y232" s="443">
        <f t="shared" si="680"/>
        <v>350</v>
      </c>
      <c r="AA232" s="217">
        <f t="shared" si="617"/>
        <v>31.445608010627517</v>
      </c>
      <c r="AB232" s="173">
        <f t="shared" si="618"/>
        <v>1.8442063948913858</v>
      </c>
      <c r="AC232" s="173">
        <f t="shared" si="619"/>
        <v>0.5074316746139117</v>
      </c>
      <c r="AD232" s="173"/>
      <c r="AE232" s="173">
        <f t="shared" si="620"/>
        <v>0.78196670868127105</v>
      </c>
      <c r="AF232" s="545">
        <f t="shared" si="621"/>
        <v>368.30212437776368</v>
      </c>
      <c r="AG232" s="528">
        <f t="shared" si="622"/>
        <v>9.1229449346148295E-2</v>
      </c>
      <c r="AI232" s="173">
        <f t="shared" si="623"/>
        <v>13.677503241529088</v>
      </c>
      <c r="AJ232" s="173">
        <f t="shared" si="624"/>
        <v>13.677503241529088</v>
      </c>
      <c r="AK232" s="173">
        <f t="shared" si="625"/>
        <v>1.4549406727375955</v>
      </c>
      <c r="AM232" s="545">
        <f t="shared" si="626"/>
        <v>96</v>
      </c>
      <c r="AN232" s="460">
        <f t="shared" si="627"/>
        <v>350</v>
      </c>
      <c r="AP232">
        <f t="shared" si="628"/>
        <v>96</v>
      </c>
      <c r="AQ232">
        <f t="shared" si="629"/>
        <v>350</v>
      </c>
      <c r="AS232" s="5">
        <f t="shared" si="600"/>
        <v>2.8571428571428572</v>
      </c>
      <c r="AT232" s="5">
        <f t="shared" si="630"/>
        <v>0.44058431756909211</v>
      </c>
      <c r="AU232" s="5">
        <f t="shared" si="478"/>
        <v>2.416558539573765</v>
      </c>
      <c r="AV232" s="5"/>
      <c r="AW232" s="173">
        <f t="shared" si="479"/>
        <v>0.15420451114918224</v>
      </c>
      <c r="AX232" s="173">
        <f t="shared" si="631"/>
        <v>16.368983305678384</v>
      </c>
      <c r="AY232" s="173">
        <f t="shared" si="632"/>
        <v>0.28920926351069354</v>
      </c>
      <c r="AZ232" s="173">
        <f t="shared" si="633"/>
        <v>56.599097508068375</v>
      </c>
      <c r="BA232" s="460">
        <f t="shared" si="594"/>
        <v>2.4880055580372259E-2</v>
      </c>
      <c r="BB232" s="5">
        <f t="shared" si="595"/>
        <v>4.0652724890972411</v>
      </c>
      <c r="BD232" s="173">
        <f t="shared" si="681"/>
        <v>3.1009498198739416</v>
      </c>
      <c r="BE232" s="173">
        <f t="shared" si="682"/>
        <v>0.36311892630136805</v>
      </c>
      <c r="BG232" s="528">
        <f t="shared" si="683"/>
        <v>0.38463559141504922</v>
      </c>
      <c r="BH232" s="528">
        <f t="shared" si="634"/>
        <v>2.5901661118065085</v>
      </c>
      <c r="BI232" s="528">
        <f t="shared" si="635"/>
        <v>0.21730805857766225</v>
      </c>
      <c r="BJ232" s="528">
        <f t="shared" si="684"/>
        <v>4.0479812889639338E-2</v>
      </c>
      <c r="BK232">
        <f t="shared" si="685"/>
        <v>6.9849018828534292E-3</v>
      </c>
      <c r="BL232" s="460">
        <f t="shared" si="686"/>
        <v>224.29296046051567</v>
      </c>
      <c r="BM232" s="528">
        <f t="shared" si="636"/>
        <v>3.4328602181229799</v>
      </c>
      <c r="BN232" s="460">
        <f t="shared" si="687"/>
        <v>3432.8602181229799</v>
      </c>
      <c r="BO232" s="528">
        <f t="shared" si="637"/>
        <v>6.7199999999999996E-2</v>
      </c>
      <c r="BR232" s="460">
        <f t="shared" si="688"/>
        <v>67.2</v>
      </c>
      <c r="BS232" s="528">
        <f t="shared" si="689"/>
        <v>0.28847669356128691</v>
      </c>
      <c r="BT232" s="528">
        <f t="shared" si="690"/>
        <v>3.9556606391477509E-3</v>
      </c>
      <c r="BU232" s="528">
        <f t="shared" si="691"/>
        <v>79.278820683187988</v>
      </c>
      <c r="BV232" s="528"/>
      <c r="BW232" s="528">
        <f t="shared" si="692"/>
        <v>1.6368983305678391</v>
      </c>
      <c r="BX232" s="460">
        <f t="shared" si="693"/>
        <v>81208.151367956263</v>
      </c>
      <c r="BY232" s="173">
        <f t="shared" si="694"/>
        <v>84.51492584452798</v>
      </c>
      <c r="BZ232" s="5">
        <f t="shared" si="695"/>
        <v>16.32</v>
      </c>
      <c r="CA232" s="173">
        <f t="shared" si="696"/>
        <v>0.16184868351232728</v>
      </c>
      <c r="CB232" s="5">
        <f t="shared" si="697"/>
        <v>16.18486835123273</v>
      </c>
      <c r="CE232" s="562">
        <f t="shared" si="638"/>
        <v>-50</v>
      </c>
      <c r="CF232">
        <f t="shared" si="639"/>
        <v>-50</v>
      </c>
      <c r="CG232" s="173">
        <f t="shared" si="640"/>
        <v>0.28117400934192294</v>
      </c>
      <c r="CI232" s="170">
        <v>16</v>
      </c>
      <c r="CJ232" s="217">
        <f t="shared" si="698"/>
        <v>9.6000000000000002E-2</v>
      </c>
      <c r="CK232" s="217"/>
      <c r="CL232" s="217">
        <f t="shared" si="641"/>
        <v>16.32</v>
      </c>
      <c r="CM232" s="541">
        <f t="shared" si="642"/>
        <v>16</v>
      </c>
      <c r="CN232" s="443">
        <f t="shared" si="643"/>
        <v>8.5250000000000004</v>
      </c>
      <c r="CO232" s="443">
        <f t="shared" si="644"/>
        <v>24.524999999999999</v>
      </c>
      <c r="CP232" s="443"/>
      <c r="CQ232" s="217">
        <f t="shared" si="645"/>
        <v>0.34760448521916415</v>
      </c>
      <c r="CR232" s="172">
        <f t="shared" si="646"/>
        <v>188.05866123003739</v>
      </c>
      <c r="CS232" s="172">
        <f t="shared" si="647"/>
        <v>16.32</v>
      </c>
      <c r="CT232" s="217">
        <f t="shared" si="648"/>
        <v>1.1062274190002199</v>
      </c>
      <c r="CU232" s="217">
        <f t="shared" si="649"/>
        <v>170</v>
      </c>
      <c r="CV232" s="217"/>
      <c r="CW232" s="172">
        <f t="shared" si="650"/>
        <v>5235.5861127306198</v>
      </c>
      <c r="CX232" s="172">
        <f t="shared" si="651"/>
        <v>170</v>
      </c>
      <c r="CY232" s="217">
        <f t="shared" si="652"/>
        <v>5.8687390029325508</v>
      </c>
      <c r="CZ232" s="217">
        <f t="shared" si="653"/>
        <v>0.18339809384164218</v>
      </c>
      <c r="DA232" s="217">
        <f t="shared" si="654"/>
        <v>0.34420756615440179</v>
      </c>
      <c r="DB232" s="197">
        <f t="shared" si="655"/>
        <v>350</v>
      </c>
      <c r="DC232" s="443">
        <f t="shared" si="656"/>
        <v>350</v>
      </c>
      <c r="DE232" s="217">
        <f t="shared" si="657"/>
        <v>31.780981505752148</v>
      </c>
      <c r="DF232" s="173">
        <f t="shared" si="658"/>
        <v>1.8639871850881022</v>
      </c>
      <c r="DG232" s="173">
        <f t="shared" si="659"/>
        <v>0.51834424474213492</v>
      </c>
      <c r="DH232" s="173"/>
      <c r="DI232" s="173">
        <f t="shared" si="660"/>
        <v>0.78201368523949166</v>
      </c>
      <c r="DJ232" s="545">
        <f t="shared" si="661"/>
        <v>368.28</v>
      </c>
      <c r="DK232" s="528">
        <f t="shared" si="662"/>
        <v>9.1234929944607357E-2</v>
      </c>
      <c r="DM232" s="173">
        <f t="shared" si="663"/>
        <v>13.677092422838165</v>
      </c>
      <c r="DN232" s="173">
        <f t="shared" si="664"/>
        <v>13.677092422838165</v>
      </c>
      <c r="DO232" s="173">
        <f t="shared" si="665"/>
        <v>1.4546363625961707</v>
      </c>
      <c r="DQ232" s="545">
        <f t="shared" si="666"/>
        <v>96</v>
      </c>
      <c r="DR232" s="460">
        <f t="shared" si="667"/>
        <v>350</v>
      </c>
      <c r="DT232">
        <f t="shared" si="668"/>
        <v>96</v>
      </c>
      <c r="DU232">
        <f t="shared" si="669"/>
        <v>350</v>
      </c>
      <c r="DW232" s="5">
        <f t="shared" si="670"/>
        <v>2.8571428571428572</v>
      </c>
      <c r="DX232" s="5">
        <f t="shared" si="671"/>
        <v>0.42740913821369264</v>
      </c>
      <c r="DY232" s="5">
        <f t="shared" si="672"/>
        <v>2.4297337189291648</v>
      </c>
      <c r="DZ232" s="5"/>
      <c r="EA232" s="173">
        <f t="shared" si="673"/>
        <v>0.14959319837479243</v>
      </c>
      <c r="EB232" s="173">
        <f t="shared" si="699"/>
        <v>16.367999999999999</v>
      </c>
      <c r="EC232" s="173">
        <f t="shared" si="700"/>
        <v>0.29077731057095413</v>
      </c>
      <c r="ED232" s="173">
        <f t="shared" si="701"/>
        <v>56.290499309800708</v>
      </c>
      <c r="EE232" s="460">
        <f t="shared" si="674"/>
        <v>2.4136045452067351E-2</v>
      </c>
      <c r="EF232" s="5">
        <f t="shared" si="675"/>
        <v>3.9653254292923967</v>
      </c>
      <c r="EH232" s="173">
        <f t="shared" si="702"/>
        <v>3.0541409647191511</v>
      </c>
      <c r="EI232" s="173">
        <f t="shared" si="703"/>
        <v>0.36409651427166295</v>
      </c>
      <c r="EK232" s="528">
        <f t="shared" si="704"/>
        <v>0.37311108129502507</v>
      </c>
      <c r="EL232" s="528">
        <f t="shared" si="705"/>
        <v>3.2285204073247695</v>
      </c>
      <c r="EM232" s="528">
        <f t="shared" si="706"/>
        <v>6.9999999999999993E-2</v>
      </c>
      <c r="EN232" s="528">
        <f t="shared" si="707"/>
        <v>4.2103293749999993E-2</v>
      </c>
      <c r="EO232">
        <f t="shared" si="708"/>
        <v>7.1999999999999998E-3</v>
      </c>
      <c r="EP232" s="460">
        <f t="shared" si="709"/>
        <v>77.199999999999989</v>
      </c>
      <c r="EQ232" s="460"/>
      <c r="ER232" s="460">
        <f t="shared" si="710"/>
        <v>3720.9347823697944</v>
      </c>
      <c r="ES232" s="528">
        <f t="shared" si="711"/>
        <v>6.7199999999999996E-2</v>
      </c>
      <c r="EV232" s="460">
        <f t="shared" si="712"/>
        <v>67.2</v>
      </c>
      <c r="EW232" s="528">
        <f t="shared" si="713"/>
        <v>0.27983331097126879</v>
      </c>
      <c r="EX232" s="528">
        <f t="shared" si="714"/>
        <v>3.9769881511432575E-3</v>
      </c>
      <c r="EY232" s="528">
        <f t="shared" si="715"/>
        <v>79.272867753206839</v>
      </c>
      <c r="EZ232" s="528"/>
      <c r="FA232" s="528">
        <f t="shared" si="716"/>
        <v>1.6367999999999998</v>
      </c>
      <c r="FB232" s="460">
        <f t="shared" si="717"/>
        <v>81193.478052329243</v>
      </c>
      <c r="FC232" s="173">
        <f t="shared" si="718"/>
        <v>84.981612834699035</v>
      </c>
      <c r="FD232" s="5">
        <f t="shared" si="719"/>
        <v>16.32</v>
      </c>
      <c r="FE232" s="173">
        <f t="shared" si="720"/>
        <v>0.16110306186961201</v>
      </c>
      <c r="FF232" s="5">
        <f t="shared" si="721"/>
        <v>16.1103061869612</v>
      </c>
      <c r="FI232" s="562">
        <f t="shared" si="676"/>
        <v>-50</v>
      </c>
      <c r="FJ232">
        <f t="shared" si="677"/>
        <v>-50</v>
      </c>
      <c r="FL232">
        <f t="shared" si="678"/>
        <v>0.28076142803480103</v>
      </c>
    </row>
    <row r="233" spans="5:168">
      <c r="E233" s="170">
        <v>17</v>
      </c>
      <c r="F233" s="217">
        <f t="shared" si="679"/>
        <v>0.10200000000000001</v>
      </c>
      <c r="G233" s="217"/>
      <c r="H233" s="217">
        <f t="shared" si="603"/>
        <v>17.34</v>
      </c>
      <c r="I233" s="541">
        <f t="shared" si="604"/>
        <v>15.507293190629559</v>
      </c>
      <c r="J233" s="172">
        <f t="shared" si="605"/>
        <v>8.5255279001528983</v>
      </c>
      <c r="K233" s="172">
        <f t="shared" si="606"/>
        <v>24.032821090782456</v>
      </c>
      <c r="L233" s="443"/>
      <c r="M233" s="217">
        <f t="shared" si="607"/>
        <v>0.35474521981864215</v>
      </c>
      <c r="N233" s="172">
        <f t="shared" si="608"/>
        <v>186.01181735995081</v>
      </c>
      <c r="O233" s="172">
        <f t="shared" si="599"/>
        <v>17.34</v>
      </c>
      <c r="P233" s="217">
        <f t="shared" si="609"/>
        <v>1.0941871609408871</v>
      </c>
      <c r="Q233" s="217">
        <f t="shared" si="610"/>
        <v>170</v>
      </c>
      <c r="R233" s="217"/>
      <c r="S233" s="172">
        <f t="shared" si="611"/>
        <v>4757.6296000956117</v>
      </c>
      <c r="T233" s="172">
        <f t="shared" si="612"/>
        <v>170</v>
      </c>
      <c r="U233" s="217">
        <f t="shared" si="613"/>
        <v>6.3230837264828317</v>
      </c>
      <c r="V233" s="217">
        <f t="shared" si="614"/>
        <v>0.20387451403522891</v>
      </c>
      <c r="W233" s="217">
        <f t="shared" si="615"/>
        <v>0.37083238718680589</v>
      </c>
      <c r="X233" s="197">
        <f t="shared" si="616"/>
        <v>350</v>
      </c>
      <c r="Y233" s="443">
        <f t="shared" si="680"/>
        <v>350</v>
      </c>
      <c r="AA233" s="217">
        <f t="shared" si="617"/>
        <v>31.435073192651608</v>
      </c>
      <c r="AB233" s="173">
        <f t="shared" si="618"/>
        <v>1.8435851457414059</v>
      </c>
      <c r="AC233" s="173">
        <f t="shared" si="619"/>
        <v>0.50709079744108077</v>
      </c>
      <c r="AD233" s="173"/>
      <c r="AE233" s="173">
        <f t="shared" si="620"/>
        <v>0.78196526300114566</v>
      </c>
      <c r="AF233" s="545">
        <f t="shared" si="621"/>
        <v>391.32173061701809</v>
      </c>
      <c r="AG233" s="528">
        <f t="shared" si="622"/>
        <v>9.1229280683467001E-2</v>
      </c>
      <c r="AI233" s="173">
        <f t="shared" si="623"/>
        <v>14.098460672331537</v>
      </c>
      <c r="AJ233" s="173">
        <f t="shared" si="624"/>
        <v>14.098460672331537</v>
      </c>
      <c r="AK233" s="173">
        <f t="shared" si="625"/>
        <v>1.7667609918505209</v>
      </c>
      <c r="AM233" s="545">
        <f t="shared" si="626"/>
        <v>102.00000000000001</v>
      </c>
      <c r="AN233" s="460">
        <f t="shared" si="627"/>
        <v>350</v>
      </c>
      <c r="AP233">
        <f t="shared" si="628"/>
        <v>102.00000000000001</v>
      </c>
      <c r="AQ233">
        <f t="shared" si="629"/>
        <v>350</v>
      </c>
      <c r="AS233" s="5">
        <f t="shared" si="600"/>
        <v>2.8571428571428572</v>
      </c>
      <c r="AT233" s="5">
        <f t="shared" si="630"/>
        <v>0.45457516340926207</v>
      </c>
      <c r="AU233" s="5">
        <f t="shared" si="478"/>
        <v>2.4025676937335954</v>
      </c>
      <c r="AV233" s="5"/>
      <c r="AW233" s="173">
        <f t="shared" si="479"/>
        <v>0.15910130719324173</v>
      </c>
      <c r="AX233" s="173">
        <f t="shared" si="631"/>
        <v>17.392076916311915</v>
      </c>
      <c r="AY233" s="173">
        <f t="shared" si="632"/>
        <v>0.29638442874877707</v>
      </c>
      <c r="AZ233" s="173">
        <f t="shared" si="633"/>
        <v>58.68080516150826</v>
      </c>
      <c r="BA233" s="460">
        <f t="shared" si="594"/>
        <v>2.7274509804555726E-2</v>
      </c>
      <c r="BB233" s="5">
        <f t="shared" si="595"/>
        <v>4.2984186392518158</v>
      </c>
      <c r="BD233" s="173">
        <f t="shared" si="681"/>
        <v>3.2467432310463447</v>
      </c>
      <c r="BE233" s="173">
        <f t="shared" si="682"/>
        <v>0.37320969139819515</v>
      </c>
      <c r="BG233" s="528">
        <f t="shared" si="683"/>
        <v>0.4216536643338103</v>
      </c>
      <c r="BH233" s="528">
        <f t="shared" si="634"/>
        <v>2.6682530410744136</v>
      </c>
      <c r="BI233" s="528">
        <f t="shared" si="635"/>
        <v>0.21710210466881383</v>
      </c>
      <c r="BJ233" s="528">
        <f t="shared" si="684"/>
        <v>4.0430354270709061E-2</v>
      </c>
      <c r="BK233">
        <f t="shared" si="685"/>
        <v>6.9782819357833018E-3</v>
      </c>
      <c r="BL233" s="460">
        <f t="shared" si="686"/>
        <v>224.08038660459715</v>
      </c>
      <c r="BM233" s="528">
        <f t="shared" si="636"/>
        <v>3.60538913764728</v>
      </c>
      <c r="BN233" s="460">
        <f t="shared" si="687"/>
        <v>3605.3891376472798</v>
      </c>
      <c r="BO233" s="528">
        <f t="shared" si="637"/>
        <v>7.1400000000000005E-2</v>
      </c>
      <c r="BR233" s="460">
        <f t="shared" si="688"/>
        <v>71.400000000000006</v>
      </c>
      <c r="BS233" s="528">
        <f t="shared" si="689"/>
        <v>0.31624024825035774</v>
      </c>
      <c r="BT233" s="528">
        <f t="shared" si="690"/>
        <v>4.1785642126060812E-3</v>
      </c>
      <c r="BU233" s="528">
        <f t="shared" si="691"/>
        <v>85.520328063639397</v>
      </c>
      <c r="BV233" s="528"/>
      <c r="BW233" s="528">
        <f t="shared" si="692"/>
        <v>1.7392076916311918</v>
      </c>
      <c r="BX233" s="460">
        <f t="shared" si="693"/>
        <v>87579.954567733555</v>
      </c>
      <c r="BY233" s="173">
        <f t="shared" si="694"/>
        <v>91.005772014017083</v>
      </c>
      <c r="BZ233" s="5">
        <f t="shared" si="695"/>
        <v>17.34</v>
      </c>
      <c r="CA233" s="173">
        <f t="shared" si="696"/>
        <v>0.16004316253112913</v>
      </c>
      <c r="CB233" s="5">
        <f t="shared" si="697"/>
        <v>16.004316253112911</v>
      </c>
      <c r="CE233" s="562">
        <f t="shared" si="638"/>
        <v>-50</v>
      </c>
      <c r="CF233">
        <f t="shared" si="639"/>
        <v>-50</v>
      </c>
      <c r="CG233" s="173">
        <f t="shared" si="640"/>
        <v>0.28982753492378871</v>
      </c>
      <c r="CI233" s="170">
        <v>17</v>
      </c>
      <c r="CJ233" s="217">
        <f t="shared" si="698"/>
        <v>0.10200000000000001</v>
      </c>
      <c r="CK233" s="217"/>
      <c r="CL233" s="217">
        <f t="shared" si="641"/>
        <v>17.34</v>
      </c>
      <c r="CM233" s="541">
        <f t="shared" si="642"/>
        <v>16</v>
      </c>
      <c r="CN233" s="443">
        <f t="shared" si="643"/>
        <v>8.5250000000000004</v>
      </c>
      <c r="CO233" s="443">
        <f t="shared" si="644"/>
        <v>24.524999999999999</v>
      </c>
      <c r="CP233" s="443"/>
      <c r="CQ233" s="217">
        <f t="shared" si="645"/>
        <v>0.34760448521916415</v>
      </c>
      <c r="CR233" s="172">
        <f t="shared" si="646"/>
        <v>188.05866123003739</v>
      </c>
      <c r="CS233" s="172">
        <f t="shared" si="647"/>
        <v>17.34</v>
      </c>
      <c r="CT233" s="217">
        <f t="shared" si="648"/>
        <v>1.1062274190002199</v>
      </c>
      <c r="CU233" s="217">
        <f t="shared" si="649"/>
        <v>170</v>
      </c>
      <c r="CV233" s="217"/>
      <c r="CW233" s="172">
        <f t="shared" si="650"/>
        <v>4908.7907612004228</v>
      </c>
      <c r="CX233" s="172">
        <f t="shared" si="651"/>
        <v>170</v>
      </c>
      <c r="CY233" s="217">
        <f t="shared" si="652"/>
        <v>6.2355351906158347</v>
      </c>
      <c r="CZ233" s="217">
        <f t="shared" si="653"/>
        <v>0.19486047470674481</v>
      </c>
      <c r="DA233" s="217">
        <f t="shared" si="654"/>
        <v>0.36572053903905183</v>
      </c>
      <c r="DB233" s="197">
        <f t="shared" si="655"/>
        <v>350</v>
      </c>
      <c r="DC233" s="443">
        <f t="shared" si="656"/>
        <v>350</v>
      </c>
      <c r="DE233" s="217">
        <f t="shared" si="657"/>
        <v>31.780981505752148</v>
      </c>
      <c r="DF233" s="173">
        <f t="shared" si="658"/>
        <v>1.8639871850881022</v>
      </c>
      <c r="DG233" s="173">
        <f t="shared" si="659"/>
        <v>0.51834424474213492</v>
      </c>
      <c r="DH233" s="173"/>
      <c r="DI233" s="173">
        <f t="shared" si="660"/>
        <v>0.78201368523949166</v>
      </c>
      <c r="DJ233" s="545">
        <f t="shared" si="661"/>
        <v>391.29750000000001</v>
      </c>
      <c r="DK233" s="528">
        <f t="shared" si="662"/>
        <v>9.1234929944607357E-2</v>
      </c>
      <c r="DM233" s="173">
        <f t="shared" si="663"/>
        <v>14.09802417767418</v>
      </c>
      <c r="DN233" s="173">
        <f t="shared" si="664"/>
        <v>14.09802417767418</v>
      </c>
      <c r="DO233" s="173">
        <f t="shared" si="665"/>
        <v>1.7664376624747007</v>
      </c>
      <c r="DQ233" s="545">
        <f t="shared" si="666"/>
        <v>102.00000000000001</v>
      </c>
      <c r="DR233" s="460">
        <f t="shared" si="667"/>
        <v>350</v>
      </c>
      <c r="DT233">
        <f t="shared" si="668"/>
        <v>102.00000000000001</v>
      </c>
      <c r="DU233">
        <f t="shared" si="669"/>
        <v>350</v>
      </c>
      <c r="DW233" s="5">
        <f t="shared" si="670"/>
        <v>2.8571428571428572</v>
      </c>
      <c r="DX233" s="5">
        <f t="shared" si="671"/>
        <v>0.44056325555231812</v>
      </c>
      <c r="DY233" s="5">
        <f t="shared" si="672"/>
        <v>2.4165796015905392</v>
      </c>
      <c r="DZ233" s="5"/>
      <c r="EA233" s="173">
        <f t="shared" si="673"/>
        <v>0.15419713944331134</v>
      </c>
      <c r="EB233" s="173">
        <f t="shared" si="699"/>
        <v>17.391000000000005</v>
      </c>
      <c r="EC233" s="173">
        <f t="shared" si="700"/>
        <v>0.29810372944185448</v>
      </c>
      <c r="ED233" s="173">
        <f t="shared" si="701"/>
        <v>58.338753535762599</v>
      </c>
      <c r="EE233" s="460">
        <f t="shared" si="674"/>
        <v>2.6433795333139089E-2</v>
      </c>
      <c r="EF233" s="5">
        <f t="shared" si="675"/>
        <v>4.1903490291579946</v>
      </c>
      <c r="EH233" s="173">
        <f t="shared" si="702"/>
        <v>3.1962135050317202</v>
      </c>
      <c r="EI233" s="173">
        <f t="shared" si="703"/>
        <v>0.37428481067791619</v>
      </c>
      <c r="EK233" s="528">
        <f t="shared" si="704"/>
        <v>0.40863123078988617</v>
      </c>
      <c r="EL233" s="528">
        <f t="shared" si="705"/>
        <v>3.3278826634655454</v>
      </c>
      <c r="EM233" s="528">
        <f t="shared" si="706"/>
        <v>6.9999999999999993E-2</v>
      </c>
      <c r="EN233" s="528">
        <f t="shared" si="707"/>
        <v>4.2103293749999993E-2</v>
      </c>
      <c r="EO233">
        <f t="shared" si="708"/>
        <v>7.1999999999999998E-3</v>
      </c>
      <c r="EP233" s="460">
        <f t="shared" si="709"/>
        <v>77.199999999999989</v>
      </c>
      <c r="EQ233" s="460"/>
      <c r="ER233" s="460">
        <f t="shared" si="710"/>
        <v>3855.8171880054315</v>
      </c>
      <c r="ES233" s="528">
        <f t="shared" si="711"/>
        <v>7.1400000000000005E-2</v>
      </c>
      <c r="EV233" s="460">
        <f t="shared" si="712"/>
        <v>71.400000000000006</v>
      </c>
      <c r="EW233" s="528">
        <f t="shared" si="713"/>
        <v>0.3064734230924146</v>
      </c>
      <c r="EX233" s="528">
        <f t="shared" si="714"/>
        <v>4.2026735851261069E-3</v>
      </c>
      <c r="EY233" s="528">
        <f t="shared" si="715"/>
        <v>85.513708848185431</v>
      </c>
      <c r="EZ233" s="528"/>
      <c r="FA233" s="528">
        <f t="shared" si="716"/>
        <v>1.7391000000000003</v>
      </c>
      <c r="FB233" s="460">
        <f t="shared" si="717"/>
        <v>87563.484944862968</v>
      </c>
      <c r="FC233" s="173">
        <f t="shared" si="718"/>
        <v>91.490702132868392</v>
      </c>
      <c r="FD233" s="5">
        <f t="shared" si="719"/>
        <v>17.34</v>
      </c>
      <c r="FE233" s="173">
        <f t="shared" si="720"/>
        <v>0.15933003886008262</v>
      </c>
      <c r="FF233" s="5">
        <f t="shared" si="721"/>
        <v>15.933003886008262</v>
      </c>
      <c r="FI233" s="562">
        <f t="shared" si="676"/>
        <v>-50</v>
      </c>
      <c r="FJ233">
        <f t="shared" si="677"/>
        <v>-50</v>
      </c>
      <c r="FL233">
        <f t="shared" si="678"/>
        <v>0.28940225584668405</v>
      </c>
    </row>
    <row r="234" spans="5:168">
      <c r="E234" s="170">
        <v>18</v>
      </c>
      <c r="F234" s="217">
        <f t="shared" si="679"/>
        <v>0.108</v>
      </c>
      <c r="G234" s="217"/>
      <c r="H234" s="217">
        <f t="shared" si="603"/>
        <v>18.36</v>
      </c>
      <c r="I234" s="541">
        <f t="shared" si="604"/>
        <v>15.493008875817337</v>
      </c>
      <c r="J234" s="172">
        <f t="shared" si="605"/>
        <v>8.5255432047759108</v>
      </c>
      <c r="K234" s="172">
        <f t="shared" si="606"/>
        <v>24.018552080593246</v>
      </c>
      <c r="L234" s="443"/>
      <c r="M234" s="217">
        <f t="shared" si="607"/>
        <v>0.35495660567176779</v>
      </c>
      <c r="N234" s="172">
        <f t="shared" si="608"/>
        <v>185.95121407768036</v>
      </c>
      <c r="O234" s="172">
        <f t="shared" si="599"/>
        <v>18.36</v>
      </c>
      <c r="P234" s="217">
        <f t="shared" si="609"/>
        <v>1.0938306710451786</v>
      </c>
      <c r="Q234" s="217">
        <f t="shared" si="610"/>
        <v>170</v>
      </c>
      <c r="R234" s="217"/>
      <c r="S234" s="172">
        <f t="shared" si="611"/>
        <v>4471.967326244483</v>
      </c>
      <c r="T234" s="172">
        <f t="shared" si="612"/>
        <v>170</v>
      </c>
      <c r="U234" s="217">
        <f t="shared" si="613"/>
        <v>6.6972238425896586</v>
      </c>
      <c r="V234" s="217">
        <f t="shared" si="614"/>
        <v>0.21613696526835383</v>
      </c>
      <c r="W234" s="217">
        <f t="shared" si="615"/>
        <v>0.39277402516932597</v>
      </c>
      <c r="X234" s="197">
        <f t="shared" si="616"/>
        <v>350</v>
      </c>
      <c r="Y234" s="443">
        <f t="shared" si="680"/>
        <v>350</v>
      </c>
      <c r="AA234" s="217">
        <f t="shared" si="617"/>
        <v>31.424831486105827</v>
      </c>
      <c r="AB234" s="173">
        <f t="shared" si="618"/>
        <v>1.8429811879026079</v>
      </c>
      <c r="AC234" s="173">
        <f t="shared" si="619"/>
        <v>0.50675951604164771</v>
      </c>
      <c r="AD234" s="173"/>
      <c r="AE234" s="173">
        <f t="shared" si="620"/>
        <v>0.78196385925674239</v>
      </c>
      <c r="AF234" s="545">
        <f t="shared" si="621"/>
        <v>414.34139975210917</v>
      </c>
      <c r="AG234" s="528">
        <f t="shared" si="622"/>
        <v>9.1229116913286612E-2</v>
      </c>
      <c r="AI234" s="173">
        <f t="shared" si="623"/>
        <v>14.507209369262272</v>
      </c>
      <c r="AJ234" s="173">
        <f t="shared" si="624"/>
        <v>14.507209369262272</v>
      </c>
      <c r="AK234" s="173">
        <f t="shared" si="625"/>
        <v>2.069537804391806</v>
      </c>
      <c r="AM234" s="545">
        <f t="shared" si="626"/>
        <v>108</v>
      </c>
      <c r="AN234" s="460">
        <f t="shared" si="627"/>
        <v>350</v>
      </c>
      <c r="AP234">
        <f t="shared" si="628"/>
        <v>108</v>
      </c>
      <c r="AQ234">
        <f t="shared" si="629"/>
        <v>350</v>
      </c>
      <c r="AS234" s="5">
        <f t="shared" si="600"/>
        <v>2.8571428571428572</v>
      </c>
      <c r="AT234" s="5">
        <f t="shared" si="630"/>
        <v>0.46818566637195386</v>
      </c>
      <c r="AU234" s="5">
        <f t="shared" ref="AU234:AU297" si="722">AS234-AT234</f>
        <v>2.3889571907709035</v>
      </c>
      <c r="AV234" s="5"/>
      <c r="AW234" s="173">
        <f t="shared" ref="AW234:AW297" si="723">AT234/AS234</f>
        <v>0.16386498323018384</v>
      </c>
      <c r="AX234" s="173">
        <f t="shared" si="631"/>
        <v>18.415173322315965</v>
      </c>
      <c r="AY234" s="173">
        <f t="shared" si="632"/>
        <v>0.3032496437312836</v>
      </c>
      <c r="AZ234" s="173">
        <f t="shared" si="633"/>
        <v>60.726116923764856</v>
      </c>
      <c r="BA234" s="460">
        <f t="shared" si="594"/>
        <v>2.9743559981277066E-2</v>
      </c>
      <c r="BB234" s="5">
        <f t="shared" si="595"/>
        <v>4.529656375891272</v>
      </c>
      <c r="BD234" s="173">
        <f t="shared" si="681"/>
        <v>3.3905201554262097</v>
      </c>
      <c r="BE234" s="173">
        <f t="shared" si="682"/>
        <v>0.38294064260508759</v>
      </c>
      <c r="BG234" s="528">
        <f t="shared" si="683"/>
        <v>0.45982507697405473</v>
      </c>
      <c r="BH234" s="528">
        <f t="shared" si="634"/>
        <v>2.7439820397651071</v>
      </c>
      <c r="BI234" s="528">
        <f t="shared" si="635"/>
        <v>0.2169021242614427</v>
      </c>
      <c r="BJ234" s="528">
        <f t="shared" si="684"/>
        <v>4.0382359083371913E-2</v>
      </c>
      <c r="BK234">
        <f t="shared" si="685"/>
        <v>6.9718539941178012E-3</v>
      </c>
      <c r="BL234" s="460">
        <f t="shared" si="686"/>
        <v>223.8739782555605</v>
      </c>
      <c r="BM234" s="528">
        <f t="shared" si="636"/>
        <v>3.7814864214821786</v>
      </c>
      <c r="BN234" s="460">
        <f t="shared" si="687"/>
        <v>3781.4864214821787</v>
      </c>
      <c r="BO234" s="528">
        <f t="shared" si="637"/>
        <v>7.5600000000000001E-2</v>
      </c>
      <c r="BR234" s="460">
        <f t="shared" si="688"/>
        <v>75.599999999999994</v>
      </c>
      <c r="BS234" s="528">
        <f t="shared" si="689"/>
        <v>0.34486880773054102</v>
      </c>
      <c r="BT234" s="528">
        <f t="shared" si="690"/>
        <v>4.3993060727639229E-3</v>
      </c>
      <c r="BU234" s="528">
        <f t="shared" si="691"/>
        <v>91.854367790978756</v>
      </c>
      <c r="BV234" s="528"/>
      <c r="BW234" s="528">
        <f t="shared" si="692"/>
        <v>1.8415173322315967</v>
      </c>
      <c r="BX234" s="460">
        <f t="shared" si="693"/>
        <v>94045.15323701367</v>
      </c>
      <c r="BY234" s="173">
        <f t="shared" si="694"/>
        <v>97.588816691091765</v>
      </c>
      <c r="BZ234" s="5">
        <f t="shared" si="695"/>
        <v>18.36</v>
      </c>
      <c r="CA234" s="173">
        <f t="shared" si="696"/>
        <v>0.15834572981382208</v>
      </c>
      <c r="CB234" s="5">
        <f t="shared" si="697"/>
        <v>15.834572981382209</v>
      </c>
      <c r="CE234" s="562">
        <f t="shared" si="638"/>
        <v>-50</v>
      </c>
      <c r="CF234">
        <f t="shared" si="639"/>
        <v>-50</v>
      </c>
      <c r="CG234" s="173">
        <f t="shared" si="640"/>
        <v>0.29823007304862503</v>
      </c>
      <c r="CI234" s="170">
        <v>18</v>
      </c>
      <c r="CJ234" s="217">
        <f t="shared" si="698"/>
        <v>0.108</v>
      </c>
      <c r="CK234" s="217"/>
      <c r="CL234" s="217">
        <f t="shared" si="641"/>
        <v>18.36</v>
      </c>
      <c r="CM234" s="541">
        <f t="shared" si="642"/>
        <v>16</v>
      </c>
      <c r="CN234" s="443">
        <f t="shared" si="643"/>
        <v>8.5250000000000004</v>
      </c>
      <c r="CO234" s="443">
        <f t="shared" si="644"/>
        <v>24.524999999999999</v>
      </c>
      <c r="CP234" s="443"/>
      <c r="CQ234" s="217">
        <f t="shared" si="645"/>
        <v>0.34760448521916415</v>
      </c>
      <c r="CR234" s="172">
        <f t="shared" si="646"/>
        <v>188.05866123003739</v>
      </c>
      <c r="CS234" s="172">
        <f t="shared" si="647"/>
        <v>18.36</v>
      </c>
      <c r="CT234" s="217">
        <f t="shared" si="648"/>
        <v>1.1062274190002199</v>
      </c>
      <c r="CU234" s="217">
        <f t="shared" si="649"/>
        <v>170</v>
      </c>
      <c r="CV234" s="217"/>
      <c r="CW234" s="172">
        <f t="shared" si="650"/>
        <v>4618.3062459237308</v>
      </c>
      <c r="CX234" s="172">
        <f t="shared" si="651"/>
        <v>170</v>
      </c>
      <c r="CY234" s="217">
        <f t="shared" si="652"/>
        <v>6.6023313782991195</v>
      </c>
      <c r="CZ234" s="217">
        <f t="shared" si="653"/>
        <v>0.20632285557184746</v>
      </c>
      <c r="DA234" s="217">
        <f t="shared" si="654"/>
        <v>0.38723351192370198</v>
      </c>
      <c r="DB234" s="197">
        <f t="shared" si="655"/>
        <v>350</v>
      </c>
      <c r="DC234" s="443">
        <f t="shared" si="656"/>
        <v>350</v>
      </c>
      <c r="DE234" s="217">
        <f t="shared" si="657"/>
        <v>31.780981505752148</v>
      </c>
      <c r="DF234" s="173">
        <f t="shared" si="658"/>
        <v>1.8639871850881022</v>
      </c>
      <c r="DG234" s="173">
        <f t="shared" si="659"/>
        <v>0.51834424474213492</v>
      </c>
      <c r="DH234" s="173"/>
      <c r="DI234" s="173">
        <f t="shared" si="660"/>
        <v>0.78201368523949166</v>
      </c>
      <c r="DJ234" s="545">
        <f t="shared" si="661"/>
        <v>414.315</v>
      </c>
      <c r="DK234" s="528">
        <f t="shared" si="662"/>
        <v>9.1234929944607357E-2</v>
      </c>
      <c r="DM234" s="173">
        <f t="shared" si="663"/>
        <v>14.50674719865602</v>
      </c>
      <c r="DN234" s="173">
        <f t="shared" si="664"/>
        <v>14.50674719865602</v>
      </c>
      <c r="DO234" s="173">
        <f t="shared" si="665"/>
        <v>2.0691954557945826</v>
      </c>
      <c r="DQ234" s="545">
        <f t="shared" si="666"/>
        <v>108</v>
      </c>
      <c r="DR234" s="460">
        <f t="shared" si="667"/>
        <v>350</v>
      </c>
      <c r="DT234">
        <f t="shared" si="668"/>
        <v>108</v>
      </c>
      <c r="DU234">
        <f t="shared" si="669"/>
        <v>350</v>
      </c>
      <c r="DW234" s="5">
        <f t="shared" si="670"/>
        <v>2.8571428571428572</v>
      </c>
      <c r="DX234" s="5">
        <f t="shared" si="671"/>
        <v>0.45333584995800058</v>
      </c>
      <c r="DY234" s="5">
        <f t="shared" si="672"/>
        <v>2.4038070071848567</v>
      </c>
      <c r="DZ234" s="5"/>
      <c r="EA234" s="173">
        <f t="shared" si="673"/>
        <v>0.15866754748530021</v>
      </c>
      <c r="EB234" s="173">
        <f t="shared" si="699"/>
        <v>18.414000000000001</v>
      </c>
      <c r="EC234" s="173">
        <f t="shared" si="700"/>
        <v>0.3051249299664005</v>
      </c>
      <c r="ED234" s="173">
        <f t="shared" si="701"/>
        <v>60.349051131376577</v>
      </c>
      <c r="EE234" s="460">
        <f t="shared" si="674"/>
        <v>2.8800159879684744E-2</v>
      </c>
      <c r="EF234" s="5">
        <f t="shared" si="675"/>
        <v>4.4133896651913975</v>
      </c>
      <c r="EH234" s="173">
        <f t="shared" si="702"/>
        <v>3.3362106930121831</v>
      </c>
      <c r="EI234" s="173">
        <f t="shared" si="703"/>
        <v>0.3841167454056208</v>
      </c>
      <c r="EK234" s="528">
        <f t="shared" si="704"/>
        <v>0.44521207152675324</v>
      </c>
      <c r="EL234" s="528">
        <f t="shared" si="705"/>
        <v>3.4243630098277493</v>
      </c>
      <c r="EM234" s="528">
        <f t="shared" si="706"/>
        <v>6.9999999999999993E-2</v>
      </c>
      <c r="EN234" s="528">
        <f t="shared" si="707"/>
        <v>4.2103293749999993E-2</v>
      </c>
      <c r="EO234">
        <f t="shared" si="708"/>
        <v>7.1999999999999998E-3</v>
      </c>
      <c r="EP234" s="460">
        <f t="shared" si="709"/>
        <v>77.199999999999989</v>
      </c>
      <c r="EQ234" s="460"/>
      <c r="ER234" s="460">
        <f t="shared" si="710"/>
        <v>3988.8783751045021</v>
      </c>
      <c r="ES234" s="528">
        <f t="shared" si="711"/>
        <v>7.5600000000000001E-2</v>
      </c>
      <c r="EV234" s="460">
        <f t="shared" si="712"/>
        <v>75.599999999999994</v>
      </c>
      <c r="EW234" s="528">
        <f t="shared" si="713"/>
        <v>0.3339090536450649</v>
      </c>
      <c r="EX234" s="528">
        <f t="shared" si="714"/>
        <v>4.4263702230301948E-3</v>
      </c>
      <c r="EY234" s="528">
        <f t="shared" si="715"/>
        <v>91.847052225759143</v>
      </c>
      <c r="EZ234" s="528"/>
      <c r="FA234" s="528">
        <f t="shared" si="716"/>
        <v>1.8414000000000004</v>
      </c>
      <c r="FB234" s="460">
        <f t="shared" si="717"/>
        <v>94026.787649627251</v>
      </c>
      <c r="FC234" s="173">
        <f t="shared" si="718"/>
        <v>98.091266024731752</v>
      </c>
      <c r="FD234" s="5">
        <f t="shared" si="719"/>
        <v>18.36</v>
      </c>
      <c r="FE234" s="173">
        <f t="shared" si="720"/>
        <v>0.15766251949635934</v>
      </c>
      <c r="FF234" s="5">
        <f t="shared" si="721"/>
        <v>15.766251949635935</v>
      </c>
      <c r="FI234" s="562">
        <f t="shared" si="676"/>
        <v>-50</v>
      </c>
      <c r="FJ234">
        <f t="shared" si="677"/>
        <v>-50</v>
      </c>
      <c r="FL234">
        <f t="shared" si="678"/>
        <v>0.29779246448853997</v>
      </c>
    </row>
    <row r="235" spans="5:168">
      <c r="E235" s="170">
        <v>19</v>
      </c>
      <c r="F235" s="217">
        <f t="shared" si="679"/>
        <v>0.11399999999999999</v>
      </c>
      <c r="G235" s="217"/>
      <c r="H235" s="217">
        <f t="shared" si="603"/>
        <v>19.38</v>
      </c>
      <c r="I235" s="541">
        <f t="shared" si="604"/>
        <v>15.479116135784569</v>
      </c>
      <c r="J235" s="172">
        <f t="shared" si="605"/>
        <v>8.5255580898545169</v>
      </c>
      <c r="K235" s="172">
        <f t="shared" si="606"/>
        <v>24.004674225639086</v>
      </c>
      <c r="L235" s="443"/>
      <c r="M235" s="217">
        <f t="shared" si="607"/>
        <v>0.35516243788850221</v>
      </c>
      <c r="N235" s="172">
        <f t="shared" si="608"/>
        <v>185.89220240392598</v>
      </c>
      <c r="O235" s="172">
        <f t="shared" si="599"/>
        <v>19.38</v>
      </c>
      <c r="P235" s="217">
        <f t="shared" si="609"/>
        <v>1.0934835435525057</v>
      </c>
      <c r="Q235" s="217">
        <f t="shared" si="610"/>
        <v>170</v>
      </c>
      <c r="R235" s="217"/>
      <c r="S235" s="172">
        <f t="shared" si="611"/>
        <v>4216.5117332914233</v>
      </c>
      <c r="T235" s="172">
        <f t="shared" si="612"/>
        <v>170</v>
      </c>
      <c r="U235" s="217">
        <f t="shared" si="613"/>
        <v>7.071548352531515</v>
      </c>
      <c r="V235" s="217">
        <f t="shared" si="614"/>
        <v>0.22842222677635751</v>
      </c>
      <c r="W235" s="217">
        <f t="shared" si="615"/>
        <v>0.41472641896292484</v>
      </c>
      <c r="X235" s="197">
        <f t="shared" si="616"/>
        <v>350</v>
      </c>
      <c r="Y235" s="443">
        <f t="shared" si="680"/>
        <v>350</v>
      </c>
      <c r="AA235" s="217">
        <f t="shared" si="617"/>
        <v>31.414858755010371</v>
      </c>
      <c r="AB235" s="173">
        <f t="shared" si="618"/>
        <v>1.8423930975494909</v>
      </c>
      <c r="AC235" s="173">
        <f t="shared" si="619"/>
        <v>0.50643704064382888</v>
      </c>
      <c r="AD235" s="173"/>
      <c r="AE235" s="173">
        <f t="shared" si="620"/>
        <v>0.78196249399790652</v>
      </c>
      <c r="AF235" s="545">
        <f t="shared" si="621"/>
        <v>437.36113000953668</v>
      </c>
      <c r="AG235" s="528">
        <f t="shared" si="622"/>
        <v>9.1228957633089108E-2</v>
      </c>
      <c r="AI235" s="173">
        <f t="shared" si="623"/>
        <v>14.904753774692461</v>
      </c>
      <c r="AJ235" s="173">
        <f t="shared" si="624"/>
        <v>14.904753774692461</v>
      </c>
      <c r="AK235" s="173">
        <f t="shared" si="625"/>
        <v>2.364015141747501</v>
      </c>
      <c r="AM235" s="545">
        <f t="shared" si="626"/>
        <v>113.99999999999999</v>
      </c>
      <c r="AN235" s="460">
        <f t="shared" si="627"/>
        <v>350</v>
      </c>
      <c r="AP235">
        <f t="shared" si="628"/>
        <v>113.99999999999999</v>
      </c>
      <c r="AQ235">
        <f t="shared" si="629"/>
        <v>350</v>
      </c>
      <c r="AS235" s="5">
        <f t="shared" si="600"/>
        <v>2.8571428571428572</v>
      </c>
      <c r="AT235" s="5">
        <f t="shared" si="630"/>
        <v>0.48144718483750182</v>
      </c>
      <c r="AU235" s="5">
        <f t="shared" si="722"/>
        <v>2.3756956723053553</v>
      </c>
      <c r="AV235" s="5"/>
      <c r="AW235" s="173">
        <f t="shared" si="723"/>
        <v>0.16850651469312564</v>
      </c>
      <c r="AX235" s="173">
        <f t="shared" si="631"/>
        <v>19.4382724448683</v>
      </c>
      <c r="AY235" s="173">
        <f t="shared" si="632"/>
        <v>0.30983014159399563</v>
      </c>
      <c r="AZ235" s="173">
        <f t="shared" si="633"/>
        <v>62.738480978201267</v>
      </c>
      <c r="BA235" s="460">
        <f t="shared" si="594"/>
        <v>3.2285281806750117E-2</v>
      </c>
      <c r="BB235" s="5">
        <f t="shared" si="595"/>
        <v>4.7590295699471259</v>
      </c>
      <c r="BD235" s="173">
        <f t="shared" si="681"/>
        <v>3.5324215578337057</v>
      </c>
      <c r="BE235" s="173">
        <f t="shared" si="682"/>
        <v>0.39234092200689469</v>
      </c>
      <c r="BG235" s="528">
        <f t="shared" si="683"/>
        <v>0.49912008248993217</v>
      </c>
      <c r="BH235" s="528">
        <f t="shared" si="634"/>
        <v>2.817547100351999</v>
      </c>
      <c r="BI235" s="528">
        <f t="shared" si="635"/>
        <v>0.21670762590098397</v>
      </c>
      <c r="BJ235" s="528">
        <f t="shared" si="684"/>
        <v>4.0335706927534305E-2</v>
      </c>
      <c r="BK235">
        <f t="shared" si="685"/>
        <v>6.9656022611030554E-3</v>
      </c>
      <c r="BL235" s="460">
        <f t="shared" si="686"/>
        <v>223.67322816208701</v>
      </c>
      <c r="BM235" s="528">
        <f t="shared" si="636"/>
        <v>3.9615718027257292</v>
      </c>
      <c r="BN235" s="460">
        <f t="shared" si="687"/>
        <v>3961.571802725729</v>
      </c>
      <c r="BO235" s="528">
        <f t="shared" si="637"/>
        <v>7.9799999999999982E-2</v>
      </c>
      <c r="BR235" s="460">
        <f t="shared" si="688"/>
        <v>79.799999999999983</v>
      </c>
      <c r="BS235" s="528">
        <f t="shared" si="689"/>
        <v>0.37434006186744911</v>
      </c>
      <c r="BT235" s="528">
        <f t="shared" si="690"/>
        <v>4.6179419724366065E-3</v>
      </c>
      <c r="BU235" s="528">
        <f t="shared" si="691"/>
        <v>98.277054141353346</v>
      </c>
      <c r="BV235" s="528"/>
      <c r="BW235" s="528">
        <f t="shared" si="692"/>
        <v>1.9438272444868303</v>
      </c>
      <c r="BX235" s="460">
        <f t="shared" si="693"/>
        <v>100599.83938968006</v>
      </c>
      <c r="BY235" s="173">
        <f t="shared" si="694"/>
        <v>104.26031550761161</v>
      </c>
      <c r="BZ235" s="5">
        <f t="shared" si="695"/>
        <v>19.38</v>
      </c>
      <c r="CA235" s="173">
        <f t="shared" si="696"/>
        <v>0.15674498985573132</v>
      </c>
      <c r="CB235" s="5">
        <f t="shared" si="697"/>
        <v>15.674498985573132</v>
      </c>
      <c r="CE235" s="562">
        <f t="shared" si="638"/>
        <v>-50</v>
      </c>
      <c r="CF235">
        <f t="shared" si="639"/>
        <v>-50</v>
      </c>
      <c r="CG235" s="173">
        <f t="shared" si="640"/>
        <v>0.3064022730679008</v>
      </c>
      <c r="CI235" s="170">
        <v>19</v>
      </c>
      <c r="CJ235" s="217">
        <f t="shared" si="698"/>
        <v>0.11399999999999999</v>
      </c>
      <c r="CK235" s="217"/>
      <c r="CL235" s="217">
        <f t="shared" si="641"/>
        <v>19.38</v>
      </c>
      <c r="CM235" s="541">
        <f t="shared" si="642"/>
        <v>16</v>
      </c>
      <c r="CN235" s="443">
        <f t="shared" si="643"/>
        <v>8.5250000000000004</v>
      </c>
      <c r="CO235" s="443">
        <f t="shared" si="644"/>
        <v>24.524999999999999</v>
      </c>
      <c r="CP235" s="443"/>
      <c r="CQ235" s="217">
        <f t="shared" si="645"/>
        <v>0.34760448521916415</v>
      </c>
      <c r="CR235" s="172">
        <f t="shared" si="646"/>
        <v>188.05866123003739</v>
      </c>
      <c r="CS235" s="172">
        <f t="shared" si="647"/>
        <v>19.38</v>
      </c>
      <c r="CT235" s="217">
        <f t="shared" si="648"/>
        <v>1.1062274190002199</v>
      </c>
      <c r="CU235" s="217">
        <f t="shared" si="649"/>
        <v>170</v>
      </c>
      <c r="CV235" s="217"/>
      <c r="CW235" s="172">
        <f t="shared" si="650"/>
        <v>4358.3992796140046</v>
      </c>
      <c r="CX235" s="172">
        <f t="shared" si="651"/>
        <v>170</v>
      </c>
      <c r="CY235" s="217">
        <f t="shared" si="652"/>
        <v>6.9691275659824035</v>
      </c>
      <c r="CZ235" s="217">
        <f t="shared" si="653"/>
        <v>0.21778523643695011</v>
      </c>
      <c r="DA235" s="217">
        <f t="shared" si="654"/>
        <v>0.40874648480835207</v>
      </c>
      <c r="DB235" s="197">
        <f t="shared" si="655"/>
        <v>350</v>
      </c>
      <c r="DC235" s="443">
        <f t="shared" si="656"/>
        <v>350</v>
      </c>
      <c r="DE235" s="217">
        <f t="shared" si="657"/>
        <v>31.780981505752148</v>
      </c>
      <c r="DF235" s="173">
        <f t="shared" si="658"/>
        <v>1.8639871850881022</v>
      </c>
      <c r="DG235" s="173">
        <f t="shared" si="659"/>
        <v>0.51834424474213492</v>
      </c>
      <c r="DH235" s="173"/>
      <c r="DI235" s="173">
        <f t="shared" si="660"/>
        <v>0.78201368523949166</v>
      </c>
      <c r="DJ235" s="545">
        <f t="shared" si="661"/>
        <v>437.33249999999992</v>
      </c>
      <c r="DK235" s="528">
        <f t="shared" si="662"/>
        <v>9.1234929944607357E-2</v>
      </c>
      <c r="DM235" s="173">
        <f t="shared" si="663"/>
        <v>14.904265928154356</v>
      </c>
      <c r="DN235" s="173">
        <f t="shared" si="664"/>
        <v>14.904265928154356</v>
      </c>
      <c r="DO235" s="173">
        <f t="shared" si="665"/>
        <v>2.3636537739414978</v>
      </c>
      <c r="DQ235" s="545">
        <f t="shared" si="666"/>
        <v>113.99999999999999</v>
      </c>
      <c r="DR235" s="460">
        <f t="shared" si="667"/>
        <v>350</v>
      </c>
      <c r="DT235">
        <f t="shared" si="668"/>
        <v>113.99999999999999</v>
      </c>
      <c r="DU235">
        <f t="shared" si="669"/>
        <v>350</v>
      </c>
      <c r="DW235" s="5">
        <f t="shared" si="670"/>
        <v>2.8571428571428572</v>
      </c>
      <c r="DX235" s="5">
        <f t="shared" si="671"/>
        <v>0.46575831025482356</v>
      </c>
      <c r="DY235" s="5">
        <f t="shared" si="672"/>
        <v>2.3913845468880335</v>
      </c>
      <c r="DZ235" s="5"/>
      <c r="EA235" s="173">
        <f t="shared" si="673"/>
        <v>0.16301540858918825</v>
      </c>
      <c r="EB235" s="173">
        <f t="shared" si="699"/>
        <v>19.436999999999998</v>
      </c>
      <c r="EC235" s="173">
        <f t="shared" si="700"/>
        <v>0.31186602320385892</v>
      </c>
      <c r="ED235" s="173">
        <f t="shared" si="701"/>
        <v>62.324840007641754</v>
      </c>
      <c r="EE235" s="460">
        <f t="shared" si="674"/>
        <v>3.1233204334735226E-2</v>
      </c>
      <c r="EF235" s="5">
        <f t="shared" si="675"/>
        <v>4.6345032518690088</v>
      </c>
      <c r="EH235" s="173">
        <f t="shared" si="702"/>
        <v>3.4742758049072622</v>
      </c>
      <c r="EI235" s="173">
        <f t="shared" si="703"/>
        <v>0.39362139778329591</v>
      </c>
      <c r="EK235" s="528">
        <f t="shared" si="704"/>
        <v>0.48282369474256015</v>
      </c>
      <c r="EL235" s="528">
        <f t="shared" si="705"/>
        <v>3.5181985481718612</v>
      </c>
      <c r="EM235" s="528">
        <f t="shared" si="706"/>
        <v>6.9999999999999993E-2</v>
      </c>
      <c r="EN235" s="528">
        <f t="shared" si="707"/>
        <v>4.2103293749999993E-2</v>
      </c>
      <c r="EO235">
        <f t="shared" si="708"/>
        <v>7.1999999999999998E-3</v>
      </c>
      <c r="EP235" s="460">
        <f t="shared" si="709"/>
        <v>77.199999999999989</v>
      </c>
      <c r="EQ235" s="460"/>
      <c r="ER235" s="460">
        <f t="shared" si="710"/>
        <v>4120.3255366644225</v>
      </c>
      <c r="ES235" s="528">
        <f t="shared" si="711"/>
        <v>7.9799999999999982E-2</v>
      </c>
      <c r="EV235" s="460">
        <f t="shared" si="712"/>
        <v>79.799999999999983</v>
      </c>
      <c r="EW235" s="528">
        <f t="shared" si="713"/>
        <v>0.36211777105692011</v>
      </c>
      <c r="EX235" s="528">
        <f t="shared" si="714"/>
        <v>4.6481341437862702E-3</v>
      </c>
      <c r="EY235" s="528">
        <f t="shared" si="715"/>
        <v>98.269012588901745</v>
      </c>
      <c r="EZ235" s="528"/>
      <c r="FA235" s="528">
        <f t="shared" si="716"/>
        <v>1.9436999999999995</v>
      </c>
      <c r="FB235" s="460">
        <f t="shared" si="717"/>
        <v>100579.47849410244</v>
      </c>
      <c r="FC235" s="173">
        <f t="shared" si="718"/>
        <v>104.77960403076686</v>
      </c>
      <c r="FD235" s="5">
        <f t="shared" si="719"/>
        <v>19.38</v>
      </c>
      <c r="FE235" s="173">
        <f t="shared" si="720"/>
        <v>0.15608941532382478</v>
      </c>
      <c r="FF235" s="5">
        <f t="shared" si="721"/>
        <v>15.608941532382477</v>
      </c>
      <c r="FI235" s="562">
        <f t="shared" si="676"/>
        <v>-50</v>
      </c>
      <c r="FJ235">
        <f t="shared" si="677"/>
        <v>-50</v>
      </c>
      <c r="FL235">
        <f t="shared" si="678"/>
        <v>0.30595267301196621</v>
      </c>
    </row>
    <row r="236" spans="5:168">
      <c r="E236" s="170">
        <v>20</v>
      </c>
      <c r="F236" s="217">
        <f t="shared" si="679"/>
        <v>0.12</v>
      </c>
      <c r="G236" s="217"/>
      <c r="H236" s="217">
        <f t="shared" si="603"/>
        <v>20.399999999999999</v>
      </c>
      <c r="I236" s="541">
        <f t="shared" si="604"/>
        <v>15.465584431364505</v>
      </c>
      <c r="J236" s="172">
        <f t="shared" si="605"/>
        <v>8.5255725881092523</v>
      </c>
      <c r="K236" s="172">
        <f t="shared" si="606"/>
        <v>23.991157019473757</v>
      </c>
      <c r="L236" s="443"/>
      <c r="M236" s="217">
        <f t="shared" si="607"/>
        <v>0.35536314999736496</v>
      </c>
      <c r="N236" s="172">
        <f t="shared" si="608"/>
        <v>185.83465809336823</v>
      </c>
      <c r="O236" s="172">
        <f t="shared" si="599"/>
        <v>20.399999999999999</v>
      </c>
      <c r="P236" s="217">
        <f t="shared" si="609"/>
        <v>1.0931450476080484</v>
      </c>
      <c r="Q236" s="217">
        <f t="shared" si="610"/>
        <v>170</v>
      </c>
      <c r="R236" s="217"/>
      <c r="S236" s="172">
        <f t="shared" si="611"/>
        <v>3986.7227746131302</v>
      </c>
      <c r="T236" s="172">
        <f t="shared" si="612"/>
        <v>170</v>
      </c>
      <c r="U236" s="217">
        <f t="shared" si="613"/>
        <v>7.4460527659571101</v>
      </c>
      <c r="V236" s="217">
        <f t="shared" si="614"/>
        <v>0.24072975706163327</v>
      </c>
      <c r="W236" s="217">
        <f t="shared" si="615"/>
        <v>0.43668930673009776</v>
      </c>
      <c r="X236" s="197">
        <f t="shared" si="616"/>
        <v>350</v>
      </c>
      <c r="Y236" s="443">
        <f t="shared" si="680"/>
        <v>350</v>
      </c>
      <c r="AA236" s="217">
        <f t="shared" si="617"/>
        <v>31.405134002405177</v>
      </c>
      <c r="AB236" s="173">
        <f t="shared" si="618"/>
        <v>1.8418196360327985</v>
      </c>
      <c r="AC236" s="173">
        <f t="shared" si="619"/>
        <v>0.50612268418137274</v>
      </c>
      <c r="AD236" s="173"/>
      <c r="AE236" s="173">
        <f t="shared" si="620"/>
        <v>0.78196116422312445</v>
      </c>
      <c r="AF236" s="545">
        <f t="shared" si="621"/>
        <v>460.38091975789956</v>
      </c>
      <c r="AG236" s="528">
        <f t="shared" si="622"/>
        <v>9.1228802492697866E-2</v>
      </c>
      <c r="AI236" s="173">
        <f t="shared" si="623"/>
        <v>15.29196771846008</v>
      </c>
      <c r="AJ236" s="173">
        <f t="shared" si="624"/>
        <v>15.29196771846008</v>
      </c>
      <c r="AK236" s="173">
        <f t="shared" si="625"/>
        <v>2.6508402852790711</v>
      </c>
      <c r="AM236" s="545">
        <f t="shared" si="626"/>
        <v>120</v>
      </c>
      <c r="AN236" s="460">
        <f t="shared" si="627"/>
        <v>350</v>
      </c>
      <c r="AP236">
        <f t="shared" si="628"/>
        <v>120</v>
      </c>
      <c r="AQ236">
        <f t="shared" si="629"/>
        <v>350</v>
      </c>
      <c r="AS236" s="5">
        <f t="shared" si="600"/>
        <v>2.8571428571428572</v>
      </c>
      <c r="AT236" s="5">
        <f t="shared" si="630"/>
        <v>0.49438699799303004</v>
      </c>
      <c r="AU236" s="5">
        <f t="shared" si="722"/>
        <v>2.3627558591498272</v>
      </c>
      <c r="AV236" s="5"/>
      <c r="AW236" s="173">
        <f t="shared" si="723"/>
        <v>0.17303544929756051</v>
      </c>
      <c r="AX236" s="173">
        <f t="shared" si="631"/>
        <v>20.461374211462203</v>
      </c>
      <c r="AY236" s="173">
        <f t="shared" si="632"/>
        <v>0.31614788034131375</v>
      </c>
      <c r="AZ236" s="173">
        <f t="shared" si="633"/>
        <v>64.720896402569807</v>
      </c>
      <c r="BA236" s="460">
        <f t="shared" si="594"/>
        <v>3.4897905740684472E-2</v>
      </c>
      <c r="BB236" s="5">
        <f t="shared" si="595"/>
        <v>4.9865785276273682</v>
      </c>
      <c r="BD236" s="173">
        <f t="shared" si="681"/>
        <v>3.6725717367564656</v>
      </c>
      <c r="BE236" s="173">
        <f t="shared" si="682"/>
        <v>0.40143588863142066</v>
      </c>
      <c r="BG236" s="528">
        <f t="shared" si="683"/>
        <v>0.53951132646489608</v>
      </c>
      <c r="BH236" s="528">
        <f t="shared" si="634"/>
        <v>2.8891169895286097</v>
      </c>
      <c r="BI236" s="528">
        <f t="shared" si="635"/>
        <v>0.21651818203910309</v>
      </c>
      <c r="BJ236" s="528">
        <f t="shared" si="684"/>
        <v>4.0290293059313149E-2</v>
      </c>
      <c r="BK236">
        <f t="shared" si="685"/>
        <v>6.9595129941140274E-3</v>
      </c>
      <c r="BL236" s="460">
        <f t="shared" si="686"/>
        <v>223.47769503321709</v>
      </c>
      <c r="BM236" s="528">
        <f t="shared" si="636"/>
        <v>4.1460615545259936</v>
      </c>
      <c r="BN236" s="460">
        <f t="shared" si="687"/>
        <v>4146.0615545259934</v>
      </c>
      <c r="BO236" s="528">
        <f t="shared" si="637"/>
        <v>8.3999999999999991E-2</v>
      </c>
      <c r="BR236" s="460">
        <f t="shared" si="688"/>
        <v>83.999999999999986</v>
      </c>
      <c r="BS236" s="528">
        <f t="shared" si="689"/>
        <v>0.40463349484867206</v>
      </c>
      <c r="BT236" s="528">
        <f t="shared" si="690"/>
        <v>4.8345231804389514E-3</v>
      </c>
      <c r="BU236" s="528">
        <f t="shared" si="691"/>
        <v>104.78486219496982</v>
      </c>
      <c r="BV236" s="528"/>
      <c r="BW236" s="528">
        <f t="shared" si="692"/>
        <v>2.0461374211462209</v>
      </c>
      <c r="BX236" s="460">
        <f t="shared" si="693"/>
        <v>107240.46763414516</v>
      </c>
      <c r="BY236" s="173">
        <f t="shared" si="694"/>
        <v>111.0168639382312</v>
      </c>
      <c r="BZ236" s="5">
        <f t="shared" si="695"/>
        <v>20.399999999999999</v>
      </c>
      <c r="CA236" s="173">
        <f t="shared" si="696"/>
        <v>0.15523121910433388</v>
      </c>
      <c r="CB236" s="5">
        <f t="shared" si="697"/>
        <v>15.523121910433387</v>
      </c>
      <c r="CE236" s="562">
        <f t="shared" si="638"/>
        <v>-50</v>
      </c>
      <c r="CF236">
        <f t="shared" si="639"/>
        <v>-50</v>
      </c>
      <c r="CG236" s="173">
        <f t="shared" si="640"/>
        <v>0.31436209919735025</v>
      </c>
      <c r="CI236" s="170">
        <v>20</v>
      </c>
      <c r="CJ236" s="217">
        <f t="shared" si="698"/>
        <v>0.12</v>
      </c>
      <c r="CK236" s="217"/>
      <c r="CL236" s="217">
        <f t="shared" si="641"/>
        <v>20.399999999999999</v>
      </c>
      <c r="CM236" s="541">
        <f t="shared" si="642"/>
        <v>16</v>
      </c>
      <c r="CN236" s="443">
        <f t="shared" si="643"/>
        <v>8.5250000000000004</v>
      </c>
      <c r="CO236" s="443">
        <f t="shared" si="644"/>
        <v>24.524999999999999</v>
      </c>
      <c r="CP236" s="443"/>
      <c r="CQ236" s="217">
        <f t="shared" si="645"/>
        <v>0.34760448521916415</v>
      </c>
      <c r="CR236" s="172">
        <f t="shared" si="646"/>
        <v>188.05866123003739</v>
      </c>
      <c r="CS236" s="172">
        <f t="shared" si="647"/>
        <v>20.399999999999999</v>
      </c>
      <c r="CT236" s="217">
        <f t="shared" si="648"/>
        <v>1.1062274190002199</v>
      </c>
      <c r="CU236" s="217">
        <f t="shared" si="649"/>
        <v>170</v>
      </c>
      <c r="CV236" s="217"/>
      <c r="CW236" s="172">
        <f t="shared" si="650"/>
        <v>4124.4832324809013</v>
      </c>
      <c r="CX236" s="172">
        <f t="shared" si="651"/>
        <v>170</v>
      </c>
      <c r="CY236" s="217">
        <f t="shared" si="652"/>
        <v>7.3359237536656883</v>
      </c>
      <c r="CZ236" s="217">
        <f t="shared" si="653"/>
        <v>0.22924761730205276</v>
      </c>
      <c r="DA236" s="217">
        <f t="shared" si="654"/>
        <v>0.43025945769300222</v>
      </c>
      <c r="DB236" s="197">
        <f t="shared" si="655"/>
        <v>350</v>
      </c>
      <c r="DC236" s="443">
        <f t="shared" si="656"/>
        <v>350</v>
      </c>
      <c r="DE236" s="217">
        <f t="shared" si="657"/>
        <v>31.780981505752148</v>
      </c>
      <c r="DF236" s="173">
        <f t="shared" si="658"/>
        <v>1.8639871850881022</v>
      </c>
      <c r="DG236" s="173">
        <f t="shared" si="659"/>
        <v>0.51834424474213492</v>
      </c>
      <c r="DH236" s="173"/>
      <c r="DI236" s="173">
        <f t="shared" si="660"/>
        <v>0.78201368523949166</v>
      </c>
      <c r="DJ236" s="545">
        <f t="shared" si="661"/>
        <v>460.35</v>
      </c>
      <c r="DK236" s="528">
        <f t="shared" si="662"/>
        <v>9.1234929944607357E-2</v>
      </c>
      <c r="DM236" s="173">
        <f t="shared" si="663"/>
        <v>15.291454196006717</v>
      </c>
      <c r="DN236" s="173">
        <f t="shared" si="664"/>
        <v>15.291454196006717</v>
      </c>
      <c r="DO236" s="173">
        <f t="shared" si="665"/>
        <v>2.6504598982765799</v>
      </c>
      <c r="DQ236" s="545">
        <f t="shared" si="666"/>
        <v>120</v>
      </c>
      <c r="DR236" s="460">
        <f t="shared" si="667"/>
        <v>350</v>
      </c>
      <c r="DT236">
        <f t="shared" si="668"/>
        <v>120</v>
      </c>
      <c r="DU236">
        <f t="shared" si="669"/>
        <v>350</v>
      </c>
      <c r="DW236" s="5">
        <f t="shared" si="670"/>
        <v>2.8571428571428572</v>
      </c>
      <c r="DX236" s="5">
        <f t="shared" si="671"/>
        <v>0.47785794362520984</v>
      </c>
      <c r="DY236" s="5">
        <f t="shared" si="672"/>
        <v>2.3792849135176475</v>
      </c>
      <c r="DZ236" s="5"/>
      <c r="EA236" s="173">
        <f t="shared" si="673"/>
        <v>0.16725028026882344</v>
      </c>
      <c r="EB236" s="173">
        <f t="shared" si="699"/>
        <v>20.459999999999997</v>
      </c>
      <c r="EC236" s="173">
        <f t="shared" si="700"/>
        <v>0.31834885490016795</v>
      </c>
      <c r="ED236" s="173">
        <f t="shared" si="701"/>
        <v>64.269117620718674</v>
      </c>
      <c r="EE236" s="460">
        <f t="shared" si="674"/>
        <v>3.3731148961779513E-2</v>
      </c>
      <c r="EF236" s="5">
        <f t="shared" si="675"/>
        <v>4.8537412235760007</v>
      </c>
      <c r="EH236" s="173">
        <f t="shared" si="702"/>
        <v>3.6105352376200019</v>
      </c>
      <c r="EI236" s="173">
        <f t="shared" si="703"/>
        <v>0.40282406966553469</v>
      </c>
      <c r="EK236" s="528">
        <f t="shared" si="704"/>
        <v>0.52143858808382892</v>
      </c>
      <c r="EL236" s="528">
        <f t="shared" si="705"/>
        <v>3.6095955487617477</v>
      </c>
      <c r="EM236" s="528">
        <f t="shared" si="706"/>
        <v>6.9999999999999993E-2</v>
      </c>
      <c r="EN236" s="528">
        <f t="shared" si="707"/>
        <v>4.2103293749999993E-2</v>
      </c>
      <c r="EO236">
        <f t="shared" si="708"/>
        <v>7.1999999999999998E-3</v>
      </c>
      <c r="EP236" s="460">
        <f t="shared" si="709"/>
        <v>77.199999999999989</v>
      </c>
      <c r="EQ236" s="460"/>
      <c r="ER236" s="460">
        <f t="shared" si="710"/>
        <v>4250.3374305955767</v>
      </c>
      <c r="ES236" s="528">
        <f t="shared" si="711"/>
        <v>8.3999999999999991E-2</v>
      </c>
      <c r="EV236" s="460">
        <f t="shared" si="712"/>
        <v>83.999999999999986</v>
      </c>
      <c r="EW236" s="528">
        <f t="shared" si="713"/>
        <v>0.39107894106287172</v>
      </c>
      <c r="EX236" s="528">
        <f t="shared" si="714"/>
        <v>4.8680169330571066E-3</v>
      </c>
      <c r="EY236" s="528">
        <f t="shared" si="715"/>
        <v>104.7760654159563</v>
      </c>
      <c r="EZ236" s="528"/>
      <c r="FA236" s="528">
        <f t="shared" si="716"/>
        <v>2.0460000000000003</v>
      </c>
      <c r="FB236" s="460">
        <f t="shared" si="717"/>
        <v>107218.01237395224</v>
      </c>
      <c r="FC236" s="173">
        <f t="shared" si="718"/>
        <v>111.5523498045478</v>
      </c>
      <c r="FD236" s="5">
        <f t="shared" si="719"/>
        <v>20.399999999999999</v>
      </c>
      <c r="FE236" s="173">
        <f t="shared" si="720"/>
        <v>0.1546012634880482</v>
      </c>
      <c r="FF236" s="5">
        <f t="shared" si="721"/>
        <v>15.46012634880482</v>
      </c>
      <c r="FI236" s="562">
        <f t="shared" si="676"/>
        <v>-50</v>
      </c>
      <c r="FJ236">
        <f t="shared" si="677"/>
        <v>-50</v>
      </c>
      <c r="FL236">
        <f t="shared" si="678"/>
        <v>0.31390081927286512</v>
      </c>
    </row>
    <row r="237" spans="5:168">
      <c r="E237" s="170">
        <v>21</v>
      </c>
      <c r="F237" s="217">
        <f t="shared" si="679"/>
        <v>0.126</v>
      </c>
      <c r="G237" s="217"/>
      <c r="H237" s="217">
        <f t="shared" si="603"/>
        <v>21.42</v>
      </c>
      <c r="I237" s="541">
        <f t="shared" si="604"/>
        <v>15.452386997962977</v>
      </c>
      <c r="J237" s="172">
        <f t="shared" si="605"/>
        <v>8.525586728216469</v>
      </c>
      <c r="K237" s="172">
        <f t="shared" si="606"/>
        <v>23.977973726179446</v>
      </c>
      <c r="L237" s="443"/>
      <c r="M237" s="217">
        <f t="shared" si="607"/>
        <v>0.35555912193474509</v>
      </c>
      <c r="N237" s="172">
        <f t="shared" si="608"/>
        <v>185.77847225972621</v>
      </c>
      <c r="O237" s="172">
        <f t="shared" si="599"/>
        <v>21.42</v>
      </c>
      <c r="P237" s="217">
        <f t="shared" si="609"/>
        <v>1.0928145427042719</v>
      </c>
      <c r="Q237" s="217">
        <f t="shared" si="610"/>
        <v>170</v>
      </c>
      <c r="R237" s="217"/>
      <c r="S237" s="172">
        <f t="shared" si="611"/>
        <v>3778.9262138218292</v>
      </c>
      <c r="T237" s="172">
        <f t="shared" si="612"/>
        <v>170</v>
      </c>
      <c r="U237" s="217">
        <f t="shared" si="613"/>
        <v>7.8207329353952915</v>
      </c>
      <c r="V237" s="217">
        <f t="shared" si="614"/>
        <v>0.25305905606772161</v>
      </c>
      <c r="W237" s="217">
        <f t="shared" si="615"/>
        <v>0.45866244662737532</v>
      </c>
      <c r="X237" s="197">
        <f t="shared" si="616"/>
        <v>350</v>
      </c>
      <c r="Y237" s="443">
        <f t="shared" si="680"/>
        <v>350</v>
      </c>
      <c r="AA237" s="217">
        <f t="shared" si="617"/>
        <v>31.395638826946016</v>
      </c>
      <c r="AB237" s="173">
        <f t="shared" si="618"/>
        <v>1.841259717823192</v>
      </c>
      <c r="AC237" s="173">
        <f t="shared" si="619"/>
        <v>0.50581584451458783</v>
      </c>
      <c r="AD237" s="173"/>
      <c r="AE237" s="173">
        <f t="shared" si="620"/>
        <v>0.78195986730186207</v>
      </c>
      <c r="AF237" s="545">
        <f t="shared" si="621"/>
        <v>483.40076748987383</v>
      </c>
      <c r="AG237" s="528">
        <f t="shared" si="622"/>
        <v>9.1228651185217238E-2</v>
      </c>
      <c r="AI237" s="173">
        <f t="shared" si="623"/>
        <v>15.669617026993173</v>
      </c>
      <c r="AJ237" s="173">
        <f t="shared" si="624"/>
        <v>15.669617026993173</v>
      </c>
      <c r="AK237" s="173">
        <f t="shared" si="625"/>
        <v>2.9305805138221026</v>
      </c>
      <c r="AM237" s="545">
        <f t="shared" si="626"/>
        <v>126</v>
      </c>
      <c r="AN237" s="460">
        <f t="shared" si="627"/>
        <v>350</v>
      </c>
      <c r="AP237">
        <f t="shared" si="628"/>
        <v>126</v>
      </c>
      <c r="AQ237">
        <f t="shared" si="629"/>
        <v>350</v>
      </c>
      <c r="AS237" s="5">
        <f t="shared" si="600"/>
        <v>2.8571428571428572</v>
      </c>
      <c r="AT237" s="5">
        <f t="shared" si="630"/>
        <v>0.50702901205680484</v>
      </c>
      <c r="AU237" s="5">
        <f t="shared" si="722"/>
        <v>2.3501138450860521</v>
      </c>
      <c r="AV237" s="5"/>
      <c r="AW237" s="173">
        <f t="shared" si="723"/>
        <v>0.17746015421988168</v>
      </c>
      <c r="AX237" s="173">
        <f t="shared" si="631"/>
        <v>21.4844785551055</v>
      </c>
      <c r="AY237" s="173">
        <f t="shared" si="632"/>
        <v>0.32222210932041206</v>
      </c>
      <c r="AZ237" s="173">
        <f t="shared" si="633"/>
        <v>66.675991291900175</v>
      </c>
      <c r="BA237" s="460">
        <f t="shared" si="594"/>
        <v>3.7579797364210243E-2</v>
      </c>
      <c r="BB237" s="5">
        <f t="shared" si="595"/>
        <v>5.2123404435448615</v>
      </c>
      <c r="BD237" s="173">
        <f t="shared" si="681"/>
        <v>3.8110810253523875</v>
      </c>
      <c r="BE237" s="173">
        <f t="shared" si="682"/>
        <v>0.41024777272118473</v>
      </c>
      <c r="BG237" s="528">
        <f t="shared" si="683"/>
        <v>0.5809735432720402</v>
      </c>
      <c r="BH237" s="528">
        <f t="shared" si="634"/>
        <v>2.9588396148087237</v>
      </c>
      <c r="BI237" s="528">
        <f t="shared" si="635"/>
        <v>0.21633341797148167</v>
      </c>
      <c r="BJ237" s="528">
        <f t="shared" si="684"/>
        <v>4.0246025680934626E-2</v>
      </c>
      <c r="BK237">
        <f t="shared" si="685"/>
        <v>6.9535741490833391E-3</v>
      </c>
      <c r="BL237" s="460">
        <f t="shared" si="686"/>
        <v>223.28699212056503</v>
      </c>
      <c r="BM237" s="528">
        <f t="shared" si="636"/>
        <v>4.3353741076900265</v>
      </c>
      <c r="BN237" s="460">
        <f t="shared" si="687"/>
        <v>4335.3741076900269</v>
      </c>
      <c r="BO237" s="528">
        <f t="shared" si="637"/>
        <v>8.8200000000000001E-2</v>
      </c>
      <c r="BR237" s="460">
        <f t="shared" si="688"/>
        <v>88.2</v>
      </c>
      <c r="BS237" s="528">
        <f t="shared" si="689"/>
        <v>0.43573015745403015</v>
      </c>
      <c r="BT237" s="528">
        <f t="shared" si="690"/>
        <v>5.0490970506807849E-3</v>
      </c>
      <c r="BU237" s="528">
        <f t="shared" si="691"/>
        <v>111.37457781812186</v>
      </c>
      <c r="BV237" s="528"/>
      <c r="BW237" s="528">
        <f t="shared" si="692"/>
        <v>2.1484478555105508</v>
      </c>
      <c r="BX237" s="460">
        <f t="shared" si="693"/>
        <v>113963.80492813712</v>
      </c>
      <c r="BY237" s="173">
        <f t="shared" si="694"/>
        <v>117.85535110401939</v>
      </c>
      <c r="BZ237" s="5">
        <f t="shared" si="695"/>
        <v>21.42</v>
      </c>
      <c r="CA237" s="173">
        <f t="shared" si="696"/>
        <v>0.15379605816970607</v>
      </c>
      <c r="CB237" s="5">
        <f t="shared" si="697"/>
        <v>15.379605816970606</v>
      </c>
      <c r="CE237" s="562">
        <f t="shared" si="638"/>
        <v>-50</v>
      </c>
      <c r="CF237">
        <f t="shared" si="639"/>
        <v>-50</v>
      </c>
      <c r="CG237" s="173">
        <f t="shared" si="640"/>
        <v>0.32212529531589557</v>
      </c>
      <c r="CI237" s="170">
        <v>21</v>
      </c>
      <c r="CJ237" s="217">
        <f t="shared" si="698"/>
        <v>0.126</v>
      </c>
      <c r="CK237" s="217"/>
      <c r="CL237" s="217">
        <f t="shared" si="641"/>
        <v>21.42</v>
      </c>
      <c r="CM237" s="541">
        <f t="shared" si="642"/>
        <v>16</v>
      </c>
      <c r="CN237" s="443">
        <f t="shared" si="643"/>
        <v>8.5250000000000004</v>
      </c>
      <c r="CO237" s="443">
        <f t="shared" si="644"/>
        <v>24.524999999999999</v>
      </c>
      <c r="CP237" s="443"/>
      <c r="CQ237" s="217">
        <f t="shared" si="645"/>
        <v>0.34760448521916415</v>
      </c>
      <c r="CR237" s="172">
        <f t="shared" si="646"/>
        <v>188.05866123003739</v>
      </c>
      <c r="CS237" s="172">
        <f t="shared" si="647"/>
        <v>21.42</v>
      </c>
      <c r="CT237" s="217">
        <f t="shared" si="648"/>
        <v>1.1062274190002199</v>
      </c>
      <c r="CU237" s="217">
        <f t="shared" si="649"/>
        <v>170</v>
      </c>
      <c r="CV237" s="217"/>
      <c r="CW237" s="172">
        <f t="shared" si="650"/>
        <v>3912.8451185414106</v>
      </c>
      <c r="CX237" s="172">
        <f t="shared" si="651"/>
        <v>170</v>
      </c>
      <c r="CY237" s="217">
        <f t="shared" si="652"/>
        <v>7.7027199413489731</v>
      </c>
      <c r="CZ237" s="217">
        <f t="shared" si="653"/>
        <v>0.24070999816715544</v>
      </c>
      <c r="DA237" s="217">
        <f t="shared" si="654"/>
        <v>0.45177243057765237</v>
      </c>
      <c r="DB237" s="197">
        <f t="shared" si="655"/>
        <v>350</v>
      </c>
      <c r="DC237" s="443">
        <f t="shared" si="656"/>
        <v>350</v>
      </c>
      <c r="DE237" s="217">
        <f t="shared" si="657"/>
        <v>31.780981505752148</v>
      </c>
      <c r="DF237" s="173">
        <f t="shared" si="658"/>
        <v>1.8639871850881022</v>
      </c>
      <c r="DG237" s="173">
        <f t="shared" si="659"/>
        <v>0.51834424474213492</v>
      </c>
      <c r="DH237" s="173"/>
      <c r="DI237" s="173">
        <f t="shared" si="660"/>
        <v>0.78201368523949166</v>
      </c>
      <c r="DJ237" s="545">
        <f t="shared" si="661"/>
        <v>483.36750000000001</v>
      </c>
      <c r="DK237" s="528">
        <f t="shared" si="662"/>
        <v>9.1234929944607357E-2</v>
      </c>
      <c r="DM237" s="173">
        <f t="shared" si="663"/>
        <v>15.669077828640715</v>
      </c>
      <c r="DN237" s="173">
        <f t="shared" si="664"/>
        <v>15.669077828640715</v>
      </c>
      <c r="DO237" s="173">
        <f t="shared" si="665"/>
        <v>2.930181107635097</v>
      </c>
      <c r="DQ237" s="545">
        <f t="shared" si="666"/>
        <v>126</v>
      </c>
      <c r="DR237" s="460">
        <f t="shared" si="667"/>
        <v>350</v>
      </c>
      <c r="DT237">
        <f t="shared" si="668"/>
        <v>126</v>
      </c>
      <c r="DU237">
        <f t="shared" si="669"/>
        <v>350</v>
      </c>
      <c r="DW237" s="5">
        <f t="shared" si="670"/>
        <v>2.8571428571428572</v>
      </c>
      <c r="DX237" s="5">
        <f t="shared" si="671"/>
        <v>0.48965868214502228</v>
      </c>
      <c r="DY237" s="5">
        <f t="shared" si="672"/>
        <v>2.367484174997835</v>
      </c>
      <c r="DZ237" s="5"/>
      <c r="EA237" s="173">
        <f t="shared" si="673"/>
        <v>0.17138053875075779</v>
      </c>
      <c r="EB237" s="173">
        <f t="shared" si="699"/>
        <v>21.482999999999997</v>
      </c>
      <c r="EC237" s="173">
        <f t="shared" si="700"/>
        <v>0.32459257071601794</v>
      </c>
      <c r="ED237" s="173">
        <f t="shared" si="701"/>
        <v>66.184509252971196</v>
      </c>
      <c r="EE237" s="460">
        <f t="shared" si="674"/>
        <v>3.6292349382513418E-2</v>
      </c>
      <c r="EF237" s="5">
        <f t="shared" si="675"/>
        <v>5.0711511028453629</v>
      </c>
      <c r="EH237" s="173">
        <f t="shared" si="702"/>
        <v>3.7451012391338661</v>
      </c>
      <c r="EI237" s="173">
        <f t="shared" si="703"/>
        <v>0.41174693899480908</v>
      </c>
      <c r="EK237" s="528">
        <f t="shared" si="704"/>
        <v>0.56103133165448082</v>
      </c>
      <c r="EL237" s="528">
        <f t="shared" si="705"/>
        <v>3.698734787318855</v>
      </c>
      <c r="EM237" s="528">
        <f t="shared" si="706"/>
        <v>6.9999999999999993E-2</v>
      </c>
      <c r="EN237" s="528">
        <f t="shared" si="707"/>
        <v>4.2103293749999993E-2</v>
      </c>
      <c r="EO237">
        <f t="shared" si="708"/>
        <v>7.1999999999999998E-3</v>
      </c>
      <c r="EP237" s="460">
        <f t="shared" si="709"/>
        <v>77.199999999999989</v>
      </c>
      <c r="EQ237" s="460"/>
      <c r="ER237" s="460">
        <f t="shared" si="710"/>
        <v>4379.0694127233364</v>
      </c>
      <c r="ES237" s="528">
        <f t="shared" si="711"/>
        <v>8.8200000000000001E-2</v>
      </c>
      <c r="EV237" s="460">
        <f t="shared" si="712"/>
        <v>88.2</v>
      </c>
      <c r="EW237" s="528">
        <f t="shared" si="713"/>
        <v>0.42077349874086056</v>
      </c>
      <c r="EX237" s="528">
        <f t="shared" si="714"/>
        <v>5.0860662531478501E-3</v>
      </c>
      <c r="EY237" s="528">
        <f t="shared" si="715"/>
        <v>111.36499694595797</v>
      </c>
      <c r="EZ237" s="528"/>
      <c r="FA237" s="528">
        <f t="shared" si="716"/>
        <v>2.1483000000000008</v>
      </c>
      <c r="FB237" s="460">
        <f t="shared" si="717"/>
        <v>113939.15651095199</v>
      </c>
      <c r="FC237" s="173">
        <f t="shared" si="718"/>
        <v>118.40642592367531</v>
      </c>
      <c r="FD237" s="5">
        <f t="shared" si="719"/>
        <v>21.42</v>
      </c>
      <c r="FE237" s="173">
        <f t="shared" si="720"/>
        <v>0.15318992714361571</v>
      </c>
      <c r="FF237" s="5">
        <f t="shared" si="721"/>
        <v>15.318992714361571</v>
      </c>
      <c r="FI237" s="562">
        <f t="shared" si="676"/>
        <v>-50</v>
      </c>
      <c r="FJ237">
        <f t="shared" si="677"/>
        <v>-50</v>
      </c>
      <c r="FL237">
        <f t="shared" si="678"/>
        <v>0.32165262404834311</v>
      </c>
    </row>
    <row r="238" spans="5:168">
      <c r="E238" s="170">
        <v>22</v>
      </c>
      <c r="F238" s="217">
        <f t="shared" si="679"/>
        <v>0.13200000000000001</v>
      </c>
      <c r="G238" s="217"/>
      <c r="H238" s="217">
        <f t="shared" si="603"/>
        <v>22.44</v>
      </c>
      <c r="I238" s="541">
        <f t="shared" si="604"/>
        <v>15.439500223015209</v>
      </c>
      <c r="J238" s="172">
        <f t="shared" si="605"/>
        <v>8.5256005354753412</v>
      </c>
      <c r="K238" s="172">
        <f t="shared" si="606"/>
        <v>23.96510075849055</v>
      </c>
      <c r="L238" s="443"/>
      <c r="M238" s="217">
        <f t="shared" si="607"/>
        <v>0.35575068888453054</v>
      </c>
      <c r="N238" s="172">
        <f t="shared" si="608"/>
        <v>185.7235488423953</v>
      </c>
      <c r="O238" s="172">
        <f t="shared" si="599"/>
        <v>22.44</v>
      </c>
      <c r="P238" s="217">
        <f t="shared" si="609"/>
        <v>1.0924914637787959</v>
      </c>
      <c r="Q238" s="217">
        <f t="shared" si="610"/>
        <v>170</v>
      </c>
      <c r="R238" s="217"/>
      <c r="S238" s="172">
        <f t="shared" si="611"/>
        <v>3590.1166877982755</v>
      </c>
      <c r="T238" s="172">
        <f t="shared" si="612"/>
        <v>170</v>
      </c>
      <c r="U238" s="217">
        <f t="shared" si="613"/>
        <v>8.1955850148416527</v>
      </c>
      <c r="V238" s="217">
        <f t="shared" si="614"/>
        <v>0.2654096601723136</v>
      </c>
      <c r="W238" s="217">
        <f t="shared" si="615"/>
        <v>0.48064561439041853</v>
      </c>
      <c r="X238" s="197">
        <f t="shared" si="616"/>
        <v>350</v>
      </c>
      <c r="Y238" s="443">
        <f t="shared" si="680"/>
        <v>350</v>
      </c>
      <c r="AA238" s="217">
        <f t="shared" si="617"/>
        <v>31.386356994776445</v>
      </c>
      <c r="AB238" s="173">
        <f t="shared" si="618"/>
        <v>1.8407123852552465</v>
      </c>
      <c r="AC238" s="173">
        <f t="shared" si="619"/>
        <v>0.50551599042286688</v>
      </c>
      <c r="AD238" s="173"/>
      <c r="AE238" s="173">
        <f t="shared" si="620"/>
        <v>0.78195860091338065</v>
      </c>
      <c r="AF238" s="545">
        <f t="shared" si="621"/>
        <v>506.42067180723529</v>
      </c>
      <c r="AG238" s="528">
        <f t="shared" si="622"/>
        <v>9.1228503439894415E-2</v>
      </c>
      <c r="AI238" s="173">
        <f t="shared" si="623"/>
        <v>16.038377336396206</v>
      </c>
      <c r="AJ238" s="173">
        <f t="shared" si="624"/>
        <v>16.038377336396206</v>
      </c>
      <c r="AK238" s="173">
        <f t="shared" si="625"/>
        <v>3.2037362985650901</v>
      </c>
      <c r="AM238" s="545">
        <f t="shared" si="626"/>
        <v>132</v>
      </c>
      <c r="AN238" s="460">
        <f t="shared" si="627"/>
        <v>350</v>
      </c>
      <c r="AP238">
        <f t="shared" si="628"/>
        <v>132</v>
      </c>
      <c r="AQ238">
        <f t="shared" si="629"/>
        <v>350</v>
      </c>
      <c r="AS238" s="5">
        <f t="shared" si="600"/>
        <v>2.8571428571428572</v>
      </c>
      <c r="AT238" s="5">
        <f t="shared" si="630"/>
        <v>0.51939431667899028</v>
      </c>
      <c r="AU238" s="5">
        <f t="shared" si="722"/>
        <v>2.3377485404638669</v>
      </c>
      <c r="AV238" s="5"/>
      <c r="AW238" s="173">
        <f t="shared" si="723"/>
        <v>0.18178801083764659</v>
      </c>
      <c r="AX238" s="173">
        <f t="shared" si="631"/>
        <v>22.507585413654898</v>
      </c>
      <c r="AY238" s="173">
        <f t="shared" si="632"/>
        <v>0.32806981558372866</v>
      </c>
      <c r="AZ238" s="173">
        <f t="shared" si="633"/>
        <v>68.606084267787821</v>
      </c>
      <c r="BA238" s="460">
        <f t="shared" si="594"/>
        <v>4.0329441059780424E-2</v>
      </c>
      <c r="BB238" s="5">
        <f t="shared" si="595"/>
        <v>5.4363497771576803</v>
      </c>
      <c r="BD238" s="173">
        <f t="shared" si="681"/>
        <v>3.9480479473649246</v>
      </c>
      <c r="BE238" s="173">
        <f t="shared" si="682"/>
        <v>0.41879619128376977</v>
      </c>
      <c r="BG238" s="528">
        <f t="shared" si="683"/>
        <v>0.62348330378769579</v>
      </c>
      <c r="BH238" s="528">
        <f t="shared" si="634"/>
        <v>3.0268454648467324</v>
      </c>
      <c r="BI238" s="528">
        <f t="shared" si="635"/>
        <v>0.21615300312221292</v>
      </c>
      <c r="BJ238" s="528">
        <f t="shared" si="684"/>
        <v>4.0202823805522307E-2</v>
      </c>
      <c r="BK238">
        <f t="shared" si="685"/>
        <v>6.9477751003568441E-3</v>
      </c>
      <c r="BL238" s="460">
        <f t="shared" si="686"/>
        <v>223.10077822256977</v>
      </c>
      <c r="BM238" s="528">
        <f t="shared" si="636"/>
        <v>4.5299349915311087</v>
      </c>
      <c r="BN238" s="460">
        <f t="shared" si="687"/>
        <v>4529.9349915311086</v>
      </c>
      <c r="BO238" s="528">
        <f t="shared" si="637"/>
        <v>9.2399999999999996E-2</v>
      </c>
      <c r="BR238" s="460">
        <f t="shared" si="688"/>
        <v>92.399999999999991</v>
      </c>
      <c r="BS238" s="528">
        <f t="shared" si="689"/>
        <v>0.46761247784077181</v>
      </c>
      <c r="BT238" s="528">
        <f t="shared" si="690"/>
        <v>5.2617074950137557E-3</v>
      </c>
      <c r="BU238" s="528">
        <f t="shared" si="691"/>
        <v>118.0432566507568</v>
      </c>
      <c r="BV238" s="528"/>
      <c r="BW238" s="528">
        <f t="shared" si="692"/>
        <v>2.25075854136549</v>
      </c>
      <c r="BX238" s="460">
        <f t="shared" si="693"/>
        <v>120766.88937745806</v>
      </c>
      <c r="BY238" s="173">
        <f t="shared" si="694"/>
        <v>124.77292174812059</v>
      </c>
      <c r="BZ238" s="5">
        <f t="shared" si="695"/>
        <v>22.44</v>
      </c>
      <c r="CA238" s="173">
        <f t="shared" si="696"/>
        <v>0.1524322711181193</v>
      </c>
      <c r="CB238" s="5">
        <f t="shared" si="697"/>
        <v>15.24322711181193</v>
      </c>
      <c r="CE238" s="562">
        <f t="shared" si="638"/>
        <v>-50</v>
      </c>
      <c r="CF238">
        <f t="shared" si="639"/>
        <v>-50</v>
      </c>
      <c r="CG238" s="173">
        <f t="shared" si="640"/>
        <v>0.32970575116752388</v>
      </c>
      <c r="CI238" s="170">
        <v>22</v>
      </c>
      <c r="CJ238" s="217">
        <f t="shared" si="698"/>
        <v>0.13200000000000001</v>
      </c>
      <c r="CK238" s="217"/>
      <c r="CL238" s="217">
        <f t="shared" si="641"/>
        <v>22.44</v>
      </c>
      <c r="CM238" s="541">
        <f t="shared" si="642"/>
        <v>16</v>
      </c>
      <c r="CN238" s="443">
        <f t="shared" si="643"/>
        <v>8.5250000000000004</v>
      </c>
      <c r="CO238" s="443">
        <f t="shared" si="644"/>
        <v>24.524999999999999</v>
      </c>
      <c r="CP238" s="443"/>
      <c r="CQ238" s="217">
        <f t="shared" si="645"/>
        <v>0.34760448521916415</v>
      </c>
      <c r="CR238" s="172">
        <f t="shared" si="646"/>
        <v>188.05866123003739</v>
      </c>
      <c r="CS238" s="172">
        <f t="shared" si="647"/>
        <v>22.44</v>
      </c>
      <c r="CT238" s="217">
        <f t="shared" si="648"/>
        <v>1.1062274190002199</v>
      </c>
      <c r="CU238" s="217">
        <f t="shared" si="649"/>
        <v>170</v>
      </c>
      <c r="CV238" s="217"/>
      <c r="CW238" s="172">
        <f t="shared" si="650"/>
        <v>3720.4470402098077</v>
      </c>
      <c r="CX238" s="172">
        <f t="shared" si="651"/>
        <v>170</v>
      </c>
      <c r="CY238" s="217">
        <f t="shared" si="652"/>
        <v>8.069516129032257</v>
      </c>
      <c r="CZ238" s="217">
        <f t="shared" si="653"/>
        <v>0.25217237903225798</v>
      </c>
      <c r="DA238" s="217">
        <f t="shared" si="654"/>
        <v>0.47328540346230236</v>
      </c>
      <c r="DB238" s="197">
        <f t="shared" si="655"/>
        <v>350</v>
      </c>
      <c r="DC238" s="443">
        <f t="shared" si="656"/>
        <v>350</v>
      </c>
      <c r="DE238" s="217">
        <f t="shared" si="657"/>
        <v>31.780981505752148</v>
      </c>
      <c r="DF238" s="173">
        <f t="shared" si="658"/>
        <v>1.8639871850881022</v>
      </c>
      <c r="DG238" s="173">
        <f t="shared" si="659"/>
        <v>0.51834424474213492</v>
      </c>
      <c r="DH238" s="173"/>
      <c r="DI238" s="173">
        <f t="shared" si="660"/>
        <v>0.78201368523949166</v>
      </c>
      <c r="DJ238" s="545">
        <f t="shared" si="661"/>
        <v>506.38499999999999</v>
      </c>
      <c r="DK238" s="528">
        <f t="shared" si="662"/>
        <v>9.1234929944607357E-2</v>
      </c>
      <c r="DM238" s="173">
        <f t="shared" si="663"/>
        <v>16.037812462160435</v>
      </c>
      <c r="DN238" s="173">
        <f t="shared" si="664"/>
        <v>16.037812462160435</v>
      </c>
      <c r="DO238" s="173">
        <f t="shared" si="665"/>
        <v>3.2033178732052594</v>
      </c>
      <c r="DQ238" s="545">
        <f t="shared" si="666"/>
        <v>132</v>
      </c>
      <c r="DR238" s="460">
        <f t="shared" si="667"/>
        <v>350</v>
      </c>
      <c r="DT238">
        <f t="shared" si="668"/>
        <v>132</v>
      </c>
      <c r="DU238">
        <f t="shared" si="669"/>
        <v>350</v>
      </c>
      <c r="DW238" s="5">
        <f t="shared" si="670"/>
        <v>2.8571428571428572</v>
      </c>
      <c r="DX238" s="5">
        <f t="shared" si="671"/>
        <v>0.50118163944251359</v>
      </c>
      <c r="DY238" s="5">
        <f t="shared" si="672"/>
        <v>2.3559612177003437</v>
      </c>
      <c r="DZ238" s="5"/>
      <c r="EA238" s="173">
        <f t="shared" si="673"/>
        <v>0.17541357380487976</v>
      </c>
      <c r="EB238" s="173">
        <f t="shared" si="699"/>
        <v>22.505999999999997</v>
      </c>
      <c r="EC238" s="173">
        <f t="shared" si="700"/>
        <v>0.33061406155401091</v>
      </c>
      <c r="ED238" s="173">
        <f t="shared" si="701"/>
        <v>68.073329652747674</v>
      </c>
      <c r="EE238" s="460">
        <f t="shared" si="674"/>
        <v>3.8915280239065764E-2</v>
      </c>
      <c r="EF238" s="5">
        <f t="shared" si="675"/>
        <v>5.2867769725195712</v>
      </c>
      <c r="EH238" s="173">
        <f t="shared" si="702"/>
        <v>3.8780740885639289</v>
      </c>
      <c r="EI238" s="173">
        <f t="shared" si="703"/>
        <v>0.42040957476237356</v>
      </c>
      <c r="EK238" s="528">
        <f t="shared" si="704"/>
        <v>0.60157834545563793</v>
      </c>
      <c r="EL238" s="528">
        <f t="shared" si="705"/>
        <v>3.7857757498569149</v>
      </c>
      <c r="EM238" s="528">
        <f t="shared" si="706"/>
        <v>6.9999999999999993E-2</v>
      </c>
      <c r="EN238" s="528">
        <f t="shared" si="707"/>
        <v>4.2103293749999993E-2</v>
      </c>
      <c r="EO238">
        <f t="shared" si="708"/>
        <v>7.1999999999999998E-3</v>
      </c>
      <c r="EP238" s="460">
        <f t="shared" si="709"/>
        <v>77.199999999999989</v>
      </c>
      <c r="EQ238" s="460"/>
      <c r="ER238" s="460">
        <f t="shared" si="710"/>
        <v>4506.6573890625532</v>
      </c>
      <c r="ES238" s="528">
        <f t="shared" si="711"/>
        <v>9.2399999999999996E-2</v>
      </c>
      <c r="EV238" s="460">
        <f t="shared" si="712"/>
        <v>92.399999999999991</v>
      </c>
      <c r="EW238" s="528">
        <f t="shared" si="713"/>
        <v>0.45118375909172836</v>
      </c>
      <c r="EX238" s="528">
        <f t="shared" si="714"/>
        <v>5.3023263165563935E-3</v>
      </c>
      <c r="EY238" s="528">
        <f t="shared" si="715"/>
        <v>118.03286316897709</v>
      </c>
      <c r="EZ238" s="528"/>
      <c r="FA238" s="528">
        <f t="shared" si="716"/>
        <v>2.2505999999999999</v>
      </c>
      <c r="FB238" s="460">
        <f t="shared" si="717"/>
        <v>120739.94925438538</v>
      </c>
      <c r="FC238" s="173">
        <f t="shared" si="718"/>
        <v>125.33900664344793</v>
      </c>
      <c r="FD238" s="5">
        <f t="shared" si="719"/>
        <v>22.44</v>
      </c>
      <c r="FE238" s="173">
        <f t="shared" si="720"/>
        <v>0.15184836134500382</v>
      </c>
      <c r="FF238" s="5">
        <f t="shared" si="721"/>
        <v>15.184836134500381</v>
      </c>
      <c r="FI238" s="562">
        <f t="shared" si="676"/>
        <v>-50</v>
      </c>
      <c r="FJ238">
        <f t="shared" si="677"/>
        <v>-50</v>
      </c>
      <c r="FL238">
        <f t="shared" si="678"/>
        <v>0.3292219567012406</v>
      </c>
    </row>
    <row r="239" spans="5:168">
      <c r="E239" s="170">
        <v>23</v>
      </c>
      <c r="F239" s="217">
        <f t="shared" si="679"/>
        <v>0.13800000000000001</v>
      </c>
      <c r="G239" s="217"/>
      <c r="H239" s="217">
        <f t="shared" si="603"/>
        <v>23.46</v>
      </c>
      <c r="I239" s="541">
        <f t="shared" si="604"/>
        <v>15.426903149546257</v>
      </c>
      <c r="J239" s="172">
        <f t="shared" si="605"/>
        <v>8.5256140323397727</v>
      </c>
      <c r="K239" s="172">
        <f t="shared" si="606"/>
        <v>23.95251718188603</v>
      </c>
      <c r="L239" s="443"/>
      <c r="M239" s="217">
        <f t="shared" si="607"/>
        <v>0.35593814832709181</v>
      </c>
      <c r="N239" s="172">
        <f t="shared" si="608"/>
        <v>185.66980258626853</v>
      </c>
      <c r="O239" s="172">
        <f t="shared" si="599"/>
        <v>23.46</v>
      </c>
      <c r="P239" s="217">
        <f t="shared" si="609"/>
        <v>1.0921753093309914</v>
      </c>
      <c r="Q239" s="217">
        <f t="shared" si="610"/>
        <v>170</v>
      </c>
      <c r="R239" s="217"/>
      <c r="S239" s="172">
        <f t="shared" si="611"/>
        <v>3417.8121757715312</v>
      </c>
      <c r="T239" s="172">
        <f t="shared" si="612"/>
        <v>170</v>
      </c>
      <c r="U239" s="217">
        <f t="shared" si="613"/>
        <v>8.5706054250258159</v>
      </c>
      <c r="V239" s="217">
        <f t="shared" si="614"/>
        <v>0.27778113798808346</v>
      </c>
      <c r="W239" s="217">
        <f t="shared" si="615"/>
        <v>0.50263860130867877</v>
      </c>
      <c r="X239" s="197">
        <f t="shared" si="616"/>
        <v>350</v>
      </c>
      <c r="Y239" s="443">
        <f t="shared" si="680"/>
        <v>350</v>
      </c>
      <c r="AA239" s="217">
        <f t="shared" si="617"/>
        <v>31.377274098125731</v>
      </c>
      <c r="AB239" s="173">
        <f t="shared" si="618"/>
        <v>1.8401767883875537</v>
      </c>
      <c r="AC239" s="173">
        <f t="shared" si="619"/>
        <v>0.50522265043464365</v>
      </c>
      <c r="AD239" s="173"/>
      <c r="AE239" s="173">
        <f t="shared" si="620"/>
        <v>0.78195736299794283</v>
      </c>
      <c r="AF239" s="545">
        <f t="shared" si="621"/>
        <v>529.44063140829996</v>
      </c>
      <c r="AG239" s="528">
        <f t="shared" si="622"/>
        <v>9.1228359016426661E-2</v>
      </c>
      <c r="AI239" s="173">
        <f t="shared" si="623"/>
        <v>16.398848297280871</v>
      </c>
      <c r="AJ239" s="173">
        <f t="shared" si="624"/>
        <v>16.398848297280871</v>
      </c>
      <c r="AK239" s="173">
        <f t="shared" si="625"/>
        <v>3.4707518251463236</v>
      </c>
      <c r="AM239" s="545">
        <f t="shared" si="626"/>
        <v>138</v>
      </c>
      <c r="AN239" s="460">
        <f t="shared" si="627"/>
        <v>350</v>
      </c>
      <c r="AP239">
        <f t="shared" si="628"/>
        <v>138</v>
      </c>
      <c r="AQ239">
        <f t="shared" si="629"/>
        <v>350</v>
      </c>
      <c r="AS239" s="5">
        <f t="shared" si="600"/>
        <v>2.8571428571428572</v>
      </c>
      <c r="AT239" s="5">
        <f t="shared" si="630"/>
        <v>0.53150162862606687</v>
      </c>
      <c r="AU239" s="5">
        <f t="shared" si="722"/>
        <v>2.3256412285167904</v>
      </c>
      <c r="AV239" s="5"/>
      <c r="AW239" s="173">
        <f t="shared" si="723"/>
        <v>0.1860255700191234</v>
      </c>
      <c r="AX239" s="173">
        <f t="shared" si="631"/>
        <v>23.530694729257778</v>
      </c>
      <c r="AY239" s="173">
        <f t="shared" si="632"/>
        <v>0.33370607987805168</v>
      </c>
      <c r="AZ239" s="173">
        <f t="shared" si="633"/>
        <v>70.513233495346412</v>
      </c>
      <c r="BA239" s="460">
        <f t="shared" si="594"/>
        <v>4.3145426323763079E-2</v>
      </c>
      <c r="BB239" s="5">
        <f t="shared" si="595"/>
        <v>5.6586385684396943</v>
      </c>
      <c r="BD239" s="173">
        <f t="shared" si="681"/>
        <v>4.0835609576778804</v>
      </c>
      <c r="BE239" s="173">
        <f t="shared" si="682"/>
        <v>0.4270985592655191</v>
      </c>
      <c r="BG239" s="528">
        <f t="shared" si="683"/>
        <v>0.66701880380284351</v>
      </c>
      <c r="BH239" s="528">
        <f t="shared" si="634"/>
        <v>3.0932503528796307</v>
      </c>
      <c r="BI239" s="528">
        <f t="shared" si="635"/>
        <v>0.21597664409364761</v>
      </c>
      <c r="BJ239" s="528">
        <f t="shared" si="684"/>
        <v>4.0160615554398184E-2</v>
      </c>
      <c r="BK239">
        <f t="shared" si="685"/>
        <v>6.9421064172958159E-3</v>
      </c>
      <c r="BL239" s="460">
        <f t="shared" si="686"/>
        <v>222.91875051094343</v>
      </c>
      <c r="BM239" s="528">
        <f t="shared" si="636"/>
        <v>4.7301813368012198</v>
      </c>
      <c r="BN239" s="460">
        <f t="shared" si="687"/>
        <v>4730.1813368012199</v>
      </c>
      <c r="BO239" s="528">
        <f t="shared" si="637"/>
        <v>9.6600000000000005E-2</v>
      </c>
      <c r="BR239" s="460">
        <f t="shared" si="688"/>
        <v>96.600000000000009</v>
      </c>
      <c r="BS239" s="528">
        <f t="shared" si="689"/>
        <v>0.50026410285213263</v>
      </c>
      <c r="BT239" s="528">
        <f t="shared" si="690"/>
        <v>5.4723953798004642E-3</v>
      </c>
      <c r="BU239" s="528">
        <f t="shared" si="691"/>
        <v>124.78819013911044</v>
      </c>
      <c r="BV239" s="528"/>
      <c r="BW239" s="528">
        <f t="shared" si="692"/>
        <v>2.3530694729257777</v>
      </c>
      <c r="BX239" s="460">
        <f t="shared" si="693"/>
        <v>127646.99611026816</v>
      </c>
      <c r="BY239" s="173">
        <f t="shared" si="694"/>
        <v>131.76694463301595</v>
      </c>
      <c r="BZ239" s="5">
        <f t="shared" si="695"/>
        <v>23.46</v>
      </c>
      <c r="CA239" s="173">
        <f t="shared" si="696"/>
        <v>0.1511335551663637</v>
      </c>
      <c r="CB239" s="5">
        <f t="shared" si="697"/>
        <v>15.11335551663637</v>
      </c>
      <c r="CE239" s="562">
        <f t="shared" si="638"/>
        <v>-50</v>
      </c>
      <c r="CF239">
        <f t="shared" si="639"/>
        <v>-50</v>
      </c>
      <c r="CG239" s="173">
        <f t="shared" si="640"/>
        <v>0.33711579438455475</v>
      </c>
      <c r="CI239" s="170">
        <v>23</v>
      </c>
      <c r="CJ239" s="217">
        <f t="shared" si="698"/>
        <v>0.13800000000000001</v>
      </c>
      <c r="CK239" s="217"/>
      <c r="CL239" s="217">
        <f t="shared" si="641"/>
        <v>23.46</v>
      </c>
      <c r="CM239" s="541">
        <f t="shared" si="642"/>
        <v>16</v>
      </c>
      <c r="CN239" s="443">
        <f t="shared" si="643"/>
        <v>8.5250000000000004</v>
      </c>
      <c r="CO239" s="443">
        <f t="shared" si="644"/>
        <v>24.524999999999999</v>
      </c>
      <c r="CP239" s="443"/>
      <c r="CQ239" s="217">
        <f t="shared" si="645"/>
        <v>0.34760448521916415</v>
      </c>
      <c r="CR239" s="172">
        <f t="shared" si="646"/>
        <v>188.05866123003739</v>
      </c>
      <c r="CS239" s="172">
        <f t="shared" si="647"/>
        <v>23.46</v>
      </c>
      <c r="CT239" s="217">
        <f t="shared" si="648"/>
        <v>1.1062274190002199</v>
      </c>
      <c r="CU239" s="217">
        <f t="shared" si="649"/>
        <v>170</v>
      </c>
      <c r="CV239" s="217"/>
      <c r="CW239" s="172">
        <f t="shared" si="650"/>
        <v>3544.7794299510988</v>
      </c>
      <c r="CX239" s="172">
        <f t="shared" si="651"/>
        <v>170</v>
      </c>
      <c r="CY239" s="217">
        <f t="shared" si="652"/>
        <v>8.4363123167155418</v>
      </c>
      <c r="CZ239" s="217">
        <f t="shared" si="653"/>
        <v>0.26363475989736068</v>
      </c>
      <c r="DA239" s="217">
        <f t="shared" si="654"/>
        <v>0.49479837634695256</v>
      </c>
      <c r="DB239" s="197">
        <f t="shared" si="655"/>
        <v>350</v>
      </c>
      <c r="DC239" s="443">
        <f t="shared" si="656"/>
        <v>350</v>
      </c>
      <c r="DE239" s="217">
        <f t="shared" si="657"/>
        <v>31.780981505752148</v>
      </c>
      <c r="DF239" s="173">
        <f t="shared" si="658"/>
        <v>1.8639871850881022</v>
      </c>
      <c r="DG239" s="173">
        <f t="shared" si="659"/>
        <v>0.51834424474213492</v>
      </c>
      <c r="DH239" s="173"/>
      <c r="DI239" s="173">
        <f t="shared" si="660"/>
        <v>0.78201368523949166</v>
      </c>
      <c r="DJ239" s="545">
        <f t="shared" si="661"/>
        <v>529.40250000000003</v>
      </c>
      <c r="DK239" s="528">
        <f t="shared" si="662"/>
        <v>9.1234929944607357E-2</v>
      </c>
      <c r="DM239" s="173">
        <f t="shared" si="663"/>
        <v>16.398257747177205</v>
      </c>
      <c r="DN239" s="173">
        <f t="shared" si="664"/>
        <v>16.398257747177205</v>
      </c>
      <c r="DO239" s="173">
        <f t="shared" si="665"/>
        <v>3.4703143806250889</v>
      </c>
      <c r="DQ239" s="545">
        <f t="shared" si="666"/>
        <v>138</v>
      </c>
      <c r="DR239" s="460">
        <f t="shared" si="667"/>
        <v>350</v>
      </c>
      <c r="DT239">
        <f t="shared" si="668"/>
        <v>138</v>
      </c>
      <c r="DU239">
        <f t="shared" si="669"/>
        <v>350</v>
      </c>
      <c r="DW239" s="5">
        <f t="shared" si="670"/>
        <v>2.8571428571428572</v>
      </c>
      <c r="DX239" s="5">
        <f t="shared" si="671"/>
        <v>0.51244555459928764</v>
      </c>
      <c r="DY239" s="5">
        <f t="shared" si="672"/>
        <v>2.3446973025435698</v>
      </c>
      <c r="DZ239" s="5"/>
      <c r="EA239" s="173">
        <f t="shared" si="673"/>
        <v>0.17935594410975067</v>
      </c>
      <c r="EB239" s="173">
        <f t="shared" si="699"/>
        <v>23.529000000000003</v>
      </c>
      <c r="EC239" s="173">
        <f t="shared" si="700"/>
        <v>0.33642831867943013</v>
      </c>
      <c r="ED239" s="173">
        <f t="shared" si="701"/>
        <v>69.937632159972537</v>
      </c>
      <c r="EE239" s="460">
        <f t="shared" si="674"/>
        <v>4.1598521491001003E-2</v>
      </c>
      <c r="EF239" s="5">
        <f t="shared" si="675"/>
        <v>5.5006598717672146</v>
      </c>
      <c r="EH239" s="173">
        <f t="shared" si="702"/>
        <v>4.0095438567109918</v>
      </c>
      <c r="EI239" s="173">
        <f t="shared" si="703"/>
        <v>0.42882934768797276</v>
      </c>
      <c r="EK239" s="528">
        <f t="shared" si="704"/>
        <v>0.64305767755555421</v>
      </c>
      <c r="EL239" s="528">
        <f t="shared" si="705"/>
        <v>3.8708599857766393</v>
      </c>
      <c r="EM239" s="528">
        <f t="shared" si="706"/>
        <v>6.9999999999999993E-2</v>
      </c>
      <c r="EN239" s="528">
        <f t="shared" si="707"/>
        <v>4.2103293749999993E-2</v>
      </c>
      <c r="EO239">
        <f t="shared" si="708"/>
        <v>7.1999999999999998E-3</v>
      </c>
      <c r="EP239" s="460">
        <f t="shared" si="709"/>
        <v>77.199999999999989</v>
      </c>
      <c r="EQ239" s="460"/>
      <c r="ER239" s="460">
        <f t="shared" si="710"/>
        <v>4633.2209570821942</v>
      </c>
      <c r="ES239" s="528">
        <f t="shared" si="711"/>
        <v>9.6600000000000005E-2</v>
      </c>
      <c r="EV239" s="460">
        <f t="shared" si="712"/>
        <v>96.600000000000009</v>
      </c>
      <c r="EW239" s="528">
        <f t="shared" si="713"/>
        <v>0.48229325816666563</v>
      </c>
      <c r="EX239" s="528">
        <f t="shared" si="714"/>
        <v>5.5168382831547666E-3</v>
      </c>
      <c r="EY239" s="528">
        <f t="shared" si="715"/>
        <v>124.77695586111049</v>
      </c>
      <c r="EZ239" s="528"/>
      <c r="FA239" s="528">
        <f t="shared" si="716"/>
        <v>2.3529000000000009</v>
      </c>
      <c r="FB239" s="460">
        <f t="shared" si="717"/>
        <v>127617.66595756033</v>
      </c>
      <c r="FC239" s="173">
        <f t="shared" si="718"/>
        <v>132.3474869146425</v>
      </c>
      <c r="FD239" s="5">
        <f t="shared" si="719"/>
        <v>23.46</v>
      </c>
      <c r="FE239" s="173">
        <f t="shared" si="720"/>
        <v>0.15057042806198598</v>
      </c>
      <c r="FF239" s="5">
        <f t="shared" si="721"/>
        <v>15.057042806198599</v>
      </c>
      <c r="FI239" s="562">
        <f t="shared" si="676"/>
        <v>-50</v>
      </c>
      <c r="FJ239">
        <f t="shared" si="677"/>
        <v>-50</v>
      </c>
      <c r="FL239">
        <f t="shared" si="678"/>
        <v>0.33662112677489858</v>
      </c>
    </row>
    <row r="240" spans="5:168">
      <c r="E240" s="170">
        <v>24</v>
      </c>
      <c r="F240" s="217">
        <f t="shared" si="679"/>
        <v>0.14399999999999999</v>
      </c>
      <c r="G240" s="217"/>
      <c r="H240" s="217">
        <f t="shared" si="603"/>
        <v>24.479999999999997</v>
      </c>
      <c r="I240" s="541">
        <f t="shared" si="604"/>
        <v>15.414577075952778</v>
      </c>
      <c r="J240" s="172">
        <f t="shared" si="605"/>
        <v>8.5256272388471928</v>
      </c>
      <c r="K240" s="172">
        <f t="shared" si="606"/>
        <v>23.940204314799971</v>
      </c>
      <c r="L240" s="443"/>
      <c r="M240" s="217">
        <f t="shared" si="607"/>
        <v>0.35612176572195353</v>
      </c>
      <c r="N240" s="172">
        <f t="shared" si="608"/>
        <v>185.61715741313151</v>
      </c>
      <c r="O240" s="172">
        <f t="shared" si="599"/>
        <v>24.479999999999997</v>
      </c>
      <c r="P240" s="217">
        <f t="shared" si="609"/>
        <v>1.09186563184195</v>
      </c>
      <c r="Q240" s="217">
        <f t="shared" si="610"/>
        <v>170</v>
      </c>
      <c r="R240" s="217"/>
      <c r="S240" s="172">
        <f t="shared" si="611"/>
        <v>3259.9448739600384</v>
      </c>
      <c r="T240" s="172">
        <f t="shared" si="612"/>
        <v>170</v>
      </c>
      <c r="U240" s="217">
        <f t="shared" si="613"/>
        <v>8.9457908240343667</v>
      </c>
      <c r="V240" s="217">
        <f t="shared" si="614"/>
        <v>0.29017308681112236</v>
      </c>
      <c r="W240" s="217">
        <f t="shared" si="615"/>
        <v>0.52464121251235862</v>
      </c>
      <c r="X240" s="197">
        <f t="shared" si="616"/>
        <v>350</v>
      </c>
      <c r="Y240" s="443">
        <f t="shared" si="680"/>
        <v>350</v>
      </c>
      <c r="AA240" s="217">
        <f t="shared" si="617"/>
        <v>31.36837728008113</v>
      </c>
      <c r="AB240" s="173">
        <f t="shared" si="618"/>
        <v>1.8396521687665679</v>
      </c>
      <c r="AC240" s="173">
        <f t="shared" si="619"/>
        <v>0.50493540382240543</v>
      </c>
      <c r="AD240" s="173"/>
      <c r="AE240" s="173">
        <f t="shared" si="620"/>
        <v>0.78195615171747901</v>
      </c>
      <c r="AF240" s="545">
        <f t="shared" si="621"/>
        <v>552.46064507729795</v>
      </c>
      <c r="AG240" s="528">
        <f t="shared" si="622"/>
        <v>9.1228217700372552E-2</v>
      </c>
      <c r="AI240" s="173">
        <f t="shared" si="623"/>
        <v>16.751565026376291</v>
      </c>
      <c r="AJ240" s="173">
        <f t="shared" si="624"/>
        <v>16.751565026376291</v>
      </c>
      <c r="AK240" s="173">
        <f t="shared" si="625"/>
        <v>3.7320234763281164</v>
      </c>
      <c r="AM240" s="545">
        <f t="shared" si="626"/>
        <v>144</v>
      </c>
      <c r="AN240" s="460">
        <f t="shared" si="627"/>
        <v>350</v>
      </c>
      <c r="AP240">
        <f t="shared" si="628"/>
        <v>144</v>
      </c>
      <c r="AQ240">
        <f t="shared" si="629"/>
        <v>350</v>
      </c>
      <c r="AS240" s="5">
        <f t="shared" si="600"/>
        <v>2.8571428571428572</v>
      </c>
      <c r="AT240" s="5">
        <f t="shared" si="630"/>
        <v>0.54336764946049854</v>
      </c>
      <c r="AU240" s="5">
        <f t="shared" si="722"/>
        <v>2.3137752076823586</v>
      </c>
      <c r="AV240" s="5"/>
      <c r="AW240" s="173">
        <f t="shared" si="723"/>
        <v>0.19017867731117449</v>
      </c>
      <c r="AX240" s="173">
        <f t="shared" si="631"/>
        <v>24.553806447879907</v>
      </c>
      <c r="AY240" s="173">
        <f t="shared" si="632"/>
        <v>0.33914436366919798</v>
      </c>
      <c r="AZ240" s="173">
        <f t="shared" si="633"/>
        <v>72.399276173227918</v>
      </c>
      <c r="BA240" s="460">
        <f t="shared" si="594"/>
        <v>4.602643618959517E-2</v>
      </c>
      <c r="BB240" s="5">
        <f t="shared" si="595"/>
        <v>5.8792367048384291</v>
      </c>
      <c r="BD240" s="173">
        <f t="shared" si="681"/>
        <v>4.217699862072144</v>
      </c>
      <c r="BE240" s="173">
        <f t="shared" si="682"/>
        <v>0.43517042107407294</v>
      </c>
      <c r="BG240" s="528">
        <f t="shared" si="683"/>
        <v>0.71155968506093525</v>
      </c>
      <c r="BH240" s="528">
        <f t="shared" si="634"/>
        <v>3.1581576284273347</v>
      </c>
      <c r="BI240" s="528">
        <f t="shared" si="635"/>
        <v>0.21580407906333887</v>
      </c>
      <c r="BJ240" s="528">
        <f t="shared" si="684"/>
        <v>4.0119336784405692E-2</v>
      </c>
      <c r="BK240">
        <f t="shared" si="685"/>
        <v>6.9365596841787502E-3</v>
      </c>
      <c r="BL240" s="460">
        <f t="shared" si="686"/>
        <v>222.74063874751764</v>
      </c>
      <c r="BM240" s="528">
        <f t="shared" si="636"/>
        <v>4.9365661222499275</v>
      </c>
      <c r="BN240" s="460">
        <f t="shared" si="687"/>
        <v>4936.5661222499275</v>
      </c>
      <c r="BO240" s="528">
        <f t="shared" si="637"/>
        <v>0.10079999999999999</v>
      </c>
      <c r="BR240" s="460">
        <f t="shared" si="688"/>
        <v>100.79999999999998</v>
      </c>
      <c r="BS240" s="528">
        <f t="shared" si="689"/>
        <v>0.53366976379570141</v>
      </c>
      <c r="BT240" s="528">
        <f t="shared" si="690"/>
        <v>5.6811988613335775E-3</v>
      </c>
      <c r="BU240" s="528">
        <f t="shared" si="691"/>
        <v>131.60687714710937</v>
      </c>
      <c r="BV240" s="528"/>
      <c r="BW240" s="528">
        <f t="shared" si="692"/>
        <v>2.4553806447879913</v>
      </c>
      <c r="BX240" s="460">
        <f t="shared" si="693"/>
        <v>134601.60875455441</v>
      </c>
      <c r="BY240" s="173">
        <f t="shared" si="694"/>
        <v>138.83498604357459</v>
      </c>
      <c r="BZ240" s="5">
        <f t="shared" si="695"/>
        <v>24.479999999999997</v>
      </c>
      <c r="CA240" s="173">
        <f t="shared" si="696"/>
        <v>0.14989438870887459</v>
      </c>
      <c r="CB240" s="5">
        <f t="shared" si="697"/>
        <v>14.989438870887458</v>
      </c>
      <c r="CE240" s="562">
        <f t="shared" si="638"/>
        <v>-50</v>
      </c>
      <c r="CF240">
        <f t="shared" si="639"/>
        <v>-50</v>
      </c>
      <c r="CG240" s="173">
        <f t="shared" si="640"/>
        <v>0.34436642591013084</v>
      </c>
      <c r="CI240" s="170">
        <v>24</v>
      </c>
      <c r="CJ240" s="217">
        <f t="shared" si="698"/>
        <v>0.14399999999999999</v>
      </c>
      <c r="CK240" s="217"/>
      <c r="CL240" s="217">
        <f t="shared" si="641"/>
        <v>24.479999999999997</v>
      </c>
      <c r="CM240" s="541">
        <f t="shared" si="642"/>
        <v>16</v>
      </c>
      <c r="CN240" s="443">
        <f t="shared" si="643"/>
        <v>8.5250000000000004</v>
      </c>
      <c r="CO240" s="443">
        <f t="shared" si="644"/>
        <v>24.524999999999999</v>
      </c>
      <c r="CP240" s="443"/>
      <c r="CQ240" s="217">
        <f t="shared" si="645"/>
        <v>0.34760448521916415</v>
      </c>
      <c r="CR240" s="172">
        <f t="shared" si="646"/>
        <v>188.05866123003739</v>
      </c>
      <c r="CS240" s="172">
        <f t="shared" si="647"/>
        <v>24.479999999999997</v>
      </c>
      <c r="CT240" s="217">
        <f t="shared" si="648"/>
        <v>1.1062274190002199</v>
      </c>
      <c r="CU240" s="217">
        <f t="shared" si="649"/>
        <v>170</v>
      </c>
      <c r="CV240" s="217"/>
      <c r="CW240" s="172">
        <f t="shared" si="650"/>
        <v>3383.7509815211224</v>
      </c>
      <c r="CX240" s="172">
        <f t="shared" si="651"/>
        <v>170</v>
      </c>
      <c r="CY240" s="217">
        <f t="shared" si="652"/>
        <v>8.8031085043988249</v>
      </c>
      <c r="CZ240" s="217">
        <f t="shared" si="653"/>
        <v>0.27509714076246322</v>
      </c>
      <c r="DA240" s="217">
        <f t="shared" si="654"/>
        <v>0.51631134923160249</v>
      </c>
      <c r="DB240" s="197">
        <f t="shared" si="655"/>
        <v>350</v>
      </c>
      <c r="DC240" s="443">
        <f t="shared" si="656"/>
        <v>350</v>
      </c>
      <c r="DE240" s="217">
        <f t="shared" si="657"/>
        <v>31.780981505752148</v>
      </c>
      <c r="DF240" s="173">
        <f t="shared" si="658"/>
        <v>1.8639871850881022</v>
      </c>
      <c r="DG240" s="173">
        <f t="shared" si="659"/>
        <v>0.51834424474213492</v>
      </c>
      <c r="DH240" s="173"/>
      <c r="DI240" s="173">
        <f t="shared" si="660"/>
        <v>0.78201368523949166</v>
      </c>
      <c r="DJ240" s="545">
        <f t="shared" si="661"/>
        <v>552.41999999999996</v>
      </c>
      <c r="DK240" s="528">
        <f t="shared" si="662"/>
        <v>9.1234929944607357E-2</v>
      </c>
      <c r="DM240" s="173">
        <f t="shared" si="663"/>
        <v>16.750948800419806</v>
      </c>
      <c r="DN240" s="173">
        <f t="shared" si="664"/>
        <v>16.750948800419806</v>
      </c>
      <c r="DO240" s="173">
        <f t="shared" si="665"/>
        <v>3.7315670126566465</v>
      </c>
      <c r="DQ240" s="545">
        <f t="shared" si="666"/>
        <v>144</v>
      </c>
      <c r="DR240" s="460">
        <f t="shared" si="667"/>
        <v>350</v>
      </c>
      <c r="DT240">
        <f t="shared" si="668"/>
        <v>144</v>
      </c>
      <c r="DU240">
        <f t="shared" si="669"/>
        <v>350</v>
      </c>
      <c r="DW240" s="5">
        <f t="shared" si="670"/>
        <v>2.8571428571428572</v>
      </c>
      <c r="DX240" s="5">
        <f t="shared" si="671"/>
        <v>0.52346715001311894</v>
      </c>
      <c r="DY240" s="5">
        <f t="shared" si="672"/>
        <v>2.3336757071297383</v>
      </c>
      <c r="DZ240" s="5"/>
      <c r="EA240" s="173">
        <f t="shared" si="673"/>
        <v>0.18321350250459162</v>
      </c>
      <c r="EB240" s="173">
        <f t="shared" si="699"/>
        <v>24.552</v>
      </c>
      <c r="EC240" s="173">
        <f t="shared" si="700"/>
        <v>0.34204872001049519</v>
      </c>
      <c r="ED240" s="173">
        <f t="shared" si="701"/>
        <v>71.779248287339485</v>
      </c>
      <c r="EE240" s="460">
        <f t="shared" si="674"/>
        <v>4.4340746824640662E-2</v>
      </c>
      <c r="EF240" s="5">
        <f t="shared" si="675"/>
        <v>5.7128381310535987</v>
      </c>
      <c r="EH240" s="173">
        <f t="shared" si="702"/>
        <v>4.1395918425406943</v>
      </c>
      <c r="EI240" s="173">
        <f t="shared" si="703"/>
        <v>0.43702176132487702</v>
      </c>
      <c r="EK240" s="528">
        <f t="shared" si="704"/>
        <v>0.68544882491317849</v>
      </c>
      <c r="EL240" s="528">
        <f t="shared" si="705"/>
        <v>3.9541138110540968</v>
      </c>
      <c r="EM240" s="528">
        <f t="shared" si="706"/>
        <v>6.9999999999999993E-2</v>
      </c>
      <c r="EN240" s="528">
        <f t="shared" si="707"/>
        <v>4.2103293749999993E-2</v>
      </c>
      <c r="EO240">
        <f t="shared" si="708"/>
        <v>7.1999999999999998E-3</v>
      </c>
      <c r="EP240" s="460">
        <f t="shared" si="709"/>
        <v>77.199999999999989</v>
      </c>
      <c r="EQ240" s="460"/>
      <c r="ER240" s="460">
        <f t="shared" si="710"/>
        <v>4758.8659297172753</v>
      </c>
      <c r="ES240" s="528">
        <f t="shared" si="711"/>
        <v>0.10079999999999999</v>
      </c>
      <c r="EV240" s="460">
        <f t="shared" si="712"/>
        <v>100.79999999999998</v>
      </c>
      <c r="EW240" s="528">
        <f t="shared" si="713"/>
        <v>0.51408661868488381</v>
      </c>
      <c r="EX240" s="528">
        <f t="shared" si="714"/>
        <v>5.7296405961449332E-3</v>
      </c>
      <c r="EY240" s="528">
        <f t="shared" si="715"/>
        <v>131.59477419790298</v>
      </c>
      <c r="EZ240" s="528"/>
      <c r="FA240" s="528">
        <f t="shared" si="716"/>
        <v>2.4552</v>
      </c>
      <c r="FB240" s="460">
        <f t="shared" si="717"/>
        <v>134569.79045718399</v>
      </c>
      <c r="FC240" s="173">
        <f t="shared" si="718"/>
        <v>139.42945638690128</v>
      </c>
      <c r="FD240" s="5">
        <f t="shared" si="719"/>
        <v>24.479999999999997</v>
      </c>
      <c r="FE240" s="173">
        <f t="shared" si="720"/>
        <v>0.14935074851457017</v>
      </c>
      <c r="FF240" s="5">
        <f t="shared" si="721"/>
        <v>14.935074851457017</v>
      </c>
      <c r="FI240" s="562">
        <f t="shared" si="676"/>
        <v>-50</v>
      </c>
      <c r="FJ240">
        <f t="shared" si="677"/>
        <v>-50</v>
      </c>
      <c r="FL240">
        <f t="shared" si="678"/>
        <v>0.34386111907020128</v>
      </c>
    </row>
    <row r="241" spans="5:168">
      <c r="E241" s="170">
        <v>25</v>
      </c>
      <c r="F241" s="217">
        <f t="shared" si="679"/>
        <v>0.15</v>
      </c>
      <c r="G241" s="217"/>
      <c r="H241" s="217">
        <f t="shared" si="603"/>
        <v>25.5</v>
      </c>
      <c r="I241" s="541">
        <f t="shared" si="604"/>
        <v>15.402505230148414</v>
      </c>
      <c r="J241" s="172">
        <f t="shared" si="605"/>
        <v>8.525640172967698</v>
      </c>
      <c r="K241" s="172">
        <f t="shared" si="606"/>
        <v>23.928145403116112</v>
      </c>
      <c r="L241" s="443"/>
      <c r="M241" s="217">
        <f t="shared" si="607"/>
        <v>0.35630177913453515</v>
      </c>
      <c r="N241" s="172">
        <f t="shared" si="608"/>
        <v>185.56554509567823</v>
      </c>
      <c r="O241" s="172">
        <f t="shared" si="599"/>
        <v>25.5</v>
      </c>
      <c r="P241" s="217">
        <f t="shared" si="609"/>
        <v>1.0915620299745779</v>
      </c>
      <c r="Q241" s="217">
        <f t="shared" si="610"/>
        <v>170</v>
      </c>
      <c r="R241" s="217"/>
      <c r="S241" s="172">
        <f t="shared" si="611"/>
        <v>3114.7782772578676</v>
      </c>
      <c r="T241" s="172">
        <f t="shared" si="612"/>
        <v>170</v>
      </c>
      <c r="U241" s="217">
        <f t="shared" si="613"/>
        <v>9.3211380822722827</v>
      </c>
      <c r="V241" s="217">
        <f t="shared" si="614"/>
        <v>0.30258512959396233</v>
      </c>
      <c r="W241" s="217">
        <f t="shared" si="615"/>
        <v>0.54665326551235849</v>
      </c>
      <c r="X241" s="197">
        <f t="shared" si="616"/>
        <v>350</v>
      </c>
      <c r="Y241" s="443">
        <f t="shared" si="680"/>
        <v>350</v>
      </c>
      <c r="AA241" s="217">
        <f t="shared" si="617"/>
        <v>31.359655010501889</v>
      </c>
      <c r="AB241" s="173">
        <f t="shared" si="618"/>
        <v>1.839137846207382</v>
      </c>
      <c r="AC241" s="173">
        <f t="shared" si="619"/>
        <v>0.50465387327093358</v>
      </c>
      <c r="AD241" s="173"/>
      <c r="AE241" s="173">
        <f t="shared" si="620"/>
        <v>0.78195496542355958</v>
      </c>
      <c r="AF241" s="545">
        <f t="shared" si="621"/>
        <v>575.48071167531964</v>
      </c>
      <c r="AG241" s="528">
        <f t="shared" si="622"/>
        <v>9.1228079299415288E-2</v>
      </c>
      <c r="AI241" s="173">
        <f t="shared" si="623"/>
        <v>17.097007430342252</v>
      </c>
      <c r="AJ241" s="173">
        <f t="shared" si="624"/>
        <v>17.097007430342252</v>
      </c>
      <c r="AK241" s="173">
        <f t="shared" si="625"/>
        <v>3.9879067385251243</v>
      </c>
      <c r="AM241" s="545">
        <f t="shared" si="626"/>
        <v>150</v>
      </c>
      <c r="AN241" s="460">
        <f t="shared" si="627"/>
        <v>350</v>
      </c>
      <c r="AP241">
        <f t="shared" si="628"/>
        <v>150</v>
      </c>
      <c r="AQ241">
        <f t="shared" si="629"/>
        <v>350</v>
      </c>
      <c r="AS241" s="5">
        <f t="shared" si="600"/>
        <v>2.8571428571428572</v>
      </c>
      <c r="AT241" s="5">
        <f t="shared" si="630"/>
        <v>0.55500735675379187</v>
      </c>
      <c r="AU241" s="5">
        <f t="shared" si="722"/>
        <v>2.3021355003890651</v>
      </c>
      <c r="AV241" s="5"/>
      <c r="AW241" s="173">
        <f t="shared" si="723"/>
        <v>0.19425257486382716</v>
      </c>
      <c r="AX241" s="173">
        <f t="shared" si="631"/>
        <v>25.576920518903087</v>
      </c>
      <c r="AY241" s="173">
        <f t="shared" si="632"/>
        <v>0.34439674286330713</v>
      </c>
      <c r="AZ241" s="173">
        <f t="shared" si="633"/>
        <v>74.265860664816742</v>
      </c>
      <c r="BA241" s="460">
        <f t="shared" si="594"/>
        <v>4.8971237360628694E-2</v>
      </c>
      <c r="BB241" s="5">
        <f t="shared" si="595"/>
        <v>6.0981721487763973</v>
      </c>
      <c r="BD241" s="173">
        <f t="shared" si="681"/>
        <v>4.3505369861812424</v>
      </c>
      <c r="BE241" s="173">
        <f t="shared" si="682"/>
        <v>0.44302572053699218</v>
      </c>
      <c r="BG241" s="528">
        <f t="shared" si="683"/>
        <v>0.75708688272523872</v>
      </c>
      <c r="BH241" s="528">
        <f t="shared" si="634"/>
        <v>3.2216599780421644</v>
      </c>
      <c r="BI241" s="528">
        <f t="shared" si="635"/>
        <v>0.21563507322207781</v>
      </c>
      <c r="BJ241" s="528">
        <f t="shared" si="684"/>
        <v>4.007892997028667E-2</v>
      </c>
      <c r="BK241">
        <f t="shared" si="685"/>
        <v>6.9311273535667857E-3</v>
      </c>
      <c r="BL241" s="460">
        <f t="shared" si="686"/>
        <v>222.56620057564461</v>
      </c>
      <c r="BM241" s="528">
        <f t="shared" si="636"/>
        <v>5.1495623086490037</v>
      </c>
      <c r="BN241" s="460">
        <f t="shared" si="687"/>
        <v>5149.5623086490041</v>
      </c>
      <c r="BO241" s="528">
        <f t="shared" si="637"/>
        <v>0.105</v>
      </c>
      <c r="BR241" s="460">
        <f t="shared" si="688"/>
        <v>105</v>
      </c>
      <c r="BS241" s="528">
        <f t="shared" si="689"/>
        <v>0.56781516204392901</v>
      </c>
      <c r="BT241" s="528">
        <f t="shared" si="690"/>
        <v>5.8881536717196323E-3</v>
      </c>
      <c r="BU241" s="528">
        <f t="shared" si="691"/>
        <v>138.497000034286</v>
      </c>
      <c r="BV241" s="528"/>
      <c r="BW241" s="528">
        <f t="shared" si="692"/>
        <v>2.5576920518903092</v>
      </c>
      <c r="BX241" s="460">
        <f t="shared" si="693"/>
        <v>141628.39540189196</v>
      </c>
      <c r="BY241" s="173">
        <f t="shared" si="694"/>
        <v>145.9747873932053</v>
      </c>
      <c r="BZ241" s="5">
        <f t="shared" si="695"/>
        <v>25.5</v>
      </c>
      <c r="CA241" s="173">
        <f t="shared" si="696"/>
        <v>0.14870990883065785</v>
      </c>
      <c r="CB241" s="5">
        <f t="shared" si="697"/>
        <v>14.870990883065785</v>
      </c>
      <c r="CE241" s="562">
        <f t="shared" si="638"/>
        <v>-50</v>
      </c>
      <c r="CF241">
        <f t="shared" si="639"/>
        <v>-50</v>
      </c>
      <c r="CG241" s="173">
        <f t="shared" si="640"/>
        <v>0.35146751167740364</v>
      </c>
      <c r="CI241" s="170">
        <v>25</v>
      </c>
      <c r="CJ241" s="217">
        <f t="shared" si="698"/>
        <v>0.15</v>
      </c>
      <c r="CK241" s="217"/>
      <c r="CL241" s="217">
        <f t="shared" si="641"/>
        <v>25.5</v>
      </c>
      <c r="CM241" s="541">
        <f t="shared" si="642"/>
        <v>16</v>
      </c>
      <c r="CN241" s="443">
        <f t="shared" si="643"/>
        <v>8.5250000000000004</v>
      </c>
      <c r="CO241" s="443">
        <f t="shared" si="644"/>
        <v>24.524999999999999</v>
      </c>
      <c r="CP241" s="443"/>
      <c r="CQ241" s="217">
        <f t="shared" si="645"/>
        <v>0.34760448521916415</v>
      </c>
      <c r="CR241" s="172">
        <f t="shared" si="646"/>
        <v>188.05866123003739</v>
      </c>
      <c r="CS241" s="172">
        <f t="shared" si="647"/>
        <v>25.5</v>
      </c>
      <c r="CT241" s="217">
        <f t="shared" si="648"/>
        <v>1.1062274190002199</v>
      </c>
      <c r="CU241" s="217">
        <f t="shared" si="649"/>
        <v>170</v>
      </c>
      <c r="CV241" s="217"/>
      <c r="CW241" s="172">
        <f t="shared" si="650"/>
        <v>3235.6049977090447</v>
      </c>
      <c r="CX241" s="172">
        <f t="shared" si="651"/>
        <v>170</v>
      </c>
      <c r="CY241" s="217">
        <f t="shared" si="652"/>
        <v>9.1699046920821115</v>
      </c>
      <c r="CZ241" s="217">
        <f t="shared" si="653"/>
        <v>0.28655952162756598</v>
      </c>
      <c r="DA241" s="217">
        <f t="shared" si="654"/>
        <v>0.53782432211625286</v>
      </c>
      <c r="DB241" s="197">
        <f t="shared" si="655"/>
        <v>350</v>
      </c>
      <c r="DC241" s="443">
        <f t="shared" si="656"/>
        <v>350</v>
      </c>
      <c r="DE241" s="217">
        <f t="shared" si="657"/>
        <v>31.780981505752148</v>
      </c>
      <c r="DF241" s="173">
        <f t="shared" si="658"/>
        <v>1.8639871850881022</v>
      </c>
      <c r="DG241" s="173">
        <f t="shared" si="659"/>
        <v>0.51834424474213492</v>
      </c>
      <c r="DH241" s="173"/>
      <c r="DI241" s="173">
        <f t="shared" si="660"/>
        <v>0.78201368523949166</v>
      </c>
      <c r="DJ241" s="545">
        <f t="shared" si="661"/>
        <v>575.4375</v>
      </c>
      <c r="DK241" s="528">
        <f t="shared" si="662"/>
        <v>9.1234929944607357E-2</v>
      </c>
      <c r="DM241" s="173">
        <f t="shared" si="663"/>
        <v>17.096365528547707</v>
      </c>
      <c r="DN241" s="173">
        <f t="shared" si="664"/>
        <v>17.096365528547707</v>
      </c>
      <c r="DO241" s="173">
        <f t="shared" si="665"/>
        <v>3.987431255714351</v>
      </c>
      <c r="DQ241" s="545">
        <f t="shared" si="666"/>
        <v>150</v>
      </c>
      <c r="DR241" s="460">
        <f t="shared" si="667"/>
        <v>350</v>
      </c>
      <c r="DT241">
        <f t="shared" si="668"/>
        <v>150</v>
      </c>
      <c r="DU241">
        <f t="shared" si="669"/>
        <v>350</v>
      </c>
      <c r="DW241" s="5">
        <f t="shared" si="670"/>
        <v>2.8571428571428572</v>
      </c>
      <c r="DX241" s="5">
        <f t="shared" si="671"/>
        <v>0.53426142276711586</v>
      </c>
      <c r="DY241" s="5">
        <f t="shared" si="672"/>
        <v>2.3228814343757413</v>
      </c>
      <c r="DZ241" s="5"/>
      <c r="EA241" s="173">
        <f t="shared" si="673"/>
        <v>0.18699149796849054</v>
      </c>
      <c r="EB241" s="173">
        <f t="shared" si="699"/>
        <v>25.575000000000003</v>
      </c>
      <c r="EC241" s="173">
        <f t="shared" si="700"/>
        <v>0.34748726321369267</v>
      </c>
      <c r="ED241" s="173">
        <f t="shared" si="701"/>
        <v>73.599819928571776</v>
      </c>
      <c r="EE241" s="460">
        <f t="shared" si="674"/>
        <v>4.7140713773569043E-2</v>
      </c>
      <c r="EF241" s="5">
        <f t="shared" si="675"/>
        <v>5.9233476576581401</v>
      </c>
      <c r="EH241" s="173">
        <f t="shared" si="702"/>
        <v>4.2682917562367564</v>
      </c>
      <c r="EI241" s="173">
        <f t="shared" si="703"/>
        <v>0.44500072166293392</v>
      </c>
      <c r="EK241" s="528">
        <f t="shared" si="704"/>
        <v>0.7287325806543461</v>
      </c>
      <c r="EL241" s="528">
        <f t="shared" si="705"/>
        <v>4.0356505091559631</v>
      </c>
      <c r="EM241" s="528">
        <f t="shared" si="706"/>
        <v>6.9999999999999993E-2</v>
      </c>
      <c r="EN241" s="528">
        <f t="shared" si="707"/>
        <v>4.2103293749999993E-2</v>
      </c>
      <c r="EO241">
        <f t="shared" si="708"/>
        <v>7.1999999999999998E-3</v>
      </c>
      <c r="EP241" s="460">
        <f t="shared" si="709"/>
        <v>77.199999999999989</v>
      </c>
      <c r="EQ241" s="460"/>
      <c r="ER241" s="460">
        <f t="shared" si="710"/>
        <v>4883.6863835603099</v>
      </c>
      <c r="ES241" s="528">
        <f t="shared" si="711"/>
        <v>0.105</v>
      </c>
      <c r="EV241" s="460">
        <f t="shared" si="712"/>
        <v>105</v>
      </c>
      <c r="EW241" s="528">
        <f t="shared" si="713"/>
        <v>0.54654943549075952</v>
      </c>
      <c r="EX241" s="528">
        <f t="shared" si="714"/>
        <v>5.9407692684159599E-3</v>
      </c>
      <c r="EY241" s="528">
        <f t="shared" si="715"/>
        <v>138.48400083400134</v>
      </c>
      <c r="EZ241" s="528"/>
      <c r="FA241" s="528">
        <f t="shared" si="716"/>
        <v>2.5575000000000006</v>
      </c>
      <c r="FB241" s="460">
        <f t="shared" si="717"/>
        <v>141593.99103876052</v>
      </c>
      <c r="FC241" s="173">
        <f t="shared" si="718"/>
        <v>146.58267742232081</v>
      </c>
      <c r="FD241" s="5">
        <f t="shared" si="719"/>
        <v>25.5</v>
      </c>
      <c r="FE241" s="173">
        <f t="shared" si="720"/>
        <v>0.1481845841892532</v>
      </c>
      <c r="FF241" s="5">
        <f t="shared" si="721"/>
        <v>14.818458418925321</v>
      </c>
      <c r="FI241" s="562">
        <f t="shared" si="676"/>
        <v>-50</v>
      </c>
      <c r="FJ241">
        <f t="shared" si="677"/>
        <v>-50</v>
      </c>
      <c r="FL241">
        <f t="shared" si="678"/>
        <v>0.35095178504350127</v>
      </c>
    </row>
    <row r="242" spans="5:168">
      <c r="E242" s="170">
        <v>26</v>
      </c>
      <c r="F242" s="217">
        <f t="shared" si="679"/>
        <v>0.156</v>
      </c>
      <c r="G242" s="217"/>
      <c r="H242" s="217">
        <f t="shared" si="603"/>
        <v>26.52</v>
      </c>
      <c r="I242" s="541">
        <f t="shared" si="604"/>
        <v>15.390672501851427</v>
      </c>
      <c r="J242" s="172">
        <f t="shared" si="605"/>
        <v>8.5256528508908733</v>
      </c>
      <c r="K242" s="172">
        <f t="shared" si="606"/>
        <v>23.916325352742298</v>
      </c>
      <c r="L242" s="443"/>
      <c r="M242" s="217">
        <f t="shared" si="607"/>
        <v>0.35647840303730344</v>
      </c>
      <c r="N242" s="172">
        <f t="shared" si="608"/>
        <v>185.51490416813368</v>
      </c>
      <c r="O242" s="172">
        <f t="shared" si="599"/>
        <v>26.52</v>
      </c>
      <c r="P242" s="217">
        <f t="shared" si="609"/>
        <v>1.0912641421654923</v>
      </c>
      <c r="Q242" s="217">
        <f t="shared" si="610"/>
        <v>170</v>
      </c>
      <c r="R242" s="217"/>
      <c r="S242" s="172">
        <f t="shared" si="611"/>
        <v>2980.8434086811285</v>
      </c>
      <c r="T242" s="172">
        <f t="shared" si="612"/>
        <v>170</v>
      </c>
      <c r="U242" s="217">
        <f t="shared" si="613"/>
        <v>9.6966442609722048</v>
      </c>
      <c r="V242" s="217">
        <f t="shared" si="614"/>
        <v>0.315016912347584</v>
      </c>
      <c r="W242" s="217">
        <f t="shared" si="615"/>
        <v>0.56867458894710743</v>
      </c>
      <c r="X242" s="197">
        <f t="shared" si="616"/>
        <v>350</v>
      </c>
      <c r="Y242" s="443">
        <f t="shared" si="680"/>
        <v>350</v>
      </c>
      <c r="AA242" s="217">
        <f t="shared" si="617"/>
        <v>31.35109690191884</v>
      </c>
      <c r="AB242" s="173">
        <f t="shared" si="618"/>
        <v>1.8386332079333292</v>
      </c>
      <c r="AC242" s="173">
        <f t="shared" si="619"/>
        <v>0.50437771885378235</v>
      </c>
      <c r="AD242" s="173"/>
      <c r="AE242" s="173">
        <f t="shared" si="620"/>
        <v>0.78195380263108472</v>
      </c>
      <c r="AF242" s="545">
        <f t="shared" si="621"/>
        <v>598.50083013253914</v>
      </c>
      <c r="AG242" s="528">
        <f t="shared" si="622"/>
        <v>9.1227943640293241E-2</v>
      </c>
      <c r="AI242" s="173">
        <f t="shared" si="623"/>
        <v>17.435607865934102</v>
      </c>
      <c r="AJ242" s="173">
        <f t="shared" si="624"/>
        <v>17.435607865934102</v>
      </c>
      <c r="AK242" s="173">
        <f t="shared" si="625"/>
        <v>4.2387218760005689</v>
      </c>
      <c r="AM242" s="545">
        <f t="shared" si="626"/>
        <v>156</v>
      </c>
      <c r="AN242" s="460">
        <f t="shared" si="627"/>
        <v>350</v>
      </c>
      <c r="AP242">
        <f t="shared" si="628"/>
        <v>156</v>
      </c>
      <c r="AQ242">
        <f t="shared" si="629"/>
        <v>350</v>
      </c>
      <c r="AS242" s="5">
        <f t="shared" si="600"/>
        <v>2.8571428571428572</v>
      </c>
      <c r="AT242" s="5">
        <f t="shared" si="630"/>
        <v>0.5664342433326639</v>
      </c>
      <c r="AU242" s="5">
        <f t="shared" si="722"/>
        <v>2.2907086138101933</v>
      </c>
      <c r="AV242" s="5"/>
      <c r="AW242" s="173">
        <f t="shared" si="723"/>
        <v>0.19825198516643236</v>
      </c>
      <c r="AX242" s="173">
        <f t="shared" si="631"/>
        <v>26.600036894779521</v>
      </c>
      <c r="AY242" s="173">
        <f t="shared" si="632"/>
        <v>0.34947409984823008</v>
      </c>
      <c r="AZ242" s="173">
        <f t="shared" si="633"/>
        <v>76.114472878909794</v>
      </c>
      <c r="BA242" s="460">
        <f t="shared" si="594"/>
        <v>5.1978671741115035E-2</v>
      </c>
      <c r="BB242" s="5">
        <f t="shared" si="595"/>
        <v>6.315471132889189</v>
      </c>
      <c r="BD242" s="173">
        <f t="shared" si="681"/>
        <v>4.4821381461850525</v>
      </c>
      <c r="BE242" s="173">
        <f t="shared" si="682"/>
        <v>0.45067702272078169</v>
      </c>
      <c r="BG242" s="528">
        <f t="shared" si="683"/>
        <v>0.80358249445948715</v>
      </c>
      <c r="BH242" s="528">
        <f t="shared" si="634"/>
        <v>3.283840904750539</v>
      </c>
      <c r="BI242" s="528">
        <f t="shared" si="635"/>
        <v>0.21546941502591996</v>
      </c>
      <c r="BJ242" s="528">
        <f t="shared" si="684"/>
        <v>4.0039343286475682E-2</v>
      </c>
      <c r="BK242">
        <f t="shared" si="685"/>
        <v>6.9258026258331414E-3</v>
      </c>
      <c r="BL242" s="460">
        <f t="shared" si="686"/>
        <v>222.39521765175311</v>
      </c>
      <c r="BM242" s="528">
        <f t="shared" si="636"/>
        <v>5.3696669797069534</v>
      </c>
      <c r="BN242" s="460">
        <f t="shared" si="687"/>
        <v>5369.6669797069535</v>
      </c>
      <c r="BO242" s="528">
        <f t="shared" si="637"/>
        <v>0.10919999999999999</v>
      </c>
      <c r="BR242" s="460">
        <f t="shared" si="688"/>
        <v>109.19999999999999</v>
      </c>
      <c r="BS242" s="528">
        <f t="shared" si="689"/>
        <v>0.60268687084461536</v>
      </c>
      <c r="BT242" s="528">
        <f t="shared" si="690"/>
        <v>6.0932933642540389E-3</v>
      </c>
      <c r="BU242" s="528">
        <f t="shared" si="691"/>
        <v>145.45640434565087</v>
      </c>
      <c r="BV242" s="528"/>
      <c r="BW242" s="528">
        <f t="shared" si="692"/>
        <v>2.6600036894779526</v>
      </c>
      <c r="BX242" s="460">
        <f t="shared" si="693"/>
        <v>148725.18819933769</v>
      </c>
      <c r="BY242" s="173">
        <f t="shared" si="694"/>
        <v>153.18424615948595</v>
      </c>
      <c r="BZ242" s="5">
        <f t="shared" si="695"/>
        <v>26.52</v>
      </c>
      <c r="CA242" s="173">
        <f t="shared" si="696"/>
        <v>0.14757581173938278</v>
      </c>
      <c r="CB242" s="5">
        <f t="shared" si="697"/>
        <v>14.757581173938277</v>
      </c>
      <c r="CE242" s="562">
        <f t="shared" si="638"/>
        <v>-50</v>
      </c>
      <c r="CF242">
        <f t="shared" si="639"/>
        <v>-50</v>
      </c>
      <c r="CG242" s="173">
        <f t="shared" si="640"/>
        <v>0.35842794008739626</v>
      </c>
      <c r="CI242" s="170">
        <v>26</v>
      </c>
      <c r="CJ242" s="217">
        <f t="shared" si="698"/>
        <v>0.156</v>
      </c>
      <c r="CK242" s="217"/>
      <c r="CL242" s="217">
        <f t="shared" si="641"/>
        <v>26.52</v>
      </c>
      <c r="CM242" s="541">
        <f t="shared" si="642"/>
        <v>16</v>
      </c>
      <c r="CN242" s="443">
        <f t="shared" si="643"/>
        <v>8.5250000000000004</v>
      </c>
      <c r="CO242" s="443">
        <f t="shared" si="644"/>
        <v>24.524999999999999</v>
      </c>
      <c r="CP242" s="443"/>
      <c r="CQ242" s="217">
        <f t="shared" si="645"/>
        <v>0.34760448521916415</v>
      </c>
      <c r="CR242" s="172">
        <f t="shared" si="646"/>
        <v>188.05866123003739</v>
      </c>
      <c r="CS242" s="172">
        <f t="shared" si="647"/>
        <v>26.52</v>
      </c>
      <c r="CT242" s="217">
        <f t="shared" si="648"/>
        <v>1.1062274190002199</v>
      </c>
      <c r="CU242" s="217">
        <f t="shared" si="649"/>
        <v>170</v>
      </c>
      <c r="CV242" s="217"/>
      <c r="CW242" s="172">
        <f t="shared" si="650"/>
        <v>3098.8550424469868</v>
      </c>
      <c r="CX242" s="172">
        <f t="shared" si="651"/>
        <v>170</v>
      </c>
      <c r="CY242" s="217">
        <f t="shared" si="652"/>
        <v>9.5367008797653945</v>
      </c>
      <c r="CZ242" s="217">
        <f t="shared" si="653"/>
        <v>0.29802190249266852</v>
      </c>
      <c r="DA242" s="217">
        <f t="shared" si="654"/>
        <v>0.55933729500090279</v>
      </c>
      <c r="DB242" s="197">
        <f t="shared" si="655"/>
        <v>350</v>
      </c>
      <c r="DC242" s="443">
        <f t="shared" si="656"/>
        <v>350</v>
      </c>
      <c r="DE242" s="217">
        <f t="shared" si="657"/>
        <v>31.780981505752148</v>
      </c>
      <c r="DF242" s="173">
        <f t="shared" si="658"/>
        <v>1.8639871850881022</v>
      </c>
      <c r="DG242" s="173">
        <f t="shared" si="659"/>
        <v>0.51834424474213492</v>
      </c>
      <c r="DH242" s="173"/>
      <c r="DI242" s="173">
        <f t="shared" si="660"/>
        <v>0.78201368523949166</v>
      </c>
      <c r="DJ242" s="545">
        <f t="shared" si="661"/>
        <v>598.45500000000004</v>
      </c>
      <c r="DK242" s="528">
        <f t="shared" si="662"/>
        <v>9.1234929944607357E-2</v>
      </c>
      <c r="DM242" s="173">
        <f t="shared" si="663"/>
        <v>17.434940288315953</v>
      </c>
      <c r="DN242" s="173">
        <f t="shared" si="664"/>
        <v>17.434940288315953</v>
      </c>
      <c r="DO242" s="173">
        <f t="shared" si="665"/>
        <v>4.2382273740611991</v>
      </c>
      <c r="DQ242" s="545">
        <f t="shared" si="666"/>
        <v>156</v>
      </c>
      <c r="DR242" s="460">
        <f t="shared" si="667"/>
        <v>350</v>
      </c>
      <c r="DT242">
        <f t="shared" si="668"/>
        <v>156</v>
      </c>
      <c r="DU242">
        <f t="shared" si="669"/>
        <v>350</v>
      </c>
      <c r="DW242" s="5">
        <f t="shared" si="670"/>
        <v>2.8571428571428572</v>
      </c>
      <c r="DX242" s="5">
        <f t="shared" si="671"/>
        <v>0.54484188400987354</v>
      </c>
      <c r="DY242" s="5">
        <f t="shared" si="672"/>
        <v>2.3123009731329836</v>
      </c>
      <c r="DZ242" s="5"/>
      <c r="EA242" s="173">
        <f t="shared" si="673"/>
        <v>0.19069465940345573</v>
      </c>
      <c r="EB242" s="173">
        <f t="shared" si="699"/>
        <v>26.597999999999992</v>
      </c>
      <c r="EC242" s="173">
        <f t="shared" si="700"/>
        <v>0.35275475720789889</v>
      </c>
      <c r="ED242" s="173">
        <f t="shared" si="701"/>
        <v>75.400825804665885</v>
      </c>
      <c r="EE242" s="460">
        <f t="shared" si="674"/>
        <v>4.9997255238553098E-2</v>
      </c>
      <c r="EF242" s="5">
        <f t="shared" si="675"/>
        <v>6.1322221807486716</v>
      </c>
      <c r="EH242" s="173">
        <f t="shared" si="702"/>
        <v>4.3957107018690564</v>
      </c>
      <c r="EI242" s="173">
        <f t="shared" si="703"/>
        <v>0.45277875864264028</v>
      </c>
      <c r="EK242" s="528">
        <f t="shared" si="704"/>
        <v>0.77289090298104612</v>
      </c>
      <c r="EL242" s="528">
        <f t="shared" si="705"/>
        <v>4.1155721392453817</v>
      </c>
      <c r="EM242" s="528">
        <f t="shared" si="706"/>
        <v>6.9999999999999993E-2</v>
      </c>
      <c r="EN242" s="528">
        <f t="shared" si="707"/>
        <v>4.2103293749999993E-2</v>
      </c>
      <c r="EO242">
        <f t="shared" si="708"/>
        <v>7.1999999999999998E-3</v>
      </c>
      <c r="EP242" s="460">
        <f t="shared" si="709"/>
        <v>77.199999999999989</v>
      </c>
      <c r="EQ242" s="460"/>
      <c r="ER242" s="460">
        <f t="shared" si="710"/>
        <v>5007.7663359764283</v>
      </c>
      <c r="ES242" s="528">
        <f t="shared" si="711"/>
        <v>0.10919999999999999</v>
      </c>
      <c r="EV242" s="460">
        <f t="shared" si="712"/>
        <v>109.19999999999999</v>
      </c>
      <c r="EW242" s="528">
        <f t="shared" si="713"/>
        <v>0.57966817723578457</v>
      </c>
      <c r="EX242" s="528">
        <f t="shared" si="714"/>
        <v>6.1502581283391089E-3</v>
      </c>
      <c r="EY242" s="528">
        <f t="shared" si="715"/>
        <v>145.44248159453613</v>
      </c>
      <c r="EZ242" s="528"/>
      <c r="FA242" s="528">
        <f t="shared" si="716"/>
        <v>2.6597999999999993</v>
      </c>
      <c r="FB242" s="460">
        <f t="shared" si="717"/>
        <v>148688.10002990026</v>
      </c>
      <c r="FC242" s="173">
        <f t="shared" si="718"/>
        <v>153.80506636587668</v>
      </c>
      <c r="FD242" s="5">
        <f t="shared" si="719"/>
        <v>26.52</v>
      </c>
      <c r="FE242" s="173">
        <f t="shared" si="720"/>
        <v>0.14706774013431578</v>
      </c>
      <c r="FF242" s="5">
        <f t="shared" si="721"/>
        <v>14.706774013431579</v>
      </c>
      <c r="FI242" s="562">
        <f t="shared" si="676"/>
        <v>-50</v>
      </c>
      <c r="FJ242">
        <f t="shared" si="677"/>
        <v>-50</v>
      </c>
      <c r="FL242">
        <f t="shared" si="678"/>
        <v>0.35790200005340667</v>
      </c>
    </row>
    <row r="243" spans="5:168">
      <c r="E243" s="170">
        <v>27</v>
      </c>
      <c r="F243" s="217">
        <f t="shared" si="679"/>
        <v>0.16200000000000001</v>
      </c>
      <c r="G243" s="217"/>
      <c r="H243" s="217">
        <f t="shared" si="603"/>
        <v>27.54</v>
      </c>
      <c r="I243" s="541">
        <f t="shared" si="604"/>
        <v>15.379065220816228</v>
      </c>
      <c r="J243" s="172">
        <f t="shared" si="605"/>
        <v>8.5256652872634113</v>
      </c>
      <c r="K243" s="172">
        <f t="shared" si="606"/>
        <v>23.904730508079638</v>
      </c>
      <c r="L243" s="443"/>
      <c r="M243" s="217">
        <f t="shared" si="607"/>
        <v>0.35665183145855178</v>
      </c>
      <c r="N243" s="172">
        <f t="shared" si="608"/>
        <v>185.46517902384065</v>
      </c>
      <c r="O243" s="172">
        <f t="shared" si="599"/>
        <v>27.54</v>
      </c>
      <c r="P243" s="217">
        <f t="shared" si="609"/>
        <v>1.0909716413167097</v>
      </c>
      <c r="Q243" s="217">
        <f t="shared" si="610"/>
        <v>170</v>
      </c>
      <c r="R243" s="217"/>
      <c r="S243" s="172">
        <f t="shared" si="611"/>
        <v>2856.8892297729517</v>
      </c>
      <c r="T243" s="172">
        <f t="shared" si="612"/>
        <v>170</v>
      </c>
      <c r="U243" s="217">
        <f t="shared" si="613"/>
        <v>10.072306593630291</v>
      </c>
      <c r="V243" s="217">
        <f t="shared" si="614"/>
        <v>0.32746810189727876</v>
      </c>
      <c r="W243" s="217">
        <f t="shared" si="615"/>
        <v>0.59070502150004778</v>
      </c>
      <c r="X243" s="197">
        <f t="shared" si="616"/>
        <v>350</v>
      </c>
      <c r="Y243" s="443">
        <f t="shared" si="680"/>
        <v>350</v>
      </c>
      <c r="AA243" s="217">
        <f t="shared" si="617"/>
        <v>31.342693557030202</v>
      </c>
      <c r="AB243" s="173">
        <f t="shared" si="618"/>
        <v>1.8381376995794925</v>
      </c>
      <c r="AC243" s="173">
        <f t="shared" si="619"/>
        <v>0.50410663304351422</v>
      </c>
      <c r="AD243" s="173"/>
      <c r="AE243" s="173">
        <f t="shared" si="620"/>
        <v>0.78195266199648683</v>
      </c>
      <c r="AF243" s="545">
        <f t="shared" si="621"/>
        <v>621.52099944150257</v>
      </c>
      <c r="AG243" s="528">
        <f t="shared" si="622"/>
        <v>9.1227810566256812E-2</v>
      </c>
      <c r="AI243" s="173">
        <f t="shared" si="623"/>
        <v>17.767757485555826</v>
      </c>
      <c r="AJ243" s="173">
        <f t="shared" si="624"/>
        <v>17.767757485555826</v>
      </c>
      <c r="AK243" s="173">
        <f t="shared" si="625"/>
        <v>4.4847586312759198</v>
      </c>
      <c r="AM243" s="545">
        <f t="shared" si="626"/>
        <v>162</v>
      </c>
      <c r="AN243" s="460">
        <f t="shared" si="627"/>
        <v>350</v>
      </c>
      <c r="AP243">
        <f t="shared" si="628"/>
        <v>162</v>
      </c>
      <c r="AQ243">
        <f t="shared" si="629"/>
        <v>350</v>
      </c>
      <c r="AS243" s="5">
        <f t="shared" si="600"/>
        <v>2.8571428571428572</v>
      </c>
      <c r="AT243" s="5">
        <f t="shared" si="630"/>
        <v>0.57766051546183705</v>
      </c>
      <c r="AU243" s="5">
        <f t="shared" si="722"/>
        <v>2.2794823416810202</v>
      </c>
      <c r="AV243" s="5"/>
      <c r="AW243" s="173">
        <f t="shared" si="723"/>
        <v>0.20218118041164296</v>
      </c>
      <c r="AX243" s="173">
        <f t="shared" si="631"/>
        <v>27.623155530733442</v>
      </c>
      <c r="AY243" s="173">
        <f t="shared" si="632"/>
        <v>0.3543862825964586</v>
      </c>
      <c r="AZ243" s="173">
        <f t="shared" si="633"/>
        <v>77.946458108786516</v>
      </c>
      <c r="BA243" s="460">
        <f t="shared" si="594"/>
        <v>5.5047649120480942E-2</v>
      </c>
      <c r="BB243" s="5">
        <f t="shared" si="595"/>
        <v>6.5311583286530563</v>
      </c>
      <c r="BD243" s="173">
        <f t="shared" si="681"/>
        <v>4.6125634611809199</v>
      </c>
      <c r="BE243" s="173">
        <f t="shared" si="682"/>
        <v>0.45813569770616835</v>
      </c>
      <c r="BG243" s="528">
        <f t="shared" si="683"/>
        <v>0.85102966733685237</v>
      </c>
      <c r="BH243" s="528">
        <f t="shared" si="634"/>
        <v>3.3447759535978729</v>
      </c>
      <c r="BI243" s="528">
        <f t="shared" si="635"/>
        <v>0.21530691309142719</v>
      </c>
      <c r="BJ243" s="528">
        <f t="shared" si="684"/>
        <v>4.0000529846473946E-2</v>
      </c>
      <c r="BK243">
        <f t="shared" si="685"/>
        <v>6.9205793493673021E-3</v>
      </c>
      <c r="BL243" s="460">
        <f t="shared" si="686"/>
        <v>222.22749244079449</v>
      </c>
      <c r="BM243" s="528">
        <f t="shared" si="636"/>
        <v>5.5974055942248491</v>
      </c>
      <c r="BN243" s="460">
        <f t="shared" si="687"/>
        <v>5597.4055942248488</v>
      </c>
      <c r="BO243" s="528">
        <f t="shared" si="637"/>
        <v>0.1134</v>
      </c>
      <c r="BR243" s="460">
        <f t="shared" si="688"/>
        <v>113.4</v>
      </c>
      <c r="BS243" s="528">
        <f t="shared" si="689"/>
        <v>0.63827225050263925</v>
      </c>
      <c r="BT243" s="528">
        <f t="shared" si="690"/>
        <v>6.2966495253815296E-3</v>
      </c>
      <c r="BU243" s="528">
        <f t="shared" si="691"/>
        <v>152.4830814492787</v>
      </c>
      <c r="BV243" s="528"/>
      <c r="BW243" s="528">
        <f t="shared" si="692"/>
        <v>2.762315553073345</v>
      </c>
      <c r="BX243" s="460">
        <f t="shared" si="693"/>
        <v>155889.96590238006</v>
      </c>
      <c r="BY243" s="173">
        <f t="shared" si="694"/>
        <v>160.46139954560206</v>
      </c>
      <c r="BZ243" s="5">
        <f t="shared" si="695"/>
        <v>27.54</v>
      </c>
      <c r="CA243" s="173">
        <f t="shared" si="696"/>
        <v>0.14648827118608673</v>
      </c>
      <c r="CB243" s="5">
        <f t="shared" si="697"/>
        <v>14.648827118608674</v>
      </c>
      <c r="CE243" s="562">
        <f t="shared" si="638"/>
        <v>-50</v>
      </c>
      <c r="CF243">
        <f t="shared" si="639"/>
        <v>-50</v>
      </c>
      <c r="CG243" s="173">
        <f t="shared" si="640"/>
        <v>0.36525575246104247</v>
      </c>
      <c r="CI243" s="170">
        <v>27</v>
      </c>
      <c r="CJ243" s="217">
        <f t="shared" si="698"/>
        <v>0.16200000000000001</v>
      </c>
      <c r="CK243" s="217"/>
      <c r="CL243" s="217">
        <f t="shared" si="641"/>
        <v>27.54</v>
      </c>
      <c r="CM243" s="541">
        <f t="shared" si="642"/>
        <v>16</v>
      </c>
      <c r="CN243" s="443">
        <f t="shared" si="643"/>
        <v>8.5250000000000004</v>
      </c>
      <c r="CO243" s="443">
        <f t="shared" si="644"/>
        <v>24.524999999999999</v>
      </c>
      <c r="CP243" s="443"/>
      <c r="CQ243" s="217">
        <f t="shared" si="645"/>
        <v>0.34760448521916415</v>
      </c>
      <c r="CR243" s="172">
        <f t="shared" si="646"/>
        <v>188.05866123003739</v>
      </c>
      <c r="CS243" s="172">
        <f t="shared" si="647"/>
        <v>27.54</v>
      </c>
      <c r="CT243" s="217">
        <f t="shared" si="648"/>
        <v>1.1062274190002199</v>
      </c>
      <c r="CU243" s="217">
        <f t="shared" si="649"/>
        <v>170</v>
      </c>
      <c r="CV243" s="217"/>
      <c r="CW243" s="172">
        <f t="shared" si="650"/>
        <v>2972.2348924508597</v>
      </c>
      <c r="CX243" s="172">
        <f t="shared" si="651"/>
        <v>170</v>
      </c>
      <c r="CY243" s="217">
        <f t="shared" si="652"/>
        <v>9.9034970674486793</v>
      </c>
      <c r="CZ243" s="217">
        <f t="shared" si="653"/>
        <v>0.30948428335777123</v>
      </c>
      <c r="DA243" s="217">
        <f t="shared" si="654"/>
        <v>0.58085026788555294</v>
      </c>
      <c r="DB243" s="197">
        <f t="shared" si="655"/>
        <v>350</v>
      </c>
      <c r="DC243" s="443">
        <f t="shared" si="656"/>
        <v>350</v>
      </c>
      <c r="DE243" s="217">
        <f t="shared" si="657"/>
        <v>31.780981505752148</v>
      </c>
      <c r="DF243" s="173">
        <f t="shared" si="658"/>
        <v>1.8639871850881022</v>
      </c>
      <c r="DG243" s="173">
        <f t="shared" si="659"/>
        <v>0.51834424474213492</v>
      </c>
      <c r="DH243" s="173"/>
      <c r="DI243" s="173">
        <f t="shared" si="660"/>
        <v>0.78201368523949166</v>
      </c>
      <c r="DJ243" s="545">
        <f t="shared" si="661"/>
        <v>621.47249999999997</v>
      </c>
      <c r="DK243" s="528">
        <f t="shared" si="662"/>
        <v>9.1234929944607357E-2</v>
      </c>
      <c r="DM243" s="173">
        <f t="shared" si="663"/>
        <v>17.767064232128263</v>
      </c>
      <c r="DN243" s="173">
        <f t="shared" si="664"/>
        <v>17.767064232128263</v>
      </c>
      <c r="DO243" s="173">
        <f t="shared" si="665"/>
        <v>4.4842451102184659</v>
      </c>
      <c r="DQ243" s="545">
        <f t="shared" si="666"/>
        <v>162</v>
      </c>
      <c r="DR243" s="460">
        <f t="shared" si="667"/>
        <v>350</v>
      </c>
      <c r="DT243">
        <f t="shared" si="668"/>
        <v>162</v>
      </c>
      <c r="DU243">
        <f t="shared" si="669"/>
        <v>350</v>
      </c>
      <c r="DW243" s="5">
        <f t="shared" si="670"/>
        <v>2.8571428571428572</v>
      </c>
      <c r="DX243" s="5">
        <f t="shared" si="671"/>
        <v>0.5552207572540081</v>
      </c>
      <c r="DY243" s="5">
        <f t="shared" si="672"/>
        <v>2.301922099888849</v>
      </c>
      <c r="DZ243" s="5"/>
      <c r="EA243" s="173">
        <f t="shared" si="673"/>
        <v>0.19432726503890282</v>
      </c>
      <c r="EB243" s="173">
        <f t="shared" si="699"/>
        <v>27.620999999999999</v>
      </c>
      <c r="EC243" s="173">
        <f t="shared" si="700"/>
        <v>0.35786098080320661</v>
      </c>
      <c r="ED243" s="173">
        <f t="shared" si="701"/>
        <v>77.183603359063113</v>
      </c>
      <c r="EE243" s="460">
        <f t="shared" si="674"/>
        <v>5.2909272161852532E-2</v>
      </c>
      <c r="EF243" s="5">
        <f t="shared" si="675"/>
        <v>6.3394934630938895</v>
      </c>
      <c r="EH243" s="173">
        <f t="shared" si="702"/>
        <v>4.5219100000055956</v>
      </c>
      <c r="EI243" s="173">
        <f t="shared" si="703"/>
        <v>0.4603672096672029</v>
      </c>
      <c r="EK243" s="528">
        <f t="shared" si="704"/>
        <v>0.81790680192602427</v>
      </c>
      <c r="EL243" s="528">
        <f t="shared" si="705"/>
        <v>4.1939710340696017</v>
      </c>
      <c r="EM243" s="528">
        <f t="shared" si="706"/>
        <v>6.9999999999999993E-2</v>
      </c>
      <c r="EN243" s="528">
        <f t="shared" si="707"/>
        <v>4.2103293749999993E-2</v>
      </c>
      <c r="EO243">
        <f t="shared" si="708"/>
        <v>7.1999999999999998E-3</v>
      </c>
      <c r="EP243" s="460">
        <f t="shared" si="709"/>
        <v>77.199999999999989</v>
      </c>
      <c r="EQ243" s="460"/>
      <c r="ER243" s="460">
        <f t="shared" si="710"/>
        <v>5131.1811297456261</v>
      </c>
      <c r="ES243" s="528">
        <f t="shared" si="711"/>
        <v>0.1134</v>
      </c>
      <c r="EV243" s="460">
        <f t="shared" si="712"/>
        <v>113.4</v>
      </c>
      <c r="EW243" s="528">
        <f t="shared" si="713"/>
        <v>0.61343010144451815</v>
      </c>
      <c r="EX243" s="528">
        <f t="shared" si="714"/>
        <v>6.35813903210299E-3</v>
      </c>
      <c r="EY243" s="528">
        <f t="shared" si="715"/>
        <v>152.46820811402824</v>
      </c>
      <c r="EZ243" s="528"/>
      <c r="FA243" s="528">
        <f t="shared" si="716"/>
        <v>2.7621000000000002</v>
      </c>
      <c r="FB243" s="460">
        <f t="shared" si="717"/>
        <v>155850.09635450487</v>
      </c>
      <c r="FC243" s="173">
        <f t="shared" si="718"/>
        <v>161.0946774842505</v>
      </c>
      <c r="FD243" s="5">
        <f t="shared" si="719"/>
        <v>27.54</v>
      </c>
      <c r="FE243" s="173">
        <f t="shared" si="720"/>
        <v>0.1459964857325842</v>
      </c>
      <c r="FF243" s="5">
        <f t="shared" si="721"/>
        <v>14.59964857325842</v>
      </c>
      <c r="FI243" s="562">
        <f t="shared" si="676"/>
        <v>-50</v>
      </c>
      <c r="FJ243">
        <f t="shared" si="677"/>
        <v>-50</v>
      </c>
      <c r="FL243">
        <f t="shared" si="678"/>
        <v>0.36471979362140128</v>
      </c>
    </row>
    <row r="244" spans="5:168">
      <c r="E244" s="170">
        <v>28</v>
      </c>
      <c r="F244" s="217">
        <f t="shared" si="679"/>
        <v>0.16800000000000001</v>
      </c>
      <c r="G244" s="217"/>
      <c r="H244" s="217">
        <f t="shared" si="603"/>
        <v>28.560000000000002</v>
      </c>
      <c r="I244" s="541">
        <f t="shared" si="604"/>
        <v>15.367670971724372</v>
      </c>
      <c r="J244" s="172">
        <f t="shared" si="605"/>
        <v>8.5256774953874395</v>
      </c>
      <c r="K244" s="172">
        <f t="shared" si="606"/>
        <v>23.893348467111814</v>
      </c>
      <c r="L244" s="443"/>
      <c r="M244" s="217">
        <f t="shared" si="607"/>
        <v>0.35682224061064344</v>
      </c>
      <c r="N244" s="172">
        <f t="shared" si="608"/>
        <v>185.41631916202812</v>
      </c>
      <c r="O244" s="172">
        <f t="shared" si="599"/>
        <v>28.560000000000002</v>
      </c>
      <c r="P244" s="217">
        <f t="shared" si="609"/>
        <v>1.0906842303648712</v>
      </c>
      <c r="Q244" s="217">
        <f t="shared" si="610"/>
        <v>170</v>
      </c>
      <c r="R244" s="217"/>
      <c r="S244" s="172">
        <f t="shared" si="611"/>
        <v>2741.8436848412257</v>
      </c>
      <c r="T244" s="172">
        <f t="shared" si="612"/>
        <v>170</v>
      </c>
      <c r="U244" s="217">
        <f t="shared" si="613"/>
        <v>10.448122469875322</v>
      </c>
      <c r="V244" s="217">
        <f t="shared" si="614"/>
        <v>0.33993838393271381</v>
      </c>
      <c r="W244" s="217">
        <f t="shared" si="615"/>
        <v>0.61274441095900956</v>
      </c>
      <c r="X244" s="197">
        <f t="shared" si="616"/>
        <v>350</v>
      </c>
      <c r="Y244" s="443">
        <f t="shared" si="680"/>
        <v>350</v>
      </c>
      <c r="AA244" s="217">
        <f t="shared" si="617"/>
        <v>31.334436441408446</v>
      </c>
      <c r="AB244" s="173">
        <f t="shared" si="618"/>
        <v>1.8376508176834627</v>
      </c>
      <c r="AC244" s="173">
        <f t="shared" si="619"/>
        <v>0.50384033654679139</v>
      </c>
      <c r="AD244" s="173"/>
      <c r="AE244" s="173">
        <f t="shared" si="620"/>
        <v>0.78195154229953745</v>
      </c>
      <c r="AF244" s="545">
        <f t="shared" si="621"/>
        <v>644.54121865129048</v>
      </c>
      <c r="AG244" s="528">
        <f t="shared" si="622"/>
        <v>9.1227679934946029E-2</v>
      </c>
      <c r="AI244" s="173">
        <f t="shared" si="623"/>
        <v>18.093811533860897</v>
      </c>
      <c r="AJ244" s="173">
        <f t="shared" si="624"/>
        <v>18.093811533860897</v>
      </c>
      <c r="AK244" s="173">
        <f t="shared" si="625"/>
        <v>4.7262801485389359</v>
      </c>
      <c r="AM244" s="545">
        <f t="shared" si="626"/>
        <v>168</v>
      </c>
      <c r="AN244" s="460">
        <f t="shared" si="627"/>
        <v>350</v>
      </c>
      <c r="AP244">
        <f t="shared" si="628"/>
        <v>168</v>
      </c>
      <c r="AQ244">
        <f t="shared" si="629"/>
        <v>350</v>
      </c>
      <c r="AS244" s="5">
        <f t="shared" si="600"/>
        <v>2.8571428571428572</v>
      </c>
      <c r="AT244" s="5">
        <f t="shared" si="630"/>
        <v>0.58869725826224628</v>
      </c>
      <c r="AU244" s="5">
        <f t="shared" si="722"/>
        <v>2.2684455988806107</v>
      </c>
      <c r="AV244" s="5"/>
      <c r="AW244" s="173">
        <f t="shared" si="723"/>
        <v>0.2060440403917862</v>
      </c>
      <c r="AX244" s="173">
        <f t="shared" si="631"/>
        <v>28.646276384501796</v>
      </c>
      <c r="AY244" s="173">
        <f t="shared" si="632"/>
        <v>0.35914223748341739</v>
      </c>
      <c r="AZ244" s="173">
        <f t="shared" si="633"/>
        <v>79.763039249385074</v>
      </c>
      <c r="BA244" s="460">
        <f t="shared" si="594"/>
        <v>5.8177140816504339E-2</v>
      </c>
      <c r="BB244" s="5">
        <f t="shared" si="595"/>
        <v>6.7452569928894732</v>
      </c>
      <c r="BD244" s="173">
        <f t="shared" si="681"/>
        <v>4.7418680379471736</v>
      </c>
      <c r="BE244" s="173">
        <f t="shared" si="682"/>
        <v>0.46541207400446277</v>
      </c>
      <c r="BG244" s="528">
        <f t="shared" si="683"/>
        <v>0.89941249957219915</v>
      </c>
      <c r="BH244" s="528">
        <f t="shared" si="634"/>
        <v>3.404533734604684</v>
      </c>
      <c r="BI244" s="528">
        <f t="shared" si="635"/>
        <v>0.21514739360414123</v>
      </c>
      <c r="BJ244" s="528">
        <f t="shared" si="684"/>
        <v>3.9962447067958415E-2</v>
      </c>
      <c r="BK244">
        <f t="shared" si="685"/>
        <v>6.9154519372759673E-3</v>
      </c>
      <c r="BL244" s="460">
        <f t="shared" si="686"/>
        <v>222.0628455414172</v>
      </c>
      <c r="BM244" s="528">
        <f t="shared" si="636"/>
        <v>5.8333364456369647</v>
      </c>
      <c r="BN244" s="460">
        <f t="shared" si="687"/>
        <v>5833.3364456369645</v>
      </c>
      <c r="BO244" s="528">
        <f t="shared" si="637"/>
        <v>0.1176</v>
      </c>
      <c r="BR244" s="460">
        <f t="shared" si="688"/>
        <v>117.6</v>
      </c>
      <c r="BS244" s="528">
        <f t="shared" si="689"/>
        <v>0.67455937467914928</v>
      </c>
      <c r="BT244" s="528">
        <f t="shared" si="690"/>
        <v>6.4982519588740652E-3</v>
      </c>
      <c r="BU244" s="528">
        <f t="shared" si="691"/>
        <v>159.57515359976193</v>
      </c>
      <c r="BV244" s="528"/>
      <c r="BW244" s="528">
        <f t="shared" si="692"/>
        <v>2.8646276384501799</v>
      </c>
      <c r="BX244" s="460">
        <f t="shared" si="693"/>
        <v>163120.83886485014</v>
      </c>
      <c r="BY244" s="173">
        <f t="shared" si="694"/>
        <v>167.8044103916364</v>
      </c>
      <c r="BZ244" s="5">
        <f t="shared" si="695"/>
        <v>28.560000000000002</v>
      </c>
      <c r="CA244" s="173">
        <f t="shared" si="696"/>
        <v>0.1454438711324465</v>
      </c>
      <c r="CB244" s="5">
        <f t="shared" si="697"/>
        <v>14.54438711324465</v>
      </c>
      <c r="CE244" s="562">
        <f t="shared" si="638"/>
        <v>-50</v>
      </c>
      <c r="CF244">
        <f t="shared" si="639"/>
        <v>-50</v>
      </c>
      <c r="CG244" s="173">
        <f t="shared" si="640"/>
        <v>0.37195825192684001</v>
      </c>
      <c r="CI244" s="170">
        <v>28</v>
      </c>
      <c r="CJ244" s="217">
        <f t="shared" si="698"/>
        <v>0.16800000000000001</v>
      </c>
      <c r="CK244" s="217"/>
      <c r="CL244" s="217">
        <f t="shared" si="641"/>
        <v>28.560000000000002</v>
      </c>
      <c r="CM244" s="541">
        <f t="shared" si="642"/>
        <v>16</v>
      </c>
      <c r="CN244" s="443">
        <f t="shared" si="643"/>
        <v>8.5250000000000004</v>
      </c>
      <c r="CO244" s="443">
        <f t="shared" si="644"/>
        <v>24.524999999999999</v>
      </c>
      <c r="CP244" s="443"/>
      <c r="CQ244" s="217">
        <f t="shared" si="645"/>
        <v>0.34760448521916415</v>
      </c>
      <c r="CR244" s="172">
        <f t="shared" si="646"/>
        <v>188.05866123003739</v>
      </c>
      <c r="CS244" s="172">
        <f t="shared" si="647"/>
        <v>28.560000000000002</v>
      </c>
      <c r="CT244" s="217">
        <f t="shared" si="648"/>
        <v>1.1062274190002199</v>
      </c>
      <c r="CU244" s="217">
        <f t="shared" si="649"/>
        <v>170</v>
      </c>
      <c r="CV244" s="217"/>
      <c r="CW244" s="172">
        <f t="shared" si="650"/>
        <v>2854.6592135096016</v>
      </c>
      <c r="CX244" s="172">
        <f t="shared" si="651"/>
        <v>170</v>
      </c>
      <c r="CY244" s="217">
        <f t="shared" si="652"/>
        <v>10.270293255131964</v>
      </c>
      <c r="CZ244" s="217">
        <f t="shared" si="653"/>
        <v>0.32094666422287382</v>
      </c>
      <c r="DA244" s="217">
        <f t="shared" si="654"/>
        <v>0.60236324077020309</v>
      </c>
      <c r="DB244" s="197">
        <f t="shared" si="655"/>
        <v>350</v>
      </c>
      <c r="DC244" s="443">
        <f t="shared" si="656"/>
        <v>350</v>
      </c>
      <c r="DE244" s="217">
        <f t="shared" si="657"/>
        <v>31.780981505752148</v>
      </c>
      <c r="DF244" s="173">
        <f t="shared" si="658"/>
        <v>1.8639871850881022</v>
      </c>
      <c r="DG244" s="173">
        <f t="shared" si="659"/>
        <v>0.51834424474213492</v>
      </c>
      <c r="DH244" s="173"/>
      <c r="DI244" s="173">
        <f t="shared" si="660"/>
        <v>0.78201368523949166</v>
      </c>
      <c r="DJ244" s="545">
        <f t="shared" si="661"/>
        <v>644.49</v>
      </c>
      <c r="DK244" s="528">
        <f t="shared" si="662"/>
        <v>9.1234929944607357E-2</v>
      </c>
      <c r="DM244" s="173">
        <f t="shared" si="663"/>
        <v>18.093092604637828</v>
      </c>
      <c r="DN244" s="173">
        <f t="shared" si="664"/>
        <v>18.093092604637828</v>
      </c>
      <c r="DO244" s="173">
        <f t="shared" si="665"/>
        <v>4.7257476083736991</v>
      </c>
      <c r="DQ244" s="545">
        <f t="shared" si="666"/>
        <v>168</v>
      </c>
      <c r="DR244" s="460">
        <f t="shared" si="667"/>
        <v>350</v>
      </c>
      <c r="DT244">
        <f t="shared" si="668"/>
        <v>168</v>
      </c>
      <c r="DU244">
        <f t="shared" si="669"/>
        <v>350</v>
      </c>
      <c r="DW244" s="5">
        <f t="shared" si="670"/>
        <v>2.8571428571428572</v>
      </c>
      <c r="DX244" s="5">
        <f t="shared" si="671"/>
        <v>0.56540914389493202</v>
      </c>
      <c r="DY244" s="5">
        <f t="shared" si="672"/>
        <v>2.2917337132479254</v>
      </c>
      <c r="DZ244" s="5"/>
      <c r="EA244" s="173">
        <f t="shared" si="673"/>
        <v>0.19789320036322619</v>
      </c>
      <c r="EB244" s="173">
        <f t="shared" si="699"/>
        <v>28.644000000000005</v>
      </c>
      <c r="EC244" s="173">
        <f t="shared" si="700"/>
        <v>0.36281481511594571</v>
      </c>
      <c r="ED244" s="173">
        <f t="shared" si="701"/>
        <v>78.949367023080811</v>
      </c>
      <c r="EE244" s="460">
        <f t="shared" si="674"/>
        <v>5.5875727161381519E-2</v>
      </c>
      <c r="EF244" s="5">
        <f t="shared" si="675"/>
        <v>6.5451914850360753</v>
      </c>
      <c r="EH244" s="173">
        <f t="shared" si="702"/>
        <v>4.6469458812896933</v>
      </c>
      <c r="EI244" s="173">
        <f t="shared" si="703"/>
        <v>0.46777637279036643</v>
      </c>
      <c r="EK244" s="528">
        <f t="shared" si="704"/>
        <v>0.86376424094540982</v>
      </c>
      <c r="EL244" s="528">
        <f t="shared" si="705"/>
        <v>4.2709310502391498</v>
      </c>
      <c r="EM244" s="528">
        <f t="shared" si="706"/>
        <v>6.9999999999999993E-2</v>
      </c>
      <c r="EN244" s="528">
        <f t="shared" si="707"/>
        <v>4.2103293749999993E-2</v>
      </c>
      <c r="EO244">
        <f t="shared" si="708"/>
        <v>7.1999999999999998E-3</v>
      </c>
      <c r="EP244" s="460">
        <f t="shared" si="709"/>
        <v>77.199999999999989</v>
      </c>
      <c r="EQ244" s="460"/>
      <c r="ER244" s="460">
        <f t="shared" si="710"/>
        <v>5253.9985849345603</v>
      </c>
      <c r="ES244" s="528">
        <f t="shared" si="711"/>
        <v>0.1176</v>
      </c>
      <c r="EV244" s="460">
        <f t="shared" si="712"/>
        <v>117.6</v>
      </c>
      <c r="EW244" s="528">
        <f t="shared" si="713"/>
        <v>0.64782318070905731</v>
      </c>
      <c r="EX244" s="528">
        <f t="shared" si="714"/>
        <v>6.5644420482273555E-3</v>
      </c>
      <c r="EY244" s="528">
        <f t="shared" si="715"/>
        <v>159.55930290099622</v>
      </c>
      <c r="EZ244" s="528"/>
      <c r="FA244" s="528">
        <f t="shared" si="716"/>
        <v>2.8644000000000012</v>
      </c>
      <c r="FB244" s="460">
        <f t="shared" si="717"/>
        <v>163078.09052375349</v>
      </c>
      <c r="FC244" s="173">
        <f t="shared" si="718"/>
        <v>168.44968910868806</v>
      </c>
      <c r="FD244" s="5">
        <f t="shared" si="719"/>
        <v>28.560000000000002</v>
      </c>
      <c r="FE244" s="173">
        <f t="shared" si="720"/>
        <v>0.14496748931086209</v>
      </c>
      <c r="FF244" s="5">
        <f t="shared" si="721"/>
        <v>14.496748931086209</v>
      </c>
      <c r="FI244" s="562">
        <f t="shared" si="676"/>
        <v>-50</v>
      </c>
      <c r="FJ244">
        <f t="shared" si="677"/>
        <v>-50</v>
      </c>
      <c r="FL244">
        <f t="shared" si="678"/>
        <v>0.37141245815972074</v>
      </c>
    </row>
    <row r="245" spans="5:168">
      <c r="E245" s="170">
        <v>29</v>
      </c>
      <c r="F245" s="217">
        <f t="shared" si="679"/>
        <v>0.17399999999999999</v>
      </c>
      <c r="G245" s="217"/>
      <c r="H245" s="217">
        <f t="shared" si="603"/>
        <v>29.58</v>
      </c>
      <c r="I245" s="541">
        <f t="shared" si="604"/>
        <v>15.356478438589662</v>
      </c>
      <c r="J245" s="172">
        <f t="shared" si="605"/>
        <v>8.5256894873872255</v>
      </c>
      <c r="K245" s="172">
        <f t="shared" si="606"/>
        <v>23.882167925976887</v>
      </c>
      <c r="L245" s="443"/>
      <c r="M245" s="217">
        <f t="shared" si="607"/>
        <v>0.35698979109918083</v>
      </c>
      <c r="N245" s="172">
        <f t="shared" si="608"/>
        <v>185.36827855468263</v>
      </c>
      <c r="O245" s="172">
        <f t="shared" si="599"/>
        <v>29.58</v>
      </c>
      <c r="P245" s="217">
        <f t="shared" si="609"/>
        <v>1.0904016385569566</v>
      </c>
      <c r="Q245" s="217">
        <f t="shared" si="610"/>
        <v>170</v>
      </c>
      <c r="R245" s="217"/>
      <c r="S245" s="172">
        <f t="shared" si="611"/>
        <v>2634.7828108389594</v>
      </c>
      <c r="T245" s="172">
        <f t="shared" si="612"/>
        <v>170</v>
      </c>
      <c r="U245" s="217">
        <f t="shared" si="613"/>
        <v>10.824089421375795</v>
      </c>
      <c r="V245" s="217">
        <f t="shared" si="614"/>
        <v>0.35242746130439911</v>
      </c>
      <c r="W245" s="217">
        <f t="shared" si="615"/>
        <v>0.63479261339442328</v>
      </c>
      <c r="X245" s="197">
        <f t="shared" si="616"/>
        <v>350</v>
      </c>
      <c r="Y245" s="443">
        <f t="shared" si="680"/>
        <v>350</v>
      </c>
      <c r="AA245" s="217">
        <f t="shared" si="617"/>
        <v>31.326317776504087</v>
      </c>
      <c r="AB245" s="173">
        <f t="shared" si="618"/>
        <v>1.8371721033734432</v>
      </c>
      <c r="AC245" s="173">
        <f t="shared" si="619"/>
        <v>0.50357857480354284</v>
      </c>
      <c r="AD245" s="173"/>
      <c r="AE245" s="173">
        <f t="shared" si="620"/>
        <v>0.78195044242805589</v>
      </c>
      <c r="AF245" s="545">
        <f t="shared" si="621"/>
        <v>667.56148686241966</v>
      </c>
      <c r="AG245" s="528">
        <f t="shared" si="622"/>
        <v>9.1227551616606548E-2</v>
      </c>
      <c r="AI245" s="173">
        <f t="shared" si="623"/>
        <v>18.414093799853429</v>
      </c>
      <c r="AJ245" s="173">
        <f t="shared" si="624"/>
        <v>18.414093799853429</v>
      </c>
      <c r="AK245" s="173">
        <f t="shared" si="625"/>
        <v>4.9635262714963666</v>
      </c>
      <c r="AM245" s="545">
        <f t="shared" si="626"/>
        <v>174</v>
      </c>
      <c r="AN245" s="460">
        <f t="shared" si="627"/>
        <v>350</v>
      </c>
      <c r="AP245">
        <f t="shared" si="628"/>
        <v>174</v>
      </c>
      <c r="AQ245">
        <f t="shared" si="629"/>
        <v>350</v>
      </c>
      <c r="AS245" s="5">
        <f t="shared" si="600"/>
        <v>2.8571428571428572</v>
      </c>
      <c r="AT245" s="5">
        <f t="shared" si="630"/>
        <v>0.59955457475133778</v>
      </c>
      <c r="AU245" s="5">
        <f t="shared" si="722"/>
        <v>2.2575882823915192</v>
      </c>
      <c r="AV245" s="5"/>
      <c r="AW245" s="173">
        <f t="shared" si="723"/>
        <v>0.20984410116296823</v>
      </c>
      <c r="AX245" s="173">
        <f t="shared" si="631"/>
        <v>29.669399416107542</v>
      </c>
      <c r="AY245" s="173">
        <f t="shared" si="632"/>
        <v>0.36375012094231501</v>
      </c>
      <c r="AZ245" s="173">
        <f t="shared" si="633"/>
        <v>81.565332100089222</v>
      </c>
      <c r="BA245" s="460">
        <f t="shared" ref="BA245:BA308" si="724">F245*AT245/Vout_ripple*1000</f>
        <v>6.1366174121607511E-2</v>
      </c>
      <c r="BB245" s="5">
        <f t="shared" ref="BB245:BB308" si="725">H245/Efficiency/I245*AU245/Vinripple1</f>
        <v>6.9577890957426209</v>
      </c>
      <c r="BD245" s="173">
        <f t="shared" si="681"/>
        <v>4.8701025519732051</v>
      </c>
      <c r="BE245" s="173">
        <f t="shared" si="682"/>
        <v>0.47251556752978408</v>
      </c>
      <c r="BG245" s="528">
        <f t="shared" si="683"/>
        <v>0.94871595466943703</v>
      </c>
      <c r="BH245" s="528">
        <f t="shared" si="634"/>
        <v>3.4631767826207165</v>
      </c>
      <c r="BI245" s="528">
        <f t="shared" si="635"/>
        <v>0.21499069814025526</v>
      </c>
      <c r="BJ245" s="528">
        <f t="shared" si="684"/>
        <v>3.9925056139119147E-2</v>
      </c>
      <c r="BK245">
        <f t="shared" si="685"/>
        <v>6.9104152973653472E-3</v>
      </c>
      <c r="BL245" s="460">
        <f t="shared" si="686"/>
        <v>221.90111343762061</v>
      </c>
      <c r="BM245" s="528">
        <f t="shared" si="636"/>
        <v>6.0780554222022438</v>
      </c>
      <c r="BN245" s="460">
        <f t="shared" si="687"/>
        <v>6078.0554222022438</v>
      </c>
      <c r="BO245" s="528">
        <f t="shared" si="637"/>
        <v>0.12179999999999998</v>
      </c>
      <c r="BR245" s="460">
        <f t="shared" si="688"/>
        <v>121.79999999999998</v>
      </c>
      <c r="BS245" s="528">
        <f t="shared" si="689"/>
        <v>0.71153696600207772</v>
      </c>
      <c r="BT245" s="528">
        <f t="shared" si="690"/>
        <v>6.6981288467398183E-3</v>
      </c>
      <c r="BU245" s="528">
        <f t="shared" si="691"/>
        <v>166.73086101352536</v>
      </c>
      <c r="BV245" s="528"/>
      <c r="BW245" s="528">
        <f t="shared" si="692"/>
        <v>2.9669399416107547</v>
      </c>
      <c r="BX245" s="460">
        <f t="shared" si="693"/>
        <v>170416.03604998492</v>
      </c>
      <c r="BY245" s="173">
        <f t="shared" si="694"/>
        <v>175.21155495685181</v>
      </c>
      <c r="BZ245" s="5">
        <f t="shared" si="695"/>
        <v>29.58</v>
      </c>
      <c r="CA245" s="173">
        <f t="shared" si="696"/>
        <v>0.14443954979604653</v>
      </c>
      <c r="CB245" s="5">
        <f t="shared" si="697"/>
        <v>14.443954979604653</v>
      </c>
      <c r="CE245" s="562">
        <f t="shared" si="638"/>
        <v>-50</v>
      </c>
      <c r="CF245">
        <f t="shared" si="639"/>
        <v>-50</v>
      </c>
      <c r="CG245" s="173">
        <f t="shared" si="640"/>
        <v>0.37854209494725782</v>
      </c>
      <c r="CI245" s="170">
        <v>29</v>
      </c>
      <c r="CJ245" s="217">
        <f t="shared" si="698"/>
        <v>0.17399999999999999</v>
      </c>
      <c r="CK245" s="217"/>
      <c r="CL245" s="217">
        <f t="shared" si="641"/>
        <v>29.58</v>
      </c>
      <c r="CM245" s="541">
        <f t="shared" si="642"/>
        <v>16</v>
      </c>
      <c r="CN245" s="443">
        <f t="shared" si="643"/>
        <v>8.5250000000000004</v>
      </c>
      <c r="CO245" s="443">
        <f t="shared" si="644"/>
        <v>24.524999999999999</v>
      </c>
      <c r="CP245" s="443"/>
      <c r="CQ245" s="217">
        <f t="shared" si="645"/>
        <v>0.34760448521916415</v>
      </c>
      <c r="CR245" s="172">
        <f t="shared" si="646"/>
        <v>188.05866123003739</v>
      </c>
      <c r="CS245" s="172">
        <f t="shared" si="647"/>
        <v>29.58</v>
      </c>
      <c r="CT245" s="217">
        <f t="shared" si="648"/>
        <v>1.1062274190002199</v>
      </c>
      <c r="CU245" s="217">
        <f t="shared" si="649"/>
        <v>170</v>
      </c>
      <c r="CV245" s="217"/>
      <c r="CW245" s="172">
        <f t="shared" si="650"/>
        <v>2745.1923727145995</v>
      </c>
      <c r="CX245" s="172">
        <f t="shared" si="651"/>
        <v>170</v>
      </c>
      <c r="CY245" s="217">
        <f t="shared" si="652"/>
        <v>10.637089442815247</v>
      </c>
      <c r="CZ245" s="217">
        <f t="shared" si="653"/>
        <v>0.33240904508797647</v>
      </c>
      <c r="DA245" s="217">
        <f t="shared" si="654"/>
        <v>0.62387621365485324</v>
      </c>
      <c r="DB245" s="197">
        <f t="shared" si="655"/>
        <v>350</v>
      </c>
      <c r="DC245" s="443">
        <f t="shared" si="656"/>
        <v>350</v>
      </c>
      <c r="DE245" s="217">
        <f t="shared" si="657"/>
        <v>31.780981505752148</v>
      </c>
      <c r="DF245" s="173">
        <f t="shared" si="658"/>
        <v>1.8639871850881022</v>
      </c>
      <c r="DG245" s="173">
        <f t="shared" si="659"/>
        <v>0.51834424474213492</v>
      </c>
      <c r="DH245" s="173"/>
      <c r="DI245" s="173">
        <f t="shared" si="660"/>
        <v>0.78201368523949166</v>
      </c>
      <c r="DJ245" s="545">
        <f t="shared" si="661"/>
        <v>667.50749999999994</v>
      </c>
      <c r="DK245" s="528">
        <f t="shared" si="662"/>
        <v>9.1234929944607357E-2</v>
      </c>
      <c r="DM245" s="173">
        <f t="shared" si="663"/>
        <v>18.413349194848518</v>
      </c>
      <c r="DN245" s="173">
        <f t="shared" si="664"/>
        <v>18.413349194848518</v>
      </c>
      <c r="DO245" s="173">
        <f t="shared" si="665"/>
        <v>4.9629747122334695</v>
      </c>
      <c r="DQ245" s="545">
        <f t="shared" si="666"/>
        <v>174</v>
      </c>
      <c r="DR245" s="460">
        <f t="shared" si="667"/>
        <v>350</v>
      </c>
      <c r="DT245">
        <f t="shared" si="668"/>
        <v>174</v>
      </c>
      <c r="DU245">
        <f t="shared" si="669"/>
        <v>350</v>
      </c>
      <c r="DW245" s="5">
        <f t="shared" si="670"/>
        <v>2.8571428571428572</v>
      </c>
      <c r="DX245" s="5">
        <f t="shared" si="671"/>
        <v>0.57541716233901619</v>
      </c>
      <c r="DY245" s="5">
        <f t="shared" si="672"/>
        <v>2.2817256948038409</v>
      </c>
      <c r="DZ245" s="5"/>
      <c r="EA245" s="173">
        <f t="shared" si="673"/>
        <v>0.20139600681865566</v>
      </c>
      <c r="EB245" s="173">
        <f t="shared" si="699"/>
        <v>29.666999999999998</v>
      </c>
      <c r="EC245" s="173">
        <f t="shared" si="700"/>
        <v>0.36762435487121298</v>
      </c>
      <c r="ED245" s="173">
        <f t="shared" si="701"/>
        <v>80.699223560400426</v>
      </c>
      <c r="EE245" s="460">
        <f t="shared" si="674"/>
        <v>5.8895638968816943E-2</v>
      </c>
      <c r="EF245" s="5">
        <f t="shared" si="675"/>
        <v>6.7493446052297612</v>
      </c>
      <c r="EH245" s="173">
        <f t="shared" si="702"/>
        <v>4.770870075099733</v>
      </c>
      <c r="EI245" s="173">
        <f t="shared" si="703"/>
        <v>0.47501563548914039</v>
      </c>
      <c r="EK245" s="528">
        <f t="shared" si="704"/>
        <v>0.91044805093928538</v>
      </c>
      <c r="EL245" s="528">
        <f t="shared" si="705"/>
        <v>4.3465286191602273</v>
      </c>
      <c r="EM245" s="528">
        <f t="shared" si="706"/>
        <v>6.9999999999999993E-2</v>
      </c>
      <c r="EN245" s="528">
        <f t="shared" si="707"/>
        <v>4.2103293749999993E-2</v>
      </c>
      <c r="EO245">
        <f t="shared" si="708"/>
        <v>7.1999999999999998E-3</v>
      </c>
      <c r="EP245" s="460">
        <f t="shared" si="709"/>
        <v>77.199999999999989</v>
      </c>
      <c r="EQ245" s="460"/>
      <c r="ER245" s="460">
        <f t="shared" si="710"/>
        <v>5376.2799638495135</v>
      </c>
      <c r="ES245" s="528">
        <f t="shared" si="711"/>
        <v>0.12179999999999998</v>
      </c>
      <c r="EV245" s="460">
        <f t="shared" si="712"/>
        <v>121.79999999999998</v>
      </c>
      <c r="EW245" s="528">
        <f t="shared" si="713"/>
        <v>0.68283603820446392</v>
      </c>
      <c r="EX245" s="528">
        <f t="shared" si="714"/>
        <v>6.7691956187745563E-3</v>
      </c>
      <c r="EY245" s="528">
        <f t="shared" si="715"/>
        <v>166.71400641429301</v>
      </c>
      <c r="EZ245" s="528"/>
      <c r="FA245" s="528">
        <f t="shared" si="716"/>
        <v>2.9666999999999999</v>
      </c>
      <c r="FB245" s="460">
        <f t="shared" si="717"/>
        <v>170370.31164811624</v>
      </c>
      <c r="FC245" s="173">
        <f t="shared" si="718"/>
        <v>175.86839161196576</v>
      </c>
      <c r="FD245" s="5">
        <f t="shared" si="719"/>
        <v>29.58</v>
      </c>
      <c r="FE245" s="173">
        <f t="shared" si="720"/>
        <v>0.14397776379709168</v>
      </c>
      <c r="FF245" s="5">
        <f t="shared" si="721"/>
        <v>14.397776379709168</v>
      </c>
      <c r="FI245" s="562">
        <f t="shared" si="676"/>
        <v>-50</v>
      </c>
      <c r="FJ245">
        <f t="shared" si="677"/>
        <v>-50</v>
      </c>
      <c r="FL245">
        <f t="shared" si="678"/>
        <v>0.3779866403634593</v>
      </c>
    </row>
    <row r="246" spans="5:168">
      <c r="E246" s="170">
        <v>30</v>
      </c>
      <c r="F246" s="217">
        <f t="shared" si="679"/>
        <v>0.18</v>
      </c>
      <c r="G246" s="217"/>
      <c r="H246" s="217">
        <f t="shared" si="603"/>
        <v>30.599999999999998</v>
      </c>
      <c r="I246" s="541">
        <f t="shared" si="604"/>
        <v>15.345477273121856</v>
      </c>
      <c r="J246" s="172">
        <f t="shared" si="605"/>
        <v>8.5257012743502276</v>
      </c>
      <c r="K246" s="172">
        <f t="shared" si="606"/>
        <v>23.871178547472084</v>
      </c>
      <c r="L246" s="443"/>
      <c r="M246" s="217">
        <f t="shared" si="607"/>
        <v>0.3571546297919857</v>
      </c>
      <c r="N246" s="172">
        <f t="shared" si="608"/>
        <v>185.32101511091454</v>
      </c>
      <c r="O246" s="172">
        <f t="shared" si="599"/>
        <v>30.599999999999998</v>
      </c>
      <c r="P246" s="217">
        <f t="shared" si="609"/>
        <v>1.0901236182994973</v>
      </c>
      <c r="Q246" s="217">
        <f t="shared" si="610"/>
        <v>170</v>
      </c>
      <c r="R246" s="217"/>
      <c r="S246" s="172">
        <f t="shared" si="611"/>
        <v>2534.9060298485783</v>
      </c>
      <c r="T246" s="172">
        <f t="shared" si="612"/>
        <v>170</v>
      </c>
      <c r="U246" s="217">
        <f t="shared" si="613"/>
        <v>11.200205109465431</v>
      </c>
      <c r="V246" s="217">
        <f t="shared" si="614"/>
        <v>0.36493505252791925</v>
      </c>
      <c r="W246" s="217">
        <f t="shared" si="615"/>
        <v>0.65684949243773705</v>
      </c>
      <c r="X246" s="197">
        <f t="shared" si="616"/>
        <v>350</v>
      </c>
      <c r="Y246" s="443">
        <f t="shared" si="680"/>
        <v>350</v>
      </c>
      <c r="AA246" s="217">
        <f t="shared" si="617"/>
        <v>31.318330449125824</v>
      </c>
      <c r="AB246" s="173">
        <f t="shared" si="618"/>
        <v>1.8367011370283259</v>
      </c>
      <c r="AC246" s="173">
        <f t="shared" si="619"/>
        <v>0.5033211150252096</v>
      </c>
      <c r="AD246" s="173"/>
      <c r="AE246" s="173">
        <f t="shared" si="620"/>
        <v>0.7819493613649694</v>
      </c>
      <c r="AF246" s="545">
        <f t="shared" si="621"/>
        <v>690.58180322236831</v>
      </c>
      <c r="AG246" s="528">
        <f t="shared" si="622"/>
        <v>9.1227425492579783E-2</v>
      </c>
      <c r="AI246" s="173">
        <f t="shared" si="623"/>
        <v>18.728900383451947</v>
      </c>
      <c r="AJ246" s="173">
        <f t="shared" si="624"/>
        <v>18.728900383451947</v>
      </c>
      <c r="AK246" s="173">
        <f t="shared" si="625"/>
        <v>5.196716333421195</v>
      </c>
      <c r="AM246" s="545">
        <f t="shared" si="626"/>
        <v>180</v>
      </c>
      <c r="AN246" s="460">
        <f t="shared" si="627"/>
        <v>350</v>
      </c>
      <c r="AP246">
        <f t="shared" si="628"/>
        <v>180</v>
      </c>
      <c r="AQ246">
        <f t="shared" si="629"/>
        <v>350</v>
      </c>
      <c r="AS246" s="5">
        <f t="shared" si="600"/>
        <v>2.8571428571428572</v>
      </c>
      <c r="AT246" s="5">
        <f t="shared" si="630"/>
        <v>0.61024170347103757</v>
      </c>
      <c r="AU246" s="5">
        <f t="shared" si="722"/>
        <v>2.2469011536718195</v>
      </c>
      <c r="AV246" s="5"/>
      <c r="AW246" s="173">
        <f t="shared" si="723"/>
        <v>0.21358459621486314</v>
      </c>
      <c r="AX246" s="173">
        <f t="shared" si="631"/>
        <v>30.692524587660813</v>
      </c>
      <c r="AY246" s="173">
        <f t="shared" si="632"/>
        <v>0.36821739393759917</v>
      </c>
      <c r="AZ246" s="173">
        <f t="shared" si="633"/>
        <v>83.354358302970866</v>
      </c>
      <c r="BA246" s="460">
        <f t="shared" si="724"/>
        <v>6.4613827426345138E-2</v>
      </c>
      <c r="BB246" s="5">
        <f t="shared" si="725"/>
        <v>7.1687754330362639</v>
      </c>
      <c r="BD246" s="173">
        <f t="shared" si="681"/>
        <v>4.9973137434960453</v>
      </c>
      <c r="BE246" s="173">
        <f t="shared" si="682"/>
        <v>0.47945479072628527</v>
      </c>
      <c r="BG246" s="528">
        <f t="shared" si="683"/>
        <v>0.99892578603737836</v>
      </c>
      <c r="BH246" s="528">
        <f t="shared" si="634"/>
        <v>3.5207622847781983</v>
      </c>
      <c r="BI246" s="528">
        <f t="shared" si="635"/>
        <v>0.21483668182370599</v>
      </c>
      <c r="BJ246" s="528">
        <f t="shared" si="684"/>
        <v>3.9888321567170398E-2</v>
      </c>
      <c r="BK246">
        <f t="shared" si="685"/>
        <v>6.9054647729048357E-3</v>
      </c>
      <c r="BL246" s="460">
        <f t="shared" si="686"/>
        <v>221.74214659661081</v>
      </c>
      <c r="BM246" s="528">
        <f t="shared" si="636"/>
        <v>6.3322011626567072</v>
      </c>
      <c r="BN246" s="460">
        <f t="shared" si="687"/>
        <v>6332.2011626567073</v>
      </c>
      <c r="BO246" s="528">
        <f t="shared" si="637"/>
        <v>0.126</v>
      </c>
      <c r="BR246" s="460">
        <f t="shared" si="688"/>
        <v>126</v>
      </c>
      <c r="BS246" s="528">
        <f t="shared" si="689"/>
        <v>0.74919433952803371</v>
      </c>
      <c r="BT246" s="528">
        <f t="shared" si="690"/>
        <v>6.8963068905115799E-3</v>
      </c>
      <c r="BU246" s="528">
        <f t="shared" si="691"/>
        <v>173.94855062457998</v>
      </c>
      <c r="BV246" s="528"/>
      <c r="BW246" s="528">
        <f t="shared" si="692"/>
        <v>3.0692524587660821</v>
      </c>
      <c r="BX246" s="460">
        <f t="shared" si="693"/>
        <v>177773.89372976462</v>
      </c>
      <c r="BY246" s="173">
        <f t="shared" si="694"/>
        <v>182.68121226874396</v>
      </c>
      <c r="BZ246" s="5">
        <f t="shared" si="695"/>
        <v>30.599999999999998</v>
      </c>
      <c r="CA246" s="173">
        <f t="shared" si="696"/>
        <v>0.14347255285403487</v>
      </c>
      <c r="CB246" s="5">
        <f t="shared" si="697"/>
        <v>14.347255285403488</v>
      </c>
      <c r="CE246" s="562">
        <f t="shared" si="638"/>
        <v>-50</v>
      </c>
      <c r="CF246">
        <f t="shared" si="639"/>
        <v>-50</v>
      </c>
      <c r="CG246" s="173">
        <f t="shared" si="640"/>
        <v>0.38501336875184872</v>
      </c>
      <c r="CI246" s="170">
        <v>30</v>
      </c>
      <c r="CJ246" s="217">
        <f t="shared" si="698"/>
        <v>0.18</v>
      </c>
      <c r="CK246" s="217"/>
      <c r="CL246" s="217">
        <f t="shared" si="641"/>
        <v>30.599999999999998</v>
      </c>
      <c r="CM246" s="541">
        <f t="shared" si="642"/>
        <v>16</v>
      </c>
      <c r="CN246" s="443">
        <f t="shared" si="643"/>
        <v>8.5250000000000004</v>
      </c>
      <c r="CO246" s="443">
        <f t="shared" si="644"/>
        <v>24.524999999999999</v>
      </c>
      <c r="CP246" s="443"/>
      <c r="CQ246" s="217">
        <f t="shared" si="645"/>
        <v>0.34760448521916415</v>
      </c>
      <c r="CR246" s="172">
        <f t="shared" si="646"/>
        <v>188.05866123003739</v>
      </c>
      <c r="CS246" s="172">
        <f t="shared" si="647"/>
        <v>30.599999999999998</v>
      </c>
      <c r="CT246" s="217">
        <f t="shared" si="648"/>
        <v>1.1062274190002199</v>
      </c>
      <c r="CU246" s="217">
        <f t="shared" si="649"/>
        <v>170</v>
      </c>
      <c r="CV246" s="217"/>
      <c r="CW246" s="172">
        <f t="shared" si="650"/>
        <v>2643.0234882432242</v>
      </c>
      <c r="CX246" s="172">
        <f t="shared" si="651"/>
        <v>170</v>
      </c>
      <c r="CY246" s="217">
        <f t="shared" si="652"/>
        <v>11.003885630498532</v>
      </c>
      <c r="CZ246" s="217">
        <f t="shared" si="653"/>
        <v>0.34387142595307907</v>
      </c>
      <c r="DA246" s="217">
        <f t="shared" si="654"/>
        <v>0.64538918653950328</v>
      </c>
      <c r="DB246" s="197">
        <f t="shared" si="655"/>
        <v>350</v>
      </c>
      <c r="DC246" s="443">
        <f t="shared" si="656"/>
        <v>350</v>
      </c>
      <c r="DE246" s="217">
        <f t="shared" si="657"/>
        <v>31.780981505752148</v>
      </c>
      <c r="DF246" s="173">
        <f t="shared" si="658"/>
        <v>1.8639871850881022</v>
      </c>
      <c r="DG246" s="173">
        <f t="shared" si="659"/>
        <v>0.51834424474213492</v>
      </c>
      <c r="DH246" s="173"/>
      <c r="DI246" s="173">
        <f t="shared" si="660"/>
        <v>0.78201368523949166</v>
      </c>
      <c r="DJ246" s="545">
        <f t="shared" si="661"/>
        <v>690.52499999999998</v>
      </c>
      <c r="DK246" s="528">
        <f t="shared" si="662"/>
        <v>9.1234929944607357E-2</v>
      </c>
      <c r="DM246" s="173">
        <f t="shared" si="663"/>
        <v>18.72813010267862</v>
      </c>
      <c r="DN246" s="173">
        <f t="shared" si="664"/>
        <v>18.72813010267862</v>
      </c>
      <c r="DO246" s="173">
        <f t="shared" si="665"/>
        <v>5.1961457550705816</v>
      </c>
      <c r="DQ246" s="545">
        <f t="shared" si="666"/>
        <v>180</v>
      </c>
      <c r="DR246" s="460">
        <f t="shared" si="667"/>
        <v>350</v>
      </c>
      <c r="DT246">
        <f t="shared" si="668"/>
        <v>180</v>
      </c>
      <c r="DU246">
        <f t="shared" si="669"/>
        <v>350</v>
      </c>
      <c r="DW246" s="5">
        <f t="shared" si="670"/>
        <v>2.8571428571428572</v>
      </c>
      <c r="DX246" s="5">
        <f t="shared" si="671"/>
        <v>0.58525406570870686</v>
      </c>
      <c r="DY246" s="5">
        <f t="shared" si="672"/>
        <v>2.2718887914341503</v>
      </c>
      <c r="DZ246" s="5"/>
      <c r="EA246" s="173">
        <f t="shared" si="673"/>
        <v>0.2048389229980474</v>
      </c>
      <c r="EB246" s="173">
        <f t="shared" si="699"/>
        <v>30.689999999999991</v>
      </c>
      <c r="EC246" s="173">
        <f t="shared" si="700"/>
        <v>0.37229700256696552</v>
      </c>
      <c r="ED246" s="173">
        <f t="shared" si="701"/>
        <v>82.434185041497187</v>
      </c>
      <c r="EE246" s="460">
        <f t="shared" si="674"/>
        <v>6.1968077545627782E-2</v>
      </c>
      <c r="EF246" s="5">
        <f t="shared" si="675"/>
        <v>6.9519797017884999</v>
      </c>
      <c r="EH246" s="173">
        <f t="shared" si="702"/>
        <v>4.8937303122260714</v>
      </c>
      <c r="EI246" s="173">
        <f t="shared" si="703"/>
        <v>0.48209358361599619</v>
      </c>
      <c r="EK246" s="528">
        <f t="shared" si="704"/>
        <v>0.95794385475201127</v>
      </c>
      <c r="EL246" s="528">
        <f t="shared" si="705"/>
        <v>4.4208336361438585</v>
      </c>
      <c r="EM246" s="528">
        <f t="shared" si="706"/>
        <v>6.9999999999999993E-2</v>
      </c>
      <c r="EN246" s="528">
        <f t="shared" si="707"/>
        <v>4.2103293749999993E-2</v>
      </c>
      <c r="EO246">
        <f t="shared" si="708"/>
        <v>7.1999999999999998E-3</v>
      </c>
      <c r="EP246" s="460">
        <f t="shared" si="709"/>
        <v>77.199999999999989</v>
      </c>
      <c r="EQ246" s="460"/>
      <c r="ER246" s="460">
        <f t="shared" si="710"/>
        <v>5498.0807846458711</v>
      </c>
      <c r="ES246" s="528">
        <f t="shared" si="711"/>
        <v>0.126</v>
      </c>
      <c r="EV246" s="460">
        <f t="shared" si="712"/>
        <v>126</v>
      </c>
      <c r="EW246" s="528">
        <f t="shared" si="713"/>
        <v>0.71845789106400837</v>
      </c>
      <c r="EX246" s="528">
        <f t="shared" si="714"/>
        <v>6.9724267009114048E-3</v>
      </c>
      <c r="EY246" s="528">
        <f t="shared" si="715"/>
        <v>173.93066581976552</v>
      </c>
      <c r="EZ246" s="528"/>
      <c r="FA246" s="528">
        <f t="shared" si="716"/>
        <v>3.0689999999999995</v>
      </c>
      <c r="FB246" s="460">
        <f t="shared" si="717"/>
        <v>177725.09613753043</v>
      </c>
      <c r="FC246" s="173">
        <f t="shared" si="718"/>
        <v>183.3491769221763</v>
      </c>
      <c r="FD246" s="5">
        <f t="shared" si="719"/>
        <v>30.599999999999998</v>
      </c>
      <c r="FE246" s="173">
        <f t="shared" si="720"/>
        <v>0.14302462126849266</v>
      </c>
      <c r="FF246" s="5">
        <f t="shared" si="721"/>
        <v>14.302462126849266</v>
      </c>
      <c r="FI246" s="562">
        <f t="shared" si="676"/>
        <v>-50</v>
      </c>
      <c r="FJ246">
        <f t="shared" si="677"/>
        <v>-50</v>
      </c>
      <c r="FL246">
        <f t="shared" si="678"/>
        <v>0.38444841853005968</v>
      </c>
    </row>
    <row r="247" spans="5:168">
      <c r="E247" s="170">
        <v>31</v>
      </c>
      <c r="F247" s="217">
        <f t="shared" si="679"/>
        <v>0.186</v>
      </c>
      <c r="G247" s="217"/>
      <c r="H247" s="217">
        <f t="shared" si="603"/>
        <v>31.62</v>
      </c>
      <c r="I247" s="541">
        <f t="shared" si="604"/>
        <v>15.334657982688602</v>
      </c>
      <c r="J247" s="172">
        <f t="shared" si="605"/>
        <v>8.5257128664471207</v>
      </c>
      <c r="K247" s="172">
        <f t="shared" si="606"/>
        <v>23.860370849135723</v>
      </c>
      <c r="L247" s="443"/>
      <c r="M247" s="217">
        <f t="shared" si="607"/>
        <v>0.35731689140980744</v>
      </c>
      <c r="N247" s="172">
        <f t="shared" si="608"/>
        <v>185.2744902210753</v>
      </c>
      <c r="O247" s="172">
        <f t="shared" si="599"/>
        <v>31.62</v>
      </c>
      <c r="P247" s="217">
        <f t="shared" si="609"/>
        <v>1.0898499424769135</v>
      </c>
      <c r="Q247" s="217">
        <f t="shared" si="610"/>
        <v>170</v>
      </c>
      <c r="R247" s="217"/>
      <c r="S247" s="172">
        <f t="shared" si="611"/>
        <v>2441.5162272958619</v>
      </c>
      <c r="T247" s="172">
        <f t="shared" si="612"/>
        <v>170</v>
      </c>
      <c r="U247" s="217">
        <f t="shared" si="613"/>
        <v>11.576467314226742</v>
      </c>
      <c r="V247" s="217">
        <f t="shared" si="614"/>
        <v>0.37746089046444636</v>
      </c>
      <c r="W247" s="217">
        <f t="shared" si="615"/>
        <v>0.67891491864485853</v>
      </c>
      <c r="X247" s="197">
        <f t="shared" si="616"/>
        <v>350</v>
      </c>
      <c r="Y247" s="443">
        <f t="shared" si="680"/>
        <v>350</v>
      </c>
      <c r="AA247" s="217">
        <f t="shared" si="617"/>
        <v>31.310467934398055</v>
      </c>
      <c r="AB247" s="173">
        <f t="shared" si="618"/>
        <v>1.8362375337328194</v>
      </c>
      <c r="AC247" s="173">
        <f t="shared" si="619"/>
        <v>0.50306774367394658</v>
      </c>
      <c r="AD247" s="173"/>
      <c r="AE247" s="173">
        <f t="shared" si="620"/>
        <v>0.78194829817730349</v>
      </c>
      <c r="AF247" s="545">
        <f t="shared" si="621"/>
        <v>713.60216692162385</v>
      </c>
      <c r="AG247" s="528">
        <f t="shared" si="622"/>
        <v>9.1227301454018764E-2</v>
      </c>
      <c r="AI247" s="173">
        <f t="shared" si="623"/>
        <v>19.038502901281255</v>
      </c>
      <c r="AJ247" s="173">
        <f t="shared" si="624"/>
        <v>19.038502901281255</v>
      </c>
      <c r="AK247" s="173">
        <f t="shared" si="625"/>
        <v>5.4260515318132754</v>
      </c>
      <c r="AM247" s="545">
        <f t="shared" si="626"/>
        <v>186</v>
      </c>
      <c r="AN247" s="460">
        <f t="shared" si="627"/>
        <v>350</v>
      </c>
      <c r="AP247">
        <f t="shared" si="628"/>
        <v>186</v>
      </c>
      <c r="AQ247">
        <f t="shared" si="629"/>
        <v>350</v>
      </c>
      <c r="AS247" s="5">
        <f t="shared" si="600"/>
        <v>2.8571428571428572</v>
      </c>
      <c r="AT247" s="5">
        <f t="shared" si="630"/>
        <v>0.62076711860068701</v>
      </c>
      <c r="AU247" s="5">
        <f t="shared" si="722"/>
        <v>2.2363757385421703</v>
      </c>
      <c r="AV247" s="5"/>
      <c r="AW247" s="173">
        <f t="shared" si="723"/>
        <v>0.21726849151024044</v>
      </c>
      <c r="AX247" s="173">
        <f t="shared" si="631"/>
        <v>31.715651863183293</v>
      </c>
      <c r="AY247" s="173">
        <f t="shared" si="632"/>
        <v>0.37255090238266353</v>
      </c>
      <c r="AZ247" s="173">
        <f t="shared" si="633"/>
        <v>85.131056347856443</v>
      </c>
      <c r="BA247" s="460">
        <f t="shared" si="724"/>
        <v>6.7919225917486933E-2</v>
      </c>
      <c r="BB247" s="5">
        <f t="shared" si="725"/>
        <v>7.3782357253779676</v>
      </c>
      <c r="BD247" s="173">
        <f t="shared" si="681"/>
        <v>5.1235448433873465</v>
      </c>
      <c r="BE247" s="173">
        <f t="shared" si="682"/>
        <v>0.48623764546043696</v>
      </c>
      <c r="BG247" s="528">
        <f t="shared" si="683"/>
        <v>1.0500284704880427</v>
      </c>
      <c r="BH247" s="528">
        <f t="shared" si="634"/>
        <v>3.577342699640722</v>
      </c>
      <c r="BI247" s="528">
        <f t="shared" si="635"/>
        <v>0.21468521175764041</v>
      </c>
      <c r="BJ247" s="528">
        <f t="shared" si="684"/>
        <v>3.9852210794080009E-2</v>
      </c>
      <c r="BK247">
        <f t="shared" si="685"/>
        <v>6.900596092209871E-3</v>
      </c>
      <c r="BL247" s="460">
        <f t="shared" si="686"/>
        <v>221.58580784985026</v>
      </c>
      <c r="BM247" s="528">
        <f t="shared" si="636"/>
        <v>6.5964607076337618</v>
      </c>
      <c r="BN247" s="460">
        <f t="shared" si="687"/>
        <v>6596.4607076337616</v>
      </c>
      <c r="BO247" s="528">
        <f t="shared" si="637"/>
        <v>0.13019999999999998</v>
      </c>
      <c r="BR247" s="460">
        <f t="shared" si="688"/>
        <v>130.19999999999999</v>
      </c>
      <c r="BS247" s="528">
        <f t="shared" si="689"/>
        <v>0.78752135286603198</v>
      </c>
      <c r="BT247" s="528">
        <f t="shared" si="690"/>
        <v>7.0928114358872882E-3</v>
      </c>
      <c r="BU247" s="528">
        <f t="shared" si="691"/>
        <v>181.22666625318394</v>
      </c>
      <c r="BV247" s="528"/>
      <c r="BW247" s="528">
        <f t="shared" si="692"/>
        <v>3.1715651863183294</v>
      </c>
      <c r="BX247" s="460">
        <f t="shared" si="693"/>
        <v>185192.84560380419</v>
      </c>
      <c r="BY247" s="173">
        <f t="shared" si="694"/>
        <v>190.21185479257687</v>
      </c>
      <c r="BZ247" s="5">
        <f t="shared" si="695"/>
        <v>31.62</v>
      </c>
      <c r="CA247" s="173">
        <f t="shared" si="696"/>
        <v>0.14254039407264649</v>
      </c>
      <c r="CB247" s="5">
        <f t="shared" si="697"/>
        <v>14.254039407264649</v>
      </c>
      <c r="CE247" s="562">
        <f t="shared" si="638"/>
        <v>-50</v>
      </c>
      <c r="CF247">
        <f t="shared" si="639"/>
        <v>-50</v>
      </c>
      <c r="CG247" s="173">
        <f t="shared" si="640"/>
        <v>0.39137765724199852</v>
      </c>
      <c r="CI247" s="170">
        <v>31</v>
      </c>
      <c r="CJ247" s="217">
        <f t="shared" si="698"/>
        <v>0.186</v>
      </c>
      <c r="CK247" s="217"/>
      <c r="CL247" s="217">
        <f t="shared" si="641"/>
        <v>31.62</v>
      </c>
      <c r="CM247" s="541">
        <f t="shared" si="642"/>
        <v>16</v>
      </c>
      <c r="CN247" s="443">
        <f t="shared" si="643"/>
        <v>8.5250000000000004</v>
      </c>
      <c r="CO247" s="443">
        <f t="shared" si="644"/>
        <v>24.524999999999999</v>
      </c>
      <c r="CP247" s="443"/>
      <c r="CQ247" s="217">
        <f t="shared" si="645"/>
        <v>0.34760448521916415</v>
      </c>
      <c r="CR247" s="172">
        <f t="shared" si="646"/>
        <v>188.05866123003739</v>
      </c>
      <c r="CS247" s="172">
        <f t="shared" si="647"/>
        <v>31.62</v>
      </c>
      <c r="CT247" s="217">
        <f t="shared" si="648"/>
        <v>1.1062274190002199</v>
      </c>
      <c r="CU247" s="217">
        <f t="shared" si="649"/>
        <v>170</v>
      </c>
      <c r="CV247" s="217"/>
      <c r="CW247" s="172">
        <f t="shared" si="650"/>
        <v>2547.4463082165503</v>
      </c>
      <c r="CX247" s="172">
        <f t="shared" si="651"/>
        <v>170</v>
      </c>
      <c r="CY247" s="217">
        <f t="shared" si="652"/>
        <v>11.370681818181817</v>
      </c>
      <c r="CZ247" s="217">
        <f t="shared" si="653"/>
        <v>0.35533380681818177</v>
      </c>
      <c r="DA247" s="217">
        <f t="shared" si="654"/>
        <v>0.66690215942415343</v>
      </c>
      <c r="DB247" s="197">
        <f t="shared" si="655"/>
        <v>350</v>
      </c>
      <c r="DC247" s="443">
        <f t="shared" si="656"/>
        <v>350</v>
      </c>
      <c r="DE247" s="217">
        <f t="shared" si="657"/>
        <v>31.780981505752148</v>
      </c>
      <c r="DF247" s="173">
        <f t="shared" si="658"/>
        <v>1.8639871850881022</v>
      </c>
      <c r="DG247" s="173">
        <f t="shared" si="659"/>
        <v>0.51834424474213492</v>
      </c>
      <c r="DH247" s="173"/>
      <c r="DI247" s="173">
        <f t="shared" si="660"/>
        <v>0.78201368523949166</v>
      </c>
      <c r="DJ247" s="545">
        <f t="shared" si="661"/>
        <v>713.54250000000002</v>
      </c>
      <c r="DK247" s="528">
        <f t="shared" si="662"/>
        <v>9.1234929944607357E-2</v>
      </c>
      <c r="DM247" s="173">
        <f t="shared" si="663"/>
        <v>19.037706944752713</v>
      </c>
      <c r="DN247" s="173">
        <f t="shared" si="664"/>
        <v>19.037706944752713</v>
      </c>
      <c r="DO247" s="173">
        <f t="shared" si="665"/>
        <v>5.4254619343847255</v>
      </c>
      <c r="DQ247" s="545">
        <f t="shared" si="666"/>
        <v>186</v>
      </c>
      <c r="DR247" s="460">
        <f t="shared" si="667"/>
        <v>350</v>
      </c>
      <c r="DT247">
        <f t="shared" si="668"/>
        <v>186</v>
      </c>
      <c r="DU247">
        <f t="shared" si="669"/>
        <v>350</v>
      </c>
      <c r="DW247" s="5">
        <f t="shared" si="670"/>
        <v>2.8571428571428572</v>
      </c>
      <c r="DX247" s="5">
        <f t="shared" si="671"/>
        <v>0.59492834202352218</v>
      </c>
      <c r="DY247" s="5">
        <f t="shared" si="672"/>
        <v>2.2622145151193349</v>
      </c>
      <c r="DZ247" s="5"/>
      <c r="EA247" s="173">
        <f t="shared" si="673"/>
        <v>0.20822491970823276</v>
      </c>
      <c r="EB247" s="173">
        <f t="shared" si="699"/>
        <v>31.712999999999997</v>
      </c>
      <c r="EC247" s="173">
        <f t="shared" si="700"/>
        <v>0.37683954861881791</v>
      </c>
      <c r="ED247" s="173">
        <f t="shared" si="701"/>
        <v>84.155179880226541</v>
      </c>
      <c r="EE247" s="460">
        <f t="shared" si="674"/>
        <v>6.5092159774338312E-2</v>
      </c>
      <c r="EF247" s="5">
        <f t="shared" si="675"/>
        <v>7.1531222968073367</v>
      </c>
      <c r="EH247" s="173">
        <f t="shared" si="702"/>
        <v>5.0155707565662562</v>
      </c>
      <c r="EI247" s="173">
        <f t="shared" si="703"/>
        <v>0.48901809413687852</v>
      </c>
      <c r="EK247" s="528">
        <f t="shared" si="704"/>
        <v>1.0062380005649043</v>
      </c>
      <c r="EL247" s="528">
        <f t="shared" si="705"/>
        <v>4.4939102171430809</v>
      </c>
      <c r="EM247" s="528">
        <f t="shared" si="706"/>
        <v>6.9999999999999993E-2</v>
      </c>
      <c r="EN247" s="528">
        <f t="shared" si="707"/>
        <v>4.2103293749999993E-2</v>
      </c>
      <c r="EO247">
        <f t="shared" si="708"/>
        <v>7.1999999999999998E-3</v>
      </c>
      <c r="EP247" s="460">
        <f t="shared" si="709"/>
        <v>77.199999999999989</v>
      </c>
      <c r="EQ247" s="460"/>
      <c r="ER247" s="460">
        <f t="shared" si="710"/>
        <v>5619.4515114579863</v>
      </c>
      <c r="ES247" s="528">
        <f t="shared" si="711"/>
        <v>0.13019999999999998</v>
      </c>
      <c r="EV247" s="460">
        <f t="shared" si="712"/>
        <v>130.19999999999999</v>
      </c>
      <c r="EW247" s="528">
        <f t="shared" si="713"/>
        <v>0.75467850042367812</v>
      </c>
      <c r="EX247" s="528">
        <f t="shared" si="714"/>
        <v>7.1741608917979495E-3</v>
      </c>
      <c r="EY247" s="528">
        <f t="shared" si="715"/>
        <v>181.20772515971896</v>
      </c>
      <c r="EZ247" s="528"/>
      <c r="FA247" s="528">
        <f t="shared" si="716"/>
        <v>3.1713</v>
      </c>
      <c r="FB247" s="460">
        <f t="shared" si="717"/>
        <v>185140.87782103446</v>
      </c>
      <c r="FC247" s="173">
        <f t="shared" si="718"/>
        <v>190.89052933249243</v>
      </c>
      <c r="FD247" s="5">
        <f t="shared" si="719"/>
        <v>31.62</v>
      </c>
      <c r="FE247" s="173">
        <f t="shared" si="720"/>
        <v>0.14210563470796905</v>
      </c>
      <c r="FF247" s="5">
        <f t="shared" si="721"/>
        <v>14.210563470796906</v>
      </c>
      <c r="FI247" s="562">
        <f t="shared" si="676"/>
        <v>-50</v>
      </c>
      <c r="FJ247">
        <f t="shared" si="677"/>
        <v>-50</v>
      </c>
      <c r="FL247">
        <f t="shared" si="678"/>
        <v>0.39080336836735768</v>
      </c>
    </row>
    <row r="248" spans="5:168">
      <c r="E248" s="170">
        <v>32</v>
      </c>
      <c r="F248" s="217">
        <f t="shared" si="679"/>
        <v>0.192</v>
      </c>
      <c r="G248" s="217"/>
      <c r="H248" s="217">
        <f t="shared" ref="H248:H279" si="726">F248*Vout</f>
        <v>32.64</v>
      </c>
      <c r="I248" s="541">
        <f t="shared" ref="I248:I279" si="727">VIN_max-F248*(Rdcr_pri+RON/1000)/CG248/Nps</f>
        <v>15.324011834423116</v>
      </c>
      <c r="J248" s="172">
        <f t="shared" ref="J248:J279" si="728">(T248+Vfwd1+F248/CG248*Rdcr_sec)*Nps</f>
        <v>8.5257242730345464</v>
      </c>
      <c r="K248" s="172">
        <f t="shared" ref="K248:K279" si="729">(Vout+Vfwd1+F248/CG248*Rdcr_sec)*Nps+I248</f>
        <v>23.849736107457662</v>
      </c>
      <c r="L248" s="443"/>
      <c r="M248" s="217">
        <f t="shared" ref="M248:M279" si="730">(Vout+Vfwd1+F248/FL248*Rdcr_sec)*Nps/((Vout+Vfwd1+F248/FL248*Rdcr_sec)*Nps+I248)</f>
        <v>0.35747669988778058</v>
      </c>
      <c r="N248" s="172">
        <f t="shared" ref="N248:N279" si="731">M248*I248*(Isw_max+VIN_max/Lmag*ILIM_delay)*0.5*Efficiency</f>
        <v>185.22866836657556</v>
      </c>
      <c r="O248" s="172">
        <f t="shared" si="599"/>
        <v>32.64</v>
      </c>
      <c r="P248" s="217">
        <f t="shared" ref="P248:P279" si="732">N248/Vout</f>
        <v>1.0895804021563269</v>
      </c>
      <c r="Q248" s="217">
        <f t="shared" ref="Q248:Q279" si="733">MIN(Vout,N248/F248)</f>
        <v>170</v>
      </c>
      <c r="R248" s="217"/>
      <c r="S248" s="172">
        <f t="shared" ref="S248:S279" si="734">(SQRT(Isw_max^2*Nps^2*I248^2+4*Isw_max*F248/Efficiency*(Nps^2*Vfwd1*I248-Nps*I248^2)+4*(F248/Efficiency)^2*Nps^2*Vfwd1^2+8*(F248/Efficiency)^2*Nps*Vfwd1*I248+4*(F248/Efficiency)^2*I248^2)-2*F248/Efficiency*I248-2*F248/Efficiency*Nps*Vfwd1+Isw_max*Nps*I248)/(4*F248/Efficiency*Nps)</f>
        <v>2354.0035683991036</v>
      </c>
      <c r="T248" s="172">
        <f t="shared" ref="T248:T279" si="735">MIN(Vout, S248)</f>
        <v>170</v>
      </c>
      <c r="U248" s="217">
        <f t="shared" ref="U248:U279" si="736">MIN(2*(Vout+Vfwd1+F248/FL248*Rdcr_sec)*F248/(I248*M248), Isw_max)</f>
        <v>11.952873924818999</v>
      </c>
      <c r="V248" s="217">
        <f t="shared" ref="V248:V279" si="737">L*U248/I248*1000000</f>
        <v>0.39000472115169743</v>
      </c>
      <c r="W248" s="217">
        <f t="shared" ref="W248:W279" si="738">L*U248/J248*1000000</f>
        <v>0.70098876893215734</v>
      </c>
      <c r="X248" s="197">
        <f t="shared" ref="X248:X279" si="739">IF(1/((350000*L)*(1/I248+1/J248))&gt;Isw_min, 350, 0.001/((Isw_min*L)*(1/I248+1/J248)))</f>
        <v>350</v>
      </c>
      <c r="Y248" s="443">
        <f t="shared" si="680"/>
        <v>350</v>
      </c>
      <c r="AA248" s="217">
        <f t="shared" ref="AA248:AA279" si="740">1/((X248*1000*L)*(1/I248+1/J248))</f>
        <v>31.302724229821781</v>
      </c>
      <c r="AB248" s="173">
        <f t="shared" ref="AB248:AB279" si="741">L*AA248/J248*1000000</f>
        <v>1.8357809393875844</v>
      </c>
      <c r="AC248" s="173">
        <f t="shared" ref="AC248:AC279" si="742">0.5*AB248*AA248*Nps*X248/1000</f>
        <v>0.50281826430511134</v>
      </c>
      <c r="AD248" s="173"/>
      <c r="AE248" s="173">
        <f t="shared" ref="AE248:AE279" si="743">L*Isw_min/J248*1000000</f>
        <v>0.78194725200675663</v>
      </c>
      <c r="AF248" s="545">
        <f t="shared" ref="AF248:AF279" si="744">MAX(12000,F248/(0.5*AE248/1000000*Isw_min*Nps))/1000</f>
        <v>736.62257719018476</v>
      </c>
      <c r="AG248" s="528">
        <f t="shared" ref="AG248:AG279" si="745">0.5*AE248/1000000*Isw_min*Nps*X248*1000</f>
        <v>9.1227179400788297E-2</v>
      </c>
      <c r="AI248" s="173">
        <f t="shared" ref="AI248:AI279" si="746">SQRT(F248/(0.5*L/J248*Fsw_DCM*Nps))</f>
        <v>19.343151230478792</v>
      </c>
      <c r="AJ248" s="173">
        <f t="shared" ref="AJ248:AJ279" si="747">MAX(IF(F248&gt;AC248,U248,AI248),Isw_min)</f>
        <v>19.343151230478792</v>
      </c>
      <c r="AK248" s="173">
        <f t="shared" ref="AK248:AK279" si="748">IF(F248&gt;AG248, (AJ248-Isw_min)/1.08*0.8+1.2, AF248*0.2/350+1)</f>
        <v>5.6517169608484874</v>
      </c>
      <c r="AM248" s="545">
        <f t="shared" ref="AM248:AM279" si="749">F248*1000</f>
        <v>192</v>
      </c>
      <c r="AN248" s="460">
        <f t="shared" ref="AN248:AN279" si="750">IF(F248&gt;AG248, Y248, AF248)</f>
        <v>350</v>
      </c>
      <c r="AP248">
        <f t="shared" ref="AP248:AP279" si="751">IF(H248&gt;N248, "",AM248)</f>
        <v>192</v>
      </c>
      <c r="AQ248">
        <f t="shared" ref="AQ248:AQ279" si="752">IF(H248&gt;N248, "",AN248)</f>
        <v>350</v>
      </c>
      <c r="AS248" s="5">
        <f t="shared" si="600"/>
        <v>2.8571428571428572</v>
      </c>
      <c r="AT248" s="5">
        <f t="shared" ref="AT248:AT279" si="753">L*AJ248/I248*1000000</f>
        <v>0.63113861564069251</v>
      </c>
      <c r="AU248" s="5">
        <f t="shared" si="722"/>
        <v>2.2260042415021646</v>
      </c>
      <c r="AV248" s="5"/>
      <c r="AW248" s="173">
        <f t="shared" si="723"/>
        <v>0.22089851547424239</v>
      </c>
      <c r="AX248" s="173">
        <f t="shared" si="631"/>
        <v>32.73878120845265</v>
      </c>
      <c r="AY248" s="173">
        <f t="shared" si="632"/>
        <v>0.37675694597680653</v>
      </c>
      <c r="AZ248" s="173">
        <f t="shared" si="633"/>
        <v>86.896290985616162</v>
      </c>
      <c r="BA248" s="460">
        <f t="shared" si="724"/>
        <v>7.128153776647822E-2</v>
      </c>
      <c r="BB248" s="5">
        <f t="shared" si="725"/>
        <v>7.5861887059541946</v>
      </c>
      <c r="BD248" s="173">
        <f t="shared" si="681"/>
        <v>5.2488359407480472</v>
      </c>
      <c r="BE248" s="173">
        <f t="shared" si="682"/>
        <v>0.4928714025369666</v>
      </c>
      <c r="BG248" s="528">
        <f t="shared" si="683"/>
        <v>1.1020111493155376</v>
      </c>
      <c r="BH248" s="528">
        <f t="shared" ref="BH248:BH279" si="754">0.5*K248*AJ248*AN248*1000*Tfall</f>
        <v>3.6329662871268176</v>
      </c>
      <c r="BI248" s="528">
        <f t="shared" ref="BI248:BI279" si="755">Qg*Vdd*AN248*1000*0+Qg*I248*AN248*1000</f>
        <v>0.21453616568192363</v>
      </c>
      <c r="BJ248" s="528">
        <f t="shared" si="684"/>
        <v>3.981669386767589E-2</v>
      </c>
      <c r="BK248">
        <f t="shared" si="685"/>
        <v>6.8958053254904016E-3</v>
      </c>
      <c r="BL248" s="460">
        <f t="shared" si="686"/>
        <v>221.43197100741401</v>
      </c>
      <c r="BM248" s="528">
        <f t="shared" ref="BM248:BM279" si="756">(BH248+BI248*0+BJ248+BK248*0+BG248*(1+RdsonTC*(Ta-25)))/(1-BG248*RdsonTC*ThetaJA)</f>
        <v>6.8715757564720912</v>
      </c>
      <c r="BN248" s="460">
        <f t="shared" si="687"/>
        <v>6871.5757564720916</v>
      </c>
      <c r="BO248" s="528">
        <f t="shared" si="637"/>
        <v>0.13439999999999999</v>
      </c>
      <c r="BR248" s="460">
        <f t="shared" si="688"/>
        <v>134.4</v>
      </c>
      <c r="BS248" s="528">
        <f t="shared" si="689"/>
        <v>0.82650836198665312</v>
      </c>
      <c r="BT248" s="528">
        <f t="shared" si="690"/>
        <v>7.287666583162696E-3</v>
      </c>
      <c r="BU248" s="528">
        <f t="shared" si="691"/>
        <v>188.56373996977143</v>
      </c>
      <c r="BV248" s="528"/>
      <c r="BW248" s="528">
        <f t="shared" si="692"/>
        <v>3.2738781208452656</v>
      </c>
      <c r="BX248" s="460">
        <f t="shared" si="693"/>
        <v>192671.41411918652</v>
      </c>
      <c r="BY248" s="173">
        <f t="shared" si="694"/>
        <v>197.80204022050395</v>
      </c>
      <c r="BZ248" s="5">
        <f t="shared" si="695"/>
        <v>32.64</v>
      </c>
      <c r="CA248" s="173">
        <f t="shared" si="696"/>
        <v>0.1416408219991788</v>
      </c>
      <c r="CB248" s="5">
        <f t="shared" si="697"/>
        <v>14.16408219991788</v>
      </c>
      <c r="CE248" s="562">
        <f t="shared" ref="CE248:CE279" si="757">IF(ABS(F248-Ioutmax_Vinmax)&lt;Iout/200, AN248, -50)</f>
        <v>-50</v>
      </c>
      <c r="CF248">
        <f t="shared" ref="CF248:CF279" si="758">IF(ABS(F248-Ioutmax_Vinmin)&lt;Iout/200, N248*CA248, -50)</f>
        <v>-50</v>
      </c>
      <c r="CG248" s="173">
        <f t="shared" ref="CG248:CG279" si="759">MIN(SQRT(2*DU248*1000*Ls1_*CL248)/CU248,1-EA248-0.00000005*DU248*1000)</f>
        <v>0.39764009739816669</v>
      </c>
      <c r="CI248" s="170">
        <v>32</v>
      </c>
      <c r="CJ248" s="217">
        <f t="shared" si="698"/>
        <v>0.192</v>
      </c>
      <c r="CK248" s="217"/>
      <c r="CL248" s="217">
        <f t="shared" si="641"/>
        <v>32.64</v>
      </c>
      <c r="CM248" s="541">
        <f t="shared" si="642"/>
        <v>16</v>
      </c>
      <c r="CN248" s="443">
        <f t="shared" si="643"/>
        <v>8.5250000000000004</v>
      </c>
      <c r="CO248" s="443">
        <f t="shared" si="644"/>
        <v>24.524999999999999</v>
      </c>
      <c r="CP248" s="443"/>
      <c r="CQ248" s="217">
        <f t="shared" si="645"/>
        <v>0.34760448521916415</v>
      </c>
      <c r="CR248" s="172">
        <f t="shared" si="646"/>
        <v>188.05866123003739</v>
      </c>
      <c r="CS248" s="172">
        <f t="shared" si="647"/>
        <v>32.64</v>
      </c>
      <c r="CT248" s="217">
        <f t="shared" si="648"/>
        <v>1.1062274190002199</v>
      </c>
      <c r="CU248" s="217">
        <f t="shared" si="649"/>
        <v>170</v>
      </c>
      <c r="CV248" s="217"/>
      <c r="CW248" s="172">
        <f t="shared" si="650"/>
        <v>2457.8428622712622</v>
      </c>
      <c r="CX248" s="172">
        <f t="shared" si="651"/>
        <v>170</v>
      </c>
      <c r="CY248" s="217">
        <f t="shared" si="652"/>
        <v>11.737478005865102</v>
      </c>
      <c r="CZ248" s="217">
        <f t="shared" si="653"/>
        <v>0.36679618768328437</v>
      </c>
      <c r="DA248" s="217">
        <f t="shared" si="654"/>
        <v>0.68841513230880358</v>
      </c>
      <c r="DB248" s="197">
        <f t="shared" si="655"/>
        <v>350</v>
      </c>
      <c r="DC248" s="443">
        <f t="shared" si="656"/>
        <v>350</v>
      </c>
      <c r="DE248" s="217">
        <f t="shared" si="657"/>
        <v>31.780981505752148</v>
      </c>
      <c r="DF248" s="173">
        <f t="shared" si="658"/>
        <v>1.8639871850881022</v>
      </c>
      <c r="DG248" s="173">
        <f t="shared" si="659"/>
        <v>0.51834424474213492</v>
      </c>
      <c r="DH248" s="173"/>
      <c r="DI248" s="173">
        <f t="shared" si="660"/>
        <v>0.78201368523949166</v>
      </c>
      <c r="DJ248" s="545">
        <f t="shared" si="661"/>
        <v>736.56</v>
      </c>
      <c r="DK248" s="528">
        <f t="shared" si="662"/>
        <v>9.1234929944607357E-2</v>
      </c>
      <c r="DM248" s="173">
        <f t="shared" si="663"/>
        <v>19.342329598208028</v>
      </c>
      <c r="DN248" s="173">
        <f t="shared" si="664"/>
        <v>19.342329598208028</v>
      </c>
      <c r="DO248" s="173">
        <f t="shared" si="665"/>
        <v>5.6511083443516252</v>
      </c>
      <c r="DQ248" s="545">
        <f t="shared" si="666"/>
        <v>192</v>
      </c>
      <c r="DR248" s="460">
        <f t="shared" si="667"/>
        <v>350</v>
      </c>
      <c r="DT248">
        <f t="shared" si="668"/>
        <v>192</v>
      </c>
      <c r="DU248">
        <f t="shared" si="669"/>
        <v>350</v>
      </c>
      <c r="DW248" s="5">
        <f t="shared" si="670"/>
        <v>2.8571428571428572</v>
      </c>
      <c r="DX248" s="5">
        <f t="shared" si="671"/>
        <v>0.60444779994400089</v>
      </c>
      <c r="DY248" s="5">
        <f t="shared" si="672"/>
        <v>2.2526950571988564</v>
      </c>
      <c r="DZ248" s="5"/>
      <c r="EA248" s="173">
        <f t="shared" si="673"/>
        <v>0.21155672998040032</v>
      </c>
      <c r="EB248" s="173">
        <f t="shared" si="699"/>
        <v>32.736000000000011</v>
      </c>
      <c r="EC248" s="173">
        <f t="shared" si="700"/>
        <v>0.38125823995520075</v>
      </c>
      <c r="ED248" s="173">
        <f t="shared" si="701"/>
        <v>85.863062274658276</v>
      </c>
      <c r="EE248" s="460">
        <f t="shared" si="674"/>
        <v>6.8267045640734214E-2</v>
      </c>
      <c r="EF248" s="5">
        <f t="shared" si="675"/>
        <v>7.352796666697067</v>
      </c>
      <c r="EH248" s="173">
        <f t="shared" si="702"/>
        <v>5.1364323778237129</v>
      </c>
      <c r="EI248" s="173">
        <f t="shared" si="703"/>
        <v>0.49579641451057238</v>
      </c>
      <c r="EK248" s="528">
        <f t="shared" si="704"/>
        <v>1.0553175028782305</v>
      </c>
      <c r="EL248" s="528">
        <f t="shared" si="705"/>
        <v>4.5658173464369991</v>
      </c>
      <c r="EM248" s="528">
        <f t="shared" si="706"/>
        <v>6.9999999999999993E-2</v>
      </c>
      <c r="EN248" s="528">
        <f t="shared" si="707"/>
        <v>4.2103293749999993E-2</v>
      </c>
      <c r="EO248">
        <f t="shared" si="708"/>
        <v>7.1999999999999998E-3</v>
      </c>
      <c r="EP248" s="460">
        <f t="shared" si="709"/>
        <v>77.199999999999989</v>
      </c>
      <c r="EQ248" s="460"/>
      <c r="ER248" s="460">
        <f t="shared" si="710"/>
        <v>5740.4381430652302</v>
      </c>
      <c r="ES248" s="528">
        <f t="shared" si="711"/>
        <v>0.13439999999999999</v>
      </c>
      <c r="EV248" s="460">
        <f t="shared" si="712"/>
        <v>134.4</v>
      </c>
      <c r="EW248" s="528">
        <f t="shared" si="713"/>
        <v>0.79148812715867278</v>
      </c>
      <c r="EX248" s="528">
        <f t="shared" si="714"/>
        <v>7.3744225392461792E-3</v>
      </c>
      <c r="EY248" s="528">
        <f t="shared" si="715"/>
        <v>188.54371671756678</v>
      </c>
      <c r="EZ248" s="528"/>
      <c r="FA248" s="528">
        <f t="shared" si="716"/>
        <v>3.273600000000001</v>
      </c>
      <c r="FB248" s="460">
        <f t="shared" si="717"/>
        <v>192616.1792672647</v>
      </c>
      <c r="FC248" s="173">
        <f t="shared" si="718"/>
        <v>198.49101741032993</v>
      </c>
      <c r="FD248" s="5">
        <f t="shared" si="719"/>
        <v>32.64</v>
      </c>
      <c r="FE248" s="173">
        <f t="shared" si="720"/>
        <v>0.14121860564501293</v>
      </c>
      <c r="FF248" s="5">
        <f t="shared" si="721"/>
        <v>14.121860564501294</v>
      </c>
      <c r="FI248" s="562">
        <f t="shared" si="676"/>
        <v>-50</v>
      </c>
      <c r="FJ248">
        <f t="shared" si="677"/>
        <v>-50</v>
      </c>
      <c r="FL248">
        <f t="shared" ref="FL248:FL279" si="760">MIN(SQRT(2*L*DR248*1000*CJ248*(CX248+Vfwd1))/(Nps*(CX248+Vfwd1)), 1-EA248)</f>
        <v>0.39705661931805331</v>
      </c>
    </row>
    <row r="249" spans="5:168">
      <c r="E249" s="170">
        <v>33</v>
      </c>
      <c r="F249" s="217">
        <f t="shared" ref="F249:F280" si="761">IF(PLOT_TYPE=1, E249/100*Iout_max, min_I*EXP(N249*rr/100))</f>
        <v>0.19800000000000001</v>
      </c>
      <c r="G249" s="217"/>
      <c r="H249" s="217">
        <f t="shared" si="726"/>
        <v>33.660000000000004</v>
      </c>
      <c r="I249" s="541">
        <f t="shared" si="727"/>
        <v>15.313530772721748</v>
      </c>
      <c r="J249" s="172">
        <f t="shared" si="728"/>
        <v>8.5257355027435135</v>
      </c>
      <c r="K249" s="172">
        <f t="shared" si="729"/>
        <v>23.839266275465263</v>
      </c>
      <c r="L249" s="443"/>
      <c r="M249" s="217">
        <f t="shared" si="730"/>
        <v>0.3576341695467638</v>
      </c>
      <c r="N249" s="172">
        <f t="shared" si="731"/>
        <v>185.18351678418944</v>
      </c>
      <c r="O249" s="172">
        <f t="shared" si="599"/>
        <v>33.660000000000004</v>
      </c>
      <c r="P249" s="217">
        <f t="shared" si="732"/>
        <v>1.0893148046128791</v>
      </c>
      <c r="Q249" s="217">
        <f t="shared" si="733"/>
        <v>170</v>
      </c>
      <c r="R249" s="217"/>
      <c r="S249" s="172">
        <f t="shared" si="734"/>
        <v>2271.8322594171486</v>
      </c>
      <c r="T249" s="172">
        <f t="shared" si="735"/>
        <v>170</v>
      </c>
      <c r="U249" s="217">
        <f t="shared" si="736"/>
        <v>12.329422930873923</v>
      </c>
      <c r="V249" s="217">
        <f t="shared" si="737"/>
        <v>0.40256630276397565</v>
      </c>
      <c r="W249" s="217">
        <f t="shared" si="738"/>
        <v>0.72307092607473067</v>
      </c>
      <c r="X249" s="197">
        <f t="shared" si="739"/>
        <v>350</v>
      </c>
      <c r="Y249" s="443">
        <f t="shared" si="680"/>
        <v>350</v>
      </c>
      <c r="AA249" s="217">
        <f t="shared" si="740"/>
        <v>31.295093798543405</v>
      </c>
      <c r="AB249" s="173">
        <f t="shared" si="741"/>
        <v>1.8353310273625598</v>
      </c>
      <c r="AC249" s="173">
        <f t="shared" si="742"/>
        <v>0.50257249571102303</v>
      </c>
      <c r="AD249" s="173"/>
      <c r="AE249" s="173">
        <f t="shared" si="743"/>
        <v>0.7819462220615907</v>
      </c>
      <c r="AF249" s="545">
        <f t="shared" si="744"/>
        <v>759.64303329444704</v>
      </c>
      <c r="AG249" s="528">
        <f t="shared" si="745"/>
        <v>9.122705924051891E-2</v>
      </c>
      <c r="AI249" s="173">
        <f t="shared" si="746"/>
        <v>19.643075869371319</v>
      </c>
      <c r="AJ249" s="173">
        <f t="shared" si="747"/>
        <v>19.643075869371319</v>
      </c>
      <c r="AK249" s="173">
        <f t="shared" si="748"/>
        <v>5.8738833600281382</v>
      </c>
      <c r="AM249" s="545">
        <f t="shared" si="749"/>
        <v>198</v>
      </c>
      <c r="AN249" s="460">
        <f t="shared" si="750"/>
        <v>350</v>
      </c>
      <c r="AP249">
        <f t="shared" si="751"/>
        <v>198</v>
      </c>
      <c r="AQ249">
        <f t="shared" si="752"/>
        <v>350</v>
      </c>
      <c r="AS249" s="5">
        <f t="shared" si="600"/>
        <v>2.8571428571428572</v>
      </c>
      <c r="AT249" s="5">
        <f t="shared" si="753"/>
        <v>0.64136338513002711</v>
      </c>
      <c r="AU249" s="5">
        <f t="shared" si="722"/>
        <v>2.2157794720128301</v>
      </c>
      <c r="AV249" s="5"/>
      <c r="AW249" s="173">
        <f t="shared" si="723"/>
        <v>0.22447718479550949</v>
      </c>
      <c r="AX249" s="173">
        <f t="shared" si="631"/>
        <v>33.761912590864306</v>
      </c>
      <c r="AY249" s="173">
        <f t="shared" si="632"/>
        <v>0.38084133743725601</v>
      </c>
      <c r="AZ249" s="173">
        <f t="shared" si="633"/>
        <v>88.650861322076452</v>
      </c>
      <c r="BA249" s="460">
        <f t="shared" si="724"/>
        <v>7.4699970738673738E-2</v>
      </c>
      <c r="BB249" s="5">
        <f t="shared" si="725"/>
        <v>7.7926521986224699</v>
      </c>
      <c r="BD249" s="173">
        <f t="shared" si="681"/>
        <v>5.373224301756605</v>
      </c>
      <c r="BE249" s="173">
        <f t="shared" si="682"/>
        <v>0.49936277012050945</v>
      </c>
      <c r="BG249" s="528">
        <f t="shared" si="683"/>
        <v>1.1548615758795102</v>
      </c>
      <c r="BH249" s="528">
        <f t="shared" si="754"/>
        <v>3.6876775644379842</v>
      </c>
      <c r="BI249" s="528">
        <f t="shared" si="755"/>
        <v>0.21438943081810449</v>
      </c>
      <c r="BJ249" s="528">
        <f t="shared" si="684"/>
        <v>3.9781743158677475E-2</v>
      </c>
      <c r="BK249">
        <f t="shared" si="685"/>
        <v>6.8910888477247863E-3</v>
      </c>
      <c r="BL249" s="460">
        <f t="shared" si="686"/>
        <v>221.2805196658293</v>
      </c>
      <c r="BM249" s="528">
        <f t="shared" si="756"/>
        <v>7.1583496522940582</v>
      </c>
      <c r="BN249" s="460">
        <f t="shared" si="687"/>
        <v>7158.3496522940586</v>
      </c>
      <c r="BO249" s="528">
        <f t="shared" si="637"/>
        <v>0.1386</v>
      </c>
      <c r="BR249" s="460">
        <f t="shared" si="688"/>
        <v>138.6</v>
      </c>
      <c r="BS249" s="528">
        <f t="shared" si="689"/>
        <v>0.86614618190963266</v>
      </c>
      <c r="BT249" s="528">
        <f t="shared" si="690"/>
        <v>7.4808952854728628E-3</v>
      </c>
      <c r="BU249" s="528">
        <f t="shared" si="691"/>
        <v>195.95838447583085</v>
      </c>
      <c r="BV249" s="528"/>
      <c r="BW249" s="528">
        <f t="shared" si="692"/>
        <v>3.3761912590864314</v>
      </c>
      <c r="BX249" s="460">
        <f t="shared" si="693"/>
        <v>200208.20281211237</v>
      </c>
      <c r="BY249" s="173">
        <f t="shared" si="694"/>
        <v>205.45040421525439</v>
      </c>
      <c r="BZ249" s="5">
        <f t="shared" si="695"/>
        <v>33.660000000000004</v>
      </c>
      <c r="CA249" s="173">
        <f t="shared" si="696"/>
        <v>0.14077179163520739</v>
      </c>
      <c r="CB249" s="5">
        <f t="shared" si="697"/>
        <v>14.077179163520739</v>
      </c>
      <c r="CE249" s="562">
        <f t="shared" si="757"/>
        <v>-50</v>
      </c>
      <c r="CF249">
        <f t="shared" si="758"/>
        <v>-50</v>
      </c>
      <c r="CG249" s="173">
        <f t="shared" si="759"/>
        <v>0.40380542781073631</v>
      </c>
      <c r="CI249" s="170">
        <v>33</v>
      </c>
      <c r="CJ249" s="217">
        <f t="shared" si="698"/>
        <v>0.19800000000000001</v>
      </c>
      <c r="CK249" s="217"/>
      <c r="CL249" s="217">
        <f t="shared" si="641"/>
        <v>33.660000000000004</v>
      </c>
      <c r="CM249" s="541">
        <f t="shared" si="642"/>
        <v>16</v>
      </c>
      <c r="CN249" s="443">
        <f t="shared" si="643"/>
        <v>8.5250000000000004</v>
      </c>
      <c r="CO249" s="443">
        <f t="shared" si="644"/>
        <v>24.524999999999999</v>
      </c>
      <c r="CP249" s="443"/>
      <c r="CQ249" s="217">
        <f t="shared" si="645"/>
        <v>0.34760448521916415</v>
      </c>
      <c r="CR249" s="172">
        <f t="shared" si="646"/>
        <v>188.05866123003739</v>
      </c>
      <c r="CS249" s="172">
        <f t="shared" si="647"/>
        <v>33.660000000000004</v>
      </c>
      <c r="CT249" s="217">
        <f t="shared" si="648"/>
        <v>1.1062274190002199</v>
      </c>
      <c r="CU249" s="217">
        <f t="shared" si="649"/>
        <v>170</v>
      </c>
      <c r="CV249" s="217"/>
      <c r="CW249" s="172">
        <f t="shared" si="650"/>
        <v>2373.6700855730387</v>
      </c>
      <c r="CX249" s="172">
        <f t="shared" si="651"/>
        <v>170</v>
      </c>
      <c r="CY249" s="217">
        <f t="shared" si="652"/>
        <v>12.104274193548388</v>
      </c>
      <c r="CZ249" s="217">
        <f t="shared" si="653"/>
        <v>0.37825856854838713</v>
      </c>
      <c r="DA249" s="217">
        <f t="shared" si="654"/>
        <v>0.70992810519345384</v>
      </c>
      <c r="DB249" s="197">
        <f t="shared" si="655"/>
        <v>350</v>
      </c>
      <c r="DC249" s="443">
        <f t="shared" si="656"/>
        <v>350</v>
      </c>
      <c r="DE249" s="217">
        <f t="shared" si="657"/>
        <v>31.780981505752148</v>
      </c>
      <c r="DF249" s="173">
        <f t="shared" si="658"/>
        <v>1.8639871850881022</v>
      </c>
      <c r="DG249" s="173">
        <f t="shared" si="659"/>
        <v>0.51834424474213492</v>
      </c>
      <c r="DH249" s="173"/>
      <c r="DI249" s="173">
        <f t="shared" si="660"/>
        <v>0.78201368523949166</v>
      </c>
      <c r="DJ249" s="545">
        <f t="shared" si="661"/>
        <v>759.57749999999999</v>
      </c>
      <c r="DK249" s="528">
        <f t="shared" si="662"/>
        <v>9.1234929944607357E-2</v>
      </c>
      <c r="DM249" s="173">
        <f t="shared" si="663"/>
        <v>19.642228561371105</v>
      </c>
      <c r="DN249" s="173">
        <f t="shared" si="664"/>
        <v>19.642228561371105</v>
      </c>
      <c r="DO249" s="173">
        <f t="shared" si="665"/>
        <v>5.8732557244724228</v>
      </c>
      <c r="DQ249" s="545">
        <f t="shared" si="666"/>
        <v>198</v>
      </c>
      <c r="DR249" s="460">
        <f t="shared" si="667"/>
        <v>350</v>
      </c>
      <c r="DT249">
        <f t="shared" si="668"/>
        <v>198</v>
      </c>
      <c r="DU249">
        <f t="shared" si="669"/>
        <v>350</v>
      </c>
      <c r="DW249" s="5">
        <f t="shared" si="670"/>
        <v>2.8571428571428572</v>
      </c>
      <c r="DX249" s="5">
        <f t="shared" si="671"/>
        <v>0.61381964254284704</v>
      </c>
      <c r="DY249" s="5">
        <f t="shared" si="672"/>
        <v>2.2433232146000099</v>
      </c>
      <c r="DZ249" s="5"/>
      <c r="EA249" s="173">
        <f t="shared" si="673"/>
        <v>0.21483687488999645</v>
      </c>
      <c r="EB249" s="173">
        <f t="shared" si="699"/>
        <v>33.758999999999993</v>
      </c>
      <c r="EC249" s="173">
        <f t="shared" si="700"/>
        <v>0.38555883903427768</v>
      </c>
      <c r="ED249" s="173">
        <f t="shared" si="701"/>
        <v>87.558620325129382</v>
      </c>
      <c r="EE249" s="460">
        <f t="shared" si="674"/>
        <v>7.1491934837343368E-2</v>
      </c>
      <c r="EF249" s="5">
        <f t="shared" si="675"/>
        <v>7.5510259403436333</v>
      </c>
      <c r="EH249" s="173">
        <f t="shared" si="702"/>
        <v>5.2563532748606825</v>
      </c>
      <c r="EI249" s="173">
        <f t="shared" si="703"/>
        <v>0.50243523098896947</v>
      </c>
      <c r="EK249" s="528">
        <f t="shared" si="704"/>
        <v>1.1051699900055449</v>
      </c>
      <c r="EL249" s="528">
        <f t="shared" si="705"/>
        <v>4.6366094338759032</v>
      </c>
      <c r="EM249" s="528">
        <f t="shared" si="706"/>
        <v>6.9999999999999993E-2</v>
      </c>
      <c r="EN249" s="528">
        <f t="shared" si="707"/>
        <v>4.2103293749999993E-2</v>
      </c>
      <c r="EO249">
        <f t="shared" si="708"/>
        <v>7.1999999999999998E-3</v>
      </c>
      <c r="EP249" s="460">
        <f t="shared" si="709"/>
        <v>77.199999999999989</v>
      </c>
      <c r="EQ249" s="460"/>
      <c r="ER249" s="460">
        <f t="shared" si="710"/>
        <v>5861.0827176314488</v>
      </c>
      <c r="ES249" s="528">
        <f t="shared" si="711"/>
        <v>0.1386</v>
      </c>
      <c r="EV249" s="460">
        <f t="shared" si="712"/>
        <v>138.6</v>
      </c>
      <c r="EW249" s="528">
        <f t="shared" si="713"/>
        <v>0.82887749250415865</v>
      </c>
      <c r="EX249" s="528">
        <f t="shared" si="714"/>
        <v>7.5732348401681736E-3</v>
      </c>
      <c r="EY249" s="528">
        <f t="shared" si="715"/>
        <v>195.93725339935327</v>
      </c>
      <c r="EZ249" s="528"/>
      <c r="FA249" s="528">
        <f t="shared" si="716"/>
        <v>3.3758999999999997</v>
      </c>
      <c r="FB249" s="460">
        <f t="shared" si="717"/>
        <v>200149.60412669761</v>
      </c>
      <c r="FC249" s="173">
        <f t="shared" si="718"/>
        <v>206.14928684432905</v>
      </c>
      <c r="FD249" s="5">
        <f t="shared" si="719"/>
        <v>33.660000000000004</v>
      </c>
      <c r="FE249" s="173">
        <f t="shared" si="720"/>
        <v>0.14036153663160766</v>
      </c>
      <c r="FF249" s="5">
        <f t="shared" si="721"/>
        <v>14.036153663160766</v>
      </c>
      <c r="FI249" s="562">
        <f t="shared" si="676"/>
        <v>-50</v>
      </c>
      <c r="FJ249">
        <f t="shared" si="677"/>
        <v>-50</v>
      </c>
      <c r="FL249">
        <f t="shared" si="760"/>
        <v>0.4032129030193482</v>
      </c>
    </row>
    <row r="250" spans="5:168">
      <c r="E250" s="170">
        <v>34</v>
      </c>
      <c r="F250" s="217">
        <f t="shared" si="761"/>
        <v>0.20400000000000001</v>
      </c>
      <c r="G250" s="217"/>
      <c r="H250" s="217">
        <f t="shared" si="726"/>
        <v>34.68</v>
      </c>
      <c r="I250" s="541">
        <f t="shared" si="727"/>
        <v>15.303207347914746</v>
      </c>
      <c r="J250" s="172">
        <f t="shared" si="728"/>
        <v>8.5257465635558063</v>
      </c>
      <c r="K250" s="172">
        <f t="shared" si="729"/>
        <v>23.828953911470553</v>
      </c>
      <c r="L250" s="443"/>
      <c r="M250" s="217">
        <f t="shared" si="730"/>
        <v>0.35778940610603649</v>
      </c>
      <c r="N250" s="172">
        <f t="shared" si="731"/>
        <v>185.1390051758251</v>
      </c>
      <c r="O250" s="172">
        <f t="shared" si="599"/>
        <v>34.68</v>
      </c>
      <c r="P250" s="217">
        <f t="shared" si="732"/>
        <v>1.0890529716225006</v>
      </c>
      <c r="Q250" s="217">
        <f t="shared" si="733"/>
        <v>170</v>
      </c>
      <c r="R250" s="217"/>
      <c r="S250" s="172">
        <f t="shared" si="734"/>
        <v>2194.5296470412154</v>
      </c>
      <c r="T250" s="172">
        <f t="shared" si="735"/>
        <v>170</v>
      </c>
      <c r="U250" s="217">
        <f t="shared" si="736"/>
        <v>12.706112414812196</v>
      </c>
      <c r="V250" s="217">
        <f t="shared" si="737"/>
        <v>0.41514540468353395</v>
      </c>
      <c r="W250" s="217">
        <f t="shared" si="738"/>
        <v>0.74516127825836376</v>
      </c>
      <c r="X250" s="197">
        <f t="shared" si="739"/>
        <v>350</v>
      </c>
      <c r="Y250" s="443">
        <f t="shared" si="680"/>
        <v>350</v>
      </c>
      <c r="AA250" s="217">
        <f t="shared" si="740"/>
        <v>31.28757152030704</v>
      </c>
      <c r="AB250" s="173">
        <f t="shared" si="741"/>
        <v>1.8348874956035541</v>
      </c>
      <c r="AC250" s="173">
        <f t="shared" si="742"/>
        <v>0.5023302703161161</v>
      </c>
      <c r="AD250" s="173"/>
      <c r="AE250" s="173">
        <f t="shared" si="743"/>
        <v>0.78194520760962205</v>
      </c>
      <c r="AF250" s="545">
        <f t="shared" si="744"/>
        <v>782.66353453442298</v>
      </c>
      <c r="AG250" s="528">
        <f t="shared" si="745"/>
        <v>9.1226940887789251E-2</v>
      </c>
      <c r="AI250" s="173">
        <f t="shared" si="746"/>
        <v>19.938489978447699</v>
      </c>
      <c r="AJ250" s="173">
        <f t="shared" si="747"/>
        <v>19.938489978447699</v>
      </c>
      <c r="AK250" s="173">
        <f t="shared" si="748"/>
        <v>6.0927086260106407</v>
      </c>
      <c r="AM250" s="545">
        <f t="shared" si="749"/>
        <v>204.00000000000003</v>
      </c>
      <c r="AN250" s="460">
        <f t="shared" si="750"/>
        <v>350</v>
      </c>
      <c r="AP250">
        <f t="shared" si="751"/>
        <v>204.00000000000003</v>
      </c>
      <c r="AQ250">
        <f t="shared" si="752"/>
        <v>350</v>
      </c>
      <c r="AS250" s="5">
        <f t="shared" si="600"/>
        <v>2.8571428571428572</v>
      </c>
      <c r="AT250" s="5">
        <f t="shared" si="753"/>
        <v>0.65144807637872615</v>
      </c>
      <c r="AU250" s="5">
        <f t="shared" si="722"/>
        <v>2.2056947807641309</v>
      </c>
      <c r="AV250" s="5"/>
      <c r="AW250" s="173">
        <f t="shared" si="723"/>
        <v>0.22800682673255415</v>
      </c>
      <c r="AX250" s="173">
        <f t="shared" si="631"/>
        <v>34.785045979307689</v>
      </c>
      <c r="AY250" s="173">
        <f t="shared" si="632"/>
        <v>0.38480945371557523</v>
      </c>
      <c r="AZ250" s="173">
        <f t="shared" si="633"/>
        <v>90.395507811558105</v>
      </c>
      <c r="BA250" s="460">
        <f t="shared" si="724"/>
        <v>7.8173769165447146E-2</v>
      </c>
      <c r="BB250" s="5">
        <f t="shared" si="725"/>
        <v>7.9976431876365597</v>
      </c>
      <c r="BD250" s="173">
        <f t="shared" si="681"/>
        <v>5.4967446475122026</v>
      </c>
      <c r="BE250" s="173">
        <f t="shared" si="682"/>
        <v>0.50571795289864652</v>
      </c>
      <c r="BG250" s="528">
        <f t="shared" si="683"/>
        <v>1.2085680687981619</v>
      </c>
      <c r="BH250" s="528">
        <f t="shared" si="754"/>
        <v>3.7415177002408879</v>
      </c>
      <c r="BI250" s="528">
        <f t="shared" si="755"/>
        <v>0.21424490287080647</v>
      </c>
      <c r="BJ250" s="528">
        <f t="shared" si="684"/>
        <v>3.9747333116049138E-2</v>
      </c>
      <c r="BK250">
        <f t="shared" si="685"/>
        <v>6.8864433065616354E-3</v>
      </c>
      <c r="BL250" s="460">
        <f t="shared" si="686"/>
        <v>221.1313461773681</v>
      </c>
      <c r="BM250" s="528">
        <f t="shared" si="756"/>
        <v>7.4576552358369943</v>
      </c>
      <c r="BN250" s="460">
        <f t="shared" si="687"/>
        <v>7457.6552358369945</v>
      </c>
      <c r="BO250" s="528">
        <f t="shared" si="637"/>
        <v>0.14280000000000001</v>
      </c>
      <c r="BR250" s="460">
        <f t="shared" si="688"/>
        <v>142.80000000000001</v>
      </c>
      <c r="BS250" s="528">
        <f t="shared" si="689"/>
        <v>0.90642605159862144</v>
      </c>
      <c r="BT250" s="528">
        <f t="shared" si="690"/>
        <v>7.6725194365199296E-3</v>
      </c>
      <c r="BU250" s="528">
        <f t="shared" si="691"/>
        <v>203.4092863546355</v>
      </c>
      <c r="BV250" s="528"/>
      <c r="BW250" s="528">
        <f t="shared" si="692"/>
        <v>3.4785045979307689</v>
      </c>
      <c r="BX250" s="460">
        <f t="shared" si="693"/>
        <v>207801.88952360139</v>
      </c>
      <c r="BY250" s="173">
        <f t="shared" si="694"/>
        <v>213.15565397193387</v>
      </c>
      <c r="BZ250" s="5">
        <f t="shared" si="695"/>
        <v>34.68</v>
      </c>
      <c r="CA250" s="173">
        <f t="shared" si="696"/>
        <v>0.13993144022743126</v>
      </c>
      <c r="CB250" s="5">
        <f t="shared" si="697"/>
        <v>13.993144022743126</v>
      </c>
      <c r="CE250" s="562">
        <f t="shared" si="757"/>
        <v>-50</v>
      </c>
      <c r="CF250">
        <f t="shared" si="758"/>
        <v>-50</v>
      </c>
      <c r="CG250" s="173">
        <f t="shared" si="759"/>
        <v>0.40987803063838391</v>
      </c>
      <c r="CI250" s="170">
        <v>34</v>
      </c>
      <c r="CJ250" s="217">
        <f t="shared" si="698"/>
        <v>0.20400000000000001</v>
      </c>
      <c r="CK250" s="217"/>
      <c r="CL250" s="217">
        <f t="shared" si="641"/>
        <v>34.68</v>
      </c>
      <c r="CM250" s="541">
        <f t="shared" si="642"/>
        <v>16</v>
      </c>
      <c r="CN250" s="443">
        <f t="shared" si="643"/>
        <v>8.5250000000000004</v>
      </c>
      <c r="CO250" s="443">
        <f t="shared" si="644"/>
        <v>24.524999999999999</v>
      </c>
      <c r="CP250" s="443"/>
      <c r="CQ250" s="217">
        <f t="shared" si="645"/>
        <v>0.34760448521916415</v>
      </c>
      <c r="CR250" s="172">
        <f t="shared" si="646"/>
        <v>188.05866123003739</v>
      </c>
      <c r="CS250" s="172">
        <f t="shared" si="647"/>
        <v>34.68</v>
      </c>
      <c r="CT250" s="217">
        <f t="shared" si="648"/>
        <v>1.1062274190002199</v>
      </c>
      <c r="CU250" s="217">
        <f t="shared" si="649"/>
        <v>170</v>
      </c>
      <c r="CV250" s="217"/>
      <c r="CW250" s="172">
        <f t="shared" si="650"/>
        <v>2294.4488032981917</v>
      </c>
      <c r="CX250" s="172">
        <f t="shared" si="651"/>
        <v>170</v>
      </c>
      <c r="CY250" s="217">
        <f t="shared" si="652"/>
        <v>12.471070381231669</v>
      </c>
      <c r="CZ250" s="217">
        <f t="shared" si="653"/>
        <v>0.38972094941348961</v>
      </c>
      <c r="DA250" s="217">
        <f t="shared" si="654"/>
        <v>0.73144107807810366</v>
      </c>
      <c r="DB250" s="197">
        <f t="shared" si="655"/>
        <v>350</v>
      </c>
      <c r="DC250" s="443">
        <f t="shared" si="656"/>
        <v>350</v>
      </c>
      <c r="DE250" s="217">
        <f t="shared" si="657"/>
        <v>31.780981505752148</v>
      </c>
      <c r="DF250" s="173">
        <f t="shared" si="658"/>
        <v>1.8639871850881022</v>
      </c>
      <c r="DG250" s="173">
        <f t="shared" si="659"/>
        <v>0.51834424474213492</v>
      </c>
      <c r="DH250" s="173"/>
      <c r="DI250" s="173">
        <f t="shared" si="660"/>
        <v>0.78201368523949166</v>
      </c>
      <c r="DJ250" s="545">
        <f t="shared" si="661"/>
        <v>782.59500000000003</v>
      </c>
      <c r="DK250" s="528">
        <f t="shared" si="662"/>
        <v>9.1234929944607357E-2</v>
      </c>
      <c r="DM250" s="173">
        <f t="shared" si="663"/>
        <v>19.937616994730625</v>
      </c>
      <c r="DN250" s="173">
        <f t="shared" si="664"/>
        <v>19.937616994730625</v>
      </c>
      <c r="DO250" s="173">
        <f t="shared" si="665"/>
        <v>6.0920619714054007</v>
      </c>
      <c r="DQ250" s="545">
        <f t="shared" si="666"/>
        <v>204.00000000000003</v>
      </c>
      <c r="DR250" s="460">
        <f t="shared" si="667"/>
        <v>350</v>
      </c>
      <c r="DT250">
        <f t="shared" si="668"/>
        <v>204.00000000000003</v>
      </c>
      <c r="DU250">
        <f t="shared" si="669"/>
        <v>350</v>
      </c>
      <c r="DW250" s="5">
        <f t="shared" si="670"/>
        <v>2.8571428571428572</v>
      </c>
      <c r="DX250" s="5">
        <f t="shared" si="671"/>
        <v>0.62305053108533204</v>
      </c>
      <c r="DY250" s="5">
        <f t="shared" si="672"/>
        <v>2.2340923260575254</v>
      </c>
      <c r="DZ250" s="5"/>
      <c r="EA250" s="173">
        <f t="shared" si="673"/>
        <v>0.21806768587986622</v>
      </c>
      <c r="EB250" s="173">
        <f t="shared" si="699"/>
        <v>34.782000000000004</v>
      </c>
      <c r="EC250" s="173">
        <f t="shared" si="700"/>
        <v>0.38974667486826564</v>
      </c>
      <c r="ED250" s="173">
        <f t="shared" si="701"/>
        <v>89.242583048992827</v>
      </c>
      <c r="EE250" s="460">
        <f t="shared" si="674"/>
        <v>7.4766063730239848E-2</v>
      </c>
      <c r="EF250" s="5">
        <f t="shared" si="675"/>
        <v>7.7478321867674982</v>
      </c>
      <c r="EH250" s="173">
        <f t="shared" si="702"/>
        <v>5.3753689575333672</v>
      </c>
      <c r="EI250" s="173">
        <f t="shared" si="703"/>
        <v>0.50894072767180798</v>
      </c>
      <c r="EK250" s="528">
        <f t="shared" si="704"/>
        <v>1.1557836571845344</v>
      </c>
      <c r="EL250" s="528">
        <f t="shared" si="705"/>
        <v>4.7063367966592722</v>
      </c>
      <c r="EM250" s="528">
        <f t="shared" si="706"/>
        <v>6.9999999999999993E-2</v>
      </c>
      <c r="EN250" s="528">
        <f t="shared" si="707"/>
        <v>4.2103293749999993E-2</v>
      </c>
      <c r="EO250">
        <f t="shared" si="708"/>
        <v>7.1999999999999998E-3</v>
      </c>
      <c r="EP250" s="460">
        <f t="shared" si="709"/>
        <v>77.199999999999989</v>
      </c>
      <c r="EQ250" s="460"/>
      <c r="ER250" s="460">
        <f t="shared" si="710"/>
        <v>5981.4237475938071</v>
      </c>
      <c r="ES250" s="528">
        <f t="shared" si="711"/>
        <v>0.14280000000000001</v>
      </c>
      <c r="EV250" s="460">
        <f t="shared" si="712"/>
        <v>142.80000000000001</v>
      </c>
      <c r="EW250" s="528">
        <f t="shared" si="713"/>
        <v>0.86683774288840076</v>
      </c>
      <c r="EX250" s="528">
        <f t="shared" si="714"/>
        <v>7.7706199284932826E-3</v>
      </c>
      <c r="EY250" s="528">
        <f t="shared" si="715"/>
        <v>203.38702198506664</v>
      </c>
      <c r="EZ250" s="528"/>
      <c r="FA250" s="528">
        <f t="shared" si="716"/>
        <v>3.4782000000000006</v>
      </c>
      <c r="FB250" s="460">
        <f t="shared" si="717"/>
        <v>207739.83034788352</v>
      </c>
      <c r="FC250" s="173">
        <f t="shared" si="718"/>
        <v>213.86405409547731</v>
      </c>
      <c r="FD250" s="5">
        <f t="shared" si="719"/>
        <v>34.68</v>
      </c>
      <c r="FE250" s="173">
        <f t="shared" si="720"/>
        <v>0.13953260771500009</v>
      </c>
      <c r="FF250" s="5">
        <f t="shared" si="721"/>
        <v>13.953260771500009</v>
      </c>
      <c r="FI250" s="562">
        <f t="shared" si="676"/>
        <v>-50</v>
      </c>
      <c r="FJ250">
        <f t="shared" si="677"/>
        <v>-50</v>
      </c>
      <c r="FL250">
        <f t="shared" si="760"/>
        <v>0.4092765951997489</v>
      </c>
    </row>
    <row r="251" spans="5:168">
      <c r="E251" s="170">
        <v>35</v>
      </c>
      <c r="F251" s="217">
        <f t="shared" si="761"/>
        <v>0.21</v>
      </c>
      <c r="G251" s="217"/>
      <c r="H251" s="217">
        <f t="shared" si="726"/>
        <v>35.699999999999996</v>
      </c>
      <c r="I251" s="541">
        <f t="shared" si="727"/>
        <v>15.293034654314654</v>
      </c>
      <c r="J251" s="172">
        <f t="shared" si="728"/>
        <v>8.5257574628703772</v>
      </c>
      <c r="K251" s="172">
        <f t="shared" si="729"/>
        <v>23.818792117185033</v>
      </c>
      <c r="L251" s="443"/>
      <c r="M251" s="217">
        <f t="shared" si="730"/>
        <v>0.35794250756284657</v>
      </c>
      <c r="N251" s="172">
        <f t="shared" si="731"/>
        <v>185.09510545645381</v>
      </c>
      <c r="O251" s="172">
        <f t="shared" si="599"/>
        <v>35.699999999999996</v>
      </c>
      <c r="P251" s="217">
        <f t="shared" si="732"/>
        <v>1.0887947379791401</v>
      </c>
      <c r="Q251" s="217">
        <f t="shared" si="733"/>
        <v>170</v>
      </c>
      <c r="R251" s="217"/>
      <c r="S251" s="172">
        <f t="shared" si="734"/>
        <v>2121.6771880079259</v>
      </c>
      <c r="T251" s="172">
        <f t="shared" si="735"/>
        <v>170</v>
      </c>
      <c r="U251" s="217">
        <f t="shared" si="736"/>
        <v>13.082940544957845</v>
      </c>
      <c r="V251" s="217">
        <f t="shared" si="737"/>
        <v>0.4277418066683949</v>
      </c>
      <c r="W251" s="217">
        <f t="shared" si="738"/>
        <v>0.76725971867801612</v>
      </c>
      <c r="X251" s="197">
        <f t="shared" si="739"/>
        <v>350</v>
      </c>
      <c r="Y251" s="443">
        <f t="shared" si="680"/>
        <v>350</v>
      </c>
      <c r="AA251" s="217">
        <f t="shared" si="740"/>
        <v>31.280152648855566</v>
      </c>
      <c r="AB251" s="173">
        <f t="shared" si="741"/>
        <v>1.8344500641192552</v>
      </c>
      <c r="AC251" s="173">
        <f t="shared" si="742"/>
        <v>0.50209143278309032</v>
      </c>
      <c r="AD251" s="173"/>
      <c r="AE251" s="173">
        <f t="shared" si="743"/>
        <v>0.78194420797213149</v>
      </c>
      <c r="AF251" s="545">
        <f t="shared" si="744"/>
        <v>805.68408024125063</v>
      </c>
      <c r="AG251" s="528">
        <f t="shared" si="745"/>
        <v>9.1226824263415357E-2</v>
      </c>
      <c r="AI251" s="173">
        <f t="shared" si="746"/>
        <v>20.229591153005988</v>
      </c>
      <c r="AJ251" s="173">
        <f t="shared" si="747"/>
        <v>20.229591153005988</v>
      </c>
      <c r="AK251" s="173">
        <f t="shared" si="748"/>
        <v>6.3083391256834469</v>
      </c>
      <c r="AM251" s="545">
        <f t="shared" si="749"/>
        <v>210</v>
      </c>
      <c r="AN251" s="460">
        <f t="shared" si="750"/>
        <v>350</v>
      </c>
      <c r="AP251">
        <f t="shared" si="751"/>
        <v>210</v>
      </c>
      <c r="AQ251">
        <f t="shared" si="752"/>
        <v>350</v>
      </c>
      <c r="AS251" s="5">
        <f t="shared" si="600"/>
        <v>2.8571428571428572</v>
      </c>
      <c r="AT251" s="5">
        <f t="shared" si="753"/>
        <v>0.66139885282018152</v>
      </c>
      <c r="AU251" s="5">
        <f t="shared" si="722"/>
        <v>2.1957440043226759</v>
      </c>
      <c r="AV251" s="5"/>
      <c r="AW251" s="173">
        <f t="shared" si="723"/>
        <v>0.23148959848706352</v>
      </c>
      <c r="AX251" s="173">
        <f t="shared" si="631"/>
        <v>35.808181344055583</v>
      </c>
      <c r="AY251" s="173">
        <f t="shared" si="632"/>
        <v>0.38866628048597951</v>
      </c>
      <c r="AZ251" s="173">
        <f t="shared" si="633"/>
        <v>92.130918327367752</v>
      </c>
      <c r="BA251" s="460">
        <f t="shared" si="724"/>
        <v>8.1702211230728294E-2</v>
      </c>
      <c r="BB251" s="5">
        <f t="shared" si="725"/>
        <v>8.2011778801224366</v>
      </c>
      <c r="BD251" s="173">
        <f t="shared" si="681"/>
        <v>5.6194293971939171</v>
      </c>
      <c r="BE251" s="173">
        <f t="shared" si="682"/>
        <v>0.51194270347344262</v>
      </c>
      <c r="BG251" s="528">
        <f t="shared" si="683"/>
        <v>1.2631194700018877</v>
      </c>
      <c r="BH251" s="528">
        <f t="shared" si="754"/>
        <v>3.7945248570266239</v>
      </c>
      <c r="BI251" s="528">
        <f t="shared" si="755"/>
        <v>0.21410248516040517</v>
      </c>
      <c r="BJ251" s="528">
        <f t="shared" si="684"/>
        <v>3.971344005451731E-2</v>
      </c>
      <c r="BK251">
        <f t="shared" si="685"/>
        <v>6.8818655944415941E-3</v>
      </c>
      <c r="BL251" s="460">
        <f t="shared" si="686"/>
        <v>220.98435075484676</v>
      </c>
      <c r="BM251" s="528">
        <f t="shared" si="756"/>
        <v>7.7704437310936676</v>
      </c>
      <c r="BN251" s="460">
        <f t="shared" si="687"/>
        <v>7770.4437310936673</v>
      </c>
      <c r="BO251" s="528">
        <f t="shared" si="637"/>
        <v>0.14699999999999999</v>
      </c>
      <c r="BR251" s="460">
        <f t="shared" si="688"/>
        <v>147</v>
      </c>
      <c r="BS251" s="528">
        <f t="shared" si="689"/>
        <v>0.94733960250141569</v>
      </c>
      <c r="BT251" s="528">
        <f t="shared" si="690"/>
        <v>7.8625599491909167E-3</v>
      </c>
      <c r="BU251" s="528">
        <f t="shared" si="691"/>
        <v>210.91520006973212</v>
      </c>
      <c r="BV251" s="528"/>
      <c r="BW251" s="528">
        <f t="shared" si="692"/>
        <v>3.5808181344055585</v>
      </c>
      <c r="BX251" s="460">
        <f t="shared" si="693"/>
        <v>215451.22036658827</v>
      </c>
      <c r="BY251" s="173">
        <f t="shared" si="694"/>
        <v>220.91656248442615</v>
      </c>
      <c r="BZ251" s="5">
        <f t="shared" si="695"/>
        <v>35.699999999999996</v>
      </c>
      <c r="CA251" s="173">
        <f t="shared" si="696"/>
        <v>0.13911806648164651</v>
      </c>
      <c r="CB251" s="5">
        <f t="shared" si="697"/>
        <v>13.911806648164651</v>
      </c>
      <c r="CE251" s="562">
        <f t="shared" si="757"/>
        <v>-50</v>
      </c>
      <c r="CF251">
        <f t="shared" si="758"/>
        <v>-50</v>
      </c>
      <c r="CG251" s="173">
        <f t="shared" si="759"/>
        <v>0.41586196805020315</v>
      </c>
      <c r="CI251" s="170">
        <v>35</v>
      </c>
      <c r="CJ251" s="217">
        <f t="shared" si="698"/>
        <v>0.21</v>
      </c>
      <c r="CK251" s="217"/>
      <c r="CL251" s="217">
        <f t="shared" si="641"/>
        <v>35.699999999999996</v>
      </c>
      <c r="CM251" s="541">
        <f t="shared" si="642"/>
        <v>16</v>
      </c>
      <c r="CN251" s="443">
        <f t="shared" si="643"/>
        <v>8.5250000000000004</v>
      </c>
      <c r="CO251" s="443">
        <f t="shared" si="644"/>
        <v>24.524999999999999</v>
      </c>
      <c r="CP251" s="443"/>
      <c r="CQ251" s="217">
        <f t="shared" si="645"/>
        <v>0.34760448521916415</v>
      </c>
      <c r="CR251" s="172">
        <f t="shared" si="646"/>
        <v>188.05866123003739</v>
      </c>
      <c r="CS251" s="172">
        <f t="shared" si="647"/>
        <v>35.699999999999996</v>
      </c>
      <c r="CT251" s="217">
        <f t="shared" si="648"/>
        <v>1.1062274190002199</v>
      </c>
      <c r="CU251" s="217">
        <f t="shared" si="649"/>
        <v>170</v>
      </c>
      <c r="CV251" s="217"/>
      <c r="CW251" s="172">
        <f t="shared" si="650"/>
        <v>2219.7546034898837</v>
      </c>
      <c r="CX251" s="172">
        <f t="shared" si="651"/>
        <v>170</v>
      </c>
      <c r="CY251" s="217">
        <f t="shared" si="652"/>
        <v>12.837866568914952</v>
      </c>
      <c r="CZ251" s="217">
        <f t="shared" si="653"/>
        <v>0.40118333027859227</v>
      </c>
      <c r="DA251" s="217">
        <f t="shared" si="654"/>
        <v>0.7529540509627537</v>
      </c>
      <c r="DB251" s="197">
        <f t="shared" si="655"/>
        <v>350</v>
      </c>
      <c r="DC251" s="443">
        <f t="shared" si="656"/>
        <v>350</v>
      </c>
      <c r="DE251" s="217">
        <f t="shared" si="657"/>
        <v>31.780981505752148</v>
      </c>
      <c r="DF251" s="173">
        <f t="shared" si="658"/>
        <v>1.8639871850881022</v>
      </c>
      <c r="DG251" s="173">
        <f t="shared" si="659"/>
        <v>0.51834424474213492</v>
      </c>
      <c r="DH251" s="173"/>
      <c r="DI251" s="173">
        <f t="shared" si="660"/>
        <v>0.78201368523949166</v>
      </c>
      <c r="DJ251" s="545">
        <f t="shared" si="661"/>
        <v>805.61249999999995</v>
      </c>
      <c r="DK251" s="528">
        <f t="shared" si="662"/>
        <v>9.1234929944607357E-2</v>
      </c>
      <c r="DM251" s="173">
        <f t="shared" si="663"/>
        <v>20.228692493584454</v>
      </c>
      <c r="DN251" s="173">
        <f t="shared" si="664"/>
        <v>20.228692493584454</v>
      </c>
      <c r="DO251" s="173">
        <f t="shared" si="665"/>
        <v>6.307673452037867</v>
      </c>
      <c r="DQ251" s="545">
        <f t="shared" si="666"/>
        <v>210</v>
      </c>
      <c r="DR251" s="460">
        <f t="shared" si="667"/>
        <v>350</v>
      </c>
      <c r="DT251">
        <f t="shared" si="668"/>
        <v>210</v>
      </c>
      <c r="DU251">
        <f t="shared" si="669"/>
        <v>350</v>
      </c>
      <c r="DW251" s="5">
        <f t="shared" si="670"/>
        <v>2.8571428571428572</v>
      </c>
      <c r="DX251" s="5">
        <f t="shared" si="671"/>
        <v>0.63214664042451407</v>
      </c>
      <c r="DY251" s="5">
        <f t="shared" si="672"/>
        <v>2.2249962167183432</v>
      </c>
      <c r="DZ251" s="5"/>
      <c r="EA251" s="173">
        <f t="shared" si="673"/>
        <v>0.22125132414857993</v>
      </c>
      <c r="EB251" s="173">
        <f t="shared" si="699"/>
        <v>35.805000000000007</v>
      </c>
      <c r="EC251" s="173">
        <f t="shared" si="700"/>
        <v>0.39382668733961135</v>
      </c>
      <c r="ED251" s="173">
        <f t="shared" si="701"/>
        <v>90.915626469782708</v>
      </c>
      <c r="EE251" s="460">
        <f t="shared" si="674"/>
        <v>7.8088702640675259E-2</v>
      </c>
      <c r="EF251" s="5">
        <f t="shared" si="675"/>
        <v>7.943236493684485</v>
      </c>
      <c r="EH251" s="173">
        <f t="shared" si="702"/>
        <v>5.493512593401995</v>
      </c>
      <c r="EI251" s="173">
        <f t="shared" si="703"/>
        <v>0.51531863780124842</v>
      </c>
      <c r="EK251" s="528">
        <f t="shared" si="704"/>
        <v>1.2071472245546526</v>
      </c>
      <c r="EL251" s="528">
        <f t="shared" si="705"/>
        <v>4.7750460777746531</v>
      </c>
      <c r="EM251" s="528">
        <f t="shared" si="706"/>
        <v>6.9999999999999993E-2</v>
      </c>
      <c r="EN251" s="528">
        <f t="shared" si="707"/>
        <v>4.2103293749999993E-2</v>
      </c>
      <c r="EO251">
        <f t="shared" si="708"/>
        <v>7.1999999999999998E-3</v>
      </c>
      <c r="EP251" s="460">
        <f t="shared" si="709"/>
        <v>77.199999999999989</v>
      </c>
      <c r="EQ251" s="460"/>
      <c r="ER251" s="460">
        <f t="shared" si="710"/>
        <v>6101.4965960793061</v>
      </c>
      <c r="ES251" s="528">
        <f t="shared" si="711"/>
        <v>0.14699999999999999</v>
      </c>
      <c r="EV251" s="460">
        <f t="shared" si="712"/>
        <v>147</v>
      </c>
      <c r="EW251" s="528">
        <f t="shared" si="713"/>
        <v>0.90536041841598935</v>
      </c>
      <c r="EX251" s="528">
        <f t="shared" si="714"/>
        <v>7.9665989539600274E-3</v>
      </c>
      <c r="EY251" s="528">
        <f t="shared" si="715"/>
        <v>210.89177712765249</v>
      </c>
      <c r="EZ251" s="528"/>
      <c r="FA251" s="528">
        <f t="shared" si="716"/>
        <v>3.5805000000000007</v>
      </c>
      <c r="FB251" s="460">
        <f t="shared" si="717"/>
        <v>215385.60414502243</v>
      </c>
      <c r="FC251" s="173">
        <f t="shared" si="718"/>
        <v>221.63410074110175</v>
      </c>
      <c r="FD251" s="5">
        <f t="shared" si="719"/>
        <v>35.699999999999996</v>
      </c>
      <c r="FE251" s="173">
        <f t="shared" si="720"/>
        <v>0.13873015623342122</v>
      </c>
      <c r="FF251" s="5">
        <f t="shared" si="721"/>
        <v>13.873015623342122</v>
      </c>
      <c r="FI251" s="562">
        <f t="shared" si="676"/>
        <v>-50</v>
      </c>
      <c r="FJ251">
        <f t="shared" si="677"/>
        <v>-50</v>
      </c>
      <c r="FL251">
        <f t="shared" si="760"/>
        <v>0.41525175206771603</v>
      </c>
    </row>
    <row r="252" spans="5:168">
      <c r="E252" s="170">
        <v>36</v>
      </c>
      <c r="F252" s="217">
        <f t="shared" si="761"/>
        <v>0.216</v>
      </c>
      <c r="G252" s="217"/>
      <c r="H252" s="217">
        <f t="shared" si="726"/>
        <v>36.72</v>
      </c>
      <c r="I252" s="541">
        <f t="shared" si="727"/>
        <v>15.283006276178096</v>
      </c>
      <c r="J252" s="172">
        <f t="shared" si="728"/>
        <v>8.5257682075612387</v>
      </c>
      <c r="K252" s="172">
        <f t="shared" si="729"/>
        <v>23.808774483739334</v>
      </c>
      <c r="L252" s="443"/>
      <c r="M252" s="217">
        <f t="shared" si="730"/>
        <v>0.35809356495960171</v>
      </c>
      <c r="N252" s="172">
        <f t="shared" si="731"/>
        <v>185.05179153423961</v>
      </c>
      <c r="O252" s="172">
        <f t="shared" si="599"/>
        <v>36.72</v>
      </c>
      <c r="P252" s="217">
        <f t="shared" si="732"/>
        <v>1.0885399502014095</v>
      </c>
      <c r="Q252" s="217">
        <f t="shared" si="733"/>
        <v>170</v>
      </c>
      <c r="R252" s="217"/>
      <c r="S252" s="172">
        <f t="shared" si="734"/>
        <v>2052.9029250462913</v>
      </c>
      <c r="T252" s="172">
        <f t="shared" si="735"/>
        <v>170</v>
      </c>
      <c r="U252" s="217">
        <f t="shared" si="736"/>
        <v>13.4599055693471</v>
      </c>
      <c r="V252" s="217">
        <f t="shared" si="737"/>
        <v>0.44035529810412044</v>
      </c>
      <c r="W252" s="217">
        <f t="shared" si="738"/>
        <v>0.78936614517680215</v>
      </c>
      <c r="X252" s="197">
        <f t="shared" si="739"/>
        <v>350</v>
      </c>
      <c r="Y252" s="443">
        <f t="shared" si="680"/>
        <v>350</v>
      </c>
      <c r="AA252" s="217">
        <f t="shared" si="740"/>
        <v>31.272832774773516</v>
      </c>
      <c r="AB252" s="173">
        <f t="shared" si="741"/>
        <v>1.8340184727892679</v>
      </c>
      <c r="AC252" s="173">
        <f t="shared" si="742"/>
        <v>0.50185583879711249</v>
      </c>
      <c r="AD252" s="173"/>
      <c r="AE252" s="173">
        <f t="shared" si="743"/>
        <v>0.78194322251855353</v>
      </c>
      <c r="AF252" s="545">
        <f t="shared" si="744"/>
        <v>828.70466977495232</v>
      </c>
      <c r="AG252" s="528">
        <f t="shared" si="745"/>
        <v>9.1226709293831254E-2</v>
      </c>
      <c r="AI252" s="173">
        <f t="shared" si="746"/>
        <v>20.516562969371019</v>
      </c>
      <c r="AJ252" s="173">
        <f t="shared" si="747"/>
        <v>20.516562969371019</v>
      </c>
      <c r="AK252" s="173">
        <f t="shared" si="748"/>
        <v>6.520910841509397</v>
      </c>
      <c r="AM252" s="545">
        <f t="shared" si="749"/>
        <v>216</v>
      </c>
      <c r="AN252" s="460">
        <f t="shared" si="750"/>
        <v>350</v>
      </c>
      <c r="AP252">
        <f t="shared" si="751"/>
        <v>216</v>
      </c>
      <c r="AQ252">
        <f t="shared" si="752"/>
        <v>350</v>
      </c>
      <c r="AS252" s="5">
        <f t="shared" si="600"/>
        <v>2.8571428571428572</v>
      </c>
      <c r="AT252" s="5">
        <f t="shared" si="753"/>
        <v>0.67122144029184116</v>
      </c>
      <c r="AU252" s="5">
        <f t="shared" si="722"/>
        <v>2.1859214168510159</v>
      </c>
      <c r="AV252" s="5"/>
      <c r="AW252" s="173">
        <f t="shared" si="723"/>
        <v>0.23492750410214441</v>
      </c>
      <c r="AX252" s="173">
        <f t="shared" si="631"/>
        <v>36.831318656664536</v>
      </c>
      <c r="AY252" s="173">
        <f t="shared" si="632"/>
        <v>0.39241645095555516</v>
      </c>
      <c r="AZ252" s="173">
        <f t="shared" si="633"/>
        <v>93.857733453779261</v>
      </c>
      <c r="BA252" s="460">
        <f t="shared" si="724"/>
        <v>8.528460653119864E-2</v>
      </c>
      <c r="BB252" s="5">
        <f t="shared" si="725"/>
        <v>8.4032717622456783</v>
      </c>
      <c r="BD252" s="173">
        <f t="shared" si="681"/>
        <v>5.7413088817300348</v>
      </c>
      <c r="BE252" s="173">
        <f t="shared" si="682"/>
        <v>0.51804236719425256</v>
      </c>
      <c r="BG252" s="528">
        <f t="shared" si="683"/>
        <v>1.3185051070172873</v>
      </c>
      <c r="BH252" s="528">
        <f t="shared" si="754"/>
        <v>3.8467344897386377</v>
      </c>
      <c r="BI252" s="528">
        <f t="shared" si="755"/>
        <v>0.21396208786649337</v>
      </c>
      <c r="BJ252" s="528">
        <f t="shared" si="684"/>
        <v>3.9680041969229009E-2</v>
      </c>
      <c r="BK252">
        <f t="shared" si="685"/>
        <v>6.877352824280143E-3</v>
      </c>
      <c r="BL252" s="460">
        <f t="shared" si="686"/>
        <v>220.83944069077353</v>
      </c>
      <c r="BM252" s="528">
        <f t="shared" si="756"/>
        <v>8.0977548542860731</v>
      </c>
      <c r="BN252" s="460">
        <f t="shared" si="687"/>
        <v>8097.7548542860732</v>
      </c>
      <c r="BO252" s="528">
        <f t="shared" si="637"/>
        <v>0.1512</v>
      </c>
      <c r="BR252" s="460">
        <f t="shared" si="688"/>
        <v>151.19999999999999</v>
      </c>
      <c r="BS252" s="528">
        <f t="shared" si="689"/>
        <v>0.98887883026296541</v>
      </c>
      <c r="BT252" s="528">
        <f t="shared" si="690"/>
        <v>8.0510368262467439E-3</v>
      </c>
      <c r="BU252" s="528">
        <f t="shared" si="691"/>
        <v>218.47494260925063</v>
      </c>
      <c r="BV252" s="528"/>
      <c r="BW252" s="528">
        <f t="shared" si="692"/>
        <v>3.6831318656664549</v>
      </c>
      <c r="BX252" s="460">
        <f t="shared" si="693"/>
        <v>223155.00434200632</v>
      </c>
      <c r="BY252" s="173">
        <f t="shared" si="694"/>
        <v>228.73196342142225</v>
      </c>
      <c r="BZ252" s="5">
        <f t="shared" si="695"/>
        <v>36.72</v>
      </c>
      <c r="CA252" s="173">
        <f t="shared" si="696"/>
        <v>0.13833011263776043</v>
      </c>
      <c r="CB252" s="5">
        <f t="shared" si="697"/>
        <v>13.833011263776044</v>
      </c>
      <c r="CE252" s="562">
        <f t="shared" si="757"/>
        <v>-50</v>
      </c>
      <c r="CF252">
        <f t="shared" si="758"/>
        <v>-50</v>
      </c>
      <c r="CG252" s="173">
        <f t="shared" si="759"/>
        <v>0.42176101401288429</v>
      </c>
      <c r="CI252" s="170">
        <v>36</v>
      </c>
      <c r="CJ252" s="217">
        <f t="shared" si="698"/>
        <v>0.216</v>
      </c>
      <c r="CK252" s="217"/>
      <c r="CL252" s="217">
        <f t="shared" si="641"/>
        <v>36.72</v>
      </c>
      <c r="CM252" s="541">
        <f t="shared" si="642"/>
        <v>16</v>
      </c>
      <c r="CN252" s="443">
        <f t="shared" si="643"/>
        <v>8.5250000000000004</v>
      </c>
      <c r="CO252" s="443">
        <f t="shared" si="644"/>
        <v>24.524999999999999</v>
      </c>
      <c r="CP252" s="443"/>
      <c r="CQ252" s="217">
        <f t="shared" si="645"/>
        <v>0.34760448521916415</v>
      </c>
      <c r="CR252" s="172">
        <f t="shared" si="646"/>
        <v>188.05866123003739</v>
      </c>
      <c r="CS252" s="172">
        <f t="shared" si="647"/>
        <v>36.72</v>
      </c>
      <c r="CT252" s="217">
        <f t="shared" si="648"/>
        <v>1.1062274190002199</v>
      </c>
      <c r="CU252" s="217">
        <f t="shared" si="649"/>
        <v>170</v>
      </c>
      <c r="CV252" s="217"/>
      <c r="CW252" s="172">
        <f t="shared" si="650"/>
        <v>2149.210231104998</v>
      </c>
      <c r="CX252" s="172">
        <f t="shared" si="651"/>
        <v>170</v>
      </c>
      <c r="CY252" s="217">
        <f t="shared" si="652"/>
        <v>13.204662756598239</v>
      </c>
      <c r="CZ252" s="217">
        <f t="shared" si="653"/>
        <v>0.41264571114369492</v>
      </c>
      <c r="DA252" s="217">
        <f t="shared" si="654"/>
        <v>0.77446702384740396</v>
      </c>
      <c r="DB252" s="197">
        <f t="shared" si="655"/>
        <v>350</v>
      </c>
      <c r="DC252" s="443">
        <f t="shared" si="656"/>
        <v>350</v>
      </c>
      <c r="DE252" s="217">
        <f t="shared" si="657"/>
        <v>31.780981505752148</v>
      </c>
      <c r="DF252" s="173">
        <f t="shared" si="658"/>
        <v>1.8639871850881022</v>
      </c>
      <c r="DG252" s="173">
        <f t="shared" si="659"/>
        <v>0.51834424474213492</v>
      </c>
      <c r="DH252" s="173"/>
      <c r="DI252" s="173">
        <f t="shared" si="660"/>
        <v>0.78201368523949166</v>
      </c>
      <c r="DJ252" s="545">
        <f t="shared" si="661"/>
        <v>828.63</v>
      </c>
      <c r="DK252" s="528">
        <f t="shared" si="662"/>
        <v>9.1234929944607357E-2</v>
      </c>
      <c r="DM252" s="173">
        <f t="shared" si="663"/>
        <v>20.515638634257247</v>
      </c>
      <c r="DN252" s="173">
        <f t="shared" si="664"/>
        <v>20.515638634257247</v>
      </c>
      <c r="DO252" s="173">
        <f t="shared" si="665"/>
        <v>6.5202261488325286</v>
      </c>
      <c r="DQ252" s="545">
        <f t="shared" si="666"/>
        <v>216</v>
      </c>
      <c r="DR252" s="460">
        <f t="shared" si="667"/>
        <v>350</v>
      </c>
      <c r="DT252">
        <f t="shared" si="668"/>
        <v>216</v>
      </c>
      <c r="DU252">
        <f t="shared" si="669"/>
        <v>350</v>
      </c>
      <c r="DW252" s="5">
        <f t="shared" si="670"/>
        <v>2.8571428571428572</v>
      </c>
      <c r="DX252" s="5">
        <f t="shared" si="671"/>
        <v>0.64111370732053896</v>
      </c>
      <c r="DY252" s="5">
        <f t="shared" si="672"/>
        <v>2.2160291498223184</v>
      </c>
      <c r="DZ252" s="5"/>
      <c r="EA252" s="173">
        <f t="shared" si="673"/>
        <v>0.22438979756218863</v>
      </c>
      <c r="EB252" s="173">
        <f t="shared" si="699"/>
        <v>36.827999999999996</v>
      </c>
      <c r="EC252" s="173">
        <f t="shared" si="700"/>
        <v>0.39780346585643123</v>
      </c>
      <c r="ED252" s="173">
        <f t="shared" si="701"/>
        <v>92.578378925666172</v>
      </c>
      <c r="EE252" s="460">
        <f t="shared" si="674"/>
        <v>8.1459153400727291E-2</v>
      </c>
      <c r="EF252" s="5">
        <f t="shared" si="675"/>
        <v>8.1372590381475529</v>
      </c>
      <c r="EH252" s="173">
        <f t="shared" si="702"/>
        <v>5.6108152245701106</v>
      </c>
      <c r="EI252" s="173">
        <f t="shared" si="703"/>
        <v>0.52157428850757948</v>
      </c>
      <c r="EK252" s="528">
        <f t="shared" si="704"/>
        <v>1.2592498993707097</v>
      </c>
      <c r="EL252" s="528">
        <f t="shared" si="705"/>
        <v>4.8427806109871554</v>
      </c>
      <c r="EM252" s="528">
        <f t="shared" si="706"/>
        <v>6.9999999999999993E-2</v>
      </c>
      <c r="EN252" s="528">
        <f t="shared" si="707"/>
        <v>4.2103293749999993E-2</v>
      </c>
      <c r="EO252">
        <f t="shared" si="708"/>
        <v>7.1999999999999998E-3</v>
      </c>
      <c r="EP252" s="460">
        <f t="shared" si="709"/>
        <v>77.199999999999989</v>
      </c>
      <c r="EQ252" s="460"/>
      <c r="ER252" s="460">
        <f t="shared" si="710"/>
        <v>6221.3338041078659</v>
      </c>
      <c r="ES252" s="528">
        <f t="shared" si="711"/>
        <v>0.1512</v>
      </c>
      <c r="EV252" s="460">
        <f t="shared" si="712"/>
        <v>151.19999999999999</v>
      </c>
      <c r="EW252" s="528">
        <f t="shared" si="713"/>
        <v>0.94443742452803214</v>
      </c>
      <c r="EX252" s="528">
        <f t="shared" si="714"/>
        <v>8.1611921529656326E-3</v>
      </c>
      <c r="EY252" s="528">
        <f t="shared" si="715"/>
        <v>218.45033599779848</v>
      </c>
      <c r="EZ252" s="528"/>
      <c r="FA252" s="528">
        <f t="shared" si="716"/>
        <v>3.6828000000000003</v>
      </c>
      <c r="FB252" s="460">
        <f t="shared" si="717"/>
        <v>223085.73461447947</v>
      </c>
      <c r="FC252" s="173">
        <f t="shared" si="718"/>
        <v>229.45826841858735</v>
      </c>
      <c r="FD252" s="5">
        <f t="shared" si="719"/>
        <v>36.72</v>
      </c>
      <c r="FE252" s="173">
        <f t="shared" si="720"/>
        <v>0.13795265938936369</v>
      </c>
      <c r="FF252" s="5">
        <f t="shared" si="721"/>
        <v>13.795265938936369</v>
      </c>
      <c r="FI252" s="562">
        <f t="shared" si="676"/>
        <v>-50</v>
      </c>
      <c r="FJ252">
        <f t="shared" si="677"/>
        <v>-50</v>
      </c>
      <c r="FL252">
        <f t="shared" si="760"/>
        <v>0.42114214205220152</v>
      </c>
    </row>
    <row r="253" spans="5:168">
      <c r="E253" s="170">
        <v>37</v>
      </c>
      <c r="F253" s="217">
        <f t="shared" si="761"/>
        <v>0.222</v>
      </c>
      <c r="G253" s="217"/>
      <c r="H253" s="217">
        <f t="shared" si="726"/>
        <v>37.74</v>
      </c>
      <c r="I253" s="541">
        <f t="shared" si="727"/>
        <v>15.273116240379522</v>
      </c>
      <c r="J253" s="172">
        <f t="shared" si="728"/>
        <v>8.5257788040281657</v>
      </c>
      <c r="K253" s="172">
        <f t="shared" si="729"/>
        <v>23.798895044407686</v>
      </c>
      <c r="L253" s="443"/>
      <c r="M253" s="217">
        <f t="shared" si="730"/>
        <v>0.3582426630557633</v>
      </c>
      <c r="N253" s="172">
        <f t="shared" si="731"/>
        <v>185.00903911798088</v>
      </c>
      <c r="O253" s="172">
        <f t="shared" si="599"/>
        <v>37.74</v>
      </c>
      <c r="P253" s="217">
        <f t="shared" si="732"/>
        <v>1.0882884653998874</v>
      </c>
      <c r="Q253" s="217">
        <f t="shared" si="733"/>
        <v>170</v>
      </c>
      <c r="R253" s="217"/>
      <c r="S253" s="172">
        <f t="shared" si="734"/>
        <v>1987.8751839902341</v>
      </c>
      <c r="T253" s="172">
        <f t="shared" si="735"/>
        <v>170</v>
      </c>
      <c r="U253" s="217">
        <f t="shared" si="736"/>
        <v>13.837005810144088</v>
      </c>
      <c r="V253" s="217">
        <f t="shared" si="737"/>
        <v>0.45298567732894607</v>
      </c>
      <c r="W253" s="217">
        <f t="shared" si="738"/>
        <v>0.81148045992036133</v>
      </c>
      <c r="X253" s="197">
        <f t="shared" si="739"/>
        <v>350</v>
      </c>
      <c r="Y253" s="443">
        <f t="shared" si="680"/>
        <v>350</v>
      </c>
      <c r="AA253" s="217">
        <f t="shared" si="740"/>
        <v>31.265607792945314</v>
      </c>
      <c r="AB253" s="173">
        <f t="shared" si="741"/>
        <v>1.8335924794444165</v>
      </c>
      <c r="AC253" s="173">
        <f t="shared" si="742"/>
        <v>0.50162335400102864</v>
      </c>
      <c r="AD253" s="173"/>
      <c r="AE253" s="173">
        <f t="shared" si="743"/>
        <v>0.78194225066182499</v>
      </c>
      <c r="AF253" s="545">
        <f t="shared" si="744"/>
        <v>851.72530252241381</v>
      </c>
      <c r="AG253" s="528">
        <f t="shared" si="745"/>
        <v>9.1226595910546243E-2</v>
      </c>
      <c r="AI253" s="173">
        <f t="shared" si="746"/>
        <v>20.799576339060387</v>
      </c>
      <c r="AJ253" s="173">
        <f t="shared" si="747"/>
        <v>20.799576339060387</v>
      </c>
      <c r="AK253" s="173">
        <f t="shared" si="748"/>
        <v>6.7305503746126316</v>
      </c>
      <c r="AM253" s="545">
        <f t="shared" si="749"/>
        <v>222</v>
      </c>
      <c r="AN253" s="460">
        <f t="shared" si="750"/>
        <v>350</v>
      </c>
      <c r="AP253">
        <f t="shared" si="751"/>
        <v>222</v>
      </c>
      <c r="AQ253">
        <f t="shared" si="752"/>
        <v>350</v>
      </c>
      <c r="AS253" s="5">
        <f t="shared" si="600"/>
        <v>2.8571428571428572</v>
      </c>
      <c r="AT253" s="5">
        <f t="shared" si="753"/>
        <v>0.68092116931808067</v>
      </c>
      <c r="AU253" s="5">
        <f t="shared" si="722"/>
        <v>2.1762216878247767</v>
      </c>
      <c r="AV253" s="5"/>
      <c r="AW253" s="173">
        <f t="shared" si="723"/>
        <v>0.23832240926132822</v>
      </c>
      <c r="AX253" s="173">
        <f t="shared" si="631"/>
        <v>37.854457889885055</v>
      </c>
      <c r="AY253" s="173">
        <f t="shared" si="632"/>
        <v>0.39606427985801496</v>
      </c>
      <c r="AZ253" s="173">
        <f t="shared" si="633"/>
        <v>95.57655111805461</v>
      </c>
      <c r="BA253" s="460">
        <f t="shared" si="724"/>
        <v>8.892029387565524E-2</v>
      </c>
      <c r="BB253" s="5">
        <f t="shared" si="725"/>
        <v>8.6039396498658434</v>
      </c>
      <c r="BD253" s="173">
        <f t="shared" si="681"/>
        <v>5.8624115322715191</v>
      </c>
      <c r="BE253" s="173">
        <f t="shared" si="682"/>
        <v>0.52402192142701309</v>
      </c>
      <c r="BG253" s="528">
        <f t="shared" si="683"/>
        <v>1.3747147589484041</v>
      </c>
      <c r="BH253" s="528">
        <f t="shared" si="754"/>
        <v>3.8981796073088684</v>
      </c>
      <c r="BI253" s="528">
        <f t="shared" si="755"/>
        <v>0.2138236273653133</v>
      </c>
      <c r="BJ253" s="528">
        <f t="shared" si="684"/>
        <v>3.9647118373431295E-2</v>
      </c>
      <c r="BK253">
        <f t="shared" si="685"/>
        <v>6.8729023081707851E-3</v>
      </c>
      <c r="BL253" s="460">
        <f t="shared" si="686"/>
        <v>220.69652967348406</v>
      </c>
      <c r="BM253" s="528">
        <f t="shared" si="756"/>
        <v>8.4407283733122789</v>
      </c>
      <c r="BN253" s="460">
        <f t="shared" si="687"/>
        <v>8440.7283733122786</v>
      </c>
      <c r="BO253" s="528">
        <f t="shared" si="637"/>
        <v>0.15539999999999998</v>
      </c>
      <c r="BR253" s="460">
        <f t="shared" si="688"/>
        <v>155.39999999999998</v>
      </c>
      <c r="BS253" s="528">
        <f t="shared" si="689"/>
        <v>1.031036069211303</v>
      </c>
      <c r="BT253" s="528">
        <f t="shared" si="690"/>
        <v>8.2379692240817596E-3</v>
      </c>
      <c r="BU253" s="528">
        <f t="shared" si="691"/>
        <v>226.08738869044208</v>
      </c>
      <c r="BV253" s="528"/>
      <c r="BW253" s="528">
        <f t="shared" si="692"/>
        <v>3.7854457889885063</v>
      </c>
      <c r="BX253" s="460">
        <f t="shared" si="693"/>
        <v>230912.108517866</v>
      </c>
      <c r="BY253" s="173">
        <f t="shared" si="694"/>
        <v>236.60074653217018</v>
      </c>
      <c r="BZ253" s="5">
        <f t="shared" si="695"/>
        <v>37.74</v>
      </c>
      <c r="CA253" s="173">
        <f t="shared" si="696"/>
        <v>0.13756614894818214</v>
      </c>
      <c r="CB253" s="5">
        <f t="shared" si="697"/>
        <v>13.756614894818215</v>
      </c>
      <c r="CE253" s="562">
        <f t="shared" si="757"/>
        <v>-50</v>
      </c>
      <c r="CF253">
        <f t="shared" si="758"/>
        <v>-50</v>
      </c>
      <c r="CG253" s="173">
        <f t="shared" si="759"/>
        <v>0.42757868212969263</v>
      </c>
      <c r="CI253" s="170">
        <v>37</v>
      </c>
      <c r="CJ253" s="217">
        <f t="shared" si="698"/>
        <v>0.222</v>
      </c>
      <c r="CK253" s="217"/>
      <c r="CL253" s="217">
        <f t="shared" si="641"/>
        <v>37.74</v>
      </c>
      <c r="CM253" s="541">
        <f t="shared" si="642"/>
        <v>16</v>
      </c>
      <c r="CN253" s="443">
        <f t="shared" si="643"/>
        <v>8.5250000000000004</v>
      </c>
      <c r="CO253" s="443">
        <f t="shared" si="644"/>
        <v>24.524999999999999</v>
      </c>
      <c r="CP253" s="443"/>
      <c r="CQ253" s="217">
        <f t="shared" si="645"/>
        <v>0.34760448521916415</v>
      </c>
      <c r="CR253" s="172">
        <f t="shared" si="646"/>
        <v>188.05866123003739</v>
      </c>
      <c r="CS253" s="172">
        <f t="shared" si="647"/>
        <v>37.74</v>
      </c>
      <c r="CT253" s="217">
        <f t="shared" si="648"/>
        <v>1.1062274190002199</v>
      </c>
      <c r="CU253" s="217">
        <f t="shared" si="649"/>
        <v>170</v>
      </c>
      <c r="CV253" s="217"/>
      <c r="CW253" s="172">
        <f t="shared" si="650"/>
        <v>2082.4792154588231</v>
      </c>
      <c r="CX253" s="172">
        <f t="shared" si="651"/>
        <v>170</v>
      </c>
      <c r="CY253" s="217">
        <f t="shared" si="652"/>
        <v>13.571458944281524</v>
      </c>
      <c r="CZ253" s="217">
        <f t="shared" si="653"/>
        <v>0.42410809200879762</v>
      </c>
      <c r="DA253" s="217">
        <f t="shared" si="654"/>
        <v>0.79597999673205411</v>
      </c>
      <c r="DB253" s="197">
        <f t="shared" si="655"/>
        <v>350</v>
      </c>
      <c r="DC253" s="443">
        <f t="shared" si="656"/>
        <v>350</v>
      </c>
      <c r="DE253" s="217">
        <f t="shared" si="657"/>
        <v>31.780981505752148</v>
      </c>
      <c r="DF253" s="173">
        <f t="shared" si="658"/>
        <v>1.8639871850881022</v>
      </c>
      <c r="DG253" s="173">
        <f t="shared" si="659"/>
        <v>0.51834424474213492</v>
      </c>
      <c r="DH253" s="173"/>
      <c r="DI253" s="173">
        <f t="shared" si="660"/>
        <v>0.78201368523949166</v>
      </c>
      <c r="DJ253" s="545">
        <f t="shared" si="661"/>
        <v>851.64750000000004</v>
      </c>
      <c r="DK253" s="528">
        <f t="shared" si="662"/>
        <v>9.1234929944607357E-2</v>
      </c>
      <c r="DM253" s="173">
        <f t="shared" si="663"/>
        <v>20.798626328266423</v>
      </c>
      <c r="DN253" s="173">
        <f t="shared" si="664"/>
        <v>20.798626328266423</v>
      </c>
      <c r="DO253" s="173">
        <f t="shared" si="665"/>
        <v>6.7298466629133991</v>
      </c>
      <c r="DQ253" s="545">
        <f t="shared" si="666"/>
        <v>222</v>
      </c>
      <c r="DR253" s="460">
        <f t="shared" si="667"/>
        <v>350</v>
      </c>
      <c r="DT253">
        <f t="shared" si="668"/>
        <v>222</v>
      </c>
      <c r="DU253">
        <f t="shared" si="669"/>
        <v>350</v>
      </c>
      <c r="DW253" s="5">
        <f t="shared" si="670"/>
        <v>2.8571428571428572</v>
      </c>
      <c r="DX253" s="5">
        <f t="shared" si="671"/>
        <v>0.6499570727583257</v>
      </c>
      <c r="DY253" s="5">
        <f t="shared" si="672"/>
        <v>2.2071857843845315</v>
      </c>
      <c r="DZ253" s="5"/>
      <c r="EA253" s="173">
        <f t="shared" si="673"/>
        <v>0.22748497546541399</v>
      </c>
      <c r="EB253" s="173">
        <f t="shared" si="699"/>
        <v>37.851000000000006</v>
      </c>
      <c r="EC253" s="173">
        <f t="shared" si="700"/>
        <v>0.40168128320666058</v>
      </c>
      <c r="ED253" s="173">
        <f t="shared" si="701"/>
        <v>94.231425716009994</v>
      </c>
      <c r="EE253" s="460">
        <f t="shared" si="674"/>
        <v>8.4876747148440179E-2</v>
      </c>
      <c r="EF253" s="5">
        <f t="shared" si="675"/>
        <v>8.329919150267223</v>
      </c>
      <c r="EH253" s="173">
        <f t="shared" si="702"/>
        <v>5.7273059589974054</v>
      </c>
      <c r="EI253" s="173">
        <f t="shared" si="703"/>
        <v>0.52771264000002538</v>
      </c>
      <c r="EK253" s="528">
        <f t="shared" si="704"/>
        <v>1.3120813419186876</v>
      </c>
      <c r="EL253" s="528">
        <f t="shared" si="705"/>
        <v>4.9095807404945644</v>
      </c>
      <c r="EM253" s="528">
        <f t="shared" si="706"/>
        <v>6.9999999999999993E-2</v>
      </c>
      <c r="EN253" s="528">
        <f t="shared" si="707"/>
        <v>4.2103293749999993E-2</v>
      </c>
      <c r="EO253">
        <f t="shared" si="708"/>
        <v>7.1999999999999998E-3</v>
      </c>
      <c r="EP253" s="460">
        <f t="shared" si="709"/>
        <v>77.199999999999989</v>
      </c>
      <c r="EQ253" s="460"/>
      <c r="ER253" s="460">
        <f t="shared" si="710"/>
        <v>6340.9653761632526</v>
      </c>
      <c r="ES253" s="528">
        <f t="shared" si="711"/>
        <v>0.15539999999999998</v>
      </c>
      <c r="EV253" s="460">
        <f t="shared" si="712"/>
        <v>155.39999999999998</v>
      </c>
      <c r="EW253" s="528">
        <f t="shared" si="713"/>
        <v>0.98406100643901573</v>
      </c>
      <c r="EX253" s="528">
        <f t="shared" si="714"/>
        <v>8.3544189124738922E-3</v>
      </c>
      <c r="EY253" s="528">
        <f t="shared" si="715"/>
        <v>226.06157348890619</v>
      </c>
      <c r="EZ253" s="528"/>
      <c r="FA253" s="528">
        <f t="shared" si="716"/>
        <v>3.7851000000000008</v>
      </c>
      <c r="FB253" s="460">
        <f t="shared" si="717"/>
        <v>230839.08891425768</v>
      </c>
      <c r="FC253" s="173">
        <f t="shared" si="718"/>
        <v>237.33545429042093</v>
      </c>
      <c r="FD253" s="5">
        <f t="shared" si="719"/>
        <v>37.74</v>
      </c>
      <c r="FE253" s="173">
        <f t="shared" si="720"/>
        <v>0.13719871915636145</v>
      </c>
      <c r="FF253" s="5">
        <f t="shared" si="721"/>
        <v>13.719871915636144</v>
      </c>
      <c r="FI253" s="562">
        <f t="shared" si="676"/>
        <v>-50</v>
      </c>
      <c r="FJ253">
        <f t="shared" si="677"/>
        <v>-50</v>
      </c>
      <c r="FL253">
        <f t="shared" si="760"/>
        <v>0.42695127360077695</v>
      </c>
    </row>
    <row r="254" spans="5:168">
      <c r="E254" s="170">
        <v>38</v>
      </c>
      <c r="F254" s="217">
        <f t="shared" si="761"/>
        <v>0.22799999999999998</v>
      </c>
      <c r="G254" s="217"/>
      <c r="H254" s="217">
        <f t="shared" si="726"/>
        <v>38.76</v>
      </c>
      <c r="I254" s="541">
        <f t="shared" si="727"/>
        <v>15.263358974805231</v>
      </c>
      <c r="J254" s="172">
        <f t="shared" si="728"/>
        <v>8.5257892582412804</v>
      </c>
      <c r="K254" s="172">
        <f t="shared" si="729"/>
        <v>23.789148233046511</v>
      </c>
      <c r="L254" s="443"/>
      <c r="M254" s="217">
        <f t="shared" si="730"/>
        <v>0.35838988091852253</v>
      </c>
      <c r="N254" s="172">
        <f t="shared" si="731"/>
        <v>184.96682554782757</v>
      </c>
      <c r="O254" s="172">
        <f t="shared" si="599"/>
        <v>38.76</v>
      </c>
      <c r="P254" s="217">
        <f t="shared" si="732"/>
        <v>1.0880401502813386</v>
      </c>
      <c r="Q254" s="217">
        <f t="shared" si="733"/>
        <v>170</v>
      </c>
      <c r="R254" s="217"/>
      <c r="S254" s="172">
        <f t="shared" si="734"/>
        <v>1926.297266955233</v>
      </c>
      <c r="T254" s="172">
        <f t="shared" si="735"/>
        <v>170</v>
      </c>
      <c r="U254" s="217">
        <f t="shared" si="736"/>
        <v>14.214239658589079</v>
      </c>
      <c r="V254" s="217">
        <f t="shared" si="737"/>
        <v>0.46563275102328716</v>
      </c>
      <c r="W254" s="217">
        <f t="shared" si="738"/>
        <v>0.83360256910227837</v>
      </c>
      <c r="X254" s="197">
        <f t="shared" si="739"/>
        <v>350</v>
      </c>
      <c r="Y254" s="443">
        <f t="shared" si="680"/>
        <v>350</v>
      </c>
      <c r="AA254" s="217">
        <f t="shared" si="740"/>
        <v>31.258473873947278</v>
      </c>
      <c r="AB254" s="173">
        <f t="shared" si="741"/>
        <v>1.8331718581791068</v>
      </c>
      <c r="AC254" s="173">
        <f t="shared" si="742"/>
        <v>0.5013938530592863</v>
      </c>
      <c r="AD254" s="173"/>
      <c r="AE254" s="173">
        <f t="shared" si="743"/>
        <v>0.78194129185429595</v>
      </c>
      <c r="AF254" s="545">
        <f t="shared" si="744"/>
        <v>874.74597789555514</v>
      </c>
      <c r="AG254" s="528">
        <f t="shared" si="745"/>
        <v>9.1226484049667891E-2</v>
      </c>
      <c r="AI254" s="173">
        <f t="shared" si="746"/>
        <v>21.078790699273384</v>
      </c>
      <c r="AJ254" s="173">
        <f t="shared" si="747"/>
        <v>21.078790699273384</v>
      </c>
      <c r="AK254" s="173">
        <f t="shared" si="748"/>
        <v>6.9373758266222589</v>
      </c>
      <c r="AM254" s="545">
        <f t="shared" si="749"/>
        <v>227.99999999999997</v>
      </c>
      <c r="AN254" s="460">
        <f t="shared" si="750"/>
        <v>350</v>
      </c>
      <c r="AP254">
        <f t="shared" si="751"/>
        <v>227.99999999999997</v>
      </c>
      <c r="AQ254">
        <f t="shared" si="752"/>
        <v>350</v>
      </c>
      <c r="AS254" s="5">
        <f t="shared" si="600"/>
        <v>2.8571428571428572</v>
      </c>
      <c r="AT254" s="5">
        <f t="shared" si="753"/>
        <v>0.69050301228148769</v>
      </c>
      <c r="AU254" s="5">
        <f t="shared" si="722"/>
        <v>2.1666398448613693</v>
      </c>
      <c r="AV254" s="5"/>
      <c r="AW254" s="173">
        <f t="shared" si="723"/>
        <v>0.24167605429852068</v>
      </c>
      <c r="AX254" s="173">
        <f t="shared" si="631"/>
        <v>38.877599017580238</v>
      </c>
      <c r="AY254" s="173">
        <f t="shared" si="632"/>
        <v>0.39961379334221597</v>
      </c>
      <c r="AZ254" s="173">
        <f t="shared" si="633"/>
        <v>97.287930660308206</v>
      </c>
      <c r="BA254" s="460">
        <f t="shared" si="724"/>
        <v>9.2608639294223055E-2</v>
      </c>
      <c r="BB254" s="5">
        <f t="shared" si="725"/>
        <v>8.8031957343542242</v>
      </c>
      <c r="BD254" s="173">
        <f t="shared" si="681"/>
        <v>5.9827640470394572</v>
      </c>
      <c r="BE254" s="173">
        <f t="shared" si="682"/>
        <v>0.52988601008151603</v>
      </c>
      <c r="BG254" s="528">
        <f t="shared" si="683"/>
        <v>1.4317386257019178</v>
      </c>
      <c r="BH254" s="528">
        <f t="shared" si="754"/>
        <v>3.9488910025822159</v>
      </c>
      <c r="BI254" s="528">
        <f t="shared" si="755"/>
        <v>0.21368702564727324</v>
      </c>
      <c r="BJ254" s="528">
        <f t="shared" si="684"/>
        <v>3.9614650155770204E-2</v>
      </c>
      <c r="BK254">
        <f t="shared" si="685"/>
        <v>6.8685115386623533E-3</v>
      </c>
      <c r="BL254" s="460">
        <f t="shared" si="686"/>
        <v>220.55553718593561</v>
      </c>
      <c r="BM254" s="528">
        <f t="shared" si="756"/>
        <v>8.800617389234354</v>
      </c>
      <c r="BN254" s="460">
        <f t="shared" si="687"/>
        <v>8800.6173892343541</v>
      </c>
      <c r="BO254" s="528">
        <f t="shared" si="637"/>
        <v>0.15959999999999996</v>
      </c>
      <c r="BR254" s="460">
        <f t="shared" si="688"/>
        <v>159.59999999999997</v>
      </c>
      <c r="BS254" s="528">
        <f t="shared" si="689"/>
        <v>1.0738039692764383</v>
      </c>
      <c r="BT254" s="528">
        <f t="shared" si="690"/>
        <v>8.4233755104032547E-3</v>
      </c>
      <c r="BU254" s="528">
        <f t="shared" si="691"/>
        <v>233.75146645222401</v>
      </c>
      <c r="BV254" s="528"/>
      <c r="BW254" s="528">
        <f t="shared" si="692"/>
        <v>3.8877599017580238</v>
      </c>
      <c r="BX254" s="460">
        <f t="shared" si="693"/>
        <v>238721.45369876886</v>
      </c>
      <c r="BY254" s="173">
        <f t="shared" si="694"/>
        <v>244.52185351439471</v>
      </c>
      <c r="BZ254" s="5">
        <f t="shared" si="695"/>
        <v>38.76</v>
      </c>
      <c r="CA254" s="173">
        <f t="shared" si="696"/>
        <v>0.13682486018480688</v>
      </c>
      <c r="CB254" s="5">
        <f t="shared" si="697"/>
        <v>13.682486018480688</v>
      </c>
      <c r="CE254" s="562">
        <f t="shared" si="757"/>
        <v>-50</v>
      </c>
      <c r="CF254">
        <f t="shared" si="758"/>
        <v>-50</v>
      </c>
      <c r="CG254" s="173">
        <f t="shared" si="759"/>
        <v>0.43331825011456981</v>
      </c>
      <c r="CI254" s="170">
        <v>38</v>
      </c>
      <c r="CJ254" s="217">
        <f t="shared" si="698"/>
        <v>0.22799999999999998</v>
      </c>
      <c r="CK254" s="217"/>
      <c r="CL254" s="217">
        <f t="shared" si="641"/>
        <v>38.76</v>
      </c>
      <c r="CM254" s="541">
        <f t="shared" si="642"/>
        <v>16</v>
      </c>
      <c r="CN254" s="443">
        <f t="shared" si="643"/>
        <v>8.5250000000000004</v>
      </c>
      <c r="CO254" s="443">
        <f t="shared" si="644"/>
        <v>24.524999999999999</v>
      </c>
      <c r="CP254" s="443"/>
      <c r="CQ254" s="217">
        <f t="shared" si="645"/>
        <v>0.34760448521916415</v>
      </c>
      <c r="CR254" s="172">
        <f t="shared" si="646"/>
        <v>188.05866123003739</v>
      </c>
      <c r="CS254" s="172">
        <f t="shared" si="647"/>
        <v>38.76</v>
      </c>
      <c r="CT254" s="217">
        <f t="shared" si="648"/>
        <v>1.1062274190002199</v>
      </c>
      <c r="CU254" s="217">
        <f t="shared" si="649"/>
        <v>170</v>
      </c>
      <c r="CV254" s="217"/>
      <c r="CW254" s="172">
        <f t="shared" si="650"/>
        <v>2019.2605038626982</v>
      </c>
      <c r="CX254" s="172">
        <f t="shared" si="651"/>
        <v>170</v>
      </c>
      <c r="CY254" s="217">
        <f t="shared" si="652"/>
        <v>13.938255131964807</v>
      </c>
      <c r="CZ254" s="217">
        <f t="shared" si="653"/>
        <v>0.43557047287390022</v>
      </c>
      <c r="DA254" s="217">
        <f t="shared" si="654"/>
        <v>0.81749296961670415</v>
      </c>
      <c r="DB254" s="197">
        <f t="shared" si="655"/>
        <v>350</v>
      </c>
      <c r="DC254" s="443">
        <f t="shared" si="656"/>
        <v>350</v>
      </c>
      <c r="DE254" s="217">
        <f t="shared" si="657"/>
        <v>31.780981505752148</v>
      </c>
      <c r="DF254" s="173">
        <f t="shared" si="658"/>
        <v>1.8639871850881022</v>
      </c>
      <c r="DG254" s="173">
        <f t="shared" si="659"/>
        <v>0.51834424474213492</v>
      </c>
      <c r="DH254" s="173"/>
      <c r="DI254" s="173">
        <f t="shared" si="660"/>
        <v>0.78201368523949166</v>
      </c>
      <c r="DJ254" s="545">
        <f t="shared" si="661"/>
        <v>874.66499999999985</v>
      </c>
      <c r="DK254" s="528">
        <f t="shared" si="662"/>
        <v>9.1234929944607357E-2</v>
      </c>
      <c r="DM254" s="173">
        <f t="shared" si="663"/>
        <v>21.077815012811115</v>
      </c>
      <c r="DN254" s="173">
        <f t="shared" si="664"/>
        <v>21.077815012811115</v>
      </c>
      <c r="DO254" s="173">
        <f t="shared" si="665"/>
        <v>6.9366530959094677</v>
      </c>
      <c r="DQ254" s="545">
        <f t="shared" si="666"/>
        <v>227.99999999999997</v>
      </c>
      <c r="DR254" s="460">
        <f t="shared" si="667"/>
        <v>350</v>
      </c>
      <c r="DT254">
        <f t="shared" si="668"/>
        <v>227.99999999999997</v>
      </c>
      <c r="DU254">
        <f t="shared" si="669"/>
        <v>350</v>
      </c>
      <c r="DW254" s="5">
        <f t="shared" si="670"/>
        <v>2.8571428571428572</v>
      </c>
      <c r="DX254" s="5">
        <f t="shared" si="671"/>
        <v>0.65868171915034734</v>
      </c>
      <c r="DY254" s="5">
        <f t="shared" si="672"/>
        <v>2.1984611379925099</v>
      </c>
      <c r="DZ254" s="5"/>
      <c r="EA254" s="173">
        <f t="shared" si="673"/>
        <v>0.23053860170262155</v>
      </c>
      <c r="EB254" s="173">
        <f t="shared" si="699"/>
        <v>38.873999999999995</v>
      </c>
      <c r="EC254" s="173">
        <f t="shared" si="700"/>
        <v>0.40546412532027792</v>
      </c>
      <c r="ED254" s="173">
        <f t="shared" si="701"/>
        <v>95.875313184102907</v>
      </c>
      <c r="EE254" s="460">
        <f t="shared" si="674"/>
        <v>8.8340842333105393E-2</v>
      </c>
      <c r="EF254" s="5">
        <f t="shared" si="675"/>
        <v>8.5212353708589674</v>
      </c>
      <c r="EH254" s="173">
        <f t="shared" si="702"/>
        <v>5.8430121398984607</v>
      </c>
      <c r="EI254" s="173">
        <f t="shared" si="703"/>
        <v>0.53373832002308907</v>
      </c>
      <c r="EK254" s="528">
        <f t="shared" si="704"/>
        <v>1.3656316346800315</v>
      </c>
      <c r="EL254" s="528">
        <f t="shared" si="705"/>
        <v>4.9754841019459786</v>
      </c>
      <c r="EM254" s="528">
        <f t="shared" si="706"/>
        <v>6.9999999999999993E-2</v>
      </c>
      <c r="EN254" s="528">
        <f t="shared" si="707"/>
        <v>4.2103293749999993E-2</v>
      </c>
      <c r="EO254">
        <f t="shared" si="708"/>
        <v>7.1999999999999998E-3</v>
      </c>
      <c r="EP254" s="460">
        <f t="shared" si="709"/>
        <v>77.199999999999989</v>
      </c>
      <c r="EQ254" s="460"/>
      <c r="ER254" s="460">
        <f t="shared" si="710"/>
        <v>6460.4190303760106</v>
      </c>
      <c r="ES254" s="528">
        <f t="shared" si="711"/>
        <v>0.15959999999999996</v>
      </c>
      <c r="EV254" s="460">
        <f t="shared" si="712"/>
        <v>159.59999999999997</v>
      </c>
      <c r="EW254" s="528">
        <f t="shared" si="713"/>
        <v>1.0242237260100235</v>
      </c>
      <c r="EX254" s="528">
        <f t="shared" si="714"/>
        <v>8.546297827832082E-3</v>
      </c>
      <c r="EY254" s="528">
        <f t="shared" si="715"/>
        <v>233.72441791002797</v>
      </c>
      <c r="EZ254" s="528"/>
      <c r="FA254" s="528">
        <f t="shared" si="716"/>
        <v>3.8873999999999991</v>
      </c>
      <c r="FB254" s="460">
        <f t="shared" si="717"/>
        <v>238644.58793386581</v>
      </c>
      <c r="FC254" s="173">
        <f t="shared" si="718"/>
        <v>245.26460696424181</v>
      </c>
      <c r="FD254" s="5">
        <f t="shared" si="719"/>
        <v>38.76</v>
      </c>
      <c r="FE254" s="173">
        <f t="shared" si="720"/>
        <v>0.13646704915563818</v>
      </c>
      <c r="FF254" s="5">
        <f t="shared" si="721"/>
        <v>13.646704915563818</v>
      </c>
      <c r="FI254" s="562">
        <f t="shared" si="676"/>
        <v>-50</v>
      </c>
      <c r="FJ254">
        <f t="shared" si="677"/>
        <v>-50</v>
      </c>
      <c r="FL254">
        <f t="shared" si="760"/>
        <v>0.43268241961782344</v>
      </c>
    </row>
    <row r="255" spans="5:168">
      <c r="E255" s="170">
        <v>39</v>
      </c>
      <c r="F255" s="217">
        <f t="shared" si="761"/>
        <v>0.23399999999999999</v>
      </c>
      <c r="G255" s="217"/>
      <c r="H255" s="217">
        <f t="shared" si="726"/>
        <v>39.78</v>
      </c>
      <c r="I255" s="541">
        <f t="shared" si="727"/>
        <v>15.253729271644666</v>
      </c>
      <c r="J255" s="172">
        <f t="shared" si="728"/>
        <v>8.5257995757803808</v>
      </c>
      <c r="K255" s="172">
        <f t="shared" si="729"/>
        <v>23.779528847425048</v>
      </c>
      <c r="L255" s="443"/>
      <c r="M255" s="217">
        <f t="shared" si="730"/>
        <v>0.35853529244394527</v>
      </c>
      <c r="N255" s="172">
        <f t="shared" si="731"/>
        <v>184.92512964592584</v>
      </c>
      <c r="O255" s="172">
        <f t="shared" si="599"/>
        <v>39.78</v>
      </c>
      <c r="P255" s="217">
        <f t="shared" si="732"/>
        <v>1.087794880270152</v>
      </c>
      <c r="Q255" s="217">
        <f t="shared" si="733"/>
        <v>170</v>
      </c>
      <c r="R255" s="217"/>
      <c r="S255" s="172">
        <f t="shared" si="734"/>
        <v>1867.9029626770282</v>
      </c>
      <c r="T255" s="172">
        <f t="shared" si="735"/>
        <v>170</v>
      </c>
      <c r="U255" s="217">
        <f t="shared" si="736"/>
        <v>14.591605570415689</v>
      </c>
      <c r="V255" s="217">
        <f t="shared" si="737"/>
        <v>0.47829633365593405</v>
      </c>
      <c r="W255" s="217">
        <f t="shared" si="738"/>
        <v>0.85573238267685259</v>
      </c>
      <c r="X255" s="197">
        <f t="shared" si="739"/>
        <v>350</v>
      </c>
      <c r="Y255" s="443">
        <f t="shared" si="680"/>
        <v>350</v>
      </c>
      <c r="AA255" s="217">
        <f t="shared" si="740"/>
        <v>31.251427438807138</v>
      </c>
      <c r="AB255" s="173">
        <f t="shared" si="741"/>
        <v>1.832756397862346</v>
      </c>
      <c r="AC255" s="173">
        <f t="shared" si="742"/>
        <v>0.50116721883204074</v>
      </c>
      <c r="AD255" s="173"/>
      <c r="AE255" s="173">
        <f t="shared" si="743"/>
        <v>0.7819403455841214</v>
      </c>
      <c r="AF255" s="545">
        <f t="shared" si="744"/>
        <v>897.76669532967378</v>
      </c>
      <c r="AG255" s="528">
        <f t="shared" si="745"/>
        <v>9.1226373651480855E-2</v>
      </c>
      <c r="AI255" s="173">
        <f t="shared" si="746"/>
        <v>21.354355063252402</v>
      </c>
      <c r="AJ255" s="173">
        <f t="shared" si="747"/>
        <v>21.354355063252402</v>
      </c>
      <c r="AK255" s="173">
        <f t="shared" si="748"/>
        <v>7.1414975777178293</v>
      </c>
      <c r="AM255" s="545">
        <f t="shared" si="749"/>
        <v>234</v>
      </c>
      <c r="AN255" s="460">
        <f t="shared" si="750"/>
        <v>350</v>
      </c>
      <c r="AP255">
        <f t="shared" si="751"/>
        <v>234</v>
      </c>
      <c r="AQ255">
        <f t="shared" si="752"/>
        <v>350</v>
      </c>
      <c r="AS255" s="5">
        <f t="shared" si="600"/>
        <v>2.8571428571428572</v>
      </c>
      <c r="AT255" s="5">
        <f t="shared" si="753"/>
        <v>0.69997161621808313</v>
      </c>
      <c r="AU255" s="5">
        <f t="shared" si="722"/>
        <v>2.1571712409247743</v>
      </c>
      <c r="AV255" s="5"/>
      <c r="AW255" s="173">
        <f t="shared" si="723"/>
        <v>0.24499006567632908</v>
      </c>
      <c r="AX255" s="173">
        <f t="shared" si="631"/>
        <v>39.900742014652181</v>
      </c>
      <c r="AY255" s="173">
        <f t="shared" si="632"/>
        <v>0.40306875534576364</v>
      </c>
      <c r="AZ255" s="173">
        <f t="shared" si="633"/>
        <v>98.992396422352826</v>
      </c>
      <c r="BA255" s="460">
        <f t="shared" si="724"/>
        <v>9.6349034232371442E-2</v>
      </c>
      <c r="BB255" s="5">
        <f t="shared" si="725"/>
        <v>9.0010536241526147</v>
      </c>
      <c r="BD255" s="173">
        <f t="shared" si="681"/>
        <v>6.1023915395301502</v>
      </c>
      <c r="BE255" s="173">
        <f t="shared" si="682"/>
        <v>0.53563897407851913</v>
      </c>
      <c r="BG255" s="528">
        <f t="shared" si="683"/>
        <v>1.4895673000691663</v>
      </c>
      <c r="BH255" s="528">
        <f t="shared" si="754"/>
        <v>3.9988974551775449</v>
      </c>
      <c r="BI255" s="528">
        <f t="shared" si="755"/>
        <v>0.21355220980302531</v>
      </c>
      <c r="BJ255" s="528">
        <f t="shared" si="684"/>
        <v>3.9582619454386403E-2</v>
      </c>
      <c r="BK255">
        <f t="shared" si="685"/>
        <v>6.8641781722400992E-3</v>
      </c>
      <c r="BL255" s="460">
        <f t="shared" si="686"/>
        <v>220.41638797526542</v>
      </c>
      <c r="BM255" s="528">
        <f t="shared" si="756"/>
        <v>9.1788036668103121</v>
      </c>
      <c r="BN255" s="460">
        <f t="shared" si="687"/>
        <v>9178.8036668103123</v>
      </c>
      <c r="BO255" s="528">
        <f t="shared" si="637"/>
        <v>0.16379999999999997</v>
      </c>
      <c r="BR255" s="460">
        <f t="shared" si="688"/>
        <v>163.79999999999998</v>
      </c>
      <c r="BS255" s="528">
        <f t="shared" si="689"/>
        <v>1.1171754750518745</v>
      </c>
      <c r="BT255" s="528">
        <f t="shared" si="690"/>
        <v>8.6072733165566545E-3</v>
      </c>
      <c r="BU255" s="528">
        <f t="shared" si="691"/>
        <v>241.46615357448187</v>
      </c>
      <c r="BV255" s="528"/>
      <c r="BW255" s="528">
        <f t="shared" si="692"/>
        <v>3.9900742014652182</v>
      </c>
      <c r="BX255" s="460">
        <f t="shared" si="693"/>
        <v>246582.0105243155</v>
      </c>
      <c r="BY255" s="173">
        <f t="shared" si="694"/>
        <v>252.49427428699187</v>
      </c>
      <c r="BZ255" s="5">
        <f t="shared" si="695"/>
        <v>39.78</v>
      </c>
      <c r="CA255" s="173">
        <f t="shared" si="696"/>
        <v>0.13610503386602876</v>
      </c>
      <c r="CB255" s="5">
        <f t="shared" si="697"/>
        <v>13.610503386602876</v>
      </c>
      <c r="CE255" s="562">
        <f t="shared" si="757"/>
        <v>-50</v>
      </c>
      <c r="CF255">
        <f t="shared" si="758"/>
        <v>-50</v>
      </c>
      <c r="CG255" s="173">
        <f t="shared" si="759"/>
        <v>0.43898278138549024</v>
      </c>
      <c r="CI255" s="170">
        <v>39</v>
      </c>
      <c r="CJ255" s="217">
        <f t="shared" si="698"/>
        <v>0.23399999999999999</v>
      </c>
      <c r="CK255" s="217"/>
      <c r="CL255" s="217">
        <f t="shared" si="641"/>
        <v>39.78</v>
      </c>
      <c r="CM255" s="541">
        <f t="shared" si="642"/>
        <v>16</v>
      </c>
      <c r="CN255" s="443">
        <f t="shared" si="643"/>
        <v>8.5250000000000004</v>
      </c>
      <c r="CO255" s="443">
        <f t="shared" si="644"/>
        <v>24.524999999999999</v>
      </c>
      <c r="CP255" s="443"/>
      <c r="CQ255" s="217">
        <f t="shared" si="645"/>
        <v>0.34760448521916415</v>
      </c>
      <c r="CR255" s="172">
        <f t="shared" si="646"/>
        <v>188.05866123003739</v>
      </c>
      <c r="CS255" s="172">
        <f t="shared" si="647"/>
        <v>39.78</v>
      </c>
      <c r="CT255" s="217">
        <f t="shared" si="648"/>
        <v>1.1062274190002199</v>
      </c>
      <c r="CU255" s="217">
        <f t="shared" si="649"/>
        <v>170</v>
      </c>
      <c r="CV255" s="217"/>
      <c r="CW255" s="172">
        <f t="shared" si="650"/>
        <v>1959.283920855881</v>
      </c>
      <c r="CX255" s="172">
        <f t="shared" si="651"/>
        <v>170</v>
      </c>
      <c r="CY255" s="217">
        <f t="shared" si="652"/>
        <v>14.305051319648094</v>
      </c>
      <c r="CZ255" s="217">
        <f t="shared" si="653"/>
        <v>0.44703285373900292</v>
      </c>
      <c r="DA255" s="217">
        <f t="shared" si="654"/>
        <v>0.83900594250135441</v>
      </c>
      <c r="DB255" s="197">
        <f t="shared" si="655"/>
        <v>350</v>
      </c>
      <c r="DC255" s="443">
        <f t="shared" si="656"/>
        <v>350</v>
      </c>
      <c r="DE255" s="217">
        <f t="shared" si="657"/>
        <v>31.780981505752148</v>
      </c>
      <c r="DF255" s="173">
        <f t="shared" si="658"/>
        <v>1.8639871850881022</v>
      </c>
      <c r="DG255" s="173">
        <f t="shared" si="659"/>
        <v>0.51834424474213492</v>
      </c>
      <c r="DH255" s="173"/>
      <c r="DI255" s="173">
        <f t="shared" si="660"/>
        <v>0.78201368523949166</v>
      </c>
      <c r="DJ255" s="545">
        <f t="shared" si="661"/>
        <v>897.68249999999989</v>
      </c>
      <c r="DK255" s="528">
        <f t="shared" si="662"/>
        <v>9.1234929944607357E-2</v>
      </c>
      <c r="DM255" s="173">
        <f t="shared" si="663"/>
        <v>21.35335370113356</v>
      </c>
      <c r="DN255" s="173">
        <f t="shared" si="664"/>
        <v>21.35335370113356</v>
      </c>
      <c r="DO255" s="173">
        <f t="shared" si="665"/>
        <v>7.1407558280001675</v>
      </c>
      <c r="DQ255" s="545">
        <f t="shared" si="666"/>
        <v>234</v>
      </c>
      <c r="DR255" s="460">
        <f t="shared" si="667"/>
        <v>350</v>
      </c>
      <c r="DT255">
        <f t="shared" si="668"/>
        <v>234</v>
      </c>
      <c r="DU255">
        <f t="shared" si="669"/>
        <v>350</v>
      </c>
      <c r="DW255" s="5">
        <f t="shared" si="670"/>
        <v>2.8571428571428572</v>
      </c>
      <c r="DX255" s="5">
        <f t="shared" si="671"/>
        <v>0.66729230316042376</v>
      </c>
      <c r="DY255" s="5">
        <f t="shared" si="672"/>
        <v>2.1898505539824336</v>
      </c>
      <c r="DZ255" s="5"/>
      <c r="EA255" s="173">
        <f t="shared" si="673"/>
        <v>0.2335523061061483</v>
      </c>
      <c r="EB255" s="173">
        <f t="shared" si="699"/>
        <v>39.896999999999998</v>
      </c>
      <c r="EC255" s="173">
        <f t="shared" si="700"/>
        <v>0.40915571752833901</v>
      </c>
      <c r="ED255" s="173">
        <f t="shared" si="701"/>
        <v>97.51055231737449</v>
      </c>
      <c r="EE255" s="460">
        <f t="shared" si="674"/>
        <v>9.1850822905611265E-2</v>
      </c>
      <c r="EF255" s="5">
        <f t="shared" si="675"/>
        <v>8.7112255037421207</v>
      </c>
      <c r="EH255" s="173">
        <f t="shared" si="702"/>
        <v>5.9579594962471756</v>
      </c>
      <c r="EI255" s="173">
        <f t="shared" si="703"/>
        <v>0.539655654259384</v>
      </c>
      <c r="EK255" s="528">
        <f t="shared" si="704"/>
        <v>1.4198912543568758</v>
      </c>
      <c r="EL255" s="528">
        <f t="shared" si="705"/>
        <v>5.0405258703828926</v>
      </c>
      <c r="EM255" s="528">
        <f t="shared" si="706"/>
        <v>6.9999999999999993E-2</v>
      </c>
      <c r="EN255" s="528">
        <f t="shared" si="707"/>
        <v>4.2103293749999993E-2</v>
      </c>
      <c r="EO255">
        <f t="shared" si="708"/>
        <v>7.1999999999999998E-3</v>
      </c>
      <c r="EP255" s="460">
        <f t="shared" si="709"/>
        <v>77.199999999999989</v>
      </c>
      <c r="EQ255" s="460"/>
      <c r="ER255" s="460">
        <f t="shared" si="710"/>
        <v>6579.7204184897691</v>
      </c>
      <c r="ES255" s="528">
        <f t="shared" si="711"/>
        <v>0.16379999999999997</v>
      </c>
      <c r="EV255" s="460">
        <f t="shared" si="712"/>
        <v>163.79999999999998</v>
      </c>
      <c r="EW255" s="528">
        <f t="shared" si="713"/>
        <v>1.0649184407676568</v>
      </c>
      <c r="EX255" s="528">
        <f t="shared" si="714"/>
        <v>8.7368467552237129E-3</v>
      </c>
      <c r="EY255" s="528">
        <f t="shared" si="715"/>
        <v>241.4378471055301</v>
      </c>
      <c r="EZ255" s="528"/>
      <c r="FA255" s="528">
        <f t="shared" si="716"/>
        <v>3.9897000000000014</v>
      </c>
      <c r="FB255" s="460">
        <f t="shared" si="717"/>
        <v>246501.20239305298</v>
      </c>
      <c r="FC255" s="173">
        <f t="shared" si="718"/>
        <v>253.24472281154274</v>
      </c>
      <c r="FD255" s="5">
        <f t="shared" si="719"/>
        <v>39.78</v>
      </c>
      <c r="FE255" s="173">
        <f t="shared" si="720"/>
        <v>0.1357564632032236</v>
      </c>
      <c r="FF255" s="5">
        <f t="shared" si="721"/>
        <v>13.57564632032236</v>
      </c>
      <c r="FI255" s="562">
        <f t="shared" si="676"/>
        <v>-50</v>
      </c>
      <c r="FJ255">
        <f t="shared" si="677"/>
        <v>-50</v>
      </c>
      <c r="FL255">
        <f t="shared" si="760"/>
        <v>0.43833863902620201</v>
      </c>
    </row>
    <row r="256" spans="5:168">
      <c r="E256" s="170">
        <v>40</v>
      </c>
      <c r="F256" s="217">
        <f t="shared" si="761"/>
        <v>0.24</v>
      </c>
      <c r="G256" s="217"/>
      <c r="H256" s="217">
        <f t="shared" si="726"/>
        <v>40.799999999999997</v>
      </c>
      <c r="I256" s="541">
        <f t="shared" si="727"/>
        <v>15.244222254892353</v>
      </c>
      <c r="J256" s="172">
        <f t="shared" si="728"/>
        <v>8.5258097618697573</v>
      </c>
      <c r="K256" s="172">
        <f t="shared" si="729"/>
        <v>23.770032016762109</v>
      </c>
      <c r="L256" s="443"/>
      <c r="M256" s="217">
        <f t="shared" si="730"/>
        <v>0.358678966818335</v>
      </c>
      <c r="N256" s="172">
        <f t="shared" si="731"/>
        <v>184.88393158419552</v>
      </c>
      <c r="O256" s="172">
        <f t="shared" si="599"/>
        <v>40.799999999999997</v>
      </c>
      <c r="P256" s="217">
        <f t="shared" si="732"/>
        <v>1.0875525387305618</v>
      </c>
      <c r="Q256" s="217">
        <f t="shared" si="733"/>
        <v>170</v>
      </c>
      <c r="R256" s="217"/>
      <c r="S256" s="172">
        <f t="shared" si="734"/>
        <v>1812.4527309102648</v>
      </c>
      <c r="T256" s="172">
        <f t="shared" si="735"/>
        <v>170</v>
      </c>
      <c r="U256" s="217">
        <f t="shared" si="736"/>
        <v>14.969102061682475</v>
      </c>
      <c r="V256" s="217">
        <f t="shared" si="737"/>
        <v>0.49097624698034098</v>
      </c>
      <c r="W256" s="217">
        <f t="shared" si="738"/>
        <v>0.87786981411602993</v>
      </c>
      <c r="X256" s="197">
        <f t="shared" si="739"/>
        <v>350</v>
      </c>
      <c r="Y256" s="443">
        <f t="shared" si="680"/>
        <v>350</v>
      </c>
      <c r="AA256" s="217">
        <f t="shared" si="740"/>
        <v>31.244465136658956</v>
      </c>
      <c r="AB256" s="173">
        <f t="shared" si="741"/>
        <v>1.8323459008195644</v>
      </c>
      <c r="AC256" s="173">
        <f t="shared" si="742"/>
        <v>0.50094334164399734</v>
      </c>
      <c r="AD256" s="173"/>
      <c r="AE256" s="173">
        <f t="shared" si="743"/>
        <v>0.78193941137206768</v>
      </c>
      <c r="AF256" s="545">
        <f t="shared" si="744"/>
        <v>920.78745428193372</v>
      </c>
      <c r="AG256" s="528">
        <f t="shared" si="745"/>
        <v>9.122626466007458E-2</v>
      </c>
      <c r="AI256" s="173">
        <f t="shared" si="746"/>
        <v>21.626408950163512</v>
      </c>
      <c r="AJ256" s="173">
        <f t="shared" si="747"/>
        <v>21.626408950163512</v>
      </c>
      <c r="AK256" s="173">
        <f t="shared" si="748"/>
        <v>7.3430189754297617</v>
      </c>
      <c r="AM256" s="545">
        <f t="shared" si="749"/>
        <v>240</v>
      </c>
      <c r="AN256" s="460">
        <f t="shared" si="750"/>
        <v>350</v>
      </c>
      <c r="AP256">
        <f t="shared" si="751"/>
        <v>240</v>
      </c>
      <c r="AQ256">
        <f t="shared" si="752"/>
        <v>350</v>
      </c>
      <c r="AS256" s="5">
        <f t="shared" si="600"/>
        <v>2.8571428571428572</v>
      </c>
      <c r="AT256" s="5">
        <f t="shared" si="753"/>
        <v>0.70933133185010178</v>
      </c>
      <c r="AU256" s="5">
        <f t="shared" si="722"/>
        <v>2.1478115252927554</v>
      </c>
      <c r="AV256" s="5"/>
      <c r="AW256" s="173">
        <f t="shared" si="723"/>
        <v>0.24826596614753563</v>
      </c>
      <c r="AX256" s="173">
        <f t="shared" si="631"/>
        <v>40.923886856974839</v>
      </c>
      <c r="AY256" s="173">
        <f t="shared" si="632"/>
        <v>0.40643269094623646</v>
      </c>
      <c r="AZ256" s="173">
        <f t="shared" si="633"/>
        <v>100.6904409231892</v>
      </c>
      <c r="BA256" s="460">
        <f t="shared" si="724"/>
        <v>0.10014089390824965</v>
      </c>
      <c r="BB256" s="5">
        <f t="shared" si="725"/>
        <v>9.1975263825685509</v>
      </c>
      <c r="BD256" s="173">
        <f t="shared" si="681"/>
        <v>6.2213176705840318</v>
      </c>
      <c r="BE256" s="173">
        <f t="shared" si="682"/>
        <v>0.54128487832559824</v>
      </c>
      <c r="BG256" s="528">
        <f t="shared" si="683"/>
        <v>1.5481917423328448</v>
      </c>
      <c r="BH256" s="528">
        <f t="shared" si="754"/>
        <v>4.0482259110796965</v>
      </c>
      <c r="BI256" s="528">
        <f t="shared" si="755"/>
        <v>0.21341911156849294</v>
      </c>
      <c r="BJ256" s="528">
        <f t="shared" si="684"/>
        <v>3.9551009545452702E-2</v>
      </c>
      <c r="BK256">
        <f t="shared" si="685"/>
        <v>6.8599000147015589E-3</v>
      </c>
      <c r="BL256" s="460">
        <f t="shared" si="686"/>
        <v>220.27901158319449</v>
      </c>
      <c r="BM256" s="528">
        <f t="shared" si="756"/>
        <v>9.5768154103927987</v>
      </c>
      <c r="BN256" s="460">
        <f t="shared" si="687"/>
        <v>9576.8154103927991</v>
      </c>
      <c r="BO256" s="528">
        <f t="shared" si="637"/>
        <v>0.16799999999999998</v>
      </c>
      <c r="BR256" s="460">
        <f t="shared" si="688"/>
        <v>167.99999999999997</v>
      </c>
      <c r="BS256" s="528">
        <f t="shared" si="689"/>
        <v>1.1611438067496336</v>
      </c>
      <c r="BT256" s="528">
        <f t="shared" si="690"/>
        <v>8.7896795851187294E-3</v>
      </c>
      <c r="BU256" s="528">
        <f t="shared" si="691"/>
        <v>249.23047377193774</v>
      </c>
      <c r="BV256" s="528"/>
      <c r="BW256" s="528">
        <f t="shared" si="692"/>
        <v>4.0923886856974843</v>
      </c>
      <c r="BX256" s="460">
        <f t="shared" si="693"/>
        <v>254492.79594396995</v>
      </c>
      <c r="BY256" s="173">
        <f t="shared" si="694"/>
        <v>260.51704361851114</v>
      </c>
      <c r="BZ256" s="5">
        <f t="shared" si="695"/>
        <v>40.799999999999997</v>
      </c>
      <c r="CA256" s="173">
        <f t="shared" si="696"/>
        <v>0.1354055499484314</v>
      </c>
      <c r="CB256" s="5">
        <f t="shared" si="697"/>
        <v>13.54055499484314</v>
      </c>
      <c r="CE256" s="562">
        <f t="shared" si="757"/>
        <v>-50</v>
      </c>
      <c r="CF256">
        <f t="shared" si="758"/>
        <v>-50</v>
      </c>
      <c r="CG256" s="173">
        <f t="shared" si="759"/>
        <v>0.444575144180969</v>
      </c>
      <c r="CI256" s="170">
        <v>40</v>
      </c>
      <c r="CJ256" s="217">
        <f t="shared" si="698"/>
        <v>0.24</v>
      </c>
      <c r="CK256" s="217"/>
      <c r="CL256" s="217">
        <f t="shared" si="641"/>
        <v>40.799999999999997</v>
      </c>
      <c r="CM256" s="541">
        <f t="shared" si="642"/>
        <v>16</v>
      </c>
      <c r="CN256" s="443">
        <f t="shared" si="643"/>
        <v>8.5250000000000004</v>
      </c>
      <c r="CO256" s="443">
        <f t="shared" si="644"/>
        <v>24.524999999999999</v>
      </c>
      <c r="CP256" s="443"/>
      <c r="CQ256" s="217">
        <f t="shared" si="645"/>
        <v>0.34760448521916415</v>
      </c>
      <c r="CR256" s="172">
        <f t="shared" si="646"/>
        <v>188.05866123003739</v>
      </c>
      <c r="CS256" s="172">
        <f t="shared" si="647"/>
        <v>40.799999999999997</v>
      </c>
      <c r="CT256" s="217">
        <f t="shared" si="648"/>
        <v>1.1062274190002199</v>
      </c>
      <c r="CU256" s="217">
        <f t="shared" si="649"/>
        <v>170</v>
      </c>
      <c r="CV256" s="217"/>
      <c r="CW256" s="172">
        <f t="shared" si="650"/>
        <v>1902.3063085526501</v>
      </c>
      <c r="CX256" s="172">
        <f t="shared" si="651"/>
        <v>170</v>
      </c>
      <c r="CY256" s="217">
        <f t="shared" si="652"/>
        <v>14.671847507331377</v>
      </c>
      <c r="CZ256" s="217">
        <f t="shared" si="653"/>
        <v>0.45849523460410552</v>
      </c>
      <c r="DA256" s="217">
        <f t="shared" si="654"/>
        <v>0.86051891538600445</v>
      </c>
      <c r="DB256" s="197">
        <f t="shared" si="655"/>
        <v>350</v>
      </c>
      <c r="DC256" s="443">
        <f t="shared" si="656"/>
        <v>350</v>
      </c>
      <c r="DE256" s="217">
        <f t="shared" si="657"/>
        <v>31.780981505752148</v>
      </c>
      <c r="DF256" s="173">
        <f t="shared" si="658"/>
        <v>1.8639871850881022</v>
      </c>
      <c r="DG256" s="173">
        <f t="shared" si="659"/>
        <v>0.51834424474213492</v>
      </c>
      <c r="DH256" s="173"/>
      <c r="DI256" s="173">
        <f t="shared" si="660"/>
        <v>0.78201368523949166</v>
      </c>
      <c r="DJ256" s="545">
        <f t="shared" si="661"/>
        <v>920.7</v>
      </c>
      <c r="DK256" s="528">
        <f t="shared" si="662"/>
        <v>9.1234929944607357E-2</v>
      </c>
      <c r="DM256" s="173">
        <f t="shared" si="663"/>
        <v>21.625381912399671</v>
      </c>
      <c r="DN256" s="173">
        <f t="shared" si="664"/>
        <v>21.625381912399671</v>
      </c>
      <c r="DO256" s="173">
        <f t="shared" si="665"/>
        <v>7.3422582067158055</v>
      </c>
      <c r="DQ256" s="545">
        <f t="shared" si="666"/>
        <v>240</v>
      </c>
      <c r="DR256" s="460">
        <f t="shared" si="667"/>
        <v>350</v>
      </c>
      <c r="DT256">
        <f t="shared" si="668"/>
        <v>240</v>
      </c>
      <c r="DU256">
        <f t="shared" si="669"/>
        <v>350</v>
      </c>
      <c r="DW256" s="5">
        <f t="shared" si="670"/>
        <v>2.8571428571428572</v>
      </c>
      <c r="DX256" s="5">
        <f t="shared" si="671"/>
        <v>0.67579318476248973</v>
      </c>
      <c r="DY256" s="5">
        <f t="shared" si="672"/>
        <v>2.1813496723803674</v>
      </c>
      <c r="DZ256" s="5"/>
      <c r="EA256" s="173">
        <f t="shared" si="673"/>
        <v>0.23652761466687139</v>
      </c>
      <c r="EB256" s="173">
        <f t="shared" si="699"/>
        <v>40.919999999999995</v>
      </c>
      <c r="EC256" s="173">
        <f t="shared" si="700"/>
        <v>0.4127595478099918</v>
      </c>
      <c r="ED256" s="173">
        <f t="shared" si="701"/>
        <v>99.137621932944256</v>
      </c>
      <c r="EE256" s="460">
        <f t="shared" si="674"/>
        <v>9.5406096672351476E-2</v>
      </c>
      <c r="EF256" s="5">
        <f t="shared" si="675"/>
        <v>8.8999066633118993</v>
      </c>
      <c r="EH256" s="173">
        <f t="shared" si="702"/>
        <v>6.0721722769237569</v>
      </c>
      <c r="EI256" s="173">
        <f t="shared" si="703"/>
        <v>0.54546869324708469</v>
      </c>
      <c r="EK256" s="528">
        <f t="shared" si="704"/>
        <v>1.4748510464256577</v>
      </c>
      <c r="EL256" s="528">
        <f t="shared" si="705"/>
        <v>5.1047389797404188</v>
      </c>
      <c r="EM256" s="528">
        <f t="shared" si="706"/>
        <v>6.9999999999999993E-2</v>
      </c>
      <c r="EN256" s="528">
        <f t="shared" si="707"/>
        <v>4.2103293749999993E-2</v>
      </c>
      <c r="EO256">
        <f t="shared" si="708"/>
        <v>7.1999999999999998E-3</v>
      </c>
      <c r="EP256" s="460">
        <f t="shared" si="709"/>
        <v>77.199999999999989</v>
      </c>
      <c r="EQ256" s="460"/>
      <c r="ER256" s="460">
        <f t="shared" si="710"/>
        <v>6698.8933199160774</v>
      </c>
      <c r="ES256" s="528">
        <f t="shared" si="711"/>
        <v>0.16799999999999998</v>
      </c>
      <c r="EV256" s="460">
        <f t="shared" si="712"/>
        <v>167.99999999999997</v>
      </c>
      <c r="EW256" s="528">
        <f t="shared" si="713"/>
        <v>1.1061382848192431</v>
      </c>
      <c r="EX256" s="528">
        <f t="shared" si="714"/>
        <v>8.9260828593804645E-3</v>
      </c>
      <c r="EY256" s="528">
        <f t="shared" si="715"/>
        <v>249.20088494929146</v>
      </c>
      <c r="EZ256" s="528"/>
      <c r="FA256" s="528">
        <f t="shared" si="716"/>
        <v>4.0920000000000005</v>
      </c>
      <c r="FB256" s="460">
        <f t="shared" si="717"/>
        <v>254407.9493169701</v>
      </c>
      <c r="FC256" s="173">
        <f t="shared" si="718"/>
        <v>261.27484263688615</v>
      </c>
      <c r="FD256" s="5">
        <f t="shared" si="719"/>
        <v>40.799999999999997</v>
      </c>
      <c r="FE256" s="173">
        <f t="shared" si="720"/>
        <v>0.13506586527976538</v>
      </c>
      <c r="FF256" s="5">
        <f t="shared" si="721"/>
        <v>13.506586527976538</v>
      </c>
      <c r="FI256" s="562">
        <f t="shared" si="676"/>
        <v>-50</v>
      </c>
      <c r="FJ256">
        <f t="shared" si="677"/>
        <v>-50</v>
      </c>
      <c r="FL256">
        <f t="shared" si="760"/>
        <v>0.4439227958557117</v>
      </c>
    </row>
    <row r="257" spans="5:168">
      <c r="E257" s="170">
        <v>41</v>
      </c>
      <c r="F257" s="217">
        <f t="shared" si="761"/>
        <v>0.24599999999999997</v>
      </c>
      <c r="G257" s="217"/>
      <c r="H257" s="217">
        <f t="shared" si="726"/>
        <v>41.819999999999993</v>
      </c>
      <c r="I257" s="541">
        <f t="shared" si="727"/>
        <v>15.23483335148479</v>
      </c>
      <c r="J257" s="172">
        <f t="shared" si="728"/>
        <v>8.5258198214091241</v>
      </c>
      <c r="K257" s="172">
        <f t="shared" si="729"/>
        <v>23.760653172893914</v>
      </c>
      <c r="L257" s="443"/>
      <c r="M257" s="217">
        <f t="shared" si="730"/>
        <v>0.35882096892798709</v>
      </c>
      <c r="N257" s="172">
        <f t="shared" si="731"/>
        <v>184.8432127668982</v>
      </c>
      <c r="O257" s="172">
        <f t="shared" si="599"/>
        <v>41.819999999999993</v>
      </c>
      <c r="P257" s="217">
        <f t="shared" si="732"/>
        <v>1.0873130162758717</v>
      </c>
      <c r="Q257" s="217">
        <f t="shared" si="733"/>
        <v>170</v>
      </c>
      <c r="R257" s="217"/>
      <c r="S257" s="172">
        <f t="shared" si="734"/>
        <v>1759.7304457227931</v>
      </c>
      <c r="T257" s="172">
        <f t="shared" si="735"/>
        <v>170</v>
      </c>
      <c r="U257" s="217">
        <f t="shared" si="736"/>
        <v>15.346727704972057</v>
      </c>
      <c r="V257" s="217">
        <f t="shared" si="737"/>
        <v>0.50367231957533565</v>
      </c>
      <c r="W257" s="217">
        <f t="shared" si="738"/>
        <v>0.90001478018776571</v>
      </c>
      <c r="X257" s="197">
        <f t="shared" si="739"/>
        <v>350</v>
      </c>
      <c r="Y257" s="443">
        <f t="shared" si="680"/>
        <v>350</v>
      </c>
      <c r="AA257" s="217">
        <f t="shared" si="740"/>
        <v>31.237583824897623</v>
      </c>
      <c r="AB257" s="173">
        <f t="shared" si="741"/>
        <v>1.8319401816618941</v>
      </c>
      <c r="AC257" s="173">
        <f t="shared" si="742"/>
        <v>0.50072211863503902</v>
      </c>
      <c r="AD257" s="173"/>
      <c r="AE257" s="173">
        <f t="shared" si="743"/>
        <v>0.78193848876867511</v>
      </c>
      <c r="AF257" s="545">
        <f t="shared" si="744"/>
        <v>943.80825422998998</v>
      </c>
      <c r="AG257" s="528">
        <f t="shared" si="745"/>
        <v>9.1226157023012108E-2</v>
      </c>
      <c r="AI257" s="173">
        <f t="shared" si="746"/>
        <v>21.895083210968458</v>
      </c>
      <c r="AJ257" s="173">
        <f t="shared" si="747"/>
        <v>21.895083210968458</v>
      </c>
      <c r="AK257" s="173">
        <f t="shared" si="748"/>
        <v>7.5420369463963883</v>
      </c>
      <c r="AM257" s="545">
        <f t="shared" si="749"/>
        <v>245.99999999999997</v>
      </c>
      <c r="AN257" s="460">
        <f t="shared" si="750"/>
        <v>350</v>
      </c>
      <c r="AP257">
        <f t="shared" si="751"/>
        <v>245.99999999999997</v>
      </c>
      <c r="AQ257">
        <f t="shared" si="752"/>
        <v>350</v>
      </c>
      <c r="AS257" s="5">
        <f t="shared" si="600"/>
        <v>2.8571428571428572</v>
      </c>
      <c r="AT257" s="5">
        <f t="shared" si="753"/>
        <v>0.71858623937079547</v>
      </c>
      <c r="AU257" s="5">
        <f t="shared" si="722"/>
        <v>2.1385566177720619</v>
      </c>
      <c r="AV257" s="5"/>
      <c r="AW257" s="173">
        <f t="shared" si="723"/>
        <v>0.25150518377977843</v>
      </c>
      <c r="AX257" s="173">
        <f t="shared" si="631"/>
        <v>41.947033521332877</v>
      </c>
      <c r="AY257" s="173">
        <f t="shared" si="632"/>
        <v>0.40970890710300745</v>
      </c>
      <c r="AZ257" s="173">
        <f t="shared" si="633"/>
        <v>102.382527677844</v>
      </c>
      <c r="BA257" s="460">
        <f t="shared" si="724"/>
        <v>0.10398365581483275</v>
      </c>
      <c r="BB257" s="5">
        <f t="shared" si="725"/>
        <v>9.3926265622339802</v>
      </c>
      <c r="BD257" s="173">
        <f t="shared" si="681"/>
        <v>6.339564766433659</v>
      </c>
      <c r="BE257" s="173">
        <f t="shared" si="682"/>
        <v>0.54682753567876385</v>
      </c>
      <c r="BG257" s="528">
        <f t="shared" si="683"/>
        <v>1.607603257112282</v>
      </c>
      <c r="BH257" s="528">
        <f t="shared" si="754"/>
        <v>4.096901642143858</v>
      </c>
      <c r="BI257" s="528">
        <f t="shared" si="755"/>
        <v>0.21328766692078707</v>
      </c>
      <c r="BJ257" s="528">
        <f t="shared" si="684"/>
        <v>3.9519804744178759E-2</v>
      </c>
      <c r="BK257">
        <f t="shared" si="685"/>
        <v>6.8556750081681548E-3</v>
      </c>
      <c r="BL257" s="460">
        <f t="shared" si="686"/>
        <v>220.14334192895524</v>
      </c>
      <c r="BM257" s="528">
        <f t="shared" si="756"/>
        <v>9.9963479685092302</v>
      </c>
      <c r="BN257" s="460">
        <f t="shared" si="687"/>
        <v>9996.3479685092298</v>
      </c>
      <c r="BO257" s="528">
        <f t="shared" si="637"/>
        <v>0.17219999999999996</v>
      </c>
      <c r="BR257" s="460">
        <f t="shared" si="688"/>
        <v>172.19999999999996</v>
      </c>
      <c r="BS257" s="528">
        <f t="shared" si="689"/>
        <v>1.2057024428342116</v>
      </c>
      <c r="BT257" s="528">
        <f t="shared" si="690"/>
        <v>8.9706106132952917E-3</v>
      </c>
      <c r="BU257" s="528">
        <f t="shared" si="691"/>
        <v>257.04349361794692</v>
      </c>
      <c r="BV257" s="528"/>
      <c r="BW257" s="528">
        <f t="shared" si="692"/>
        <v>4.1947033521332884</v>
      </c>
      <c r="BX257" s="460">
        <f t="shared" si="693"/>
        <v>262452.87002352771</v>
      </c>
      <c r="BY257" s="173">
        <f t="shared" si="694"/>
        <v>268.589238069457</v>
      </c>
      <c r="BZ257" s="5">
        <f t="shared" si="695"/>
        <v>41.819999999999993</v>
      </c>
      <c r="CA257" s="173">
        <f t="shared" si="696"/>
        <v>0.13472537177080526</v>
      </c>
      <c r="CB257" s="5">
        <f t="shared" si="697"/>
        <v>13.472537177080527</v>
      </c>
      <c r="CE257" s="562">
        <f t="shared" si="757"/>
        <v>-50</v>
      </c>
      <c r="CF257">
        <f t="shared" si="758"/>
        <v>-50</v>
      </c>
      <c r="CG257" s="173">
        <f t="shared" si="759"/>
        <v>0.45009802853835917</v>
      </c>
      <c r="CI257" s="170">
        <v>41</v>
      </c>
      <c r="CJ257" s="217">
        <f t="shared" si="698"/>
        <v>0.24599999999999997</v>
      </c>
      <c r="CK257" s="217"/>
      <c r="CL257" s="217">
        <f t="shared" si="641"/>
        <v>41.819999999999993</v>
      </c>
      <c r="CM257" s="541">
        <f t="shared" si="642"/>
        <v>16</v>
      </c>
      <c r="CN257" s="443">
        <f t="shared" si="643"/>
        <v>8.5250000000000004</v>
      </c>
      <c r="CO257" s="443">
        <f t="shared" si="644"/>
        <v>24.524999999999999</v>
      </c>
      <c r="CP257" s="443"/>
      <c r="CQ257" s="217">
        <f t="shared" si="645"/>
        <v>0.34760448521916415</v>
      </c>
      <c r="CR257" s="172">
        <f t="shared" si="646"/>
        <v>188.05866123003739</v>
      </c>
      <c r="CS257" s="172">
        <f t="shared" si="647"/>
        <v>41.819999999999993</v>
      </c>
      <c r="CT257" s="217">
        <f t="shared" si="648"/>
        <v>1.1062274190002199</v>
      </c>
      <c r="CU257" s="217">
        <f t="shared" si="649"/>
        <v>170</v>
      </c>
      <c r="CV257" s="217"/>
      <c r="CW257" s="172">
        <f t="shared" si="650"/>
        <v>1848.1082318166748</v>
      </c>
      <c r="CX257" s="172">
        <f t="shared" si="651"/>
        <v>170</v>
      </c>
      <c r="CY257" s="217">
        <f t="shared" si="652"/>
        <v>15.03864369501466</v>
      </c>
      <c r="CZ257" s="217">
        <f t="shared" si="653"/>
        <v>0.46995761546920811</v>
      </c>
      <c r="DA257" s="217">
        <f t="shared" si="654"/>
        <v>0.88203188827065448</v>
      </c>
      <c r="DB257" s="197">
        <f t="shared" si="655"/>
        <v>350</v>
      </c>
      <c r="DC257" s="443">
        <f t="shared" si="656"/>
        <v>350</v>
      </c>
      <c r="DE257" s="217">
        <f t="shared" si="657"/>
        <v>31.780981505752148</v>
      </c>
      <c r="DF257" s="173">
        <f t="shared" si="658"/>
        <v>1.8639871850881022</v>
      </c>
      <c r="DG257" s="173">
        <f t="shared" si="659"/>
        <v>0.51834424474213492</v>
      </c>
      <c r="DH257" s="173"/>
      <c r="DI257" s="173">
        <f t="shared" si="660"/>
        <v>0.78201368523949166</v>
      </c>
      <c r="DJ257" s="545">
        <f t="shared" si="661"/>
        <v>943.71749999999986</v>
      </c>
      <c r="DK257" s="528">
        <f t="shared" si="662"/>
        <v>9.1234929944607357E-2</v>
      </c>
      <c r="DM257" s="173">
        <f t="shared" si="663"/>
        <v>21.894030497571052</v>
      </c>
      <c r="DN257" s="173">
        <f t="shared" si="664"/>
        <v>21.894030497571052</v>
      </c>
      <c r="DO257" s="173">
        <f t="shared" si="665"/>
        <v>7.5412571586946058</v>
      </c>
      <c r="DQ257" s="545">
        <f t="shared" si="666"/>
        <v>245.99999999999997</v>
      </c>
      <c r="DR257" s="460">
        <f t="shared" si="667"/>
        <v>350</v>
      </c>
      <c r="DT257">
        <f t="shared" si="668"/>
        <v>245.99999999999997</v>
      </c>
      <c r="DU257">
        <f t="shared" si="669"/>
        <v>350</v>
      </c>
      <c r="DW257" s="5">
        <f t="shared" si="670"/>
        <v>2.8571428571428572</v>
      </c>
      <c r="DX257" s="5">
        <f t="shared" si="671"/>
        <v>0.68418845304909526</v>
      </c>
      <c r="DY257" s="5">
        <f t="shared" si="672"/>
        <v>2.1729544040937618</v>
      </c>
      <c r="DZ257" s="5"/>
      <c r="EA257" s="173">
        <f t="shared" si="673"/>
        <v>0.23946595856718333</v>
      </c>
      <c r="EB257" s="173">
        <f t="shared" si="699"/>
        <v>41.942999999999991</v>
      </c>
      <c r="EC257" s="173">
        <f t="shared" si="700"/>
        <v>0.41627888743927632</v>
      </c>
      <c r="ED257" s="173">
        <f t="shared" si="701"/>
        <v>100.75697150535487</v>
      </c>
      <c r="EE257" s="460">
        <f t="shared" si="674"/>
        <v>9.9006093794163183E-2</v>
      </c>
      <c r="EF257" s="5">
        <f t="shared" si="675"/>
        <v>9.0872953179201108</v>
      </c>
      <c r="EH257" s="173">
        <f t="shared" si="702"/>
        <v>6.1856733706458824</v>
      </c>
      <c r="EI257" s="173">
        <f t="shared" si="703"/>
        <v>0.55118123628834537</v>
      </c>
      <c r="EK257" s="528">
        <f t="shared" si="704"/>
        <v>1.5305022019327037</v>
      </c>
      <c r="EL257" s="528">
        <f t="shared" si="705"/>
        <v>5.1681543177969518</v>
      </c>
      <c r="EM257" s="528">
        <f t="shared" si="706"/>
        <v>6.9999999999999993E-2</v>
      </c>
      <c r="EN257" s="528">
        <f t="shared" si="707"/>
        <v>4.2103293749999993E-2</v>
      </c>
      <c r="EO257">
        <f t="shared" si="708"/>
        <v>7.1999999999999998E-3</v>
      </c>
      <c r="EP257" s="460">
        <f t="shared" si="709"/>
        <v>77.199999999999989</v>
      </c>
      <c r="EQ257" s="460"/>
      <c r="ER257" s="460">
        <f t="shared" si="710"/>
        <v>6817.9598134796561</v>
      </c>
      <c r="ES257" s="528">
        <f t="shared" si="711"/>
        <v>0.17219999999999996</v>
      </c>
      <c r="EV257" s="460">
        <f t="shared" si="712"/>
        <v>172.19999999999996</v>
      </c>
      <c r="EW257" s="528">
        <f t="shared" si="713"/>
        <v>1.1478766514495278</v>
      </c>
      <c r="EX257" s="528">
        <f t="shared" si="714"/>
        <v>9.114022657090463E-3</v>
      </c>
      <c r="EY257" s="528">
        <f t="shared" si="715"/>
        <v>257.01259816880048</v>
      </c>
      <c r="EZ257" s="528"/>
      <c r="FA257" s="528">
        <f t="shared" si="716"/>
        <v>4.1942999999999993</v>
      </c>
      <c r="FB257" s="460">
        <f t="shared" si="717"/>
        <v>262363.88884290709</v>
      </c>
      <c r="FC257" s="173">
        <f t="shared" si="718"/>
        <v>269.35404865638674</v>
      </c>
      <c r="FD257" s="5">
        <f t="shared" si="719"/>
        <v>41.819999999999993</v>
      </c>
      <c r="FE257" s="173">
        <f t="shared" si="720"/>
        <v>0.13439424071696812</v>
      </c>
      <c r="FF257" s="5">
        <f t="shared" si="721"/>
        <v>13.439424071696813</v>
      </c>
      <c r="FI257" s="562">
        <f t="shared" si="676"/>
        <v>-50</v>
      </c>
      <c r="FJ257">
        <f t="shared" si="677"/>
        <v>-50</v>
      </c>
      <c r="FL257">
        <f t="shared" si="760"/>
        <v>0.44943757619647323</v>
      </c>
    </row>
    <row r="258" spans="5:168">
      <c r="E258" s="170">
        <v>42</v>
      </c>
      <c r="F258" s="217">
        <f t="shared" si="761"/>
        <v>0.252</v>
      </c>
      <c r="G258" s="217"/>
      <c r="H258" s="217">
        <f t="shared" si="726"/>
        <v>42.84</v>
      </c>
      <c r="I258" s="541">
        <f t="shared" si="727"/>
        <v>15.225558265587397</v>
      </c>
      <c r="J258" s="172">
        <f t="shared" si="728"/>
        <v>8.5258297590011569</v>
      </c>
      <c r="K258" s="172">
        <f t="shared" si="729"/>
        <v>23.751388024588554</v>
      </c>
      <c r="L258" s="443"/>
      <c r="M258" s="217">
        <f t="shared" si="730"/>
        <v>0.35896135972422044</v>
      </c>
      <c r="N258" s="172">
        <f t="shared" si="731"/>
        <v>184.80295572602279</v>
      </c>
      <c r="O258" s="172">
        <f t="shared" si="599"/>
        <v>42.84</v>
      </c>
      <c r="P258" s="217">
        <f t="shared" si="732"/>
        <v>1.0870762101530753</v>
      </c>
      <c r="Q258" s="217">
        <f t="shared" si="733"/>
        <v>170</v>
      </c>
      <c r="R258" s="217"/>
      <c r="S258" s="172">
        <f t="shared" si="734"/>
        <v>1709.5406044697968</v>
      </c>
      <c r="T258" s="172">
        <f t="shared" si="735"/>
        <v>170</v>
      </c>
      <c r="U258" s="217">
        <f t="shared" si="736"/>
        <v>15.724481125917011</v>
      </c>
      <c r="V258" s="217">
        <f t="shared" si="737"/>
        <v>0.51638438642533302</v>
      </c>
      <c r="W258" s="217">
        <f t="shared" si="738"/>
        <v>0.92216720075344383</v>
      </c>
      <c r="X258" s="197">
        <f t="shared" si="739"/>
        <v>350</v>
      </c>
      <c r="Y258" s="443">
        <f t="shared" si="680"/>
        <v>350</v>
      </c>
      <c r="AA258" s="217">
        <f t="shared" si="740"/>
        <v>31.23078055149935</v>
      </c>
      <c r="AB258" s="173">
        <f t="shared" si="741"/>
        <v>1.8315390662432245</v>
      </c>
      <c r="AC258" s="173">
        <f t="shared" si="742"/>
        <v>0.50050345318172662</v>
      </c>
      <c r="AD258" s="173"/>
      <c r="AE258" s="173">
        <f t="shared" si="743"/>
        <v>0.78193757735173219</v>
      </c>
      <c r="AF258" s="545">
        <f t="shared" si="744"/>
        <v>966.82909467073125</v>
      </c>
      <c r="AG258" s="528">
        <f t="shared" si="745"/>
        <v>9.1226050691035399E-2</v>
      </c>
      <c r="AI258" s="173">
        <f t="shared" si="746"/>
        <v>22.160500764162947</v>
      </c>
      <c r="AJ258" s="173">
        <f t="shared" si="747"/>
        <v>22.160500764162947</v>
      </c>
      <c r="AK258" s="173">
        <f t="shared" si="748"/>
        <v>7.7386425413552695</v>
      </c>
      <c r="AM258" s="545">
        <f t="shared" si="749"/>
        <v>252</v>
      </c>
      <c r="AN258" s="460">
        <f t="shared" si="750"/>
        <v>350</v>
      </c>
      <c r="AP258">
        <f t="shared" si="751"/>
        <v>252</v>
      </c>
      <c r="AQ258">
        <f t="shared" si="752"/>
        <v>350</v>
      </c>
      <c r="AS258" s="5">
        <f t="shared" si="600"/>
        <v>2.8571428571428572</v>
      </c>
      <c r="AT258" s="5">
        <f t="shared" si="753"/>
        <v>0.72774017141459479</v>
      </c>
      <c r="AU258" s="5">
        <f t="shared" si="722"/>
        <v>2.1294026857282624</v>
      </c>
      <c r="AV258" s="5"/>
      <c r="AW258" s="173">
        <f t="shared" si="723"/>
        <v>0.25470905999510818</v>
      </c>
      <c r="AX258" s="173">
        <f t="shared" si="631"/>
        <v>42.970181985365819</v>
      </c>
      <c r="AY258" s="173">
        <f t="shared" si="632"/>
        <v>0.41290051113755316</v>
      </c>
      <c r="AZ258" s="173">
        <f t="shared" si="633"/>
        <v>104.06909370729934</v>
      </c>
      <c r="BA258" s="460">
        <f t="shared" si="724"/>
        <v>0.10787677835086935</v>
      </c>
      <c r="BB258" s="5">
        <f t="shared" si="725"/>
        <v>9.5863662365963851</v>
      </c>
      <c r="BD258" s="173">
        <f t="shared" si="681"/>
        <v>6.4571539245239675</v>
      </c>
      <c r="BE258" s="173">
        <f t="shared" si="682"/>
        <v>0.55227052829167633</v>
      </c>
      <c r="BG258" s="528">
        <f t="shared" si="683"/>
        <v>1.6677934721998111</v>
      </c>
      <c r="BH258" s="528">
        <f t="shared" si="754"/>
        <v>4.1449483881919997</v>
      </c>
      <c r="BI258" s="528">
        <f t="shared" si="755"/>
        <v>0.21315781571822356</v>
      </c>
      <c r="BJ258" s="528">
        <f t="shared" si="684"/>
        <v>3.9488990316619801E-2</v>
      </c>
      <c r="BK258">
        <f t="shared" si="685"/>
        <v>6.851501219514328E-3</v>
      </c>
      <c r="BL258" s="460">
        <f t="shared" si="686"/>
        <v>220.00931693773791</v>
      </c>
      <c r="BM258" s="528">
        <f t="shared" si="756"/>
        <v>10.439288060099063</v>
      </c>
      <c r="BN258" s="460">
        <f t="shared" si="687"/>
        <v>10439.288060099063</v>
      </c>
      <c r="BO258" s="528">
        <f t="shared" si="637"/>
        <v>0.1764</v>
      </c>
      <c r="BR258" s="460">
        <f t="shared" si="688"/>
        <v>176.4</v>
      </c>
      <c r="BS258" s="528">
        <f t="shared" si="689"/>
        <v>1.2508451041498583</v>
      </c>
      <c r="BT258" s="528">
        <f t="shared" si="690"/>
        <v>9.1500820925870183E-3</v>
      </c>
      <c r="BU258" s="528">
        <f t="shared" si="691"/>
        <v>264.90431965984129</v>
      </c>
      <c r="BV258" s="528"/>
      <c r="BW258" s="528">
        <f t="shared" si="692"/>
        <v>4.2970181985365823</v>
      </c>
      <c r="BX258" s="460">
        <f t="shared" si="693"/>
        <v>270461.33304462035</v>
      </c>
      <c r="BY258" s="173">
        <f t="shared" si="694"/>
        <v>276.7099732122665</v>
      </c>
      <c r="BZ258" s="5">
        <f t="shared" si="695"/>
        <v>42.84</v>
      </c>
      <c r="CA258" s="173">
        <f t="shared" si="696"/>
        <v>0.13406353807309757</v>
      </c>
      <c r="CB258" s="5">
        <f t="shared" si="697"/>
        <v>13.406353807309756</v>
      </c>
      <c r="CE258" s="562">
        <f t="shared" si="757"/>
        <v>-50</v>
      </c>
      <c r="CF258">
        <f t="shared" si="758"/>
        <v>-50</v>
      </c>
      <c r="CG258" s="173">
        <f t="shared" si="759"/>
        <v>0.45555396141917792</v>
      </c>
      <c r="CI258" s="170">
        <v>42</v>
      </c>
      <c r="CJ258" s="217">
        <f t="shared" si="698"/>
        <v>0.252</v>
      </c>
      <c r="CK258" s="217"/>
      <c r="CL258" s="217">
        <f t="shared" si="641"/>
        <v>42.84</v>
      </c>
      <c r="CM258" s="541">
        <f t="shared" si="642"/>
        <v>16</v>
      </c>
      <c r="CN258" s="443">
        <f t="shared" si="643"/>
        <v>8.5250000000000004</v>
      </c>
      <c r="CO258" s="443">
        <f t="shared" si="644"/>
        <v>24.524999999999999</v>
      </c>
      <c r="CP258" s="443"/>
      <c r="CQ258" s="217">
        <f t="shared" si="645"/>
        <v>0.34760448521916415</v>
      </c>
      <c r="CR258" s="172">
        <f t="shared" si="646"/>
        <v>188.05866123003739</v>
      </c>
      <c r="CS258" s="172">
        <f t="shared" si="647"/>
        <v>42.84</v>
      </c>
      <c r="CT258" s="217">
        <f t="shared" si="648"/>
        <v>1.1062274190002199</v>
      </c>
      <c r="CU258" s="217">
        <f t="shared" si="649"/>
        <v>170</v>
      </c>
      <c r="CV258" s="217"/>
      <c r="CW258" s="172">
        <f t="shared" si="650"/>
        <v>1796.491154124775</v>
      </c>
      <c r="CX258" s="172">
        <f t="shared" si="651"/>
        <v>170</v>
      </c>
      <c r="CY258" s="217">
        <f t="shared" si="652"/>
        <v>15.405439882697946</v>
      </c>
      <c r="CZ258" s="217">
        <f t="shared" si="653"/>
        <v>0.48141999633431087</v>
      </c>
      <c r="DA258" s="217">
        <f t="shared" si="654"/>
        <v>0.90354486115530475</v>
      </c>
      <c r="DB258" s="197">
        <f t="shared" si="655"/>
        <v>350</v>
      </c>
      <c r="DC258" s="443">
        <f t="shared" si="656"/>
        <v>350</v>
      </c>
      <c r="DE258" s="217">
        <f t="shared" si="657"/>
        <v>31.780981505752148</v>
      </c>
      <c r="DF258" s="173">
        <f t="shared" si="658"/>
        <v>1.8639871850881022</v>
      </c>
      <c r="DG258" s="173">
        <f t="shared" si="659"/>
        <v>0.51834424474213492</v>
      </c>
      <c r="DH258" s="173"/>
      <c r="DI258" s="173">
        <f t="shared" si="660"/>
        <v>0.78201368523949166</v>
      </c>
      <c r="DJ258" s="545">
        <f t="shared" si="661"/>
        <v>966.73500000000001</v>
      </c>
      <c r="DK258" s="528">
        <f t="shared" si="662"/>
        <v>9.1234929944607357E-2</v>
      </c>
      <c r="DM258" s="173">
        <f t="shared" si="663"/>
        <v>22.159422375143265</v>
      </c>
      <c r="DN258" s="173">
        <f t="shared" si="664"/>
        <v>22.159422375143265</v>
      </c>
      <c r="DO258" s="173">
        <f t="shared" si="665"/>
        <v>7.7378437346740236</v>
      </c>
      <c r="DQ258" s="545">
        <f t="shared" si="666"/>
        <v>252</v>
      </c>
      <c r="DR258" s="460">
        <f t="shared" si="667"/>
        <v>350</v>
      </c>
      <c r="DT258">
        <f t="shared" si="668"/>
        <v>252</v>
      </c>
      <c r="DU258">
        <f t="shared" si="669"/>
        <v>350</v>
      </c>
      <c r="DW258" s="5">
        <f t="shared" si="670"/>
        <v>2.8571428571428572</v>
      </c>
      <c r="DX258" s="5">
        <f t="shared" si="671"/>
        <v>0.69248194922322692</v>
      </c>
      <c r="DY258" s="5">
        <f t="shared" si="672"/>
        <v>2.1646609079196302</v>
      </c>
      <c r="DZ258" s="5"/>
      <c r="EA258" s="173">
        <f t="shared" si="673"/>
        <v>0.24236868222812941</v>
      </c>
      <c r="EB258" s="173">
        <f t="shared" si="699"/>
        <v>42.965999999999994</v>
      </c>
      <c r="EC258" s="173">
        <f t="shared" si="700"/>
        <v>0.41971680937858163</v>
      </c>
      <c r="ED258" s="173">
        <f t="shared" si="701"/>
        <v>102.3690236843599</v>
      </c>
      <c r="EE258" s="460">
        <f t="shared" si="674"/>
        <v>0.10265026541426657</v>
      </c>
      <c r="EF258" s="5">
        <f t="shared" si="675"/>
        <v>9.2734073295276964</v>
      </c>
      <c r="EH258" s="173">
        <f t="shared" si="702"/>
        <v>6.298484413499823</v>
      </c>
      <c r="EI258" s="173">
        <f t="shared" si="703"/>
        <v>0.55679685274994983</v>
      </c>
      <c r="EK258" s="528">
        <f t="shared" si="704"/>
        <v>1.5868362362840085</v>
      </c>
      <c r="EL258" s="528">
        <f t="shared" si="705"/>
        <v>5.2308008998474902</v>
      </c>
      <c r="EM258" s="528">
        <f t="shared" si="706"/>
        <v>6.9999999999999993E-2</v>
      </c>
      <c r="EN258" s="528">
        <f t="shared" si="707"/>
        <v>4.2103293749999993E-2</v>
      </c>
      <c r="EO258">
        <f t="shared" si="708"/>
        <v>7.1999999999999998E-3</v>
      </c>
      <c r="EP258" s="460">
        <f t="shared" si="709"/>
        <v>77.199999999999989</v>
      </c>
      <c r="EQ258" s="460"/>
      <c r="ER258" s="460">
        <f t="shared" si="710"/>
        <v>6936.9404298814989</v>
      </c>
      <c r="ES258" s="528">
        <f t="shared" si="711"/>
        <v>0.1764</v>
      </c>
      <c r="EV258" s="460">
        <f t="shared" si="712"/>
        <v>176.4</v>
      </c>
      <c r="EW258" s="528">
        <f t="shared" si="713"/>
        <v>1.1901271772130064</v>
      </c>
      <c r="EX258" s="528">
        <f t="shared" si="714"/>
        <v>9.3006820569674787E-3</v>
      </c>
      <c r="EY258" s="528">
        <f t="shared" si="715"/>
        <v>264.87209346077896</v>
      </c>
      <c r="EZ258" s="528"/>
      <c r="FA258" s="528">
        <f t="shared" si="716"/>
        <v>4.2966000000000006</v>
      </c>
      <c r="FB258" s="460">
        <f t="shared" si="717"/>
        <v>270368.12132004893</v>
      </c>
      <c r="FC258" s="173">
        <f t="shared" si="718"/>
        <v>277.48146174993042</v>
      </c>
      <c r="FD258" s="5">
        <f t="shared" si="719"/>
        <v>42.84</v>
      </c>
      <c r="FE258" s="173">
        <f t="shared" si="720"/>
        <v>0.13374064842849795</v>
      </c>
      <c r="FF258" s="5">
        <f t="shared" si="721"/>
        <v>13.374064842849794</v>
      </c>
      <c r="FI258" s="562">
        <f t="shared" si="676"/>
        <v>-50</v>
      </c>
      <c r="FJ258">
        <f t="shared" si="677"/>
        <v>-50</v>
      </c>
      <c r="FL258">
        <f t="shared" si="760"/>
        <v>0.45488550330206112</v>
      </c>
    </row>
    <row r="259" spans="5:168">
      <c r="E259" s="170">
        <v>43</v>
      </c>
      <c r="F259" s="217">
        <f t="shared" si="761"/>
        <v>0.25800000000000001</v>
      </c>
      <c r="G259" s="217"/>
      <c r="H259" s="217">
        <f t="shared" si="726"/>
        <v>43.86</v>
      </c>
      <c r="I259" s="541">
        <f t="shared" si="727"/>
        <v>15.21639295562125</v>
      </c>
      <c r="J259" s="172">
        <f t="shared" si="728"/>
        <v>8.5258395789761199</v>
      </c>
      <c r="K259" s="172">
        <f t="shared" si="729"/>
        <v>23.74223253459737</v>
      </c>
      <c r="L259" s="443"/>
      <c r="M259" s="217">
        <f t="shared" si="730"/>
        <v>0.35910019654950953</v>
      </c>
      <c r="N259" s="172">
        <f t="shared" si="731"/>
        <v>184.76314402781841</v>
      </c>
      <c r="O259" s="172">
        <f t="shared" si="599"/>
        <v>43.86</v>
      </c>
      <c r="P259" s="217">
        <f t="shared" si="732"/>
        <v>1.0868420236930494</v>
      </c>
      <c r="Q259" s="217">
        <f t="shared" si="733"/>
        <v>170</v>
      </c>
      <c r="R259" s="217"/>
      <c r="S259" s="172">
        <f t="shared" si="734"/>
        <v>1661.7059265843393</v>
      </c>
      <c r="T259" s="172">
        <f t="shared" si="735"/>
        <v>170</v>
      </c>
      <c r="U259" s="217">
        <f t="shared" si="736"/>
        <v>16.10236100001741</v>
      </c>
      <c r="V259" s="217">
        <f t="shared" si="737"/>
        <v>0.52911228853579462</v>
      </c>
      <c r="W259" s="217">
        <f t="shared" si="738"/>
        <v>0.94432699858230051</v>
      </c>
      <c r="X259" s="197">
        <f t="shared" si="739"/>
        <v>350</v>
      </c>
      <c r="Y259" s="443">
        <f t="shared" si="680"/>
        <v>350</v>
      </c>
      <c r="AA259" s="217">
        <f t="shared" si="740"/>
        <v>31.224052539226243</v>
      </c>
      <c r="AB259" s="173">
        <f t="shared" si="741"/>
        <v>1.831142390728397</v>
      </c>
      <c r="AC259" s="173">
        <f t="shared" si="742"/>
        <v>0.50028725438044352</v>
      </c>
      <c r="AD259" s="173"/>
      <c r="AE259" s="173">
        <f t="shared" si="743"/>
        <v>0.78193667672401557</v>
      </c>
      <c r="AF259" s="545">
        <f t="shared" si="744"/>
        <v>989.84997511912741</v>
      </c>
      <c r="AG259" s="528">
        <f t="shared" si="745"/>
        <v>9.1225945617801826E-2</v>
      </c>
      <c r="AI259" s="173">
        <f t="shared" si="746"/>
        <v>22.422777253120294</v>
      </c>
      <c r="AJ259" s="173">
        <f t="shared" si="747"/>
        <v>22.422777253120294</v>
      </c>
      <c r="AK259" s="173">
        <f t="shared" si="748"/>
        <v>7.9329214220644149</v>
      </c>
      <c r="AM259" s="545">
        <f t="shared" si="749"/>
        <v>258</v>
      </c>
      <c r="AN259" s="460">
        <f t="shared" si="750"/>
        <v>350</v>
      </c>
      <c r="AP259">
        <f t="shared" si="751"/>
        <v>258</v>
      </c>
      <c r="AQ259">
        <f t="shared" si="752"/>
        <v>350</v>
      </c>
      <c r="AS259" s="5">
        <f t="shared" si="600"/>
        <v>2.8571428571428572</v>
      </c>
      <c r="AT259" s="5">
        <f t="shared" si="753"/>
        <v>0.73679673357925657</v>
      </c>
      <c r="AU259" s="5">
        <f t="shared" si="722"/>
        <v>2.1203461235636007</v>
      </c>
      <c r="AV259" s="5"/>
      <c r="AW259" s="173">
        <f t="shared" si="723"/>
        <v>0.2578788567527398</v>
      </c>
      <c r="AX259" s="173">
        <f t="shared" si="631"/>
        <v>43.993332227516781</v>
      </c>
      <c r="AY259" s="173">
        <f t="shared" si="632"/>
        <v>0.41601042724660736</v>
      </c>
      <c r="AZ259" s="173">
        <f t="shared" si="633"/>
        <v>105.75055177989064</v>
      </c>
      <c r="BA259" s="460">
        <f t="shared" si="724"/>
        <v>0.11181973956673423</v>
      </c>
      <c r="BB259" s="5">
        <f t="shared" si="725"/>
        <v>9.7787570287628771</v>
      </c>
      <c r="BD259" s="173">
        <f t="shared" si="681"/>
        <v>6.5741051086315316</v>
      </c>
      <c r="BE259" s="173">
        <f t="shared" si="682"/>
        <v>0.55761722669247116</v>
      </c>
      <c r="BG259" s="528">
        <f t="shared" si="683"/>
        <v>1.7287543191734083</v>
      </c>
      <c r="BH259" s="528">
        <f t="shared" si="754"/>
        <v>4.1923884839686174</v>
      </c>
      <c r="BI259" s="528">
        <f t="shared" si="755"/>
        <v>0.21302950137869753</v>
      </c>
      <c r="BJ259" s="528">
        <f t="shared" si="684"/>
        <v>3.9458552400882578E-2</v>
      </c>
      <c r="BK259">
        <f t="shared" si="685"/>
        <v>6.8473768300295629E-3</v>
      </c>
      <c r="BL259" s="460">
        <f t="shared" si="686"/>
        <v>219.87687820872708</v>
      </c>
      <c r="BM259" s="528">
        <f t="shared" si="756"/>
        <v>10.907742254349458</v>
      </c>
      <c r="BN259" s="460">
        <f t="shared" si="687"/>
        <v>10907.742254349458</v>
      </c>
      <c r="BO259" s="528">
        <f t="shared" si="637"/>
        <v>0.18059999999999998</v>
      </c>
      <c r="BR259" s="460">
        <f t="shared" si="688"/>
        <v>180.6</v>
      </c>
      <c r="BS259" s="528">
        <f t="shared" si="689"/>
        <v>1.296565739380056</v>
      </c>
      <c r="BT259" s="528">
        <f t="shared" si="690"/>
        <v>9.3281091451260824E-3</v>
      </c>
      <c r="BU259" s="528">
        <f t="shared" si="691"/>
        <v>272.81209579273974</v>
      </c>
      <c r="BV259" s="528"/>
      <c r="BW259" s="528">
        <f t="shared" si="692"/>
        <v>4.3993332227516779</v>
      </c>
      <c r="BX259" s="460">
        <f t="shared" si="693"/>
        <v>278517.32286401658</v>
      </c>
      <c r="BY259" s="173">
        <f t="shared" si="694"/>
        <v>284.87840109776823</v>
      </c>
      <c r="BZ259" s="5">
        <f t="shared" si="695"/>
        <v>43.86</v>
      </c>
      <c r="CA259" s="173">
        <f t="shared" si="696"/>
        <v>0.1334191559414315</v>
      </c>
      <c r="CB259" s="5">
        <f t="shared" si="697"/>
        <v>13.341915594143149</v>
      </c>
      <c r="CE259" s="562">
        <f t="shared" si="757"/>
        <v>-50</v>
      </c>
      <c r="CF259">
        <f t="shared" si="758"/>
        <v>-50</v>
      </c>
      <c r="CG259" s="173">
        <f t="shared" si="759"/>
        <v>0.46094532022279394</v>
      </c>
      <c r="CI259" s="170">
        <v>43</v>
      </c>
      <c r="CJ259" s="217">
        <f t="shared" si="698"/>
        <v>0.25800000000000001</v>
      </c>
      <c r="CK259" s="217"/>
      <c r="CL259" s="217">
        <f t="shared" si="641"/>
        <v>43.86</v>
      </c>
      <c r="CM259" s="541">
        <f t="shared" si="642"/>
        <v>16</v>
      </c>
      <c r="CN259" s="443">
        <f t="shared" si="643"/>
        <v>8.5250000000000004</v>
      </c>
      <c r="CO259" s="443">
        <f t="shared" si="644"/>
        <v>24.524999999999999</v>
      </c>
      <c r="CP259" s="443"/>
      <c r="CQ259" s="217">
        <f t="shared" si="645"/>
        <v>0.34760448521916415</v>
      </c>
      <c r="CR259" s="172">
        <f t="shared" si="646"/>
        <v>188.05866123003739</v>
      </c>
      <c r="CS259" s="172">
        <f t="shared" si="647"/>
        <v>43.86</v>
      </c>
      <c r="CT259" s="217">
        <f t="shared" si="648"/>
        <v>1.1062274190002199</v>
      </c>
      <c r="CU259" s="217">
        <f t="shared" si="649"/>
        <v>170</v>
      </c>
      <c r="CV259" s="217"/>
      <c r="CW259" s="172">
        <f t="shared" si="650"/>
        <v>1747.2750074962191</v>
      </c>
      <c r="CX259" s="172">
        <f t="shared" si="651"/>
        <v>170</v>
      </c>
      <c r="CY259" s="217">
        <f t="shared" si="652"/>
        <v>15.772236070381229</v>
      </c>
      <c r="CZ259" s="217">
        <f t="shared" si="653"/>
        <v>0.49288237719941336</v>
      </c>
      <c r="DA259" s="217">
        <f t="shared" si="654"/>
        <v>0.92505783403995467</v>
      </c>
      <c r="DB259" s="197">
        <f t="shared" si="655"/>
        <v>350</v>
      </c>
      <c r="DC259" s="443">
        <f t="shared" si="656"/>
        <v>350</v>
      </c>
      <c r="DE259" s="217">
        <f t="shared" si="657"/>
        <v>31.780981505752148</v>
      </c>
      <c r="DF259" s="173">
        <f t="shared" si="658"/>
        <v>1.8639871850881022</v>
      </c>
      <c r="DG259" s="173">
        <f t="shared" si="659"/>
        <v>0.51834424474213492</v>
      </c>
      <c r="DH259" s="173"/>
      <c r="DI259" s="173">
        <f t="shared" si="660"/>
        <v>0.78201368523949166</v>
      </c>
      <c r="DJ259" s="545">
        <f t="shared" si="661"/>
        <v>989.75250000000005</v>
      </c>
      <c r="DK259" s="528">
        <f t="shared" si="662"/>
        <v>9.1234929944607357E-2</v>
      </c>
      <c r="DM259" s="173">
        <f t="shared" si="663"/>
        <v>22.421673188489493</v>
      </c>
      <c r="DN259" s="173">
        <f t="shared" si="664"/>
        <v>22.421673188489493</v>
      </c>
      <c r="DO259" s="173">
        <f t="shared" si="665"/>
        <v>7.9321035964119693</v>
      </c>
      <c r="DQ259" s="545">
        <f t="shared" si="666"/>
        <v>258</v>
      </c>
      <c r="DR259" s="460">
        <f t="shared" si="667"/>
        <v>350</v>
      </c>
      <c r="DT259">
        <f t="shared" si="668"/>
        <v>258</v>
      </c>
      <c r="DU259">
        <f t="shared" si="669"/>
        <v>350</v>
      </c>
      <c r="DW259" s="5">
        <f t="shared" si="670"/>
        <v>2.8571428571428572</v>
      </c>
      <c r="DX259" s="5">
        <f t="shared" si="671"/>
        <v>0.70067728714029665</v>
      </c>
      <c r="DY259" s="5">
        <f t="shared" si="672"/>
        <v>2.1564655700025606</v>
      </c>
      <c r="DZ259" s="5"/>
      <c r="EA259" s="173">
        <f t="shared" si="673"/>
        <v>0.24523705049910383</v>
      </c>
      <c r="EB259" s="173">
        <f t="shared" si="699"/>
        <v>43.98899999999999</v>
      </c>
      <c r="EC259" s="173">
        <f t="shared" si="700"/>
        <v>0.42307620471223734</v>
      </c>
      <c r="ED259" s="173">
        <f t="shared" si="701"/>
        <v>103.97417654325389</v>
      </c>
      <c r="EE259" s="460">
        <f t="shared" si="674"/>
        <v>0.10633808240129208</v>
      </c>
      <c r="EF259" s="5">
        <f t="shared" si="675"/>
        <v>9.4582579900312318</v>
      </c>
      <c r="EH259" s="173">
        <f t="shared" si="702"/>
        <v>6.4106258856177751</v>
      </c>
      <c r="EI259" s="173">
        <f t="shared" si="703"/>
        <v>0.56231890109569982</v>
      </c>
      <c r="EK259" s="528">
        <f t="shared" si="704"/>
        <v>1.6438449698141073</v>
      </c>
      <c r="EL259" s="528">
        <f t="shared" si="705"/>
        <v>5.2927060238716592</v>
      </c>
      <c r="EM259" s="528">
        <f t="shared" si="706"/>
        <v>6.9999999999999993E-2</v>
      </c>
      <c r="EN259" s="528">
        <f t="shared" si="707"/>
        <v>4.2103293749999993E-2</v>
      </c>
      <c r="EO259">
        <f t="shared" si="708"/>
        <v>7.1999999999999998E-3</v>
      </c>
      <c r="EP259" s="460">
        <f t="shared" si="709"/>
        <v>77.199999999999989</v>
      </c>
      <c r="EQ259" s="460"/>
      <c r="ER259" s="460">
        <f t="shared" si="710"/>
        <v>7055.8542874357681</v>
      </c>
      <c r="ES259" s="528">
        <f t="shared" si="711"/>
        <v>0.18059999999999998</v>
      </c>
      <c r="EV259" s="460">
        <f t="shared" si="712"/>
        <v>180.6</v>
      </c>
      <c r="EW259" s="528">
        <f t="shared" si="713"/>
        <v>1.2328837273605804</v>
      </c>
      <c r="EX259" s="528">
        <f t="shared" si="714"/>
        <v>9.4860763958842624E-3</v>
      </c>
      <c r="EY259" s="528">
        <f t="shared" si="715"/>
        <v>272.77851486524719</v>
      </c>
      <c r="EZ259" s="528"/>
      <c r="FA259" s="528">
        <f t="shared" si="716"/>
        <v>4.3989000000000011</v>
      </c>
      <c r="FB259" s="460">
        <f t="shared" si="717"/>
        <v>278419.78466900368</v>
      </c>
      <c r="FC259" s="173">
        <f t="shared" si="718"/>
        <v>285.65623895643944</v>
      </c>
      <c r="FD259" s="5">
        <f t="shared" si="719"/>
        <v>43.86</v>
      </c>
      <c r="FE259" s="173">
        <f t="shared" si="720"/>
        <v>0.13310421404086883</v>
      </c>
      <c r="FF259" s="5">
        <f t="shared" si="721"/>
        <v>13.310421404086883</v>
      </c>
      <c r="FI259" s="562">
        <f t="shared" si="676"/>
        <v>-50</v>
      </c>
      <c r="FJ259">
        <f t="shared" si="677"/>
        <v>-50</v>
      </c>
      <c r="FL259">
        <f t="shared" si="760"/>
        <v>0.46026895108336202</v>
      </c>
    </row>
    <row r="260" spans="5:168">
      <c r="E260" s="170">
        <v>44</v>
      </c>
      <c r="F260" s="217">
        <f t="shared" si="761"/>
        <v>0.26400000000000001</v>
      </c>
      <c r="G260" s="217"/>
      <c r="H260" s="217">
        <f t="shared" si="726"/>
        <v>44.88</v>
      </c>
      <c r="I260" s="541">
        <f t="shared" si="727"/>
        <v>15.207333613681014</v>
      </c>
      <c r="J260" s="172">
        <f t="shared" si="728"/>
        <v>8.5258492854139138</v>
      </c>
      <c r="K260" s="172">
        <f t="shared" si="729"/>
        <v>23.733182899094928</v>
      </c>
      <c r="L260" s="443"/>
      <c r="M260" s="217">
        <f t="shared" si="730"/>
        <v>0.35923753342966913</v>
      </c>
      <c r="N260" s="172">
        <f t="shared" si="731"/>
        <v>184.72376218905748</v>
      </c>
      <c r="O260" s="172">
        <f t="shared" si="599"/>
        <v>44.88</v>
      </c>
      <c r="P260" s="217">
        <f t="shared" si="732"/>
        <v>1.0866103658179851</v>
      </c>
      <c r="Q260" s="217">
        <f t="shared" si="733"/>
        <v>170</v>
      </c>
      <c r="R260" s="217"/>
      <c r="S260" s="172">
        <f t="shared" si="734"/>
        <v>1616.0652801223357</v>
      </c>
      <c r="T260" s="172">
        <f t="shared" si="735"/>
        <v>170</v>
      </c>
      <c r="U260" s="217">
        <f t="shared" si="736"/>
        <v>16.48036604971918</v>
      </c>
      <c r="V260" s="217">
        <f t="shared" si="737"/>
        <v>0.54185587258021706</v>
      </c>
      <c r="W260" s="217">
        <f t="shared" si="738"/>
        <v>0.96649409918105822</v>
      </c>
      <c r="X260" s="197">
        <f t="shared" si="739"/>
        <v>350</v>
      </c>
      <c r="Y260" s="443">
        <f t="shared" si="680"/>
        <v>350</v>
      </c>
      <c r="AA260" s="217">
        <f t="shared" si="740"/>
        <v>31.217397171474978</v>
      </c>
      <c r="AB260" s="173">
        <f t="shared" si="741"/>
        <v>1.8307500007583957</v>
      </c>
      <c r="AC260" s="173">
        <f t="shared" si="742"/>
        <v>0.50007343658433834</v>
      </c>
      <c r="AD260" s="173"/>
      <c r="AE260" s="173">
        <f t="shared" si="743"/>
        <v>0.7819357865112686</v>
      </c>
      <c r="AF260" s="545">
        <f t="shared" si="744"/>
        <v>1012.8708951071728</v>
      </c>
      <c r="AG260" s="528">
        <f t="shared" si="745"/>
        <v>9.1225841759648027E-2</v>
      </c>
      <c r="AI260" s="173">
        <f t="shared" si="746"/>
        <v>22.682021635014426</v>
      </c>
      <c r="AJ260" s="173">
        <f t="shared" si="747"/>
        <v>22.682021635014426</v>
      </c>
      <c r="AK260" s="173">
        <f t="shared" si="748"/>
        <v>8.1249542975415494</v>
      </c>
      <c r="AM260" s="545">
        <f t="shared" si="749"/>
        <v>264</v>
      </c>
      <c r="AN260" s="460">
        <f t="shared" si="750"/>
        <v>350</v>
      </c>
      <c r="AP260">
        <f t="shared" si="751"/>
        <v>264</v>
      </c>
      <c r="AQ260">
        <f t="shared" si="752"/>
        <v>350</v>
      </c>
      <c r="AS260" s="5">
        <f t="shared" si="600"/>
        <v>2.8571428571428572</v>
      </c>
      <c r="AT260" s="5">
        <f t="shared" si="753"/>
        <v>0.74575932281149326</v>
      </c>
      <c r="AU260" s="5">
        <f t="shared" si="722"/>
        <v>2.1113835343313641</v>
      </c>
      <c r="AV260" s="5"/>
      <c r="AW260" s="173">
        <f t="shared" si="723"/>
        <v>0.26101576298402263</v>
      </c>
      <c r="AX260" s="173">
        <f t="shared" si="631"/>
        <v>45.016484226985476</v>
      </c>
      <c r="AY260" s="173">
        <f t="shared" si="632"/>
        <v>0.41904141129827571</v>
      </c>
      <c r="AZ260" s="173">
        <f t="shared" si="633"/>
        <v>107.42729241846344</v>
      </c>
      <c r="BA260" s="460">
        <f t="shared" si="724"/>
        <v>0.11581203601307896</v>
      </c>
      <c r="BB260" s="5">
        <f t="shared" si="725"/>
        <v>9.9698101379764221</v>
      </c>
      <c r="BD260" s="173">
        <f t="shared" si="681"/>
        <v>6.6904372345879803</v>
      </c>
      <c r="BE260" s="173">
        <f t="shared" si="682"/>
        <v>0.56287080687710411</v>
      </c>
      <c r="BG260" s="528">
        <f t="shared" si="683"/>
        <v>1.7904780155984505</v>
      </c>
      <c r="BH260" s="528">
        <f t="shared" si="754"/>
        <v>4.2392429728820762</v>
      </c>
      <c r="BI260" s="528">
        <f t="shared" si="755"/>
        <v>0.21290267059153417</v>
      </c>
      <c r="BJ260" s="528">
        <f t="shared" si="684"/>
        <v>3.9428477936532431E-2</v>
      </c>
      <c r="BK260">
        <f t="shared" si="685"/>
        <v>6.843300126156456E-3</v>
      </c>
      <c r="BL260" s="460">
        <f t="shared" si="686"/>
        <v>219.74597071769062</v>
      </c>
      <c r="BM260" s="528">
        <f t="shared" si="756"/>
        <v>11.404070613202897</v>
      </c>
      <c r="BN260" s="460">
        <f t="shared" si="687"/>
        <v>11404.070613202897</v>
      </c>
      <c r="BO260" s="528">
        <f t="shared" si="637"/>
        <v>0.18479999999999999</v>
      </c>
      <c r="BR260" s="460">
        <f t="shared" si="688"/>
        <v>184.79999999999998</v>
      </c>
      <c r="BS260" s="528">
        <f t="shared" si="689"/>
        <v>1.3428585116988379</v>
      </c>
      <c r="BT260" s="528">
        <f t="shared" si="690"/>
        <v>9.5047063570344679E-3</v>
      </c>
      <c r="BU260" s="528">
        <f t="shared" si="691"/>
        <v>280.76600086316552</v>
      </c>
      <c r="BV260" s="528"/>
      <c r="BW260" s="528">
        <f t="shared" si="692"/>
        <v>4.5016484226985467</v>
      </c>
      <c r="BX260" s="460">
        <f t="shared" si="693"/>
        <v>286620.01250391995</v>
      </c>
      <c r="BY260" s="173">
        <f t="shared" si="694"/>
        <v>293.09370794105473</v>
      </c>
      <c r="BZ260" s="5">
        <f t="shared" si="695"/>
        <v>44.88</v>
      </c>
      <c r="CA260" s="173">
        <f t="shared" si="696"/>
        <v>0.13279139455376637</v>
      </c>
      <c r="CB260" s="5">
        <f t="shared" si="697"/>
        <v>13.279139455376637</v>
      </c>
      <c r="CE260" s="562">
        <f t="shared" si="757"/>
        <v>-50</v>
      </c>
      <c r="CF260">
        <f t="shared" si="758"/>
        <v>-50</v>
      </c>
      <c r="CG260" s="173">
        <f t="shared" si="759"/>
        <v>0.46627434489352121</v>
      </c>
      <c r="CI260" s="170">
        <v>44</v>
      </c>
      <c r="CJ260" s="217">
        <f t="shared" si="698"/>
        <v>0.26400000000000001</v>
      </c>
      <c r="CK260" s="217"/>
      <c r="CL260" s="217">
        <f t="shared" si="641"/>
        <v>44.88</v>
      </c>
      <c r="CM260" s="541">
        <f t="shared" si="642"/>
        <v>16</v>
      </c>
      <c r="CN260" s="443">
        <f t="shared" si="643"/>
        <v>8.5250000000000004</v>
      </c>
      <c r="CO260" s="443">
        <f t="shared" si="644"/>
        <v>24.524999999999999</v>
      </c>
      <c r="CP260" s="443"/>
      <c r="CQ260" s="217">
        <f t="shared" si="645"/>
        <v>0.34760448521916415</v>
      </c>
      <c r="CR260" s="172">
        <f t="shared" si="646"/>
        <v>188.05866123003739</v>
      </c>
      <c r="CS260" s="172">
        <f t="shared" si="647"/>
        <v>44.88</v>
      </c>
      <c r="CT260" s="217">
        <f t="shared" si="648"/>
        <v>1.1062274190002199</v>
      </c>
      <c r="CU260" s="217">
        <f t="shared" si="649"/>
        <v>170</v>
      </c>
      <c r="CV260" s="217"/>
      <c r="CW260" s="172">
        <f t="shared" si="650"/>
        <v>1700.2960937953123</v>
      </c>
      <c r="CX260" s="172">
        <f t="shared" si="651"/>
        <v>170</v>
      </c>
      <c r="CY260" s="217">
        <f t="shared" si="652"/>
        <v>16.139032258064514</v>
      </c>
      <c r="CZ260" s="217">
        <f t="shared" si="653"/>
        <v>0.50434475806451595</v>
      </c>
      <c r="DA260" s="217">
        <f t="shared" si="654"/>
        <v>0.94657080692460471</v>
      </c>
      <c r="DB260" s="197">
        <f t="shared" si="655"/>
        <v>350</v>
      </c>
      <c r="DC260" s="443">
        <f t="shared" si="656"/>
        <v>350</v>
      </c>
      <c r="DE260" s="217">
        <f t="shared" si="657"/>
        <v>31.780981505752148</v>
      </c>
      <c r="DF260" s="173">
        <f t="shared" si="658"/>
        <v>1.8639871850881022</v>
      </c>
      <c r="DG260" s="173">
        <f t="shared" si="659"/>
        <v>0.51834424474213492</v>
      </c>
      <c r="DH260" s="173"/>
      <c r="DI260" s="173">
        <f t="shared" si="660"/>
        <v>0.78201368523949166</v>
      </c>
      <c r="DJ260" s="545">
        <f t="shared" si="661"/>
        <v>1012.77</v>
      </c>
      <c r="DK260" s="528">
        <f t="shared" si="662"/>
        <v>9.1234929944607357E-2</v>
      </c>
      <c r="DM260" s="173">
        <f t="shared" si="663"/>
        <v>22.680891894783528</v>
      </c>
      <c r="DN260" s="173">
        <f t="shared" si="664"/>
        <v>22.680891894783528</v>
      </c>
      <c r="DO260" s="173">
        <f t="shared" si="665"/>
        <v>8.1241174529260682</v>
      </c>
      <c r="DQ260" s="545">
        <f t="shared" si="666"/>
        <v>264</v>
      </c>
      <c r="DR260" s="460">
        <f t="shared" si="667"/>
        <v>350</v>
      </c>
      <c r="DT260">
        <f t="shared" si="668"/>
        <v>264</v>
      </c>
      <c r="DU260">
        <f t="shared" si="669"/>
        <v>350</v>
      </c>
      <c r="DW260" s="5">
        <f t="shared" si="670"/>
        <v>2.8571428571428572</v>
      </c>
      <c r="DX260" s="5">
        <f t="shared" si="671"/>
        <v>0.70877787171198514</v>
      </c>
      <c r="DY260" s="5">
        <f t="shared" si="672"/>
        <v>2.148364985430872</v>
      </c>
      <c r="DZ260" s="5"/>
      <c r="EA260" s="173">
        <f t="shared" si="673"/>
        <v>0.24807225509919478</v>
      </c>
      <c r="EB260" s="173">
        <f t="shared" si="699"/>
        <v>45.011999999999993</v>
      </c>
      <c r="EC260" s="173">
        <f t="shared" si="700"/>
        <v>0.42635979736958829</v>
      </c>
      <c r="ED260" s="173">
        <f t="shared" si="701"/>
        <v>105.57280559213119</v>
      </c>
      <c r="EE260" s="460">
        <f t="shared" si="674"/>
        <v>0.11006903419527299</v>
      </c>
      <c r="EF260" s="5">
        <f t="shared" si="675"/>
        <v>9.6418620546137532</v>
      </c>
      <c r="EH260" s="173">
        <f t="shared" si="702"/>
        <v>6.5221171983234481</v>
      </c>
      <c r="EI260" s="173">
        <f t="shared" si="703"/>
        <v>0.56775054593901364</v>
      </c>
      <c r="EK260" s="528">
        <f t="shared" si="704"/>
        <v>1.7015205099466602</v>
      </c>
      <c r="EL260" s="528">
        <f t="shared" si="705"/>
        <v>5.3538954095508222</v>
      </c>
      <c r="EM260" s="528">
        <f t="shared" si="706"/>
        <v>6.9999999999999993E-2</v>
      </c>
      <c r="EN260" s="528">
        <f t="shared" si="707"/>
        <v>4.2103293749999993E-2</v>
      </c>
      <c r="EO260">
        <f t="shared" si="708"/>
        <v>7.1999999999999998E-3</v>
      </c>
      <c r="EP260" s="460">
        <f t="shared" si="709"/>
        <v>77.199999999999989</v>
      </c>
      <c r="EQ260" s="460"/>
      <c r="ER260" s="460">
        <f t="shared" si="710"/>
        <v>7174.7192132474829</v>
      </c>
      <c r="ES260" s="528">
        <f t="shared" si="711"/>
        <v>0.18479999999999999</v>
      </c>
      <c r="EV260" s="460">
        <f t="shared" si="712"/>
        <v>184.79999999999998</v>
      </c>
      <c r="EW260" s="528">
        <f t="shared" si="713"/>
        <v>1.2761403824599951</v>
      </c>
      <c r="EX260" s="528">
        <f t="shared" si="714"/>
        <v>9.6702204724214407E-3</v>
      </c>
      <c r="EY260" s="528">
        <f t="shared" si="715"/>
        <v>280.73104136938002</v>
      </c>
      <c r="EZ260" s="528"/>
      <c r="FA260" s="528">
        <f t="shared" si="716"/>
        <v>4.5011999999999999</v>
      </c>
      <c r="FB260" s="460">
        <f t="shared" si="717"/>
        <v>286518.05197231245</v>
      </c>
      <c r="FC260" s="173">
        <f t="shared" si="718"/>
        <v>293.87757118555993</v>
      </c>
      <c r="FD260" s="5">
        <f t="shared" si="719"/>
        <v>44.88</v>
      </c>
      <c r="FE260" s="173">
        <f t="shared" si="720"/>
        <v>0.13248412380255337</v>
      </c>
      <c r="FF260" s="5">
        <f t="shared" si="721"/>
        <v>13.248412380255337</v>
      </c>
      <c r="FI260" s="562">
        <f t="shared" si="676"/>
        <v>-50</v>
      </c>
      <c r="FJ260">
        <f t="shared" si="677"/>
        <v>-50</v>
      </c>
      <c r="FL260">
        <f t="shared" si="760"/>
        <v>0.46559015619790234</v>
      </c>
    </row>
    <row r="261" spans="5:168">
      <c r="E261" s="170">
        <v>45</v>
      </c>
      <c r="F261" s="217">
        <f t="shared" si="761"/>
        <v>0.27</v>
      </c>
      <c r="G261" s="217"/>
      <c r="H261" s="217">
        <f t="shared" si="726"/>
        <v>45.900000000000006</v>
      </c>
      <c r="I261" s="541">
        <f t="shared" si="727"/>
        <v>15.198376647046757</v>
      </c>
      <c r="J261" s="172">
        <f t="shared" si="728"/>
        <v>8.5258588821638792</v>
      </c>
      <c r="K261" s="172">
        <f t="shared" si="729"/>
        <v>23.724235529210638</v>
      </c>
      <c r="L261" s="443"/>
      <c r="M261" s="217">
        <f t="shared" si="730"/>
        <v>0.35937342133631039</v>
      </c>
      <c r="N261" s="172">
        <f t="shared" si="731"/>
        <v>184.68479560181788</v>
      </c>
      <c r="O261" s="172">
        <f t="shared" si="599"/>
        <v>45.900000000000006</v>
      </c>
      <c r="P261" s="217">
        <f t="shared" si="732"/>
        <v>1.0863811505989287</v>
      </c>
      <c r="Q261" s="217">
        <f t="shared" si="733"/>
        <v>170</v>
      </c>
      <c r="R261" s="217"/>
      <c r="S261" s="172">
        <f t="shared" si="734"/>
        <v>1572.4718850397117</v>
      </c>
      <c r="T261" s="172">
        <f t="shared" si="735"/>
        <v>170</v>
      </c>
      <c r="U261" s="217">
        <f t="shared" si="736"/>
        <v>16.858495041726467</v>
      </c>
      <c r="V261" s="217">
        <f t="shared" si="737"/>
        <v>0.55461499057540109</v>
      </c>
      <c r="W261" s="217">
        <f t="shared" si="738"/>
        <v>0.98866843063720444</v>
      </c>
      <c r="X261" s="197">
        <f t="shared" si="739"/>
        <v>350</v>
      </c>
      <c r="Y261" s="443">
        <f t="shared" si="680"/>
        <v>350</v>
      </c>
      <c r="AA261" s="217">
        <f t="shared" si="740"/>
        <v>31.210811979565388</v>
      </c>
      <c r="AB261" s="173">
        <f t="shared" si="741"/>
        <v>1.8303617507004775</v>
      </c>
      <c r="AC261" s="173">
        <f t="shared" si="742"/>
        <v>0.49986191898738147</v>
      </c>
      <c r="AD261" s="173"/>
      <c r="AE261" s="173">
        <f t="shared" si="743"/>
        <v>0.78193490636038465</v>
      </c>
      <c r="AF261" s="545">
        <f t="shared" si="744"/>
        <v>1035.8918541829114</v>
      </c>
      <c r="AG261" s="528">
        <f t="shared" si="745"/>
        <v>9.1225739075378204E-2</v>
      </c>
      <c r="AI261" s="173">
        <f t="shared" si="746"/>
        <v>22.938336709830168</v>
      </c>
      <c r="AJ261" s="173">
        <f t="shared" si="747"/>
        <v>22.938336709830168</v>
      </c>
      <c r="AK261" s="173">
        <f t="shared" si="748"/>
        <v>8.3148173159235803</v>
      </c>
      <c r="AM261" s="545">
        <f t="shared" si="749"/>
        <v>270</v>
      </c>
      <c r="AN261" s="460">
        <f t="shared" si="750"/>
        <v>350</v>
      </c>
      <c r="AP261">
        <f t="shared" si="751"/>
        <v>270</v>
      </c>
      <c r="AQ261">
        <f t="shared" si="752"/>
        <v>350</v>
      </c>
      <c r="AS261" s="5">
        <f t="shared" si="600"/>
        <v>2.8571428571428572</v>
      </c>
      <c r="AT261" s="5">
        <f t="shared" si="753"/>
        <v>0.75463114392178798</v>
      </c>
      <c r="AU261" s="5">
        <f t="shared" si="722"/>
        <v>2.1025117132210691</v>
      </c>
      <c r="AV261" s="5"/>
      <c r="AW261" s="173">
        <f t="shared" si="723"/>
        <v>0.26412090037262581</v>
      </c>
      <c r="AX261" s="173">
        <f t="shared" si="631"/>
        <v>46.039637963684939</v>
      </c>
      <c r="AY261" s="173">
        <f t="shared" si="632"/>
        <v>0.42199606412448426</v>
      </c>
      <c r="AZ261" s="173">
        <f t="shared" si="633"/>
        <v>109.09968570252765</v>
      </c>
      <c r="BA261" s="460">
        <f t="shared" si="724"/>
        <v>0.11985318168169574</v>
      </c>
      <c r="BB261" s="5">
        <f t="shared" si="725"/>
        <v>10.159536363968117</v>
      </c>
      <c r="BD261" s="173">
        <f t="shared" si="681"/>
        <v>6.806168247727503</v>
      </c>
      <c r="BE261" s="173">
        <f t="shared" si="682"/>
        <v>0.5680342656656816</v>
      </c>
      <c r="BG261" s="528">
        <f t="shared" si="683"/>
        <v>1.8529570486549627</v>
      </c>
      <c r="BH261" s="528">
        <f t="shared" si="754"/>
        <v>4.2855317091747525</v>
      </c>
      <c r="BI261" s="528">
        <f t="shared" si="755"/>
        <v>0.21277727305865463</v>
      </c>
      <c r="BJ261" s="528">
        <f t="shared" si="684"/>
        <v>3.9398754601182223E-2</v>
      </c>
      <c r="BK261">
        <f t="shared" si="685"/>
        <v>6.8392694911710407E-3</v>
      </c>
      <c r="BL261" s="460">
        <f t="shared" si="686"/>
        <v>219.61654254982565</v>
      </c>
      <c r="BM261" s="528">
        <f t="shared" si="756"/>
        <v>11.930926632836542</v>
      </c>
      <c r="BN261" s="460">
        <f t="shared" si="687"/>
        <v>11930.926632836541</v>
      </c>
      <c r="BO261" s="528">
        <f t="shared" si="637"/>
        <v>0.189</v>
      </c>
      <c r="BR261" s="460">
        <f t="shared" si="688"/>
        <v>189</v>
      </c>
      <c r="BS261" s="528">
        <f t="shared" si="689"/>
        <v>1.389717786491222</v>
      </c>
      <c r="BT261" s="528">
        <f t="shared" si="690"/>
        <v>9.6798878091105042E-3</v>
      </c>
      <c r="BU261" s="528">
        <f t="shared" si="691"/>
        <v>288.76524647758066</v>
      </c>
      <c r="BV261" s="528"/>
      <c r="BW261" s="528">
        <f t="shared" si="692"/>
        <v>4.603963796368495</v>
      </c>
      <c r="BX261" s="460">
        <f t="shared" si="693"/>
        <v>294768.6079482495</v>
      </c>
      <c r="BY261" s="173">
        <f t="shared" si="694"/>
        <v>301.3551120032302</v>
      </c>
      <c r="BZ261" s="5">
        <f t="shared" si="695"/>
        <v>45.900000000000006</v>
      </c>
      <c r="CA261" s="173">
        <f t="shared" si="696"/>
        <v>0.13217947962008125</v>
      </c>
      <c r="CB261" s="5">
        <f t="shared" si="697"/>
        <v>13.217947962008125</v>
      </c>
      <c r="CE261" s="562">
        <f t="shared" si="757"/>
        <v>-50</v>
      </c>
      <c r="CF261">
        <f t="shared" si="758"/>
        <v>-50</v>
      </c>
      <c r="CG261" s="173">
        <f t="shared" si="759"/>
        <v>0.47154314879602544</v>
      </c>
      <c r="CI261" s="170">
        <v>45</v>
      </c>
      <c r="CJ261" s="217">
        <f t="shared" si="698"/>
        <v>0.27</v>
      </c>
      <c r="CK261" s="217"/>
      <c r="CL261" s="217">
        <f t="shared" si="641"/>
        <v>45.900000000000006</v>
      </c>
      <c r="CM261" s="541">
        <f t="shared" si="642"/>
        <v>16</v>
      </c>
      <c r="CN261" s="443">
        <f t="shared" si="643"/>
        <v>8.5250000000000004</v>
      </c>
      <c r="CO261" s="443">
        <f t="shared" si="644"/>
        <v>24.524999999999999</v>
      </c>
      <c r="CP261" s="443"/>
      <c r="CQ261" s="217">
        <f t="shared" si="645"/>
        <v>0.34760448521916415</v>
      </c>
      <c r="CR261" s="172">
        <f t="shared" si="646"/>
        <v>188.05866123003739</v>
      </c>
      <c r="CS261" s="172">
        <f t="shared" si="647"/>
        <v>45.900000000000006</v>
      </c>
      <c r="CT261" s="217">
        <f t="shared" si="648"/>
        <v>1.1062274190002199</v>
      </c>
      <c r="CU261" s="217">
        <f t="shared" si="649"/>
        <v>170</v>
      </c>
      <c r="CV261" s="217"/>
      <c r="CW261" s="172">
        <f t="shared" si="650"/>
        <v>1655.4052658603212</v>
      </c>
      <c r="CX261" s="172">
        <f t="shared" si="651"/>
        <v>170</v>
      </c>
      <c r="CY261" s="217">
        <f t="shared" si="652"/>
        <v>16.505828445747802</v>
      </c>
      <c r="CZ261" s="217">
        <f t="shared" si="653"/>
        <v>0.51580713892961882</v>
      </c>
      <c r="DA261" s="217">
        <f t="shared" si="654"/>
        <v>0.96808377980925531</v>
      </c>
      <c r="DB261" s="197">
        <f t="shared" si="655"/>
        <v>350</v>
      </c>
      <c r="DC261" s="443">
        <f t="shared" si="656"/>
        <v>350</v>
      </c>
      <c r="DE261" s="217">
        <f t="shared" si="657"/>
        <v>31.780981505752148</v>
      </c>
      <c r="DF261" s="173">
        <f t="shared" si="658"/>
        <v>1.8639871850881022</v>
      </c>
      <c r="DG261" s="173">
        <f t="shared" si="659"/>
        <v>0.51834424474213492</v>
      </c>
      <c r="DH261" s="173"/>
      <c r="DI261" s="173">
        <f t="shared" si="660"/>
        <v>0.78201368523949166</v>
      </c>
      <c r="DJ261" s="545">
        <f t="shared" si="661"/>
        <v>1035.7874999999999</v>
      </c>
      <c r="DK261" s="528">
        <f t="shared" si="662"/>
        <v>9.1234929944607357E-2</v>
      </c>
      <c r="DM261" s="173">
        <f t="shared" si="663"/>
        <v>22.937181294010077</v>
      </c>
      <c r="DN261" s="173">
        <f t="shared" si="664"/>
        <v>22.937181294010077</v>
      </c>
      <c r="DO261" s="173">
        <f t="shared" si="665"/>
        <v>8.3139614523531442</v>
      </c>
      <c r="DQ261" s="545">
        <f t="shared" si="666"/>
        <v>270</v>
      </c>
      <c r="DR261" s="460">
        <f t="shared" si="667"/>
        <v>350</v>
      </c>
      <c r="DT261">
        <f t="shared" si="668"/>
        <v>270</v>
      </c>
      <c r="DU261">
        <f t="shared" si="669"/>
        <v>350</v>
      </c>
      <c r="DW261" s="5">
        <f t="shared" si="670"/>
        <v>2.8571428571428572</v>
      </c>
      <c r="DX261" s="5">
        <f t="shared" si="671"/>
        <v>0.71678691543781481</v>
      </c>
      <c r="DY261" s="5">
        <f t="shared" si="672"/>
        <v>2.1403559417050424</v>
      </c>
      <c r="DZ261" s="5"/>
      <c r="EA261" s="173">
        <f t="shared" si="673"/>
        <v>0.25087542040323518</v>
      </c>
      <c r="EB261" s="173">
        <f t="shared" si="699"/>
        <v>46.034999999999997</v>
      </c>
      <c r="EC261" s="173">
        <f t="shared" si="700"/>
        <v>0.42957015735025195</v>
      </c>
      <c r="ED261" s="173">
        <f t="shared" si="701"/>
        <v>107.16526558539576</v>
      </c>
      <c r="EE261" s="460">
        <f t="shared" si="674"/>
        <v>0.1138426277460059</v>
      </c>
      <c r="EF261" s="5">
        <f t="shared" si="675"/>
        <v>9.8242337724261457</v>
      </c>
      <c r="EH261" s="173">
        <f t="shared" si="702"/>
        <v>6.6329767728805651</v>
      </c>
      <c r="EI261" s="173">
        <f t="shared" si="703"/>
        <v>0.57309477336182257</v>
      </c>
      <c r="EK261" s="528">
        <f t="shared" si="704"/>
        <v>1.7598552347829231</v>
      </c>
      <c r="EL261" s="528">
        <f t="shared" si="705"/>
        <v>5.4143933231426216</v>
      </c>
      <c r="EM261" s="528">
        <f t="shared" si="706"/>
        <v>6.9999999999999993E-2</v>
      </c>
      <c r="EN261" s="528">
        <f t="shared" si="707"/>
        <v>4.2103293749999993E-2</v>
      </c>
      <c r="EO261">
        <f t="shared" si="708"/>
        <v>7.1999999999999998E-3</v>
      </c>
      <c r="EP261" s="460">
        <f t="shared" si="709"/>
        <v>77.199999999999989</v>
      </c>
      <c r="EQ261" s="460"/>
      <c r="ER261" s="460">
        <f t="shared" si="710"/>
        <v>7293.5518516755455</v>
      </c>
      <c r="ES261" s="528">
        <f t="shared" si="711"/>
        <v>0.189</v>
      </c>
      <c r="EV261" s="460">
        <f t="shared" si="712"/>
        <v>189</v>
      </c>
      <c r="EW261" s="528">
        <f t="shared" si="713"/>
        <v>1.3198914260871921</v>
      </c>
      <c r="EX261" s="528">
        <f t="shared" si="714"/>
        <v>9.8531285776391631E-3</v>
      </c>
      <c r="EY261" s="528">
        <f t="shared" si="715"/>
        <v>288.72888471626004</v>
      </c>
      <c r="EZ261" s="528"/>
      <c r="FA261" s="528">
        <f t="shared" si="716"/>
        <v>4.6035000000000013</v>
      </c>
      <c r="FB261" s="460">
        <f t="shared" si="717"/>
        <v>294662.1292709249</v>
      </c>
      <c r="FC261" s="173">
        <f t="shared" si="718"/>
        <v>302.14468112260039</v>
      </c>
      <c r="FD261" s="5">
        <f t="shared" si="719"/>
        <v>45.900000000000006</v>
      </c>
      <c r="FE261" s="173">
        <f t="shared" si="720"/>
        <v>0.13187961916829727</v>
      </c>
      <c r="FF261" s="5">
        <f t="shared" si="721"/>
        <v>13.187961916829726</v>
      </c>
      <c r="FI261" s="562">
        <f t="shared" si="676"/>
        <v>-50</v>
      </c>
      <c r="FJ261">
        <f t="shared" si="677"/>
        <v>-50</v>
      </c>
      <c r="FL261">
        <f t="shared" si="760"/>
        <v>0.4708512289092977</v>
      </c>
    </row>
    <row r="262" spans="5:168">
      <c r="E262" s="170">
        <v>46</v>
      </c>
      <c r="F262" s="217">
        <f t="shared" si="761"/>
        <v>0.27600000000000002</v>
      </c>
      <c r="G262" s="217"/>
      <c r="H262" s="217">
        <f t="shared" si="726"/>
        <v>46.92</v>
      </c>
      <c r="I262" s="541">
        <f t="shared" si="727"/>
        <v>15.189518661535011</v>
      </c>
      <c r="J262" s="172">
        <f t="shared" si="728"/>
        <v>8.5258683728626412</v>
      </c>
      <c r="K262" s="172">
        <f t="shared" si="729"/>
        <v>23.715387034397651</v>
      </c>
      <c r="L262" s="443"/>
      <c r="M262" s="217">
        <f t="shared" si="730"/>
        <v>0.35950790842318531</v>
      </c>
      <c r="N262" s="172">
        <f t="shared" si="731"/>
        <v>184.64623046574886</v>
      </c>
      <c r="O262" s="172">
        <f t="shared" ref="O262:O316" si="762">T262*F262</f>
        <v>46.92</v>
      </c>
      <c r="P262" s="217">
        <f t="shared" si="732"/>
        <v>1.0861542968573463</v>
      </c>
      <c r="Q262" s="217">
        <f t="shared" si="733"/>
        <v>170</v>
      </c>
      <c r="R262" s="217"/>
      <c r="S262" s="172">
        <f t="shared" si="734"/>
        <v>1530.7917510583161</v>
      </c>
      <c r="T262" s="172">
        <f t="shared" si="735"/>
        <v>170</v>
      </c>
      <c r="U262" s="217">
        <f t="shared" si="736"/>
        <v>17.236746784524453</v>
      </c>
      <c r="V262" s="217">
        <f t="shared" si="737"/>
        <v>0.56738949958215967</v>
      </c>
      <c r="W262" s="217">
        <f t="shared" si="738"/>
        <v>1.0108499234745429</v>
      </c>
      <c r="X262" s="197">
        <f t="shared" si="739"/>
        <v>350</v>
      </c>
      <c r="Y262" s="443">
        <f t="shared" si="680"/>
        <v>350</v>
      </c>
      <c r="AA262" s="217">
        <f t="shared" si="740"/>
        <v>31.204294631293589</v>
      </c>
      <c r="AB262" s="173">
        <f t="shared" si="741"/>
        <v>1.8299775029728995</v>
      </c>
      <c r="AC262" s="173">
        <f t="shared" si="742"/>
        <v>0.49965262524979637</v>
      </c>
      <c r="AD262" s="173"/>
      <c r="AE262" s="173">
        <f t="shared" si="743"/>
        <v>0.78193403593776922</v>
      </c>
      <c r="AF262" s="545">
        <f t="shared" si="744"/>
        <v>1058.9128519095402</v>
      </c>
      <c r="AG262" s="528">
        <f t="shared" si="745"/>
        <v>9.1225637526073072E-2</v>
      </c>
      <c r="AI262" s="173">
        <f t="shared" si="746"/>
        <v>23.191819596746186</v>
      </c>
      <c r="AJ262" s="173">
        <f t="shared" si="747"/>
        <v>23.191819596746186</v>
      </c>
      <c r="AK262" s="173">
        <f t="shared" si="748"/>
        <v>8.5025824173428539</v>
      </c>
      <c r="AM262" s="545">
        <f t="shared" si="749"/>
        <v>276</v>
      </c>
      <c r="AN262" s="460">
        <f t="shared" si="750"/>
        <v>350</v>
      </c>
      <c r="AP262">
        <f t="shared" si="751"/>
        <v>276</v>
      </c>
      <c r="AQ262">
        <f t="shared" si="752"/>
        <v>350</v>
      </c>
      <c r="AS262" s="5">
        <f t="shared" si="600"/>
        <v>2.8571428571428572</v>
      </c>
      <c r="AT262" s="5">
        <f t="shared" si="753"/>
        <v>0.76341522445591725</v>
      </c>
      <c r="AU262" s="5">
        <f t="shared" si="722"/>
        <v>2.0937276326869401</v>
      </c>
      <c r="AV262" s="5"/>
      <c r="AW262" s="173">
        <f t="shared" si="723"/>
        <v>0.26719532855957101</v>
      </c>
      <c r="AX262" s="173">
        <f t="shared" si="631"/>
        <v>47.062793418201792</v>
      </c>
      <c r="AY262" s="173">
        <f t="shared" si="632"/>
        <v>0.42487684349248234</v>
      </c>
      <c r="AZ262" s="173">
        <f t="shared" si="633"/>
        <v>110.76808289043531</v>
      </c>
      <c r="BA262" s="460">
        <f t="shared" si="724"/>
        <v>0.12394270702931363</v>
      </c>
      <c r="BB262" s="5">
        <f t="shared" si="725"/>
        <v>10.347946129399585</v>
      </c>
      <c r="BD262" s="173">
        <f t="shared" si="681"/>
        <v>6.9213151930230694</v>
      </c>
      <c r="BE262" s="173">
        <f t="shared" si="682"/>
        <v>0.57311043453283983</v>
      </c>
      <c r="BG262" s="528">
        <f t="shared" si="683"/>
        <v>1.9161841600468787</v>
      </c>
      <c r="BH262" s="528">
        <f t="shared" si="754"/>
        <v>4.3312734499290153</v>
      </c>
      <c r="BI262" s="528">
        <f t="shared" si="755"/>
        <v>0.21265326126149017</v>
      </c>
      <c r="BJ262" s="528">
        <f t="shared" si="684"/>
        <v>3.9369370753389331E-2</v>
      </c>
      <c r="BK262">
        <f t="shared" si="685"/>
        <v>6.8352833976907546E-3</v>
      </c>
      <c r="BL262" s="460">
        <f t="shared" si="686"/>
        <v>219.48854465918095</v>
      </c>
      <c r="BM262" s="528">
        <f t="shared" si="756"/>
        <v>12.49130491391279</v>
      </c>
      <c r="BN262" s="460">
        <f t="shared" si="687"/>
        <v>12491.304913912791</v>
      </c>
      <c r="BO262" s="528">
        <f t="shared" si="637"/>
        <v>0.19320000000000001</v>
      </c>
      <c r="BR262" s="460">
        <f t="shared" si="688"/>
        <v>193.20000000000002</v>
      </c>
      <c r="BS262" s="528">
        <f t="shared" si="689"/>
        <v>1.437138120035159</v>
      </c>
      <c r="BT262" s="528">
        <f t="shared" si="690"/>
        <v>9.8536671051126148E-3</v>
      </c>
      <c r="BU262" s="528">
        <f t="shared" si="691"/>
        <v>296.80907499413314</v>
      </c>
      <c r="BV262" s="528"/>
      <c r="BW262" s="528">
        <f t="shared" si="692"/>
        <v>4.7062793418201787</v>
      </c>
      <c r="BX262" s="460">
        <f t="shared" si="693"/>
        <v>302962.34612309362</v>
      </c>
      <c r="BY262" s="173">
        <f t="shared" si="694"/>
        <v>309.66186164848204</v>
      </c>
      <c r="BZ262" s="5">
        <f t="shared" si="695"/>
        <v>46.92</v>
      </c>
      <c r="CA262" s="173">
        <f t="shared" si="696"/>
        <v>0.13158268842696683</v>
      </c>
      <c r="CB262" s="5">
        <f t="shared" si="697"/>
        <v>13.158268842696682</v>
      </c>
      <c r="CE262" s="562">
        <f t="shared" si="757"/>
        <v>-50</v>
      </c>
      <c r="CF262">
        <f t="shared" si="758"/>
        <v>-50</v>
      </c>
      <c r="CG262" s="173">
        <f t="shared" si="759"/>
        <v>0.47675372850881698</v>
      </c>
      <c r="CI262" s="170">
        <v>46</v>
      </c>
      <c r="CJ262" s="217">
        <f t="shared" si="698"/>
        <v>0.27600000000000002</v>
      </c>
      <c r="CK262" s="217"/>
      <c r="CL262" s="217">
        <f t="shared" si="641"/>
        <v>46.92</v>
      </c>
      <c r="CM262" s="541">
        <f t="shared" si="642"/>
        <v>16</v>
      </c>
      <c r="CN262" s="443">
        <f t="shared" si="643"/>
        <v>8.5250000000000004</v>
      </c>
      <c r="CO262" s="443">
        <f t="shared" si="644"/>
        <v>24.524999999999999</v>
      </c>
      <c r="CP262" s="443"/>
      <c r="CQ262" s="217">
        <f t="shared" si="645"/>
        <v>0.34760448521916415</v>
      </c>
      <c r="CR262" s="172">
        <f t="shared" si="646"/>
        <v>188.05866123003739</v>
      </c>
      <c r="CS262" s="172">
        <f t="shared" si="647"/>
        <v>46.92</v>
      </c>
      <c r="CT262" s="217">
        <f t="shared" si="648"/>
        <v>1.1062274190002199</v>
      </c>
      <c r="CU262" s="217">
        <f t="shared" si="649"/>
        <v>170</v>
      </c>
      <c r="CV262" s="217"/>
      <c r="CW262" s="172">
        <f t="shared" si="650"/>
        <v>1612.4663458764694</v>
      </c>
      <c r="CX262" s="172">
        <f t="shared" si="651"/>
        <v>170</v>
      </c>
      <c r="CY262" s="217">
        <f t="shared" si="652"/>
        <v>16.872624633431084</v>
      </c>
      <c r="CZ262" s="217">
        <f t="shared" si="653"/>
        <v>0.52726951979472136</v>
      </c>
      <c r="DA262" s="217">
        <f t="shared" si="654"/>
        <v>0.98959675269390512</v>
      </c>
      <c r="DB262" s="197">
        <f t="shared" si="655"/>
        <v>350</v>
      </c>
      <c r="DC262" s="443">
        <f t="shared" si="656"/>
        <v>350</v>
      </c>
      <c r="DE262" s="217">
        <f t="shared" si="657"/>
        <v>31.780981505752148</v>
      </c>
      <c r="DF262" s="173">
        <f t="shared" si="658"/>
        <v>1.8639871850881022</v>
      </c>
      <c r="DG262" s="173">
        <f t="shared" si="659"/>
        <v>0.51834424474213492</v>
      </c>
      <c r="DH262" s="173"/>
      <c r="DI262" s="173">
        <f t="shared" si="660"/>
        <v>0.78201368523949166</v>
      </c>
      <c r="DJ262" s="545">
        <f t="shared" si="661"/>
        <v>1058.8050000000001</v>
      </c>
      <c r="DK262" s="528">
        <f t="shared" si="662"/>
        <v>9.1234929944607357E-2</v>
      </c>
      <c r="DM262" s="173">
        <f t="shared" si="663"/>
        <v>23.190638505347678</v>
      </c>
      <c r="DN262" s="173">
        <f t="shared" si="664"/>
        <v>23.190638505347678</v>
      </c>
      <c r="DO262" s="173">
        <f t="shared" si="665"/>
        <v>8.5017075348254387</v>
      </c>
      <c r="DQ262" s="545">
        <f t="shared" si="666"/>
        <v>276</v>
      </c>
      <c r="DR262" s="460">
        <f t="shared" si="667"/>
        <v>350</v>
      </c>
      <c r="DT262">
        <f t="shared" si="668"/>
        <v>276</v>
      </c>
      <c r="DU262">
        <f t="shared" si="669"/>
        <v>350</v>
      </c>
      <c r="DW262" s="5">
        <f t="shared" si="670"/>
        <v>2.8571428571428572</v>
      </c>
      <c r="DX262" s="5">
        <f t="shared" si="671"/>
        <v>0.72470745329211494</v>
      </c>
      <c r="DY262" s="5">
        <f t="shared" si="672"/>
        <v>2.1324354038507423</v>
      </c>
      <c r="DZ262" s="5"/>
      <c r="EA262" s="173">
        <f t="shared" si="673"/>
        <v>0.25364760865224023</v>
      </c>
      <c r="EB262" s="173">
        <f t="shared" si="699"/>
        <v>47.058000000000007</v>
      </c>
      <c r="EC262" s="173">
        <f t="shared" si="700"/>
        <v>0.4327097126336919</v>
      </c>
      <c r="ED262" s="173">
        <f t="shared" si="701"/>
        <v>108.75189214862091</v>
      </c>
      <c r="EE262" s="460">
        <f t="shared" si="674"/>
        <v>0.11765838653448456</v>
      </c>
      <c r="EF262" s="5">
        <f t="shared" si="675"/>
        <v>10.005386914867682</v>
      </c>
      <c r="EH262" s="173">
        <f t="shared" si="702"/>
        <v>6.7432221118216518</v>
      </c>
      <c r="EI262" s="173">
        <f t="shared" si="703"/>
        <v>0.57835440471049193</v>
      </c>
      <c r="EK262" s="528">
        <f t="shared" si="704"/>
        <v>1.8188417779744182</v>
      </c>
      <c r="EL262" s="528">
        <f t="shared" si="705"/>
        <v>5.4742226899326489</v>
      </c>
      <c r="EM262" s="528">
        <f t="shared" si="706"/>
        <v>6.9999999999999993E-2</v>
      </c>
      <c r="EN262" s="528">
        <f t="shared" si="707"/>
        <v>4.2103293749999993E-2</v>
      </c>
      <c r="EO262">
        <f t="shared" si="708"/>
        <v>7.1999999999999998E-3</v>
      </c>
      <c r="EP262" s="460">
        <f t="shared" si="709"/>
        <v>77.199999999999989</v>
      </c>
      <c r="EQ262" s="460"/>
      <c r="ER262" s="460">
        <f t="shared" si="710"/>
        <v>7412.3677616570676</v>
      </c>
      <c r="ES262" s="528">
        <f t="shared" si="711"/>
        <v>0.19320000000000001</v>
      </c>
      <c r="EV262" s="460">
        <f t="shared" si="712"/>
        <v>193.20000000000002</v>
      </c>
      <c r="EW262" s="528">
        <f t="shared" si="713"/>
        <v>1.3641313334808136</v>
      </c>
      <c r="EX262" s="528">
        <f t="shared" si="714"/>
        <v>1.0034814523440823E-2</v>
      </c>
      <c r="EY262" s="528">
        <f t="shared" si="715"/>
        <v>296.77128739682604</v>
      </c>
      <c r="EZ262" s="528"/>
      <c r="FA262" s="528">
        <f t="shared" si="716"/>
        <v>4.7058000000000018</v>
      </c>
      <c r="FB262" s="460">
        <f t="shared" si="717"/>
        <v>302851.25354483031</v>
      </c>
      <c r="FC262" s="173">
        <f t="shared" si="718"/>
        <v>310.45682130648737</v>
      </c>
      <c r="FD262" s="5">
        <f t="shared" si="719"/>
        <v>46.92</v>
      </c>
      <c r="FE262" s="173">
        <f t="shared" si="720"/>
        <v>0.13128999197113927</v>
      </c>
      <c r="FF262" s="5">
        <f t="shared" si="721"/>
        <v>13.128999197113927</v>
      </c>
      <c r="FI262" s="562">
        <f t="shared" si="676"/>
        <v>-50</v>
      </c>
      <c r="FJ262">
        <f t="shared" si="677"/>
        <v>-50</v>
      </c>
      <c r="FL262">
        <f t="shared" si="760"/>
        <v>0.47605416286637459</v>
      </c>
    </row>
    <row r="263" spans="5:168">
      <c r="E263" s="170">
        <v>47</v>
      </c>
      <c r="F263" s="217">
        <f t="shared" si="761"/>
        <v>0.28199999999999997</v>
      </c>
      <c r="G263" s="217"/>
      <c r="H263" s="217">
        <f t="shared" si="726"/>
        <v>47.94</v>
      </c>
      <c r="I263" s="541">
        <f t="shared" si="727"/>
        <v>15.180756446470282</v>
      </c>
      <c r="J263" s="172">
        <f t="shared" si="728"/>
        <v>8.5258777609502108</v>
      </c>
      <c r="K263" s="172">
        <f t="shared" si="729"/>
        <v>23.706634207420493</v>
      </c>
      <c r="L263" s="443"/>
      <c r="M263" s="217">
        <f t="shared" si="730"/>
        <v>0.35964104023952542</v>
      </c>
      <c r="N263" s="172">
        <f t="shared" si="731"/>
        <v>184.60805372693019</v>
      </c>
      <c r="O263" s="172">
        <f t="shared" si="762"/>
        <v>47.94</v>
      </c>
      <c r="P263" s="217">
        <f t="shared" si="732"/>
        <v>1.0859297278054718</v>
      </c>
      <c r="Q263" s="217">
        <f t="shared" si="733"/>
        <v>170</v>
      </c>
      <c r="R263" s="217"/>
      <c r="S263" s="172">
        <f t="shared" si="734"/>
        <v>1490.9023151548574</v>
      </c>
      <c r="T263" s="172">
        <f t="shared" si="735"/>
        <v>170</v>
      </c>
      <c r="U263" s="217">
        <f t="shared" si="736"/>
        <v>17.615120126091885</v>
      </c>
      <c r="V263" s="217">
        <f t="shared" si="737"/>
        <v>0.58017926142895271</v>
      </c>
      <c r="W263" s="217">
        <f t="shared" si="738"/>
        <v>1.0330385105198057</v>
      </c>
      <c r="X263" s="197">
        <f t="shared" si="739"/>
        <v>350</v>
      </c>
      <c r="Y263" s="443">
        <f t="shared" si="680"/>
        <v>350</v>
      </c>
      <c r="AA263" s="217">
        <f t="shared" si="740"/>
        <v>31.197842920599459</v>
      </c>
      <c r="AB263" s="173">
        <f t="shared" si="741"/>
        <v>1.8295971274353839</v>
      </c>
      <c r="AC263" s="173">
        <f t="shared" si="742"/>
        <v>0.49944548315995468</v>
      </c>
      <c r="AD263" s="173"/>
      <c r="AE263" s="173">
        <f t="shared" si="743"/>
        <v>0.78193317492786396</v>
      </c>
      <c r="AF263" s="545">
        <f t="shared" si="744"/>
        <v>1081.9338878645817</v>
      </c>
      <c r="AG263" s="528">
        <f t="shared" si="745"/>
        <v>9.122553707491747E-2</v>
      </c>
      <c r="AI263" s="173">
        <f t="shared" si="746"/>
        <v>23.442562164151447</v>
      </c>
      <c r="AJ263" s="173">
        <f t="shared" si="747"/>
        <v>23.442562164151447</v>
      </c>
      <c r="AK263" s="173">
        <f t="shared" si="748"/>
        <v>8.6883176524578616</v>
      </c>
      <c r="AM263" s="545">
        <f t="shared" si="749"/>
        <v>282</v>
      </c>
      <c r="AN263" s="460">
        <f t="shared" si="750"/>
        <v>350</v>
      </c>
      <c r="AP263">
        <f t="shared" si="751"/>
        <v>282</v>
      </c>
      <c r="AQ263">
        <f t="shared" si="752"/>
        <v>350</v>
      </c>
      <c r="AS263" s="5">
        <f t="shared" ref="AS263:AS316" si="763">1/AN263*1000</f>
        <v>2.8571428571428572</v>
      </c>
      <c r="AT263" s="5">
        <f t="shared" si="753"/>
        <v>0.77211442811870346</v>
      </c>
      <c r="AU263" s="5">
        <f t="shared" si="722"/>
        <v>2.0850284290241539</v>
      </c>
      <c r="AV263" s="5"/>
      <c r="AW263" s="173">
        <f t="shared" si="723"/>
        <v>0.2702400498415462</v>
      </c>
      <c r="AX263" s="173">
        <f t="shared" si="631"/>
        <v>48.085950571759192</v>
      </c>
      <c r="AY263" s="173">
        <f t="shared" si="632"/>
        <v>0.42768607491244032</v>
      </c>
      <c r="AZ263" s="173">
        <f t="shared" si="633"/>
        <v>112.43281788307878</v>
      </c>
      <c r="BA263" s="460">
        <f t="shared" si="724"/>
        <v>0.12808015807616138</v>
      </c>
      <c r="BB263" s="5">
        <f t="shared" si="725"/>
        <v>10.535049500583645</v>
      </c>
      <c r="BD263" s="173">
        <f t="shared" si="681"/>
        <v>7.035894278745058</v>
      </c>
      <c r="BE263" s="173">
        <f t="shared" si="682"/>
        <v>0.57810199209357549</v>
      </c>
      <c r="BG263" s="528">
        <f t="shared" si="683"/>
        <v>1.9801523320670975</v>
      </c>
      <c r="BH263" s="528">
        <f t="shared" si="754"/>
        <v>4.3764859381182513</v>
      </c>
      <c r="BI263" s="528">
        <f t="shared" si="755"/>
        <v>0.21253059025058396</v>
      </c>
      <c r="BJ263" s="528">
        <f t="shared" si="684"/>
        <v>3.9340315381110769E-2</v>
      </c>
      <c r="BK263">
        <f t="shared" si="685"/>
        <v>6.8313404009116268E-3</v>
      </c>
      <c r="BL263" s="460">
        <f t="shared" si="686"/>
        <v>219.36193065149558</v>
      </c>
      <c r="BM263" s="528">
        <f t="shared" si="756"/>
        <v>13.088598372306583</v>
      </c>
      <c r="BN263" s="460">
        <f t="shared" si="687"/>
        <v>13088.598372306584</v>
      </c>
      <c r="BO263" s="528">
        <f t="shared" si="637"/>
        <v>0.19739999999999996</v>
      </c>
      <c r="BR263" s="460">
        <f t="shared" si="688"/>
        <v>197.39999999999998</v>
      </c>
      <c r="BS263" s="528">
        <f t="shared" si="689"/>
        <v>1.4851142490503231</v>
      </c>
      <c r="BT263" s="528">
        <f t="shared" si="690"/>
        <v>1.0026057397876813E-2</v>
      </c>
      <c r="BU263" s="528">
        <f t="shared" si="691"/>
        <v>304.89675767863542</v>
      </c>
      <c r="BV263" s="528"/>
      <c r="BW263" s="528">
        <f t="shared" si="692"/>
        <v>4.8085950571759195</v>
      </c>
      <c r="BX263" s="460">
        <f t="shared" si="693"/>
        <v>311200.49304225954</v>
      </c>
      <c r="BY263" s="173">
        <f t="shared" si="694"/>
        <v>318.01323355847751</v>
      </c>
      <c r="BZ263" s="5">
        <f t="shared" si="695"/>
        <v>47.94</v>
      </c>
      <c r="CA263" s="173">
        <f t="shared" si="696"/>
        <v>0.13100034540981703</v>
      </c>
      <c r="CB263" s="5">
        <f t="shared" si="697"/>
        <v>13.100034540981703</v>
      </c>
      <c r="CE263" s="562">
        <f t="shared" si="757"/>
        <v>-50</v>
      </c>
      <c r="CF263">
        <f t="shared" si="758"/>
        <v>-50</v>
      </c>
      <c r="CG263" s="173">
        <f t="shared" si="759"/>
        <v>0.48190797266454</v>
      </c>
      <c r="CI263" s="170">
        <v>47</v>
      </c>
      <c r="CJ263" s="217">
        <f t="shared" si="698"/>
        <v>0.28199999999999997</v>
      </c>
      <c r="CK263" s="217"/>
      <c r="CL263" s="217">
        <f t="shared" si="641"/>
        <v>47.94</v>
      </c>
      <c r="CM263" s="541">
        <f t="shared" si="642"/>
        <v>16</v>
      </c>
      <c r="CN263" s="443">
        <f t="shared" si="643"/>
        <v>8.5250000000000004</v>
      </c>
      <c r="CO263" s="443">
        <f t="shared" si="644"/>
        <v>24.524999999999999</v>
      </c>
      <c r="CP263" s="443"/>
      <c r="CQ263" s="217">
        <f t="shared" si="645"/>
        <v>0.34760448521916415</v>
      </c>
      <c r="CR263" s="172">
        <f t="shared" si="646"/>
        <v>188.05866123003739</v>
      </c>
      <c r="CS263" s="172">
        <f t="shared" si="647"/>
        <v>47.94</v>
      </c>
      <c r="CT263" s="217">
        <f t="shared" si="648"/>
        <v>1.1062274190002199</v>
      </c>
      <c r="CU263" s="217">
        <f t="shared" si="649"/>
        <v>170</v>
      </c>
      <c r="CV263" s="217"/>
      <c r="CW263" s="172">
        <f t="shared" si="650"/>
        <v>1571.3547456587753</v>
      </c>
      <c r="CX263" s="172">
        <f t="shared" si="651"/>
        <v>170</v>
      </c>
      <c r="CY263" s="217">
        <f t="shared" si="652"/>
        <v>17.239420821114368</v>
      </c>
      <c r="CZ263" s="217">
        <f t="shared" si="653"/>
        <v>0.53873190065982401</v>
      </c>
      <c r="DA263" s="217">
        <f t="shared" si="654"/>
        <v>1.0111097255785553</v>
      </c>
      <c r="DB263" s="197">
        <f t="shared" si="655"/>
        <v>350</v>
      </c>
      <c r="DC263" s="443">
        <f t="shared" si="656"/>
        <v>350</v>
      </c>
      <c r="DE263" s="217">
        <f t="shared" si="657"/>
        <v>31.780981505752148</v>
      </c>
      <c r="DF263" s="173">
        <f t="shared" si="658"/>
        <v>1.8639871850881022</v>
      </c>
      <c r="DG263" s="173">
        <f t="shared" si="659"/>
        <v>0.51834424474213492</v>
      </c>
      <c r="DH263" s="173"/>
      <c r="DI263" s="173">
        <f t="shared" si="660"/>
        <v>0.78201368523949166</v>
      </c>
      <c r="DJ263" s="545">
        <f t="shared" si="661"/>
        <v>1081.8224999999998</v>
      </c>
      <c r="DK263" s="528">
        <f t="shared" si="662"/>
        <v>9.1234929944607357E-2</v>
      </c>
      <c r="DM263" s="173">
        <f t="shared" si="663"/>
        <v>23.44135539718518</v>
      </c>
      <c r="DN263" s="173">
        <f t="shared" si="664"/>
        <v>23.44135539718518</v>
      </c>
      <c r="DO263" s="173">
        <f t="shared" si="665"/>
        <v>8.6874237510013668</v>
      </c>
      <c r="DQ263" s="545">
        <f t="shared" si="666"/>
        <v>282</v>
      </c>
      <c r="DR263" s="460">
        <f t="shared" si="667"/>
        <v>350</v>
      </c>
      <c r="DT263">
        <f t="shared" si="668"/>
        <v>282</v>
      </c>
      <c r="DU263">
        <f t="shared" si="669"/>
        <v>350</v>
      </c>
      <c r="DW263" s="5">
        <f t="shared" si="670"/>
        <v>2.8571428571428572</v>
      </c>
      <c r="DX263" s="5">
        <f t="shared" si="671"/>
        <v>0.73254235616203689</v>
      </c>
      <c r="DY263" s="5">
        <f t="shared" si="672"/>
        <v>2.1246005009808204</v>
      </c>
      <c r="DZ263" s="5"/>
      <c r="EA263" s="173">
        <f t="shared" si="673"/>
        <v>0.25638982465671289</v>
      </c>
      <c r="EB263" s="173">
        <f t="shared" si="699"/>
        <v>48.080999999999982</v>
      </c>
      <c r="EC263" s="173">
        <f t="shared" si="700"/>
        <v>0.4357807599296295</v>
      </c>
      <c r="ED263" s="173">
        <f t="shared" si="701"/>
        <v>110.33300324632086</v>
      </c>
      <c r="EE263" s="460">
        <f t="shared" si="674"/>
        <v>0.12151584966923198</v>
      </c>
      <c r="EF263" s="5">
        <f t="shared" si="675"/>
        <v>10.185334801702052</v>
      </c>
      <c r="EH263" s="173">
        <f t="shared" si="702"/>
        <v>6.8528698637020575</v>
      </c>
      <c r="EI263" s="173">
        <f t="shared" si="703"/>
        <v>0.58353210904987562</v>
      </c>
      <c r="EK263" s="528">
        <f t="shared" si="704"/>
        <v>1.8784730147534341</v>
      </c>
      <c r="EL263" s="528">
        <f t="shared" si="705"/>
        <v>5.533405195741179</v>
      </c>
      <c r="EM263" s="528">
        <f t="shared" si="706"/>
        <v>6.9999999999999993E-2</v>
      </c>
      <c r="EN263" s="528">
        <f t="shared" si="707"/>
        <v>4.2103293749999993E-2</v>
      </c>
      <c r="EO263">
        <f t="shared" si="708"/>
        <v>7.1999999999999998E-3</v>
      </c>
      <c r="EP263" s="460">
        <f t="shared" si="709"/>
        <v>77.199999999999989</v>
      </c>
      <c r="EQ263" s="460"/>
      <c r="ER263" s="460">
        <f t="shared" si="710"/>
        <v>7531.1815042446142</v>
      </c>
      <c r="ES263" s="528">
        <f t="shared" si="711"/>
        <v>0.19739999999999996</v>
      </c>
      <c r="EV263" s="460">
        <f t="shared" si="712"/>
        <v>197.39999999999998</v>
      </c>
      <c r="EW263" s="528">
        <f t="shared" si="713"/>
        <v>1.4088547610650755</v>
      </c>
      <c r="EX263" s="528">
        <f t="shared" si="714"/>
        <v>1.0215291668765877E-2</v>
      </c>
      <c r="EY263" s="528">
        <f t="shared" si="715"/>
        <v>304.85752080604487</v>
      </c>
      <c r="EZ263" s="528"/>
      <c r="FA263" s="528">
        <f t="shared" si="716"/>
        <v>4.8080999999999996</v>
      </c>
      <c r="FB263" s="460">
        <f t="shared" si="717"/>
        <v>311084.69085877872</v>
      </c>
      <c r="FC263" s="173">
        <f t="shared" si="718"/>
        <v>318.81327236302337</v>
      </c>
      <c r="FD263" s="5">
        <f t="shared" si="719"/>
        <v>47.94</v>
      </c>
      <c r="FE263" s="173">
        <f t="shared" si="720"/>
        <v>0.13071458010754311</v>
      </c>
      <c r="FF263" s="5">
        <f t="shared" si="721"/>
        <v>13.071458010754311</v>
      </c>
      <c r="FI263" s="562">
        <f t="shared" si="676"/>
        <v>-50</v>
      </c>
      <c r="FJ263">
        <f t="shared" si="677"/>
        <v>-50</v>
      </c>
      <c r="FL263">
        <f t="shared" si="760"/>
        <v>0.48120084393048751</v>
      </c>
    </row>
    <row r="264" spans="5:168">
      <c r="E264" s="170">
        <v>48</v>
      </c>
      <c r="F264" s="217">
        <f t="shared" si="761"/>
        <v>0.28799999999999998</v>
      </c>
      <c r="G264" s="217"/>
      <c r="H264" s="217">
        <f t="shared" si="726"/>
        <v>48.959999999999994</v>
      </c>
      <c r="I264" s="541">
        <f t="shared" si="727"/>
        <v>15.172086961088304</v>
      </c>
      <c r="J264" s="172">
        <f t="shared" si="728"/>
        <v>8.5258870496845489</v>
      </c>
      <c r="K264" s="172">
        <f t="shared" si="729"/>
        <v>23.697974010772853</v>
      </c>
      <c r="L264" s="443"/>
      <c r="M264" s="217">
        <f t="shared" si="730"/>
        <v>0.35977285992305369</v>
      </c>
      <c r="N264" s="172">
        <f t="shared" si="731"/>
        <v>184.57025302255656</v>
      </c>
      <c r="O264" s="172">
        <f t="shared" si="762"/>
        <v>48.959999999999994</v>
      </c>
      <c r="P264" s="217">
        <f t="shared" si="732"/>
        <v>1.0857073707209208</v>
      </c>
      <c r="Q264" s="217">
        <f t="shared" si="733"/>
        <v>170</v>
      </c>
      <c r="R264" s="217"/>
      <c r="S264" s="172">
        <f t="shared" si="734"/>
        <v>1452.6912495383858</v>
      </c>
      <c r="T264" s="172">
        <f t="shared" si="735"/>
        <v>170</v>
      </c>
      <c r="U264" s="217">
        <f t="shared" si="736"/>
        <v>17.993613951785075</v>
      </c>
      <c r="V264" s="217">
        <f t="shared" si="737"/>
        <v>0.59298414245624587</v>
      </c>
      <c r="W264" s="217">
        <f t="shared" si="738"/>
        <v>1.0552341267792671</v>
      </c>
      <c r="X264" s="197">
        <f t="shared" si="739"/>
        <v>350</v>
      </c>
      <c r="Y264" s="443">
        <f t="shared" si="680"/>
        <v>350</v>
      </c>
      <c r="AA264" s="217">
        <f t="shared" si="740"/>
        <v>31.191454758218548</v>
      </c>
      <c r="AB264" s="173">
        <f t="shared" si="741"/>
        <v>1.8292205008376583</v>
      </c>
      <c r="AC264" s="173">
        <f t="shared" si="742"/>
        <v>0.49924042432848231</v>
      </c>
      <c r="AD264" s="173"/>
      <c r="AE264" s="173">
        <f t="shared" si="743"/>
        <v>0.78193232303181026</v>
      </c>
      <c r="AF264" s="545">
        <f t="shared" si="744"/>
        <v>1104.9549616391175</v>
      </c>
      <c r="AG264" s="528">
        <f t="shared" si="745"/>
        <v>9.1225437687044539E-2</v>
      </c>
      <c r="AI264" s="173">
        <f t="shared" si="746"/>
        <v>23.690651418694493</v>
      </c>
      <c r="AJ264" s="173">
        <f t="shared" si="747"/>
        <v>23.690651418694493</v>
      </c>
      <c r="AK264" s="173">
        <f t="shared" si="748"/>
        <v>8.8720874706378954</v>
      </c>
      <c r="AM264" s="545">
        <f t="shared" si="749"/>
        <v>288</v>
      </c>
      <c r="AN264" s="460">
        <f t="shared" si="750"/>
        <v>350</v>
      </c>
      <c r="AP264">
        <f t="shared" si="751"/>
        <v>288</v>
      </c>
      <c r="AQ264">
        <f t="shared" si="752"/>
        <v>350</v>
      </c>
      <c r="AS264" s="5">
        <f t="shared" si="763"/>
        <v>2.8571428571428572</v>
      </c>
      <c r="AT264" s="5">
        <f t="shared" si="753"/>
        <v>0.78073146691861384</v>
      </c>
      <c r="AU264" s="5">
        <f t="shared" si="722"/>
        <v>2.0764113902242434</v>
      </c>
      <c r="AV264" s="5"/>
      <c r="AW264" s="173">
        <f t="shared" si="723"/>
        <v>0.27325601342151484</v>
      </c>
      <c r="AX264" s="173">
        <f t="shared" si="631"/>
        <v>49.109109406182988</v>
      </c>
      <c r="AY264" s="173">
        <f t="shared" si="632"/>
        <v>0.43042596141658207</v>
      </c>
      <c r="AZ264" s="173">
        <f t="shared" si="633"/>
        <v>114.09420854764238</v>
      </c>
      <c r="BA264" s="460">
        <f t="shared" si="724"/>
        <v>0.13226509557209457</v>
      </c>
      <c r="BB264" s="5">
        <f t="shared" si="725"/>
        <v>10.720856206649291</v>
      </c>
      <c r="BD264" s="173">
        <f t="shared" si="681"/>
        <v>7.1499209343652597</v>
      </c>
      <c r="BE264" s="173">
        <f t="shared" si="682"/>
        <v>0.5830114754009762</v>
      </c>
      <c r="BG264" s="528">
        <f t="shared" si="683"/>
        <v>2.0448547747069834</v>
      </c>
      <c r="BH264" s="528">
        <f t="shared" si="754"/>
        <v>4.4211859777456972</v>
      </c>
      <c r="BI264" s="528">
        <f t="shared" si="755"/>
        <v>0.21240921745523625</v>
      </c>
      <c r="BJ264" s="528">
        <f t="shared" si="684"/>
        <v>3.9311578055068588E-2</v>
      </c>
      <c r="BK264">
        <f t="shared" si="685"/>
        <v>6.8274391324897364E-3</v>
      </c>
      <c r="BL264" s="460">
        <f t="shared" si="686"/>
        <v>219.23665658772597</v>
      </c>
      <c r="BM264" s="528">
        <f t="shared" si="756"/>
        <v>13.726667302888536</v>
      </c>
      <c r="BN264" s="460">
        <f t="shared" si="687"/>
        <v>13726.667302888536</v>
      </c>
      <c r="BO264" s="528">
        <f t="shared" si="637"/>
        <v>0.20159999999999997</v>
      </c>
      <c r="BR264" s="460">
        <f t="shared" si="688"/>
        <v>201.59999999999997</v>
      </c>
      <c r="BS264" s="528">
        <f t="shared" si="689"/>
        <v>1.5336410810302377</v>
      </c>
      <c r="BT264" s="528">
        <f t="shared" si="690"/>
        <v>1.0197071413476691E-2</v>
      </c>
      <c r="BU264" s="528">
        <f t="shared" si="691"/>
        <v>313.02759300812755</v>
      </c>
      <c r="BV264" s="528"/>
      <c r="BW264" s="528">
        <f t="shared" si="692"/>
        <v>4.9109109406182991</v>
      </c>
      <c r="BX264" s="460">
        <f t="shared" si="693"/>
        <v>319482.34210118954</v>
      </c>
      <c r="BY264" s="173">
        <f t="shared" si="694"/>
        <v>326.40853108828503</v>
      </c>
      <c r="BZ264" s="5">
        <f t="shared" si="695"/>
        <v>48.959999999999994</v>
      </c>
      <c r="CA264" s="173">
        <f t="shared" si="696"/>
        <v>0.1304318181869242</v>
      </c>
      <c r="CB264" s="5">
        <f t="shared" si="697"/>
        <v>13.043181818692421</v>
      </c>
      <c r="CE264" s="562">
        <f t="shared" si="757"/>
        <v>-50</v>
      </c>
      <c r="CF264">
        <f t="shared" si="758"/>
        <v>-50</v>
      </c>
      <c r="CG264" s="173">
        <f t="shared" si="759"/>
        <v>0.48700766994805661</v>
      </c>
      <c r="CI264" s="170">
        <v>48</v>
      </c>
      <c r="CJ264" s="217">
        <f t="shared" si="698"/>
        <v>0.28799999999999998</v>
      </c>
      <c r="CK264" s="217"/>
      <c r="CL264" s="217">
        <f t="shared" si="641"/>
        <v>48.959999999999994</v>
      </c>
      <c r="CM264" s="541">
        <f t="shared" si="642"/>
        <v>16</v>
      </c>
      <c r="CN264" s="443">
        <f t="shared" si="643"/>
        <v>8.5250000000000004</v>
      </c>
      <c r="CO264" s="443">
        <f t="shared" si="644"/>
        <v>24.524999999999999</v>
      </c>
      <c r="CP264" s="443"/>
      <c r="CQ264" s="217">
        <f t="shared" si="645"/>
        <v>0.34760448521916415</v>
      </c>
      <c r="CR264" s="172">
        <f t="shared" si="646"/>
        <v>188.05866123003739</v>
      </c>
      <c r="CS264" s="172">
        <f t="shared" si="647"/>
        <v>48.959999999999994</v>
      </c>
      <c r="CT264" s="217">
        <f t="shared" si="648"/>
        <v>1.1062274190002199</v>
      </c>
      <c r="CU264" s="217">
        <f t="shared" si="649"/>
        <v>170</v>
      </c>
      <c r="CV264" s="217"/>
      <c r="CW264" s="172">
        <f t="shared" si="650"/>
        <v>1531.9562593995513</v>
      </c>
      <c r="CX264" s="172">
        <f t="shared" si="651"/>
        <v>170</v>
      </c>
      <c r="CY264" s="217">
        <f t="shared" si="652"/>
        <v>17.60621700879765</v>
      </c>
      <c r="CZ264" s="217">
        <f t="shared" si="653"/>
        <v>0.55019428152492644</v>
      </c>
      <c r="DA264" s="217">
        <f t="shared" si="654"/>
        <v>1.032622698463205</v>
      </c>
      <c r="DB264" s="197">
        <f t="shared" si="655"/>
        <v>350</v>
      </c>
      <c r="DC264" s="443">
        <f t="shared" si="656"/>
        <v>350</v>
      </c>
      <c r="DE264" s="217">
        <f t="shared" si="657"/>
        <v>31.780981505752148</v>
      </c>
      <c r="DF264" s="173">
        <f t="shared" si="658"/>
        <v>1.8639871850881022</v>
      </c>
      <c r="DG264" s="173">
        <f t="shared" si="659"/>
        <v>0.51834424474213492</v>
      </c>
      <c r="DH264" s="173"/>
      <c r="DI264" s="173">
        <f t="shared" si="660"/>
        <v>0.78201368523949166</v>
      </c>
      <c r="DJ264" s="545">
        <f t="shared" si="661"/>
        <v>1104.8399999999999</v>
      </c>
      <c r="DK264" s="528">
        <f t="shared" si="662"/>
        <v>9.1234929944607357E-2</v>
      </c>
      <c r="DM264" s="173">
        <f t="shared" si="663"/>
        <v>23.689418976171016</v>
      </c>
      <c r="DN264" s="173">
        <f t="shared" si="664"/>
        <v>23.689418976171016</v>
      </c>
      <c r="DO264" s="173">
        <f t="shared" si="665"/>
        <v>8.8711745502501351</v>
      </c>
      <c r="DQ264" s="545">
        <f t="shared" si="666"/>
        <v>288</v>
      </c>
      <c r="DR264" s="460">
        <f t="shared" si="667"/>
        <v>350</v>
      </c>
      <c r="DT264">
        <f t="shared" si="668"/>
        <v>288</v>
      </c>
      <c r="DU264">
        <f t="shared" si="669"/>
        <v>350</v>
      </c>
      <c r="DW264" s="5">
        <f t="shared" si="670"/>
        <v>2.8571428571428572</v>
      </c>
      <c r="DX264" s="5">
        <f t="shared" si="671"/>
        <v>0.74029434300534425</v>
      </c>
      <c r="DY264" s="5">
        <f t="shared" si="672"/>
        <v>2.1168485141375131</v>
      </c>
      <c r="DZ264" s="5"/>
      <c r="EA264" s="173">
        <f t="shared" si="673"/>
        <v>0.25910302005187047</v>
      </c>
      <c r="EB264" s="173">
        <f t="shared" si="699"/>
        <v>49.103999999999999</v>
      </c>
      <c r="EC264" s="173">
        <f t="shared" si="700"/>
        <v>0.4387854744042754</v>
      </c>
      <c r="ED264" s="173">
        <f t="shared" si="701"/>
        <v>111.90890050922238</v>
      </c>
      <c r="EE264" s="460">
        <f t="shared" si="674"/>
        <v>0.12541457105031714</v>
      </c>
      <c r="EF264" s="5">
        <f t="shared" si="675"/>
        <v>10.364090325217262</v>
      </c>
      <c r="EH264" s="173">
        <f t="shared" si="702"/>
        <v>6.9619358820119777</v>
      </c>
      <c r="EI264" s="173">
        <f t="shared" si="703"/>
        <v>0.58863041443169417</v>
      </c>
      <c r="EK264" s="528">
        <f t="shared" si="704"/>
        <v>1.9387420490098359</v>
      </c>
      <c r="EL264" s="528">
        <f t="shared" si="705"/>
        <v>5.5919613787594695</v>
      </c>
      <c r="EM264" s="528">
        <f t="shared" si="706"/>
        <v>6.9999999999999993E-2</v>
      </c>
      <c r="EN264" s="528">
        <f t="shared" si="707"/>
        <v>4.2103293749999993E-2</v>
      </c>
      <c r="EO264">
        <f t="shared" si="708"/>
        <v>7.1999999999999998E-3</v>
      </c>
      <c r="EP264" s="460">
        <f t="shared" si="709"/>
        <v>77.199999999999989</v>
      </c>
      <c r="EQ264" s="460"/>
      <c r="ER264" s="460">
        <f t="shared" si="710"/>
        <v>7650.0067215193058</v>
      </c>
      <c r="ES264" s="528">
        <f t="shared" si="711"/>
        <v>0.20159999999999997</v>
      </c>
      <c r="EV264" s="460">
        <f t="shared" si="712"/>
        <v>201.59999999999997</v>
      </c>
      <c r="EW264" s="528">
        <f t="shared" si="713"/>
        <v>1.4540565367573768</v>
      </c>
      <c r="EX264" s="528">
        <f t="shared" si="714"/>
        <v>1.039457294382084E-2</v>
      </c>
      <c r="EY264" s="528">
        <f t="shared" si="715"/>
        <v>312.98688354664563</v>
      </c>
      <c r="EZ264" s="528"/>
      <c r="FA264" s="528">
        <f t="shared" si="716"/>
        <v>4.9104000000000001</v>
      </c>
      <c r="FB264" s="460">
        <f t="shared" si="717"/>
        <v>319361.73465634679</v>
      </c>
      <c r="FC264" s="173">
        <f t="shared" si="718"/>
        <v>327.21334137786613</v>
      </c>
      <c r="FD264" s="5">
        <f t="shared" si="719"/>
        <v>48.959999999999994</v>
      </c>
      <c r="FE264" s="173">
        <f t="shared" si="720"/>
        <v>0.1301527636718405</v>
      </c>
      <c r="FF264" s="5">
        <f t="shared" si="721"/>
        <v>13.01527636718405</v>
      </c>
      <c r="FI264" s="562">
        <f t="shared" si="676"/>
        <v>-50</v>
      </c>
      <c r="FJ264">
        <f t="shared" si="677"/>
        <v>-50</v>
      </c>
      <c r="FL264">
        <f t="shared" si="760"/>
        <v>0.4862930581618683</v>
      </c>
    </row>
    <row r="265" spans="5:168">
      <c r="E265" s="170">
        <v>49</v>
      </c>
      <c r="F265" s="217">
        <f t="shared" si="761"/>
        <v>0.29399999999999998</v>
      </c>
      <c r="G265" s="217"/>
      <c r="H265" s="217">
        <f t="shared" si="726"/>
        <v>49.98</v>
      </c>
      <c r="I265" s="541">
        <f t="shared" si="727"/>
        <v>15.16350732220778</v>
      </c>
      <c r="J265" s="172">
        <f t="shared" si="728"/>
        <v>8.5258962421547775</v>
      </c>
      <c r="K265" s="172">
        <f t="shared" si="729"/>
        <v>23.689403564362557</v>
      </c>
      <c r="L265" s="443"/>
      <c r="M265" s="217">
        <f t="shared" si="730"/>
        <v>0.35990340837498885</v>
      </c>
      <c r="N265" s="172">
        <f t="shared" si="731"/>
        <v>184.5328166307832</v>
      </c>
      <c r="O265" s="172">
        <f t="shared" si="762"/>
        <v>49.98</v>
      </c>
      <c r="P265" s="217">
        <f t="shared" si="732"/>
        <v>1.085487156651666</v>
      </c>
      <c r="Q265" s="217">
        <f t="shared" si="733"/>
        <v>170</v>
      </c>
      <c r="R265" s="217"/>
      <c r="S265" s="172">
        <f t="shared" si="734"/>
        <v>1416.0554157414822</v>
      </c>
      <c r="T265" s="172">
        <f t="shared" si="735"/>
        <v>170</v>
      </c>
      <c r="U265" s="217">
        <f t="shared" si="736"/>
        <v>18.372227182377156</v>
      </c>
      <c r="V265" s="217">
        <f t="shared" si="737"/>
        <v>0.60580401327963329</v>
      </c>
      <c r="W265" s="217">
        <f t="shared" si="738"/>
        <v>1.0774367093244077</v>
      </c>
      <c r="X265" s="197">
        <f t="shared" si="739"/>
        <v>350</v>
      </c>
      <c r="Y265" s="443">
        <f t="shared" si="680"/>
        <v>350</v>
      </c>
      <c r="AA265" s="217">
        <f t="shared" si="740"/>
        <v>31.185128163206137</v>
      </c>
      <c r="AB265" s="173">
        <f t="shared" si="741"/>
        <v>1.8288475063194423</v>
      </c>
      <c r="AC265" s="173">
        <f t="shared" si="742"/>
        <v>0.49903738391090285</v>
      </c>
      <c r="AD265" s="173"/>
      <c r="AE265" s="173">
        <f t="shared" si="743"/>
        <v>0.78193147996623735</v>
      </c>
      <c r="AF265" s="545">
        <f t="shared" si="744"/>
        <v>1127.9760728370768</v>
      </c>
      <c r="AG265" s="528">
        <f t="shared" si="745"/>
        <v>9.1225339329394375E-2</v>
      </c>
      <c r="AI265" s="173">
        <f t="shared" si="746"/>
        <v>23.93616985803704</v>
      </c>
      <c r="AJ265" s="173">
        <f t="shared" si="747"/>
        <v>23.93616985803704</v>
      </c>
      <c r="AK265" s="173">
        <f t="shared" si="748"/>
        <v>9.0539529812620039</v>
      </c>
      <c r="AM265" s="545">
        <f t="shared" si="749"/>
        <v>294</v>
      </c>
      <c r="AN265" s="460">
        <f t="shared" si="750"/>
        <v>350</v>
      </c>
      <c r="AP265">
        <f t="shared" si="751"/>
        <v>294</v>
      </c>
      <c r="AQ265">
        <f t="shared" si="752"/>
        <v>350</v>
      </c>
      <c r="AS265" s="5">
        <f t="shared" si="763"/>
        <v>2.8571428571428572</v>
      </c>
      <c r="AT265" s="5">
        <f t="shared" si="753"/>
        <v>0.78926891217908468</v>
      </c>
      <c r="AU265" s="5">
        <f t="shared" si="722"/>
        <v>2.0678739449637726</v>
      </c>
      <c r="AV265" s="5"/>
      <c r="AW265" s="173">
        <f t="shared" si="723"/>
        <v>0.27624411926267961</v>
      </c>
      <c r="AX265" s="173">
        <f t="shared" si="631"/>
        <v>50.132269903870082</v>
      </c>
      <c r="AY265" s="173">
        <f t="shared" si="632"/>
        <v>0.43309859242704246</v>
      </c>
      <c r="AZ265" s="173">
        <f t="shared" si="633"/>
        <v>115.75255791743332</v>
      </c>
      <c r="BA265" s="460">
        <f t="shared" si="724"/>
        <v>0.13649709422391226</v>
      </c>
      <c r="BB265" s="5">
        <f t="shared" si="725"/>
        <v>10.905375657297885</v>
      </c>
      <c r="BD265" s="173">
        <f t="shared" si="681"/>
        <v>7.2634098633351547</v>
      </c>
      <c r="BE265" s="173">
        <f t="shared" si="682"/>
        <v>0.58784129019122289</v>
      </c>
      <c r="BG265" s="528">
        <f t="shared" si="683"/>
        <v>2.1102849137117765</v>
      </c>
      <c r="BH265" s="528">
        <f t="shared" si="754"/>
        <v>4.4653895019733403</v>
      </c>
      <c r="BI265" s="528">
        <f t="shared" si="755"/>
        <v>0.21228910251090891</v>
      </c>
      <c r="BJ265" s="528">
        <f t="shared" si="684"/>
        <v>3.9283148886466342E-2</v>
      </c>
      <c r="BK265">
        <f t="shared" si="685"/>
        <v>6.8235782949935004E-3</v>
      </c>
      <c r="BL265" s="460">
        <f t="shared" si="686"/>
        <v>219.11268080590241</v>
      </c>
      <c r="BM265" s="528">
        <f t="shared" si="756"/>
        <v>14.409923271390316</v>
      </c>
      <c r="BN265" s="460">
        <f t="shared" si="687"/>
        <v>14409.923271390315</v>
      </c>
      <c r="BO265" s="528">
        <f t="shared" si="637"/>
        <v>0.20579999999999998</v>
      </c>
      <c r="BR265" s="460">
        <f t="shared" si="688"/>
        <v>205.79999999999998</v>
      </c>
      <c r="BS265" s="528">
        <f t="shared" si="689"/>
        <v>1.5827136852838322</v>
      </c>
      <c r="BT265" s="528">
        <f t="shared" si="690"/>
        <v>1.0366721473610445E-2</v>
      </c>
      <c r="BU265" s="528">
        <f t="shared" si="691"/>
        <v>321.20090510737123</v>
      </c>
      <c r="BV265" s="528"/>
      <c r="BW265" s="528">
        <f t="shared" si="692"/>
        <v>5.0132269903870093</v>
      </c>
      <c r="BX265" s="460">
        <f t="shared" si="693"/>
        <v>327807.21250451572</v>
      </c>
      <c r="BY265" s="173">
        <f t="shared" si="694"/>
        <v>334.84708274989316</v>
      </c>
      <c r="BZ265" s="5">
        <f t="shared" si="695"/>
        <v>49.98</v>
      </c>
      <c r="CA265" s="173">
        <f t="shared" si="696"/>
        <v>0.12987651399910177</v>
      </c>
      <c r="CB265" s="5">
        <f t="shared" si="697"/>
        <v>12.987651399910177</v>
      </c>
      <c r="CE265" s="562">
        <f t="shared" si="757"/>
        <v>-50</v>
      </c>
      <c r="CF265">
        <f t="shared" si="758"/>
        <v>-50</v>
      </c>
      <c r="CG265" s="173">
        <f t="shared" si="759"/>
        <v>0.49205451634836506</v>
      </c>
      <c r="CI265" s="170">
        <v>49</v>
      </c>
      <c r="CJ265" s="217">
        <f t="shared" si="698"/>
        <v>0.29399999999999998</v>
      </c>
      <c r="CK265" s="217"/>
      <c r="CL265" s="217">
        <f t="shared" si="641"/>
        <v>49.98</v>
      </c>
      <c r="CM265" s="541">
        <f t="shared" si="642"/>
        <v>16</v>
      </c>
      <c r="CN265" s="443">
        <f t="shared" si="643"/>
        <v>8.5250000000000004</v>
      </c>
      <c r="CO265" s="443">
        <f t="shared" si="644"/>
        <v>24.524999999999999</v>
      </c>
      <c r="CP265" s="443"/>
      <c r="CQ265" s="217">
        <f t="shared" si="645"/>
        <v>0.34760448521916415</v>
      </c>
      <c r="CR265" s="172">
        <f t="shared" si="646"/>
        <v>188.05866123003739</v>
      </c>
      <c r="CS265" s="172">
        <f t="shared" si="647"/>
        <v>49.98</v>
      </c>
      <c r="CT265" s="217">
        <f t="shared" si="648"/>
        <v>1.1062274190002199</v>
      </c>
      <c r="CU265" s="217">
        <f t="shared" si="649"/>
        <v>170</v>
      </c>
      <c r="CV265" s="217"/>
      <c r="CW265" s="172">
        <f t="shared" si="650"/>
        <v>1494.1660042427577</v>
      </c>
      <c r="CX265" s="172">
        <f t="shared" si="651"/>
        <v>170</v>
      </c>
      <c r="CY265" s="217">
        <f t="shared" si="652"/>
        <v>17.973013196480935</v>
      </c>
      <c r="CZ265" s="217">
        <f t="shared" si="653"/>
        <v>0.5616566623900292</v>
      </c>
      <c r="DA265" s="217">
        <f t="shared" si="654"/>
        <v>1.0541356713478554</v>
      </c>
      <c r="DB265" s="197">
        <f t="shared" si="655"/>
        <v>350</v>
      </c>
      <c r="DC265" s="443">
        <f t="shared" si="656"/>
        <v>350</v>
      </c>
      <c r="DE265" s="217">
        <f t="shared" si="657"/>
        <v>31.780981505752148</v>
      </c>
      <c r="DF265" s="173">
        <f t="shared" si="658"/>
        <v>1.8639871850881022</v>
      </c>
      <c r="DG265" s="173">
        <f t="shared" si="659"/>
        <v>0.51834424474213492</v>
      </c>
      <c r="DH265" s="173"/>
      <c r="DI265" s="173">
        <f t="shared" si="660"/>
        <v>0.78201368523949166</v>
      </c>
      <c r="DJ265" s="545">
        <f t="shared" si="661"/>
        <v>1127.8575000000001</v>
      </c>
      <c r="DK265" s="528">
        <f t="shared" si="662"/>
        <v>9.1234929944607357E-2</v>
      </c>
      <c r="DM265" s="173">
        <f t="shared" si="663"/>
        <v>23.93491173996679</v>
      </c>
      <c r="DN265" s="173">
        <f t="shared" si="664"/>
        <v>23.93491173996679</v>
      </c>
      <c r="DO265" s="173">
        <f t="shared" si="665"/>
        <v>9.0530210419507071</v>
      </c>
      <c r="DQ265" s="545">
        <f t="shared" si="666"/>
        <v>294</v>
      </c>
      <c r="DR265" s="460">
        <f t="shared" si="667"/>
        <v>350</v>
      </c>
      <c r="DT265">
        <f t="shared" si="668"/>
        <v>294</v>
      </c>
      <c r="DU265">
        <f t="shared" si="669"/>
        <v>350</v>
      </c>
      <c r="DW265" s="5">
        <f t="shared" si="670"/>
        <v>2.8571428571428572</v>
      </c>
      <c r="DX265" s="5">
        <f t="shared" si="671"/>
        <v>0.74796599187396207</v>
      </c>
      <c r="DY265" s="5">
        <f t="shared" si="672"/>
        <v>2.1091768652688954</v>
      </c>
      <c r="DZ265" s="5"/>
      <c r="EA265" s="173">
        <f t="shared" si="673"/>
        <v>0.26178809715588669</v>
      </c>
      <c r="EB265" s="173">
        <f t="shared" si="699"/>
        <v>50.12700000000001</v>
      </c>
      <c r="EC265" s="173">
        <f t="shared" si="700"/>
        <v>0.44172591849916976</v>
      </c>
      <c r="ED265" s="173">
        <f t="shared" si="701"/>
        <v>113.47987043711184</v>
      </c>
      <c r="EE265" s="460">
        <f t="shared" si="674"/>
        <v>0.12935411859467341</v>
      </c>
      <c r="EF265" s="5">
        <f t="shared" si="675"/>
        <v>10.541665972613938</v>
      </c>
      <c r="EH265" s="173">
        <f t="shared" si="702"/>
        <v>7.0704352788840472</v>
      </c>
      <c r="EI265" s="173">
        <f t="shared" si="703"/>
        <v>0.59365171811237916</v>
      </c>
      <c r="EK265" s="528">
        <f t="shared" si="704"/>
        <v>1.9996422013155255</v>
      </c>
      <c r="EL265" s="528">
        <f t="shared" si="705"/>
        <v>5.6499107128183477</v>
      </c>
      <c r="EM265" s="528">
        <f t="shared" si="706"/>
        <v>6.9999999999999993E-2</v>
      </c>
      <c r="EN265" s="528">
        <f t="shared" si="707"/>
        <v>4.2103293749999993E-2</v>
      </c>
      <c r="EO265">
        <f t="shared" si="708"/>
        <v>7.1999999999999998E-3</v>
      </c>
      <c r="EP265" s="460">
        <f t="shared" si="709"/>
        <v>77.199999999999989</v>
      </c>
      <c r="EQ265" s="460"/>
      <c r="ER265" s="460">
        <f t="shared" si="710"/>
        <v>7768.856207883874</v>
      </c>
      <c r="ES265" s="528">
        <f t="shared" si="711"/>
        <v>0.20579999999999998</v>
      </c>
      <c r="EV265" s="460">
        <f t="shared" si="712"/>
        <v>205.79999999999998</v>
      </c>
      <c r="EW265" s="528">
        <f t="shared" si="713"/>
        <v>1.4997316509866441</v>
      </c>
      <c r="EX265" s="528">
        <f t="shared" si="714"/>
        <v>1.057267087253339E-2</v>
      </c>
      <c r="EY265" s="528">
        <f t="shared" si="715"/>
        <v>321.15869986577985</v>
      </c>
      <c r="EZ265" s="528"/>
      <c r="FA265" s="528">
        <f t="shared" si="716"/>
        <v>5.0127000000000015</v>
      </c>
      <c r="FB265" s="460">
        <f t="shared" si="717"/>
        <v>327681.704187639</v>
      </c>
      <c r="FC265" s="173">
        <f t="shared" si="718"/>
        <v>335.65636039552288</v>
      </c>
      <c r="FD265" s="5">
        <f t="shared" si="719"/>
        <v>49.98</v>
      </c>
      <c r="FE265" s="173">
        <f t="shared" si="720"/>
        <v>0.12960396148521541</v>
      </c>
      <c r="FF265" s="5">
        <f t="shared" si="721"/>
        <v>12.960396148521541</v>
      </c>
      <c r="FI265" s="562">
        <f t="shared" si="676"/>
        <v>-50</v>
      </c>
      <c r="FJ265">
        <f t="shared" si="677"/>
        <v>-50</v>
      </c>
      <c r="FL265">
        <f t="shared" si="760"/>
        <v>0.49133249906090176</v>
      </c>
    </row>
    <row r="266" spans="5:168">
      <c r="E266" s="170">
        <v>50</v>
      </c>
      <c r="F266" s="217">
        <f t="shared" si="761"/>
        <v>0.3</v>
      </c>
      <c r="G266" s="217"/>
      <c r="H266" s="217">
        <f t="shared" si="726"/>
        <v>51</v>
      </c>
      <c r="I266" s="541">
        <f t="shared" si="727"/>
        <v>15.155014793028895</v>
      </c>
      <c r="J266" s="172">
        <f t="shared" si="728"/>
        <v>8.5259053412931838</v>
      </c>
      <c r="K266" s="172">
        <f t="shared" si="729"/>
        <v>23.680920134322079</v>
      </c>
      <c r="L266" s="443"/>
      <c r="M266" s="217">
        <f t="shared" si="730"/>
        <v>0.36003272441905176</v>
      </c>
      <c r="N266" s="172">
        <f t="shared" si="731"/>
        <v>184.49573342515586</v>
      </c>
      <c r="O266" s="172">
        <f t="shared" si="762"/>
        <v>51</v>
      </c>
      <c r="P266" s="217">
        <f t="shared" si="732"/>
        <v>1.0852690201479755</v>
      </c>
      <c r="Q266" s="217">
        <f t="shared" si="733"/>
        <v>170</v>
      </c>
      <c r="R266" s="217"/>
      <c r="S266" s="172">
        <f t="shared" si="734"/>
        <v>1380.8999443527675</v>
      </c>
      <c r="T266" s="172">
        <f t="shared" si="735"/>
        <v>170</v>
      </c>
      <c r="U266" s="217">
        <f t="shared" si="736"/>
        <v>18.75095877223826</v>
      </c>
      <c r="V266" s="217">
        <f t="shared" si="737"/>
        <v>0.61863874856999324</v>
      </c>
      <c r="W266" s="217">
        <f t="shared" si="738"/>
        <v>1.0996461971857978</v>
      </c>
      <c r="X266" s="197">
        <f t="shared" si="739"/>
        <v>350</v>
      </c>
      <c r="Y266" s="443">
        <f t="shared" si="680"/>
        <v>350</v>
      </c>
      <c r="AA266" s="217">
        <f t="shared" si="740"/>
        <v>31.178861255236129</v>
      </c>
      <c r="AB266" s="173">
        <f t="shared" si="741"/>
        <v>1.8284780329561465</v>
      </c>
      <c r="AC266" s="173">
        <f t="shared" si="742"/>
        <v>0.49883630035563425</v>
      </c>
      <c r="AD266" s="173"/>
      <c r="AE266" s="173">
        <f t="shared" si="743"/>
        <v>0.78193064546216118</v>
      </c>
      <c r="AF266" s="545">
        <f t="shared" si="744"/>
        <v>1150.9972210745798</v>
      </c>
      <c r="AG266" s="528">
        <f t="shared" si="745"/>
        <v>9.1225241970585458E-2</v>
      </c>
      <c r="AI266" s="173">
        <f t="shared" si="746"/>
        <v>24.179195791366734</v>
      </c>
      <c r="AJ266" s="173">
        <f t="shared" si="747"/>
        <v>24.179195791366734</v>
      </c>
      <c r="AK266" s="173">
        <f t="shared" si="748"/>
        <v>9.2339721911358499</v>
      </c>
      <c r="AM266" s="545">
        <f t="shared" si="749"/>
        <v>300</v>
      </c>
      <c r="AN266" s="460">
        <f t="shared" si="750"/>
        <v>350</v>
      </c>
      <c r="AP266">
        <f t="shared" si="751"/>
        <v>300</v>
      </c>
      <c r="AQ266">
        <f t="shared" si="752"/>
        <v>350</v>
      </c>
      <c r="AS266" s="5">
        <f t="shared" si="763"/>
        <v>2.8571428571428572</v>
      </c>
      <c r="AT266" s="5">
        <f t="shared" si="753"/>
        <v>0.79772920454319973</v>
      </c>
      <c r="AU266" s="5">
        <f t="shared" si="722"/>
        <v>2.0594136525996576</v>
      </c>
      <c r="AV266" s="5"/>
      <c r="AW266" s="173">
        <f t="shared" si="723"/>
        <v>0.2792052215901199</v>
      </c>
      <c r="AX266" s="173">
        <f t="shared" si="631"/>
        <v>51.155432047759099</v>
      </c>
      <c r="AY266" s="173">
        <f t="shared" si="632"/>
        <v>0.43570595181418226</v>
      </c>
      <c r="AZ266" s="173">
        <f t="shared" si="633"/>
        <v>117.40815528169699</v>
      </c>
      <c r="BA266" s="460">
        <f t="shared" si="724"/>
        <v>0.14077574197821172</v>
      </c>
      <c r="BB266" s="5">
        <f t="shared" si="725"/>
        <v>11.088616959280829</v>
      </c>
      <c r="BD266" s="173">
        <f t="shared" si="681"/>
        <v>7.3763750912872794</v>
      </c>
      <c r="BE266" s="173">
        <f t="shared" si="682"/>
        <v>0.59259372019338041</v>
      </c>
      <c r="BG266" s="528">
        <f t="shared" si="683"/>
        <v>2.1764363794945369</v>
      </c>
      <c r="BH266" s="528">
        <f t="shared" si="754"/>
        <v>4.5091116350240013</v>
      </c>
      <c r="BI266" s="528">
        <f t="shared" si="755"/>
        <v>0.21217020710240456</v>
      </c>
      <c r="BJ266" s="528">
        <f t="shared" si="684"/>
        <v>3.9255018488569861E-2</v>
      </c>
      <c r="BK266">
        <f t="shared" si="685"/>
        <v>6.819756656863003E-3</v>
      </c>
      <c r="BL266" s="460">
        <f t="shared" si="686"/>
        <v>218.98996375926754</v>
      </c>
      <c r="BM266" s="528">
        <f t="shared" si="756"/>
        <v>15.14343169342728</v>
      </c>
      <c r="BN266" s="460">
        <f t="shared" si="687"/>
        <v>15143.431693427279</v>
      </c>
      <c r="BO266" s="528">
        <f t="shared" si="637"/>
        <v>0.21</v>
      </c>
      <c r="BR266" s="460">
        <f t="shared" si="688"/>
        <v>210</v>
      </c>
      <c r="BS266" s="528">
        <f t="shared" si="689"/>
        <v>1.6323272846209025</v>
      </c>
      <c r="BT266" s="528">
        <f t="shared" si="690"/>
        <v>1.0535019516378913E-2</v>
      </c>
      <c r="BU266" s="528">
        <f t="shared" si="691"/>
        <v>329.41604230535029</v>
      </c>
      <c r="BV266" s="528"/>
      <c r="BW266" s="528">
        <f t="shared" si="692"/>
        <v>5.1155432047759097</v>
      </c>
      <c r="BX266" s="460">
        <f t="shared" si="693"/>
        <v>336174.44781426346</v>
      </c>
      <c r="BY266" s="173">
        <f t="shared" si="694"/>
        <v>343.32824081102984</v>
      </c>
      <c r="BZ266" s="5">
        <f t="shared" si="695"/>
        <v>51</v>
      </c>
      <c r="CA266" s="173">
        <f t="shared" si="696"/>
        <v>0.12933387650629935</v>
      </c>
      <c r="CB266" s="5">
        <f t="shared" si="697"/>
        <v>12.933387650629935</v>
      </c>
      <c r="CE266" s="562">
        <f t="shared" si="757"/>
        <v>-50</v>
      </c>
      <c r="CF266">
        <f t="shared" si="758"/>
        <v>-50</v>
      </c>
      <c r="CG266" s="173">
        <f t="shared" si="759"/>
        <v>0.49705012174770835</v>
      </c>
      <c r="CI266" s="170">
        <v>50</v>
      </c>
      <c r="CJ266" s="217">
        <f t="shared" si="698"/>
        <v>0.3</v>
      </c>
      <c r="CK266" s="217"/>
      <c r="CL266" s="217">
        <f t="shared" si="641"/>
        <v>51</v>
      </c>
      <c r="CM266" s="541">
        <f t="shared" si="642"/>
        <v>16</v>
      </c>
      <c r="CN266" s="443">
        <f t="shared" si="643"/>
        <v>8.5250000000000004</v>
      </c>
      <c r="CO266" s="443">
        <f t="shared" si="644"/>
        <v>24.524999999999999</v>
      </c>
      <c r="CP266" s="443"/>
      <c r="CQ266" s="217">
        <f t="shared" si="645"/>
        <v>0.34760448521916415</v>
      </c>
      <c r="CR266" s="172">
        <f t="shared" si="646"/>
        <v>188.05866123003739</v>
      </c>
      <c r="CS266" s="172">
        <f t="shared" si="647"/>
        <v>51</v>
      </c>
      <c r="CT266" s="217">
        <f t="shared" si="648"/>
        <v>1.1062274190002199</v>
      </c>
      <c r="CU266" s="217">
        <f t="shared" si="649"/>
        <v>170</v>
      </c>
      <c r="CV266" s="217"/>
      <c r="CW266" s="172">
        <f t="shared" si="650"/>
        <v>1457.8874879894452</v>
      </c>
      <c r="CX266" s="172">
        <f t="shared" si="651"/>
        <v>170</v>
      </c>
      <c r="CY266" s="217">
        <f t="shared" si="652"/>
        <v>18.339809384164223</v>
      </c>
      <c r="CZ266" s="217">
        <f t="shared" si="653"/>
        <v>0.57311904325513197</v>
      </c>
      <c r="DA266" s="217">
        <f t="shared" si="654"/>
        <v>1.0756486442325057</v>
      </c>
      <c r="DB266" s="197">
        <f t="shared" si="655"/>
        <v>350</v>
      </c>
      <c r="DC266" s="443">
        <f t="shared" si="656"/>
        <v>350</v>
      </c>
      <c r="DE266" s="217">
        <f t="shared" si="657"/>
        <v>31.780981505752148</v>
      </c>
      <c r="DF266" s="173">
        <f t="shared" si="658"/>
        <v>1.8639871850881022</v>
      </c>
      <c r="DG266" s="173">
        <f t="shared" si="659"/>
        <v>0.51834424474213492</v>
      </c>
      <c r="DH266" s="173"/>
      <c r="DI266" s="173">
        <f t="shared" si="660"/>
        <v>0.78201368523949166</v>
      </c>
      <c r="DJ266" s="545">
        <f t="shared" si="661"/>
        <v>1150.875</v>
      </c>
      <c r="DK266" s="528">
        <f t="shared" si="662"/>
        <v>9.1234929944607357E-2</v>
      </c>
      <c r="DM266" s="173">
        <f t="shared" si="663"/>
        <v>24.177911997760035</v>
      </c>
      <c r="DN266" s="173">
        <f t="shared" si="664"/>
        <v>24.177911997760035</v>
      </c>
      <c r="DO266" s="173">
        <f t="shared" si="665"/>
        <v>9.2330212329086656</v>
      </c>
      <c r="DQ266" s="545">
        <f t="shared" si="666"/>
        <v>300</v>
      </c>
      <c r="DR266" s="460">
        <f t="shared" si="667"/>
        <v>350</v>
      </c>
      <c r="DT266">
        <f t="shared" si="668"/>
        <v>300</v>
      </c>
      <c r="DU266">
        <f t="shared" si="669"/>
        <v>350</v>
      </c>
      <c r="DW266" s="5">
        <f t="shared" si="670"/>
        <v>2.8571428571428572</v>
      </c>
      <c r="DX266" s="5">
        <f t="shared" si="671"/>
        <v>0.75555974993000097</v>
      </c>
      <c r="DY266" s="5">
        <f t="shared" si="672"/>
        <v>2.1015831072128561</v>
      </c>
      <c r="DZ266" s="5"/>
      <c r="EA266" s="173">
        <f t="shared" si="673"/>
        <v>0.26444591247550031</v>
      </c>
      <c r="EB266" s="173">
        <f t="shared" si="699"/>
        <v>51.150000000000006</v>
      </c>
      <c r="EC266" s="173">
        <f t="shared" si="700"/>
        <v>0.44460404994400088</v>
      </c>
      <c r="ED266" s="173">
        <f t="shared" si="701"/>
        <v>115.04618549120839</v>
      </c>
      <c r="EE266" s="460">
        <f t="shared" si="674"/>
        <v>0.13333407351705898</v>
      </c>
      <c r="EF266" s="5">
        <f t="shared" si="675"/>
        <v>10.718073846785567</v>
      </c>
      <c r="EH266" s="173">
        <f t="shared" si="702"/>
        <v>7.1783824741529392</v>
      </c>
      <c r="EI266" s="173">
        <f t="shared" si="703"/>
        <v>0.59859829583769453</v>
      </c>
      <c r="EK266" s="528">
        <f t="shared" si="704"/>
        <v>2.061166997809043</v>
      </c>
      <c r="EL266" s="528">
        <f t="shared" si="705"/>
        <v>5.7072716830462484</v>
      </c>
      <c r="EM266" s="528">
        <f t="shared" si="706"/>
        <v>6.9999999999999993E-2</v>
      </c>
      <c r="EN266" s="528">
        <f t="shared" si="707"/>
        <v>4.2103293749999993E-2</v>
      </c>
      <c r="EO266">
        <f t="shared" si="708"/>
        <v>7.1999999999999998E-3</v>
      </c>
      <c r="EP266" s="460">
        <f t="shared" si="709"/>
        <v>77.199999999999989</v>
      </c>
      <c r="EQ266" s="460"/>
      <c r="ER266" s="460">
        <f t="shared" si="710"/>
        <v>7887.7419746052929</v>
      </c>
      <c r="ES266" s="528">
        <f t="shared" si="711"/>
        <v>0.21</v>
      </c>
      <c r="EV266" s="460">
        <f t="shared" si="712"/>
        <v>210</v>
      </c>
      <c r="EW266" s="528">
        <f t="shared" si="713"/>
        <v>1.5458752483567821</v>
      </c>
      <c r="EX266" s="528">
        <f t="shared" si="714"/>
        <v>1.0749597593393761E-2</v>
      </c>
      <c r="EY266" s="528">
        <f t="shared" si="715"/>
        <v>329.37231821167421</v>
      </c>
      <c r="EZ266" s="528"/>
      <c r="FA266" s="528">
        <f t="shared" si="716"/>
        <v>5.1150000000000011</v>
      </c>
      <c r="FB266" s="460">
        <f t="shared" si="717"/>
        <v>336043.94305762439</v>
      </c>
      <c r="FC266" s="173">
        <f t="shared" si="718"/>
        <v>344.1416850322297</v>
      </c>
      <c r="FD266" s="5">
        <f t="shared" si="719"/>
        <v>51</v>
      </c>
      <c r="FE266" s="173">
        <f t="shared" si="720"/>
        <v>0.12906762797207838</v>
      </c>
      <c r="FF266" s="5">
        <f t="shared" si="721"/>
        <v>12.906762797207838</v>
      </c>
      <c r="FI266" s="562">
        <f t="shared" si="676"/>
        <v>-50</v>
      </c>
      <c r="FJ266">
        <f t="shared" si="677"/>
        <v>-50</v>
      </c>
      <c r="FL266">
        <f t="shared" si="760"/>
        <v>0.49632077414756665</v>
      </c>
    </row>
    <row r="267" spans="5:168">
      <c r="E267" s="170">
        <v>51</v>
      </c>
      <c r="F267" s="217">
        <f t="shared" si="761"/>
        <v>0.30599999999999999</v>
      </c>
      <c r="G267" s="217"/>
      <c r="H267" s="217">
        <f t="shared" si="726"/>
        <v>52.019999999999996</v>
      </c>
      <c r="I267" s="541">
        <f t="shared" si="727"/>
        <v>15.146606772935243</v>
      </c>
      <c r="J267" s="172">
        <f t="shared" si="728"/>
        <v>8.5259143498861416</v>
      </c>
      <c r="K267" s="172">
        <f t="shared" si="729"/>
        <v>23.672521122821387</v>
      </c>
      <c r="L267" s="443"/>
      <c r="M267" s="217">
        <f t="shared" si="730"/>
        <v>0.36016084494622813</v>
      </c>
      <c r="N267" s="172">
        <f t="shared" si="731"/>
        <v>184.45899283312343</v>
      </c>
      <c r="O267" s="172">
        <f t="shared" si="762"/>
        <v>52.019999999999996</v>
      </c>
      <c r="P267" s="217">
        <f t="shared" si="732"/>
        <v>1.0850528990183732</v>
      </c>
      <c r="Q267" s="217">
        <f t="shared" si="733"/>
        <v>170</v>
      </c>
      <c r="R267" s="217"/>
      <c r="S267" s="172">
        <f t="shared" si="734"/>
        <v>1347.1374231317825</v>
      </c>
      <c r="T267" s="172">
        <f t="shared" si="735"/>
        <v>170</v>
      </c>
      <c r="U267" s="217">
        <f t="shared" si="736"/>
        <v>19.129807707643888</v>
      </c>
      <c r="V267" s="217">
        <f t="shared" si="737"/>
        <v>0.63148822684913297</v>
      </c>
      <c r="W267" s="217">
        <f t="shared" si="738"/>
        <v>1.1218625312544546</v>
      </c>
      <c r="X267" s="197">
        <f t="shared" si="739"/>
        <v>350</v>
      </c>
      <c r="Y267" s="443">
        <f t="shared" si="680"/>
        <v>350</v>
      </c>
      <c r="AA267" s="217">
        <f t="shared" si="740"/>
        <v>31.17265224758982</v>
      </c>
      <c r="AB267" s="173">
        <f t="shared" si="741"/>
        <v>1.8281119753452668</v>
      </c>
      <c r="AC267" s="173">
        <f t="shared" si="742"/>
        <v>0.49863711517455939</v>
      </c>
      <c r="AD267" s="173"/>
      <c r="AE267" s="173">
        <f t="shared" si="743"/>
        <v>0.78192981926398264</v>
      </c>
      <c r="AF267" s="545">
        <f t="shared" si="744"/>
        <v>1174.0184059793216</v>
      </c>
      <c r="AG267" s="528">
        <f t="shared" si="745"/>
        <v>9.1225145580797987E-2</v>
      </c>
      <c r="AI267" s="173">
        <f t="shared" si="746"/>
        <v>24.419803631199049</v>
      </c>
      <c r="AJ267" s="173">
        <f t="shared" si="747"/>
        <v>24.419803631199049</v>
      </c>
      <c r="AK267" s="173">
        <f t="shared" si="748"/>
        <v>9.4122002206412692</v>
      </c>
      <c r="AM267" s="545">
        <f t="shared" si="749"/>
        <v>306</v>
      </c>
      <c r="AN267" s="460">
        <f t="shared" si="750"/>
        <v>350</v>
      </c>
      <c r="AP267">
        <f t="shared" si="751"/>
        <v>306</v>
      </c>
      <c r="AQ267">
        <f t="shared" si="752"/>
        <v>350</v>
      </c>
      <c r="AS267" s="5">
        <f t="shared" si="763"/>
        <v>2.8571428571428572</v>
      </c>
      <c r="AT267" s="5">
        <f t="shared" si="753"/>
        <v>0.80611466308195312</v>
      </c>
      <c r="AU267" s="5">
        <f t="shared" si="722"/>
        <v>2.0510281940609039</v>
      </c>
      <c r="AV267" s="5"/>
      <c r="AW267" s="173">
        <f t="shared" si="723"/>
        <v>0.2821401320786836</v>
      </c>
      <c r="AX267" s="173">
        <f t="shared" si="631"/>
        <v>52.17859582130319</v>
      </c>
      <c r="AY267" s="173">
        <f t="shared" si="632"/>
        <v>0.43824992523392581</v>
      </c>
      <c r="AZ267" s="173">
        <f t="shared" si="633"/>
        <v>119.06127717751848</v>
      </c>
      <c r="BA267" s="460">
        <f t="shared" si="724"/>
        <v>0.14510063935475156</v>
      </c>
      <c r="BB267" s="5">
        <f t="shared" si="725"/>
        <v>11.270588931714586</v>
      </c>
      <c r="BD267" s="173">
        <f t="shared" si="681"/>
        <v>7.4888300101399228</v>
      </c>
      <c r="BE267" s="173">
        <f t="shared" si="682"/>
        <v>0.59727093560628286</v>
      </c>
      <c r="BG267" s="528">
        <f t="shared" si="683"/>
        <v>2.2433029968308928</v>
      </c>
      <c r="BH267" s="528">
        <f t="shared" si="754"/>
        <v>4.5523667485383399</v>
      </c>
      <c r="BI267" s="528">
        <f t="shared" si="755"/>
        <v>0.2120524948210934</v>
      </c>
      <c r="BJ267" s="528">
        <f t="shared" si="684"/>
        <v>3.9227177941729731E-2</v>
      </c>
      <c r="BK267">
        <f t="shared" si="685"/>
        <v>6.8159730478208596E-3</v>
      </c>
      <c r="BL267" s="460">
        <f t="shared" si="686"/>
        <v>218.86846786891425</v>
      </c>
      <c r="BM267" s="528">
        <f t="shared" si="756"/>
        <v>15.93303815091199</v>
      </c>
      <c r="BN267" s="460">
        <f t="shared" si="687"/>
        <v>15933.038150911991</v>
      </c>
      <c r="BO267" s="528">
        <f t="shared" si="637"/>
        <v>0.21419999999999997</v>
      </c>
      <c r="BR267" s="460">
        <f t="shared" si="688"/>
        <v>214.19999999999996</v>
      </c>
      <c r="BS267" s="528">
        <f t="shared" si="689"/>
        <v>1.6824772476231695</v>
      </c>
      <c r="BT267" s="528">
        <f t="shared" si="690"/>
        <v>1.0701977115600135E-2</v>
      </c>
      <c r="BU267" s="528">
        <f t="shared" si="691"/>
        <v>337.67237580034538</v>
      </c>
      <c r="BV267" s="528"/>
      <c r="BW267" s="528">
        <f t="shared" si="692"/>
        <v>5.2178595821303198</v>
      </c>
      <c r="BX267" s="460">
        <f t="shared" si="693"/>
        <v>344583.41460721445</v>
      </c>
      <c r="BY267" s="173">
        <f t="shared" si="694"/>
        <v>351.85137999839435</v>
      </c>
      <c r="BZ267" s="5">
        <f t="shared" si="695"/>
        <v>52.019999999999996</v>
      </c>
      <c r="CA267" s="173">
        <f t="shared" si="696"/>
        <v>0.12880338289929535</v>
      </c>
      <c r="CB267" s="5">
        <f t="shared" si="697"/>
        <v>12.880338289929535</v>
      </c>
      <c r="CE267" s="562">
        <f t="shared" si="757"/>
        <v>-50</v>
      </c>
      <c r="CF267">
        <f t="shared" si="758"/>
        <v>-50</v>
      </c>
      <c r="CG267" s="173">
        <f t="shared" si="759"/>
        <v>0.50199601592044529</v>
      </c>
      <c r="CI267" s="170">
        <v>51</v>
      </c>
      <c r="CJ267" s="217">
        <f t="shared" si="698"/>
        <v>0.30599999999999999</v>
      </c>
      <c r="CK267" s="217"/>
      <c r="CL267" s="217">
        <f t="shared" si="641"/>
        <v>52.019999999999996</v>
      </c>
      <c r="CM267" s="541">
        <f t="shared" si="642"/>
        <v>16</v>
      </c>
      <c r="CN267" s="443">
        <f t="shared" si="643"/>
        <v>8.5250000000000004</v>
      </c>
      <c r="CO267" s="443">
        <f t="shared" si="644"/>
        <v>24.524999999999999</v>
      </c>
      <c r="CP267" s="443"/>
      <c r="CQ267" s="217">
        <f t="shared" si="645"/>
        <v>0.34760448521916415</v>
      </c>
      <c r="CR267" s="172">
        <f t="shared" si="646"/>
        <v>188.05866123003739</v>
      </c>
      <c r="CS267" s="172">
        <f t="shared" si="647"/>
        <v>52.019999999999996</v>
      </c>
      <c r="CT267" s="217">
        <f t="shared" si="648"/>
        <v>1.1062274190002199</v>
      </c>
      <c r="CU267" s="217">
        <f t="shared" si="649"/>
        <v>170</v>
      </c>
      <c r="CV267" s="217"/>
      <c r="CW267" s="172">
        <f t="shared" si="650"/>
        <v>1423.0317864849294</v>
      </c>
      <c r="CX267" s="172">
        <f t="shared" si="651"/>
        <v>170</v>
      </c>
      <c r="CY267" s="217">
        <f t="shared" si="652"/>
        <v>18.706605571847504</v>
      </c>
      <c r="CZ267" s="217">
        <f t="shared" si="653"/>
        <v>0.58458142412023451</v>
      </c>
      <c r="DA267" s="217">
        <f t="shared" si="654"/>
        <v>1.0971616171171554</v>
      </c>
      <c r="DB267" s="197">
        <f t="shared" si="655"/>
        <v>350</v>
      </c>
      <c r="DC267" s="443">
        <f t="shared" si="656"/>
        <v>350</v>
      </c>
      <c r="DE267" s="217">
        <f t="shared" si="657"/>
        <v>31.780981505752148</v>
      </c>
      <c r="DF267" s="173">
        <f t="shared" si="658"/>
        <v>1.8639871850881022</v>
      </c>
      <c r="DG267" s="173">
        <f t="shared" si="659"/>
        <v>0.51834424474213492</v>
      </c>
      <c r="DH267" s="173"/>
      <c r="DI267" s="173">
        <f t="shared" si="660"/>
        <v>0.78201368523949166</v>
      </c>
      <c r="DJ267" s="545">
        <f t="shared" si="661"/>
        <v>1173.8924999999999</v>
      </c>
      <c r="DK267" s="528">
        <f t="shared" si="662"/>
        <v>9.1234929944607357E-2</v>
      </c>
      <c r="DM267" s="173">
        <f t="shared" si="663"/>
        <v>24.418494162066118</v>
      </c>
      <c r="DN267" s="173">
        <f t="shared" si="664"/>
        <v>24.418494162066118</v>
      </c>
      <c r="DO267" s="173">
        <f t="shared" si="665"/>
        <v>9.4112302435057646</v>
      </c>
      <c r="DQ267" s="545">
        <f t="shared" si="666"/>
        <v>306</v>
      </c>
      <c r="DR267" s="460">
        <f t="shared" si="667"/>
        <v>350</v>
      </c>
      <c r="DT267">
        <f t="shared" si="668"/>
        <v>306</v>
      </c>
      <c r="DU267">
        <f t="shared" si="669"/>
        <v>350</v>
      </c>
      <c r="DW267" s="5">
        <f t="shared" si="670"/>
        <v>2.8571428571428572</v>
      </c>
      <c r="DX267" s="5">
        <f t="shared" si="671"/>
        <v>0.76307794256456618</v>
      </c>
      <c r="DY267" s="5">
        <f t="shared" si="672"/>
        <v>2.0940649145782908</v>
      </c>
      <c r="DZ267" s="5"/>
      <c r="EA267" s="173">
        <f t="shared" si="673"/>
        <v>0.26707727989759816</v>
      </c>
      <c r="EB267" s="173">
        <f t="shared" si="699"/>
        <v>52.172999999999995</v>
      </c>
      <c r="EC267" s="173">
        <f t="shared" si="700"/>
        <v>0.44742172905165295</v>
      </c>
      <c r="ED267" s="173">
        <f t="shared" si="701"/>
        <v>116.60810508820157</v>
      </c>
      <c r="EE267" s="460">
        <f t="shared" si="674"/>
        <v>0.13735402966162191</v>
      </c>
      <c r="EF267" s="5">
        <f t="shared" si="675"/>
        <v>10.893325685636267</v>
      </c>
      <c r="EH267" s="173">
        <f t="shared" si="702"/>
        <v>7.2857912402539693</v>
      </c>
      <c r="EI267" s="173">
        <f t="shared" si="703"/>
        <v>0.60347231029626414</v>
      </c>
      <c r="EK267" s="528">
        <f t="shared" si="704"/>
        <v>2.1233101598624589</v>
      </c>
      <c r="EL267" s="528">
        <f t="shared" si="705"/>
        <v>5.7640618547499631</v>
      </c>
      <c r="EM267" s="528">
        <f t="shared" si="706"/>
        <v>6.9999999999999993E-2</v>
      </c>
      <c r="EN267" s="528">
        <f t="shared" si="707"/>
        <v>4.2103293749999993E-2</v>
      </c>
      <c r="EO267">
        <f t="shared" si="708"/>
        <v>7.1999999999999998E-3</v>
      </c>
      <c r="EP267" s="460">
        <f t="shared" si="709"/>
        <v>77.199999999999989</v>
      </c>
      <c r="EQ267" s="460"/>
      <c r="ER267" s="460">
        <f t="shared" si="710"/>
        <v>8006.6753083624235</v>
      </c>
      <c r="ES267" s="528">
        <f t="shared" si="711"/>
        <v>0.21419999999999997</v>
      </c>
      <c r="EV267" s="460">
        <f t="shared" si="712"/>
        <v>214.19999999999996</v>
      </c>
      <c r="EW267" s="528">
        <f t="shared" si="713"/>
        <v>1.592482619896844</v>
      </c>
      <c r="EX267" s="528">
        <f t="shared" si="714"/>
        <v>1.0925364878829315E-2</v>
      </c>
      <c r="EY267" s="528">
        <f t="shared" si="715"/>
        <v>337.62710989884727</v>
      </c>
      <c r="EZ267" s="528"/>
      <c r="FA267" s="528">
        <f t="shared" si="716"/>
        <v>5.2172999999999998</v>
      </c>
      <c r="FB267" s="460">
        <f t="shared" si="717"/>
        <v>344447.81788362295</v>
      </c>
      <c r="FC267" s="173">
        <f t="shared" si="718"/>
        <v>352.66869319198537</v>
      </c>
      <c r="FD267" s="5">
        <f t="shared" si="719"/>
        <v>52.019999999999996</v>
      </c>
      <c r="FE267" s="173">
        <f t="shared" si="720"/>
        <v>0.12854325034310157</v>
      </c>
      <c r="FF267" s="5">
        <f t="shared" si="721"/>
        <v>12.854325034310158</v>
      </c>
      <c r="FI267" s="562">
        <f t="shared" si="676"/>
        <v>-50</v>
      </c>
      <c r="FJ267">
        <f t="shared" si="677"/>
        <v>-50</v>
      </c>
      <c r="FL267">
        <f t="shared" si="760"/>
        <v>0.50125941095150384</v>
      </c>
    </row>
    <row r="268" spans="5:168">
      <c r="E268" s="170">
        <v>52</v>
      </c>
      <c r="F268" s="217">
        <f t="shared" si="761"/>
        <v>0.312</v>
      </c>
      <c r="G268" s="217"/>
      <c r="H268" s="217">
        <f t="shared" si="726"/>
        <v>53.04</v>
      </c>
      <c r="I268" s="541">
        <f t="shared" si="727"/>
        <v>15.13828078819142</v>
      </c>
      <c r="J268" s="172">
        <f t="shared" si="728"/>
        <v>8.5259232705840802</v>
      </c>
      <c r="K268" s="172">
        <f t="shared" si="729"/>
        <v>23.6642040587755</v>
      </c>
      <c r="L268" s="443"/>
      <c r="M268" s="217">
        <f t="shared" si="730"/>
        <v>0.36028780504681457</v>
      </c>
      <c r="N268" s="172">
        <f t="shared" si="731"/>
        <v>184.42258479819435</v>
      </c>
      <c r="O268" s="172">
        <f t="shared" si="762"/>
        <v>53.04</v>
      </c>
      <c r="P268" s="217">
        <f t="shared" si="732"/>
        <v>1.0848387341070256</v>
      </c>
      <c r="Q268" s="217">
        <f t="shared" si="733"/>
        <v>170</v>
      </c>
      <c r="R268" s="217"/>
      <c r="S268" s="172">
        <f t="shared" si="734"/>
        <v>1314.68717890425</v>
      </c>
      <c r="T268" s="172">
        <f t="shared" si="735"/>
        <v>170</v>
      </c>
      <c r="U268" s="217">
        <f t="shared" si="736"/>
        <v>19.508773005200091</v>
      </c>
      <c r="V268" s="217">
        <f t="shared" si="737"/>
        <v>0.64435233029954975</v>
      </c>
      <c r="W268" s="217">
        <f t="shared" si="738"/>
        <v>1.1440856541900133</v>
      </c>
      <c r="X268" s="197">
        <f t="shared" si="739"/>
        <v>350</v>
      </c>
      <c r="Y268" s="443">
        <f t="shared" si="680"/>
        <v>350</v>
      </c>
      <c r="AA268" s="217">
        <f t="shared" si="740"/>
        <v>31.166499440760521</v>
      </c>
      <c r="AB268" s="173">
        <f t="shared" si="741"/>
        <v>1.8277492332291077</v>
      </c>
      <c r="AC268" s="173">
        <f t="shared" si="742"/>
        <v>0.49843977273374773</v>
      </c>
      <c r="AD268" s="173"/>
      <c r="AE268" s="173">
        <f t="shared" si="743"/>
        <v>0.78192900112857311</v>
      </c>
      <c r="AF268" s="545">
        <f t="shared" si="744"/>
        <v>1197.0396271900049</v>
      </c>
      <c r="AG268" s="528">
        <f t="shared" si="745"/>
        <v>9.1225050131666846E-2</v>
      </c>
      <c r="AI268" s="173">
        <f t="shared" si="746"/>
        <v>24.658064159550531</v>
      </c>
      <c r="AJ268" s="173">
        <f t="shared" si="747"/>
        <v>24.658064159550531</v>
      </c>
      <c r="AK268" s="173">
        <f t="shared" si="748"/>
        <v>9.5886895009016264</v>
      </c>
      <c r="AM268" s="545">
        <f t="shared" si="749"/>
        <v>312</v>
      </c>
      <c r="AN268" s="460">
        <f t="shared" si="750"/>
        <v>350</v>
      </c>
      <c r="AP268">
        <f t="shared" si="751"/>
        <v>312</v>
      </c>
      <c r="AQ268">
        <f t="shared" si="752"/>
        <v>350</v>
      </c>
      <c r="AS268" s="5">
        <f t="shared" si="763"/>
        <v>2.8571428571428572</v>
      </c>
      <c r="AT268" s="5">
        <f t="shared" si="753"/>
        <v>0.81442749360234468</v>
      </c>
      <c r="AU268" s="5">
        <f t="shared" si="722"/>
        <v>2.0427153635405126</v>
      </c>
      <c r="AV268" s="5"/>
      <c r="AW268" s="173">
        <f t="shared" si="723"/>
        <v>0.28504962276082063</v>
      </c>
      <c r="AX268" s="173">
        <f t="shared" si="631"/>
        <v>53.201761208444665</v>
      </c>
      <c r="AY268" s="173">
        <f t="shared" si="632"/>
        <v>0.44073230682146358</v>
      </c>
      <c r="AZ268" s="173">
        <f t="shared" si="633"/>
        <v>120.71218829437024</v>
      </c>
      <c r="BA268" s="460">
        <f t="shared" si="724"/>
        <v>0.14947139882584209</v>
      </c>
      <c r="BB268" s="5">
        <f t="shared" si="725"/>
        <v>11.451300120336363</v>
      </c>
      <c r="BD268" s="173">
        <f t="shared" si="681"/>
        <v>7.6007874185265862</v>
      </c>
      <c r="BE268" s="173">
        <f t="shared" si="682"/>
        <v>0.60187500083185486</v>
      </c>
      <c r="BG268" s="528">
        <f t="shared" si="683"/>
        <v>2.310878775265282</v>
      </c>
      <c r="BH268" s="528">
        <f t="shared" si="754"/>
        <v>4.5951685129821112</v>
      </c>
      <c r="BI268" s="528">
        <f t="shared" si="755"/>
        <v>0.21193593103467989</v>
      </c>
      <c r="BJ268" s="528">
        <f t="shared" si="684"/>
        <v>3.919961876147568E-2</v>
      </c>
      <c r="BK268">
        <f t="shared" si="685"/>
        <v>6.8122263546861383E-3</v>
      </c>
      <c r="BL268" s="460">
        <f t="shared" si="686"/>
        <v>218.74815738936604</v>
      </c>
      <c r="BM268" s="528">
        <f t="shared" si="756"/>
        <v>16.785525117632854</v>
      </c>
      <c r="BN268" s="460">
        <f t="shared" si="687"/>
        <v>16785.525117632853</v>
      </c>
      <c r="BO268" s="528">
        <f t="shared" si="637"/>
        <v>0.21839999999999998</v>
      </c>
      <c r="BR268" s="460">
        <f t="shared" si="688"/>
        <v>218.39999999999998</v>
      </c>
      <c r="BS268" s="528">
        <f t="shared" si="689"/>
        <v>1.7331590814489612</v>
      </c>
      <c r="BT268" s="528">
        <f t="shared" si="690"/>
        <v>1.0867605498790359E-2</v>
      </c>
      <c r="BU268" s="528">
        <f t="shared" si="691"/>
        <v>345.96929842343712</v>
      </c>
      <c r="BV268" s="528"/>
      <c r="BW268" s="528">
        <f t="shared" si="692"/>
        <v>5.3201761208444669</v>
      </c>
      <c r="BX268" s="460">
        <f t="shared" si="693"/>
        <v>353033.50123122928</v>
      </c>
      <c r="BY268" s="173">
        <f t="shared" si="694"/>
        <v>360.41589629562753</v>
      </c>
      <c r="BZ268" s="5">
        <f t="shared" si="695"/>
        <v>53.04</v>
      </c>
      <c r="CA268" s="173">
        <f t="shared" si="696"/>
        <v>0.12828454129016836</v>
      </c>
      <c r="CB268" s="5">
        <f t="shared" si="697"/>
        <v>12.828454129016837</v>
      </c>
      <c r="CE268" s="562">
        <f t="shared" si="757"/>
        <v>-50</v>
      </c>
      <c r="CF268">
        <f t="shared" si="758"/>
        <v>-50</v>
      </c>
      <c r="CG268" s="173">
        <f t="shared" si="759"/>
        <v>0.50689365400504682</v>
      </c>
      <c r="CI268" s="170">
        <v>52</v>
      </c>
      <c r="CJ268" s="217">
        <f t="shared" si="698"/>
        <v>0.312</v>
      </c>
      <c r="CK268" s="217"/>
      <c r="CL268" s="217">
        <f t="shared" si="641"/>
        <v>53.04</v>
      </c>
      <c r="CM268" s="541">
        <f t="shared" si="642"/>
        <v>16</v>
      </c>
      <c r="CN268" s="443">
        <f t="shared" si="643"/>
        <v>8.5250000000000004</v>
      </c>
      <c r="CO268" s="443">
        <f t="shared" si="644"/>
        <v>24.524999999999999</v>
      </c>
      <c r="CP268" s="443"/>
      <c r="CQ268" s="217">
        <f t="shared" si="645"/>
        <v>0.34760448521916415</v>
      </c>
      <c r="CR268" s="172">
        <f t="shared" si="646"/>
        <v>188.05866123003739</v>
      </c>
      <c r="CS268" s="172">
        <f t="shared" si="647"/>
        <v>53.04</v>
      </c>
      <c r="CT268" s="217">
        <f t="shared" si="648"/>
        <v>1.1062274190002199</v>
      </c>
      <c r="CU268" s="217">
        <f t="shared" si="649"/>
        <v>170</v>
      </c>
      <c r="CV268" s="217"/>
      <c r="CW268" s="172">
        <f t="shared" si="650"/>
        <v>1389.5168159228444</v>
      </c>
      <c r="CX268" s="172">
        <f t="shared" si="651"/>
        <v>170</v>
      </c>
      <c r="CY268" s="217">
        <f t="shared" si="652"/>
        <v>19.073401759530789</v>
      </c>
      <c r="CZ268" s="217">
        <f t="shared" si="653"/>
        <v>0.59604380498533704</v>
      </c>
      <c r="DA268" s="217">
        <f t="shared" si="654"/>
        <v>1.1186745900018056</v>
      </c>
      <c r="DB268" s="197">
        <f t="shared" si="655"/>
        <v>350</v>
      </c>
      <c r="DC268" s="443">
        <f t="shared" si="656"/>
        <v>350</v>
      </c>
      <c r="DE268" s="217">
        <f t="shared" si="657"/>
        <v>31.780981505752148</v>
      </c>
      <c r="DF268" s="173">
        <f t="shared" si="658"/>
        <v>1.8639871850881022</v>
      </c>
      <c r="DG268" s="173">
        <f t="shared" si="659"/>
        <v>0.51834424474213492</v>
      </c>
      <c r="DH268" s="173"/>
      <c r="DI268" s="173">
        <f t="shared" si="660"/>
        <v>0.78201368523949166</v>
      </c>
      <c r="DJ268" s="545">
        <f t="shared" si="661"/>
        <v>1196.9100000000001</v>
      </c>
      <c r="DK268" s="528">
        <f t="shared" si="662"/>
        <v>9.1234929944607357E-2</v>
      </c>
      <c r="DM268" s="173">
        <f t="shared" si="663"/>
        <v>24.656729014901504</v>
      </c>
      <c r="DN268" s="173">
        <f t="shared" si="664"/>
        <v>24.656729014901504</v>
      </c>
      <c r="DO268" s="173">
        <f t="shared" si="665"/>
        <v>9.5877005048653103</v>
      </c>
      <c r="DQ268" s="545">
        <f t="shared" si="666"/>
        <v>312</v>
      </c>
      <c r="DR268" s="460">
        <f t="shared" si="667"/>
        <v>350</v>
      </c>
      <c r="DT268">
        <f t="shared" si="668"/>
        <v>312</v>
      </c>
      <c r="DU268">
        <f t="shared" si="669"/>
        <v>350</v>
      </c>
      <c r="DW268" s="5">
        <f t="shared" si="670"/>
        <v>2.8571428571428572</v>
      </c>
      <c r="DX268" s="5">
        <f t="shared" si="671"/>
        <v>0.7705227817156719</v>
      </c>
      <c r="DY268" s="5">
        <f t="shared" si="672"/>
        <v>2.0866200754271853</v>
      </c>
      <c r="DZ268" s="5"/>
      <c r="EA268" s="173">
        <f t="shared" si="673"/>
        <v>0.26968297360048515</v>
      </c>
      <c r="EB268" s="173">
        <f t="shared" si="699"/>
        <v>53.195999999999991</v>
      </c>
      <c r="EC268" s="173">
        <f t="shared" si="700"/>
        <v>0.45018072537253773</v>
      </c>
      <c r="ED268" s="173">
        <f t="shared" si="701"/>
        <v>118.16587650654911</v>
      </c>
      <c r="EE268" s="460">
        <f t="shared" si="674"/>
        <v>0.14141359287958213</v>
      </c>
      <c r="EF268" s="5">
        <f t="shared" si="675"/>
        <v>11.067432880065791</v>
      </c>
      <c r="EH268" s="173">
        <f t="shared" si="702"/>
        <v>7.3926747433881577</v>
      </c>
      <c r="EI268" s="173">
        <f t="shared" si="703"/>
        <v>0.60827581883118498</v>
      </c>
      <c r="EK268" s="528">
        <f t="shared" si="704"/>
        <v>2.1860655944611667</v>
      </c>
      <c r="EL268" s="528">
        <f t="shared" si="705"/>
        <v>5.8202979362456713</v>
      </c>
      <c r="EM268" s="528">
        <f t="shared" si="706"/>
        <v>6.9999999999999993E-2</v>
      </c>
      <c r="EN268" s="528">
        <f t="shared" si="707"/>
        <v>4.2103293749999993E-2</v>
      </c>
      <c r="EO268">
        <f t="shared" si="708"/>
        <v>7.1999999999999998E-3</v>
      </c>
      <c r="EP268" s="460">
        <f t="shared" si="709"/>
        <v>77.199999999999989</v>
      </c>
      <c r="EQ268" s="460"/>
      <c r="ER268" s="460">
        <f t="shared" si="710"/>
        <v>8125.6668244568382</v>
      </c>
      <c r="ES268" s="528">
        <f t="shared" si="711"/>
        <v>0.21839999999999998</v>
      </c>
      <c r="EV268" s="460">
        <f t="shared" si="712"/>
        <v>218.39999999999998</v>
      </c>
      <c r="EW268" s="528">
        <f t="shared" si="713"/>
        <v>1.6395491958458748</v>
      </c>
      <c r="EX268" s="528">
        <f t="shared" si="714"/>
        <v>1.1099984153242457E-2</v>
      </c>
      <c r="EY268" s="528">
        <f t="shared" si="715"/>
        <v>345.92246787174946</v>
      </c>
      <c r="EZ268" s="528"/>
      <c r="FA268" s="528">
        <f t="shared" si="716"/>
        <v>5.3195999999999994</v>
      </c>
      <c r="FB268" s="460">
        <f t="shared" si="717"/>
        <v>352892.71705174854</v>
      </c>
      <c r="FC268" s="173">
        <f t="shared" si="718"/>
        <v>361.23678387620538</v>
      </c>
      <c r="FD268" s="5">
        <f t="shared" si="719"/>
        <v>53.04</v>
      </c>
      <c r="FE268" s="173">
        <f t="shared" si="720"/>
        <v>0.12803034604963398</v>
      </c>
      <c r="FF268" s="5">
        <f t="shared" si="721"/>
        <v>12.803034604963399</v>
      </c>
      <c r="FI268" s="562">
        <f t="shared" si="676"/>
        <v>-50</v>
      </c>
      <c r="FJ268">
        <f t="shared" si="677"/>
        <v>-50</v>
      </c>
      <c r="FL268">
        <f t="shared" si="760"/>
        <v>0.50614986247598392</v>
      </c>
    </row>
    <row r="269" spans="5:168">
      <c r="E269" s="170">
        <v>53</v>
      </c>
      <c r="F269" s="217">
        <f t="shared" si="761"/>
        <v>0.318</v>
      </c>
      <c r="G269" s="217"/>
      <c r="H269" s="217">
        <f t="shared" si="726"/>
        <v>54.06</v>
      </c>
      <c r="I269" s="541">
        <f t="shared" si="727"/>
        <v>15.130034483442016</v>
      </c>
      <c r="J269" s="172">
        <f t="shared" si="728"/>
        <v>8.5259321059105968</v>
      </c>
      <c r="K269" s="172">
        <f t="shared" si="729"/>
        <v>23.655966589352612</v>
      </c>
      <c r="L269" s="443"/>
      <c r="M269" s="217">
        <f t="shared" si="730"/>
        <v>0.36041363813108901</v>
      </c>
      <c r="N269" s="172">
        <f t="shared" si="731"/>
        <v>184.38649974535417</v>
      </c>
      <c r="O269" s="172">
        <f t="shared" si="762"/>
        <v>54.06</v>
      </c>
      <c r="P269" s="217">
        <f t="shared" si="732"/>
        <v>1.0846264690903187</v>
      </c>
      <c r="Q269" s="217">
        <f t="shared" si="733"/>
        <v>170</v>
      </c>
      <c r="R269" s="217"/>
      <c r="S269" s="172">
        <f t="shared" si="734"/>
        <v>1283.4746408412655</v>
      </c>
      <c r="T269" s="172">
        <f t="shared" si="735"/>
        <v>170</v>
      </c>
      <c r="U269" s="217">
        <f t="shared" si="736"/>
        <v>19.887853710375204</v>
      </c>
      <c r="V269" s="217">
        <f t="shared" si="737"/>
        <v>0.65723094458707421</v>
      </c>
      <c r="W269" s="217">
        <f t="shared" si="738"/>
        <v>1.1663155103351084</v>
      </c>
      <c r="X269" s="197">
        <f t="shared" si="739"/>
        <v>350</v>
      </c>
      <c r="Y269" s="443">
        <f t="shared" si="680"/>
        <v>350</v>
      </c>
      <c r="AA269" s="217">
        <f t="shared" si="740"/>
        <v>31.160401216609209</v>
      </c>
      <c r="AB269" s="173">
        <f t="shared" si="741"/>
        <v>1.8273897111500148</v>
      </c>
      <c r="AC269" s="173">
        <f t="shared" si="742"/>
        <v>0.49824422006220809</v>
      </c>
      <c r="AD269" s="173"/>
      <c r="AE269" s="173">
        <f t="shared" si="743"/>
        <v>0.78192819082443832</v>
      </c>
      <c r="AF269" s="545">
        <f t="shared" si="744"/>
        <v>1220.0608843558066</v>
      </c>
      <c r="AG269" s="528">
        <f t="shared" si="745"/>
        <v>9.1224955596184473E-2</v>
      </c>
      <c r="AI269" s="173">
        <f t="shared" si="746"/>
        <v>24.894044771182045</v>
      </c>
      <c r="AJ269" s="173">
        <f t="shared" si="747"/>
        <v>24.894044771182045</v>
      </c>
      <c r="AK269" s="173">
        <f t="shared" si="748"/>
        <v>9.7634899539620079</v>
      </c>
      <c r="AM269" s="545">
        <f t="shared" si="749"/>
        <v>318</v>
      </c>
      <c r="AN269" s="460">
        <f t="shared" si="750"/>
        <v>350</v>
      </c>
      <c r="AP269">
        <f t="shared" si="751"/>
        <v>318</v>
      </c>
      <c r="AQ269">
        <f t="shared" si="752"/>
        <v>350</v>
      </c>
      <c r="AS269" s="5">
        <f t="shared" si="763"/>
        <v>2.8571428571428572</v>
      </c>
      <c r="AT269" s="5">
        <f t="shared" si="753"/>
        <v>0.82266979623957737</v>
      </c>
      <c r="AU269" s="5">
        <f t="shared" si="722"/>
        <v>2.03447306090328</v>
      </c>
      <c r="AV269" s="5"/>
      <c r="AW269" s="173">
        <f t="shared" si="723"/>
        <v>0.28793442868385205</v>
      </c>
      <c r="AX269" s="173">
        <f t="shared" si="631"/>
        <v>54.224928193591403</v>
      </c>
      <c r="AY269" s="173">
        <f t="shared" si="632"/>
        <v>0.44315480530903772</v>
      </c>
      <c r="AZ269" s="173">
        <f t="shared" si="633"/>
        <v>122.36114230054933</v>
      </c>
      <c r="BA269" s="460">
        <f t="shared" si="724"/>
        <v>0.15388764423775625</v>
      </c>
      <c r="BB269" s="5">
        <f t="shared" si="725"/>
        <v>11.630758810792667</v>
      </c>
      <c r="BD269" s="173">
        <f t="shared" si="681"/>
        <v>7.7122595589211125</v>
      </c>
      <c r="BE269" s="173">
        <f t="shared" si="682"/>
        <v>0.60640788154309833</v>
      </c>
      <c r="BG269" s="528">
        <f t="shared" si="683"/>
        <v>2.3791579001668031</v>
      </c>
      <c r="BH269" s="528">
        <f t="shared" si="754"/>
        <v>4.6375299446248288</v>
      </c>
      <c r="BI269" s="528">
        <f t="shared" si="755"/>
        <v>0.21182048276818824</v>
      </c>
      <c r="BJ269" s="528">
        <f t="shared" si="684"/>
        <v>3.9172332869359699E-2</v>
      </c>
      <c r="BK269">
        <f t="shared" si="685"/>
        <v>6.8085155175489067E-3</v>
      </c>
      <c r="BL269" s="460">
        <f t="shared" si="686"/>
        <v>218.62899828573714</v>
      </c>
      <c r="BM269" s="528">
        <f t="shared" si="756"/>
        <v>17.708807997674686</v>
      </c>
      <c r="BN269" s="460">
        <f t="shared" si="687"/>
        <v>17708.807997674685</v>
      </c>
      <c r="BO269" s="528">
        <f t="shared" si="637"/>
        <v>0.22259999999999999</v>
      </c>
      <c r="BR269" s="460">
        <f t="shared" si="688"/>
        <v>222.6</v>
      </c>
      <c r="BS269" s="528">
        <f t="shared" si="689"/>
        <v>1.7843684251251022</v>
      </c>
      <c r="BT269" s="528">
        <f t="shared" si="690"/>
        <v>1.1031915563927651E-2</v>
      </c>
      <c r="BU269" s="528">
        <f t="shared" si="691"/>
        <v>354.30622349143033</v>
      </c>
      <c r="BV269" s="528"/>
      <c r="BW269" s="528">
        <f t="shared" si="692"/>
        <v>5.4224928193591424</v>
      </c>
      <c r="BX269" s="460">
        <f t="shared" si="693"/>
        <v>361524.11665147851</v>
      </c>
      <c r="BY269" s="173">
        <f t="shared" si="694"/>
        <v>369.02120582742526</v>
      </c>
      <c r="BZ269" s="5">
        <f t="shared" si="695"/>
        <v>54.06</v>
      </c>
      <c r="CA269" s="173">
        <f t="shared" si="696"/>
        <v>0.1277768883500135</v>
      </c>
      <c r="CB269" s="5">
        <f t="shared" si="697"/>
        <v>12.777688835001349</v>
      </c>
      <c r="CE269" s="562">
        <f t="shared" si="757"/>
        <v>-50</v>
      </c>
      <c r="CF269">
        <f t="shared" si="758"/>
        <v>-50</v>
      </c>
      <c r="CG269" s="173">
        <f t="shared" si="759"/>
        <v>0.51174442150469646</v>
      </c>
      <c r="CI269" s="170">
        <v>53</v>
      </c>
      <c r="CJ269" s="217">
        <f t="shared" si="698"/>
        <v>0.318</v>
      </c>
      <c r="CK269" s="217"/>
      <c r="CL269" s="217">
        <f t="shared" si="641"/>
        <v>54.06</v>
      </c>
      <c r="CM269" s="541">
        <f t="shared" si="642"/>
        <v>16</v>
      </c>
      <c r="CN269" s="443">
        <f t="shared" si="643"/>
        <v>8.5250000000000004</v>
      </c>
      <c r="CO269" s="443">
        <f t="shared" si="644"/>
        <v>24.524999999999999</v>
      </c>
      <c r="CP269" s="443"/>
      <c r="CQ269" s="217">
        <f t="shared" si="645"/>
        <v>0.34760448521916415</v>
      </c>
      <c r="CR269" s="172">
        <f t="shared" si="646"/>
        <v>188.05866123003739</v>
      </c>
      <c r="CS269" s="172">
        <f t="shared" si="647"/>
        <v>54.06</v>
      </c>
      <c r="CT269" s="217">
        <f t="shared" si="648"/>
        <v>1.1062274190002199</v>
      </c>
      <c r="CU269" s="217">
        <f t="shared" si="649"/>
        <v>170</v>
      </c>
      <c r="CV269" s="217"/>
      <c r="CW269" s="172">
        <f t="shared" si="650"/>
        <v>1357.2666875298839</v>
      </c>
      <c r="CX269" s="172">
        <f t="shared" si="651"/>
        <v>170</v>
      </c>
      <c r="CY269" s="217">
        <f t="shared" si="652"/>
        <v>19.440197947214074</v>
      </c>
      <c r="CZ269" s="217">
        <f t="shared" si="653"/>
        <v>0.60750618585043981</v>
      </c>
      <c r="DA269" s="217">
        <f t="shared" si="654"/>
        <v>1.140187562886456</v>
      </c>
      <c r="DB269" s="197">
        <f t="shared" si="655"/>
        <v>350</v>
      </c>
      <c r="DC269" s="443">
        <f t="shared" si="656"/>
        <v>350</v>
      </c>
      <c r="DE269" s="217">
        <f t="shared" si="657"/>
        <v>31.780981505752148</v>
      </c>
      <c r="DF269" s="173">
        <f t="shared" si="658"/>
        <v>1.8639871850881022</v>
      </c>
      <c r="DG269" s="173">
        <f t="shared" si="659"/>
        <v>0.51834424474213492</v>
      </c>
      <c r="DH269" s="173"/>
      <c r="DI269" s="173">
        <f t="shared" si="660"/>
        <v>0.78201368523949166</v>
      </c>
      <c r="DJ269" s="545">
        <f t="shared" si="661"/>
        <v>1219.9275</v>
      </c>
      <c r="DK269" s="528">
        <f t="shared" si="662"/>
        <v>9.1234929944607357E-2</v>
      </c>
      <c r="DM269" s="173">
        <f t="shared" si="663"/>
        <v>24.892683951026942</v>
      </c>
      <c r="DN269" s="173">
        <f t="shared" si="664"/>
        <v>24.892683951026942</v>
      </c>
      <c r="DO269" s="173">
        <f t="shared" si="665"/>
        <v>9.7624819390323019</v>
      </c>
      <c r="DQ269" s="545">
        <f t="shared" si="666"/>
        <v>318</v>
      </c>
      <c r="DR269" s="460">
        <f t="shared" si="667"/>
        <v>350</v>
      </c>
      <c r="DT269">
        <f t="shared" si="668"/>
        <v>318</v>
      </c>
      <c r="DU269">
        <f t="shared" si="669"/>
        <v>350</v>
      </c>
      <c r="DW269" s="5">
        <f t="shared" si="670"/>
        <v>2.8571428571428572</v>
      </c>
      <c r="DX269" s="5">
        <f t="shared" si="671"/>
        <v>0.77789637346959195</v>
      </c>
      <c r="DY269" s="5">
        <f t="shared" si="672"/>
        <v>2.0792464836732654</v>
      </c>
      <c r="DZ269" s="5"/>
      <c r="EA269" s="173">
        <f t="shared" si="673"/>
        <v>0.27226373071435717</v>
      </c>
      <c r="EB269" s="173">
        <f t="shared" si="699"/>
        <v>54.218999999999994</v>
      </c>
      <c r="EC269" s="173">
        <f t="shared" si="700"/>
        <v>0.45288272377567362</v>
      </c>
      <c r="ED269" s="173">
        <f t="shared" si="701"/>
        <v>119.71973571430887</v>
      </c>
      <c r="EE269" s="460">
        <f t="shared" si="674"/>
        <v>0.14551238044901779</v>
      </c>
      <c r="EF269" s="5">
        <f t="shared" si="675"/>
        <v>11.240406490737673</v>
      </c>
      <c r="EH269" s="173">
        <f t="shared" si="702"/>
        <v>7.4990455813299155</v>
      </c>
      <c r="EI269" s="173">
        <f t="shared" si="703"/>
        <v>0.61301078048780622</v>
      </c>
      <c r="EK269" s="528">
        <f t="shared" si="704"/>
        <v>2.2494273852345494</v>
      </c>
      <c r="EL269" s="528">
        <f t="shared" si="705"/>
        <v>5.875995836277256</v>
      </c>
      <c r="EM269" s="528">
        <f t="shared" si="706"/>
        <v>6.9999999999999993E-2</v>
      </c>
      <c r="EN269" s="528">
        <f t="shared" si="707"/>
        <v>4.2103293749999993E-2</v>
      </c>
      <c r="EO269">
        <f t="shared" si="708"/>
        <v>7.1999999999999998E-3</v>
      </c>
      <c r="EP269" s="460">
        <f t="shared" si="709"/>
        <v>77.199999999999989</v>
      </c>
      <c r="EQ269" s="460"/>
      <c r="ER269" s="460">
        <f t="shared" si="710"/>
        <v>8244.7265152618056</v>
      </c>
      <c r="ES269" s="528">
        <f t="shared" si="711"/>
        <v>0.22259999999999999</v>
      </c>
      <c r="EV269" s="460">
        <f t="shared" si="712"/>
        <v>222.6</v>
      </c>
      <c r="EW269" s="528">
        <f t="shared" si="713"/>
        <v>1.6870705389259117</v>
      </c>
      <c r="EX269" s="528">
        <f t="shared" si="714"/>
        <v>1.127346650982808E-2</v>
      </c>
      <c r="EY269" s="528">
        <f t="shared" si="715"/>
        <v>354.25780555780659</v>
      </c>
      <c r="EZ269" s="528"/>
      <c r="FA269" s="528">
        <f t="shared" si="716"/>
        <v>5.4219000000000008</v>
      </c>
      <c r="FB269" s="460">
        <f t="shared" si="717"/>
        <v>361378.0495632423</v>
      </c>
      <c r="FC269" s="173">
        <f t="shared" si="718"/>
        <v>369.8453760785041</v>
      </c>
      <c r="FD269" s="5">
        <f t="shared" si="719"/>
        <v>54.06</v>
      </c>
      <c r="FE269" s="173">
        <f t="shared" si="720"/>
        <v>0.12752846047885105</v>
      </c>
      <c r="FF269" s="5">
        <f t="shared" si="721"/>
        <v>12.752846047885106</v>
      </c>
      <c r="FI269" s="562">
        <f t="shared" si="676"/>
        <v>-50</v>
      </c>
      <c r="FJ269">
        <f t="shared" si="677"/>
        <v>-50</v>
      </c>
      <c r="FL269">
        <f t="shared" si="760"/>
        <v>0.51099351219116884</v>
      </c>
    </row>
    <row r="270" spans="5:168">
      <c r="E270" s="170">
        <v>54</v>
      </c>
      <c r="F270" s="217">
        <f t="shared" si="761"/>
        <v>0.32400000000000001</v>
      </c>
      <c r="G270" s="217"/>
      <c r="H270" s="217">
        <f t="shared" si="726"/>
        <v>55.08</v>
      </c>
      <c r="I270" s="541">
        <f t="shared" si="727"/>
        <v>15.121865613929167</v>
      </c>
      <c r="J270" s="172">
        <f t="shared" si="728"/>
        <v>8.5259408582707916</v>
      </c>
      <c r="K270" s="172">
        <f t="shared" si="729"/>
        <v>23.64780647219996</v>
      </c>
      <c r="L270" s="443"/>
      <c r="M270" s="217">
        <f t="shared" si="730"/>
        <v>0.36053837603977873</v>
      </c>
      <c r="N270" s="172">
        <f t="shared" si="731"/>
        <v>184.35072854940591</v>
      </c>
      <c r="O270" s="172">
        <f t="shared" si="762"/>
        <v>55.08</v>
      </c>
      <c r="P270" s="217">
        <f t="shared" si="732"/>
        <v>1.084416050290623</v>
      </c>
      <c r="Q270" s="217">
        <f t="shared" si="733"/>
        <v>170</v>
      </c>
      <c r="R270" s="217"/>
      <c r="S270" s="172">
        <f t="shared" si="734"/>
        <v>1253.4307745637047</v>
      </c>
      <c r="T270" s="172">
        <f t="shared" si="735"/>
        <v>170</v>
      </c>
      <c r="U270" s="217">
        <f t="shared" si="736"/>
        <v>20.267048896129214</v>
      </c>
      <c r="V270" s="217">
        <f t="shared" si="737"/>
        <v>0.67012395869530395</v>
      </c>
      <c r="W270" s="217">
        <f t="shared" si="738"/>
        <v>1.188552045635449</v>
      </c>
      <c r="X270" s="197">
        <f t="shared" si="739"/>
        <v>350</v>
      </c>
      <c r="Y270" s="443">
        <f t="shared" si="680"/>
        <v>350</v>
      </c>
      <c r="AA270" s="217">
        <f t="shared" si="740"/>
        <v>31.154356033014245</v>
      </c>
      <c r="AB270" s="173">
        <f t="shared" si="741"/>
        <v>1.8270333181347498</v>
      </c>
      <c r="AC270" s="173">
        <f t="shared" si="742"/>
        <v>0.49805040667680711</v>
      </c>
      <c r="AD270" s="173"/>
      <c r="AE270" s="173">
        <f t="shared" si="743"/>
        <v>0.7819273881309543</v>
      </c>
      <c r="AF270" s="545">
        <f t="shared" si="744"/>
        <v>1243.0821771358812</v>
      </c>
      <c r="AG270" s="528">
        <f t="shared" si="745"/>
        <v>9.122486194861136E-2</v>
      </c>
      <c r="AI270" s="173">
        <f t="shared" si="746"/>
        <v>25.127809696280956</v>
      </c>
      <c r="AJ270" s="173">
        <f t="shared" si="747"/>
        <v>25.127809696280956</v>
      </c>
      <c r="AK270" s="173">
        <f t="shared" si="748"/>
        <v>9.9366491577389784</v>
      </c>
      <c r="AM270" s="545">
        <f t="shared" si="749"/>
        <v>324</v>
      </c>
      <c r="AN270" s="460">
        <f t="shared" si="750"/>
        <v>350</v>
      </c>
      <c r="AP270">
        <f t="shared" si="751"/>
        <v>324</v>
      </c>
      <c r="AQ270">
        <f t="shared" si="752"/>
        <v>350</v>
      </c>
      <c r="AS270" s="5">
        <f t="shared" si="763"/>
        <v>2.8571428571428572</v>
      </c>
      <c r="AT270" s="5">
        <f t="shared" si="753"/>
        <v>0.83084357240733042</v>
      </c>
      <c r="AU270" s="5">
        <f t="shared" si="722"/>
        <v>2.0262992847355266</v>
      </c>
      <c r="AV270" s="5"/>
      <c r="AW270" s="173">
        <f t="shared" si="723"/>
        <v>0.29079525034256565</v>
      </c>
      <c r="AX270" s="173">
        <f t="shared" si="631"/>
        <v>55.248096761594731</v>
      </c>
      <c r="AY270" s="173">
        <f t="shared" si="632"/>
        <v>0.44551904962726468</v>
      </c>
      <c r="AZ270" s="173">
        <f t="shared" si="633"/>
        <v>124.00838259961506</v>
      </c>
      <c r="BA270" s="460">
        <f t="shared" si="724"/>
        <v>0.15834901027057355</v>
      </c>
      <c r="BB270" s="5">
        <f t="shared" si="725"/>
        <v>11.808973041043517</v>
      </c>
      <c r="BD270" s="173">
        <f t="shared" si="681"/>
        <v>7.8232581517855442</v>
      </c>
      <c r="BE270" s="173">
        <f t="shared" si="682"/>
        <v>0.61087145115541996</v>
      </c>
      <c r="BG270" s="528">
        <f t="shared" si="683"/>
        <v>2.4481347243791585</v>
      </c>
      <c r="BH270" s="528">
        <f t="shared" si="754"/>
        <v>4.6794634485473834</v>
      </c>
      <c r="BI270" s="528">
        <f t="shared" si="755"/>
        <v>0.21170611859500837</v>
      </c>
      <c r="BJ270" s="528">
        <f t="shared" si="684"/>
        <v>3.9145312566263558E-2</v>
      </c>
      <c r="BK270">
        <f t="shared" si="685"/>
        <v>6.8048395262681246E-3</v>
      </c>
      <c r="BL270" s="460">
        <f t="shared" si="686"/>
        <v>218.5109581212765</v>
      </c>
      <c r="BM270" s="528">
        <f t="shared" si="756"/>
        <v>18.712182489010345</v>
      </c>
      <c r="BN270" s="460">
        <f t="shared" si="687"/>
        <v>18712.182489010345</v>
      </c>
      <c r="BO270" s="528">
        <f t="shared" si="637"/>
        <v>0.2268</v>
      </c>
      <c r="BR270" s="460">
        <f t="shared" si="688"/>
        <v>226.8</v>
      </c>
      <c r="BS270" s="528">
        <f t="shared" si="689"/>
        <v>1.836101043284369</v>
      </c>
      <c r="BT270" s="528">
        <f t="shared" si="690"/>
        <v>1.1194917895101859E-2</v>
      </c>
      <c r="BU270" s="528">
        <f t="shared" si="691"/>
        <v>362.68258374114822</v>
      </c>
      <c r="BV270" s="528"/>
      <c r="BW270" s="528">
        <f t="shared" si="692"/>
        <v>5.5248096761594736</v>
      </c>
      <c r="BX270" s="460">
        <f t="shared" si="693"/>
        <v>370054.68937848718</v>
      </c>
      <c r="BY270" s="173">
        <f t="shared" si="694"/>
        <v>377.66674382210124</v>
      </c>
      <c r="BZ270" s="5">
        <f t="shared" si="695"/>
        <v>55.08</v>
      </c>
      <c r="CA270" s="173">
        <f t="shared" si="696"/>
        <v>0.12727998716644984</v>
      </c>
      <c r="CB270" s="5">
        <f t="shared" si="697"/>
        <v>12.727998716644983</v>
      </c>
      <c r="CE270" s="562">
        <f t="shared" si="757"/>
        <v>-50</v>
      </c>
      <c r="CF270">
        <f t="shared" si="758"/>
        <v>-50</v>
      </c>
      <c r="CG270" s="173">
        <f t="shared" si="759"/>
        <v>0.51654963886519623</v>
      </c>
      <c r="CI270" s="170">
        <v>54</v>
      </c>
      <c r="CJ270" s="217">
        <f t="shared" si="698"/>
        <v>0.32400000000000001</v>
      </c>
      <c r="CK270" s="217"/>
      <c r="CL270" s="217">
        <f t="shared" si="641"/>
        <v>55.08</v>
      </c>
      <c r="CM270" s="541">
        <f t="shared" si="642"/>
        <v>16</v>
      </c>
      <c r="CN270" s="443">
        <f t="shared" si="643"/>
        <v>8.5250000000000004</v>
      </c>
      <c r="CO270" s="443">
        <f t="shared" si="644"/>
        <v>24.524999999999999</v>
      </c>
      <c r="CP270" s="443"/>
      <c r="CQ270" s="217">
        <f t="shared" si="645"/>
        <v>0.34760448521916415</v>
      </c>
      <c r="CR270" s="172">
        <f t="shared" si="646"/>
        <v>188.05866123003739</v>
      </c>
      <c r="CS270" s="172">
        <f t="shared" si="647"/>
        <v>55.08</v>
      </c>
      <c r="CT270" s="217">
        <f t="shared" si="648"/>
        <v>1.1062274190002199</v>
      </c>
      <c r="CU270" s="217">
        <f t="shared" si="649"/>
        <v>170</v>
      </c>
      <c r="CV270" s="217"/>
      <c r="CW270" s="172">
        <f t="shared" si="650"/>
        <v>1326.2111339522562</v>
      </c>
      <c r="CX270" s="172">
        <f t="shared" si="651"/>
        <v>170</v>
      </c>
      <c r="CY270" s="217">
        <f t="shared" si="652"/>
        <v>19.806994134897359</v>
      </c>
      <c r="CZ270" s="217">
        <f t="shared" si="653"/>
        <v>0.61896856671554246</v>
      </c>
      <c r="DA270" s="217">
        <f t="shared" si="654"/>
        <v>1.1617005357711059</v>
      </c>
      <c r="DB270" s="197">
        <f t="shared" si="655"/>
        <v>350</v>
      </c>
      <c r="DC270" s="443">
        <f t="shared" si="656"/>
        <v>350</v>
      </c>
      <c r="DE270" s="217">
        <f t="shared" si="657"/>
        <v>31.780981505752148</v>
      </c>
      <c r="DF270" s="173">
        <f t="shared" si="658"/>
        <v>1.8639871850881022</v>
      </c>
      <c r="DG270" s="173">
        <f t="shared" si="659"/>
        <v>0.51834424474213492</v>
      </c>
      <c r="DH270" s="173"/>
      <c r="DI270" s="173">
        <f t="shared" si="660"/>
        <v>0.78201368523949166</v>
      </c>
      <c r="DJ270" s="545">
        <f t="shared" si="661"/>
        <v>1242.9449999999999</v>
      </c>
      <c r="DK270" s="528">
        <f t="shared" si="662"/>
        <v>9.1234929944607357E-2</v>
      </c>
      <c r="DM270" s="173">
        <f t="shared" si="663"/>
        <v>25.126423200629709</v>
      </c>
      <c r="DN270" s="173">
        <f t="shared" si="664"/>
        <v>25.126423200629709</v>
      </c>
      <c r="DO270" s="173">
        <f t="shared" si="665"/>
        <v>9.9356221239232401</v>
      </c>
      <c r="DQ270" s="545">
        <f t="shared" si="666"/>
        <v>324</v>
      </c>
      <c r="DR270" s="460">
        <f t="shared" si="667"/>
        <v>350</v>
      </c>
      <c r="DT270">
        <f t="shared" si="668"/>
        <v>324</v>
      </c>
      <c r="DU270">
        <f t="shared" si="669"/>
        <v>350</v>
      </c>
      <c r="DW270" s="5">
        <f t="shared" si="670"/>
        <v>2.8571428571428572</v>
      </c>
      <c r="DX270" s="5">
        <f t="shared" si="671"/>
        <v>0.78520072501967841</v>
      </c>
      <c r="DY270" s="5">
        <f t="shared" si="672"/>
        <v>2.071942132123179</v>
      </c>
      <c r="DZ270" s="5"/>
      <c r="EA270" s="173">
        <f t="shared" si="673"/>
        <v>0.27482025375688746</v>
      </c>
      <c r="EB270" s="173">
        <f t="shared" si="699"/>
        <v>55.241999999999997</v>
      </c>
      <c r="EC270" s="173">
        <f t="shared" si="700"/>
        <v>0.45552933001574275</v>
      </c>
      <c r="ED270" s="173">
        <f t="shared" si="701"/>
        <v>121.26990812664219</v>
      </c>
      <c r="EE270" s="460">
        <f t="shared" si="674"/>
        <v>0.14965002053316226</v>
      </c>
      <c r="EF270" s="5">
        <f t="shared" si="675"/>
        <v>11.412257263734471</v>
      </c>
      <c r="EH270" s="173">
        <f t="shared" si="702"/>
        <v>7.6049158182092613</v>
      </c>
      <c r="EI270" s="173">
        <f t="shared" si="703"/>
        <v>0.61767906246623105</v>
      </c>
      <c r="EK270" s="528">
        <f t="shared" si="704"/>
        <v>2.3133897840819775</v>
      </c>
      <c r="EL270" s="528">
        <f t="shared" si="705"/>
        <v>5.9311707165811445</v>
      </c>
      <c r="EM270" s="528">
        <f t="shared" si="706"/>
        <v>6.9999999999999993E-2</v>
      </c>
      <c r="EN270" s="528">
        <f t="shared" si="707"/>
        <v>4.2103293749999993E-2</v>
      </c>
      <c r="EO270">
        <f t="shared" si="708"/>
        <v>7.1999999999999998E-3</v>
      </c>
      <c r="EP270" s="460">
        <f t="shared" si="709"/>
        <v>77.199999999999989</v>
      </c>
      <c r="EQ270" s="460"/>
      <c r="ER270" s="460">
        <f t="shared" si="710"/>
        <v>8363.8637944131206</v>
      </c>
      <c r="ES270" s="528">
        <f t="shared" si="711"/>
        <v>0.2268</v>
      </c>
      <c r="EV270" s="460">
        <f t="shared" si="712"/>
        <v>226.8</v>
      </c>
      <c r="EW270" s="528">
        <f t="shared" si="713"/>
        <v>1.7350423380614832</v>
      </c>
      <c r="EX270" s="528">
        <f t="shared" si="714"/>
        <v>1.1445822726274864E-2</v>
      </c>
      <c r="EY270" s="528">
        <f t="shared" si="715"/>
        <v>362.63255580183579</v>
      </c>
      <c r="EZ270" s="528"/>
      <c r="FA270" s="528">
        <f t="shared" si="716"/>
        <v>5.5242000000000004</v>
      </c>
      <c r="FB270" s="460">
        <f t="shared" si="717"/>
        <v>369903.24396262353</v>
      </c>
      <c r="FC270" s="173">
        <f t="shared" si="718"/>
        <v>378.49390775703665</v>
      </c>
      <c r="FD270" s="5">
        <f t="shared" si="719"/>
        <v>55.08</v>
      </c>
      <c r="FE270" s="173">
        <f t="shared" si="720"/>
        <v>0.12703716486294045</v>
      </c>
      <c r="FF270" s="5">
        <f t="shared" si="721"/>
        <v>12.703716486294045</v>
      </c>
      <c r="FI270" s="562">
        <f t="shared" si="676"/>
        <v>-50</v>
      </c>
      <c r="FJ270">
        <f t="shared" si="677"/>
        <v>-50</v>
      </c>
      <c r="FL270">
        <f t="shared" si="760"/>
        <v>0.51579167860530195</v>
      </c>
    </row>
    <row r="271" spans="5:168">
      <c r="E271" s="170">
        <v>55</v>
      </c>
      <c r="F271" s="217">
        <f t="shared" si="761"/>
        <v>0.33</v>
      </c>
      <c r="G271" s="217"/>
      <c r="H271" s="217">
        <f t="shared" si="726"/>
        <v>56.1</v>
      </c>
      <c r="I271" s="541">
        <f t="shared" si="727"/>
        <v>15.113772038355819</v>
      </c>
      <c r="J271" s="172">
        <f t="shared" si="728"/>
        <v>8.5259495299589059</v>
      </c>
      <c r="K271" s="172">
        <f t="shared" si="729"/>
        <v>23.639721568314727</v>
      </c>
      <c r="L271" s="443"/>
      <c r="M271" s="217">
        <f t="shared" si="730"/>
        <v>0.3606620491453631</v>
      </c>
      <c r="N271" s="172">
        <f t="shared" si="731"/>
        <v>184.31526250593797</v>
      </c>
      <c r="O271" s="172">
        <f t="shared" si="762"/>
        <v>56.1</v>
      </c>
      <c r="P271" s="217">
        <f t="shared" si="732"/>
        <v>1.0842074265055175</v>
      </c>
      <c r="Q271" s="217">
        <f t="shared" si="733"/>
        <v>170</v>
      </c>
      <c r="R271" s="217"/>
      <c r="S271" s="172">
        <f t="shared" si="734"/>
        <v>1224.491578050006</v>
      </c>
      <c r="T271" s="172">
        <f t="shared" si="735"/>
        <v>170</v>
      </c>
      <c r="U271" s="217">
        <f t="shared" si="736"/>
        <v>20.646357661632411</v>
      </c>
      <c r="V271" s="217">
        <f t="shared" si="737"/>
        <v>0.68303126477083165</v>
      </c>
      <c r="W271" s="217">
        <f t="shared" si="738"/>
        <v>1.2107952075651052</v>
      </c>
      <c r="X271" s="197">
        <f t="shared" si="739"/>
        <v>350</v>
      </c>
      <c r="Y271" s="443">
        <f t="shared" si="680"/>
        <v>350</v>
      </c>
      <c r="AA271" s="217">
        <f t="shared" si="740"/>
        <v>31.148362418964997</v>
      </c>
      <c r="AB271" s="173">
        <f t="shared" si="741"/>
        <v>1.8266799674050573</v>
      </c>
      <c r="AC271" s="173">
        <f t="shared" si="742"/>
        <v>0.49785828442171415</v>
      </c>
      <c r="AD271" s="173"/>
      <c r="AE271" s="173">
        <f t="shared" si="743"/>
        <v>0.78192659283766597</v>
      </c>
      <c r="AF271" s="545">
        <f t="shared" si="744"/>
        <v>1266.1035051988977</v>
      </c>
      <c r="AG271" s="528">
        <f t="shared" si="745"/>
        <v>9.122476916439437E-2</v>
      </c>
      <c r="AI271" s="173">
        <f t="shared" si="746"/>
        <v>25.35942020466754</v>
      </c>
      <c r="AJ271" s="173">
        <f t="shared" si="747"/>
        <v>25.35942020466754</v>
      </c>
      <c r="AK271" s="173">
        <f t="shared" si="748"/>
        <v>10.108212497284596</v>
      </c>
      <c r="AM271" s="545">
        <f t="shared" si="749"/>
        <v>330</v>
      </c>
      <c r="AN271" s="460">
        <f t="shared" si="750"/>
        <v>350</v>
      </c>
      <c r="AP271">
        <f t="shared" si="751"/>
        <v>330</v>
      </c>
      <c r="AQ271">
        <f t="shared" si="752"/>
        <v>350</v>
      </c>
      <c r="AS271" s="5">
        <f t="shared" si="763"/>
        <v>2.8571428571428572</v>
      </c>
      <c r="AT271" s="5">
        <f t="shared" si="753"/>
        <v>0.83895073117122099</v>
      </c>
      <c r="AU271" s="5">
        <f t="shared" si="722"/>
        <v>2.0181921259716362</v>
      </c>
      <c r="AV271" s="5"/>
      <c r="AW271" s="173">
        <f t="shared" si="723"/>
        <v>0.29363275590992732</v>
      </c>
      <c r="AX271" s="173">
        <f t="shared" si="631"/>
        <v>56.271266897728772</v>
      </c>
      <c r="AY271" s="173">
        <f t="shared" si="632"/>
        <v>0.44782659404232794</v>
      </c>
      <c r="AZ271" s="173">
        <f t="shared" si="633"/>
        <v>125.65414302396273</v>
      </c>
      <c r="BA271" s="460">
        <f t="shared" si="724"/>
        <v>0.162855141933237</v>
      </c>
      <c r="BB271" s="5">
        <f t="shared" si="725"/>
        <v>11.98595061295639</v>
      </c>
      <c r="BD271" s="173">
        <f t="shared" si="681"/>
        <v>7.9337944270301062</v>
      </c>
      <c r="BE271" s="173">
        <f t="shared" si="682"/>
        <v>0.61526749676175962</v>
      </c>
      <c r="BG271" s="528">
        <f t="shared" si="683"/>
        <v>2.5178037604149588</v>
      </c>
      <c r="BH271" s="528">
        <f t="shared" si="754"/>
        <v>4.7209808580813544</v>
      </c>
      <c r="BI271" s="528">
        <f t="shared" si="755"/>
        <v>0.21159280853698148</v>
      </c>
      <c r="BJ271" s="528">
        <f t="shared" si="684"/>
        <v>3.9118550507921117E-2</v>
      </c>
      <c r="BK271">
        <f t="shared" si="685"/>
        <v>6.8011974172601181E-3</v>
      </c>
      <c r="BL271" s="460">
        <f t="shared" si="686"/>
        <v>218.39400595424161</v>
      </c>
      <c r="BM271" s="528">
        <f t="shared" si="756"/>
        <v>19.806639670122333</v>
      </c>
      <c r="BN271" s="460">
        <f t="shared" si="687"/>
        <v>19806.639670122335</v>
      </c>
      <c r="BO271" s="528">
        <f t="shared" si="637"/>
        <v>0.23099999999999998</v>
      </c>
      <c r="BR271" s="460">
        <f t="shared" si="688"/>
        <v>230.99999999999997</v>
      </c>
      <c r="BS271" s="528">
        <f t="shared" si="689"/>
        <v>1.888352820311219</v>
      </c>
      <c r="BT271" s="528">
        <f t="shared" si="690"/>
        <v>1.1356622777144455E-2</v>
      </c>
      <c r="BU271" s="528">
        <f t="shared" si="691"/>
        <v>371.09783033793491</v>
      </c>
      <c r="BV271" s="528"/>
      <c r="BW271" s="528">
        <f t="shared" si="692"/>
        <v>5.6271266897728784</v>
      </c>
      <c r="BX271" s="460">
        <f t="shared" si="693"/>
        <v>378624.6664707961</v>
      </c>
      <c r="BY271" s="173">
        <f t="shared" si="694"/>
        <v>386.35196364575461</v>
      </c>
      <c r="BZ271" s="5">
        <f t="shared" si="695"/>
        <v>56.1</v>
      </c>
      <c r="CA271" s="173">
        <f t="shared" si="696"/>
        <v>0.12679342529693458</v>
      </c>
      <c r="CB271" s="5">
        <f t="shared" si="697"/>
        <v>12.679342529693457</v>
      </c>
      <c r="CE271" s="562">
        <f t="shared" si="757"/>
        <v>-50</v>
      </c>
      <c r="CF271">
        <f t="shared" si="758"/>
        <v>-50</v>
      </c>
      <c r="CG271" s="173">
        <f t="shared" si="759"/>
        <v>0.52131056567304757</v>
      </c>
      <c r="CI271" s="170">
        <v>55</v>
      </c>
      <c r="CJ271" s="217">
        <f t="shared" si="698"/>
        <v>0.33</v>
      </c>
      <c r="CK271" s="217"/>
      <c r="CL271" s="217">
        <f t="shared" si="641"/>
        <v>56.1</v>
      </c>
      <c r="CM271" s="541">
        <f t="shared" si="642"/>
        <v>16</v>
      </c>
      <c r="CN271" s="443">
        <f t="shared" si="643"/>
        <v>8.5250000000000004</v>
      </c>
      <c r="CO271" s="443">
        <f t="shared" si="644"/>
        <v>24.524999999999999</v>
      </c>
      <c r="CP271" s="443"/>
      <c r="CQ271" s="217">
        <f t="shared" si="645"/>
        <v>0.34760448521916415</v>
      </c>
      <c r="CR271" s="172">
        <f t="shared" si="646"/>
        <v>188.05866123003739</v>
      </c>
      <c r="CS271" s="172">
        <f t="shared" si="647"/>
        <v>56.1</v>
      </c>
      <c r="CT271" s="217">
        <f t="shared" si="648"/>
        <v>1.1062274190002199</v>
      </c>
      <c r="CU271" s="217">
        <f t="shared" si="649"/>
        <v>170</v>
      </c>
      <c r="CV271" s="217"/>
      <c r="CW271" s="172">
        <f t="shared" si="650"/>
        <v>1296.2849982181792</v>
      </c>
      <c r="CX271" s="172">
        <f t="shared" si="651"/>
        <v>170</v>
      </c>
      <c r="CY271" s="217">
        <f t="shared" si="652"/>
        <v>20.173790322580643</v>
      </c>
      <c r="CZ271" s="217">
        <f t="shared" si="653"/>
        <v>0.63043094758064511</v>
      </c>
      <c r="DA271" s="217">
        <f t="shared" si="654"/>
        <v>1.183213508655756</v>
      </c>
      <c r="DB271" s="197">
        <f t="shared" si="655"/>
        <v>350</v>
      </c>
      <c r="DC271" s="443">
        <f t="shared" si="656"/>
        <v>350</v>
      </c>
      <c r="DE271" s="217">
        <f t="shared" si="657"/>
        <v>31.780981505752148</v>
      </c>
      <c r="DF271" s="173">
        <f t="shared" si="658"/>
        <v>1.8639871850881022</v>
      </c>
      <c r="DG271" s="173">
        <f t="shared" si="659"/>
        <v>0.51834424474213492</v>
      </c>
      <c r="DH271" s="173"/>
      <c r="DI271" s="173">
        <f t="shared" si="660"/>
        <v>0.78201368523949166</v>
      </c>
      <c r="DJ271" s="545">
        <f t="shared" si="661"/>
        <v>1265.9625000000001</v>
      </c>
      <c r="DK271" s="528">
        <f t="shared" si="662"/>
        <v>9.1234929944607357E-2</v>
      </c>
      <c r="DM271" s="173">
        <f t="shared" si="663"/>
        <v>25.358008033529988</v>
      </c>
      <c r="DN271" s="173">
        <f t="shared" si="664"/>
        <v>25.358008033529988</v>
      </c>
      <c r="DO271" s="173">
        <f t="shared" si="665"/>
        <v>10.107166444590113</v>
      </c>
      <c r="DQ271" s="545">
        <f t="shared" si="666"/>
        <v>330</v>
      </c>
      <c r="DR271" s="460">
        <f t="shared" si="667"/>
        <v>350</v>
      </c>
      <c r="DT271">
        <f t="shared" si="668"/>
        <v>330</v>
      </c>
      <c r="DU271">
        <f t="shared" si="669"/>
        <v>350</v>
      </c>
      <c r="DW271" s="5">
        <f t="shared" si="670"/>
        <v>2.8571428571428572</v>
      </c>
      <c r="DX271" s="5">
        <f t="shared" si="671"/>
        <v>0.79243775104781211</v>
      </c>
      <c r="DY271" s="5">
        <f t="shared" si="672"/>
        <v>2.0647051060950452</v>
      </c>
      <c r="DZ271" s="5"/>
      <c r="EA271" s="173">
        <f t="shared" si="673"/>
        <v>0.27735321286673426</v>
      </c>
      <c r="EB271" s="173">
        <f t="shared" si="699"/>
        <v>56.264999999999993</v>
      </c>
      <c r="EC271" s="173">
        <f t="shared" si="700"/>
        <v>0.45812207583824976</v>
      </c>
      <c r="ED271" s="173">
        <f t="shared" si="701"/>
        <v>122.81660930014996</v>
      </c>
      <c r="EE271" s="460">
        <f t="shared" si="674"/>
        <v>0.15382615167398705</v>
      </c>
      <c r="EF271" s="5">
        <f t="shared" si="675"/>
        <v>11.582995645193204</v>
      </c>
      <c r="EH271" s="173">
        <f t="shared" si="702"/>
        <v>7.7102970165621283</v>
      </c>
      <c r="EI271" s="173">
        <f t="shared" si="703"/>
        <v>0.62228244603887528</v>
      </c>
      <c r="EK271" s="528">
        <f t="shared" si="704"/>
        <v>2.3779472033442746</v>
      </c>
      <c r="EL271" s="528">
        <f t="shared" si="705"/>
        <v>5.9858370400898586</v>
      </c>
      <c r="EM271" s="528">
        <f t="shared" si="706"/>
        <v>6.9999999999999993E-2</v>
      </c>
      <c r="EN271" s="528">
        <f t="shared" si="707"/>
        <v>4.2103293749999993E-2</v>
      </c>
      <c r="EO271">
        <f t="shared" si="708"/>
        <v>7.1999999999999998E-3</v>
      </c>
      <c r="EP271" s="460">
        <f t="shared" si="709"/>
        <v>77.199999999999989</v>
      </c>
      <c r="EQ271" s="460"/>
      <c r="ER271" s="460">
        <f t="shared" si="710"/>
        <v>8483.0875371841321</v>
      </c>
      <c r="ES271" s="528">
        <f t="shared" si="711"/>
        <v>0.23099999999999998</v>
      </c>
      <c r="EV271" s="460">
        <f t="shared" si="712"/>
        <v>230.99999999999997</v>
      </c>
      <c r="EW271" s="528">
        <f t="shared" si="713"/>
        <v>1.7834604025082057</v>
      </c>
      <c r="EX271" s="528">
        <f t="shared" si="714"/>
        <v>1.1617063279443771E-2</v>
      </c>
      <c r="EY271" s="528">
        <f t="shared" si="715"/>
        <v>371.04616987465852</v>
      </c>
      <c r="EZ271" s="528"/>
      <c r="FA271" s="528">
        <f t="shared" si="716"/>
        <v>5.6265000000000001</v>
      </c>
      <c r="FB271" s="460">
        <f t="shared" si="717"/>
        <v>378467.74734044616</v>
      </c>
      <c r="FC271" s="173">
        <f t="shared" si="718"/>
        <v>387.18183487763031</v>
      </c>
      <c r="FD271" s="5">
        <f t="shared" si="719"/>
        <v>56.1</v>
      </c>
      <c r="FE271" s="173">
        <f t="shared" si="720"/>
        <v>0.12655605437900838</v>
      </c>
      <c r="FF271" s="5">
        <f t="shared" si="721"/>
        <v>12.655605437900839</v>
      </c>
      <c r="FI271" s="562">
        <f t="shared" si="676"/>
        <v>-50</v>
      </c>
      <c r="FJ271">
        <f t="shared" si="677"/>
        <v>-50</v>
      </c>
      <c r="FL271">
        <f t="shared" si="760"/>
        <v>0.52054561945662736</v>
      </c>
    </row>
    <row r="272" spans="5:168">
      <c r="E272" s="170">
        <v>56</v>
      </c>
      <c r="F272" s="217">
        <f t="shared" si="761"/>
        <v>0.33600000000000002</v>
      </c>
      <c r="G272" s="217"/>
      <c r="H272" s="217">
        <f t="shared" si="726"/>
        <v>57.120000000000005</v>
      </c>
      <c r="I272" s="541">
        <f t="shared" si="727"/>
        <v>15.105751712330406</v>
      </c>
      <c r="J272" s="172">
        <f t="shared" si="728"/>
        <v>8.5259581231653598</v>
      </c>
      <c r="K272" s="172">
        <f t="shared" si="729"/>
        <v>23.631709835495766</v>
      </c>
      <c r="L272" s="443"/>
      <c r="M272" s="217">
        <f t="shared" si="730"/>
        <v>0.36078468644512168</v>
      </c>
      <c r="N272" s="172">
        <f t="shared" si="731"/>
        <v>184.28009330465733</v>
      </c>
      <c r="O272" s="172">
        <f t="shared" si="762"/>
        <v>57.120000000000005</v>
      </c>
      <c r="P272" s="217">
        <f t="shared" si="732"/>
        <v>1.0840005488509254</v>
      </c>
      <c r="Q272" s="217">
        <f t="shared" si="733"/>
        <v>170</v>
      </c>
      <c r="R272" s="217"/>
      <c r="S272" s="172">
        <f t="shared" si="734"/>
        <v>1196.5976316151887</v>
      </c>
      <c r="T272" s="172">
        <f t="shared" si="735"/>
        <v>170</v>
      </c>
      <c r="U272" s="217">
        <f t="shared" si="736"/>
        <v>21.025779131066042</v>
      </c>
      <c r="V272" s="217">
        <f t="shared" si="737"/>
        <v>0.69595275797838252</v>
      </c>
      <c r="W272" s="217">
        <f t="shared" si="738"/>
        <v>1.2330449450565668</v>
      </c>
      <c r="X272" s="197">
        <f t="shared" si="739"/>
        <v>350</v>
      </c>
      <c r="Y272" s="443">
        <f t="shared" si="680"/>
        <v>350</v>
      </c>
      <c r="AA272" s="217">
        <f t="shared" si="740"/>
        <v>31.142418970055292</v>
      </c>
      <c r="AB272" s="173">
        <f t="shared" si="741"/>
        <v>1.8263295761118112</v>
      </c>
      <c r="AC272" s="173">
        <f t="shared" si="742"/>
        <v>0.49766780732092819</v>
      </c>
      <c r="AD272" s="173"/>
      <c r="AE272" s="173">
        <f t="shared" si="743"/>
        <v>0.78192580474364204</v>
      </c>
      <c r="AF272" s="545">
        <f t="shared" si="744"/>
        <v>1289.1248682226026</v>
      </c>
      <c r="AG272" s="528">
        <f t="shared" si="745"/>
        <v>9.1224677220091574E-2</v>
      </c>
      <c r="AI272" s="173">
        <f t="shared" si="746"/>
        <v>25.588934793365272</v>
      </c>
      <c r="AJ272" s="173">
        <f t="shared" si="747"/>
        <v>25.588934793365272</v>
      </c>
      <c r="AK272" s="173">
        <f t="shared" si="748"/>
        <v>10.27822330372736</v>
      </c>
      <c r="AM272" s="545">
        <f t="shared" si="749"/>
        <v>336</v>
      </c>
      <c r="AN272" s="460">
        <f t="shared" si="750"/>
        <v>350</v>
      </c>
      <c r="AP272">
        <f t="shared" si="751"/>
        <v>336</v>
      </c>
      <c r="AQ272">
        <f t="shared" si="752"/>
        <v>350</v>
      </c>
      <c r="AS272" s="5">
        <f t="shared" si="763"/>
        <v>2.8571428571428572</v>
      </c>
      <c r="AT272" s="5">
        <f t="shared" si="753"/>
        <v>0.84699309510289822</v>
      </c>
      <c r="AU272" s="5">
        <f t="shared" si="722"/>
        <v>2.0101497620399589</v>
      </c>
      <c r="AV272" s="5"/>
      <c r="AW272" s="173">
        <f t="shared" si="723"/>
        <v>0.29644758328601439</v>
      </c>
      <c r="AX272" s="173">
        <f t="shared" si="631"/>
        <v>57.294438587671237</v>
      </c>
      <c r="AY272" s="173">
        <f t="shared" si="632"/>
        <v>0.45007892287521822</v>
      </c>
      <c r="AZ272" s="173">
        <f t="shared" si="633"/>
        <v>127.29864847182766</v>
      </c>
      <c r="BA272" s="460">
        <f t="shared" si="724"/>
        <v>0.16740569409092576</v>
      </c>
      <c r="BB272" s="5">
        <f t="shared" si="725"/>
        <v>12.161699103156664</v>
      </c>
      <c r="BD272" s="173">
        <f t="shared" si="681"/>
        <v>8.0438791530417362</v>
      </c>
      <c r="BE272" s="173">
        <f t="shared" si="682"/>
        <v>0.61959772458485884</v>
      </c>
      <c r="BG272" s="528">
        <f t="shared" si="683"/>
        <v>2.5881596731495775</v>
      </c>
      <c r="BH272" s="528">
        <f t="shared" si="754"/>
        <v>4.7620934710353113</v>
      </c>
      <c r="BI272" s="528">
        <f t="shared" si="755"/>
        <v>0.21148052397262568</v>
      </c>
      <c r="BJ272" s="528">
        <f t="shared" si="684"/>
        <v>3.9092039682434715E-2</v>
      </c>
      <c r="BK272">
        <f t="shared" si="685"/>
        <v>6.7975882705486827E-3</v>
      </c>
      <c r="BL272" s="460">
        <f t="shared" si="686"/>
        <v>218.27811224317438</v>
      </c>
      <c r="BM272" s="528">
        <f t="shared" si="756"/>
        <v>21.005271480511791</v>
      </c>
      <c r="BN272" s="460">
        <f t="shared" si="687"/>
        <v>21005.27148051179</v>
      </c>
      <c r="BO272" s="528">
        <f t="shared" si="637"/>
        <v>0.23519999999999999</v>
      </c>
      <c r="BR272" s="460">
        <f t="shared" si="688"/>
        <v>235.2</v>
      </c>
      <c r="BS272" s="528">
        <f t="shared" si="689"/>
        <v>1.941119754862183</v>
      </c>
      <c r="BT272" s="528">
        <f t="shared" si="690"/>
        <v>1.1517040209322036E-2</v>
      </c>
      <c r="BU272" s="528">
        <f t="shared" si="691"/>
        <v>379.5514319519317</v>
      </c>
      <c r="BV272" s="528"/>
      <c r="BW272" s="528">
        <f t="shared" si="692"/>
        <v>5.7294438587671239</v>
      </c>
      <c r="BX272" s="460">
        <f t="shared" si="693"/>
        <v>387233.51260577032</v>
      </c>
      <c r="BY272" s="173">
        <f t="shared" si="694"/>
        <v>395.07633590188084</v>
      </c>
      <c r="BZ272" s="5">
        <f t="shared" si="695"/>
        <v>57.120000000000005</v>
      </c>
      <c r="CA272" s="173">
        <f t="shared" si="696"/>
        <v>0.12631681299689723</v>
      </c>
      <c r="CB272" s="5">
        <f t="shared" si="697"/>
        <v>12.631681299689724</v>
      </c>
      <c r="CE272" s="562">
        <f t="shared" si="757"/>
        <v>-50</v>
      </c>
      <c r="CF272">
        <f t="shared" si="758"/>
        <v>-50</v>
      </c>
      <c r="CG272" s="173">
        <f t="shared" si="759"/>
        <v>0.52602840451152555</v>
      </c>
      <c r="CI272" s="170">
        <v>56</v>
      </c>
      <c r="CJ272" s="217">
        <f t="shared" si="698"/>
        <v>0.33600000000000002</v>
      </c>
      <c r="CK272" s="217"/>
      <c r="CL272" s="217">
        <f t="shared" si="641"/>
        <v>57.120000000000005</v>
      </c>
      <c r="CM272" s="541">
        <f t="shared" si="642"/>
        <v>16</v>
      </c>
      <c r="CN272" s="443">
        <f t="shared" si="643"/>
        <v>8.5250000000000004</v>
      </c>
      <c r="CO272" s="443">
        <f t="shared" si="644"/>
        <v>24.524999999999999</v>
      </c>
      <c r="CP272" s="443"/>
      <c r="CQ272" s="217">
        <f t="shared" si="645"/>
        <v>0.34760448521916415</v>
      </c>
      <c r="CR272" s="172">
        <f t="shared" si="646"/>
        <v>188.05866123003739</v>
      </c>
      <c r="CS272" s="172">
        <f t="shared" si="647"/>
        <v>57.120000000000005</v>
      </c>
      <c r="CT272" s="217">
        <f t="shared" si="648"/>
        <v>1.1062274190002199</v>
      </c>
      <c r="CU272" s="217">
        <f t="shared" si="649"/>
        <v>170</v>
      </c>
      <c r="CV272" s="217"/>
      <c r="CW272" s="172">
        <f t="shared" si="650"/>
        <v>1267.4277774544062</v>
      </c>
      <c r="CX272" s="172">
        <f t="shared" si="651"/>
        <v>170</v>
      </c>
      <c r="CY272" s="217">
        <f t="shared" si="652"/>
        <v>20.540586510263928</v>
      </c>
      <c r="CZ272" s="217">
        <f t="shared" si="653"/>
        <v>0.64189332844574765</v>
      </c>
      <c r="DA272" s="217">
        <f t="shared" si="654"/>
        <v>1.2047264815404062</v>
      </c>
      <c r="DB272" s="197">
        <f t="shared" si="655"/>
        <v>350</v>
      </c>
      <c r="DC272" s="443">
        <f t="shared" si="656"/>
        <v>350</v>
      </c>
      <c r="DE272" s="217">
        <f t="shared" si="657"/>
        <v>31.780981505752148</v>
      </c>
      <c r="DF272" s="173">
        <f t="shared" si="658"/>
        <v>1.8639871850881022</v>
      </c>
      <c r="DG272" s="173">
        <f t="shared" si="659"/>
        <v>0.51834424474213492</v>
      </c>
      <c r="DH272" s="173"/>
      <c r="DI272" s="173">
        <f t="shared" si="660"/>
        <v>0.78201368523949166</v>
      </c>
      <c r="DJ272" s="545">
        <f t="shared" si="661"/>
        <v>1288.98</v>
      </c>
      <c r="DK272" s="528">
        <f t="shared" si="662"/>
        <v>9.1234929944607357E-2</v>
      </c>
      <c r="DM272" s="173">
        <f t="shared" si="663"/>
        <v>25.587496946751163</v>
      </c>
      <c r="DN272" s="173">
        <f t="shared" si="664"/>
        <v>25.587496946751163</v>
      </c>
      <c r="DO272" s="173">
        <f t="shared" si="665"/>
        <v>10.277158232161353</v>
      </c>
      <c r="DQ272" s="545">
        <f t="shared" si="666"/>
        <v>336</v>
      </c>
      <c r="DR272" s="460">
        <f t="shared" si="667"/>
        <v>350</v>
      </c>
      <c r="DT272">
        <f t="shared" si="668"/>
        <v>336</v>
      </c>
      <c r="DU272">
        <f t="shared" si="669"/>
        <v>350</v>
      </c>
      <c r="DW272" s="5">
        <f t="shared" si="670"/>
        <v>2.8571428571428572</v>
      </c>
      <c r="DX272" s="5">
        <f t="shared" si="671"/>
        <v>0.79960927958597383</v>
      </c>
      <c r="DY272" s="5">
        <f t="shared" si="672"/>
        <v>2.0575335775568835</v>
      </c>
      <c r="DZ272" s="5"/>
      <c r="EA272" s="173">
        <f t="shared" si="673"/>
        <v>0.27986324785509081</v>
      </c>
      <c r="EB272" s="173">
        <f t="shared" si="699"/>
        <v>57.287999999999997</v>
      </c>
      <c r="EC272" s="173">
        <f t="shared" si="700"/>
        <v>0.46066242366877902</v>
      </c>
      <c r="ED272" s="173">
        <f t="shared" si="701"/>
        <v>124.36004557035599</v>
      </c>
      <c r="EE272" s="460">
        <f t="shared" si="674"/>
        <v>0.15804042231816892</v>
      </c>
      <c r="EF272" s="5">
        <f t="shared" si="675"/>
        <v>11.75263179500492</v>
      </c>
      <c r="EH272" s="173">
        <f t="shared" si="702"/>
        <v>7.8152002669090335</v>
      </c>
      <c r="EI272" s="173">
        <f t="shared" si="703"/>
        <v>0.62682263198632393</v>
      </c>
      <c r="EK272" s="528">
        <f t="shared" si="704"/>
        <v>2.4430942084758009</v>
      </c>
      <c r="EL272" s="528">
        <f t="shared" si="705"/>
        <v>6.0400086152085715</v>
      </c>
      <c r="EM272" s="528">
        <f t="shared" si="706"/>
        <v>6.9999999999999993E-2</v>
      </c>
      <c r="EN272" s="528">
        <f t="shared" si="707"/>
        <v>4.2103293749999993E-2</v>
      </c>
      <c r="EO272">
        <f t="shared" si="708"/>
        <v>7.1999999999999998E-3</v>
      </c>
      <c r="EP272" s="460">
        <f t="shared" si="709"/>
        <v>77.199999999999989</v>
      </c>
      <c r="EQ272" s="460"/>
      <c r="ER272" s="460">
        <f t="shared" si="710"/>
        <v>8602.4061174343715</v>
      </c>
      <c r="ES272" s="528">
        <f t="shared" si="711"/>
        <v>0.23519999999999999</v>
      </c>
      <c r="EV272" s="460">
        <f t="shared" si="712"/>
        <v>235.2</v>
      </c>
      <c r="EW272" s="528">
        <f t="shared" si="713"/>
        <v>1.8323206563568506</v>
      </c>
      <c r="EX272" s="528">
        <f t="shared" si="714"/>
        <v>1.1787198359107874E-2</v>
      </c>
      <c r="EY272" s="528">
        <f t="shared" si="715"/>
        <v>379.49811654947757</v>
      </c>
      <c r="EZ272" s="528"/>
      <c r="FA272" s="528">
        <f t="shared" si="716"/>
        <v>5.7288000000000006</v>
      </c>
      <c r="FB272" s="460">
        <f t="shared" si="717"/>
        <v>387071.02440419351</v>
      </c>
      <c r="FC272" s="173">
        <f t="shared" si="718"/>
        <v>395.90863052162786</v>
      </c>
      <c r="FD272" s="5">
        <f t="shared" si="719"/>
        <v>57.120000000000005</v>
      </c>
      <c r="FE272" s="173">
        <f t="shared" si="720"/>
        <v>0.12608474641929515</v>
      </c>
      <c r="FF272" s="5">
        <f t="shared" si="721"/>
        <v>12.608474641929515</v>
      </c>
      <c r="FI272" s="562">
        <f t="shared" si="676"/>
        <v>-50</v>
      </c>
      <c r="FJ272">
        <f t="shared" si="677"/>
        <v>-50</v>
      </c>
      <c r="FL272">
        <f t="shared" si="760"/>
        <v>0.5252565355638068</v>
      </c>
    </row>
    <row r="273" spans="5:168">
      <c r="E273" s="170">
        <v>57</v>
      </c>
      <c r="F273" s="217">
        <f t="shared" si="761"/>
        <v>0.34199999999999997</v>
      </c>
      <c r="G273" s="217"/>
      <c r="H273" s="217">
        <f t="shared" si="726"/>
        <v>58.139999999999993</v>
      </c>
      <c r="I273" s="541">
        <f t="shared" si="727"/>
        <v>15.097802682336065</v>
      </c>
      <c r="J273" s="172">
        <f t="shared" si="728"/>
        <v>8.5259666399832117</v>
      </c>
      <c r="K273" s="172">
        <f t="shared" si="729"/>
        <v>23.623769322319276</v>
      </c>
      <c r="L273" s="443"/>
      <c r="M273" s="217">
        <f t="shared" si="730"/>
        <v>0.36090631564673592</v>
      </c>
      <c r="N273" s="172">
        <f t="shared" si="731"/>
        <v>184.24521300485665</v>
      </c>
      <c r="O273" s="172">
        <f t="shared" si="762"/>
        <v>58.139999999999993</v>
      </c>
      <c r="P273" s="217">
        <f t="shared" si="732"/>
        <v>1.0837953706168038</v>
      </c>
      <c r="Q273" s="217">
        <f t="shared" si="733"/>
        <v>170</v>
      </c>
      <c r="R273" s="217"/>
      <c r="S273" s="172">
        <f t="shared" si="734"/>
        <v>1169.693695314957</v>
      </c>
      <c r="T273" s="172">
        <f t="shared" si="735"/>
        <v>170</v>
      </c>
      <c r="U273" s="217">
        <f t="shared" si="736"/>
        <v>21.405312452498393</v>
      </c>
      <c r="V273" s="217">
        <f t="shared" si="737"/>
        <v>0.70888833636506288</v>
      </c>
      <c r="W273" s="217">
        <f t="shared" si="738"/>
        <v>1.255301208435208</v>
      </c>
      <c r="X273" s="197">
        <f t="shared" si="739"/>
        <v>350</v>
      </c>
      <c r="Y273" s="443">
        <f t="shared" si="680"/>
        <v>350</v>
      </c>
      <c r="AA273" s="217">
        <f t="shared" si="740"/>
        <v>31.136524344337506</v>
      </c>
      <c r="AB273" s="173">
        <f t="shared" si="741"/>
        <v>1.8259820650904406</v>
      </c>
      <c r="AC273" s="173">
        <f t="shared" si="742"/>
        <v>0.49747893144260663</v>
      </c>
      <c r="AD273" s="173"/>
      <c r="AE273" s="173">
        <f t="shared" si="743"/>
        <v>0.78192502365688288</v>
      </c>
      <c r="AF273" s="545">
        <f t="shared" si="744"/>
        <v>1312.1462658934161</v>
      </c>
      <c r="AG273" s="528">
        <f t="shared" si="745"/>
        <v>9.1224586093303001E-2</v>
      </c>
      <c r="AI273" s="173">
        <f t="shared" si="746"/>
        <v>25.816409359162062</v>
      </c>
      <c r="AJ273" s="173">
        <f t="shared" si="747"/>
        <v>25.816409359162062</v>
      </c>
      <c r="AK273" s="173">
        <f t="shared" si="748"/>
        <v>10.446722982095354</v>
      </c>
      <c r="AM273" s="545">
        <f t="shared" si="749"/>
        <v>341.99999999999994</v>
      </c>
      <c r="AN273" s="460">
        <f t="shared" si="750"/>
        <v>350</v>
      </c>
      <c r="AP273">
        <f t="shared" si="751"/>
        <v>341.99999999999994</v>
      </c>
      <c r="AQ273">
        <f t="shared" si="752"/>
        <v>350</v>
      </c>
      <c r="AS273" s="5">
        <f t="shared" si="763"/>
        <v>2.8571428571428572</v>
      </c>
      <c r="AT273" s="5">
        <f t="shared" si="753"/>
        <v>0.85497240566557464</v>
      </c>
      <c r="AU273" s="5">
        <f t="shared" si="722"/>
        <v>2.0021704514772827</v>
      </c>
      <c r="AV273" s="5"/>
      <c r="AW273" s="173">
        <f t="shared" si="723"/>
        <v>0.29924034198295113</v>
      </c>
      <c r="AX273" s="173">
        <f t="shared" si="631"/>
        <v>58.317611817485165</v>
      </c>
      <c r="AY273" s="173">
        <f t="shared" si="632"/>
        <v>0.45227745484386372</v>
      </c>
      <c r="AZ273" s="173">
        <f t="shared" si="633"/>
        <v>128.94211549328213</v>
      </c>
      <c r="BA273" s="460">
        <f t="shared" si="724"/>
        <v>0.17200033102213325</v>
      </c>
      <c r="BB273" s="5">
        <f t="shared" si="725"/>
        <v>12.336225873194715</v>
      </c>
      <c r="BD273" s="173">
        <f t="shared" si="681"/>
        <v>8.1535226635090208</v>
      </c>
      <c r="BE273" s="173">
        <f t="shared" si="682"/>
        <v>0.62386376499385188</v>
      </c>
      <c r="BG273" s="528">
        <f t="shared" si="683"/>
        <v>2.6591972729742093</v>
      </c>
      <c r="BH273" s="528">
        <f t="shared" si="754"/>
        <v>4.8028120830223457</v>
      </c>
      <c r="BI273" s="528">
        <f t="shared" si="755"/>
        <v>0.21136923755270492</v>
      </c>
      <c r="BJ273" s="528">
        <f t="shared" si="684"/>
        <v>3.906577338959074E-2</v>
      </c>
      <c r="BK273">
        <f t="shared" si="685"/>
        <v>6.7940112070512286E-3</v>
      </c>
      <c r="BL273" s="460">
        <f t="shared" si="686"/>
        <v>218.16324875975616</v>
      </c>
      <c r="BM273" s="528">
        <f t="shared" si="756"/>
        <v>22.323798374338619</v>
      </c>
      <c r="BN273" s="460">
        <f t="shared" si="687"/>
        <v>22323.798374338618</v>
      </c>
      <c r="BO273" s="528">
        <f t="shared" si="637"/>
        <v>0.23939999999999997</v>
      </c>
      <c r="BR273" s="460">
        <f t="shared" si="688"/>
        <v>239.39999999999998</v>
      </c>
      <c r="BS273" s="528">
        <f t="shared" si="689"/>
        <v>1.994397954730657</v>
      </c>
      <c r="BT273" s="528">
        <f t="shared" si="690"/>
        <v>1.1676179918169121E-2</v>
      </c>
      <c r="BU273" s="528">
        <f t="shared" si="691"/>
        <v>388.04287389636403</v>
      </c>
      <c r="BV273" s="528"/>
      <c r="BW273" s="528">
        <f t="shared" si="692"/>
        <v>5.8317611817485178</v>
      </c>
      <c r="BX273" s="460">
        <f t="shared" si="693"/>
        <v>395880.70921276137</v>
      </c>
      <c r="BY273" s="173">
        <f t="shared" si="694"/>
        <v>403.83934759090727</v>
      </c>
      <c r="BZ273" s="5">
        <f t="shared" si="695"/>
        <v>58.139999999999993</v>
      </c>
      <c r="CA273" s="173">
        <f t="shared" si="696"/>
        <v>0.12584978160427254</v>
      </c>
      <c r="CB273" s="5">
        <f t="shared" si="697"/>
        <v>12.584978160427255</v>
      </c>
      <c r="CE273" s="562">
        <f t="shared" si="757"/>
        <v>-50</v>
      </c>
      <c r="CF273">
        <f t="shared" si="758"/>
        <v>-50</v>
      </c>
      <c r="CG273" s="173">
        <f t="shared" si="759"/>
        <v>0.53070430450819717</v>
      </c>
      <c r="CI273" s="170">
        <v>57</v>
      </c>
      <c r="CJ273" s="217">
        <f t="shared" si="698"/>
        <v>0.34199999999999997</v>
      </c>
      <c r="CK273" s="217"/>
      <c r="CL273" s="217">
        <f t="shared" si="641"/>
        <v>58.139999999999993</v>
      </c>
      <c r="CM273" s="541">
        <f t="shared" si="642"/>
        <v>16</v>
      </c>
      <c r="CN273" s="443">
        <f t="shared" si="643"/>
        <v>8.5250000000000004</v>
      </c>
      <c r="CO273" s="443">
        <f t="shared" si="644"/>
        <v>24.524999999999999</v>
      </c>
      <c r="CP273" s="443"/>
      <c r="CQ273" s="217">
        <f t="shared" si="645"/>
        <v>0.34760448521916415</v>
      </c>
      <c r="CR273" s="172">
        <f t="shared" si="646"/>
        <v>188.05866123003739</v>
      </c>
      <c r="CS273" s="172">
        <f t="shared" si="647"/>
        <v>58.139999999999993</v>
      </c>
      <c r="CT273" s="217">
        <f t="shared" si="648"/>
        <v>1.1062274190002199</v>
      </c>
      <c r="CU273" s="217">
        <f t="shared" si="649"/>
        <v>170</v>
      </c>
      <c r="CV273" s="217"/>
      <c r="CW273" s="172">
        <f t="shared" si="650"/>
        <v>1239.5832146326134</v>
      </c>
      <c r="CX273" s="172">
        <f t="shared" si="651"/>
        <v>170</v>
      </c>
      <c r="CY273" s="217">
        <f t="shared" si="652"/>
        <v>20.907382697947209</v>
      </c>
      <c r="CZ273" s="217">
        <f t="shared" si="653"/>
        <v>0.6533557093108503</v>
      </c>
      <c r="DA273" s="217">
        <f t="shared" si="654"/>
        <v>1.2262394544250563</v>
      </c>
      <c r="DB273" s="197">
        <f t="shared" si="655"/>
        <v>350</v>
      </c>
      <c r="DC273" s="443">
        <f t="shared" si="656"/>
        <v>350</v>
      </c>
      <c r="DE273" s="217">
        <f t="shared" si="657"/>
        <v>31.780981505752148</v>
      </c>
      <c r="DF273" s="173">
        <f t="shared" si="658"/>
        <v>1.8639871850881022</v>
      </c>
      <c r="DG273" s="173">
        <f t="shared" si="659"/>
        <v>0.51834424474213492</v>
      </c>
      <c r="DH273" s="173"/>
      <c r="DI273" s="173">
        <f t="shared" si="660"/>
        <v>0.78201368523949166</v>
      </c>
      <c r="DJ273" s="545">
        <f t="shared" si="661"/>
        <v>1311.9974999999997</v>
      </c>
      <c r="DK273" s="528">
        <f t="shared" si="662"/>
        <v>9.1234929944607357E-2</v>
      </c>
      <c r="DM273" s="173">
        <f t="shared" si="663"/>
        <v>25.814945837081055</v>
      </c>
      <c r="DN273" s="173">
        <f t="shared" si="664"/>
        <v>25.814945837081055</v>
      </c>
      <c r="DO273" s="173">
        <f t="shared" si="665"/>
        <v>10.445638891664979</v>
      </c>
      <c r="DQ273" s="545">
        <f t="shared" si="666"/>
        <v>341.99999999999994</v>
      </c>
      <c r="DR273" s="460">
        <f t="shared" si="667"/>
        <v>350</v>
      </c>
      <c r="DT273">
        <f t="shared" si="668"/>
        <v>341.99999999999994</v>
      </c>
      <c r="DU273">
        <f t="shared" si="669"/>
        <v>350</v>
      </c>
      <c r="DW273" s="5">
        <f t="shared" si="670"/>
        <v>2.8571428571428572</v>
      </c>
      <c r="DX273" s="5">
        <f t="shared" si="671"/>
        <v>0.80671705740878297</v>
      </c>
      <c r="DY273" s="5">
        <f t="shared" si="672"/>
        <v>2.0504257997340742</v>
      </c>
      <c r="DZ273" s="5"/>
      <c r="EA273" s="173">
        <f t="shared" si="673"/>
        <v>0.28235097009307403</v>
      </c>
      <c r="EB273" s="173">
        <f t="shared" si="699"/>
        <v>58.310999999999986</v>
      </c>
      <c r="EC273" s="173">
        <f t="shared" si="700"/>
        <v>0.46315177092702647</v>
      </c>
      <c r="ED273" s="173">
        <f t="shared" si="701"/>
        <v>125.90041463792089</v>
      </c>
      <c r="EE273" s="460">
        <f t="shared" si="674"/>
        <v>0.16229249037282573</v>
      </c>
      <c r="EF273" s="5">
        <f t="shared" si="675"/>
        <v>11.921175599653907</v>
      </c>
      <c r="EH273" s="173">
        <f t="shared" si="702"/>
        <v>7.9196362150933455</v>
      </c>
      <c r="EI273" s="173">
        <f t="shared" si="703"/>
        <v>0.63130124559857481</v>
      </c>
      <c r="EK273" s="528">
        <f t="shared" si="704"/>
        <v>2.5088255111767221</v>
      </c>
      <c r="EL273" s="528">
        <f t="shared" si="705"/>
        <v>6.0936986365487229</v>
      </c>
      <c r="EM273" s="528">
        <f t="shared" si="706"/>
        <v>6.9999999999999993E-2</v>
      </c>
      <c r="EN273" s="528">
        <f t="shared" si="707"/>
        <v>4.2103293749999993E-2</v>
      </c>
      <c r="EO273">
        <f t="shared" si="708"/>
        <v>7.1999999999999998E-3</v>
      </c>
      <c r="EP273" s="460">
        <f t="shared" si="709"/>
        <v>77.199999999999989</v>
      </c>
      <c r="EQ273" s="460"/>
      <c r="ER273" s="460">
        <f t="shared" si="710"/>
        <v>8721.8274414754433</v>
      </c>
      <c r="ES273" s="528">
        <f t="shared" si="711"/>
        <v>0.23939999999999997</v>
      </c>
      <c r="EV273" s="460">
        <f t="shared" si="712"/>
        <v>239.39999999999998</v>
      </c>
      <c r="EW273" s="528">
        <f t="shared" si="713"/>
        <v>1.8816191333825414</v>
      </c>
      <c r="EX273" s="528">
        <f t="shared" si="714"/>
        <v>1.1956237880829361E-2</v>
      </c>
      <c r="EY273" s="528">
        <f t="shared" si="715"/>
        <v>387.98788124026498</v>
      </c>
      <c r="EZ273" s="528"/>
      <c r="FA273" s="528">
        <f t="shared" si="716"/>
        <v>5.8310999999999993</v>
      </c>
      <c r="FB273" s="460">
        <f t="shared" si="717"/>
        <v>395712.55661152833</v>
      </c>
      <c r="FC273" s="173">
        <f t="shared" si="718"/>
        <v>404.67378405300377</v>
      </c>
      <c r="FD273" s="5">
        <f t="shared" si="719"/>
        <v>58.139999999999993</v>
      </c>
      <c r="FE273" s="173">
        <f t="shared" si="720"/>
        <v>0.12562287901377955</v>
      </c>
      <c r="FF273" s="5">
        <f t="shared" si="721"/>
        <v>12.562287901377955</v>
      </c>
      <c r="FI273" s="562">
        <f t="shared" si="676"/>
        <v>-50</v>
      </c>
      <c r="FJ273">
        <f t="shared" si="677"/>
        <v>-50</v>
      </c>
      <c r="FL273">
        <f t="shared" si="760"/>
        <v>0.52992557436823273</v>
      </c>
    </row>
    <row r="274" spans="5:168">
      <c r="E274" s="170">
        <v>58</v>
      </c>
      <c r="F274" s="217">
        <f t="shared" si="761"/>
        <v>0.34799999999999998</v>
      </c>
      <c r="G274" s="217"/>
      <c r="H274" s="217">
        <f t="shared" si="726"/>
        <v>59.16</v>
      </c>
      <c r="I274" s="541">
        <f t="shared" si="727"/>
        <v>15.089923080173989</v>
      </c>
      <c r="J274" s="172">
        <f t="shared" si="728"/>
        <v>8.5259750824140994</v>
      </c>
      <c r="K274" s="172">
        <f t="shared" si="729"/>
        <v>23.615898162588088</v>
      </c>
      <c r="L274" s="443"/>
      <c r="M274" s="217">
        <f t="shared" si="730"/>
        <v>0.36102696324716116</v>
      </c>
      <c r="N274" s="172">
        <f t="shared" si="731"/>
        <v>184.21061401281099</v>
      </c>
      <c r="O274" s="172">
        <f t="shared" si="762"/>
        <v>59.16</v>
      </c>
      <c r="P274" s="217">
        <f t="shared" si="732"/>
        <v>1.0835918471341823</v>
      </c>
      <c r="Q274" s="217">
        <f t="shared" si="733"/>
        <v>170</v>
      </c>
      <c r="R274" s="217"/>
      <c r="S274" s="172">
        <f t="shared" si="734"/>
        <v>1143.7283480460794</v>
      </c>
      <c r="T274" s="172">
        <f t="shared" si="735"/>
        <v>170</v>
      </c>
      <c r="U274" s="217">
        <f t="shared" si="736"/>
        <v>21.784956796830212</v>
      </c>
      <c r="V274" s="217">
        <f t="shared" si="737"/>
        <v>0.72183790073299126</v>
      </c>
      <c r="W274" s="217">
        <f t="shared" si="738"/>
        <v>1.2775639493577946</v>
      </c>
      <c r="X274" s="197">
        <f t="shared" si="739"/>
        <v>350</v>
      </c>
      <c r="Y274" s="443">
        <f t="shared" si="680"/>
        <v>350</v>
      </c>
      <c r="AA274" s="217">
        <f t="shared" si="740"/>
        <v>31.130677258502566</v>
      </c>
      <c r="AB274" s="173">
        <f t="shared" si="741"/>
        <v>1.8256373586355841</v>
      </c>
      <c r="AC274" s="173">
        <f t="shared" si="742"/>
        <v>0.49729161477405792</v>
      </c>
      <c r="AD274" s="173"/>
      <c r="AE274" s="173">
        <f t="shared" si="743"/>
        <v>0.78192424939377414</v>
      </c>
      <c r="AF274" s="545">
        <f t="shared" si="744"/>
        <v>1335.167697906048</v>
      </c>
      <c r="AG274" s="528">
        <f t="shared" si="745"/>
        <v>9.1224495762606966E-2</v>
      </c>
      <c r="AI274" s="173">
        <f t="shared" si="746"/>
        <v>26.04189735760481</v>
      </c>
      <c r="AJ274" s="173">
        <f t="shared" si="747"/>
        <v>26.04189735760481</v>
      </c>
      <c r="AK274" s="173">
        <f t="shared" si="748"/>
        <v>10.613751129089982</v>
      </c>
      <c r="AM274" s="545">
        <f t="shared" si="749"/>
        <v>348</v>
      </c>
      <c r="AN274" s="460">
        <f t="shared" si="750"/>
        <v>350</v>
      </c>
      <c r="AP274">
        <f t="shared" si="751"/>
        <v>348</v>
      </c>
      <c r="AQ274">
        <f t="shared" si="752"/>
        <v>350</v>
      </c>
      <c r="AS274" s="5">
        <f t="shared" si="763"/>
        <v>2.8571428571428572</v>
      </c>
      <c r="AT274" s="5">
        <f t="shared" si="753"/>
        <v>0.8628903281760314</v>
      </c>
      <c r="AU274" s="5">
        <f t="shared" si="722"/>
        <v>1.9942525289668258</v>
      </c>
      <c r="AV274" s="5"/>
      <c r="AW274" s="173">
        <f t="shared" si="723"/>
        <v>0.30201161486161099</v>
      </c>
      <c r="AX274" s="173">
        <f t="shared" si="631"/>
        <v>59.340786573602131</v>
      </c>
      <c r="AY274" s="173">
        <f t="shared" si="632"/>
        <v>0.45442354706435656</v>
      </c>
      <c r="AZ274" s="173">
        <f t="shared" si="633"/>
        <v>130.58475283015682</v>
      </c>
      <c r="BA274" s="460">
        <f t="shared" si="724"/>
        <v>0.17663872600309347</v>
      </c>
      <c r="BB274" s="5">
        <f t="shared" si="725"/>
        <v>12.509538079083921</v>
      </c>
      <c r="BD274" s="173">
        <f t="shared" si="681"/>
        <v>8.2627348822464661</v>
      </c>
      <c r="BE274" s="173">
        <f t="shared" si="682"/>
        <v>0.62806717712700855</v>
      </c>
      <c r="BG274" s="528">
        <f t="shared" si="683"/>
        <v>2.7309115093717007</v>
      </c>
      <c r="BH274" s="528">
        <f t="shared" si="754"/>
        <v>4.8431470181674152</v>
      </c>
      <c r="BI274" s="528">
        <f t="shared" si="755"/>
        <v>0.21125892312243585</v>
      </c>
      <c r="BJ274" s="528">
        <f t="shared" si="684"/>
        <v>3.9039745221801196E-2</v>
      </c>
      <c r="BK274">
        <f t="shared" si="685"/>
        <v>6.7904653860782951E-3</v>
      </c>
      <c r="BL274" s="460">
        <f t="shared" si="686"/>
        <v>218.04938850851417</v>
      </c>
      <c r="BM274" s="528">
        <f t="shared" si="756"/>
        <v>23.781264369478276</v>
      </c>
      <c r="BN274" s="460">
        <f t="shared" si="687"/>
        <v>23781.264369478275</v>
      </c>
      <c r="BO274" s="528">
        <f t="shared" si="637"/>
        <v>0.24359999999999996</v>
      </c>
      <c r="BR274" s="460">
        <f t="shared" si="688"/>
        <v>243.59999999999997</v>
      </c>
      <c r="BS274" s="528">
        <f t="shared" si="689"/>
        <v>2.0481836320287754</v>
      </c>
      <c r="BT274" s="528">
        <f t="shared" si="690"/>
        <v>1.1834051369528673E-2</v>
      </c>
      <c r="BU274" s="528">
        <f t="shared" si="691"/>
        <v>396.57165732266276</v>
      </c>
      <c r="BV274" s="528"/>
      <c r="BW274" s="528">
        <f t="shared" si="692"/>
        <v>5.9340786573602138</v>
      </c>
      <c r="BX274" s="460">
        <f t="shared" si="693"/>
        <v>404565.75366342126</v>
      </c>
      <c r="BY274" s="173">
        <f t="shared" si="694"/>
        <v>412.64050132469072</v>
      </c>
      <c r="BZ274" s="5">
        <f t="shared" si="695"/>
        <v>59.16</v>
      </c>
      <c r="CA274" s="173">
        <f t="shared" si="696"/>
        <v>0.12539198206422927</v>
      </c>
      <c r="CB274" s="5">
        <f t="shared" si="697"/>
        <v>12.539198206422927</v>
      </c>
      <c r="CE274" s="562">
        <f t="shared" si="757"/>
        <v>-50</v>
      </c>
      <c r="CF274">
        <f t="shared" si="758"/>
        <v>-50</v>
      </c>
      <c r="CG274" s="173">
        <f t="shared" si="759"/>
        <v>0.53533936460353593</v>
      </c>
      <c r="CI274" s="170">
        <v>58</v>
      </c>
      <c r="CJ274" s="217">
        <f t="shared" si="698"/>
        <v>0.34799999999999998</v>
      </c>
      <c r="CK274" s="217"/>
      <c r="CL274" s="217">
        <f t="shared" si="641"/>
        <v>59.16</v>
      </c>
      <c r="CM274" s="541">
        <f t="shared" si="642"/>
        <v>16</v>
      </c>
      <c r="CN274" s="443">
        <f t="shared" si="643"/>
        <v>8.5250000000000004</v>
      </c>
      <c r="CO274" s="443">
        <f t="shared" si="644"/>
        <v>24.524999999999999</v>
      </c>
      <c r="CP274" s="443"/>
      <c r="CQ274" s="217">
        <f t="shared" si="645"/>
        <v>0.34760448521916415</v>
      </c>
      <c r="CR274" s="172">
        <f t="shared" si="646"/>
        <v>188.05866123003739</v>
      </c>
      <c r="CS274" s="172">
        <f t="shared" si="647"/>
        <v>59.16</v>
      </c>
      <c r="CT274" s="217">
        <f t="shared" si="648"/>
        <v>1.1062274190002199</v>
      </c>
      <c r="CU274" s="217">
        <f t="shared" si="649"/>
        <v>170</v>
      </c>
      <c r="CV274" s="217"/>
      <c r="CW274" s="172">
        <f t="shared" si="650"/>
        <v>1212.6989325489326</v>
      </c>
      <c r="CX274" s="172">
        <f t="shared" si="651"/>
        <v>170</v>
      </c>
      <c r="CY274" s="217">
        <f t="shared" si="652"/>
        <v>21.274178885630494</v>
      </c>
      <c r="CZ274" s="217">
        <f t="shared" si="653"/>
        <v>0.66481809017595295</v>
      </c>
      <c r="DA274" s="217">
        <f t="shared" si="654"/>
        <v>1.2477524273097065</v>
      </c>
      <c r="DB274" s="197">
        <f t="shared" si="655"/>
        <v>350</v>
      </c>
      <c r="DC274" s="443">
        <f t="shared" si="656"/>
        <v>350</v>
      </c>
      <c r="DE274" s="217">
        <f t="shared" si="657"/>
        <v>31.780981505752148</v>
      </c>
      <c r="DF274" s="173">
        <f t="shared" si="658"/>
        <v>1.8639871850881022</v>
      </c>
      <c r="DG274" s="173">
        <f t="shared" si="659"/>
        <v>0.51834424474213492</v>
      </c>
      <c r="DH274" s="173"/>
      <c r="DI274" s="173">
        <f t="shared" si="660"/>
        <v>0.78201368523949166</v>
      </c>
      <c r="DJ274" s="545">
        <f t="shared" si="661"/>
        <v>1335.0149999999999</v>
      </c>
      <c r="DK274" s="528">
        <f t="shared" si="662"/>
        <v>9.1234929944607357E-2</v>
      </c>
      <c r="DM274" s="173">
        <f t="shared" si="663"/>
        <v>26.040408160066484</v>
      </c>
      <c r="DN274" s="173">
        <f t="shared" si="664"/>
        <v>26.040408160066484</v>
      </c>
      <c r="DO274" s="173">
        <f t="shared" si="665"/>
        <v>10.612648019802332</v>
      </c>
      <c r="DQ274" s="545">
        <f t="shared" si="666"/>
        <v>348</v>
      </c>
      <c r="DR274" s="460">
        <f t="shared" si="667"/>
        <v>350</v>
      </c>
      <c r="DT274">
        <f t="shared" si="668"/>
        <v>348</v>
      </c>
      <c r="DU274">
        <f t="shared" si="669"/>
        <v>350</v>
      </c>
      <c r="DW274" s="5">
        <f t="shared" si="670"/>
        <v>2.8571428571428572</v>
      </c>
      <c r="DX274" s="5">
        <f t="shared" si="671"/>
        <v>0.81376275500207762</v>
      </c>
      <c r="DY274" s="5">
        <f t="shared" si="672"/>
        <v>2.0433801021407794</v>
      </c>
      <c r="DZ274" s="5"/>
      <c r="EA274" s="173">
        <f t="shared" si="673"/>
        <v>0.28481696425072717</v>
      </c>
      <c r="EB274" s="173">
        <f t="shared" si="699"/>
        <v>59.333999999999996</v>
      </c>
      <c r="EC274" s="173">
        <f t="shared" si="700"/>
        <v>0.46559145400166208</v>
      </c>
      <c r="ED274" s="173">
        <f t="shared" si="701"/>
        <v>127.43790610853476</v>
      </c>
      <c r="EE274" s="460">
        <f t="shared" si="674"/>
        <v>0.16658202278866058</v>
      </c>
      <c r="EF274" s="5">
        <f t="shared" si="675"/>
        <v>12.08863668426485</v>
      </c>
      <c r="EH274" s="173">
        <f t="shared" si="702"/>
        <v>8.0236150875851688</v>
      </c>
      <c r="EI274" s="173">
        <f t="shared" si="703"/>
        <v>0.63571984128340941</v>
      </c>
      <c r="EK274" s="528">
        <f t="shared" si="704"/>
        <v>2.5751359629489743</v>
      </c>
      <c r="EL274" s="528">
        <f t="shared" si="705"/>
        <v>6.1469197224591943</v>
      </c>
      <c r="EM274" s="528">
        <f t="shared" si="706"/>
        <v>6.9999999999999993E-2</v>
      </c>
      <c r="EN274" s="528">
        <f t="shared" si="707"/>
        <v>4.2103293749999993E-2</v>
      </c>
      <c r="EO274">
        <f t="shared" si="708"/>
        <v>7.1999999999999998E-3</v>
      </c>
      <c r="EP274" s="460">
        <f t="shared" si="709"/>
        <v>77.199999999999989</v>
      </c>
      <c r="EQ274" s="460"/>
      <c r="ER274" s="460">
        <f t="shared" si="710"/>
        <v>8841.3589791581671</v>
      </c>
      <c r="ES274" s="528">
        <f t="shared" si="711"/>
        <v>0.24359999999999996</v>
      </c>
      <c r="EV274" s="460">
        <f t="shared" si="712"/>
        <v>243.59999999999997</v>
      </c>
      <c r="EW274" s="528">
        <f t="shared" si="713"/>
        <v>1.9313519722117305</v>
      </c>
      <c r="EX274" s="528">
        <f t="shared" si="714"/>
        <v>1.2124191498042097E-2</v>
      </c>
      <c r="EY274" s="528">
        <f t="shared" si="715"/>
        <v>396.51496519697332</v>
      </c>
      <c r="EZ274" s="528"/>
      <c r="FA274" s="528">
        <f t="shared" si="716"/>
        <v>5.9333999999999998</v>
      </c>
      <c r="FB274" s="460">
        <f t="shared" si="717"/>
        <v>404391.84136068309</v>
      </c>
      <c r="FC274" s="173">
        <f t="shared" si="718"/>
        <v>413.47680033984125</v>
      </c>
      <c r="FD274" s="5">
        <f t="shared" si="719"/>
        <v>59.16</v>
      </c>
      <c r="FE274" s="173">
        <f t="shared" si="720"/>
        <v>0.12517010938941284</v>
      </c>
      <c r="FF274" s="5">
        <f t="shared" si="721"/>
        <v>12.517010938941283</v>
      </c>
      <c r="FI274" s="562">
        <f t="shared" si="676"/>
        <v>-50</v>
      </c>
      <c r="FJ274">
        <f t="shared" si="677"/>
        <v>-50</v>
      </c>
      <c r="FL274">
        <f t="shared" si="760"/>
        <v>0.53455383319784566</v>
      </c>
    </row>
    <row r="275" spans="5:168">
      <c r="E275" s="170">
        <v>59</v>
      </c>
      <c r="F275" s="217">
        <f t="shared" si="761"/>
        <v>0.35399999999999998</v>
      </c>
      <c r="G275" s="217"/>
      <c r="H275" s="217">
        <f t="shared" si="726"/>
        <v>60.18</v>
      </c>
      <c r="I275" s="541">
        <f t="shared" si="727"/>
        <v>15.082111117836151</v>
      </c>
      <c r="J275" s="172">
        <f t="shared" si="728"/>
        <v>8.5259834523737474</v>
      </c>
      <c r="K275" s="172">
        <f t="shared" si="729"/>
        <v>23.6080945702099</v>
      </c>
      <c r="L275" s="443"/>
      <c r="M275" s="217">
        <f t="shared" si="730"/>
        <v>0.3611466546054018</v>
      </c>
      <c r="N275" s="172">
        <f t="shared" si="731"/>
        <v>184.17628906092028</v>
      </c>
      <c r="O275" s="172">
        <f t="shared" si="762"/>
        <v>60.18</v>
      </c>
      <c r="P275" s="217">
        <f t="shared" si="732"/>
        <v>1.0833899356524723</v>
      </c>
      <c r="Q275" s="217">
        <f t="shared" si="733"/>
        <v>170</v>
      </c>
      <c r="R275" s="217"/>
      <c r="S275" s="172">
        <f t="shared" si="734"/>
        <v>1118.6536633915862</v>
      </c>
      <c r="T275" s="172">
        <f t="shared" si="735"/>
        <v>170</v>
      </c>
      <c r="U275" s="217">
        <f t="shared" si="736"/>
        <v>22.164711356804183</v>
      </c>
      <c r="V275" s="217">
        <f t="shared" si="737"/>
        <v>0.73480135451966422</v>
      </c>
      <c r="W275" s="217">
        <f t="shared" si="738"/>
        <v>1.2998331207547222</v>
      </c>
      <c r="X275" s="197">
        <f t="shared" si="739"/>
        <v>350</v>
      </c>
      <c r="Y275" s="443">
        <f t="shared" si="680"/>
        <v>350</v>
      </c>
      <c r="AA275" s="217">
        <f t="shared" si="740"/>
        <v>31.124876484355248</v>
      </c>
      <c r="AB275" s="173">
        <f t="shared" si="741"/>
        <v>1.8252953842931552</v>
      </c>
      <c r="AC275" s="173">
        <f t="shared" si="742"/>
        <v>0.49710581710639673</v>
      </c>
      <c r="AD275" s="173"/>
      <c r="AE275" s="173">
        <f t="shared" si="743"/>
        <v>0.78192348177858328</v>
      </c>
      <c r="AF275" s="545">
        <f t="shared" si="744"/>
        <v>1358.1891639631378</v>
      </c>
      <c r="AG275" s="528">
        <f t="shared" si="745"/>
        <v>9.1224406207501385E-2</v>
      </c>
      <c r="AI275" s="173">
        <f t="shared" si="746"/>
        <v>26.265449949708486</v>
      </c>
      <c r="AJ275" s="173">
        <f t="shared" si="747"/>
        <v>26.265449949708486</v>
      </c>
      <c r="AK275" s="173">
        <f t="shared" si="748"/>
        <v>10.779345641759372</v>
      </c>
      <c r="AM275" s="545">
        <f t="shared" si="749"/>
        <v>354</v>
      </c>
      <c r="AN275" s="460">
        <f t="shared" si="750"/>
        <v>350</v>
      </c>
      <c r="AP275">
        <f t="shared" si="751"/>
        <v>354</v>
      </c>
      <c r="AQ275">
        <f t="shared" si="752"/>
        <v>350</v>
      </c>
      <c r="AS275" s="5">
        <f t="shared" si="763"/>
        <v>2.8571428571428572</v>
      </c>
      <c r="AT275" s="5">
        <f t="shared" si="753"/>
        <v>0.8707484563831015</v>
      </c>
      <c r="AU275" s="5">
        <f t="shared" si="722"/>
        <v>1.9863944007597558</v>
      </c>
      <c r="AV275" s="5"/>
      <c r="AW275" s="173">
        <f t="shared" si="723"/>
        <v>0.30476195973408554</v>
      </c>
      <c r="AX275" s="173">
        <f t="shared" si="631"/>
        <v>60.363962842806124</v>
      </c>
      <c r="AY275" s="173">
        <f t="shared" si="632"/>
        <v>0.45651849874344475</v>
      </c>
      <c r="AZ275" s="173">
        <f t="shared" si="633"/>
        <v>132.22676191426274</v>
      </c>
      <c r="BA275" s="460">
        <f t="shared" si="724"/>
        <v>0.1813205609174223</v>
      </c>
      <c r="BB275" s="5">
        <f t="shared" si="725"/>
        <v>12.681642680258713</v>
      </c>
      <c r="BD275" s="173">
        <f t="shared" si="681"/>
        <v>8.3715253461990891</v>
      </c>
      <c r="BE275" s="173">
        <f t="shared" si="682"/>
        <v>0.63220945315778598</v>
      </c>
      <c r="BG275" s="528">
        <f t="shared" si="683"/>
        <v>2.8032974648821511</v>
      </c>
      <c r="BH275" s="528">
        <f t="shared" si="754"/>
        <v>4.8831081574419333</v>
      </c>
      <c r="BI275" s="528">
        <f t="shared" si="755"/>
        <v>0.21114955564970611</v>
      </c>
      <c r="BJ275" s="528">
        <f t="shared" si="684"/>
        <v>3.9013949046518198E-2</v>
      </c>
      <c r="BK275">
        <f t="shared" si="685"/>
        <v>6.7869500030262675E-3</v>
      </c>
      <c r="BL275" s="460">
        <f t="shared" si="686"/>
        <v>217.93650565273236</v>
      </c>
      <c r="BM275" s="528">
        <f t="shared" si="756"/>
        <v>25.400964911980569</v>
      </c>
      <c r="BN275" s="460">
        <f t="shared" si="687"/>
        <v>25400.964911980569</v>
      </c>
      <c r="BO275" s="528">
        <f t="shared" si="637"/>
        <v>0.24779999999999996</v>
      </c>
      <c r="BR275" s="460">
        <f t="shared" si="688"/>
        <v>247.79999999999995</v>
      </c>
      <c r="BS275" s="528">
        <f t="shared" si="689"/>
        <v>2.1024730986616134</v>
      </c>
      <c r="BT275" s="528">
        <f t="shared" si="690"/>
        <v>1.1990663779862003E-2</v>
      </c>
      <c r="BU275" s="528">
        <f t="shared" si="691"/>
        <v>405.13729846775027</v>
      </c>
      <c r="BV275" s="528"/>
      <c r="BW275" s="528">
        <f t="shared" si="692"/>
        <v>6.036396284280614</v>
      </c>
      <c r="BX275" s="460">
        <f t="shared" si="693"/>
        <v>413288.15851447236</v>
      </c>
      <c r="BY275" s="173">
        <f t="shared" si="694"/>
        <v>421.47931459149572</v>
      </c>
      <c r="BZ275" s="5">
        <f t="shared" si="695"/>
        <v>60.18</v>
      </c>
      <c r="CA275" s="173">
        <f t="shared" si="696"/>
        <v>0.12494308357981156</v>
      </c>
      <c r="CB275" s="5">
        <f t="shared" si="697"/>
        <v>12.494308357981156</v>
      </c>
      <c r="CE275" s="562">
        <f t="shared" si="757"/>
        <v>-50</v>
      </c>
      <c r="CF275">
        <f t="shared" si="758"/>
        <v>-50</v>
      </c>
      <c r="CG275" s="173">
        <f t="shared" si="759"/>
        <v>0.53993463656696983</v>
      </c>
      <c r="CI275" s="170">
        <v>59</v>
      </c>
      <c r="CJ275" s="217">
        <f t="shared" si="698"/>
        <v>0.35399999999999998</v>
      </c>
      <c r="CK275" s="217"/>
      <c r="CL275" s="217">
        <f t="shared" si="641"/>
        <v>60.18</v>
      </c>
      <c r="CM275" s="541">
        <f t="shared" si="642"/>
        <v>16</v>
      </c>
      <c r="CN275" s="443">
        <f t="shared" si="643"/>
        <v>8.5250000000000004</v>
      </c>
      <c r="CO275" s="443">
        <f t="shared" si="644"/>
        <v>24.524999999999999</v>
      </c>
      <c r="CP275" s="443"/>
      <c r="CQ275" s="217">
        <f t="shared" si="645"/>
        <v>0.34760448521916415</v>
      </c>
      <c r="CR275" s="172">
        <f t="shared" si="646"/>
        <v>188.05866123003739</v>
      </c>
      <c r="CS275" s="172">
        <f t="shared" si="647"/>
        <v>60.18</v>
      </c>
      <c r="CT275" s="217">
        <f t="shared" si="648"/>
        <v>1.1062274190002199</v>
      </c>
      <c r="CU275" s="217">
        <f t="shared" si="649"/>
        <v>170</v>
      </c>
      <c r="CV275" s="217"/>
      <c r="CW275" s="172">
        <f t="shared" si="650"/>
        <v>1186.7261050259237</v>
      </c>
      <c r="CX275" s="172">
        <f t="shared" si="651"/>
        <v>170</v>
      </c>
      <c r="CY275" s="217">
        <f t="shared" si="652"/>
        <v>21.640975073313783</v>
      </c>
      <c r="CZ275" s="217">
        <f t="shared" si="653"/>
        <v>0.67628047104105571</v>
      </c>
      <c r="DA275" s="217">
        <f t="shared" si="654"/>
        <v>1.2692654001943566</v>
      </c>
      <c r="DB275" s="197">
        <f t="shared" si="655"/>
        <v>350</v>
      </c>
      <c r="DC275" s="443">
        <f t="shared" si="656"/>
        <v>350</v>
      </c>
      <c r="DE275" s="217">
        <f t="shared" si="657"/>
        <v>31.780981505752148</v>
      </c>
      <c r="DF275" s="173">
        <f t="shared" si="658"/>
        <v>1.8639871850881022</v>
      </c>
      <c r="DG275" s="173">
        <f t="shared" si="659"/>
        <v>0.51834424474213492</v>
      </c>
      <c r="DH275" s="173"/>
      <c r="DI275" s="173">
        <f t="shared" si="660"/>
        <v>0.78201368523949166</v>
      </c>
      <c r="DJ275" s="545">
        <f t="shared" si="661"/>
        <v>1358.0325</v>
      </c>
      <c r="DK275" s="528">
        <f t="shared" si="662"/>
        <v>9.1234929944607357E-2</v>
      </c>
      <c r="DM275" s="173">
        <f t="shared" si="663"/>
        <v>26.263935076722333</v>
      </c>
      <c r="DN275" s="173">
        <f t="shared" si="664"/>
        <v>26.263935076722333</v>
      </c>
      <c r="DO275" s="173">
        <f t="shared" si="665"/>
        <v>10.77822351362148</v>
      </c>
      <c r="DQ275" s="545">
        <f t="shared" si="666"/>
        <v>354</v>
      </c>
      <c r="DR275" s="460">
        <f t="shared" si="667"/>
        <v>350</v>
      </c>
      <c r="DT275">
        <f t="shared" si="668"/>
        <v>354</v>
      </c>
      <c r="DU275">
        <f t="shared" si="669"/>
        <v>350</v>
      </c>
      <c r="DW275" s="5">
        <f t="shared" si="670"/>
        <v>2.8571428571428572</v>
      </c>
      <c r="DX275" s="5">
        <f t="shared" si="671"/>
        <v>0.82074797114757292</v>
      </c>
      <c r="DY275" s="5">
        <f t="shared" si="672"/>
        <v>2.0363948859952843</v>
      </c>
      <c r="DZ275" s="5"/>
      <c r="EA275" s="173">
        <f t="shared" si="673"/>
        <v>0.28726178990165052</v>
      </c>
      <c r="EB275" s="173">
        <f t="shared" si="699"/>
        <v>60.356999999999992</v>
      </c>
      <c r="EC275" s="173">
        <f t="shared" si="700"/>
        <v>0.46798275191805833</v>
      </c>
      <c r="ED275" s="173">
        <f t="shared" si="701"/>
        <v>128.97270199088069</v>
      </c>
      <c r="EE275" s="460">
        <f t="shared" si="674"/>
        <v>0.17090869516837695</v>
      </c>
      <c r="EF275" s="5">
        <f t="shared" si="675"/>
        <v>12.25502442391962</v>
      </c>
      <c r="EH275" s="173">
        <f t="shared" si="702"/>
        <v>8.1271467149345877</v>
      </c>
      <c r="EI275" s="173">
        <f t="shared" si="703"/>
        <v>0.64007990681897775</v>
      </c>
      <c r="EK275" s="528">
        <f t="shared" si="704"/>
        <v>2.6420205490428823</v>
      </c>
      <c r="EL275" s="528">
        <f t="shared" si="705"/>
        <v>6.1996839496574214</v>
      </c>
      <c r="EM275" s="528">
        <f t="shared" si="706"/>
        <v>6.9999999999999993E-2</v>
      </c>
      <c r="EN275" s="528">
        <f t="shared" si="707"/>
        <v>4.2103293749999993E-2</v>
      </c>
      <c r="EO275">
        <f t="shared" si="708"/>
        <v>7.1999999999999998E-3</v>
      </c>
      <c r="EP275" s="460">
        <f t="shared" si="709"/>
        <v>77.199999999999989</v>
      </c>
      <c r="EQ275" s="460"/>
      <c r="ER275" s="460">
        <f t="shared" si="710"/>
        <v>8961.0077924503039</v>
      </c>
      <c r="ES275" s="528">
        <f t="shared" si="711"/>
        <v>0.24779999999999996</v>
      </c>
      <c r="EV275" s="460">
        <f t="shared" si="712"/>
        <v>247.79999999999995</v>
      </c>
      <c r="EW275" s="528">
        <f t="shared" si="713"/>
        <v>1.9815154117821616</v>
      </c>
      <c r="EX275" s="528">
        <f t="shared" si="714"/>
        <v>1.2291068613401736E-2</v>
      </c>
      <c r="EY275" s="528">
        <f t="shared" si="715"/>
        <v>405.07888475290798</v>
      </c>
      <c r="EZ275" s="528"/>
      <c r="FA275" s="528">
        <f t="shared" si="716"/>
        <v>6.0357000000000003</v>
      </c>
      <c r="FB275" s="460">
        <f t="shared" si="717"/>
        <v>413108.39123330358</v>
      </c>
      <c r="FC275" s="173">
        <f t="shared" si="718"/>
        <v>422.31719902575389</v>
      </c>
      <c r="FD275" s="5">
        <f t="shared" si="719"/>
        <v>60.18</v>
      </c>
      <c r="FE275" s="173">
        <f t="shared" si="720"/>
        <v>0.12472611265208157</v>
      </c>
      <c r="FF275" s="5">
        <f t="shared" si="721"/>
        <v>12.472611265208156</v>
      </c>
      <c r="FI275" s="562">
        <f t="shared" si="676"/>
        <v>-50</v>
      </c>
      <c r="FJ275">
        <f t="shared" si="677"/>
        <v>-50</v>
      </c>
      <c r="FL275">
        <f t="shared" si="760"/>
        <v>0.53914236227875756</v>
      </c>
    </row>
    <row r="276" spans="5:168">
      <c r="E276" s="170">
        <v>60</v>
      </c>
      <c r="F276" s="217">
        <f t="shared" si="761"/>
        <v>0.36</v>
      </c>
      <c r="G276" s="217"/>
      <c r="H276" s="217">
        <f t="shared" si="726"/>
        <v>61.199999999999996</v>
      </c>
      <c r="I276" s="541">
        <f t="shared" si="727"/>
        <v>15.074365082767509</v>
      </c>
      <c r="J276" s="172">
        <f t="shared" si="728"/>
        <v>8.5259917516970347</v>
      </c>
      <c r="K276" s="172">
        <f t="shared" si="729"/>
        <v>23.600356834464542</v>
      </c>
      <c r="L276" s="443"/>
      <c r="M276" s="217">
        <f t="shared" si="730"/>
        <v>0.3612654140097587</v>
      </c>
      <c r="N276" s="172">
        <f t="shared" si="731"/>
        <v>184.14223118843739</v>
      </c>
      <c r="O276" s="172">
        <f t="shared" si="762"/>
        <v>61.199999999999996</v>
      </c>
      <c r="P276" s="217">
        <f t="shared" si="732"/>
        <v>1.0831895952261024</v>
      </c>
      <c r="Q276" s="217">
        <f t="shared" si="733"/>
        <v>170</v>
      </c>
      <c r="R276" s="217"/>
      <c r="S276" s="172">
        <f t="shared" si="734"/>
        <v>1094.4249179199971</v>
      </c>
      <c r="T276" s="172">
        <f t="shared" si="735"/>
        <v>170</v>
      </c>
      <c r="U276" s="217">
        <f t="shared" si="736"/>
        <v>22.544575346073412</v>
      </c>
      <c r="V276" s="217">
        <f t="shared" si="737"/>
        <v>0.74777860368545757</v>
      </c>
      <c r="W276" s="217">
        <f t="shared" si="738"/>
        <v>1.3221086767757007</v>
      </c>
      <c r="X276" s="197">
        <f t="shared" si="739"/>
        <v>350</v>
      </c>
      <c r="Y276" s="443">
        <f t="shared" si="680"/>
        <v>350</v>
      </c>
      <c r="AA276" s="217">
        <f t="shared" si="740"/>
        <v>31.119120845557234</v>
      </c>
      <c r="AB276" s="173">
        <f t="shared" si="741"/>
        <v>1.8249560726682152</v>
      </c>
      <c r="AC276" s="173">
        <f t="shared" si="742"/>
        <v>0.49692149992796253</v>
      </c>
      <c r="AD276" s="173"/>
      <c r="AE276" s="173">
        <f t="shared" si="743"/>
        <v>0.7819227206429934</v>
      </c>
      <c r="AF276" s="545">
        <f t="shared" si="744"/>
        <v>1381.2106637749196</v>
      </c>
      <c r="AG276" s="528">
        <f t="shared" si="745"/>
        <v>9.1224317408349243E-2</v>
      </c>
      <c r="AI276" s="173">
        <f t="shared" si="746"/>
        <v>26.487116137520498</v>
      </c>
      <c r="AJ276" s="173">
        <f t="shared" si="747"/>
        <v>26.487116137520498</v>
      </c>
      <c r="AK276" s="173">
        <f t="shared" si="748"/>
        <v>10.943542817916418</v>
      </c>
      <c r="AM276" s="545">
        <f t="shared" si="749"/>
        <v>360</v>
      </c>
      <c r="AN276" s="460">
        <f t="shared" si="750"/>
        <v>350</v>
      </c>
      <c r="AP276">
        <f t="shared" si="751"/>
        <v>360</v>
      </c>
      <c r="AQ276">
        <f t="shared" si="752"/>
        <v>350</v>
      </c>
      <c r="AS276" s="5">
        <f t="shared" si="763"/>
        <v>2.8571428571428572</v>
      </c>
      <c r="AT276" s="5">
        <f t="shared" si="753"/>
        <v>0.87854831669824851</v>
      </c>
      <c r="AU276" s="5">
        <f t="shared" si="722"/>
        <v>1.9785945404446088</v>
      </c>
      <c r="AV276" s="5"/>
      <c r="AW276" s="173">
        <f t="shared" si="723"/>
        <v>0.30749191084438698</v>
      </c>
      <c r="AX276" s="173">
        <f t="shared" si="631"/>
        <v>61.387140612218644</v>
      </c>
      <c r="AY276" s="173">
        <f t="shared" si="632"/>
        <v>0.45856355459092807</v>
      </c>
      <c r="AZ276" s="173">
        <f t="shared" si="633"/>
        <v>133.86833732781147</v>
      </c>
      <c r="BA276" s="460">
        <f t="shared" si="724"/>
        <v>0.18604552588904086</v>
      </c>
      <c r="BB276" s="5">
        <f t="shared" si="725"/>
        <v>12.852546447997167</v>
      </c>
      <c r="BD276" s="173">
        <f t="shared" si="681"/>
        <v>8.4799032267892755</v>
      </c>
      <c r="BE276" s="173">
        <f t="shared" si="682"/>
        <v>0.63629202223727788</v>
      </c>
      <c r="BG276" s="528">
        <f t="shared" si="683"/>
        <v>2.876350349428447</v>
      </c>
      <c r="BH276" s="528">
        <f t="shared" si="754"/>
        <v>4.9227049648459298</v>
      </c>
      <c r="BI276" s="528">
        <f t="shared" si="755"/>
        <v>0.21104111115874513</v>
      </c>
      <c r="BJ276" s="528">
        <f t="shared" si="684"/>
        <v>3.8988378989984002E-2</v>
      </c>
      <c r="BK276">
        <f t="shared" si="685"/>
        <v>6.7834642872453789E-3</v>
      </c>
      <c r="BL276" s="460">
        <f t="shared" si="686"/>
        <v>217.82457544599052</v>
      </c>
      <c r="BM276" s="528">
        <f t="shared" si="756"/>
        <v>27.211703922341719</v>
      </c>
      <c r="BN276" s="460">
        <f t="shared" si="687"/>
        <v>27211.70392234172</v>
      </c>
      <c r="BO276" s="528">
        <f t="shared" si="637"/>
        <v>0.252</v>
      </c>
      <c r="BR276" s="460">
        <f t="shared" si="688"/>
        <v>252</v>
      </c>
      <c r="BS276" s="528">
        <f t="shared" si="689"/>
        <v>2.1572627620713352</v>
      </c>
      <c r="BT276" s="528">
        <f t="shared" si="690"/>
        <v>1.2146026126884136E-2</v>
      </c>
      <c r="BU276" s="528">
        <f t="shared" si="691"/>
        <v>413.73932794928078</v>
      </c>
      <c r="BV276" s="528"/>
      <c r="BW276" s="528">
        <f t="shared" si="692"/>
        <v>6.138714061221866</v>
      </c>
      <c r="BX276" s="460">
        <f t="shared" si="693"/>
        <v>422047.45079870085</v>
      </c>
      <c r="BY276" s="173">
        <f t="shared" si="694"/>
        <v>430.35531906741124</v>
      </c>
      <c r="BZ276" s="5">
        <f t="shared" si="695"/>
        <v>61.199999999999996</v>
      </c>
      <c r="CA276" s="173">
        <f t="shared" si="696"/>
        <v>0.12450277237587395</v>
      </c>
      <c r="CB276" s="5">
        <f t="shared" si="697"/>
        <v>12.450277237587395</v>
      </c>
      <c r="CE276" s="562">
        <f t="shared" si="757"/>
        <v>-50</v>
      </c>
      <c r="CF276">
        <f t="shared" si="758"/>
        <v>-50</v>
      </c>
      <c r="CG276" s="173">
        <f t="shared" si="759"/>
        <v>0.54449112778381803</v>
      </c>
      <c r="CI276" s="170">
        <v>60</v>
      </c>
      <c r="CJ276" s="217">
        <f t="shared" si="698"/>
        <v>0.36</v>
      </c>
      <c r="CK276" s="217"/>
      <c r="CL276" s="217">
        <f t="shared" si="641"/>
        <v>61.199999999999996</v>
      </c>
      <c r="CM276" s="541">
        <f t="shared" si="642"/>
        <v>16</v>
      </c>
      <c r="CN276" s="443">
        <f t="shared" si="643"/>
        <v>8.5250000000000004</v>
      </c>
      <c r="CO276" s="443">
        <f t="shared" si="644"/>
        <v>24.524999999999999</v>
      </c>
      <c r="CP276" s="443"/>
      <c r="CQ276" s="217">
        <f t="shared" si="645"/>
        <v>0.34760448521916415</v>
      </c>
      <c r="CR276" s="172">
        <f t="shared" si="646"/>
        <v>188.05866123003739</v>
      </c>
      <c r="CS276" s="172">
        <f t="shared" si="647"/>
        <v>61.199999999999996</v>
      </c>
      <c r="CT276" s="217">
        <f t="shared" si="648"/>
        <v>1.1062274190002199</v>
      </c>
      <c r="CU276" s="217">
        <f t="shared" si="649"/>
        <v>170</v>
      </c>
      <c r="CV276" s="217"/>
      <c r="CW276" s="172">
        <f t="shared" si="650"/>
        <v>1161.6191609943669</v>
      </c>
      <c r="CX276" s="172">
        <f t="shared" si="651"/>
        <v>170</v>
      </c>
      <c r="CY276" s="217">
        <f t="shared" si="652"/>
        <v>22.007771260997064</v>
      </c>
      <c r="CZ276" s="217">
        <f t="shared" si="653"/>
        <v>0.68774285190615814</v>
      </c>
      <c r="DA276" s="217">
        <f t="shared" si="654"/>
        <v>1.2907783730790066</v>
      </c>
      <c r="DB276" s="197">
        <f t="shared" si="655"/>
        <v>350</v>
      </c>
      <c r="DC276" s="443">
        <f t="shared" si="656"/>
        <v>350</v>
      </c>
      <c r="DE276" s="217">
        <f t="shared" si="657"/>
        <v>31.780981505752148</v>
      </c>
      <c r="DF276" s="173">
        <f t="shared" si="658"/>
        <v>1.8639871850881022</v>
      </c>
      <c r="DG276" s="173">
        <f t="shared" si="659"/>
        <v>0.51834424474213492</v>
      </c>
      <c r="DH276" s="173"/>
      <c r="DI276" s="173">
        <f t="shared" si="660"/>
        <v>0.78201368523949166</v>
      </c>
      <c r="DJ276" s="545">
        <f t="shared" si="661"/>
        <v>1381.05</v>
      </c>
      <c r="DK276" s="528">
        <f t="shared" si="662"/>
        <v>9.1234929944607357E-2</v>
      </c>
      <c r="DM276" s="173">
        <f t="shared" si="663"/>
        <v>26.48557558909593</v>
      </c>
      <c r="DN276" s="173">
        <f t="shared" si="664"/>
        <v>26.48557558909593</v>
      </c>
      <c r="DO276" s="173">
        <f t="shared" si="665"/>
        <v>10.942401670935256</v>
      </c>
      <c r="DQ276" s="545">
        <f t="shared" si="666"/>
        <v>360</v>
      </c>
      <c r="DR276" s="460">
        <f t="shared" si="667"/>
        <v>350</v>
      </c>
      <c r="DT276">
        <f t="shared" si="668"/>
        <v>360</v>
      </c>
      <c r="DU276">
        <f t="shared" si="669"/>
        <v>350</v>
      </c>
      <c r="DW276" s="5">
        <f t="shared" si="670"/>
        <v>2.8571428571428572</v>
      </c>
      <c r="DX276" s="5">
        <f t="shared" si="671"/>
        <v>0.82767423715924782</v>
      </c>
      <c r="DY276" s="5">
        <f t="shared" si="672"/>
        <v>2.0294686199836094</v>
      </c>
      <c r="DZ276" s="5"/>
      <c r="EA276" s="173">
        <f t="shared" si="673"/>
        <v>0.28968598300573672</v>
      </c>
      <c r="EB276" s="173">
        <f t="shared" si="699"/>
        <v>61.379999999999988</v>
      </c>
      <c r="EC276" s="173">
        <f t="shared" si="700"/>
        <v>0.47032688972739828</v>
      </c>
      <c r="ED276" s="173">
        <f t="shared" si="701"/>
        <v>130.50497715658119</v>
      </c>
      <c r="EE276" s="460">
        <f t="shared" si="674"/>
        <v>0.17527219139842895</v>
      </c>
      <c r="EF276" s="5">
        <f t="shared" si="675"/>
        <v>12.42034795429969</v>
      </c>
      <c r="EH276" s="173">
        <f t="shared" si="702"/>
        <v>8.2302405535386889</v>
      </c>
      <c r="EI276" s="173">
        <f t="shared" si="703"/>
        <v>0.64438286728360994</v>
      </c>
      <c r="EK276" s="528">
        <f t="shared" si="704"/>
        <v>2.7094743827645131</v>
      </c>
      <c r="EL276" s="528">
        <f t="shared" si="705"/>
        <v>6.2520028852298104</v>
      </c>
      <c r="EM276" s="528">
        <f t="shared" si="706"/>
        <v>6.9999999999999993E-2</v>
      </c>
      <c r="EN276" s="528">
        <f t="shared" si="707"/>
        <v>4.2103293749999993E-2</v>
      </c>
      <c r="EO276">
        <f t="shared" si="708"/>
        <v>7.1999999999999998E-3</v>
      </c>
      <c r="EP276" s="460">
        <f t="shared" si="709"/>
        <v>77.199999999999989</v>
      </c>
      <c r="EQ276" s="460"/>
      <c r="ER276" s="460">
        <f t="shared" si="710"/>
        <v>9080.7805617443228</v>
      </c>
      <c r="ES276" s="528">
        <f t="shared" si="711"/>
        <v>0.252</v>
      </c>
      <c r="EV276" s="460">
        <f t="shared" si="712"/>
        <v>252</v>
      </c>
      <c r="EW276" s="528">
        <f t="shared" si="713"/>
        <v>2.0321057870733847</v>
      </c>
      <c r="EX276" s="528">
        <f t="shared" si="714"/>
        <v>1.2456878389459395E-2</v>
      </c>
      <c r="EY276" s="528">
        <f t="shared" si="715"/>
        <v>413.67917062005131</v>
      </c>
      <c r="EZ276" s="528"/>
      <c r="FA276" s="528">
        <f t="shared" si="716"/>
        <v>6.1379999999999999</v>
      </c>
      <c r="FB276" s="460">
        <f t="shared" si="717"/>
        <v>421861.73328551411</v>
      </c>
      <c r="FC276" s="173">
        <f t="shared" si="718"/>
        <v>431.19451384725846</v>
      </c>
      <c r="FD276" s="5">
        <f t="shared" si="719"/>
        <v>61.199999999999996</v>
      </c>
      <c r="FE276" s="173">
        <f t="shared" si="720"/>
        <v>0.12429058057901987</v>
      </c>
      <c r="FF276" s="5">
        <f t="shared" si="721"/>
        <v>12.429058057901987</v>
      </c>
      <c r="FI276" s="562">
        <f t="shared" si="676"/>
        <v>-50</v>
      </c>
      <c r="FJ276">
        <f t="shared" si="677"/>
        <v>-50</v>
      </c>
      <c r="FL276">
        <f t="shared" si="760"/>
        <v>0.54369216751809823</v>
      </c>
    </row>
    <row r="277" spans="5:168">
      <c r="E277" s="170">
        <v>61</v>
      </c>
      <c r="F277" s="217">
        <f t="shared" si="761"/>
        <v>0.36599999999999999</v>
      </c>
      <c r="G277" s="217"/>
      <c r="H277" s="217">
        <f t="shared" si="726"/>
        <v>62.22</v>
      </c>
      <c r="I277" s="541">
        <f t="shared" si="727"/>
        <v>15.066683333482146</v>
      </c>
      <c r="J277" s="172">
        <f t="shared" si="728"/>
        <v>8.5259999821426984</v>
      </c>
      <c r="K277" s="172">
        <f t="shared" si="729"/>
        <v>23.592683315624846</v>
      </c>
      <c r="L277" s="443"/>
      <c r="M277" s="217">
        <f t="shared" si="730"/>
        <v>0.36138326474005217</v>
      </c>
      <c r="N277" s="172">
        <f t="shared" si="731"/>
        <v>184.10843372363564</v>
      </c>
      <c r="O277" s="172">
        <f t="shared" si="762"/>
        <v>62.22</v>
      </c>
      <c r="P277" s="217">
        <f t="shared" si="732"/>
        <v>1.0829907866096213</v>
      </c>
      <c r="Q277" s="217">
        <f t="shared" si="733"/>
        <v>170</v>
      </c>
      <c r="R277" s="217"/>
      <c r="S277" s="172">
        <f t="shared" si="734"/>
        <v>1071.0003282109149</v>
      </c>
      <c r="T277" s="172">
        <f t="shared" si="735"/>
        <v>170</v>
      </c>
      <c r="U277" s="217">
        <f t="shared" si="736"/>
        <v>22.924547998324559</v>
      </c>
      <c r="V277" s="217">
        <f t="shared" si="737"/>
        <v>0.76076955660772938</v>
      </c>
      <c r="W277" s="217">
        <f t="shared" si="738"/>
        <v>1.3443905727386192</v>
      </c>
      <c r="X277" s="197">
        <f t="shared" si="739"/>
        <v>350</v>
      </c>
      <c r="Y277" s="443">
        <f t="shared" si="680"/>
        <v>350</v>
      </c>
      <c r="AA277" s="217">
        <f t="shared" si="740"/>
        <v>31.113409214613487</v>
      </c>
      <c r="AB277" s="173">
        <f t="shared" si="741"/>
        <v>1.8246193572471876</v>
      </c>
      <c r="AC277" s="173">
        <f t="shared" si="742"/>
        <v>0.49673862632569687</v>
      </c>
      <c r="AD277" s="173"/>
      <c r="AE277" s="173">
        <f t="shared" si="743"/>
        <v>0.78192196582567242</v>
      </c>
      <c r="AF277" s="545">
        <f t="shared" si="744"/>
        <v>1404.2321970589026</v>
      </c>
      <c r="AG277" s="528">
        <f t="shared" si="745"/>
        <v>9.1224229346328442E-2</v>
      </c>
      <c r="AI277" s="173">
        <f t="shared" si="746"/>
        <v>26.706942889557933</v>
      </c>
      <c r="AJ277" s="173">
        <f t="shared" si="747"/>
        <v>26.706942889557933</v>
      </c>
      <c r="AK277" s="173">
        <f t="shared" si="748"/>
        <v>11.106377449055257</v>
      </c>
      <c r="AM277" s="545">
        <f t="shared" si="749"/>
        <v>366</v>
      </c>
      <c r="AN277" s="460">
        <f t="shared" si="750"/>
        <v>350</v>
      </c>
      <c r="AP277">
        <f t="shared" si="751"/>
        <v>366</v>
      </c>
      <c r="AQ277">
        <f t="shared" si="752"/>
        <v>350</v>
      </c>
      <c r="AS277" s="5">
        <f t="shared" si="763"/>
        <v>2.8571428571428572</v>
      </c>
      <c r="AT277" s="5">
        <f t="shared" si="753"/>
        <v>0.88629137211001374</v>
      </c>
      <c r="AU277" s="5">
        <f t="shared" si="722"/>
        <v>1.9708514850328434</v>
      </c>
      <c r="AV277" s="5"/>
      <c r="AW277" s="173">
        <f t="shared" si="723"/>
        <v>0.31020198023850482</v>
      </c>
      <c r="AX277" s="173">
        <f t="shared" si="631"/>
        <v>62.410319869284535</v>
      </c>
      <c r="AY277" s="173">
        <f t="shared" si="632"/>
        <v>0.46055990797751023</v>
      </c>
      <c r="AZ277" s="173">
        <f t="shared" si="633"/>
        <v>135.50966722950648</v>
      </c>
      <c r="BA277" s="460">
        <f t="shared" si="724"/>
        <v>0.19081331893662651</v>
      </c>
      <c r="BB277" s="5">
        <f t="shared" si="725"/>
        <v>13.022255973348596</v>
      </c>
      <c r="BD277" s="173">
        <f t="shared" si="681"/>
        <v>8.5878773497508725</v>
      </c>
      <c r="BE277" s="173">
        <f t="shared" si="682"/>
        <v>0.64031625414257665</v>
      </c>
      <c r="BG277" s="528">
        <f t="shared" si="683"/>
        <v>2.9500654949745626</v>
      </c>
      <c r="BH277" s="528">
        <f t="shared" si="754"/>
        <v>4.9619465116343244</v>
      </c>
      <c r="BI277" s="528">
        <f t="shared" si="755"/>
        <v>0.21093356666875004</v>
      </c>
      <c r="BJ277" s="528">
        <f t="shared" si="684"/>
        <v>3.8963029422195407E-2</v>
      </c>
      <c r="BK277">
        <f t="shared" si="685"/>
        <v>6.7800075000669655E-3</v>
      </c>
      <c r="BL277" s="460">
        <f t="shared" si="686"/>
        <v>217.71357416881702</v>
      </c>
      <c r="BM277" s="528">
        <f t="shared" si="756"/>
        <v>29.249524840357694</v>
      </c>
      <c r="BN277" s="460">
        <f t="shared" si="687"/>
        <v>29249.524840357695</v>
      </c>
      <c r="BO277" s="528">
        <f t="shared" si="637"/>
        <v>0.25619999999999998</v>
      </c>
      <c r="BR277" s="460">
        <f t="shared" si="688"/>
        <v>256.2</v>
      </c>
      <c r="BS277" s="528">
        <f t="shared" si="689"/>
        <v>2.2125491212309218</v>
      </c>
      <c r="BT277" s="528">
        <f t="shared" si="690"/>
        <v>1.2300147159575425E-2</v>
      </c>
      <c r="BU277" s="528">
        <f t="shared" si="691"/>
        <v>422.37729010503068</v>
      </c>
      <c r="BV277" s="528"/>
      <c r="BW277" s="528">
        <f t="shared" si="692"/>
        <v>6.2410319869284541</v>
      </c>
      <c r="BX277" s="460">
        <f t="shared" si="693"/>
        <v>430843.17136034963</v>
      </c>
      <c r="BY277" s="173">
        <f t="shared" si="694"/>
        <v>439.26805997054953</v>
      </c>
      <c r="BZ277" s="5">
        <f t="shared" si="695"/>
        <v>62.22</v>
      </c>
      <c r="CA277" s="173">
        <f t="shared" si="696"/>
        <v>0.12407075056513596</v>
      </c>
      <c r="CB277" s="5">
        <f t="shared" si="697"/>
        <v>12.407075056513596</v>
      </c>
      <c r="CE277" s="562">
        <f t="shared" si="757"/>
        <v>-50</v>
      </c>
      <c r="CF277">
        <f t="shared" si="758"/>
        <v>-50</v>
      </c>
      <c r="CG277" s="173">
        <f t="shared" si="759"/>
        <v>0.54900980383403197</v>
      </c>
      <c r="CI277" s="170">
        <v>61</v>
      </c>
      <c r="CJ277" s="217">
        <f t="shared" si="698"/>
        <v>0.36599999999999999</v>
      </c>
      <c r="CK277" s="217"/>
      <c r="CL277" s="217">
        <f t="shared" si="641"/>
        <v>62.22</v>
      </c>
      <c r="CM277" s="541">
        <f t="shared" si="642"/>
        <v>16</v>
      </c>
      <c r="CN277" s="443">
        <f t="shared" si="643"/>
        <v>8.5250000000000004</v>
      </c>
      <c r="CO277" s="443">
        <f t="shared" si="644"/>
        <v>24.524999999999999</v>
      </c>
      <c r="CP277" s="443"/>
      <c r="CQ277" s="217">
        <f t="shared" si="645"/>
        <v>0.34760448521916415</v>
      </c>
      <c r="CR277" s="172">
        <f t="shared" si="646"/>
        <v>188.05866123003739</v>
      </c>
      <c r="CS277" s="172">
        <f t="shared" si="647"/>
        <v>62.22</v>
      </c>
      <c r="CT277" s="217">
        <f t="shared" si="648"/>
        <v>1.1062274190002199</v>
      </c>
      <c r="CU277" s="217">
        <f t="shared" si="649"/>
        <v>170</v>
      </c>
      <c r="CV277" s="217"/>
      <c r="CW277" s="172">
        <f t="shared" si="650"/>
        <v>1137.3355176817809</v>
      </c>
      <c r="CX277" s="172">
        <f t="shared" si="651"/>
        <v>170</v>
      </c>
      <c r="CY277" s="217">
        <f t="shared" si="652"/>
        <v>22.374567448680349</v>
      </c>
      <c r="CZ277" s="217">
        <f t="shared" si="653"/>
        <v>0.6992052327712609</v>
      </c>
      <c r="DA277" s="217">
        <f t="shared" si="654"/>
        <v>1.3122913459636569</v>
      </c>
      <c r="DB277" s="197">
        <f t="shared" si="655"/>
        <v>350</v>
      </c>
      <c r="DC277" s="443">
        <f t="shared" si="656"/>
        <v>350</v>
      </c>
      <c r="DE277" s="217">
        <f t="shared" si="657"/>
        <v>31.780981505752148</v>
      </c>
      <c r="DF277" s="173">
        <f t="shared" si="658"/>
        <v>1.8639871850881022</v>
      </c>
      <c r="DG277" s="173">
        <f t="shared" si="659"/>
        <v>0.51834424474213492</v>
      </c>
      <c r="DH277" s="173"/>
      <c r="DI277" s="173">
        <f t="shared" si="660"/>
        <v>0.78201368523949166</v>
      </c>
      <c r="DJ277" s="545">
        <f t="shared" si="661"/>
        <v>1404.0675000000001</v>
      </c>
      <c r="DK277" s="528">
        <f t="shared" si="662"/>
        <v>9.1234929944607357E-2</v>
      </c>
      <c r="DM277" s="173">
        <f t="shared" si="663"/>
        <v>26.705376665704282</v>
      </c>
      <c r="DN277" s="173">
        <f t="shared" si="664"/>
        <v>26.705376665704282</v>
      </c>
      <c r="DO277" s="173">
        <f t="shared" si="665"/>
        <v>11.105217283237739</v>
      </c>
      <c r="DQ277" s="545">
        <f t="shared" si="666"/>
        <v>366</v>
      </c>
      <c r="DR277" s="460">
        <f t="shared" si="667"/>
        <v>350</v>
      </c>
      <c r="DT277">
        <f t="shared" si="668"/>
        <v>366</v>
      </c>
      <c r="DU277">
        <f t="shared" si="669"/>
        <v>350</v>
      </c>
      <c r="DW277" s="5">
        <f t="shared" si="670"/>
        <v>2.8571428571428572</v>
      </c>
      <c r="DX277" s="5">
        <f t="shared" si="671"/>
        <v>0.83454302080325882</v>
      </c>
      <c r="DY277" s="5">
        <f t="shared" si="672"/>
        <v>2.0225998363395985</v>
      </c>
      <c r="DZ277" s="5"/>
      <c r="EA277" s="173">
        <f t="shared" si="673"/>
        <v>0.29209005728114057</v>
      </c>
      <c r="EB277" s="173">
        <f t="shared" si="699"/>
        <v>62.402999999999984</v>
      </c>
      <c r="EC277" s="173">
        <f t="shared" si="700"/>
        <v>0.47262504164260716</v>
      </c>
      <c r="ED277" s="173">
        <f t="shared" si="701"/>
        <v>132.03489976561232</v>
      </c>
      <c r="EE277" s="460">
        <f t="shared" si="674"/>
        <v>0.17967220330234865</v>
      </c>
      <c r="EF277" s="5">
        <f t="shared" si="675"/>
        <v>12.584616181704982</v>
      </c>
      <c r="EH277" s="173">
        <f t="shared" si="702"/>
        <v>8.3329057058696119</v>
      </c>
      <c r="EI277" s="173">
        <f t="shared" si="703"/>
        <v>0.64863008869231464</v>
      </c>
      <c r="EK277" s="528">
        <f t="shared" si="704"/>
        <v>2.7774927001165737</v>
      </c>
      <c r="EL277" s="528">
        <f t="shared" si="705"/>
        <v>6.3038876162415765</v>
      </c>
      <c r="EM277" s="528">
        <f t="shared" si="706"/>
        <v>6.9999999999999993E-2</v>
      </c>
      <c r="EN277" s="528">
        <f t="shared" si="707"/>
        <v>4.2103293749999993E-2</v>
      </c>
      <c r="EO277">
        <f t="shared" si="708"/>
        <v>7.1999999999999998E-3</v>
      </c>
      <c r="EP277" s="460">
        <f t="shared" si="709"/>
        <v>77.199999999999989</v>
      </c>
      <c r="EQ277" s="460"/>
      <c r="ER277" s="460">
        <f t="shared" si="710"/>
        <v>9200.6836101081481</v>
      </c>
      <c r="ES277" s="528">
        <f t="shared" si="711"/>
        <v>0.25619999999999998</v>
      </c>
      <c r="EV277" s="460">
        <f t="shared" si="712"/>
        <v>256.2</v>
      </c>
      <c r="EW277" s="528">
        <f t="shared" si="713"/>
        <v>2.0831195250874299</v>
      </c>
      <c r="EX277" s="528">
        <f t="shared" si="714"/>
        <v>1.2621629758709998E-2</v>
      </c>
      <c r="EY277" s="528">
        <f t="shared" si="715"/>
        <v>422.31536722853247</v>
      </c>
      <c r="EZ277" s="528"/>
      <c r="FA277" s="528">
        <f t="shared" si="716"/>
        <v>6.2402999999999995</v>
      </c>
      <c r="FB277" s="460">
        <f t="shared" si="717"/>
        <v>430651.40838337864</v>
      </c>
      <c r="FC277" s="173">
        <f t="shared" si="718"/>
        <v>440.10829199348672</v>
      </c>
      <c r="FD277" s="5">
        <f t="shared" si="719"/>
        <v>62.22</v>
      </c>
      <c r="FE277" s="173">
        <f t="shared" si="720"/>
        <v>0.12386322051079449</v>
      </c>
      <c r="FF277" s="5">
        <f t="shared" si="721"/>
        <v>12.386322051079448</v>
      </c>
      <c r="FI277" s="562">
        <f t="shared" si="676"/>
        <v>-50</v>
      </c>
      <c r="FJ277">
        <f t="shared" si="677"/>
        <v>-50</v>
      </c>
      <c r="FL277">
        <f t="shared" si="760"/>
        <v>0.5482042130789736</v>
      </c>
    </row>
    <row r="278" spans="5:168">
      <c r="E278" s="170">
        <v>62</v>
      </c>
      <c r="F278" s="217">
        <f t="shared" si="761"/>
        <v>0.372</v>
      </c>
      <c r="G278" s="217"/>
      <c r="H278" s="217">
        <f t="shared" si="726"/>
        <v>63.24</v>
      </c>
      <c r="I278" s="541">
        <f t="shared" si="727"/>
        <v>15.059064295501546</v>
      </c>
      <c r="J278" s="172">
        <f t="shared" si="728"/>
        <v>8.526008145397677</v>
      </c>
      <c r="K278" s="172">
        <f t="shared" si="729"/>
        <v>23.585072440899225</v>
      </c>
      <c r="L278" s="443"/>
      <c r="M278" s="217">
        <f t="shared" si="730"/>
        <v>0.36150022912527147</v>
      </c>
      <c r="N278" s="172">
        <f t="shared" si="731"/>
        <v>184.07489026728672</v>
      </c>
      <c r="O278" s="172">
        <f t="shared" si="762"/>
        <v>63.24</v>
      </c>
      <c r="P278" s="217">
        <f t="shared" si="732"/>
        <v>1.0827934721605101</v>
      </c>
      <c r="Q278" s="217">
        <f t="shared" si="733"/>
        <v>170</v>
      </c>
      <c r="R278" s="217"/>
      <c r="S278" s="172">
        <f t="shared" si="734"/>
        <v>1048.3408133606865</v>
      </c>
      <c r="T278" s="172">
        <f t="shared" si="735"/>
        <v>170</v>
      </c>
      <c r="U278" s="217">
        <f t="shared" si="736"/>
        <v>23.304628566451594</v>
      </c>
      <c r="V278" s="217">
        <f t="shared" si="737"/>
        <v>0.7737741239810354</v>
      </c>
      <c r="W278" s="217">
        <f t="shared" si="738"/>
        <v>1.3666787650813697</v>
      </c>
      <c r="X278" s="197">
        <f t="shared" si="739"/>
        <v>350</v>
      </c>
      <c r="Y278" s="443">
        <f t="shared" si="680"/>
        <v>350</v>
      </c>
      <c r="AA278" s="217">
        <f t="shared" si="740"/>
        <v>31.107740510080099</v>
      </c>
      <c r="AB278" s="173">
        <f t="shared" si="741"/>
        <v>1.824285174233149</v>
      </c>
      <c r="AC278" s="173">
        <f t="shared" si="742"/>
        <v>0.49655716089377183</v>
      </c>
      <c r="AD278" s="173"/>
      <c r="AE278" s="173">
        <f t="shared" si="743"/>
        <v>0.78192121717187435</v>
      </c>
      <c r="AF278" s="545">
        <f t="shared" si="744"/>
        <v>1427.2537635395709</v>
      </c>
      <c r="AG278" s="528">
        <f t="shared" si="745"/>
        <v>9.1224142003385356E-2</v>
      </c>
      <c r="AI278" s="173">
        <f t="shared" si="746"/>
        <v>26.924975257027221</v>
      </c>
      <c r="AJ278" s="173">
        <f t="shared" si="747"/>
        <v>26.924975257027221</v>
      </c>
      <c r="AK278" s="173">
        <f t="shared" si="748"/>
        <v>11.267882906439915</v>
      </c>
      <c r="AM278" s="545">
        <f t="shared" si="749"/>
        <v>372</v>
      </c>
      <c r="AN278" s="460">
        <f t="shared" si="750"/>
        <v>350</v>
      </c>
      <c r="AP278">
        <f t="shared" si="751"/>
        <v>372</v>
      </c>
      <c r="AQ278">
        <f t="shared" si="752"/>
        <v>350</v>
      </c>
      <c r="AS278" s="5">
        <f t="shared" si="763"/>
        <v>2.8571428571428572</v>
      </c>
      <c r="AT278" s="5">
        <f t="shared" si="753"/>
        <v>0.89397902581072941</v>
      </c>
      <c r="AU278" s="5">
        <f t="shared" si="722"/>
        <v>1.9631638313321278</v>
      </c>
      <c r="AV278" s="5"/>
      <c r="AW278" s="173">
        <f t="shared" si="723"/>
        <v>0.31289265903375529</v>
      </c>
      <c r="AX278" s="173">
        <f t="shared" si="631"/>
        <v>63.433500601758702</v>
      </c>
      <c r="AY278" s="173">
        <f t="shared" si="632"/>
        <v>0.46250870386094761</v>
      </c>
      <c r="AZ278" s="173">
        <f t="shared" si="633"/>
        <v>137.15093374941083</v>
      </c>
      <c r="BA278" s="460">
        <f t="shared" si="724"/>
        <v>0.19562364564799492</v>
      </c>
      <c r="BB278" s="5">
        <f t="shared" si="725"/>
        <v>13.190777674602808</v>
      </c>
      <c r="BD278" s="173">
        <f t="shared" si="681"/>
        <v>8.6954562135807123</v>
      </c>
      <c r="BE278" s="173">
        <f t="shared" si="682"/>
        <v>0.64428346265743786</v>
      </c>
      <c r="BG278" s="528">
        <f t="shared" si="683"/>
        <v>3.0244383504919767</v>
      </c>
      <c r="BH278" s="528">
        <f t="shared" si="754"/>
        <v>5.0008414987629486</v>
      </c>
      <c r="BI278" s="528">
        <f t="shared" si="755"/>
        <v>0.21082690013702166</v>
      </c>
      <c r="BJ278" s="528">
        <f t="shared" si="684"/>
        <v>3.8937894942972485E-2</v>
      </c>
      <c r="BK278">
        <f t="shared" si="685"/>
        <v>6.7765789329756959E-3</v>
      </c>
      <c r="BL278" s="460">
        <f t="shared" si="686"/>
        <v>217.60347906999735</v>
      </c>
      <c r="BM278" s="528">
        <f t="shared" si="756"/>
        <v>31.560138177977421</v>
      </c>
      <c r="BN278" s="460">
        <f t="shared" si="687"/>
        <v>31560.13817797742</v>
      </c>
      <c r="BO278" s="528">
        <f t="shared" si="637"/>
        <v>0.26039999999999996</v>
      </c>
      <c r="BR278" s="460">
        <f t="shared" si="688"/>
        <v>260.39999999999998</v>
      </c>
      <c r="BS278" s="528">
        <f t="shared" si="689"/>
        <v>2.2683287628689826</v>
      </c>
      <c r="BT278" s="528">
        <f t="shared" si="690"/>
        <v>1.2453035407615743E-2</v>
      </c>
      <c r="BU278" s="528">
        <f t="shared" si="691"/>
        <v>431.05074237299442</v>
      </c>
      <c r="BV278" s="528"/>
      <c r="BW278" s="528">
        <f t="shared" si="692"/>
        <v>6.3433500601758714</v>
      </c>
      <c r="BX278" s="460">
        <f t="shared" si="693"/>
        <v>439674.87423144688</v>
      </c>
      <c r="BY278" s="173">
        <f t="shared" si="694"/>
        <v>448.21709545471475</v>
      </c>
      <c r="BZ278" s="5">
        <f t="shared" si="695"/>
        <v>63.24</v>
      </c>
      <c r="CA278" s="173">
        <f t="shared" si="696"/>
        <v>0.12364673510644331</v>
      </c>
      <c r="CB278" s="5">
        <f t="shared" si="697"/>
        <v>12.36467351064433</v>
      </c>
      <c r="CE278" s="562">
        <f t="shared" si="757"/>
        <v>-50</v>
      </c>
      <c r="CF278">
        <f t="shared" si="758"/>
        <v>-50</v>
      </c>
      <c r="CG278" s="173">
        <f t="shared" si="759"/>
        <v>0.55349159088144284</v>
      </c>
      <c r="CI278" s="170">
        <v>62</v>
      </c>
      <c r="CJ278" s="217">
        <f t="shared" si="698"/>
        <v>0.372</v>
      </c>
      <c r="CK278" s="217"/>
      <c r="CL278" s="217">
        <f t="shared" si="641"/>
        <v>63.24</v>
      </c>
      <c r="CM278" s="541">
        <f t="shared" si="642"/>
        <v>16</v>
      </c>
      <c r="CN278" s="443">
        <f t="shared" si="643"/>
        <v>8.5250000000000004</v>
      </c>
      <c r="CO278" s="443">
        <f t="shared" si="644"/>
        <v>24.524999999999999</v>
      </c>
      <c r="CP278" s="443"/>
      <c r="CQ278" s="217">
        <f t="shared" si="645"/>
        <v>0.34760448521916415</v>
      </c>
      <c r="CR278" s="172">
        <f t="shared" si="646"/>
        <v>188.05866123003739</v>
      </c>
      <c r="CS278" s="172">
        <f t="shared" si="647"/>
        <v>63.24</v>
      </c>
      <c r="CT278" s="217">
        <f t="shared" si="648"/>
        <v>1.1062274190002199</v>
      </c>
      <c r="CU278" s="217">
        <f t="shared" si="649"/>
        <v>170</v>
      </c>
      <c r="CV278" s="217"/>
      <c r="CW278" s="172">
        <f t="shared" si="650"/>
        <v>1113.8353396214268</v>
      </c>
      <c r="CX278" s="172">
        <f t="shared" si="651"/>
        <v>170</v>
      </c>
      <c r="CY278" s="217">
        <f t="shared" si="652"/>
        <v>22.741363636363634</v>
      </c>
      <c r="CZ278" s="217">
        <f t="shared" si="653"/>
        <v>0.71066761363636355</v>
      </c>
      <c r="DA278" s="217">
        <f t="shared" si="654"/>
        <v>1.3338043188483069</v>
      </c>
      <c r="DB278" s="197">
        <f t="shared" si="655"/>
        <v>350</v>
      </c>
      <c r="DC278" s="443">
        <f t="shared" si="656"/>
        <v>350</v>
      </c>
      <c r="DE278" s="217">
        <f t="shared" si="657"/>
        <v>31.780981505752148</v>
      </c>
      <c r="DF278" s="173">
        <f t="shared" si="658"/>
        <v>1.8639871850881022</v>
      </c>
      <c r="DG278" s="173">
        <f t="shared" si="659"/>
        <v>0.51834424474213492</v>
      </c>
      <c r="DH278" s="173"/>
      <c r="DI278" s="173">
        <f t="shared" si="660"/>
        <v>0.78201368523949166</v>
      </c>
      <c r="DJ278" s="545">
        <f t="shared" si="661"/>
        <v>1427.085</v>
      </c>
      <c r="DK278" s="528">
        <f t="shared" si="662"/>
        <v>9.1234929944607357E-2</v>
      </c>
      <c r="DM278" s="173">
        <f t="shared" si="663"/>
        <v>26.923383357753746</v>
      </c>
      <c r="DN278" s="173">
        <f t="shared" si="664"/>
        <v>26.923383357753746</v>
      </c>
      <c r="DO278" s="173">
        <f t="shared" si="665"/>
        <v>11.266703721792897</v>
      </c>
      <c r="DQ278" s="545">
        <f t="shared" si="666"/>
        <v>372</v>
      </c>
      <c r="DR278" s="460">
        <f t="shared" si="667"/>
        <v>350</v>
      </c>
      <c r="DT278">
        <f t="shared" si="668"/>
        <v>372</v>
      </c>
      <c r="DU278">
        <f t="shared" si="669"/>
        <v>350</v>
      </c>
      <c r="DW278" s="5">
        <f t="shared" si="670"/>
        <v>2.8571428571428572</v>
      </c>
      <c r="DX278" s="5">
        <f t="shared" si="671"/>
        <v>0.84135572992980445</v>
      </c>
      <c r="DY278" s="5">
        <f t="shared" si="672"/>
        <v>2.015787127213053</v>
      </c>
      <c r="DZ278" s="5"/>
      <c r="EA278" s="173">
        <f t="shared" si="673"/>
        <v>0.29447450547543152</v>
      </c>
      <c r="EB278" s="173">
        <f t="shared" si="699"/>
        <v>63.425999999999995</v>
      </c>
      <c r="EC278" s="173">
        <f t="shared" si="700"/>
        <v>0.47487833394384377</v>
      </c>
      <c r="ED278" s="173">
        <f t="shared" si="701"/>
        <v>133.56263166030305</v>
      </c>
      <c r="EE278" s="460">
        <f t="shared" si="674"/>
        <v>0.18410843031405133</v>
      </c>
      <c r="EF278" s="5">
        <f t="shared" si="675"/>
        <v>12.747837792495348</v>
      </c>
      <c r="EH278" s="173">
        <f t="shared" si="702"/>
        <v>8.4351509392958519</v>
      </c>
      <c r="EI278" s="173">
        <f t="shared" si="703"/>
        <v>0.65282288136628885</v>
      </c>
      <c r="EK278" s="528">
        <f t="shared" si="704"/>
        <v>2.8460708547481479</v>
      </c>
      <c r="EL278" s="528">
        <f t="shared" si="705"/>
        <v>6.3553487771707644</v>
      </c>
      <c r="EM278" s="528">
        <f t="shared" si="706"/>
        <v>6.9999999999999993E-2</v>
      </c>
      <c r="EN278" s="528">
        <f t="shared" si="707"/>
        <v>4.2103293749999993E-2</v>
      </c>
      <c r="EO278">
        <f t="shared" si="708"/>
        <v>7.1999999999999998E-3</v>
      </c>
      <c r="EP278" s="460">
        <f t="shared" si="709"/>
        <v>77.199999999999989</v>
      </c>
      <c r="EQ278" s="460"/>
      <c r="ER278" s="460">
        <f t="shared" si="710"/>
        <v>9320.7229256689116</v>
      </c>
      <c r="ES278" s="528">
        <f t="shared" si="711"/>
        <v>0.26039999999999996</v>
      </c>
      <c r="EV278" s="460">
        <f t="shared" si="712"/>
        <v>260.39999999999998</v>
      </c>
      <c r="EW278" s="528">
        <f t="shared" si="713"/>
        <v>2.1345531410611107</v>
      </c>
      <c r="EX278" s="528">
        <f t="shared" si="714"/>
        <v>1.2785331433061509E-2</v>
      </c>
      <c r="EY278" s="528">
        <f t="shared" si="715"/>
        <v>430.98703210679059</v>
      </c>
      <c r="EZ278" s="528"/>
      <c r="FA278" s="528">
        <f t="shared" si="716"/>
        <v>6.3426</v>
      </c>
      <c r="FB278" s="460">
        <f t="shared" si="717"/>
        <v>439476.97057928477</v>
      </c>
      <c r="FC278" s="173">
        <f t="shared" si="718"/>
        <v>449.05809350495366</v>
      </c>
      <c r="FD278" s="5">
        <f t="shared" si="719"/>
        <v>63.24</v>
      </c>
      <c r="FE278" s="173">
        <f t="shared" si="720"/>
        <v>0.12344375433321519</v>
      </c>
      <c r="FF278" s="5">
        <f t="shared" si="721"/>
        <v>12.34437543332152</v>
      </c>
      <c r="FI278" s="562">
        <f t="shared" si="676"/>
        <v>-50</v>
      </c>
      <c r="FJ278">
        <f t="shared" si="677"/>
        <v>-50</v>
      </c>
      <c r="FL278">
        <f t="shared" si="760"/>
        <v>0.55267942376620582</v>
      </c>
    </row>
    <row r="279" spans="5:168">
      <c r="E279" s="170">
        <v>63</v>
      </c>
      <c r="F279" s="217">
        <f t="shared" si="761"/>
        <v>0.378</v>
      </c>
      <c r="G279" s="217"/>
      <c r="H279" s="217">
        <f t="shared" si="726"/>
        <v>64.260000000000005</v>
      </c>
      <c r="I279" s="541">
        <f t="shared" si="727"/>
        <v>15.051506457586557</v>
      </c>
      <c r="J279" s="172">
        <f t="shared" si="728"/>
        <v>8.5260162430811572</v>
      </c>
      <c r="K279" s="172">
        <f t="shared" si="729"/>
        <v>23.577522700667714</v>
      </c>
      <c r="L279" s="443"/>
      <c r="M279" s="217">
        <f t="shared" si="730"/>
        <v>0.36161632859705561</v>
      </c>
      <c r="N279" s="172">
        <f t="shared" si="731"/>
        <v>184.04159467733353</v>
      </c>
      <c r="O279" s="172">
        <f t="shared" si="762"/>
        <v>64.260000000000005</v>
      </c>
      <c r="P279" s="217">
        <f t="shared" si="732"/>
        <v>1.0825976157490207</v>
      </c>
      <c r="Q279" s="217">
        <f t="shared" si="733"/>
        <v>170</v>
      </c>
      <c r="R279" s="217"/>
      <c r="S279" s="172">
        <f t="shared" si="734"/>
        <v>1026.4097801343491</v>
      </c>
      <c r="T279" s="172">
        <f t="shared" si="735"/>
        <v>170</v>
      </c>
      <c r="U279" s="217">
        <f t="shared" si="736"/>
        <v>23.684816321776403</v>
      </c>
      <c r="V279" s="217">
        <f t="shared" si="737"/>
        <v>0.78679221872300742</v>
      </c>
      <c r="W279" s="217">
        <f t="shared" si="738"/>
        <v>1.3889732113163973</v>
      </c>
      <c r="X279" s="197">
        <f t="shared" si="739"/>
        <v>350</v>
      </c>
      <c r="Y279" s="443">
        <f t="shared" si="680"/>
        <v>350</v>
      </c>
      <c r="AA279" s="217">
        <f t="shared" si="740"/>
        <v>31.102113693974097</v>
      </c>
      <c r="AB279" s="173">
        <f t="shared" si="741"/>
        <v>1.8239534623930251</v>
      </c>
      <c r="AC279" s="173">
        <f t="shared" si="742"/>
        <v>0.49637706964882383</v>
      </c>
      <c r="AD279" s="173"/>
      <c r="AE279" s="173">
        <f t="shared" si="743"/>
        <v>0.78192047453306823</v>
      </c>
      <c r="AF279" s="545">
        <f t="shared" si="744"/>
        <v>1450.2753629481047</v>
      </c>
      <c r="AG279" s="528">
        <f t="shared" si="745"/>
        <v>9.1224055362191303E-2</v>
      </c>
      <c r="AI279" s="173">
        <f t="shared" si="746"/>
        <v>27.141256481640863</v>
      </c>
      <c r="AJ279" s="173">
        <f t="shared" si="747"/>
        <v>27.141256481640863</v>
      </c>
      <c r="AK279" s="173">
        <f t="shared" si="748"/>
        <v>11.42809122096854</v>
      </c>
      <c r="AM279" s="545">
        <f t="shared" si="749"/>
        <v>378</v>
      </c>
      <c r="AN279" s="460">
        <f t="shared" si="750"/>
        <v>350</v>
      </c>
      <c r="AP279">
        <f t="shared" si="751"/>
        <v>378</v>
      </c>
      <c r="AQ279">
        <f t="shared" si="752"/>
        <v>350</v>
      </c>
      <c r="AS279" s="5">
        <f t="shared" si="763"/>
        <v>2.8571428571428572</v>
      </c>
      <c r="AT279" s="5">
        <f t="shared" si="753"/>
        <v>0.90161262456093194</v>
      </c>
      <c r="AU279" s="5">
        <f t="shared" si="722"/>
        <v>1.9555302325819253</v>
      </c>
      <c r="AV279" s="5"/>
      <c r="AW279" s="173">
        <f t="shared" si="723"/>
        <v>0.31556441859632617</v>
      </c>
      <c r="AX279" s="173">
        <f t="shared" si="631"/>
        <v>64.45668279769356</v>
      </c>
      <c r="AY279" s="173">
        <f t="shared" si="632"/>
        <v>0.46441104150095236</v>
      </c>
      <c r="AZ279" s="173">
        <f t="shared" si="633"/>
        <v>138.79231335536923</v>
      </c>
      <c r="BA279" s="460">
        <f t="shared" si="724"/>
        <v>0.20047621887296016</v>
      </c>
      <c r="BB279" s="5">
        <f t="shared" si="725"/>
        <v>13.358117804334537</v>
      </c>
      <c r="BD279" s="173">
        <f t="shared" si="681"/>
        <v>8.80264800672464</v>
      </c>
      <c r="BE279" s="173">
        <f t="shared" si="682"/>
        <v>0.64819490870887764</v>
      </c>
      <c r="BG279" s="528">
        <f t="shared" si="683"/>
        <v>3.0994644772117312</v>
      </c>
      <c r="BH279" s="528">
        <f t="shared" si="754"/>
        <v>5.0393982777116912</v>
      </c>
      <c r="BI279" s="528">
        <f t="shared" si="755"/>
        <v>0.21072109040621181</v>
      </c>
      <c r="BJ279" s="528">
        <f t="shared" si="684"/>
        <v>3.8912970369035092E-2</v>
      </c>
      <c r="BK279">
        <f t="shared" si="685"/>
        <v>6.7731779059139506E-3</v>
      </c>
      <c r="BL279" s="460">
        <f t="shared" si="686"/>
        <v>217.49426831212577</v>
      </c>
      <c r="BM279" s="528">
        <f t="shared" si="756"/>
        <v>34.202396044377366</v>
      </c>
      <c r="BN279" s="460">
        <f t="shared" si="687"/>
        <v>34202.396044377369</v>
      </c>
      <c r="BO279" s="528">
        <f t="shared" si="637"/>
        <v>0.2646</v>
      </c>
      <c r="BR279" s="460">
        <f t="shared" si="688"/>
        <v>264.60000000000002</v>
      </c>
      <c r="BS279" s="528">
        <f t="shared" si="689"/>
        <v>2.3245983579087981</v>
      </c>
      <c r="BT279" s="528">
        <f t="shared" si="690"/>
        <v>1.2604699190283307E-2</v>
      </c>
      <c r="BU279" s="528">
        <f t="shared" si="691"/>
        <v>439.75925470906225</v>
      </c>
      <c r="BV279" s="528"/>
      <c r="BW279" s="528">
        <f t="shared" si="692"/>
        <v>6.4456682797693565</v>
      </c>
      <c r="BX279" s="460">
        <f t="shared" si="693"/>
        <v>448542.12604593066</v>
      </c>
      <c r="BY279" s="173">
        <f t="shared" si="694"/>
        <v>457.20199603953523</v>
      </c>
      <c r="BZ279" s="5">
        <f t="shared" si="695"/>
        <v>64.260000000000005</v>
      </c>
      <c r="CA279" s="173">
        <f t="shared" si="696"/>
        <v>0.12323045684642386</v>
      </c>
      <c r="CB279" s="5">
        <f t="shared" si="697"/>
        <v>12.323045684642386</v>
      </c>
      <c r="CE279" s="562">
        <f t="shared" si="757"/>
        <v>-50</v>
      </c>
      <c r="CF279">
        <f t="shared" si="758"/>
        <v>-50</v>
      </c>
      <c r="CG279" s="173">
        <f t="shared" si="759"/>
        <v>0.55793737789025999</v>
      </c>
      <c r="CI279" s="170">
        <v>63</v>
      </c>
      <c r="CJ279" s="217">
        <f t="shared" si="698"/>
        <v>0.378</v>
      </c>
      <c r="CK279" s="217"/>
      <c r="CL279" s="217">
        <f t="shared" si="641"/>
        <v>64.260000000000005</v>
      </c>
      <c r="CM279" s="541">
        <f t="shared" si="642"/>
        <v>16</v>
      </c>
      <c r="CN279" s="443">
        <f t="shared" si="643"/>
        <v>8.5250000000000004</v>
      </c>
      <c r="CO279" s="443">
        <f t="shared" si="644"/>
        <v>24.524999999999999</v>
      </c>
      <c r="CP279" s="443"/>
      <c r="CQ279" s="217">
        <f t="shared" si="645"/>
        <v>0.34760448521916415</v>
      </c>
      <c r="CR279" s="172">
        <f t="shared" si="646"/>
        <v>188.05866123003739</v>
      </c>
      <c r="CS279" s="172">
        <f t="shared" si="647"/>
        <v>64.260000000000005</v>
      </c>
      <c r="CT279" s="217">
        <f t="shared" si="648"/>
        <v>1.1062274190002199</v>
      </c>
      <c r="CU279" s="217">
        <f t="shared" si="649"/>
        <v>170</v>
      </c>
      <c r="CV279" s="217"/>
      <c r="CW279" s="172">
        <f t="shared" si="650"/>
        <v>1091.0813206128528</v>
      </c>
      <c r="CX279" s="172">
        <f t="shared" si="651"/>
        <v>170</v>
      </c>
      <c r="CY279" s="217">
        <f t="shared" si="652"/>
        <v>23.108159824046922</v>
      </c>
      <c r="CZ279" s="217">
        <f t="shared" si="653"/>
        <v>0.72212999450146631</v>
      </c>
      <c r="DA279" s="217">
        <f t="shared" si="654"/>
        <v>1.3553172917329572</v>
      </c>
      <c r="DB279" s="197">
        <f t="shared" si="655"/>
        <v>350</v>
      </c>
      <c r="DC279" s="443">
        <f t="shared" si="656"/>
        <v>350</v>
      </c>
      <c r="DE279" s="217">
        <f t="shared" si="657"/>
        <v>31.780981505752148</v>
      </c>
      <c r="DF279" s="173">
        <f t="shared" si="658"/>
        <v>1.8639871850881022</v>
      </c>
      <c r="DG279" s="173">
        <f t="shared" si="659"/>
        <v>0.51834424474213492</v>
      </c>
      <c r="DH279" s="173"/>
      <c r="DI279" s="173">
        <f t="shared" si="660"/>
        <v>0.78201368523949166</v>
      </c>
      <c r="DJ279" s="545">
        <f t="shared" si="661"/>
        <v>1450.1025</v>
      </c>
      <c r="DK279" s="528">
        <f t="shared" si="662"/>
        <v>9.1234929944607357E-2</v>
      </c>
      <c r="DM279" s="173">
        <f t="shared" si="663"/>
        <v>27.139638906956741</v>
      </c>
      <c r="DN279" s="173">
        <f t="shared" si="664"/>
        <v>27.139638906956741</v>
      </c>
      <c r="DO279" s="173">
        <f t="shared" si="665"/>
        <v>11.426893017498818</v>
      </c>
      <c r="DQ279" s="545">
        <f t="shared" si="666"/>
        <v>378</v>
      </c>
      <c r="DR279" s="460">
        <f t="shared" si="667"/>
        <v>350</v>
      </c>
      <c r="DT279">
        <f t="shared" si="668"/>
        <v>378</v>
      </c>
      <c r="DU279">
        <f t="shared" si="669"/>
        <v>350</v>
      </c>
      <c r="DW279" s="5">
        <f t="shared" si="670"/>
        <v>2.8571428571428572</v>
      </c>
      <c r="DX279" s="5">
        <f t="shared" si="671"/>
        <v>0.84811371584239803</v>
      </c>
      <c r="DY279" s="5">
        <f t="shared" si="672"/>
        <v>2.0090291413004593</v>
      </c>
      <c r="DZ279" s="5"/>
      <c r="EA279" s="173">
        <f t="shared" si="673"/>
        <v>0.29683980054483933</v>
      </c>
      <c r="EB279" s="173">
        <f t="shared" si="699"/>
        <v>64.449000000000012</v>
      </c>
      <c r="EC279" s="173">
        <f t="shared" si="700"/>
        <v>0.47708784767391849</v>
      </c>
      <c r="ED279" s="173">
        <f t="shared" si="701"/>
        <v>135.0883287307075</v>
      </c>
      <c r="EE279" s="460">
        <f t="shared" si="674"/>
        <v>0.18858057916966259</v>
      </c>
      <c r="EF279" s="5">
        <f t="shared" si="675"/>
        <v>12.910021261996752</v>
      </c>
      <c r="EH279" s="173">
        <f t="shared" si="702"/>
        <v>8.5369847036157296</v>
      </c>
      <c r="EI279" s="173">
        <f t="shared" si="703"/>
        <v>0.65696250305902359</v>
      </c>
      <c r="EK279" s="528">
        <f t="shared" si="704"/>
        <v>2.9152043131907579</v>
      </c>
      <c r="EL279" s="528">
        <f t="shared" si="705"/>
        <v>6.4063965753587233</v>
      </c>
      <c r="EM279" s="528">
        <f t="shared" si="706"/>
        <v>6.9999999999999993E-2</v>
      </c>
      <c r="EN279" s="528">
        <f t="shared" si="707"/>
        <v>4.2103293749999993E-2</v>
      </c>
      <c r="EO279">
        <f t="shared" si="708"/>
        <v>7.1999999999999998E-3</v>
      </c>
      <c r="EP279" s="460">
        <f t="shared" si="709"/>
        <v>77.199999999999989</v>
      </c>
      <c r="EQ279" s="460"/>
      <c r="ER279" s="460">
        <f t="shared" si="710"/>
        <v>9440.9041822994805</v>
      </c>
      <c r="ES279" s="528">
        <f t="shared" si="711"/>
        <v>0.2646</v>
      </c>
      <c r="EV279" s="460">
        <f t="shared" si="712"/>
        <v>264.60000000000002</v>
      </c>
      <c r="EW279" s="528">
        <f t="shared" si="713"/>
        <v>2.1864032348930684</v>
      </c>
      <c r="EX279" s="528">
        <f t="shared" si="714"/>
        <v>1.2947991912767328E-2</v>
      </c>
      <c r="EY279" s="528">
        <f t="shared" si="715"/>
        <v>439.69373529932676</v>
      </c>
      <c r="EZ279" s="528"/>
      <c r="FA279" s="528">
        <f t="shared" si="716"/>
        <v>6.4449000000000014</v>
      </c>
      <c r="FB279" s="460">
        <f t="shared" si="717"/>
        <v>448337.98652613262</v>
      </c>
      <c r="FC279" s="173">
        <f t="shared" si="718"/>
        <v>458.0434907084321</v>
      </c>
      <c r="FD279" s="5">
        <f t="shared" si="719"/>
        <v>64.260000000000005</v>
      </c>
      <c r="FE279" s="173">
        <f t="shared" si="720"/>
        <v>0.12303191754058591</v>
      </c>
      <c r="FF279" s="5">
        <f t="shared" si="721"/>
        <v>12.303191754058592</v>
      </c>
      <c r="FI279" s="562">
        <f t="shared" si="676"/>
        <v>-50</v>
      </c>
      <c r="FJ279">
        <f t="shared" si="677"/>
        <v>-50</v>
      </c>
      <c r="FL279">
        <f t="shared" si="760"/>
        <v>0.55711868723958113</v>
      </c>
    </row>
    <row r="280" spans="5:168">
      <c r="E280" s="170">
        <v>64</v>
      </c>
      <c r="F280" s="217">
        <f t="shared" si="761"/>
        <v>0.38400000000000001</v>
      </c>
      <c r="G280" s="217"/>
      <c r="H280" s="217">
        <f t="shared" ref="H280:H311" si="764">F280*Vout</f>
        <v>65.28</v>
      </c>
      <c r="I280" s="541">
        <f t="shared" ref="I280:I316" si="765">VIN_max-F280*(Rdcr_pri+RON/1000)/CG280/Nps</f>
        <v>15.044008368237462</v>
      </c>
      <c r="J280" s="172">
        <f t="shared" ref="J280:J316" si="766">(T280+Vfwd1+F280/CG280*Rdcr_sec)*Nps</f>
        <v>8.5260242767483163</v>
      </c>
      <c r="K280" s="172">
        <f t="shared" ref="K280:K316" si="767">(Vout+Vfwd1+F280/CG280*Rdcr_sec)*Nps+I280</f>
        <v>23.57003264498578</v>
      </c>
      <c r="L280" s="443"/>
      <c r="M280" s="217">
        <f t="shared" ref="M280:M316" si="768">(Vout+Vfwd1+F280/FL280*Rdcr_sec)*Nps/((Vout+Vfwd1+F280/FL280*Rdcr_sec)*Nps+I280)</f>
        <v>0.3617315837393692</v>
      </c>
      <c r="N280" s="172">
        <f t="shared" ref="N280:N311" si="769">M280*I280*(Isw_max+VIN_max/Lmag*ILIM_delay)*0.5*Efficiency</f>
        <v>184.00854105465416</v>
      </c>
      <c r="O280" s="172">
        <f t="shared" si="762"/>
        <v>65.28</v>
      </c>
      <c r="P280" s="217">
        <f t="shared" ref="P280:P311" si="770">N280/Vout</f>
        <v>1.0824031826744362</v>
      </c>
      <c r="Q280" s="217">
        <f t="shared" ref="Q280:Q316" si="771">MIN(Vout,N280/F280)</f>
        <v>170</v>
      </c>
      <c r="R280" s="217"/>
      <c r="S280" s="172">
        <f t="shared" ref="S280:S316" si="772">(SQRT(Isw_max^2*Nps^2*I280^2+4*Isw_max*F280/Efficiency*(Nps^2*Vfwd1*I280-Nps*I280^2)+4*(F280/Efficiency)^2*Nps^2*Vfwd1^2+8*(F280/Efficiency)^2*Nps*Vfwd1*I280+4*(F280/Efficiency)^2*I280^2)-2*F280/Efficiency*I280-2*F280/Efficiency*Nps*Vfwd1+Isw_max*Nps*I280)/(4*F280/Efficiency*Nps)</f>
        <v>1005.1729282845766</v>
      </c>
      <c r="T280" s="172">
        <f t="shared" ref="T280:T311" si="773">MIN(Vout, S280)</f>
        <v>170</v>
      </c>
      <c r="U280" s="217">
        <f t="shared" ref="U280:U316" si="774">MIN(2*(Vout+Vfwd1+F280/FL280*Rdcr_sec)*F280/(I280*M280), Isw_max)</f>
        <v>24.065110553312877</v>
      </c>
      <c r="V280" s="217">
        <f t="shared" ref="V280:V311" si="775">L*U280/I280*1000000</f>
        <v>0.79982375588549071</v>
      </c>
      <c r="W280" s="217">
        <f t="shared" ref="W280:W316" si="776">L*U280/J280*1000000</f>
        <v>1.4112738699877891</v>
      </c>
      <c r="X280" s="197">
        <f t="shared" ref="X280:X316" si="777">IF(1/((350000*L)*(1/I280+1/J280))&gt;Isw_min, 350, 0.001/((Isw_min*L)*(1/I280+1/J280)))</f>
        <v>350</v>
      </c>
      <c r="Y280" s="443">
        <f t="shared" si="680"/>
        <v>350</v>
      </c>
      <c r="AA280" s="217">
        <f t="shared" ref="AA280:AA316" si="778">1/((X280*1000*L)*(1/I280+1/J280))</f>
        <v>31.096527769367533</v>
      </c>
      <c r="AB280" s="173">
        <f t="shared" ref="AB280:AB311" si="779">L*AA280/J280*1000000</f>
        <v>1.8236241629156624</v>
      </c>
      <c r="AC280" s="173">
        <f t="shared" ref="AC280:AC311" si="780">0.5*AB280*AA280*Nps*X280/1000</f>
        <v>0.49619831995121955</v>
      </c>
      <c r="AD280" s="173"/>
      <c r="AE280" s="173">
        <f t="shared" ref="AE280:AE316" si="781">L*Isw_min/J280*1000000</f>
        <v>0.78191973776659496</v>
      </c>
      <c r="AF280" s="545">
        <f t="shared" ref="AF280:AF311" si="782">MAX(12000,F280/(0.5*AE280/1000000*Isw_min*Nps))/1000</f>
        <v>1473.2969950221091</v>
      </c>
      <c r="AG280" s="528">
        <f t="shared" ref="AG280:AG316" si="783">0.5*AE280/1000000*Isw_min*Nps*X280*1000</f>
        <v>9.1223969406102765E-2</v>
      </c>
      <c r="AI280" s="173">
        <f t="shared" ref="AI280:AI316" si="784">SQRT(F280/(0.5*L/J280*Fsw_DCM*Nps))</f>
        <v>27.355828095761986</v>
      </c>
      <c r="AJ280" s="173">
        <f t="shared" ref="AJ280:AJ311" si="785">MAX(IF(F280&gt;AC280,U280,AI280),Isw_min)</f>
        <v>27.355828095761986</v>
      </c>
      <c r="AK280" s="173">
        <f t="shared" ref="AK280:AK311" si="786">IF(F280&gt;AG280, (AJ280-Isw_min)/1.08*0.8+1.2, AF280*0.2/350+1)</f>
        <v>11.587033157354556</v>
      </c>
      <c r="AM280" s="545">
        <f t="shared" ref="AM280:AM316" si="787">F280*1000</f>
        <v>384</v>
      </c>
      <c r="AN280" s="460">
        <f t="shared" ref="AN280:AN316" si="788">IF(F280&gt;AG280, Y280, AF280)</f>
        <v>350</v>
      </c>
      <c r="AP280">
        <f t="shared" ref="AP280:AP316" si="789">IF(H280&gt;N280, "",AM280)</f>
        <v>384</v>
      </c>
      <c r="AQ280">
        <f t="shared" ref="AQ280:AQ316" si="790">IF(H280&gt;N280, "",AN280)</f>
        <v>350</v>
      </c>
      <c r="AS280" s="5">
        <f t="shared" si="763"/>
        <v>2.8571428571428572</v>
      </c>
      <c r="AT280" s="5">
        <f t="shared" ref="AT280:AT316" si="791">L*AJ280/I280*1000000</f>
        <v>0.90919346181429173</v>
      </c>
      <c r="AU280" s="5">
        <f t="shared" si="722"/>
        <v>1.9479493953285654</v>
      </c>
      <c r="AV280" s="5"/>
      <c r="AW280" s="173">
        <f t="shared" si="723"/>
        <v>0.31821771163500212</v>
      </c>
      <c r="AX280" s="173">
        <f t="shared" ref="AX280:AX316" si="792">0.5*L*AJ280^2*AN280*1000</f>
        <v>65.479866445427064</v>
      </c>
      <c r="AY280" s="173">
        <f t="shared" ref="AY280:AY316" si="793">AJ280*Nps/2*(1-AW280)</f>
        <v>0.46626797698120276</v>
      </c>
      <c r="AZ280" s="173">
        <f t="shared" ref="AZ280:AZ316" si="794">AX280/AY280</f>
        <v>140.43397719347738</v>
      </c>
      <c r="BA280" s="460">
        <f t="shared" si="724"/>
        <v>0.2053707584333459</v>
      </c>
      <c r="BB280" s="5">
        <f t="shared" si="725"/>
        <v>13.524282456053635</v>
      </c>
      <c r="BD280" s="173">
        <f t="shared" si="681"/>
        <v>8.9094606236034526</v>
      </c>
      <c r="BE280" s="173">
        <f t="shared" si="682"/>
        <v>0.65205180328090739</v>
      </c>
      <c r="BG280" s="528">
        <f t="shared" si="683"/>
        <v>3.1751395441416168</v>
      </c>
      <c r="BH280" s="528">
        <f t="shared" ref="BH280:BH316" si="795">0.5*K280*AJ280*AN280*1000*Tfall</f>
        <v>5.0776248698258666</v>
      </c>
      <c r="BI280" s="528">
        <f t="shared" ref="BI280:BI316" si="796">Qg*Vdd*AN280*1000*0+Qg*I280*AN280*1000</f>
        <v>0.21061611715532447</v>
      </c>
      <c r="BJ280" s="528">
        <f t="shared" si="684"/>
        <v>3.8888250721998675E-2</v>
      </c>
      <c r="BK280">
        <f t="shared" si="685"/>
        <v>6.7698037657068577E-3</v>
      </c>
      <c r="BL280" s="460">
        <f t="shared" si="686"/>
        <v>217.38592092103133</v>
      </c>
      <c r="BM280" s="528">
        <f t="shared" ref="BM280:BM316" si="797">(BH280+BI280*0+BJ280+BK280*0+BG280*(1+RdsonTC*(Ta-25)))/(1-BG280*RdsonTC*ThetaJA)</f>
        <v>37.253381251914512</v>
      </c>
      <c r="BN280" s="460">
        <f t="shared" si="687"/>
        <v>37253.381251914514</v>
      </c>
      <c r="BO280" s="528">
        <f t="shared" ref="BO280:BO316" si="798">Vfwd2*F280</f>
        <v>0.26879999999999998</v>
      </c>
      <c r="BR280" s="460">
        <f t="shared" si="688"/>
        <v>268.8</v>
      </c>
      <c r="BS280" s="528">
        <f t="shared" si="689"/>
        <v>2.3813546581062126</v>
      </c>
      <c r="BT280" s="528">
        <f t="shared" si="690"/>
        <v>1.2755146624856495E-2</v>
      </c>
      <c r="BU280" s="528">
        <f t="shared" si="691"/>
        <v>448.50240903942421</v>
      </c>
      <c r="BV280" s="528"/>
      <c r="BW280" s="528">
        <f t="shared" si="692"/>
        <v>6.547986644542708</v>
      </c>
      <c r="BX280" s="460">
        <f t="shared" si="693"/>
        <v>457444.50548869796</v>
      </c>
      <c r="BY280" s="173">
        <f t="shared" si="694"/>
        <v>466.22234407430852</v>
      </c>
      <c r="BZ280" s="5">
        <f t="shared" si="695"/>
        <v>65.28</v>
      </c>
      <c r="CA280" s="173">
        <f t="shared" si="696"/>
        <v>0.12282165963669447</v>
      </c>
      <c r="CB280" s="5">
        <f t="shared" si="697"/>
        <v>12.282165963669447</v>
      </c>
      <c r="CE280" s="562">
        <f t="shared" ref="CE280:CE316" si="799">IF(ABS(F280-Ioutmax_Vinmax)&lt;Iout/200, AN280, -50)</f>
        <v>-50</v>
      </c>
      <c r="CF280">
        <f t="shared" ref="CF280:CF316" si="800">IF(ABS(F280-Ioutmax_Vinmin)&lt;Iout/200, N280*CA280, -50)</f>
        <v>-50</v>
      </c>
      <c r="CG280" s="173">
        <f t="shared" ref="CG280:CG316" si="801">MIN(SQRT(2*DU280*1000*Ls1_*CL280)/CU280,1-EA280-0.00000005*DU280*1000)</f>
        <v>0.56234801868384587</v>
      </c>
      <c r="CI280" s="170">
        <v>64</v>
      </c>
      <c r="CJ280" s="217">
        <f t="shared" si="698"/>
        <v>0.38400000000000001</v>
      </c>
      <c r="CK280" s="217"/>
      <c r="CL280" s="217">
        <f t="shared" ref="CL280:CL316" si="802">CJ280*Vout</f>
        <v>65.28</v>
      </c>
      <c r="CM280" s="541">
        <f t="shared" ref="CM280:CM316" si="803">VIN_max</f>
        <v>16</v>
      </c>
      <c r="CN280" s="443">
        <f t="shared" ref="CN280:CN316" si="804">(CX280+Vfwd1)*Nps</f>
        <v>8.5250000000000004</v>
      </c>
      <c r="CO280" s="443">
        <f t="shared" ref="CO280:CO316" si="805">(Vout+Vfwd1)*Nps+CM280</f>
        <v>24.524999999999999</v>
      </c>
      <c r="CP280" s="443"/>
      <c r="CQ280" s="217">
        <f t="shared" ref="CQ280:CQ316" si="806">(Vout+Vfwd1)*Nps/((Vout+Vfwd1)*Nps+CM280)</f>
        <v>0.34760448521916415</v>
      </c>
      <c r="CR280" s="172">
        <f t="shared" ref="CR280:CR316" si="807">CQ280*CM280*(Isw_max+VIN_max/Lmag*ILIM_delay)*0.5*Efficiency</f>
        <v>188.05866123003739</v>
      </c>
      <c r="CS280" s="172">
        <f t="shared" ref="CS280:CS316" si="808">CX280*CJ280</f>
        <v>65.28</v>
      </c>
      <c r="CT280" s="217">
        <f t="shared" ref="CT280:CT316" si="809">CR280/Vout</f>
        <v>1.1062274190002199</v>
      </c>
      <c r="CU280" s="217">
        <f t="shared" ref="CU280:CU316" si="810">MIN(Vout,CR280/CJ280)</f>
        <v>170</v>
      </c>
      <c r="CV280" s="217"/>
      <c r="CW280" s="172">
        <f t="shared" ref="CW280:CW316" si="811">(SQRT(Isw_max^2*Nps^2*CM280^2+4*Isw_max*CJ280/Efficiency*(Nps^2*Vfwd1*CM280-Nps*CM280^2)+4*(CJ280/Efficiency)^2*Nps^2*Vfwd1^2+8*(CJ280/Efficiency)^2*Nps*Vfwd1*CM280+4*(CJ280/Efficiency)^2*CM280^2)-2*CJ280/Efficiency*CM280-2*CJ280/Efficiency*Nps*Vfwd1+Isw_max*Nps*CM280)/(4*CJ280/Efficiency*Nps)</f>
        <v>1069.0384861236553</v>
      </c>
      <c r="CX280" s="172">
        <f t="shared" ref="CX280:CX316" si="812">MIN(Vout, CW280)</f>
        <v>170</v>
      </c>
      <c r="CY280" s="217">
        <f t="shared" ref="CY280:CY316" si="813">MIN(2*Vout*CJ280/(Efficiency*CM280*CQ280), Isw_max)</f>
        <v>23.474956011730203</v>
      </c>
      <c r="CZ280" s="217">
        <f t="shared" ref="CZ280:CZ316" si="814">L*CY280/CM280*1000000</f>
        <v>0.73359237536656874</v>
      </c>
      <c r="DA280" s="217">
        <f t="shared" ref="DA280:DA316" si="815">L*CY280/CN280*1000000</f>
        <v>1.3768302646176072</v>
      </c>
      <c r="DB280" s="197">
        <f t="shared" ref="DB280:DB316" si="816">IF(1/((350000*L)*(1/CM280+1/CN280))&gt;Isw_min, 350, 0.001/((Isw_min*L)*(1/CM280+1/CN280)))</f>
        <v>350</v>
      </c>
      <c r="DC280" s="443">
        <f t="shared" ref="DC280:DC316" si="817">MIN(1/(CZ280+DA280)*1000, 350)</f>
        <v>350</v>
      </c>
      <c r="DE280" s="217">
        <f t="shared" ref="DE280:DE316" si="818">1/((DB280*1000*L)*(1/CM280+1/CN280))</f>
        <v>31.780981505752148</v>
      </c>
      <c r="DF280" s="173">
        <f t="shared" ref="DF280:DF316" si="819">L*DE280/CN280*1000000</f>
        <v>1.8639871850881022</v>
      </c>
      <c r="DG280" s="173">
        <f t="shared" ref="DG280:DG316" si="820">0.5*DF280*DE280*Nps*DB280/1000</f>
        <v>0.51834424474213492</v>
      </c>
      <c r="DH280" s="173"/>
      <c r="DI280" s="173">
        <f t="shared" ref="DI280:DI316" si="821">L*Isw_min/CN280*1000000</f>
        <v>0.78201368523949166</v>
      </c>
      <c r="DJ280" s="545">
        <f t="shared" ref="DJ280:DJ316" si="822">MAX(12000,CJ280/(0.5*DI280/1000000*Isw_min*Nps))/1000</f>
        <v>1473.12</v>
      </c>
      <c r="DK280" s="528">
        <f t="shared" ref="DK280:DK316" si="823">0.5*DI280/1000000*Isw_min*Nps*DB280*1000</f>
        <v>9.1234929944607357E-2</v>
      </c>
      <c r="DM280" s="173">
        <f t="shared" ref="DM280:DM316" si="824">SQRT(CJ280/(0.5*L/CN280*Fsw_DCM*Nps))</f>
        <v>27.354184845676329</v>
      </c>
      <c r="DN280" s="173">
        <f t="shared" ref="DN280:DN316" si="825">MAX(IF(CJ280&gt;DG280,CY280,DM280),Isw_min)</f>
        <v>27.354184845676329</v>
      </c>
      <c r="DO280" s="173">
        <f t="shared" ref="DO280:DO316" si="826">IF(CJ280&gt;DK280, (DN280-Isw_min)/1.08*0.8+1.2, DJ280*0.2/350+1)</f>
        <v>11.585815935068885</v>
      </c>
      <c r="DQ280" s="545">
        <f t="shared" ref="DQ280:DQ316" si="827">CJ280*1000</f>
        <v>384</v>
      </c>
      <c r="DR280" s="460">
        <f t="shared" ref="DR280:DR316" si="828">IF(CJ280&gt;DK280, DC280, DJ280)</f>
        <v>350</v>
      </c>
      <c r="DT280">
        <f t="shared" ref="DT280:DT316" si="829">IF(CL280&gt;CR280, "",DQ280)</f>
        <v>384</v>
      </c>
      <c r="DU280">
        <f t="shared" ref="DU280:DU316" si="830">IF(CL280&gt;CR280, "",DR280)</f>
        <v>350</v>
      </c>
      <c r="DW280" s="5">
        <f t="shared" si="670"/>
        <v>2.8571428571428572</v>
      </c>
      <c r="DX280" s="5">
        <f t="shared" ref="DX280:DX316" si="831">L*DN280/CM280*1000000</f>
        <v>0.85481827642738528</v>
      </c>
      <c r="DY280" s="5">
        <f t="shared" ref="DY280:DY316" si="832">DW280-DX280</f>
        <v>2.0023245807154719</v>
      </c>
      <c r="DZ280" s="5"/>
      <c r="EA280" s="173">
        <f t="shared" ref="EA280:EA316" si="833">DX280/DW280</f>
        <v>0.29918639674958486</v>
      </c>
      <c r="EB280" s="173">
        <f t="shared" si="699"/>
        <v>65.471999999999994</v>
      </c>
      <c r="EC280" s="173">
        <f t="shared" si="700"/>
        <v>0.47925462114190825</v>
      </c>
      <c r="ED280" s="173">
        <f t="shared" si="701"/>
        <v>136.61214125385263</v>
      </c>
      <c r="EE280" s="460">
        <f t="shared" ref="EE280:EE316" si="834">CJ280*DX280/Vout_ripple*1000</f>
        <v>0.19308836361653881</v>
      </c>
      <c r="EF280" s="5">
        <f t="shared" ref="EF280:EF316" si="835">CL280/Efficiency/CM280*DY280/Vinripple1</f>
        <v>13.071174862910601</v>
      </c>
      <c r="EH280" s="173">
        <f t="shared" si="702"/>
        <v>8.6384151474101447</v>
      </c>
      <c r="EI280" s="173">
        <f t="shared" si="703"/>
        <v>0.66105016186016063</v>
      </c>
      <c r="EK280" s="528">
        <f t="shared" si="704"/>
        <v>2.984888650360201</v>
      </c>
      <c r="EL280" s="528">
        <f t="shared" si="705"/>
        <v>6.4570408146495391</v>
      </c>
      <c r="EM280" s="528">
        <f t="shared" si="706"/>
        <v>6.9999999999999993E-2</v>
      </c>
      <c r="EN280" s="528">
        <f t="shared" si="707"/>
        <v>4.2103293749999993E-2</v>
      </c>
      <c r="EO280">
        <f t="shared" si="708"/>
        <v>7.1999999999999998E-3</v>
      </c>
      <c r="EP280" s="460">
        <f t="shared" si="709"/>
        <v>77.199999999999989</v>
      </c>
      <c r="EQ280" s="460"/>
      <c r="ER280" s="460">
        <f t="shared" si="710"/>
        <v>9561.2327587597374</v>
      </c>
      <c r="ES280" s="528">
        <f t="shared" si="711"/>
        <v>0.26879999999999998</v>
      </c>
      <c r="EV280" s="460">
        <f t="shared" si="712"/>
        <v>268.8</v>
      </c>
      <c r="EW280" s="528">
        <f t="shared" si="713"/>
        <v>2.2386664877701508</v>
      </c>
      <c r="EX280" s="528">
        <f t="shared" si="714"/>
        <v>1.3109619494860336E-2</v>
      </c>
      <c r="EY280" s="528">
        <f t="shared" si="715"/>
        <v>448.4350588191752</v>
      </c>
      <c r="EZ280" s="528"/>
      <c r="FA280" s="528">
        <f t="shared" si="716"/>
        <v>6.5471999999999992</v>
      </c>
      <c r="FB280" s="460">
        <f t="shared" si="717"/>
        <v>457234.03492644016</v>
      </c>
      <c r="FC280" s="173">
        <f t="shared" si="718"/>
        <v>467.06406768519992</v>
      </c>
      <c r="FD280" s="5">
        <f t="shared" si="719"/>
        <v>65.28</v>
      </c>
      <c r="FE280" s="173">
        <f t="shared" si="720"/>
        <v>0.12262745837266123</v>
      </c>
      <c r="FF280" s="5">
        <f t="shared" si="721"/>
        <v>12.262745837266124</v>
      </c>
      <c r="FI280" s="562">
        <f t="shared" ref="FI280:FI316" si="836">IF(ABS(CJ280-Ioutmax_Vinmax)&lt;Iout/200, DR280, -50)</f>
        <v>-50</v>
      </c>
      <c r="FJ280">
        <f t="shared" ref="FJ280:FJ316" si="837">IF(ABS(CJ280-Ioutmax_Vinmin)&lt;Iout/200, CR280*FE280, -50)</f>
        <v>-50</v>
      </c>
      <c r="FL280">
        <f t="shared" ref="FL280:FL316" si="838">MIN(SQRT(2*L*DR280*1000*CJ280*(CX280+Vfwd1))/(Nps*(CX280+Vfwd1)), 1-EA280)</f>
        <v>0.56152285606960206</v>
      </c>
    </row>
    <row r="281" spans="5:168">
      <c r="E281" s="170">
        <v>65</v>
      </c>
      <c r="F281" s="217">
        <f t="shared" ref="F281:F312" si="839">IF(PLOT_TYPE=1, E281/100*Iout_max, min_I*EXP(N281*rr/100))</f>
        <v>0.39</v>
      </c>
      <c r="G281" s="217"/>
      <c r="H281" s="217">
        <f t="shared" si="764"/>
        <v>66.3</v>
      </c>
      <c r="I281" s="541">
        <f t="shared" si="765"/>
        <v>15.036568632439238</v>
      </c>
      <c r="J281" s="172">
        <f t="shared" si="766"/>
        <v>8.5260322478938146</v>
      </c>
      <c r="K281" s="172">
        <f t="shared" si="767"/>
        <v>23.562600880333051</v>
      </c>
      <c r="L281" s="443"/>
      <c r="M281" s="217">
        <f t="shared" si="768"/>
        <v>0.36184601433469632</v>
      </c>
      <c r="N281" s="172">
        <f t="shared" si="769"/>
        <v>183.97572372982253</v>
      </c>
      <c r="O281" s="172">
        <f t="shared" si="762"/>
        <v>66.3</v>
      </c>
      <c r="P281" s="217">
        <f t="shared" si="770"/>
        <v>1.0822101395871915</v>
      </c>
      <c r="Q281" s="217">
        <f t="shared" si="771"/>
        <v>170</v>
      </c>
      <c r="R281" s="217"/>
      <c r="S281" s="172">
        <f t="shared" si="772"/>
        <v>984.59807386371813</v>
      </c>
      <c r="T281" s="172">
        <f t="shared" si="773"/>
        <v>170</v>
      </c>
      <c r="U281" s="217">
        <f t="shared" si="774"/>
        <v>24.445510567071537</v>
      </c>
      <c r="V281" s="217">
        <f t="shared" si="775"/>
        <v>0.81286865257056906</v>
      </c>
      <c r="W281" s="217">
        <f t="shared" si="776"/>
        <v>1.4335807006307246</v>
      </c>
      <c r="X281" s="197">
        <f t="shared" si="777"/>
        <v>350</v>
      </c>
      <c r="Y281" s="443">
        <f t="shared" ref="Y281:Y316" si="840">MIN(1/(V281+W281+0.2)*1000, 350)</f>
        <v>350</v>
      </c>
      <c r="AA281" s="217">
        <f t="shared" si="778"/>
        <v>31.090981778150176</v>
      </c>
      <c r="AB281" s="173">
        <f t="shared" si="779"/>
        <v>1.823297219279846</v>
      </c>
      <c r="AC281" s="173">
        <f t="shared" si="780"/>
        <v>0.49602088043183884</v>
      </c>
      <c r="AD281" s="173"/>
      <c r="AE281" s="173">
        <f t="shared" si="781"/>
        <v>0.78191900673534664</v>
      </c>
      <c r="AF281" s="545">
        <f t="shared" si="782"/>
        <v>1496.3186595053646</v>
      </c>
      <c r="AG281" s="528">
        <f t="shared" si="783"/>
        <v>9.1223884119123771E-2</v>
      </c>
      <c r="AI281" s="173">
        <f t="shared" si="784"/>
        <v>27.568730015533749</v>
      </c>
      <c r="AJ281" s="173">
        <f t="shared" si="785"/>
        <v>27.568730015533749</v>
      </c>
      <c r="AK281" s="173">
        <f t="shared" si="786"/>
        <v>11.744738283111419</v>
      </c>
      <c r="AM281" s="545">
        <f t="shared" si="787"/>
        <v>390</v>
      </c>
      <c r="AN281" s="460">
        <f t="shared" si="788"/>
        <v>350</v>
      </c>
      <c r="AP281">
        <f t="shared" si="789"/>
        <v>390</v>
      </c>
      <c r="AQ281">
        <f t="shared" si="790"/>
        <v>350</v>
      </c>
      <c r="AS281" s="5">
        <f t="shared" si="763"/>
        <v>2.8571428571428572</v>
      </c>
      <c r="AT281" s="5">
        <f t="shared" si="791"/>
        <v>0.91672278062357171</v>
      </c>
      <c r="AU281" s="5">
        <f t="shared" si="722"/>
        <v>1.9404200765192856</v>
      </c>
      <c r="AV281" s="5"/>
      <c r="AW281" s="173">
        <f t="shared" si="723"/>
        <v>0.32085297321825007</v>
      </c>
      <c r="AX281" s="173">
        <f t="shared" si="792"/>
        <v>66.50305153357175</v>
      </c>
      <c r="AY281" s="173">
        <f t="shared" si="793"/>
        <v>0.46808052555496327</v>
      </c>
      <c r="AZ281" s="173">
        <f t="shared" si="794"/>
        <v>142.07609140483839</v>
      </c>
      <c r="BA281" s="460">
        <f t="shared" si="724"/>
        <v>0.21030699084893706</v>
      </c>
      <c r="BB281" s="5">
        <f t="shared" si="725"/>
        <v>13.689277570488793</v>
      </c>
      <c r="BD281" s="173">
        <f t="shared" ref="BD281:BD316" si="841">AJ281*SQRT(AW281/3)</f>
        <v>9.0159016795739717</v>
      </c>
      <c r="BE281" s="173">
        <f t="shared" ref="BE281:BE316" si="842">AJ281*Nps*SQRT((1-AW281)/3)</f>
        <v>0.65585531012446963</v>
      </c>
      <c r="BG281" s="528">
        <f t="shared" ref="BG281:BG316" si="843">Rdson*BD281^2</f>
        <v>3.2514593238297911</v>
      </c>
      <c r="BH281" s="528">
        <f t="shared" si="795"/>
        <v>5.1155289843027276</v>
      </c>
      <c r="BI281" s="528">
        <f t="shared" si="796"/>
        <v>0.2105119608541493</v>
      </c>
      <c r="BJ281" s="528">
        <f t="shared" ref="BJ281:BJ316" si="844">0.5*(Coss+Csw)*K281^2*AN281*1000</f>
        <v>3.8863731217211032E-2</v>
      </c>
      <c r="BK281">
        <f t="shared" ref="BK281:BK316" si="845">I281*IQ</f>
        <v>6.7664558845976566E-3</v>
      </c>
      <c r="BL281" s="460">
        <f t="shared" ref="BL281:BL316" si="846">(BK281+BI281)*1000</f>
        <v>217.27841673874696</v>
      </c>
      <c r="BM281" s="528">
        <f t="shared" si="797"/>
        <v>40.816059821085261</v>
      </c>
      <c r="BN281" s="460">
        <f t="shared" ref="BN281:BN316" si="847">BM281*1000</f>
        <v>40816.059821085262</v>
      </c>
      <c r="BO281" s="528">
        <f t="shared" si="798"/>
        <v>0.27299999999999996</v>
      </c>
      <c r="BR281" s="460">
        <f t="shared" ref="BR281:BR316" si="848">SUM(BO281:BQ281)*1000</f>
        <v>272.99999999999994</v>
      </c>
      <c r="BS281" s="528">
        <f t="shared" ref="BS281:BS316" si="849">Rdcr_pri*BD281^2</f>
        <v>2.4385944928723431</v>
      </c>
      <c r="BT281" s="528">
        <f t="shared" ref="BT281:BT316" si="850">Rdcr_sec*BE281^2</f>
        <v>1.2904385634553928E-2</v>
      </c>
      <c r="BU281" s="528">
        <f t="shared" ref="BU281:BU316" si="851">AJ281^2.5*AN281^2.5*k_core</f>
        <v>457.2797987451454</v>
      </c>
      <c r="BV281" s="528"/>
      <c r="BW281" s="528">
        <f t="shared" ref="BW281:BW316" si="852">0.5*Lleak*0.000000001*AJ281^2*AN281*1000</f>
        <v>6.6503051533571753</v>
      </c>
      <c r="BX281" s="460">
        <f t="shared" ref="BX281:BX316" si="853">SUM(BS281:BW281)*1000</f>
        <v>466381.60277700948</v>
      </c>
      <c r="BY281" s="173">
        <f t="shared" ref="BY281:BY316" si="854">SUM(BG281:BK281,BO281:BQ281,BS281:BW281)</f>
        <v>475.27773323309793</v>
      </c>
      <c r="BZ281" s="5">
        <f t="shared" ref="BZ281:BZ316" si="855">MIN(H281,O281)</f>
        <v>66.3</v>
      </c>
      <c r="CA281" s="173">
        <f t="shared" ref="CA281:CA316" si="856">BZ281/(BZ281+BY281)</f>
        <v>0.12242009951960882</v>
      </c>
      <c r="CB281" s="5">
        <f t="shared" ref="CB281:CB316" si="857">CA281*100</f>
        <v>12.242009951960881</v>
      </c>
      <c r="CE281" s="562">
        <f t="shared" si="799"/>
        <v>-50</v>
      </c>
      <c r="CF281">
        <f t="shared" si="800"/>
        <v>-50</v>
      </c>
      <c r="CG281" s="173">
        <f t="shared" si="801"/>
        <v>0.56672433385927168</v>
      </c>
      <c r="CI281" s="170">
        <v>65</v>
      </c>
      <c r="CJ281" s="217">
        <f t="shared" ref="CJ281:CJ316" si="858">IF(PLOT_TYPE=1, CI281/100*Iout_max, min_I*EXP(CR281*rr/100))</f>
        <v>0.39</v>
      </c>
      <c r="CK281" s="217"/>
      <c r="CL281" s="217">
        <f t="shared" si="802"/>
        <v>66.3</v>
      </c>
      <c r="CM281" s="541">
        <f t="shared" si="803"/>
        <v>16</v>
      </c>
      <c r="CN281" s="443">
        <f t="shared" si="804"/>
        <v>8.5250000000000004</v>
      </c>
      <c r="CO281" s="443">
        <f t="shared" si="805"/>
        <v>24.524999999999999</v>
      </c>
      <c r="CP281" s="443"/>
      <c r="CQ281" s="217">
        <f t="shared" si="806"/>
        <v>0.34760448521916415</v>
      </c>
      <c r="CR281" s="172">
        <f t="shared" si="807"/>
        <v>188.05866123003739</v>
      </c>
      <c r="CS281" s="172">
        <f t="shared" si="808"/>
        <v>66.3</v>
      </c>
      <c r="CT281" s="217">
        <f t="shared" si="809"/>
        <v>1.1062274190002199</v>
      </c>
      <c r="CU281" s="217">
        <f t="shared" si="810"/>
        <v>170</v>
      </c>
      <c r="CV281" s="217"/>
      <c r="CW281" s="172">
        <f t="shared" si="811"/>
        <v>1047.6740139310987</v>
      </c>
      <c r="CX281" s="172">
        <f t="shared" si="812"/>
        <v>170</v>
      </c>
      <c r="CY281" s="217">
        <f t="shared" si="813"/>
        <v>23.841752199413488</v>
      </c>
      <c r="CZ281" s="217">
        <f t="shared" si="814"/>
        <v>0.7450547562316715</v>
      </c>
      <c r="DA281" s="217">
        <f t="shared" si="815"/>
        <v>1.3983432375022573</v>
      </c>
      <c r="DB281" s="197">
        <f t="shared" si="816"/>
        <v>350</v>
      </c>
      <c r="DC281" s="443">
        <f t="shared" si="817"/>
        <v>350</v>
      </c>
      <c r="DE281" s="217">
        <f t="shared" si="818"/>
        <v>31.780981505752148</v>
      </c>
      <c r="DF281" s="173">
        <f t="shared" si="819"/>
        <v>1.8639871850881022</v>
      </c>
      <c r="DG281" s="173">
        <f t="shared" si="820"/>
        <v>0.51834424474213492</v>
      </c>
      <c r="DH281" s="173"/>
      <c r="DI281" s="173">
        <f t="shared" si="821"/>
        <v>0.78201368523949166</v>
      </c>
      <c r="DJ281" s="545">
        <f t="shared" si="822"/>
        <v>1496.1375</v>
      </c>
      <c r="DK281" s="528">
        <f t="shared" si="823"/>
        <v>9.1234929944607357E-2</v>
      </c>
      <c r="DM281" s="173">
        <f t="shared" si="824"/>
        <v>27.567061090055596</v>
      </c>
      <c r="DN281" s="173">
        <f t="shared" si="825"/>
        <v>27.567061090055596</v>
      </c>
      <c r="DO281" s="173">
        <f t="shared" si="826"/>
        <v>11.743502042016489</v>
      </c>
      <c r="DQ281" s="545">
        <f t="shared" si="827"/>
        <v>390</v>
      </c>
      <c r="DR281" s="460">
        <f t="shared" si="828"/>
        <v>350</v>
      </c>
      <c r="DT281">
        <f t="shared" si="829"/>
        <v>390</v>
      </c>
      <c r="DU281">
        <f t="shared" si="830"/>
        <v>350</v>
      </c>
      <c r="DW281" s="5">
        <f t="shared" ref="DW281:DW316" si="859">1/DR281*1000</f>
        <v>2.8571428571428572</v>
      </c>
      <c r="DX281" s="5">
        <f t="shared" si="831"/>
        <v>0.86147065906423725</v>
      </c>
      <c r="DY281" s="5">
        <f t="shared" si="832"/>
        <v>1.9956721980786201</v>
      </c>
      <c r="DZ281" s="5"/>
      <c r="EA281" s="173">
        <f t="shared" si="833"/>
        <v>0.30151473067248302</v>
      </c>
      <c r="EB281" s="173">
        <f t="shared" ref="EB281:EB316" si="860">0.5*L*DN281^2*DR281*1000</f>
        <v>66.495000000000005</v>
      </c>
      <c r="EC281" s="173">
        <f t="shared" ref="EC281:EC316" si="861">DN281*Nps/2*(1-EA281)</f>
        <v>0.4813796522513899</v>
      </c>
      <c r="ED281" s="173">
        <f t="shared" ref="ED281:ED316" si="862">EB281/EC281</f>
        <v>138.13421420910925</v>
      </c>
      <c r="EE281" s="460">
        <f t="shared" si="834"/>
        <v>0.19763150413826622</v>
      </c>
      <c r="EF281" s="5">
        <f t="shared" si="835"/>
        <v>13.231306673261249</v>
      </c>
      <c r="EH281" s="173">
        <f t="shared" ref="EH281:EH316" si="863">DN281*SQRT(EA281/3)</f>
        <v>8.7394501333113226</v>
      </c>
      <c r="EI281" s="173">
        <f t="shared" ref="EI281:EI316" si="864">DN281*Nps*SQRT((1-EA281)/3)</f>
        <v>0.66508701889611876</v>
      </c>
      <c r="EK281" s="528">
        <f t="shared" ref="EK281:EK316" si="865">Rdson*EH281^2</f>
        <v>3.0551195453054119</v>
      </c>
      <c r="EL281" s="528">
        <f t="shared" ref="EL281:EL316" si="866">0.5*CO281*DN281*DR281*1000*Trise</f>
        <v>6.5072909173735294</v>
      </c>
      <c r="EM281" s="528">
        <f t="shared" ref="EM281:EM316" si="867">Qg*Vdd*DR281*1000</f>
        <v>6.9999999999999993E-2</v>
      </c>
      <c r="EN281" s="528">
        <f t="shared" ref="EN281:EN316" si="868">0.5*(Coss+Csw)*CO281^2*DR281*1000</f>
        <v>4.2103293749999993E-2</v>
      </c>
      <c r="EO281">
        <f t="shared" ref="EO281:EO316" si="869">CM281*IQ</f>
        <v>7.1999999999999998E-3</v>
      </c>
      <c r="EP281" s="460">
        <f t="shared" ref="EP281:EP316" si="870">(EO281+EM281)*1000</f>
        <v>77.199999999999989</v>
      </c>
      <c r="EQ281" s="460"/>
      <c r="ER281" s="460">
        <f t="shared" ref="ER281:ER316" si="871">SUM(EK281:EO281)*1000</f>
        <v>9681.7137564289387</v>
      </c>
      <c r="ES281" s="528">
        <f t="shared" ref="ES281:ES316" si="872">Vfwd2*CJ281</f>
        <v>0.27299999999999996</v>
      </c>
      <c r="EV281" s="460">
        <f t="shared" ref="EV281:EV316" si="873">SUM(ES281:EU281)*1000</f>
        <v>272.99999999999994</v>
      </c>
      <c r="EW281" s="528">
        <f t="shared" ref="EW281:EW316" si="874">Rdcr_pri*EH281^2</f>
        <v>2.2913396589790587</v>
      </c>
      <c r="EX281" s="528">
        <f t="shared" ref="EX281:EX316" si="875">Rdcr_sec*EI281^2</f>
        <v>1.3270222281123787E-2</v>
      </c>
      <c r="EY281" s="528">
        <f t="shared" ref="EY281:EY316" si="876">DN281^2.5*DR281^2.5*k_core</f>
        <v>457.21059613253743</v>
      </c>
      <c r="EZ281" s="528"/>
      <c r="FA281" s="528">
        <f t="shared" ref="FA281:FA316" si="877">0.5*Lleak*0.000000001*DN281^2*DR281*1000</f>
        <v>6.6495000000000015</v>
      </c>
      <c r="FB281" s="460">
        <f t="shared" ref="FB281:FB316" si="878">SUM(EW281:FA281)*1000</f>
        <v>466164.70601379761</v>
      </c>
      <c r="FC281" s="173">
        <f t="shared" ref="FC281:FC316" si="879">SUM(EK281:EO281,ES281:EU281,EW281:FA281)</f>
        <v>476.11941977022656</v>
      </c>
      <c r="FD281" s="5">
        <f t="shared" ref="FD281:FD316" si="880">MIN(CL281,CS281)</f>
        <v>66.3</v>
      </c>
      <c r="FE281" s="173">
        <f t="shared" ref="FE281:FE316" si="881">FD281/(FD281+FC281)</f>
        <v>0.12223013701848144</v>
      </c>
      <c r="FF281" s="5">
        <f t="shared" ref="FF281:FF316" si="882">FE281*100</f>
        <v>12.223013701848144</v>
      </c>
      <c r="FI281" s="562">
        <f t="shared" si="836"/>
        <v>-50</v>
      </c>
      <c r="FJ281">
        <f t="shared" si="837"/>
        <v>-50</v>
      </c>
      <c r="FL281">
        <f t="shared" si="838"/>
        <v>0.56589274964923497</v>
      </c>
    </row>
    <row r="282" spans="5:168">
      <c r="E282" s="170">
        <v>66</v>
      </c>
      <c r="F282" s="217">
        <f t="shared" si="839"/>
        <v>0.39600000000000002</v>
      </c>
      <c r="G282" s="217"/>
      <c r="H282" s="217">
        <f t="shared" si="764"/>
        <v>67.320000000000007</v>
      </c>
      <c r="I282" s="541">
        <f t="shared" si="765"/>
        <v>15.029185908631318</v>
      </c>
      <c r="J282" s="172">
        <f t="shared" si="766"/>
        <v>8.5260401579550376</v>
      </c>
      <c r="K282" s="172">
        <f t="shared" si="767"/>
        <v>23.555226066586357</v>
      </c>
      <c r="L282" s="443"/>
      <c r="M282" s="217">
        <f t="shared" si="768"/>
        <v>0.36195963940704845</v>
      </c>
      <c r="N282" s="172">
        <f t="shared" si="769"/>
        <v>183.94313725078297</v>
      </c>
      <c r="O282" s="172">
        <f t="shared" si="762"/>
        <v>67.320000000000007</v>
      </c>
      <c r="P282" s="217">
        <f t="shared" si="770"/>
        <v>1.0820184544163705</v>
      </c>
      <c r="Q282" s="217">
        <f t="shared" si="771"/>
        <v>170</v>
      </c>
      <c r="R282" s="217"/>
      <c r="S282" s="172">
        <f t="shared" si="772"/>
        <v>964.65498861872197</v>
      </c>
      <c r="T282" s="172">
        <f t="shared" si="773"/>
        <v>170</v>
      </c>
      <c r="U282" s="217">
        <f t="shared" si="774"/>
        <v>24.826015685401742</v>
      </c>
      <c r="V282" s="217">
        <f t="shared" si="775"/>
        <v>0.8259268278511368</v>
      </c>
      <c r="W282" s="217">
        <f t="shared" si="776"/>
        <v>1.4558936637331203</v>
      </c>
      <c r="X282" s="197">
        <f t="shared" si="777"/>
        <v>350</v>
      </c>
      <c r="Y282" s="443">
        <f t="shared" si="840"/>
        <v>350</v>
      </c>
      <c r="AA282" s="217">
        <f t="shared" si="778"/>
        <v>31.085474798946493</v>
      </c>
      <c r="AB282" s="173">
        <f t="shared" si="779"/>
        <v>1.8229725771314165</v>
      </c>
      <c r="AC282" s="173">
        <f t="shared" si="780"/>
        <v>0.49584472092390541</v>
      </c>
      <c r="AD282" s="173"/>
      <c r="AE282" s="173">
        <f t="shared" si="781"/>
        <v>0.78191828130746932</v>
      </c>
      <c r="AF282" s="545">
        <f t="shared" si="782"/>
        <v>1519.3403561475877</v>
      </c>
      <c r="AG282" s="528">
        <f t="shared" si="783"/>
        <v>9.1223799485871407E-2</v>
      </c>
      <c r="AI282" s="173">
        <f t="shared" si="784"/>
        <v>27.780000627584876</v>
      </c>
      <c r="AJ282" s="173">
        <f t="shared" si="785"/>
        <v>27.780000627584876</v>
      </c>
      <c r="AK282" s="173">
        <f t="shared" si="786"/>
        <v>11.901235032778919</v>
      </c>
      <c r="AM282" s="545">
        <f t="shared" si="787"/>
        <v>396</v>
      </c>
      <c r="AN282" s="460">
        <f t="shared" si="788"/>
        <v>350</v>
      </c>
      <c r="AP282">
        <f t="shared" si="789"/>
        <v>396</v>
      </c>
      <c r="AQ282">
        <f t="shared" si="790"/>
        <v>350</v>
      </c>
      <c r="AS282" s="5">
        <f t="shared" si="763"/>
        <v>2.8571428571428572</v>
      </c>
      <c r="AT282" s="5">
        <f t="shared" si="791"/>
        <v>0.92420177634607337</v>
      </c>
      <c r="AU282" s="5">
        <f t="shared" si="722"/>
        <v>1.932941080796784</v>
      </c>
      <c r="AV282" s="5"/>
      <c r="AW282" s="173">
        <f t="shared" si="723"/>
        <v>0.32347062172112567</v>
      </c>
      <c r="AX282" s="173">
        <f t="shared" si="792"/>
        <v>67.526238051003901</v>
      </c>
      <c r="AY282" s="173">
        <f t="shared" si="793"/>
        <v>0.46984966382916843</v>
      </c>
      <c r="AZ282" s="173">
        <f t="shared" si="794"/>
        <v>143.7188174206199</v>
      </c>
      <c r="BA282" s="460">
        <f t="shared" si="724"/>
        <v>0.21528464907826178</v>
      </c>
      <c r="BB282" s="5">
        <f t="shared" si="725"/>
        <v>13.853108941530403</v>
      </c>
      <c r="BD282" s="173">
        <f t="shared" si="841"/>
        <v>9.1219785249111833</v>
      </c>
      <c r="BE282" s="173">
        <f t="shared" si="842"/>
        <v>0.65960654828073684</v>
      </c>
      <c r="BG282" s="528">
        <f t="shared" si="843"/>
        <v>3.3284196883576325</v>
      </c>
      <c r="BH282" s="528">
        <f t="shared" si="795"/>
        <v>5.1531180349372967</v>
      </c>
      <c r="BI282" s="528">
        <f t="shared" si="796"/>
        <v>0.21040860272083847</v>
      </c>
      <c r="BJ282" s="528">
        <f t="shared" si="844"/>
        <v>3.8839407253359257E-2</v>
      </c>
      <c r="BK282">
        <f t="shared" si="845"/>
        <v>6.7631336588840924E-3</v>
      </c>
      <c r="BL282" s="460">
        <f t="shared" si="846"/>
        <v>217.17173637972257</v>
      </c>
      <c r="BM282" s="528">
        <f t="shared" si="797"/>
        <v>45.031141333542529</v>
      </c>
      <c r="BN282" s="460">
        <f t="shared" si="847"/>
        <v>45031.141333542531</v>
      </c>
      <c r="BO282" s="528">
        <f t="shared" si="798"/>
        <v>0.2772</v>
      </c>
      <c r="BR282" s="460">
        <f t="shared" si="848"/>
        <v>277.2</v>
      </c>
      <c r="BS282" s="528">
        <f t="shared" si="849"/>
        <v>2.4963147662682239</v>
      </c>
      <c r="BT282" s="528">
        <f t="shared" si="850"/>
        <v>1.3052423956044839E-2</v>
      </c>
      <c r="BU282" s="528">
        <f t="shared" si="851"/>
        <v>466.09102817652996</v>
      </c>
      <c r="BV282" s="528"/>
      <c r="BW282" s="528">
        <f t="shared" si="852"/>
        <v>6.7526238051003906</v>
      </c>
      <c r="BX282" s="460">
        <f t="shared" si="853"/>
        <v>475353.0191718546</v>
      </c>
      <c r="BY282" s="173">
        <f t="shared" si="854"/>
        <v>484.36776803878263</v>
      </c>
      <c r="BZ282" s="5">
        <f t="shared" si="855"/>
        <v>67.320000000000007</v>
      </c>
      <c r="CA282" s="173">
        <f t="shared" si="856"/>
        <v>0.12202554397629409</v>
      </c>
      <c r="CB282" s="5">
        <f t="shared" si="857"/>
        <v>12.20255439762941</v>
      </c>
      <c r="CE282" s="562">
        <f t="shared" si="799"/>
        <v>-50</v>
      </c>
      <c r="CF282">
        <f t="shared" si="800"/>
        <v>-50</v>
      </c>
      <c r="CG282" s="173">
        <f t="shared" si="801"/>
        <v>0.57106711256981302</v>
      </c>
      <c r="CI282" s="170">
        <v>66</v>
      </c>
      <c r="CJ282" s="217">
        <f t="shared" si="858"/>
        <v>0.39600000000000002</v>
      </c>
      <c r="CK282" s="217"/>
      <c r="CL282" s="217">
        <f t="shared" si="802"/>
        <v>67.320000000000007</v>
      </c>
      <c r="CM282" s="541">
        <f t="shared" si="803"/>
        <v>16</v>
      </c>
      <c r="CN282" s="443">
        <f t="shared" si="804"/>
        <v>8.5250000000000004</v>
      </c>
      <c r="CO282" s="443">
        <f t="shared" si="805"/>
        <v>24.524999999999999</v>
      </c>
      <c r="CP282" s="443"/>
      <c r="CQ282" s="217">
        <f t="shared" si="806"/>
        <v>0.34760448521916415</v>
      </c>
      <c r="CR282" s="172">
        <f t="shared" si="807"/>
        <v>188.05866123003739</v>
      </c>
      <c r="CS282" s="172">
        <f t="shared" si="808"/>
        <v>67.320000000000007</v>
      </c>
      <c r="CT282" s="217">
        <f t="shared" si="809"/>
        <v>1.1062274190002199</v>
      </c>
      <c r="CU282" s="217">
        <f t="shared" si="810"/>
        <v>170</v>
      </c>
      <c r="CV282" s="217"/>
      <c r="CW282" s="172">
        <f t="shared" si="811"/>
        <v>1026.9570710690612</v>
      </c>
      <c r="CX282" s="172">
        <f t="shared" si="812"/>
        <v>170</v>
      </c>
      <c r="CY282" s="217">
        <f t="shared" si="813"/>
        <v>24.208548387096776</v>
      </c>
      <c r="CZ282" s="217">
        <f t="shared" si="814"/>
        <v>0.75651713709677426</v>
      </c>
      <c r="DA282" s="217">
        <f t="shared" si="815"/>
        <v>1.4198562103869077</v>
      </c>
      <c r="DB282" s="197">
        <f t="shared" si="816"/>
        <v>350</v>
      </c>
      <c r="DC282" s="443">
        <f t="shared" si="817"/>
        <v>350</v>
      </c>
      <c r="DE282" s="217">
        <f t="shared" si="818"/>
        <v>31.780981505752148</v>
      </c>
      <c r="DF282" s="173">
        <f t="shared" si="819"/>
        <v>1.8639871850881022</v>
      </c>
      <c r="DG282" s="173">
        <f t="shared" si="820"/>
        <v>0.51834424474213492</v>
      </c>
      <c r="DH282" s="173"/>
      <c r="DI282" s="173">
        <f t="shared" si="821"/>
        <v>0.78201368523949166</v>
      </c>
      <c r="DJ282" s="545">
        <f t="shared" si="822"/>
        <v>1519.155</v>
      </c>
      <c r="DK282" s="528">
        <f t="shared" si="823"/>
        <v>9.1234929944607357E-2</v>
      </c>
      <c r="DM282" s="173">
        <f t="shared" si="824"/>
        <v>27.778306026723186</v>
      </c>
      <c r="DN282" s="173">
        <f t="shared" si="825"/>
        <v>27.778306026723186</v>
      </c>
      <c r="DO282" s="173">
        <f t="shared" si="826"/>
        <v>11.899979772881371</v>
      </c>
      <c r="DQ282" s="545">
        <f t="shared" si="827"/>
        <v>396</v>
      </c>
      <c r="DR282" s="460">
        <f t="shared" si="828"/>
        <v>350</v>
      </c>
      <c r="DT282">
        <f t="shared" si="829"/>
        <v>396</v>
      </c>
      <c r="DU282">
        <f t="shared" si="830"/>
        <v>350</v>
      </c>
      <c r="DW282" s="5">
        <f t="shared" si="859"/>
        <v>2.8571428571428572</v>
      </c>
      <c r="DX282" s="5">
        <f t="shared" si="831"/>
        <v>0.86807206333509956</v>
      </c>
      <c r="DY282" s="5">
        <f t="shared" si="832"/>
        <v>1.9890707938077576</v>
      </c>
      <c r="DZ282" s="5"/>
      <c r="EA282" s="173">
        <f t="shared" si="833"/>
        <v>0.30382522216728486</v>
      </c>
      <c r="EB282" s="173">
        <f t="shared" si="860"/>
        <v>67.517999999999986</v>
      </c>
      <c r="EC282" s="173">
        <f t="shared" si="861"/>
        <v>0.48346390066807976</v>
      </c>
      <c r="ED282" s="173">
        <f t="shared" si="862"/>
        <v>139.65468757170808</v>
      </c>
      <c r="EE282" s="460">
        <f t="shared" si="834"/>
        <v>0.20220972769452908</v>
      </c>
      <c r="EF282" s="5">
        <f t="shared" si="835"/>
        <v>13.390424583913827</v>
      </c>
      <c r="EH282" s="173">
        <f t="shared" si="863"/>
        <v>8.8400972522749441</v>
      </c>
      <c r="EI282" s="173">
        <f t="shared" si="864"/>
        <v>0.66907419084461328</v>
      </c>
      <c r="EK282" s="528">
        <f t="shared" si="865"/>
        <v>3.1258927771871607</v>
      </c>
      <c r="EL282" s="528">
        <f t="shared" si="866"/>
        <v>6.5571559448143413</v>
      </c>
      <c r="EM282" s="528">
        <f t="shared" si="867"/>
        <v>6.9999999999999993E-2</v>
      </c>
      <c r="EN282" s="528">
        <f t="shared" si="868"/>
        <v>4.2103293749999993E-2</v>
      </c>
      <c r="EO282">
        <f t="shared" si="869"/>
        <v>7.1999999999999998E-3</v>
      </c>
      <c r="EP282" s="460">
        <f t="shared" si="870"/>
        <v>77.199999999999989</v>
      </c>
      <c r="EQ282" s="460"/>
      <c r="ER282" s="460">
        <f t="shared" si="871"/>
        <v>9802.3520157515013</v>
      </c>
      <c r="ES282" s="528">
        <f t="shared" si="872"/>
        <v>0.2772</v>
      </c>
      <c r="EV282" s="460">
        <f t="shared" si="873"/>
        <v>277.2</v>
      </c>
      <c r="EW282" s="528">
        <f t="shared" si="874"/>
        <v>2.3444195828903704</v>
      </c>
      <c r="EX282" s="528">
        <f t="shared" si="875"/>
        <v>1.3429808185631218E-2</v>
      </c>
      <c r="EY282" s="528">
        <f t="shared" si="876"/>
        <v>466.01995167320382</v>
      </c>
      <c r="EZ282" s="528"/>
      <c r="FA282" s="528">
        <f t="shared" si="877"/>
        <v>6.7517999999999994</v>
      </c>
      <c r="FB282" s="460">
        <f t="shared" si="878"/>
        <v>475129.60106427985</v>
      </c>
      <c r="FC282" s="173">
        <f t="shared" si="879"/>
        <v>485.20915308003134</v>
      </c>
      <c r="FD282" s="5">
        <f t="shared" si="880"/>
        <v>67.320000000000007</v>
      </c>
      <c r="FE282" s="173">
        <f t="shared" si="881"/>
        <v>0.12183972488099466</v>
      </c>
      <c r="FF282" s="5">
        <f t="shared" si="882"/>
        <v>12.183972488099466</v>
      </c>
      <c r="FI282" s="562">
        <f t="shared" si="836"/>
        <v>-50</v>
      </c>
      <c r="FJ282">
        <f t="shared" si="837"/>
        <v>-50</v>
      </c>
      <c r="FL282">
        <f t="shared" si="838"/>
        <v>0.57022915597378976</v>
      </c>
    </row>
    <row r="283" spans="5:168">
      <c r="E283" s="170">
        <v>67</v>
      </c>
      <c r="F283" s="217">
        <f t="shared" si="839"/>
        <v>0.40200000000000002</v>
      </c>
      <c r="G283" s="217"/>
      <c r="H283" s="217">
        <f t="shared" si="764"/>
        <v>68.34</v>
      </c>
      <c r="I283" s="541">
        <f t="shared" si="765"/>
        <v>15.021858905883205</v>
      </c>
      <c r="J283" s="172">
        <f t="shared" si="766"/>
        <v>8.5260480083151258</v>
      </c>
      <c r="K283" s="172">
        <f t="shared" si="767"/>
        <v>23.547906914198329</v>
      </c>
      <c r="L283" s="443"/>
      <c r="M283" s="217">
        <f t="shared" si="768"/>
        <v>0.36207247726205061</v>
      </c>
      <c r="N283" s="172">
        <f t="shared" si="769"/>
        <v>183.91077637136203</v>
      </c>
      <c r="O283" s="172">
        <f t="shared" si="762"/>
        <v>68.34</v>
      </c>
      <c r="P283" s="217">
        <f t="shared" si="770"/>
        <v>1.0818280963021296</v>
      </c>
      <c r="Q283" s="217">
        <f t="shared" si="771"/>
        <v>170</v>
      </c>
      <c r="R283" s="217"/>
      <c r="S283" s="172">
        <f t="shared" si="772"/>
        <v>945.31525378700269</v>
      </c>
      <c r="T283" s="172">
        <f t="shared" si="773"/>
        <v>170</v>
      </c>
      <c r="U283" s="217">
        <f t="shared" si="774"/>
        <v>25.206625246368947</v>
      </c>
      <c r="V283" s="217">
        <f t="shared" si="775"/>
        <v>0.83899820269570469</v>
      </c>
      <c r="W283" s="217">
        <f t="shared" si="776"/>
        <v>1.4782127206993145</v>
      </c>
      <c r="X283" s="197">
        <f t="shared" si="777"/>
        <v>350</v>
      </c>
      <c r="Y283" s="443">
        <f t="shared" si="840"/>
        <v>350</v>
      </c>
      <c r="AA283" s="217">
        <f t="shared" si="778"/>
        <v>31.080005945174221</v>
      </c>
      <c r="AB283" s="173">
        <f t="shared" si="779"/>
        <v>1.822650184168743</v>
      </c>
      <c r="AC283" s="173">
        <f t="shared" si="780"/>
        <v>0.49566981239945251</v>
      </c>
      <c r="AD283" s="173"/>
      <c r="AE283" s="173">
        <f t="shared" si="781"/>
        <v>0.78191756135608481</v>
      </c>
      <c r="AF283" s="545">
        <f t="shared" si="782"/>
        <v>1542.3620847042064</v>
      </c>
      <c r="AG283" s="528">
        <f t="shared" si="783"/>
        <v>9.1223715491543234E-2</v>
      </c>
      <c r="AI283" s="173">
        <f t="shared" si="784"/>
        <v>27.989676869844835</v>
      </c>
      <c r="AJ283" s="173">
        <f t="shared" si="785"/>
        <v>27.989676869844835</v>
      </c>
      <c r="AK283" s="173">
        <f t="shared" si="786"/>
        <v>12.056550767786296</v>
      </c>
      <c r="AM283" s="545">
        <f t="shared" si="787"/>
        <v>402</v>
      </c>
      <c r="AN283" s="460">
        <f t="shared" si="788"/>
        <v>350</v>
      </c>
      <c r="AP283">
        <f t="shared" si="789"/>
        <v>402</v>
      </c>
      <c r="AQ283">
        <f t="shared" si="790"/>
        <v>350</v>
      </c>
      <c r="AS283" s="5">
        <f t="shared" si="763"/>
        <v>2.8571428571428572</v>
      </c>
      <c r="AT283" s="5">
        <f t="shared" si="791"/>
        <v>0.93163159916522964</v>
      </c>
      <c r="AU283" s="5">
        <f t="shared" si="722"/>
        <v>1.9255112579776275</v>
      </c>
      <c r="AV283" s="5"/>
      <c r="AW283" s="173">
        <f t="shared" si="723"/>
        <v>0.32607105970783035</v>
      </c>
      <c r="AX283" s="173">
        <f t="shared" si="792"/>
        <v>68.549425986853606</v>
      </c>
      <c r="AY283" s="173">
        <f t="shared" si="793"/>
        <v>0.47157633180036956</v>
      </c>
      <c r="AZ283" s="173">
        <f t="shared" si="794"/>
        <v>145.36231223723152</v>
      </c>
      <c r="BA283" s="460">
        <f t="shared" si="724"/>
        <v>0.22030347227318961</v>
      </c>
      <c r="BB283" s="5">
        <f t="shared" si="725"/>
        <v>14.015782221855911</v>
      </c>
      <c r="BD283" s="173">
        <f t="shared" si="841"/>
        <v>9.2276982578893776</v>
      </c>
      <c r="BE283" s="173">
        <f t="shared" si="842"/>
        <v>0.66330659443325002</v>
      </c>
      <c r="BG283" s="528">
        <f t="shared" si="843"/>
        <v>3.4060166055461862</v>
      </c>
      <c r="BH283" s="528">
        <f t="shared" si="795"/>
        <v>5.19039915573057</v>
      </c>
      <c r="BI283" s="528">
        <f t="shared" si="796"/>
        <v>0.21030602468236484</v>
      </c>
      <c r="BJ283" s="528">
        <f t="shared" si="844"/>
        <v>3.8815274402782464E-2</v>
      </c>
      <c r="BK283">
        <f t="shared" si="845"/>
        <v>6.7598365076474423E-3</v>
      </c>
      <c r="BL283" s="460">
        <f t="shared" si="846"/>
        <v>217.06586119001227</v>
      </c>
      <c r="BM283" s="528">
        <f t="shared" si="797"/>
        <v>50.096118855856666</v>
      </c>
      <c r="BN283" s="460">
        <f t="shared" si="847"/>
        <v>50096.118855856665</v>
      </c>
      <c r="BO283" s="528">
        <f t="shared" si="798"/>
        <v>0.28139999999999998</v>
      </c>
      <c r="BR283" s="460">
        <f t="shared" si="848"/>
        <v>281.39999999999998</v>
      </c>
      <c r="BS283" s="528">
        <f t="shared" si="849"/>
        <v>2.5545124541596396</v>
      </c>
      <c r="BT283" s="528">
        <f t="shared" si="850"/>
        <v>1.3199269146559079E-2</v>
      </c>
      <c r="BU283" s="528">
        <f t="shared" si="851"/>
        <v>474.935712195137</v>
      </c>
      <c r="BV283" s="528"/>
      <c r="BW283" s="528">
        <f t="shared" si="852"/>
        <v>6.854942598685362</v>
      </c>
      <c r="BX283" s="460">
        <f t="shared" si="853"/>
        <v>484358.36651712854</v>
      </c>
      <c r="BY283" s="173">
        <f t="shared" si="854"/>
        <v>493.4920634139981</v>
      </c>
      <c r="BZ283" s="5">
        <f t="shared" si="855"/>
        <v>68.34</v>
      </c>
      <c r="CA283" s="173">
        <f t="shared" si="856"/>
        <v>0.12163777123136919</v>
      </c>
      <c r="CB283" s="5">
        <f t="shared" si="857"/>
        <v>12.163777123136919</v>
      </c>
      <c r="CE283" s="562">
        <f t="shared" si="799"/>
        <v>-50</v>
      </c>
      <c r="CF283">
        <f t="shared" si="800"/>
        <v>-50</v>
      </c>
      <c r="CG283" s="173">
        <f t="shared" si="801"/>
        <v>0.57537711418634974</v>
      </c>
      <c r="CI283" s="170">
        <v>67</v>
      </c>
      <c r="CJ283" s="217">
        <f t="shared" si="858"/>
        <v>0.40200000000000002</v>
      </c>
      <c r="CK283" s="217"/>
      <c r="CL283" s="217">
        <f t="shared" si="802"/>
        <v>68.34</v>
      </c>
      <c r="CM283" s="541">
        <f t="shared" si="803"/>
        <v>16</v>
      </c>
      <c r="CN283" s="443">
        <f t="shared" si="804"/>
        <v>8.5250000000000004</v>
      </c>
      <c r="CO283" s="443">
        <f t="shared" si="805"/>
        <v>24.524999999999999</v>
      </c>
      <c r="CP283" s="443"/>
      <c r="CQ283" s="217">
        <f t="shared" si="806"/>
        <v>0.34760448521916415</v>
      </c>
      <c r="CR283" s="172">
        <f t="shared" si="807"/>
        <v>188.05866123003739</v>
      </c>
      <c r="CS283" s="172">
        <f t="shared" si="808"/>
        <v>68.34</v>
      </c>
      <c r="CT283" s="217">
        <f t="shared" si="809"/>
        <v>1.1062274190002199</v>
      </c>
      <c r="CU283" s="217">
        <f t="shared" si="810"/>
        <v>170</v>
      </c>
      <c r="CV283" s="217"/>
      <c r="CW283" s="172">
        <f t="shared" si="811"/>
        <v>1006.8586653767638</v>
      </c>
      <c r="CX283" s="172">
        <f t="shared" si="812"/>
        <v>170</v>
      </c>
      <c r="CY283" s="217">
        <f t="shared" si="813"/>
        <v>24.575344574780058</v>
      </c>
      <c r="CZ283" s="217">
        <f t="shared" si="814"/>
        <v>0.7679795179618768</v>
      </c>
      <c r="DA283" s="217">
        <f t="shared" si="815"/>
        <v>1.4413691832715574</v>
      </c>
      <c r="DB283" s="197">
        <f t="shared" si="816"/>
        <v>350</v>
      </c>
      <c r="DC283" s="443">
        <f t="shared" si="817"/>
        <v>350</v>
      </c>
      <c r="DE283" s="217">
        <f t="shared" si="818"/>
        <v>31.780981505752148</v>
      </c>
      <c r="DF283" s="173">
        <f t="shared" si="819"/>
        <v>1.8639871850881022</v>
      </c>
      <c r="DG283" s="173">
        <f t="shared" si="820"/>
        <v>0.51834424474213492</v>
      </c>
      <c r="DH283" s="173"/>
      <c r="DI283" s="173">
        <f t="shared" si="821"/>
        <v>0.78201368523949166</v>
      </c>
      <c r="DJ283" s="545">
        <f t="shared" si="822"/>
        <v>1542.1724999999999</v>
      </c>
      <c r="DK283" s="528">
        <f t="shared" si="823"/>
        <v>9.1234929944607357E-2</v>
      </c>
      <c r="DM283" s="173">
        <f t="shared" si="824"/>
        <v>27.987956593608516</v>
      </c>
      <c r="DN283" s="173">
        <f t="shared" si="825"/>
        <v>27.987956593608516</v>
      </c>
      <c r="DO283" s="173">
        <f t="shared" si="826"/>
        <v>12.055276489092726</v>
      </c>
      <c r="DQ283" s="545">
        <f t="shared" si="827"/>
        <v>402</v>
      </c>
      <c r="DR283" s="460">
        <f t="shared" si="828"/>
        <v>350</v>
      </c>
      <c r="DT283">
        <f t="shared" si="829"/>
        <v>402</v>
      </c>
      <c r="DU283">
        <f t="shared" si="830"/>
        <v>350</v>
      </c>
      <c r="DW283" s="5">
        <f t="shared" si="859"/>
        <v>2.8571428571428572</v>
      </c>
      <c r="DX283" s="5">
        <f t="shared" si="831"/>
        <v>0.87462364355026612</v>
      </c>
      <c r="DY283" s="5">
        <f t="shared" si="832"/>
        <v>1.9825192135925911</v>
      </c>
      <c r="DZ283" s="5"/>
      <c r="EA283" s="173">
        <f t="shared" si="833"/>
        <v>0.30611827524259311</v>
      </c>
      <c r="EB283" s="173">
        <f t="shared" si="860"/>
        <v>68.541000000000025</v>
      </c>
      <c r="EC283" s="173">
        <f t="shared" si="861"/>
        <v>0.48550828984021299</v>
      </c>
      <c r="ED283" s="173">
        <f t="shared" si="862"/>
        <v>141.17369658622667</v>
      </c>
      <c r="EE283" s="460">
        <f t="shared" si="834"/>
        <v>0.20682276747482764</v>
      </c>
      <c r="EF283" s="5">
        <f t="shared" si="835"/>
        <v>13.548536305691769</v>
      </c>
      <c r="EH283" s="173">
        <f t="shared" si="863"/>
        <v>8.9403638369348108</v>
      </c>
      <c r="EI283" s="173">
        <f t="shared" si="864"/>
        <v>0.67301275227851332</v>
      </c>
      <c r="EK283" s="528">
        <f t="shared" si="865"/>
        <v>3.1972042214708694</v>
      </c>
      <c r="EL283" s="528">
        <f t="shared" si="866"/>
        <v>6.6066446162856449</v>
      </c>
      <c r="EM283" s="528">
        <f t="shared" si="867"/>
        <v>6.9999999999999993E-2</v>
      </c>
      <c r="EN283" s="528">
        <f t="shared" si="868"/>
        <v>4.2103293749999993E-2</v>
      </c>
      <c r="EO283">
        <f t="shared" si="869"/>
        <v>7.1999999999999998E-3</v>
      </c>
      <c r="EP283" s="460">
        <f t="shared" si="870"/>
        <v>77.199999999999989</v>
      </c>
      <c r="EQ283" s="460"/>
      <c r="ER283" s="460">
        <f t="shared" si="871"/>
        <v>9923.1521315065147</v>
      </c>
      <c r="ES283" s="528">
        <f t="shared" si="872"/>
        <v>0.28139999999999998</v>
      </c>
      <c r="EV283" s="460">
        <f t="shared" si="873"/>
        <v>281.39999999999998</v>
      </c>
      <c r="EW283" s="528">
        <f t="shared" si="874"/>
        <v>2.397903166103152</v>
      </c>
      <c r="EX283" s="528">
        <f t="shared" si="875"/>
        <v>1.3588384941884987E-2</v>
      </c>
      <c r="EY283" s="528">
        <f t="shared" si="876"/>
        <v>474.86274038463523</v>
      </c>
      <c r="EZ283" s="528"/>
      <c r="FA283" s="528">
        <f t="shared" si="877"/>
        <v>6.8541000000000016</v>
      </c>
      <c r="FB283" s="460">
        <f t="shared" si="878"/>
        <v>484128.3319356803</v>
      </c>
      <c r="FC283" s="173">
        <f t="shared" si="879"/>
        <v>494.3328840671868</v>
      </c>
      <c r="FD283" s="5">
        <f t="shared" si="880"/>
        <v>68.34</v>
      </c>
      <c r="FE283" s="173">
        <f t="shared" si="881"/>
        <v>0.12145600389699916</v>
      </c>
      <c r="FF283" s="5">
        <f t="shared" si="882"/>
        <v>12.145600389699917</v>
      </c>
      <c r="FI283" s="562">
        <f t="shared" si="836"/>
        <v>-50</v>
      </c>
      <c r="FJ283">
        <f t="shared" si="837"/>
        <v>-50</v>
      </c>
      <c r="FL283">
        <f t="shared" si="838"/>
        <v>0.57453283329988147</v>
      </c>
    </row>
    <row r="284" spans="5:168">
      <c r="E284" s="170">
        <v>68</v>
      </c>
      <c r="F284" s="217">
        <f t="shared" si="839"/>
        <v>0.40800000000000003</v>
      </c>
      <c r="G284" s="217"/>
      <c r="H284" s="217">
        <f t="shared" si="764"/>
        <v>69.36</v>
      </c>
      <c r="I284" s="541">
        <f t="shared" si="765"/>
        <v>15.014586381259118</v>
      </c>
      <c r="J284" s="172">
        <f t="shared" si="766"/>
        <v>8.5260558003057945</v>
      </c>
      <c r="K284" s="172">
        <f t="shared" si="767"/>
        <v>23.540642181564913</v>
      </c>
      <c r="L284" s="443"/>
      <c r="M284" s="217">
        <f t="shared" si="768"/>
        <v>0.36218454552434348</v>
      </c>
      <c r="N284" s="172">
        <f t="shared" si="769"/>
        <v>183.8786360405492</v>
      </c>
      <c r="O284" s="172">
        <f t="shared" si="762"/>
        <v>69.36</v>
      </c>
      <c r="P284" s="217">
        <f t="shared" si="770"/>
        <v>1.0816390355326424</v>
      </c>
      <c r="Q284" s="217">
        <f t="shared" si="771"/>
        <v>170</v>
      </c>
      <c r="R284" s="217"/>
      <c r="S284" s="172">
        <f t="shared" si="772"/>
        <v>926.55212680934176</v>
      </c>
      <c r="T284" s="172">
        <f t="shared" si="773"/>
        <v>170</v>
      </c>
      <c r="U284" s="217">
        <f t="shared" si="774"/>
        <v>25.587338603164689</v>
      </c>
      <c r="V284" s="217">
        <f t="shared" si="775"/>
        <v>0.85208269989715635</v>
      </c>
      <c r="W284" s="217">
        <f t="shared" si="776"/>
        <v>1.500537833815665</v>
      </c>
      <c r="X284" s="197">
        <f t="shared" si="777"/>
        <v>350</v>
      </c>
      <c r="Y284" s="443">
        <f t="shared" si="840"/>
        <v>350</v>
      </c>
      <c r="AA284" s="217">
        <f t="shared" si="778"/>
        <v>31.074574363232877</v>
      </c>
      <c r="AB284" s="173">
        <f t="shared" si="779"/>
        <v>1.8223299900358589</v>
      </c>
      <c r="AC284" s="173">
        <f t="shared" si="780"/>
        <v>0.49549612691003886</v>
      </c>
      <c r="AD284" s="173"/>
      <c r="AE284" s="173">
        <f t="shared" si="781"/>
        <v>0.78191684675903261</v>
      </c>
      <c r="AF284" s="545">
        <f t="shared" si="782"/>
        <v>1565.3838449361438</v>
      </c>
      <c r="AG284" s="528">
        <f t="shared" si="783"/>
        <v>9.1223632121887152E-2</v>
      </c>
      <c r="AI284" s="173">
        <f t="shared" si="784"/>
        <v>28.197794306950481</v>
      </c>
      <c r="AJ284" s="173">
        <f t="shared" si="785"/>
        <v>28.197794306950481</v>
      </c>
      <c r="AK284" s="173">
        <f t="shared" si="786"/>
        <v>12.210711832308998</v>
      </c>
      <c r="AM284" s="545">
        <f t="shared" si="787"/>
        <v>408.00000000000006</v>
      </c>
      <c r="AN284" s="460">
        <f t="shared" si="788"/>
        <v>350</v>
      </c>
      <c r="AP284">
        <f t="shared" si="789"/>
        <v>408.00000000000006</v>
      </c>
      <c r="AQ284">
        <f t="shared" si="790"/>
        <v>350</v>
      </c>
      <c r="AS284" s="5">
        <f t="shared" si="763"/>
        <v>2.8571428571428572</v>
      </c>
      <c r="AT284" s="5">
        <f t="shared" si="791"/>
        <v>0.93901335644338346</v>
      </c>
      <c r="AU284" s="5">
        <f t="shared" si="722"/>
        <v>1.9181295006994739</v>
      </c>
      <c r="AV284" s="5"/>
      <c r="AW284" s="173">
        <f t="shared" si="723"/>
        <v>0.32865467475518423</v>
      </c>
      <c r="AX284" s="173">
        <f t="shared" si="792"/>
        <v>69.572615330495267</v>
      </c>
      <c r="AY284" s="173">
        <f t="shared" si="793"/>
        <v>0.47326143475465215</v>
      </c>
      <c r="AZ284" s="173">
        <f t="shared" si="794"/>
        <v>147.0067286732608</v>
      </c>
      <c r="BA284" s="460">
        <f t="shared" si="724"/>
        <v>0.22536320554641204</v>
      </c>
      <c r="BB284" s="5">
        <f t="shared" si="725"/>
        <v>14.177302928259147</v>
      </c>
      <c r="BD284" s="173">
        <f t="shared" si="841"/>
        <v>9.333067737032863</v>
      </c>
      <c r="BE284" s="173">
        <f t="shared" si="842"/>
        <v>0.66695648510288752</v>
      </c>
      <c r="BG284" s="528">
        <f t="shared" si="843"/>
        <v>3.4842461353617491</v>
      </c>
      <c r="BH284" s="528">
        <f t="shared" si="795"/>
        <v>5.227379215453154</v>
      </c>
      <c r="BI284" s="528">
        <f t="shared" si="796"/>
        <v>0.21020420933762765</v>
      </c>
      <c r="BJ284" s="528">
        <f t="shared" si="844"/>
        <v>3.8791328402433121E-2</v>
      </c>
      <c r="BK284">
        <f t="shared" si="845"/>
        <v>6.7565638715666029E-3</v>
      </c>
      <c r="BL284" s="460">
        <f t="shared" si="846"/>
        <v>216.96077320919423</v>
      </c>
      <c r="BM284" s="528">
        <f t="shared" si="797"/>
        <v>56.297127848953927</v>
      </c>
      <c r="BN284" s="460">
        <f t="shared" si="847"/>
        <v>56297.127848953925</v>
      </c>
      <c r="BO284" s="528">
        <f t="shared" si="798"/>
        <v>0.28560000000000002</v>
      </c>
      <c r="BR284" s="460">
        <f t="shared" si="848"/>
        <v>285.60000000000002</v>
      </c>
      <c r="BS284" s="528">
        <f t="shared" si="849"/>
        <v>2.6131846015213114</v>
      </c>
      <c r="BT284" s="528">
        <f t="shared" si="850"/>
        <v>1.3344928590623946E-2</v>
      </c>
      <c r="BU284" s="528">
        <f t="shared" si="851"/>
        <v>483.81347574148623</v>
      </c>
      <c r="BV284" s="528"/>
      <c r="BW284" s="528">
        <f t="shared" si="852"/>
        <v>6.9572615330495289</v>
      </c>
      <c r="BX284" s="460">
        <f t="shared" si="853"/>
        <v>493397.26680464769</v>
      </c>
      <c r="BY284" s="173">
        <f t="shared" si="854"/>
        <v>502.65024425707423</v>
      </c>
      <c r="BZ284" s="5">
        <f t="shared" si="855"/>
        <v>69.36</v>
      </c>
      <c r="CA284" s="173">
        <f t="shared" si="856"/>
        <v>0.12125656960931641</v>
      </c>
      <c r="CB284" s="5">
        <f t="shared" si="857"/>
        <v>12.125656960931641</v>
      </c>
      <c r="CE284" s="562">
        <f t="shared" si="799"/>
        <v>-50</v>
      </c>
      <c r="CF284">
        <f t="shared" si="800"/>
        <v>-50</v>
      </c>
      <c r="CG284" s="173">
        <f t="shared" si="801"/>
        <v>0.57965506984757742</v>
      </c>
      <c r="CI284" s="170">
        <v>68</v>
      </c>
      <c r="CJ284" s="217">
        <f t="shared" si="858"/>
        <v>0.40800000000000003</v>
      </c>
      <c r="CK284" s="217"/>
      <c r="CL284" s="217">
        <f t="shared" si="802"/>
        <v>69.36</v>
      </c>
      <c r="CM284" s="541">
        <f t="shared" si="803"/>
        <v>16</v>
      </c>
      <c r="CN284" s="443">
        <f t="shared" si="804"/>
        <v>8.5250000000000004</v>
      </c>
      <c r="CO284" s="443">
        <f t="shared" si="805"/>
        <v>24.524999999999999</v>
      </c>
      <c r="CP284" s="443"/>
      <c r="CQ284" s="217">
        <f t="shared" si="806"/>
        <v>0.34760448521916415</v>
      </c>
      <c r="CR284" s="172">
        <f t="shared" si="807"/>
        <v>188.05866123003739</v>
      </c>
      <c r="CS284" s="172">
        <f t="shared" si="808"/>
        <v>69.36</v>
      </c>
      <c r="CT284" s="217">
        <f t="shared" si="809"/>
        <v>1.1062274190002199</v>
      </c>
      <c r="CU284" s="217">
        <f t="shared" si="810"/>
        <v>170</v>
      </c>
      <c r="CV284" s="217"/>
      <c r="CW284" s="172">
        <f t="shared" si="811"/>
        <v>987.35151014616497</v>
      </c>
      <c r="CX284" s="172">
        <f t="shared" si="812"/>
        <v>170</v>
      </c>
      <c r="CY284" s="217">
        <f t="shared" si="813"/>
        <v>24.942140762463339</v>
      </c>
      <c r="CZ284" s="217">
        <f t="shared" si="814"/>
        <v>0.77944189882697923</v>
      </c>
      <c r="DA284" s="217">
        <f t="shared" si="815"/>
        <v>1.4628821561562073</v>
      </c>
      <c r="DB284" s="197">
        <f t="shared" si="816"/>
        <v>350</v>
      </c>
      <c r="DC284" s="443">
        <f t="shared" si="817"/>
        <v>350</v>
      </c>
      <c r="DE284" s="217">
        <f t="shared" si="818"/>
        <v>31.780981505752148</v>
      </c>
      <c r="DF284" s="173">
        <f t="shared" si="819"/>
        <v>1.8639871850881022</v>
      </c>
      <c r="DG284" s="173">
        <f t="shared" si="820"/>
        <v>0.51834424474213492</v>
      </c>
      <c r="DH284" s="173"/>
      <c r="DI284" s="173">
        <f t="shared" si="821"/>
        <v>0.78201368523949166</v>
      </c>
      <c r="DJ284" s="545">
        <f t="shared" si="822"/>
        <v>1565.19</v>
      </c>
      <c r="DK284" s="528">
        <f t="shared" si="823"/>
        <v>9.1234929944607357E-2</v>
      </c>
      <c r="DM284" s="173">
        <f t="shared" si="824"/>
        <v>28.19604835534836</v>
      </c>
      <c r="DN284" s="173">
        <f t="shared" si="825"/>
        <v>28.19604835534836</v>
      </c>
      <c r="DO284" s="173">
        <f t="shared" si="826"/>
        <v>12.209418534825945</v>
      </c>
      <c r="DQ284" s="545">
        <f t="shared" si="827"/>
        <v>408.00000000000006</v>
      </c>
      <c r="DR284" s="460">
        <f t="shared" si="828"/>
        <v>350</v>
      </c>
      <c r="DT284">
        <f t="shared" si="829"/>
        <v>408.00000000000006</v>
      </c>
      <c r="DU284">
        <f t="shared" si="830"/>
        <v>350</v>
      </c>
      <c r="DW284" s="5">
        <f t="shared" si="859"/>
        <v>2.8571428571428572</v>
      </c>
      <c r="DX284" s="5">
        <f t="shared" si="831"/>
        <v>0.88112651110463625</v>
      </c>
      <c r="DY284" s="5">
        <f t="shared" si="832"/>
        <v>1.976016346038221</v>
      </c>
      <c r="DZ284" s="5"/>
      <c r="EA284" s="173">
        <f t="shared" si="833"/>
        <v>0.30839427888662269</v>
      </c>
      <c r="EB284" s="173">
        <f t="shared" si="860"/>
        <v>69.564000000000021</v>
      </c>
      <c r="EC284" s="173">
        <f t="shared" si="861"/>
        <v>0.48751370888370893</v>
      </c>
      <c r="ED284" s="173">
        <f t="shared" si="862"/>
        <v>142.69137202169171</v>
      </c>
      <c r="EE284" s="460">
        <f t="shared" si="834"/>
        <v>0.21147036266511271</v>
      </c>
      <c r="EF284" s="5">
        <f t="shared" si="835"/>
        <v>13.705649376121102</v>
      </c>
      <c r="EH284" s="173">
        <f t="shared" si="863"/>
        <v>9.0402569741118111</v>
      </c>
      <c r="EI284" s="173">
        <f t="shared" si="864"/>
        <v>0.67690373785298508</v>
      </c>
      <c r="EK284" s="528">
        <f t="shared" si="865"/>
        <v>3.2690498463190898</v>
      </c>
      <c r="EL284" s="528">
        <f t="shared" si="866"/>
        <v>6.6557653269310908</v>
      </c>
      <c r="EM284" s="528">
        <f t="shared" si="867"/>
        <v>6.9999999999999993E-2</v>
      </c>
      <c r="EN284" s="528">
        <f t="shared" si="868"/>
        <v>4.2103293749999993E-2</v>
      </c>
      <c r="EO284">
        <f t="shared" si="869"/>
        <v>7.1999999999999998E-3</v>
      </c>
      <c r="EP284" s="460">
        <f t="shared" si="870"/>
        <v>77.199999999999989</v>
      </c>
      <c r="EQ284" s="460"/>
      <c r="ER284" s="460">
        <f t="shared" si="871"/>
        <v>10044.11846700018</v>
      </c>
      <c r="ES284" s="528">
        <f t="shared" si="872"/>
        <v>0.28560000000000002</v>
      </c>
      <c r="EV284" s="460">
        <f t="shared" si="873"/>
        <v>285.60000000000002</v>
      </c>
      <c r="EW284" s="528">
        <f t="shared" si="874"/>
        <v>2.4517873847393172</v>
      </c>
      <c r="EX284" s="528">
        <f t="shared" si="875"/>
        <v>1.3745960109580282E-2</v>
      </c>
      <c r="EY284" s="528">
        <f t="shared" si="876"/>
        <v>483.73858728771199</v>
      </c>
      <c r="EZ284" s="528"/>
      <c r="FA284" s="528">
        <f t="shared" si="877"/>
        <v>6.9564000000000012</v>
      </c>
      <c r="FB284" s="460">
        <f t="shared" si="878"/>
        <v>493160.52063256089</v>
      </c>
      <c r="FC284" s="173">
        <f t="shared" si="879"/>
        <v>503.49023909956105</v>
      </c>
      <c r="FD284" s="5">
        <f t="shared" si="880"/>
        <v>69.36</v>
      </c>
      <c r="FE284" s="173">
        <f t="shared" si="881"/>
        <v>0.12107876590751544</v>
      </c>
      <c r="FF284" s="5">
        <f t="shared" si="882"/>
        <v>12.107876590751545</v>
      </c>
      <c r="FI284" s="562">
        <f t="shared" si="836"/>
        <v>-50</v>
      </c>
      <c r="FJ284">
        <f t="shared" si="837"/>
        <v>-50</v>
      </c>
      <c r="FL284">
        <f t="shared" si="838"/>
        <v>0.57880451169336811</v>
      </c>
    </row>
    <row r="285" spans="5:168">
      <c r="E285" s="170">
        <v>69</v>
      </c>
      <c r="F285" s="217">
        <f t="shared" si="839"/>
        <v>0.41399999999999998</v>
      </c>
      <c r="G285" s="217"/>
      <c r="H285" s="217">
        <f t="shared" si="764"/>
        <v>70.38</v>
      </c>
      <c r="I285" s="541">
        <f t="shared" si="765"/>
        <v>15.007367137356415</v>
      </c>
      <c r="J285" s="172">
        <f t="shared" si="766"/>
        <v>8.5260635352099765</v>
      </c>
      <c r="K285" s="172">
        <f t="shared" si="767"/>
        <v>23.533430672566389</v>
      </c>
      <c r="L285" s="443"/>
      <c r="M285" s="217">
        <f t="shared" si="768"/>
        <v>0.36229586117251922</v>
      </c>
      <c r="N285" s="172">
        <f t="shared" si="769"/>
        <v>183.84671139248468</v>
      </c>
      <c r="O285" s="172">
        <f t="shared" si="762"/>
        <v>70.38</v>
      </c>
      <c r="P285" s="217">
        <f t="shared" si="770"/>
        <v>1.0814512434852039</v>
      </c>
      <c r="Q285" s="217">
        <f t="shared" si="771"/>
        <v>170</v>
      </c>
      <c r="R285" s="217"/>
      <c r="S285" s="172">
        <f t="shared" si="772"/>
        <v>908.34041964808705</v>
      </c>
      <c r="T285" s="172">
        <f t="shared" si="773"/>
        <v>170</v>
      </c>
      <c r="U285" s="217">
        <f t="shared" si="774"/>
        <v>25.968155123547046</v>
      </c>
      <c r="V285" s="217">
        <f t="shared" si="775"/>
        <v>0.86518024400519189</v>
      </c>
      <c r="W285" s="217">
        <f t="shared" si="776"/>
        <v>1.5228689662179202</v>
      </c>
      <c r="X285" s="197">
        <f t="shared" si="777"/>
        <v>350</v>
      </c>
      <c r="Y285" s="443">
        <f t="shared" si="840"/>
        <v>350</v>
      </c>
      <c r="AA285" s="217">
        <f t="shared" si="778"/>
        <v>31.06917923081167</v>
      </c>
      <c r="AB285" s="173">
        <f t="shared" si="779"/>
        <v>1.8220119462226427</v>
      </c>
      <c r="AC285" s="173">
        <f t="shared" si="780"/>
        <v>0.49532363753137371</v>
      </c>
      <c r="AD285" s="173"/>
      <c r="AE285" s="173">
        <f t="shared" si="781"/>
        <v>0.78191613739862686</v>
      </c>
      <c r="AF285" s="545">
        <f t="shared" si="782"/>
        <v>1588.4056366096186</v>
      </c>
      <c r="AG285" s="528">
        <f t="shared" si="783"/>
        <v>9.1223549363173131E-2</v>
      </c>
      <c r="AI285" s="173">
        <f t="shared" si="784"/>
        <v>28.404387200680027</v>
      </c>
      <c r="AJ285" s="173">
        <f t="shared" si="785"/>
        <v>28.404387200680027</v>
      </c>
      <c r="AK285" s="173">
        <f t="shared" si="786"/>
        <v>12.363743605441993</v>
      </c>
      <c r="AM285" s="545">
        <f t="shared" si="787"/>
        <v>414</v>
      </c>
      <c r="AN285" s="460">
        <f t="shared" si="788"/>
        <v>350</v>
      </c>
      <c r="AP285">
        <f t="shared" si="789"/>
        <v>414</v>
      </c>
      <c r="AQ285">
        <f t="shared" si="790"/>
        <v>350</v>
      </c>
      <c r="AS285" s="5">
        <f t="shared" si="763"/>
        <v>2.8571428571428572</v>
      </c>
      <c r="AT285" s="5">
        <f t="shared" si="791"/>
        <v>0.94634811491936122</v>
      </c>
      <c r="AU285" s="5">
        <f t="shared" si="722"/>
        <v>1.9107947422234961</v>
      </c>
      <c r="AV285" s="5"/>
      <c r="AW285" s="173">
        <f t="shared" si="723"/>
        <v>0.33122184022177642</v>
      </c>
      <c r="AX285" s="173">
        <f t="shared" si="792"/>
        <v>70.595806071538576</v>
      </c>
      <c r="AY285" s="173">
        <f t="shared" si="793"/>
        <v>0.47490584504247296</v>
      </c>
      <c r="AZ285" s="173">
        <f t="shared" si="794"/>
        <v>148.65221560965389</v>
      </c>
      <c r="BA285" s="460">
        <f t="shared" si="724"/>
        <v>0.23046359975095029</v>
      </c>
      <c r="BB285" s="5">
        <f t="shared" si="725"/>
        <v>14.337676446703247</v>
      </c>
      <c r="BD285" s="173">
        <f t="shared" si="841"/>
        <v>9.4380935926003851</v>
      </c>
      <c r="BE285" s="173">
        <f t="shared" si="842"/>
        <v>0.67055721869831397</v>
      </c>
      <c r="BG285" s="528">
        <f t="shared" si="843"/>
        <v>3.5631044265073779</v>
      </c>
      <c r="BH285" s="528">
        <f t="shared" si="795"/>
        <v>5.2640648312484917</v>
      </c>
      <c r="BI285" s="528">
        <f t="shared" si="796"/>
        <v>0.21010313992298982</v>
      </c>
      <c r="BJ285" s="528">
        <f t="shared" si="844"/>
        <v>3.8767565145434203E-2</v>
      </c>
      <c r="BK285">
        <f t="shared" si="845"/>
        <v>6.7533152118103863E-3</v>
      </c>
      <c r="BL285" s="460">
        <f t="shared" si="846"/>
        <v>216.8564551348002</v>
      </c>
      <c r="BM285" s="528">
        <f t="shared" si="797"/>
        <v>64.064965803660499</v>
      </c>
      <c r="BN285" s="460">
        <f t="shared" si="847"/>
        <v>64064.965803660496</v>
      </c>
      <c r="BO285" s="528">
        <f t="shared" si="798"/>
        <v>0.28979999999999995</v>
      </c>
      <c r="BR285" s="460">
        <f t="shared" si="848"/>
        <v>289.79999999999995</v>
      </c>
      <c r="BS285" s="528">
        <f t="shared" si="849"/>
        <v>2.6723283198805334</v>
      </c>
      <c r="BT285" s="528">
        <f t="shared" si="850"/>
        <v>1.3489409506452554E-2</v>
      </c>
      <c r="BU285" s="528">
        <f t="shared" si="851"/>
        <v>492.72395342665106</v>
      </c>
      <c r="BV285" s="528"/>
      <c r="BW285" s="528">
        <f t="shared" si="852"/>
        <v>7.0595806071538592</v>
      </c>
      <c r="BX285" s="460">
        <f t="shared" si="853"/>
        <v>502469.35176319192</v>
      </c>
      <c r="BY285" s="173">
        <f t="shared" si="854"/>
        <v>511.84194504122803</v>
      </c>
      <c r="BZ285" s="5">
        <f t="shared" si="855"/>
        <v>70.38</v>
      </c>
      <c r="CA285" s="173">
        <f t="shared" si="856"/>
        <v>0.1208817369379924</v>
      </c>
      <c r="CB285" s="5">
        <f t="shared" si="857"/>
        <v>12.08817369379924</v>
      </c>
      <c r="CE285" s="562">
        <f t="shared" si="799"/>
        <v>-50</v>
      </c>
      <c r="CF285">
        <f t="shared" si="800"/>
        <v>-50</v>
      </c>
      <c r="CG285" s="173">
        <f t="shared" si="801"/>
        <v>0.58390168390799158</v>
      </c>
      <c r="CI285" s="170">
        <v>69</v>
      </c>
      <c r="CJ285" s="217">
        <f t="shared" si="858"/>
        <v>0.41399999999999998</v>
      </c>
      <c r="CK285" s="217"/>
      <c r="CL285" s="217">
        <f t="shared" si="802"/>
        <v>70.38</v>
      </c>
      <c r="CM285" s="541">
        <f t="shared" si="803"/>
        <v>16</v>
      </c>
      <c r="CN285" s="443">
        <f t="shared" si="804"/>
        <v>8.5250000000000004</v>
      </c>
      <c r="CO285" s="443">
        <f t="shared" si="805"/>
        <v>24.524999999999999</v>
      </c>
      <c r="CP285" s="443"/>
      <c r="CQ285" s="217">
        <f t="shared" si="806"/>
        <v>0.34760448521916415</v>
      </c>
      <c r="CR285" s="172">
        <f t="shared" si="807"/>
        <v>188.05866123003739</v>
      </c>
      <c r="CS285" s="172">
        <f t="shared" si="808"/>
        <v>70.38</v>
      </c>
      <c r="CT285" s="217">
        <f t="shared" si="809"/>
        <v>1.1062274190002199</v>
      </c>
      <c r="CU285" s="217">
        <f t="shared" si="810"/>
        <v>170</v>
      </c>
      <c r="CV285" s="217"/>
      <c r="CW285" s="172">
        <f t="shared" si="811"/>
        <v>968.40990053916312</v>
      </c>
      <c r="CX285" s="172">
        <f t="shared" si="812"/>
        <v>170</v>
      </c>
      <c r="CY285" s="217">
        <f t="shared" si="813"/>
        <v>25.308936950146624</v>
      </c>
      <c r="CZ285" s="217">
        <f t="shared" si="814"/>
        <v>0.79090427969208188</v>
      </c>
      <c r="DA285" s="217">
        <f t="shared" si="815"/>
        <v>1.4843951290408575</v>
      </c>
      <c r="DB285" s="197">
        <f t="shared" si="816"/>
        <v>350</v>
      </c>
      <c r="DC285" s="443">
        <f t="shared" si="817"/>
        <v>350</v>
      </c>
      <c r="DE285" s="217">
        <f t="shared" si="818"/>
        <v>31.780981505752148</v>
      </c>
      <c r="DF285" s="173">
        <f t="shared" si="819"/>
        <v>1.8639871850881022</v>
      </c>
      <c r="DG285" s="173">
        <f t="shared" si="820"/>
        <v>0.51834424474213492</v>
      </c>
      <c r="DH285" s="173"/>
      <c r="DI285" s="173">
        <f t="shared" si="821"/>
        <v>0.78201368523949166</v>
      </c>
      <c r="DJ285" s="545">
        <f t="shared" si="822"/>
        <v>1588.2074999999998</v>
      </c>
      <c r="DK285" s="528">
        <f t="shared" si="823"/>
        <v>9.1234929944607357E-2</v>
      </c>
      <c r="DM285" s="173">
        <f t="shared" si="824"/>
        <v>28.402615573720873</v>
      </c>
      <c r="DN285" s="173">
        <f t="shared" si="825"/>
        <v>28.402615573720873</v>
      </c>
      <c r="DO285" s="173">
        <f t="shared" si="826"/>
        <v>12.362431289175955</v>
      </c>
      <c r="DQ285" s="545">
        <f t="shared" si="827"/>
        <v>414</v>
      </c>
      <c r="DR285" s="460">
        <f t="shared" si="828"/>
        <v>350</v>
      </c>
      <c r="DT285">
        <f t="shared" si="829"/>
        <v>414</v>
      </c>
      <c r="DU285">
        <f t="shared" si="830"/>
        <v>350</v>
      </c>
      <c r="DW285" s="5">
        <f t="shared" si="859"/>
        <v>2.8571428571428572</v>
      </c>
      <c r="DX285" s="5">
        <f t="shared" si="831"/>
        <v>0.88758173667877727</v>
      </c>
      <c r="DY285" s="5">
        <f t="shared" si="832"/>
        <v>1.9695611204640799</v>
      </c>
      <c r="DZ285" s="5"/>
      <c r="EA285" s="173">
        <f t="shared" si="833"/>
        <v>0.31065360783757201</v>
      </c>
      <c r="EB285" s="173">
        <f t="shared" si="860"/>
        <v>70.587000000000003</v>
      </c>
      <c r="EC285" s="173">
        <f t="shared" si="861"/>
        <v>0.48948101434302188</v>
      </c>
      <c r="ED285" s="173">
        <f t="shared" si="862"/>
        <v>144.20784040978873</v>
      </c>
      <c r="EE285" s="460">
        <f t="shared" si="834"/>
        <v>0.21615225822647866</v>
      </c>
      <c r="EF285" s="5">
        <f t="shared" si="835"/>
        <v>13.861771165826193</v>
      </c>
      <c r="EH285" s="173">
        <f t="shared" si="863"/>
        <v>9.13978351654238</v>
      </c>
      <c r="EI285" s="173">
        <f t="shared" si="864"/>
        <v>0.68074814434854936</v>
      </c>
      <c r="EK285" s="528">
        <f t="shared" si="865"/>
        <v>3.3414257091703918</v>
      </c>
      <c r="EL285" s="528">
        <f t="shared" si="866"/>
        <v>6.7045261643504803</v>
      </c>
      <c r="EM285" s="528">
        <f t="shared" si="867"/>
        <v>6.9999999999999993E-2</v>
      </c>
      <c r="EN285" s="528">
        <f t="shared" si="868"/>
        <v>4.2103293749999993E-2</v>
      </c>
      <c r="EO285">
        <f t="shared" si="869"/>
        <v>7.1999999999999998E-3</v>
      </c>
      <c r="EP285" s="460">
        <f t="shared" si="870"/>
        <v>77.199999999999989</v>
      </c>
      <c r="EQ285" s="460"/>
      <c r="ER285" s="460">
        <f t="shared" si="871"/>
        <v>10165.255167270871</v>
      </c>
      <c r="ES285" s="528">
        <f t="shared" si="872"/>
        <v>0.28979999999999995</v>
      </c>
      <c r="EV285" s="460">
        <f t="shared" si="873"/>
        <v>289.79999999999995</v>
      </c>
      <c r="EW285" s="528">
        <f t="shared" si="874"/>
        <v>2.5060692818777937</v>
      </c>
      <c r="EX285" s="528">
        <f t="shared" si="875"/>
        <v>1.3902541081019801E-2</v>
      </c>
      <c r="EY285" s="528">
        <f t="shared" si="876"/>
        <v>492.64712707238311</v>
      </c>
      <c r="EZ285" s="528"/>
      <c r="FA285" s="528">
        <f t="shared" si="877"/>
        <v>7.0587000000000009</v>
      </c>
      <c r="FB285" s="460">
        <f t="shared" si="878"/>
        <v>502225.79889534193</v>
      </c>
      <c r="FC285" s="173">
        <f t="shared" si="879"/>
        <v>512.68085406261287</v>
      </c>
      <c r="FD285" s="5">
        <f t="shared" si="880"/>
        <v>70.38</v>
      </c>
      <c r="FE285" s="173">
        <f t="shared" si="881"/>
        <v>0.12070781207417869</v>
      </c>
      <c r="FF285" s="5">
        <f t="shared" si="882"/>
        <v>12.07078120741787</v>
      </c>
      <c r="FI285" s="562">
        <f t="shared" si="836"/>
        <v>-50</v>
      </c>
      <c r="FJ285">
        <f t="shared" si="837"/>
        <v>-50</v>
      </c>
      <c r="FL285">
        <f t="shared" si="838"/>
        <v>0.58304489447520846</v>
      </c>
    </row>
    <row r="286" spans="5:168">
      <c r="E286" s="170">
        <v>70</v>
      </c>
      <c r="F286" s="217">
        <f t="shared" si="839"/>
        <v>0.42</v>
      </c>
      <c r="G286" s="217"/>
      <c r="H286" s="217">
        <f t="shared" si="764"/>
        <v>71.399999999999991</v>
      </c>
      <c r="I286" s="541">
        <f t="shared" si="765"/>
        <v>15.000200020004002</v>
      </c>
      <c r="J286" s="172">
        <f t="shared" si="766"/>
        <v>8.5260712142642827</v>
      </c>
      <c r="K286" s="172">
        <f t="shared" si="767"/>
        <v>23.526271234268286</v>
      </c>
      <c r="L286" s="443"/>
      <c r="M286" s="217">
        <f t="shared" si="768"/>
        <v>0.36240644057178684</v>
      </c>
      <c r="N286" s="172">
        <f t="shared" si="769"/>
        <v>183.81499773709814</v>
      </c>
      <c r="O286" s="172">
        <f t="shared" si="762"/>
        <v>71.399999999999991</v>
      </c>
      <c r="P286" s="217">
        <f t="shared" si="770"/>
        <v>1.0812646925711655</v>
      </c>
      <c r="Q286" s="217">
        <f t="shared" si="771"/>
        <v>170</v>
      </c>
      <c r="R286" s="217"/>
      <c r="S286" s="172">
        <f t="shared" si="772"/>
        <v>890.65638754896213</v>
      </c>
      <c r="T286" s="172">
        <f t="shared" si="773"/>
        <v>170</v>
      </c>
      <c r="U286" s="217">
        <f t="shared" si="774"/>
        <v>26.349074189309654</v>
      </c>
      <c r="V286" s="217">
        <f t="shared" si="775"/>
        <v>0.87829076126221628</v>
      </c>
      <c r="W286" s="217">
        <f t="shared" si="776"/>
        <v>1.5452060818602558</v>
      </c>
      <c r="X286" s="197">
        <f t="shared" si="777"/>
        <v>350</v>
      </c>
      <c r="Y286" s="443">
        <f t="shared" si="840"/>
        <v>350</v>
      </c>
      <c r="AA286" s="217">
        <f t="shared" si="778"/>
        <v>31.063819755307534</v>
      </c>
      <c r="AB286" s="173">
        <f t="shared" si="779"/>
        <v>1.8216960059714935</v>
      </c>
      <c r="AC286" s="173">
        <f t="shared" si="780"/>
        <v>0.49515231831154355</v>
      </c>
      <c r="AD286" s="173"/>
      <c r="AE286" s="173">
        <f t="shared" si="781"/>
        <v>0.78191543316143119</v>
      </c>
      <c r="AF286" s="545">
        <f t="shared" si="782"/>
        <v>1611.4274594959493</v>
      </c>
      <c r="AG286" s="528">
        <f t="shared" si="783"/>
        <v>9.122346720216698E-2</v>
      </c>
      <c r="AI286" s="173">
        <f t="shared" si="784"/>
        <v>28.609488575809443</v>
      </c>
      <c r="AJ286" s="173">
        <f t="shared" si="785"/>
        <v>28.609488575809443</v>
      </c>
      <c r="AK286" s="173">
        <f t="shared" si="786"/>
        <v>12.515670549982303</v>
      </c>
      <c r="AM286" s="545">
        <f t="shared" si="787"/>
        <v>420</v>
      </c>
      <c r="AN286" s="460">
        <f t="shared" si="788"/>
        <v>350</v>
      </c>
      <c r="AP286">
        <f t="shared" si="789"/>
        <v>420</v>
      </c>
      <c r="AQ286">
        <f t="shared" si="790"/>
        <v>350</v>
      </c>
      <c r="AS286" s="5">
        <f t="shared" si="763"/>
        <v>2.8571428571428572</v>
      </c>
      <c r="AT286" s="5">
        <f t="shared" si="791"/>
        <v>0.95363690276317425</v>
      </c>
      <c r="AU286" s="5">
        <f t="shared" si="722"/>
        <v>1.9035059543796828</v>
      </c>
      <c r="AV286" s="5"/>
      <c r="AW286" s="173">
        <f t="shared" si="723"/>
        <v>0.33377291596711101</v>
      </c>
      <c r="AX286" s="173">
        <f t="shared" si="792"/>
        <v>71.61899819981997</v>
      </c>
      <c r="AY286" s="173">
        <f t="shared" si="793"/>
        <v>0.47651040373834441</v>
      </c>
      <c r="AZ286" s="173">
        <f t="shared" si="794"/>
        <v>150.29891821448356</v>
      </c>
      <c r="BA286" s="460">
        <f t="shared" si="724"/>
        <v>0.23560441127090184</v>
      </c>
      <c r="BB286" s="5">
        <f t="shared" si="725"/>
        <v>14.496908037115423</v>
      </c>
      <c r="BD286" s="173">
        <f t="shared" si="841"/>
        <v>9.5427822373615747</v>
      </c>
      <c r="BE286" s="173">
        <f t="shared" si="842"/>
        <v>0.67410975743337498</v>
      </c>
      <c r="BG286" s="528">
        <f t="shared" si="843"/>
        <v>3.6425877131881435</v>
      </c>
      <c r="BH286" s="528">
        <f t="shared" si="795"/>
        <v>5.3004623813520189</v>
      </c>
      <c r="BI286" s="528">
        <f t="shared" si="796"/>
        <v>0.21000280028005602</v>
      </c>
      <c r="BJ286" s="528">
        <f t="shared" si="844"/>
        <v>3.8743980673185158E-2</v>
      </c>
      <c r="BK286">
        <f t="shared" si="845"/>
        <v>6.7500900090018004E-3</v>
      </c>
      <c r="BL286" s="460">
        <f t="shared" si="846"/>
        <v>216.75289028905783</v>
      </c>
      <c r="BM286" s="528">
        <f t="shared" si="797"/>
        <v>74.079741850170365</v>
      </c>
      <c r="BN286" s="460">
        <f t="shared" si="847"/>
        <v>74079.741850170365</v>
      </c>
      <c r="BO286" s="528">
        <f t="shared" si="798"/>
        <v>0.29399999999999998</v>
      </c>
      <c r="BR286" s="460">
        <f t="shared" si="848"/>
        <v>294</v>
      </c>
      <c r="BS286" s="528">
        <f t="shared" si="849"/>
        <v>2.7319407848911075</v>
      </c>
      <c r="BT286" s="528">
        <f t="shared" si="850"/>
        <v>1.3632718952006509E-2</v>
      </c>
      <c r="BU286" s="528">
        <f t="shared" si="851"/>
        <v>501.66678914608696</v>
      </c>
      <c r="BV286" s="528"/>
      <c r="BW286" s="528">
        <f t="shared" si="852"/>
        <v>7.1618998199819979</v>
      </c>
      <c r="BX286" s="460">
        <f t="shared" si="853"/>
        <v>511574.26246991206</v>
      </c>
      <c r="BY286" s="173">
        <f t="shared" si="854"/>
        <v>521.06680943541448</v>
      </c>
      <c r="BZ286" s="5">
        <f t="shared" si="855"/>
        <v>71.399999999999991</v>
      </c>
      <c r="CA286" s="173">
        <f t="shared" si="856"/>
        <v>0.12051307999521514</v>
      </c>
      <c r="CB286" s="5">
        <f t="shared" si="857"/>
        <v>12.051307999521514</v>
      </c>
      <c r="CE286" s="562">
        <f t="shared" si="799"/>
        <v>-50</v>
      </c>
      <c r="CF286">
        <f t="shared" si="800"/>
        <v>-50</v>
      </c>
      <c r="CG286" s="173">
        <f t="shared" si="801"/>
        <v>0.58811763529176408</v>
      </c>
      <c r="CI286" s="170">
        <v>70</v>
      </c>
      <c r="CJ286" s="217">
        <f t="shared" si="858"/>
        <v>0.42</v>
      </c>
      <c r="CK286" s="217"/>
      <c r="CL286" s="217">
        <f t="shared" si="802"/>
        <v>71.399999999999991</v>
      </c>
      <c r="CM286" s="541">
        <f t="shared" si="803"/>
        <v>16</v>
      </c>
      <c r="CN286" s="443">
        <f t="shared" si="804"/>
        <v>8.5250000000000004</v>
      </c>
      <c r="CO286" s="443">
        <f t="shared" si="805"/>
        <v>24.524999999999999</v>
      </c>
      <c r="CP286" s="443"/>
      <c r="CQ286" s="217">
        <f t="shared" si="806"/>
        <v>0.34760448521916415</v>
      </c>
      <c r="CR286" s="172">
        <f t="shared" si="807"/>
        <v>188.05866123003739</v>
      </c>
      <c r="CS286" s="172">
        <f t="shared" si="808"/>
        <v>71.399999999999991</v>
      </c>
      <c r="CT286" s="217">
        <f t="shared" si="809"/>
        <v>1.1062274190002199</v>
      </c>
      <c r="CU286" s="217">
        <f t="shared" si="810"/>
        <v>170</v>
      </c>
      <c r="CV286" s="217"/>
      <c r="CW286" s="172">
        <f t="shared" si="811"/>
        <v>950.00960059763418</v>
      </c>
      <c r="CX286" s="172">
        <f t="shared" si="812"/>
        <v>170</v>
      </c>
      <c r="CY286" s="217">
        <f t="shared" si="813"/>
        <v>25.675733137829905</v>
      </c>
      <c r="CZ286" s="217">
        <f t="shared" si="814"/>
        <v>0.80236666055718453</v>
      </c>
      <c r="DA286" s="217">
        <f t="shared" si="815"/>
        <v>1.5059081019255074</v>
      </c>
      <c r="DB286" s="197">
        <f t="shared" si="816"/>
        <v>350</v>
      </c>
      <c r="DC286" s="443">
        <f t="shared" si="817"/>
        <v>350</v>
      </c>
      <c r="DE286" s="217">
        <f t="shared" si="818"/>
        <v>31.780981505752148</v>
      </c>
      <c r="DF286" s="173">
        <f t="shared" si="819"/>
        <v>1.8639871850881022</v>
      </c>
      <c r="DG286" s="173">
        <f t="shared" si="820"/>
        <v>0.51834424474213492</v>
      </c>
      <c r="DH286" s="173"/>
      <c r="DI286" s="173">
        <f t="shared" si="821"/>
        <v>0.78201368523949166</v>
      </c>
      <c r="DJ286" s="545">
        <f t="shared" si="822"/>
        <v>1611.2249999999999</v>
      </c>
      <c r="DK286" s="528">
        <f t="shared" si="823"/>
        <v>9.1234929944607357E-2</v>
      </c>
      <c r="DM286" s="173">
        <f t="shared" si="824"/>
        <v>28.607691273501956</v>
      </c>
      <c r="DN286" s="173">
        <f t="shared" si="825"/>
        <v>28.607691273501956</v>
      </c>
      <c r="DO286" s="173">
        <f t="shared" si="826"/>
        <v>12.514339214939721</v>
      </c>
      <c r="DQ286" s="545">
        <f t="shared" si="827"/>
        <v>420</v>
      </c>
      <c r="DR286" s="460">
        <f t="shared" si="828"/>
        <v>350</v>
      </c>
      <c r="DT286">
        <f t="shared" si="829"/>
        <v>420</v>
      </c>
      <c r="DU286">
        <f t="shared" si="830"/>
        <v>350</v>
      </c>
      <c r="DW286" s="5">
        <f t="shared" si="859"/>
        <v>2.8571428571428572</v>
      </c>
      <c r="DX286" s="5">
        <f t="shared" si="831"/>
        <v>0.89399035229693602</v>
      </c>
      <c r="DY286" s="5">
        <f t="shared" si="832"/>
        <v>1.9631525048459211</v>
      </c>
      <c r="DZ286" s="5"/>
      <c r="EA286" s="173">
        <f t="shared" si="833"/>
        <v>0.31289662330392759</v>
      </c>
      <c r="EB286" s="173">
        <f t="shared" si="860"/>
        <v>71.61</v>
      </c>
      <c r="EC286" s="173">
        <f t="shared" si="861"/>
        <v>0.49141103183754892</v>
      </c>
      <c r="ED286" s="173">
        <f t="shared" si="862"/>
        <v>145.72322426752703</v>
      </c>
      <c r="EE286" s="460">
        <f t="shared" si="834"/>
        <v>0.22086820468512536</v>
      </c>
      <c r="EF286" s="5">
        <f t="shared" si="835"/>
        <v>14.016908884599875</v>
      </c>
      <c r="EH286" s="173">
        <f t="shared" si="863"/>
        <v>9.2389500938857463</v>
      </c>
      <c r="EI286" s="173">
        <f t="shared" si="864"/>
        <v>0.6845469325814858</v>
      </c>
      <c r="EK286" s="528">
        <f t="shared" si="865"/>
        <v>3.4143279534924575</v>
      </c>
      <c r="EL286" s="528">
        <f t="shared" si="866"/>
        <v>6.7529349241453671</v>
      </c>
      <c r="EM286" s="528">
        <f t="shared" si="867"/>
        <v>6.9999999999999993E-2</v>
      </c>
      <c r="EN286" s="528">
        <f t="shared" si="868"/>
        <v>4.2103293749999993E-2</v>
      </c>
      <c r="EO286">
        <f t="shared" si="869"/>
        <v>7.1999999999999998E-3</v>
      </c>
      <c r="EP286" s="460">
        <f t="shared" si="870"/>
        <v>77.199999999999989</v>
      </c>
      <c r="EQ286" s="460"/>
      <c r="ER286" s="460">
        <f t="shared" si="871"/>
        <v>10286.566171387823</v>
      </c>
      <c r="ES286" s="528">
        <f t="shared" si="872"/>
        <v>0.29399999999999998</v>
      </c>
      <c r="EV286" s="460">
        <f t="shared" si="873"/>
        <v>294</v>
      </c>
      <c r="EW286" s="528">
        <f t="shared" si="874"/>
        <v>2.5607459651193429</v>
      </c>
      <c r="EX286" s="528">
        <f t="shared" si="875"/>
        <v>1.4058135087201638E-2</v>
      </c>
      <c r="EY286" s="528">
        <f t="shared" si="876"/>
        <v>501.58800371154393</v>
      </c>
      <c r="EZ286" s="528"/>
      <c r="FA286" s="528">
        <f t="shared" si="877"/>
        <v>7.1609999999999996</v>
      </c>
      <c r="FB286" s="460">
        <f t="shared" si="878"/>
        <v>511323.80781175051</v>
      </c>
      <c r="FC286" s="173">
        <f t="shared" si="879"/>
        <v>521.90437398313827</v>
      </c>
      <c r="FD286" s="5">
        <f t="shared" si="880"/>
        <v>71.399999999999991</v>
      </c>
      <c r="FE286" s="173">
        <f t="shared" si="881"/>
        <v>0.12034295233769705</v>
      </c>
      <c r="FF286" s="5">
        <f t="shared" si="882"/>
        <v>12.034295233769706</v>
      </c>
      <c r="FI286" s="562">
        <f t="shared" si="836"/>
        <v>-50</v>
      </c>
      <c r="FJ286">
        <f t="shared" si="837"/>
        <v>-50</v>
      </c>
      <c r="FL286">
        <f t="shared" si="838"/>
        <v>0.58725465957335388</v>
      </c>
    </row>
    <row r="287" spans="5:168">
      <c r="E287" s="170">
        <v>71</v>
      </c>
      <c r="F287" s="217">
        <f t="shared" si="839"/>
        <v>0.42599999999999999</v>
      </c>
      <c r="G287" s="217"/>
      <c r="H287" s="217">
        <f t="shared" si="764"/>
        <v>72.42</v>
      </c>
      <c r="I287" s="541">
        <f t="shared" si="765"/>
        <v>14.993083916108199</v>
      </c>
      <c r="J287" s="172">
        <f t="shared" si="766"/>
        <v>8.5260788386613129</v>
      </c>
      <c r="K287" s="172">
        <f t="shared" si="767"/>
        <v>23.519162754769511</v>
      </c>
      <c r="L287" s="443"/>
      <c r="M287" s="217">
        <f t="shared" si="768"/>
        <v>0.36251629950454328</v>
      </c>
      <c r="N287" s="172">
        <f t="shared" si="769"/>
        <v>183.78349055134677</v>
      </c>
      <c r="O287" s="172">
        <f t="shared" si="762"/>
        <v>72.42</v>
      </c>
      <c r="P287" s="217">
        <f t="shared" si="770"/>
        <v>1.0810793561843928</v>
      </c>
      <c r="Q287" s="217">
        <f t="shared" si="771"/>
        <v>170</v>
      </c>
      <c r="R287" s="217"/>
      <c r="S287" s="172">
        <f t="shared" si="772"/>
        <v>873.47762721578442</v>
      </c>
      <c r="T287" s="172">
        <f t="shared" si="773"/>
        <v>170</v>
      </c>
      <c r="U287" s="217">
        <f t="shared" si="774"/>
        <v>26.730095195777391</v>
      </c>
      <c r="V287" s="217">
        <f t="shared" si="775"/>
        <v>0.89141417954245006</v>
      </c>
      <c r="W287" s="217">
        <f t="shared" si="776"/>
        <v>1.5675491454858694</v>
      </c>
      <c r="X287" s="197">
        <f t="shared" si="777"/>
        <v>350</v>
      </c>
      <c r="Y287" s="443">
        <f t="shared" si="840"/>
        <v>350</v>
      </c>
      <c r="AA287" s="217">
        <f t="shared" si="778"/>
        <v>31.058495172344394</v>
      </c>
      <c r="AB287" s="173">
        <f t="shared" si="779"/>
        <v>1.8213821241899819</v>
      </c>
      <c r="AC287" s="173">
        <f t="shared" si="780"/>
        <v>0.49498214422255316</v>
      </c>
      <c r="AD287" s="173"/>
      <c r="AE287" s="173">
        <f t="shared" si="781"/>
        <v>0.78191473393804622</v>
      </c>
      <c r="AF287" s="545">
        <f t="shared" si="782"/>
        <v>1634.4493133713736</v>
      </c>
      <c r="AG287" s="528">
        <f t="shared" si="783"/>
        <v>9.1223385626105394E-2</v>
      </c>
      <c r="AI287" s="173">
        <f t="shared" si="784"/>
        <v>28.813130281749647</v>
      </c>
      <c r="AJ287" s="173">
        <f t="shared" si="785"/>
        <v>28.813130281749647</v>
      </c>
      <c r="AK287" s="173">
        <f t="shared" si="786"/>
        <v>12.666516258086158</v>
      </c>
      <c r="AM287" s="545">
        <f t="shared" si="787"/>
        <v>426</v>
      </c>
      <c r="AN287" s="460">
        <f t="shared" si="788"/>
        <v>350</v>
      </c>
      <c r="AP287">
        <f t="shared" si="789"/>
        <v>426</v>
      </c>
      <c r="AQ287">
        <f t="shared" si="790"/>
        <v>350</v>
      </c>
      <c r="AS287" s="5">
        <f t="shared" si="763"/>
        <v>2.8571428571428572</v>
      </c>
      <c r="AT287" s="5">
        <f t="shared" si="791"/>
        <v>0.96088071149903753</v>
      </c>
      <c r="AU287" s="5">
        <f t="shared" si="722"/>
        <v>1.8962621456438198</v>
      </c>
      <c r="AV287" s="5"/>
      <c r="AW287" s="173">
        <f t="shared" si="723"/>
        <v>0.33630824902466311</v>
      </c>
      <c r="AX287" s="173">
        <f t="shared" si="792"/>
        <v>72.642191705394367</v>
      </c>
      <c r="AY287" s="173">
        <f t="shared" si="793"/>
        <v>0.47807592219437317</v>
      </c>
      <c r="AZ287" s="173">
        <f t="shared" si="794"/>
        <v>151.94697815352421</v>
      </c>
      <c r="BA287" s="460">
        <f t="shared" si="724"/>
        <v>0.24078540182269997</v>
      </c>
      <c r="BB287" s="5">
        <f t="shared" si="725"/>
        <v>14.655002837940165</v>
      </c>
      <c r="BD287" s="173">
        <f t="shared" si="841"/>
        <v>9.6471398767184748</v>
      </c>
      <c r="BE287" s="173">
        <f t="shared" si="842"/>
        <v>0.6776150291218479</v>
      </c>
      <c r="BG287" s="528">
        <f t="shared" si="843"/>
        <v>3.7226923120388697</v>
      </c>
      <c r="BH287" s="528">
        <f t="shared" si="795"/>
        <v>5.3365780169954258</v>
      </c>
      <c r="BI287" s="528">
        <f t="shared" si="796"/>
        <v>0.20990317482551479</v>
      </c>
      <c r="BJ287" s="528">
        <f t="shared" si="844"/>
        <v>3.8720571167973616E-2</v>
      </c>
      <c r="BK287">
        <f t="shared" si="845"/>
        <v>6.7468877622486895E-3</v>
      </c>
      <c r="BL287" s="460">
        <f t="shared" si="846"/>
        <v>216.65006258776347</v>
      </c>
      <c r="BM287" s="528">
        <f t="shared" si="797"/>
        <v>87.481738339403037</v>
      </c>
      <c r="BN287" s="460">
        <f t="shared" si="847"/>
        <v>87481.738339403033</v>
      </c>
      <c r="BO287" s="528">
        <f t="shared" si="798"/>
        <v>0.29819999999999997</v>
      </c>
      <c r="BR287" s="460">
        <f t="shared" si="848"/>
        <v>298.2</v>
      </c>
      <c r="BS287" s="528">
        <f t="shared" si="849"/>
        <v>2.7920192340291523</v>
      </c>
      <c r="BT287" s="528">
        <f t="shared" si="850"/>
        <v>1.3774863830754082E-2</v>
      </c>
      <c r="BU287" s="528">
        <f t="shared" si="851"/>
        <v>510.64163571419562</v>
      </c>
      <c r="BV287" s="528"/>
      <c r="BW287" s="528">
        <f t="shared" si="852"/>
        <v>7.2642191705394374</v>
      </c>
      <c r="BX287" s="460">
        <f t="shared" si="853"/>
        <v>520711.64898259495</v>
      </c>
      <c r="BY287" s="173">
        <f t="shared" si="854"/>
        <v>530.32448994538504</v>
      </c>
      <c r="BZ287" s="5">
        <f t="shared" si="855"/>
        <v>72.42</v>
      </c>
      <c r="CA287" s="173">
        <f t="shared" si="856"/>
        <v>0.12015041399476255</v>
      </c>
      <c r="CB287" s="5">
        <f t="shared" si="857"/>
        <v>12.015041399476255</v>
      </c>
      <c r="CE287" s="562">
        <f t="shared" si="799"/>
        <v>-50</v>
      </c>
      <c r="CF287">
        <f t="shared" si="800"/>
        <v>-50</v>
      </c>
      <c r="CG287" s="173">
        <f t="shared" si="801"/>
        <v>0.59230357875988271</v>
      </c>
      <c r="CI287" s="170">
        <v>71</v>
      </c>
      <c r="CJ287" s="217">
        <f t="shared" si="858"/>
        <v>0.42599999999999999</v>
      </c>
      <c r="CK287" s="217"/>
      <c r="CL287" s="217">
        <f t="shared" si="802"/>
        <v>72.42</v>
      </c>
      <c r="CM287" s="541">
        <f t="shared" si="803"/>
        <v>16</v>
      </c>
      <c r="CN287" s="443">
        <f t="shared" si="804"/>
        <v>8.5250000000000004</v>
      </c>
      <c r="CO287" s="443">
        <f t="shared" si="805"/>
        <v>24.524999999999999</v>
      </c>
      <c r="CP287" s="443"/>
      <c r="CQ287" s="217">
        <f t="shared" si="806"/>
        <v>0.34760448521916415</v>
      </c>
      <c r="CR287" s="172">
        <f t="shared" si="807"/>
        <v>188.05866123003739</v>
      </c>
      <c r="CS287" s="172">
        <f t="shared" si="808"/>
        <v>72.42</v>
      </c>
      <c r="CT287" s="217">
        <f t="shared" si="809"/>
        <v>1.1062274190002199</v>
      </c>
      <c r="CU287" s="217">
        <f t="shared" si="810"/>
        <v>170</v>
      </c>
      <c r="CV287" s="217"/>
      <c r="CW287" s="172">
        <f t="shared" si="811"/>
        <v>932.12773980193697</v>
      </c>
      <c r="CX287" s="172">
        <f t="shared" si="812"/>
        <v>170</v>
      </c>
      <c r="CY287" s="217">
        <f t="shared" si="813"/>
        <v>26.042529325513193</v>
      </c>
      <c r="CZ287" s="217">
        <f t="shared" si="814"/>
        <v>0.81382904142228729</v>
      </c>
      <c r="DA287" s="217">
        <f t="shared" si="815"/>
        <v>1.5274210748101578</v>
      </c>
      <c r="DB287" s="197">
        <f t="shared" si="816"/>
        <v>350</v>
      </c>
      <c r="DC287" s="443">
        <f t="shared" si="817"/>
        <v>350</v>
      </c>
      <c r="DE287" s="217">
        <f t="shared" si="818"/>
        <v>31.780981505752148</v>
      </c>
      <c r="DF287" s="173">
        <f t="shared" si="819"/>
        <v>1.8639871850881022</v>
      </c>
      <c r="DG287" s="173">
        <f t="shared" si="820"/>
        <v>0.51834424474213492</v>
      </c>
      <c r="DH287" s="173"/>
      <c r="DI287" s="173">
        <f t="shared" si="821"/>
        <v>0.78201368523949166</v>
      </c>
      <c r="DJ287" s="545">
        <f t="shared" si="822"/>
        <v>1634.2425000000001</v>
      </c>
      <c r="DK287" s="528">
        <f t="shared" si="823"/>
        <v>9.1234929944607357E-2</v>
      </c>
      <c r="DM287" s="173">
        <f t="shared" si="824"/>
        <v>28.811307304102474</v>
      </c>
      <c r="DN287" s="173">
        <f t="shared" si="825"/>
        <v>28.811307304102474</v>
      </c>
      <c r="DO287" s="173">
        <f t="shared" si="826"/>
        <v>12.665165904273437</v>
      </c>
      <c r="DQ287" s="545">
        <f t="shared" si="827"/>
        <v>426</v>
      </c>
      <c r="DR287" s="460">
        <f t="shared" si="828"/>
        <v>350</v>
      </c>
      <c r="DT287">
        <f t="shared" si="829"/>
        <v>426</v>
      </c>
      <c r="DU287">
        <f t="shared" si="830"/>
        <v>350</v>
      </c>
      <c r="DW287" s="5">
        <f t="shared" si="859"/>
        <v>2.8571428571428572</v>
      </c>
      <c r="DX287" s="5">
        <f t="shared" si="831"/>
        <v>0.90035335325320232</v>
      </c>
      <c r="DY287" s="5">
        <f t="shared" si="832"/>
        <v>1.956789503889655</v>
      </c>
      <c r="DZ287" s="5"/>
      <c r="EA287" s="173">
        <f t="shared" si="833"/>
        <v>0.31512367363862082</v>
      </c>
      <c r="EB287" s="173">
        <f t="shared" si="860"/>
        <v>72.632999999999996</v>
      </c>
      <c r="EC287" s="173">
        <f t="shared" si="861"/>
        <v>0.49330455760256187</v>
      </c>
      <c r="ED287" s="173">
        <f t="shared" si="862"/>
        <v>147.23764230558325</v>
      </c>
      <c r="EE287" s="460">
        <f t="shared" si="834"/>
        <v>0.2256179579328613</v>
      </c>
      <c r="EF287" s="5">
        <f t="shared" si="835"/>
        <v>14.171069587168882</v>
      </c>
      <c r="EH287" s="173">
        <f t="shared" si="863"/>
        <v>9.3377631230639562</v>
      </c>
      <c r="EI287" s="173">
        <f t="shared" si="864"/>
        <v>0.68830102919196945</v>
      </c>
      <c r="EK287" s="528">
        <f t="shared" si="865"/>
        <v>3.4877528056981255</v>
      </c>
      <c r="EL287" s="528">
        <f t="shared" si="866"/>
        <v>6.8009991244687145</v>
      </c>
      <c r="EM287" s="528">
        <f t="shared" si="867"/>
        <v>6.9999999999999993E-2</v>
      </c>
      <c r="EN287" s="528">
        <f t="shared" si="868"/>
        <v>4.2103293749999993E-2</v>
      </c>
      <c r="EO287">
        <f t="shared" si="869"/>
        <v>7.1999999999999998E-3</v>
      </c>
      <c r="EP287" s="460">
        <f t="shared" si="870"/>
        <v>77.199999999999989</v>
      </c>
      <c r="EQ287" s="460"/>
      <c r="ER287" s="460">
        <f t="shared" si="871"/>
        <v>10408.055223916837</v>
      </c>
      <c r="ES287" s="528">
        <f t="shared" si="872"/>
        <v>0.29819999999999997</v>
      </c>
      <c r="EV287" s="460">
        <f t="shared" si="873"/>
        <v>298.2</v>
      </c>
      <c r="EW287" s="528">
        <f t="shared" si="874"/>
        <v>2.6158146042735941</v>
      </c>
      <c r="EX287" s="528">
        <f t="shared" si="875"/>
        <v>1.4212749203601731E-2</v>
      </c>
      <c r="EY287" s="528">
        <f t="shared" si="876"/>
        <v>510.56087009564578</v>
      </c>
      <c r="EZ287" s="528"/>
      <c r="FA287" s="528">
        <f t="shared" si="877"/>
        <v>7.263300000000001</v>
      </c>
      <c r="FB287" s="460">
        <f t="shared" si="878"/>
        <v>520454.19744912296</v>
      </c>
      <c r="FC287" s="173">
        <f t="shared" si="879"/>
        <v>531.1604526730398</v>
      </c>
      <c r="FD287" s="5">
        <f t="shared" si="880"/>
        <v>72.42</v>
      </c>
      <c r="FE287" s="173">
        <f t="shared" si="881"/>
        <v>0.11998400491480131</v>
      </c>
      <c r="FF287" s="5">
        <f t="shared" si="882"/>
        <v>11.998400491480131</v>
      </c>
      <c r="FI287" s="562">
        <f t="shared" si="836"/>
        <v>-50</v>
      </c>
      <c r="FJ287">
        <f t="shared" si="837"/>
        <v>-50</v>
      </c>
      <c r="FL287">
        <f t="shared" si="838"/>
        <v>0.59143446078802719</v>
      </c>
    </row>
    <row r="288" spans="5:168">
      <c r="E288" s="170">
        <v>72</v>
      </c>
      <c r="F288" s="217">
        <f t="shared" si="839"/>
        <v>0.432</v>
      </c>
      <c r="G288" s="217"/>
      <c r="H288" s="217">
        <f t="shared" si="764"/>
        <v>73.44</v>
      </c>
      <c r="I288" s="541">
        <f t="shared" si="765"/>
        <v>14.986017751634675</v>
      </c>
      <c r="J288" s="172">
        <f t="shared" si="766"/>
        <v>8.5260864095518212</v>
      </c>
      <c r="K288" s="172">
        <f t="shared" si="767"/>
        <v>23.512104161186496</v>
      </c>
      <c r="L288" s="443"/>
      <c r="M288" s="217">
        <f t="shared" si="768"/>
        <v>0.3626254531990144</v>
      </c>
      <c r="N288" s="172">
        <f t="shared" si="769"/>
        <v>183.75218547100741</v>
      </c>
      <c r="O288" s="172">
        <f t="shared" si="762"/>
        <v>73.44</v>
      </c>
      <c r="P288" s="217">
        <f t="shared" si="770"/>
        <v>1.0808952086529848</v>
      </c>
      <c r="Q288" s="217">
        <f t="shared" si="771"/>
        <v>170</v>
      </c>
      <c r="R288" s="217"/>
      <c r="S288" s="172">
        <f t="shared" si="772"/>
        <v>856.78298348201315</v>
      </c>
      <c r="T288" s="172">
        <f t="shared" si="773"/>
        <v>170</v>
      </c>
      <c r="U288" s="217">
        <f t="shared" si="774"/>
        <v>27.111217551327044</v>
      </c>
      <c r="V288" s="217">
        <f t="shared" si="775"/>
        <v>0.90455042829405929</v>
      </c>
      <c r="W288" s="217">
        <f t="shared" si="776"/>
        <v>1.5898981225990272</v>
      </c>
      <c r="X288" s="197">
        <f t="shared" si="777"/>
        <v>350</v>
      </c>
      <c r="Y288" s="443">
        <f t="shared" si="840"/>
        <v>350</v>
      </c>
      <c r="AA288" s="217">
        <f t="shared" si="778"/>
        <v>31.053204744386061</v>
      </c>
      <c r="AB288" s="173">
        <f t="shared" si="779"/>
        <v>1.821070257369019</v>
      </c>
      <c r="AC288" s="173">
        <f t="shared" si="780"/>
        <v>0.49481309111492972</v>
      </c>
      <c r="AD288" s="173"/>
      <c r="AE288" s="173">
        <f t="shared" si="781"/>
        <v>0.78191403962291106</v>
      </c>
      <c r="AF288" s="545">
        <f t="shared" si="782"/>
        <v>1657.471198016874</v>
      </c>
      <c r="AG288" s="528">
        <f t="shared" si="783"/>
        <v>9.122330462267296E-2</v>
      </c>
      <c r="AI288" s="173">
        <f t="shared" si="784"/>
        <v>29.015343050290326</v>
      </c>
      <c r="AJ288" s="173">
        <f t="shared" si="785"/>
        <v>29.015343050290326</v>
      </c>
      <c r="AK288" s="173">
        <f t="shared" si="786"/>
        <v>12.816303494042215</v>
      </c>
      <c r="AM288" s="545">
        <f t="shared" si="787"/>
        <v>432</v>
      </c>
      <c r="AN288" s="460">
        <f t="shared" si="788"/>
        <v>350</v>
      </c>
      <c r="AP288">
        <f t="shared" si="789"/>
        <v>432</v>
      </c>
      <c r="AQ288">
        <f t="shared" si="790"/>
        <v>350</v>
      </c>
      <c r="AS288" s="5">
        <f t="shared" si="763"/>
        <v>2.8571428571428572</v>
      </c>
      <c r="AT288" s="5">
        <f t="shared" si="791"/>
        <v>0.96808049780687511</v>
      </c>
      <c r="AU288" s="5">
        <f t="shared" si="722"/>
        <v>1.8890623593359821</v>
      </c>
      <c r="AV288" s="5"/>
      <c r="AW288" s="173">
        <f t="shared" si="723"/>
        <v>0.3388281742324063</v>
      </c>
      <c r="AX288" s="173">
        <f t="shared" si="792"/>
        <v>73.66538657852773</v>
      </c>
      <c r="AY288" s="173">
        <f t="shared" si="793"/>
        <v>0.47960318349583797</v>
      </c>
      <c r="AZ288" s="173">
        <f t="shared" si="794"/>
        <v>153.59653378774331</v>
      </c>
      <c r="BA288" s="460">
        <f t="shared" si="724"/>
        <v>0.24600633826621768</v>
      </c>
      <c r="BB288" s="5">
        <f t="shared" si="725"/>
        <v>14.81196587046632</v>
      </c>
      <c r="BD288" s="173">
        <f t="shared" si="841"/>
        <v>9.7511725182207023</v>
      </c>
      <c r="BE288" s="173">
        <f t="shared" si="842"/>
        <v>0.68107392885900131</v>
      </c>
      <c r="BG288" s="528">
        <f t="shared" si="843"/>
        <v>3.8034146192041067</v>
      </c>
      <c r="BH288" s="528">
        <f t="shared" si="795"/>
        <v>5.3724176735590055</v>
      </c>
      <c r="BI288" s="528">
        <f t="shared" si="796"/>
        <v>0.20980424852288548</v>
      </c>
      <c r="BJ288" s="528">
        <f t="shared" si="844"/>
        <v>3.8697332946053833E-2</v>
      </c>
      <c r="BK288">
        <f t="shared" si="845"/>
        <v>6.7437079882356034E-3</v>
      </c>
      <c r="BL288" s="460">
        <f t="shared" si="846"/>
        <v>216.54795651112107</v>
      </c>
      <c r="BM288" s="528">
        <f t="shared" si="797"/>
        <v>106.33985310690532</v>
      </c>
      <c r="BN288" s="460">
        <f t="shared" si="847"/>
        <v>106339.85310690533</v>
      </c>
      <c r="BO288" s="528">
        <f t="shared" si="798"/>
        <v>0.3024</v>
      </c>
      <c r="BR288" s="460">
        <f t="shared" si="848"/>
        <v>302.39999999999998</v>
      </c>
      <c r="BS288" s="528">
        <f t="shared" si="849"/>
        <v>2.85256096440308</v>
      </c>
      <c r="BT288" s="528">
        <f t="shared" si="850"/>
        <v>1.3915850897143079E-2</v>
      </c>
      <c r="BU288" s="528">
        <f t="shared" si="851"/>
        <v>519.6481545182196</v>
      </c>
      <c r="BV288" s="528"/>
      <c r="BW288" s="528">
        <f t="shared" si="852"/>
        <v>7.3665386578527716</v>
      </c>
      <c r="BX288" s="460">
        <f t="shared" si="853"/>
        <v>529881.1699913725</v>
      </c>
      <c r="BY288" s="173">
        <f t="shared" si="854"/>
        <v>539.61464757359283</v>
      </c>
      <c r="BZ288" s="5">
        <f t="shared" si="855"/>
        <v>73.44</v>
      </c>
      <c r="CA288" s="173">
        <f t="shared" si="856"/>
        <v>0.1197935621084808</v>
      </c>
      <c r="CB288" s="5">
        <f t="shared" si="857"/>
        <v>11.97935621084808</v>
      </c>
      <c r="CE288" s="562">
        <f t="shared" si="799"/>
        <v>-50</v>
      </c>
      <c r="CF288">
        <f t="shared" si="800"/>
        <v>-50</v>
      </c>
      <c r="CG288" s="173">
        <f t="shared" si="801"/>
        <v>0.59646014609725007</v>
      </c>
      <c r="CI288" s="170">
        <v>72</v>
      </c>
      <c r="CJ288" s="217">
        <f t="shared" si="858"/>
        <v>0.432</v>
      </c>
      <c r="CK288" s="217"/>
      <c r="CL288" s="217">
        <f t="shared" si="802"/>
        <v>73.44</v>
      </c>
      <c r="CM288" s="541">
        <f t="shared" si="803"/>
        <v>16</v>
      </c>
      <c r="CN288" s="443">
        <f t="shared" si="804"/>
        <v>8.5250000000000004</v>
      </c>
      <c r="CO288" s="443">
        <f t="shared" si="805"/>
        <v>24.524999999999999</v>
      </c>
      <c r="CP288" s="443"/>
      <c r="CQ288" s="217">
        <f t="shared" si="806"/>
        <v>0.34760448521916415</v>
      </c>
      <c r="CR288" s="172">
        <f t="shared" si="807"/>
        <v>188.05866123003739</v>
      </c>
      <c r="CS288" s="172">
        <f t="shared" si="808"/>
        <v>73.44</v>
      </c>
      <c r="CT288" s="217">
        <f t="shared" si="809"/>
        <v>1.1062274190002199</v>
      </c>
      <c r="CU288" s="217">
        <f t="shared" si="810"/>
        <v>170</v>
      </c>
      <c r="CV288" s="217"/>
      <c r="CW288" s="172">
        <f t="shared" si="811"/>
        <v>914.74271824956281</v>
      </c>
      <c r="CX288" s="172">
        <f t="shared" si="812"/>
        <v>170</v>
      </c>
      <c r="CY288" s="217">
        <f t="shared" si="813"/>
        <v>26.409325513196478</v>
      </c>
      <c r="CZ288" s="217">
        <f t="shared" si="814"/>
        <v>0.82529142228738983</v>
      </c>
      <c r="DA288" s="217">
        <f t="shared" si="815"/>
        <v>1.5489340476948079</v>
      </c>
      <c r="DB288" s="197">
        <f t="shared" si="816"/>
        <v>350</v>
      </c>
      <c r="DC288" s="443">
        <f t="shared" si="817"/>
        <v>350</v>
      </c>
      <c r="DE288" s="217">
        <f t="shared" si="818"/>
        <v>31.780981505752148</v>
      </c>
      <c r="DF288" s="173">
        <f t="shared" si="819"/>
        <v>1.8639871850881022</v>
      </c>
      <c r="DG288" s="173">
        <f t="shared" si="820"/>
        <v>0.51834424474213492</v>
      </c>
      <c r="DH288" s="173"/>
      <c r="DI288" s="173">
        <f t="shared" si="821"/>
        <v>0.78201368523949166</v>
      </c>
      <c r="DJ288" s="545">
        <f t="shared" si="822"/>
        <v>1657.26</v>
      </c>
      <c r="DK288" s="528">
        <f t="shared" si="823"/>
        <v>9.1234929944607357E-2</v>
      </c>
      <c r="DM288" s="173">
        <f t="shared" si="824"/>
        <v>29.013494397312041</v>
      </c>
      <c r="DN288" s="173">
        <f t="shared" si="825"/>
        <v>29.013494397312041</v>
      </c>
      <c r="DO288" s="173">
        <f t="shared" si="826"/>
        <v>12.814934121465708</v>
      </c>
      <c r="DQ288" s="545">
        <f t="shared" si="827"/>
        <v>432</v>
      </c>
      <c r="DR288" s="460">
        <f t="shared" si="828"/>
        <v>350</v>
      </c>
      <c r="DT288">
        <f t="shared" si="829"/>
        <v>432</v>
      </c>
      <c r="DU288">
        <f t="shared" si="830"/>
        <v>350</v>
      </c>
      <c r="DW288" s="5">
        <f t="shared" si="859"/>
        <v>2.8571428571428572</v>
      </c>
      <c r="DX288" s="5">
        <f t="shared" si="831"/>
        <v>0.90667169991600116</v>
      </c>
      <c r="DY288" s="5">
        <f t="shared" si="832"/>
        <v>1.950471157226856</v>
      </c>
      <c r="DZ288" s="5"/>
      <c r="EA288" s="173">
        <f t="shared" si="833"/>
        <v>0.31733509497060042</v>
      </c>
      <c r="EB288" s="173">
        <f t="shared" si="860"/>
        <v>73.656000000000006</v>
      </c>
      <c r="EC288" s="173">
        <f t="shared" si="861"/>
        <v>0.49516235993280105</v>
      </c>
      <c r="ED288" s="173">
        <f t="shared" si="862"/>
        <v>148.75120962343732</v>
      </c>
      <c r="EE288" s="460">
        <f t="shared" si="834"/>
        <v>0.23040127903747795</v>
      </c>
      <c r="EF288" s="5">
        <f t="shared" si="835"/>
        <v>14.324260178674029</v>
      </c>
      <c r="EH288" s="173">
        <f t="shared" si="863"/>
        <v>9.4362288179839435</v>
      </c>
      <c r="EI288" s="173">
        <f t="shared" si="864"/>
        <v>0.69201132831936907</v>
      </c>
      <c r="EK288" s="528">
        <f t="shared" si="865"/>
        <v>3.5616965722140259</v>
      </c>
      <c r="EL288" s="528">
        <f t="shared" si="866"/>
        <v>6.8487260196554987</v>
      </c>
      <c r="EM288" s="528">
        <f t="shared" si="867"/>
        <v>6.9999999999999993E-2</v>
      </c>
      <c r="EN288" s="528">
        <f t="shared" si="868"/>
        <v>4.2103293749999993E-2</v>
      </c>
      <c r="EO288">
        <f t="shared" si="869"/>
        <v>7.1999999999999998E-3</v>
      </c>
      <c r="EP288" s="460">
        <f t="shared" si="870"/>
        <v>77.199999999999989</v>
      </c>
      <c r="EQ288" s="460"/>
      <c r="ER288" s="460">
        <f t="shared" si="871"/>
        <v>10529.725885619524</v>
      </c>
      <c r="ES288" s="528">
        <f t="shared" si="872"/>
        <v>0.3024</v>
      </c>
      <c r="EV288" s="460">
        <f t="shared" si="873"/>
        <v>302.39999999999998</v>
      </c>
      <c r="EW288" s="528">
        <f t="shared" si="874"/>
        <v>2.6712724291605192</v>
      </c>
      <c r="EX288" s="528">
        <f t="shared" si="875"/>
        <v>1.4366390355670127E-2</v>
      </c>
      <c r="EY288" s="528">
        <f t="shared" si="876"/>
        <v>519.56538768663438</v>
      </c>
      <c r="EZ288" s="528"/>
      <c r="FA288" s="528">
        <f t="shared" si="877"/>
        <v>7.3656000000000015</v>
      </c>
      <c r="FB288" s="460">
        <f t="shared" si="878"/>
        <v>529616.62650615047</v>
      </c>
      <c r="FC288" s="173">
        <f t="shared" si="879"/>
        <v>540.44875239177009</v>
      </c>
      <c r="FD288" s="5">
        <f t="shared" si="880"/>
        <v>73.44</v>
      </c>
      <c r="FE288" s="173">
        <f t="shared" si="881"/>
        <v>0.11963079583046705</v>
      </c>
      <c r="FF288" s="5">
        <f t="shared" si="882"/>
        <v>11.963079583046705</v>
      </c>
      <c r="FI288" s="562">
        <f t="shared" si="836"/>
        <v>-50</v>
      </c>
      <c r="FJ288">
        <f t="shared" si="837"/>
        <v>-50</v>
      </c>
      <c r="FL288">
        <f t="shared" si="838"/>
        <v>0.59558492897707993</v>
      </c>
    </row>
    <row r="289" spans="5:168">
      <c r="E289" s="170">
        <v>73</v>
      </c>
      <c r="F289" s="217">
        <f t="shared" si="839"/>
        <v>0.438</v>
      </c>
      <c r="G289" s="217"/>
      <c r="H289" s="217">
        <f t="shared" si="764"/>
        <v>74.459999999999994</v>
      </c>
      <c r="I289" s="541">
        <f t="shared" si="765"/>
        <v>14.979000489716082</v>
      </c>
      <c r="J289" s="172">
        <f t="shared" si="766"/>
        <v>8.5260939280467323</v>
      </c>
      <c r="K289" s="172">
        <f t="shared" si="767"/>
        <v>23.505094417762812</v>
      </c>
      <c r="L289" s="443"/>
      <c r="M289" s="217">
        <f t="shared" si="768"/>
        <v>0.36273391635611102</v>
      </c>
      <c r="N289" s="172">
        <f t="shared" si="769"/>
        <v>183.72107828298002</v>
      </c>
      <c r="O289" s="172">
        <f t="shared" si="762"/>
        <v>74.459999999999994</v>
      </c>
      <c r="P289" s="217">
        <f t="shared" si="770"/>
        <v>1.080712225194</v>
      </c>
      <c r="Q289" s="217">
        <f t="shared" si="771"/>
        <v>170</v>
      </c>
      <c r="R289" s="217"/>
      <c r="S289" s="172">
        <f t="shared" si="772"/>
        <v>840.55246366351969</v>
      </c>
      <c r="T289" s="172">
        <f t="shared" si="773"/>
        <v>170</v>
      </c>
      <c r="U289" s="217">
        <f t="shared" si="774"/>
        <v>27.492440676931363</v>
      </c>
      <c r="V289" s="217">
        <f t="shared" si="775"/>
        <v>0.91769943848411162</v>
      </c>
      <c r="W289" s="217">
        <f t="shared" si="776"/>
        <v>1.6122529794384803</v>
      </c>
      <c r="X289" s="197">
        <f t="shared" si="777"/>
        <v>350</v>
      </c>
      <c r="Y289" s="443">
        <f t="shared" si="840"/>
        <v>350</v>
      </c>
      <c r="AA289" s="217">
        <f t="shared" si="778"/>
        <v>31.047947759435512</v>
      </c>
      <c r="AB289" s="173">
        <f t="shared" si="779"/>
        <v>1.8207603635061276</v>
      </c>
      <c r="AC289" s="173">
        <f t="shared" si="780"/>
        <v>0.49464513567515433</v>
      </c>
      <c r="AD289" s="173"/>
      <c r="AE289" s="173">
        <f t="shared" si="781"/>
        <v>0.78191335011411878</v>
      </c>
      <c r="AF289" s="545">
        <f t="shared" si="782"/>
        <v>1680.4931132180111</v>
      </c>
      <c r="AG289" s="528">
        <f t="shared" si="783"/>
        <v>9.1223224179980522E-2</v>
      </c>
      <c r="AI289" s="173">
        <f t="shared" si="784"/>
        <v>29.216156549746703</v>
      </c>
      <c r="AJ289" s="173">
        <f t="shared" si="785"/>
        <v>29.216156549746703</v>
      </c>
      <c r="AK289" s="173">
        <f t="shared" si="786"/>
        <v>12.965054234380272</v>
      </c>
      <c r="AM289" s="545">
        <f t="shared" si="787"/>
        <v>438</v>
      </c>
      <c r="AN289" s="460">
        <f t="shared" si="788"/>
        <v>350</v>
      </c>
      <c r="AP289">
        <f t="shared" si="789"/>
        <v>438</v>
      </c>
      <c r="AQ289">
        <f t="shared" si="790"/>
        <v>350</v>
      </c>
      <c r="AS289" s="5">
        <f t="shared" si="763"/>
        <v>2.8571428571428572</v>
      </c>
      <c r="AT289" s="5">
        <f t="shared" si="791"/>
        <v>0.97523718521156411</v>
      </c>
      <c r="AU289" s="5">
        <f t="shared" si="722"/>
        <v>1.881905671931293</v>
      </c>
      <c r="AV289" s="5"/>
      <c r="AW289" s="173">
        <f t="shared" si="723"/>
        <v>0.34133301482404743</v>
      </c>
      <c r="AX289" s="173">
        <f t="shared" si="792"/>
        <v>74.688582809689379</v>
      </c>
      <c r="AY289" s="173">
        <f t="shared" si="793"/>
        <v>0.48109294382625806</v>
      </c>
      <c r="AZ289" s="173">
        <f t="shared" si="794"/>
        <v>155.24772035871393</v>
      </c>
      <c r="BA289" s="460">
        <f t="shared" si="724"/>
        <v>0.25126699242509709</v>
      </c>
      <c r="BB289" s="5">
        <f t="shared" si="725"/>
        <v>14.96780204294233</v>
      </c>
      <c r="BD289" s="173">
        <f t="shared" si="841"/>
        <v>9.8548859805183131</v>
      </c>
      <c r="BE289" s="173">
        <f t="shared" si="842"/>
        <v>0.68448732059857409</v>
      </c>
      <c r="BG289" s="528">
        <f t="shared" si="843"/>
        <v>3.884751107560656</v>
      </c>
      <c r="BH289" s="528">
        <f t="shared" si="795"/>
        <v>5.4079870810292432</v>
      </c>
      <c r="BI289" s="528">
        <f t="shared" si="796"/>
        <v>0.20970600685602514</v>
      </c>
      <c r="BJ289" s="528">
        <f t="shared" si="844"/>
        <v>3.867426245115612E-2</v>
      </c>
      <c r="BK289">
        <f t="shared" si="845"/>
        <v>6.7405502203722366E-3</v>
      </c>
      <c r="BL289" s="460">
        <f t="shared" si="846"/>
        <v>216.44655707639737</v>
      </c>
      <c r="BM289" s="528">
        <f t="shared" si="797"/>
        <v>134.83855914020211</v>
      </c>
      <c r="BN289" s="460">
        <f t="shared" si="847"/>
        <v>134838.55914020209</v>
      </c>
      <c r="BO289" s="528">
        <f t="shared" si="798"/>
        <v>0.30659999999999998</v>
      </c>
      <c r="BR289" s="460">
        <f t="shared" si="848"/>
        <v>306.59999999999997</v>
      </c>
      <c r="BS289" s="528">
        <f t="shared" si="849"/>
        <v>2.9135633306704918</v>
      </c>
      <c r="BT289" s="528">
        <f t="shared" si="850"/>
        <v>1.4055686761806454E-2</v>
      </c>
      <c r="BU289" s="528">
        <f t="shared" si="851"/>
        <v>528.68601519020797</v>
      </c>
      <c r="BV289" s="528"/>
      <c r="BW289" s="528">
        <f t="shared" si="852"/>
        <v>7.4688582809689388</v>
      </c>
      <c r="BX289" s="460">
        <f t="shared" si="853"/>
        <v>539082.49248860916</v>
      </c>
      <c r="BY289" s="173">
        <f t="shared" si="854"/>
        <v>548.93695149672658</v>
      </c>
      <c r="BZ289" s="5">
        <f t="shared" si="855"/>
        <v>74.459999999999994</v>
      </c>
      <c r="CA289" s="173">
        <f t="shared" si="856"/>
        <v>0.11944235502151149</v>
      </c>
      <c r="CB289" s="5">
        <f t="shared" si="857"/>
        <v>11.944235502151148</v>
      </c>
      <c r="CE289" s="562">
        <f t="shared" si="799"/>
        <v>-50</v>
      </c>
      <c r="CF289">
        <f t="shared" si="800"/>
        <v>-50</v>
      </c>
      <c r="CG289" s="173">
        <f t="shared" si="801"/>
        <v>0.60058794722583397</v>
      </c>
      <c r="CI289" s="170">
        <v>73</v>
      </c>
      <c r="CJ289" s="217">
        <f t="shared" si="858"/>
        <v>0.438</v>
      </c>
      <c r="CK289" s="217"/>
      <c r="CL289" s="217">
        <f t="shared" si="802"/>
        <v>74.459999999999994</v>
      </c>
      <c r="CM289" s="541">
        <f t="shared" si="803"/>
        <v>16</v>
      </c>
      <c r="CN289" s="443">
        <f t="shared" si="804"/>
        <v>8.5250000000000004</v>
      </c>
      <c r="CO289" s="443">
        <f t="shared" si="805"/>
        <v>24.524999999999999</v>
      </c>
      <c r="CP289" s="443"/>
      <c r="CQ289" s="217">
        <f t="shared" si="806"/>
        <v>0.34760448521916415</v>
      </c>
      <c r="CR289" s="172">
        <f t="shared" si="807"/>
        <v>188.05866123003739</v>
      </c>
      <c r="CS289" s="172">
        <f t="shared" si="808"/>
        <v>74.459999999999994</v>
      </c>
      <c r="CT289" s="217">
        <f t="shared" si="809"/>
        <v>1.1062274190002199</v>
      </c>
      <c r="CU289" s="217">
        <f t="shared" si="810"/>
        <v>170</v>
      </c>
      <c r="CV289" s="217"/>
      <c r="CW289" s="172">
        <f t="shared" si="811"/>
        <v>897.83411962734522</v>
      </c>
      <c r="CX289" s="172">
        <f t="shared" si="812"/>
        <v>170</v>
      </c>
      <c r="CY289" s="217">
        <f t="shared" si="813"/>
        <v>26.776121700879759</v>
      </c>
      <c r="CZ289" s="217">
        <f t="shared" si="814"/>
        <v>0.83675380315249237</v>
      </c>
      <c r="DA289" s="217">
        <f t="shared" si="815"/>
        <v>1.5704470205794578</v>
      </c>
      <c r="DB289" s="197">
        <f t="shared" si="816"/>
        <v>350</v>
      </c>
      <c r="DC289" s="443">
        <f t="shared" si="817"/>
        <v>350</v>
      </c>
      <c r="DE289" s="217">
        <f t="shared" si="818"/>
        <v>31.780981505752148</v>
      </c>
      <c r="DF289" s="173">
        <f t="shared" si="819"/>
        <v>1.8639871850881022</v>
      </c>
      <c r="DG289" s="173">
        <f t="shared" si="820"/>
        <v>0.51834424474213492</v>
      </c>
      <c r="DH289" s="173"/>
      <c r="DI289" s="173">
        <f t="shared" si="821"/>
        <v>0.78201368523949166</v>
      </c>
      <c r="DJ289" s="545">
        <f t="shared" si="822"/>
        <v>1680.2774999999999</v>
      </c>
      <c r="DK289" s="528">
        <f t="shared" si="823"/>
        <v>9.1234929944607357E-2</v>
      </c>
      <c r="DM289" s="173">
        <f t="shared" si="824"/>
        <v>29.214282221445828</v>
      </c>
      <c r="DN289" s="173">
        <f t="shared" si="825"/>
        <v>29.214282221445828</v>
      </c>
      <c r="DO289" s="173">
        <f t="shared" si="826"/>
        <v>12.963665843046291</v>
      </c>
      <c r="DQ289" s="545">
        <f t="shared" si="827"/>
        <v>438</v>
      </c>
      <c r="DR289" s="460">
        <f t="shared" si="828"/>
        <v>350</v>
      </c>
      <c r="DT289">
        <f t="shared" si="829"/>
        <v>438</v>
      </c>
      <c r="DU289">
        <f t="shared" si="830"/>
        <v>350</v>
      </c>
      <c r="DW289" s="5">
        <f t="shared" si="859"/>
        <v>2.8571428571428572</v>
      </c>
      <c r="DX289" s="5">
        <f t="shared" si="831"/>
        <v>0.91294631942018212</v>
      </c>
      <c r="DY289" s="5">
        <f t="shared" si="832"/>
        <v>1.9441965377226751</v>
      </c>
      <c r="DZ289" s="5"/>
      <c r="EA289" s="173">
        <f t="shared" si="833"/>
        <v>0.31953121179706373</v>
      </c>
      <c r="EB289" s="173">
        <f t="shared" si="860"/>
        <v>74.679000000000002</v>
      </c>
      <c r="EC289" s="173">
        <f t="shared" si="861"/>
        <v>0.49698518053614577</v>
      </c>
      <c r="ED289" s="173">
        <f t="shared" si="862"/>
        <v>150.26403789231014</v>
      </c>
      <c r="EE289" s="460">
        <f t="shared" si="834"/>
        <v>0.23521793406237634</v>
      </c>
      <c r="EF289" s="5">
        <f t="shared" si="835"/>
        <v>14.476487419883037</v>
      </c>
      <c r="EH289" s="173">
        <f t="shared" si="863"/>
        <v>9.5343531986866505</v>
      </c>
      <c r="EI289" s="173">
        <f t="shared" si="864"/>
        <v>0.69567869317329656</v>
      </c>
      <c r="EK289" s="528">
        <f t="shared" si="865"/>
        <v>3.6361556366922549</v>
      </c>
      <c r="EL289" s="528">
        <f t="shared" si="866"/>
        <v>6.8961226130042297</v>
      </c>
      <c r="EM289" s="528">
        <f t="shared" si="867"/>
        <v>6.9999999999999993E-2</v>
      </c>
      <c r="EN289" s="528">
        <f t="shared" si="868"/>
        <v>4.2103293749999993E-2</v>
      </c>
      <c r="EO289">
        <f t="shared" si="869"/>
        <v>7.1999999999999998E-3</v>
      </c>
      <c r="EP289" s="460">
        <f t="shared" si="870"/>
        <v>77.199999999999989</v>
      </c>
      <c r="EQ289" s="460"/>
      <c r="ER289" s="460">
        <f t="shared" si="871"/>
        <v>10651.581543446484</v>
      </c>
      <c r="ES289" s="528">
        <f t="shared" si="872"/>
        <v>0.30659999999999998</v>
      </c>
      <c r="EV289" s="460">
        <f t="shared" si="873"/>
        <v>306.59999999999997</v>
      </c>
      <c r="EW289" s="528">
        <f t="shared" si="874"/>
        <v>2.7271167275191912</v>
      </c>
      <c r="EX289" s="528">
        <f t="shared" si="875"/>
        <v>1.4519065324059171E-2</v>
      </c>
      <c r="EY289" s="528">
        <f t="shared" si="876"/>
        <v>528.60122618995445</v>
      </c>
      <c r="EZ289" s="528"/>
      <c r="FA289" s="528">
        <f t="shared" si="877"/>
        <v>7.4679000000000011</v>
      </c>
      <c r="FB289" s="460">
        <f t="shared" si="878"/>
        <v>538810.76198279765</v>
      </c>
      <c r="FC289" s="173">
        <f t="shared" si="879"/>
        <v>549.76894352624413</v>
      </c>
      <c r="FD289" s="5">
        <f t="shared" si="880"/>
        <v>74.459999999999994</v>
      </c>
      <c r="FE289" s="173">
        <f t="shared" si="881"/>
        <v>0.11928315848249274</v>
      </c>
      <c r="FF289" s="5">
        <f t="shared" si="882"/>
        <v>11.928315848249275</v>
      </c>
      <c r="FI289" s="562">
        <f t="shared" si="836"/>
        <v>-50</v>
      </c>
      <c r="FJ289">
        <f t="shared" si="837"/>
        <v>-50</v>
      </c>
      <c r="FL289">
        <f t="shared" si="838"/>
        <v>0.59970667316750959</v>
      </c>
    </row>
    <row r="290" spans="5:168">
      <c r="E290" s="170">
        <v>74</v>
      </c>
      <c r="F290" s="217">
        <f t="shared" si="839"/>
        <v>0.44400000000000001</v>
      </c>
      <c r="G290" s="217"/>
      <c r="H290" s="217">
        <f t="shared" si="764"/>
        <v>75.48</v>
      </c>
      <c r="I290" s="541">
        <f t="shared" si="765"/>
        <v>14.972031128875976</v>
      </c>
      <c r="J290" s="172">
        <f t="shared" si="766"/>
        <v>8.5261013952190616</v>
      </c>
      <c r="K290" s="172">
        <f t="shared" si="767"/>
        <v>23.498132524095038</v>
      </c>
      <c r="L290" s="443"/>
      <c r="M290" s="217">
        <f t="shared" si="768"/>
        <v>0.36284170317463421</v>
      </c>
      <c r="N290" s="172">
        <f t="shared" si="769"/>
        <v>183.69016491806349</v>
      </c>
      <c r="O290" s="172">
        <f t="shared" si="762"/>
        <v>75.48</v>
      </c>
      <c r="P290" s="217">
        <f t="shared" si="770"/>
        <v>1.0805303818709617</v>
      </c>
      <c r="Q290" s="217">
        <f t="shared" si="771"/>
        <v>170</v>
      </c>
      <c r="R290" s="217"/>
      <c r="S290" s="172">
        <f t="shared" si="772"/>
        <v>824.76715886522538</v>
      </c>
      <c r="T290" s="172">
        <f t="shared" si="773"/>
        <v>170</v>
      </c>
      <c r="U290" s="217">
        <f t="shared" si="774"/>
        <v>27.873764005725114</v>
      </c>
      <c r="V290" s="217">
        <f t="shared" si="775"/>
        <v>0.93086114254618613</v>
      </c>
      <c r="W290" s="217">
        <f t="shared" si="776"/>
        <v>1.6346136829521571</v>
      </c>
      <c r="X290" s="197">
        <f t="shared" si="777"/>
        <v>350</v>
      </c>
      <c r="Y290" s="443">
        <f t="shared" si="840"/>
        <v>350</v>
      </c>
      <c r="AA290" s="217">
        <f t="shared" si="778"/>
        <v>31.042723529814111</v>
      </c>
      <c r="AB290" s="173">
        <f t="shared" si="779"/>
        <v>1.8204524020334225</v>
      </c>
      <c r="AC290" s="173">
        <f t="shared" si="780"/>
        <v>0.4944782553857085</v>
      </c>
      <c r="AD290" s="173"/>
      <c r="AE290" s="173">
        <f t="shared" si="781"/>
        <v>0.78191266531323955</v>
      </c>
      <c r="AF290" s="545">
        <f t="shared" si="782"/>
        <v>1703.5150587647686</v>
      </c>
      <c r="AG290" s="528">
        <f t="shared" si="783"/>
        <v>9.1223144286544613E-2</v>
      </c>
      <c r="AI290" s="173">
        <f t="shared" si="784"/>
        <v>29.415599435779505</v>
      </c>
      <c r="AJ290" s="173">
        <f t="shared" si="785"/>
        <v>29.415599435779505</v>
      </c>
      <c r="AK290" s="173">
        <f t="shared" si="786"/>
        <v>13.112789705515681</v>
      </c>
      <c r="AM290" s="545">
        <f t="shared" si="787"/>
        <v>444</v>
      </c>
      <c r="AN290" s="460">
        <f t="shared" si="788"/>
        <v>350</v>
      </c>
      <c r="AP290">
        <f t="shared" si="789"/>
        <v>444</v>
      </c>
      <c r="AQ290">
        <f t="shared" si="790"/>
        <v>350</v>
      </c>
      <c r="AS290" s="5">
        <f t="shared" si="763"/>
        <v>2.8571428571428572</v>
      </c>
      <c r="AT290" s="5">
        <f t="shared" si="791"/>
        <v>0.9823516656683533</v>
      </c>
      <c r="AU290" s="5">
        <f t="shared" si="722"/>
        <v>1.8747911914745039</v>
      </c>
      <c r="AV290" s="5"/>
      <c r="AW290" s="173">
        <f t="shared" si="723"/>
        <v>0.34382308298392367</v>
      </c>
      <c r="AX290" s="173">
        <f t="shared" si="792"/>
        <v>75.711780389545268</v>
      </c>
      <c r="AY290" s="173">
        <f t="shared" si="793"/>
        <v>0.48254593374874072</v>
      </c>
      <c r="AZ290" s="173">
        <f t="shared" si="794"/>
        <v>156.90067016286997</v>
      </c>
      <c r="BA290" s="460">
        <f t="shared" si="724"/>
        <v>0.25656714091573463</v>
      </c>
      <c r="BB290" s="5">
        <f t="shared" si="725"/>
        <v>15.12251615449259</v>
      </c>
      <c r="BD290" s="173">
        <f t="shared" si="841"/>
        <v>9.9582859017929621</v>
      </c>
      <c r="BE290" s="173">
        <f t="shared" si="842"/>
        <v>0.68785603863301603</v>
      </c>
      <c r="BG290" s="528">
        <f t="shared" si="843"/>
        <v>3.9666983240739389</v>
      </c>
      <c r="BH290" s="528">
        <f t="shared" si="795"/>
        <v>5.4432917738139306</v>
      </c>
      <c r="BI290" s="528">
        <f t="shared" si="796"/>
        <v>0.20960843580426367</v>
      </c>
      <c r="BJ290" s="528">
        <f t="shared" si="844"/>
        <v>3.8651356248395309E-2</v>
      </c>
      <c r="BK290">
        <f t="shared" si="845"/>
        <v>6.7374140079941892E-3</v>
      </c>
      <c r="BL290" s="460">
        <f t="shared" si="846"/>
        <v>216.34584981225785</v>
      </c>
      <c r="BM290" s="528">
        <f t="shared" si="797"/>
        <v>182.91074095343558</v>
      </c>
      <c r="BN290" s="460">
        <f t="shared" si="847"/>
        <v>182910.74095343557</v>
      </c>
      <c r="BO290" s="528">
        <f t="shared" si="798"/>
        <v>0.31079999999999997</v>
      </c>
      <c r="BR290" s="460">
        <f t="shared" si="848"/>
        <v>310.79999999999995</v>
      </c>
      <c r="BS290" s="528">
        <f t="shared" si="849"/>
        <v>2.9750237430554538</v>
      </c>
      <c r="BT290" s="528">
        <f t="shared" si="850"/>
        <v>1.4194377896517157E-2</v>
      </c>
      <c r="BU290" s="528">
        <f t="shared" si="851"/>
        <v>537.75489529585104</v>
      </c>
      <c r="BV290" s="528"/>
      <c r="BW290" s="528">
        <f t="shared" si="852"/>
        <v>7.5711780389545265</v>
      </c>
      <c r="BX290" s="460">
        <f t="shared" si="853"/>
        <v>548315.29145575745</v>
      </c>
      <c r="BY290" s="173">
        <f t="shared" si="854"/>
        <v>558.29107875970601</v>
      </c>
      <c r="BZ290" s="5">
        <f t="shared" si="855"/>
        <v>75.48</v>
      </c>
      <c r="CA290" s="173">
        <f t="shared" si="856"/>
        <v>0.11909663051793849</v>
      </c>
      <c r="CB290" s="5">
        <f t="shared" si="857"/>
        <v>11.909663051793849</v>
      </c>
      <c r="CE290" s="562">
        <f t="shared" si="799"/>
        <v>-50</v>
      </c>
      <c r="CF290">
        <f t="shared" si="800"/>
        <v>-50</v>
      </c>
      <c r="CG290" s="173">
        <f t="shared" si="801"/>
        <v>0.60468757124942585</v>
      </c>
      <c r="CI290" s="170">
        <v>74</v>
      </c>
      <c r="CJ290" s="217">
        <f t="shared" si="858"/>
        <v>0.44400000000000001</v>
      </c>
      <c r="CK290" s="217"/>
      <c r="CL290" s="217">
        <f t="shared" si="802"/>
        <v>75.48</v>
      </c>
      <c r="CM290" s="541">
        <f t="shared" si="803"/>
        <v>16</v>
      </c>
      <c r="CN290" s="443">
        <f t="shared" si="804"/>
        <v>8.5250000000000004</v>
      </c>
      <c r="CO290" s="443">
        <f t="shared" si="805"/>
        <v>24.524999999999999</v>
      </c>
      <c r="CP290" s="443"/>
      <c r="CQ290" s="217">
        <f t="shared" si="806"/>
        <v>0.34760448521916415</v>
      </c>
      <c r="CR290" s="172">
        <f t="shared" si="807"/>
        <v>188.05866123003739</v>
      </c>
      <c r="CS290" s="172">
        <f t="shared" si="808"/>
        <v>75.48</v>
      </c>
      <c r="CT290" s="217">
        <f t="shared" si="809"/>
        <v>1.1062274190002199</v>
      </c>
      <c r="CU290" s="217">
        <f t="shared" si="810"/>
        <v>170</v>
      </c>
      <c r="CV290" s="217"/>
      <c r="CW290" s="172">
        <f t="shared" si="811"/>
        <v>881.38263123999809</v>
      </c>
      <c r="CX290" s="172">
        <f t="shared" si="812"/>
        <v>170</v>
      </c>
      <c r="CY290" s="217">
        <f t="shared" si="813"/>
        <v>27.142917888563048</v>
      </c>
      <c r="CZ290" s="217">
        <f t="shared" si="814"/>
        <v>0.84821618401759524</v>
      </c>
      <c r="DA290" s="217">
        <f t="shared" si="815"/>
        <v>1.5919599934641082</v>
      </c>
      <c r="DB290" s="197">
        <f t="shared" si="816"/>
        <v>350</v>
      </c>
      <c r="DC290" s="443">
        <f t="shared" si="817"/>
        <v>350</v>
      </c>
      <c r="DE290" s="217">
        <f t="shared" si="818"/>
        <v>31.780981505752148</v>
      </c>
      <c r="DF290" s="173">
        <f t="shared" si="819"/>
        <v>1.8639871850881022</v>
      </c>
      <c r="DG290" s="173">
        <f t="shared" si="820"/>
        <v>0.51834424474213492</v>
      </c>
      <c r="DH290" s="173"/>
      <c r="DI290" s="173">
        <f t="shared" si="821"/>
        <v>0.78201368523949166</v>
      </c>
      <c r="DJ290" s="545">
        <f t="shared" si="822"/>
        <v>1703.2950000000001</v>
      </c>
      <c r="DK290" s="528">
        <f t="shared" si="823"/>
        <v>9.1234929944607357E-2</v>
      </c>
      <c r="DM290" s="173">
        <f t="shared" si="824"/>
        <v>29.413699432164503</v>
      </c>
      <c r="DN290" s="173">
        <f t="shared" si="825"/>
        <v>29.413699432164503</v>
      </c>
      <c r="DO290" s="173">
        <f t="shared" si="826"/>
        <v>13.111382295430497</v>
      </c>
      <c r="DQ290" s="545">
        <f t="shared" si="827"/>
        <v>444</v>
      </c>
      <c r="DR290" s="460">
        <f t="shared" si="828"/>
        <v>350</v>
      </c>
      <c r="DT290">
        <f t="shared" si="829"/>
        <v>444</v>
      </c>
      <c r="DU290">
        <f t="shared" si="830"/>
        <v>350</v>
      </c>
      <c r="DW290" s="5">
        <f t="shared" si="859"/>
        <v>2.8571428571428572</v>
      </c>
      <c r="DX290" s="5">
        <f t="shared" si="831"/>
        <v>0.9191781072551406</v>
      </c>
      <c r="DY290" s="5">
        <f t="shared" si="832"/>
        <v>1.9379647498877166</v>
      </c>
      <c r="DZ290" s="5"/>
      <c r="EA290" s="173">
        <f t="shared" si="833"/>
        <v>0.32171233753929918</v>
      </c>
      <c r="EB290" s="173">
        <f t="shared" si="860"/>
        <v>75.702000000000012</v>
      </c>
      <c r="EC290" s="173">
        <f t="shared" si="861"/>
        <v>0.49877373580411266</v>
      </c>
      <c r="ED290" s="173">
        <f t="shared" si="862"/>
        <v>151.77623552682624</v>
      </c>
      <c r="EE290" s="460">
        <f t="shared" si="834"/>
        <v>0.24006769389487201</v>
      </c>
      <c r="EF290" s="5">
        <f t="shared" si="835"/>
        <v>14.627757932152486</v>
      </c>
      <c r="EH290" s="173">
        <f t="shared" si="863"/>
        <v>9.6321420999643106</v>
      </c>
      <c r="EI290" s="173">
        <f t="shared" si="864"/>
        <v>0.69930395750822594</v>
      </c>
      <c r="EK290" s="528">
        <f t="shared" si="865"/>
        <v>3.7111264573561953</v>
      </c>
      <c r="EL290" s="528">
        <f t="shared" si="866"/>
        <v>6.9431956687731562</v>
      </c>
      <c r="EM290" s="528">
        <f t="shared" si="867"/>
        <v>6.9999999999999993E-2</v>
      </c>
      <c r="EN290" s="528">
        <f t="shared" si="868"/>
        <v>4.2103293749999993E-2</v>
      </c>
      <c r="EO290">
        <f t="shared" si="869"/>
        <v>7.1999999999999998E-3</v>
      </c>
      <c r="EP290" s="460">
        <f t="shared" si="870"/>
        <v>77.199999999999989</v>
      </c>
      <c r="EQ290" s="460"/>
      <c r="ER290" s="460">
        <f t="shared" si="871"/>
        <v>10773.62541987935</v>
      </c>
      <c r="ES290" s="528">
        <f t="shared" si="872"/>
        <v>0.31079999999999997</v>
      </c>
      <c r="EV290" s="460">
        <f t="shared" si="873"/>
        <v>310.79999999999995</v>
      </c>
      <c r="EW290" s="528">
        <f t="shared" si="874"/>
        <v>2.7833448430171464</v>
      </c>
      <c r="EX290" s="528">
        <f t="shared" si="875"/>
        <v>1.4670780749599998E-2</v>
      </c>
      <c r="EY290" s="528">
        <f t="shared" si="876"/>
        <v>537.66806324343474</v>
      </c>
      <c r="EZ290" s="528"/>
      <c r="FA290" s="528">
        <f t="shared" si="877"/>
        <v>7.5702000000000007</v>
      </c>
      <c r="FB290" s="460">
        <f t="shared" si="878"/>
        <v>548036.27886720153</v>
      </c>
      <c r="FC290" s="173">
        <f t="shared" si="879"/>
        <v>559.1207042870808</v>
      </c>
      <c r="FD290" s="5">
        <f t="shared" si="880"/>
        <v>75.48</v>
      </c>
      <c r="FE290" s="173">
        <f t="shared" si="881"/>
        <v>0.11894093323579789</v>
      </c>
      <c r="FF290" s="5">
        <f t="shared" si="882"/>
        <v>11.894093323579789</v>
      </c>
      <c r="FI290" s="562">
        <f t="shared" si="836"/>
        <v>-50</v>
      </c>
      <c r="FJ290">
        <f t="shared" si="837"/>
        <v>-50</v>
      </c>
      <c r="FL290">
        <f t="shared" si="838"/>
        <v>0.60380028159868471</v>
      </c>
    </row>
    <row r="291" spans="5:168">
      <c r="E291" s="170">
        <v>75</v>
      </c>
      <c r="F291" s="217">
        <f t="shared" si="839"/>
        <v>0.44999999999999996</v>
      </c>
      <c r="G291" s="217"/>
      <c r="H291" s="217">
        <f t="shared" si="764"/>
        <v>76.499999999999986</v>
      </c>
      <c r="I291" s="541">
        <f t="shared" si="765"/>
        <v>14.96510870136038</v>
      </c>
      <c r="J291" s="172">
        <f t="shared" si="766"/>
        <v>8.5261088121056865</v>
      </c>
      <c r="K291" s="172">
        <f t="shared" si="767"/>
        <v>23.491217513466069</v>
      </c>
      <c r="L291" s="443"/>
      <c r="M291" s="217">
        <f t="shared" si="768"/>
        <v>0.36294882737495382</v>
      </c>
      <c r="N291" s="172">
        <f t="shared" si="769"/>
        <v>183.6594414441704</v>
      </c>
      <c r="O291" s="172">
        <f t="shared" si="762"/>
        <v>76.499999999999986</v>
      </c>
      <c r="P291" s="217">
        <f t="shared" si="770"/>
        <v>1.0803496555539436</v>
      </c>
      <c r="Q291" s="217">
        <f t="shared" si="771"/>
        <v>170</v>
      </c>
      <c r="R291" s="217"/>
      <c r="S291" s="172">
        <f t="shared" si="772"/>
        <v>809.4091715918903</v>
      </c>
      <c r="T291" s="172">
        <f t="shared" si="773"/>
        <v>170</v>
      </c>
      <c r="U291" s="217">
        <f t="shared" si="774"/>
        <v>28.25518698259172</v>
      </c>
      <c r="V291" s="217">
        <f t="shared" si="775"/>
        <v>0.94403547433047463</v>
      </c>
      <c r="W291" s="217">
        <f t="shared" si="776"/>
        <v>1.6569802007730627</v>
      </c>
      <c r="X291" s="197">
        <f t="shared" si="777"/>
        <v>350</v>
      </c>
      <c r="Y291" s="443">
        <f t="shared" si="840"/>
        <v>350</v>
      </c>
      <c r="AA291" s="217">
        <f t="shared" si="778"/>
        <v>31.037531391014873</v>
      </c>
      <c r="AB291" s="173">
        <f t="shared" si="779"/>
        <v>1.820146333749965</v>
      </c>
      <c r="AC291" s="173">
        <f t="shared" si="780"/>
        <v>0.49431242848754531</v>
      </c>
      <c r="AD291" s="173"/>
      <c r="AE291" s="173">
        <f t="shared" si="781"/>
        <v>0.7819119851251588</v>
      </c>
      <c r="AF291" s="545">
        <f t="shared" si="782"/>
        <v>1726.5370344514008</v>
      </c>
      <c r="AG291" s="528">
        <f t="shared" si="783"/>
        <v>9.1223064931268555E-2</v>
      </c>
      <c r="AI291" s="173">
        <f t="shared" si="784"/>
        <v>29.6136993991345</v>
      </c>
      <c r="AJ291" s="173">
        <f t="shared" si="785"/>
        <v>29.6136993991345</v>
      </c>
      <c r="AK291" s="173">
        <f t="shared" si="786"/>
        <v>13.259530419111975</v>
      </c>
      <c r="AM291" s="545">
        <f t="shared" si="787"/>
        <v>449.99999999999994</v>
      </c>
      <c r="AN291" s="460">
        <f t="shared" si="788"/>
        <v>350</v>
      </c>
      <c r="AP291">
        <f t="shared" si="789"/>
        <v>449.99999999999994</v>
      </c>
      <c r="AQ291">
        <f t="shared" si="790"/>
        <v>350</v>
      </c>
      <c r="AS291" s="5">
        <f t="shared" si="763"/>
        <v>2.8571428571428572</v>
      </c>
      <c r="AT291" s="5">
        <f t="shared" si="791"/>
        <v>0.98942480105214703</v>
      </c>
      <c r="AU291" s="5">
        <f t="shared" si="722"/>
        <v>1.8677180560907103</v>
      </c>
      <c r="AV291" s="5"/>
      <c r="AW291" s="173">
        <f t="shared" si="723"/>
        <v>0.34629868036825145</v>
      </c>
      <c r="AX291" s="173">
        <f t="shared" si="792"/>
        <v>76.734979308951168</v>
      </c>
      <c r="AY291" s="173">
        <f t="shared" si="793"/>
        <v>0.48396285940980349</v>
      </c>
      <c r="AZ291" s="173">
        <f t="shared" si="794"/>
        <v>158.55551271543871</v>
      </c>
      <c r="BA291" s="460">
        <f t="shared" si="724"/>
        <v>0.26190656498439185</v>
      </c>
      <c r="BB291" s="5">
        <f t="shared" si="725"/>
        <v>15.276112898847277</v>
      </c>
      <c r="BD291" s="173">
        <f t="shared" si="841"/>
        <v>10.061377747704313</v>
      </c>
      <c r="BE291" s="173">
        <f t="shared" si="842"/>
        <v>0.69118088898414798</v>
      </c>
      <c r="BG291" s="528">
        <f t="shared" si="843"/>
        <v>4.0492528872799811</v>
      </c>
      <c r="BH291" s="528">
        <f t="shared" si="795"/>
        <v>5.4783370999623102</v>
      </c>
      <c r="BI291" s="528">
        <f t="shared" si="796"/>
        <v>0.20951152181904534</v>
      </c>
      <c r="BJ291" s="528">
        <f t="shared" si="844"/>
        <v>3.8628611018548246E-2</v>
      </c>
      <c r="BK291">
        <f t="shared" si="845"/>
        <v>6.7342989156121708E-3</v>
      </c>
      <c r="BL291" s="460">
        <f t="shared" si="846"/>
        <v>216.24582073465751</v>
      </c>
      <c r="BM291" s="528">
        <f t="shared" si="797"/>
        <v>281.27219328453936</v>
      </c>
      <c r="BN291" s="460">
        <f t="shared" si="847"/>
        <v>281272.19328453933</v>
      </c>
      <c r="BO291" s="528">
        <f t="shared" si="798"/>
        <v>0.31499999999999995</v>
      </c>
      <c r="BR291" s="460">
        <f t="shared" si="848"/>
        <v>314.99999999999994</v>
      </c>
      <c r="BS291" s="528">
        <f t="shared" si="849"/>
        <v>3.0369396654599852</v>
      </c>
      <c r="BT291" s="528">
        <f t="shared" si="850"/>
        <v>1.4331930638907512E-2</v>
      </c>
      <c r="BU291" s="528">
        <f t="shared" si="851"/>
        <v>546.85448003912393</v>
      </c>
      <c r="BV291" s="528"/>
      <c r="BW291" s="528">
        <f t="shared" si="852"/>
        <v>7.6734979308951177</v>
      </c>
      <c r="BX291" s="460">
        <f t="shared" si="853"/>
        <v>557579.24956611788</v>
      </c>
      <c r="BY291" s="173">
        <f t="shared" si="854"/>
        <v>567.67671398511345</v>
      </c>
      <c r="BZ291" s="5">
        <f t="shared" si="855"/>
        <v>76.499999999999986</v>
      </c>
      <c r="CA291" s="173">
        <f t="shared" si="856"/>
        <v>0.11875623309439878</v>
      </c>
      <c r="CB291" s="5">
        <f t="shared" si="857"/>
        <v>11.875623309439879</v>
      </c>
      <c r="CE291" s="562">
        <f t="shared" si="799"/>
        <v>-50</v>
      </c>
      <c r="CF291">
        <f t="shared" si="800"/>
        <v>-50</v>
      </c>
      <c r="CG291" s="173">
        <f t="shared" si="801"/>
        <v>0.60875958743507075</v>
      </c>
      <c r="CI291" s="170">
        <v>75</v>
      </c>
      <c r="CJ291" s="217">
        <f t="shared" si="858"/>
        <v>0.44999999999999996</v>
      </c>
      <c r="CK291" s="217"/>
      <c r="CL291" s="217">
        <f t="shared" si="802"/>
        <v>76.499999999999986</v>
      </c>
      <c r="CM291" s="541">
        <f t="shared" si="803"/>
        <v>16</v>
      </c>
      <c r="CN291" s="443">
        <f t="shared" si="804"/>
        <v>8.5250000000000004</v>
      </c>
      <c r="CO291" s="443">
        <f t="shared" si="805"/>
        <v>24.524999999999999</v>
      </c>
      <c r="CP291" s="443"/>
      <c r="CQ291" s="217">
        <f t="shared" si="806"/>
        <v>0.34760448521916415</v>
      </c>
      <c r="CR291" s="172">
        <f t="shared" si="807"/>
        <v>188.05866123003739</v>
      </c>
      <c r="CS291" s="172">
        <f t="shared" si="808"/>
        <v>76.499999999999986</v>
      </c>
      <c r="CT291" s="217">
        <f t="shared" si="809"/>
        <v>1.1062274190002199</v>
      </c>
      <c r="CU291" s="217">
        <f t="shared" si="810"/>
        <v>170</v>
      </c>
      <c r="CV291" s="217"/>
      <c r="CW291" s="172">
        <f t="shared" si="811"/>
        <v>865.3699704363928</v>
      </c>
      <c r="CX291" s="172">
        <f t="shared" si="812"/>
        <v>170</v>
      </c>
      <c r="CY291" s="217">
        <f t="shared" si="813"/>
        <v>27.509714076246325</v>
      </c>
      <c r="CZ291" s="217">
        <f t="shared" si="814"/>
        <v>0.85967856488269767</v>
      </c>
      <c r="DA291" s="217">
        <f t="shared" si="815"/>
        <v>1.6134729663487581</v>
      </c>
      <c r="DB291" s="197">
        <f t="shared" si="816"/>
        <v>350</v>
      </c>
      <c r="DC291" s="443">
        <f t="shared" si="817"/>
        <v>350</v>
      </c>
      <c r="DE291" s="217">
        <f t="shared" si="818"/>
        <v>31.780981505752148</v>
      </c>
      <c r="DF291" s="173">
        <f t="shared" si="819"/>
        <v>1.8639871850881022</v>
      </c>
      <c r="DG291" s="173">
        <f t="shared" si="820"/>
        <v>0.51834424474213492</v>
      </c>
      <c r="DH291" s="173"/>
      <c r="DI291" s="173">
        <f t="shared" si="821"/>
        <v>0.78201368523949166</v>
      </c>
      <c r="DJ291" s="545">
        <f t="shared" si="822"/>
        <v>1726.3124999999998</v>
      </c>
      <c r="DK291" s="528">
        <f t="shared" si="823"/>
        <v>9.1234929944607357E-2</v>
      </c>
      <c r="DM291" s="173">
        <f t="shared" si="824"/>
        <v>29.611773720213769</v>
      </c>
      <c r="DN291" s="173">
        <f t="shared" si="825"/>
        <v>29.611773720213769</v>
      </c>
      <c r="DO291" s="173">
        <f t="shared" si="826"/>
        <v>13.258103990281802</v>
      </c>
      <c r="DQ291" s="545">
        <f t="shared" si="827"/>
        <v>449.99999999999994</v>
      </c>
      <c r="DR291" s="460">
        <f t="shared" si="828"/>
        <v>350</v>
      </c>
      <c r="DT291">
        <f t="shared" si="829"/>
        <v>449.99999999999994</v>
      </c>
      <c r="DU291">
        <f t="shared" si="830"/>
        <v>350</v>
      </c>
      <c r="DW291" s="5">
        <f t="shared" si="859"/>
        <v>2.8571428571428572</v>
      </c>
      <c r="DX291" s="5">
        <f t="shared" si="831"/>
        <v>0.92536792875668028</v>
      </c>
      <c r="DY291" s="5">
        <f t="shared" si="832"/>
        <v>1.9317749283861769</v>
      </c>
      <c r="DZ291" s="5"/>
      <c r="EA291" s="173">
        <f t="shared" si="833"/>
        <v>0.32387877506483809</v>
      </c>
      <c r="EB291" s="173">
        <f t="shared" si="860"/>
        <v>76.724999999999994</v>
      </c>
      <c r="EC291" s="173">
        <f t="shared" si="861"/>
        <v>0.50052871800534426</v>
      </c>
      <c r="ED291" s="173">
        <f t="shared" si="862"/>
        <v>153.28790784624027</v>
      </c>
      <c r="EE291" s="460">
        <f t="shared" si="834"/>
        <v>0.24495033408265066</v>
      </c>
      <c r="EF291" s="5">
        <f t="shared" si="835"/>
        <v>14.778078202154251</v>
      </c>
      <c r="EH291" s="173">
        <f t="shared" si="863"/>
        <v>9.7296011794835859</v>
      </c>
      <c r="EI291" s="173">
        <f t="shared" si="864"/>
        <v>0.70288792700882607</v>
      </c>
      <c r="EK291" s="528">
        <f t="shared" si="865"/>
        <v>3.7866055644723353</v>
      </c>
      <c r="EL291" s="528">
        <f t="shared" si="866"/>
        <v>6.9899517234493365</v>
      </c>
      <c r="EM291" s="528">
        <f t="shared" si="867"/>
        <v>6.9999999999999993E-2</v>
      </c>
      <c r="EN291" s="528">
        <f t="shared" si="868"/>
        <v>4.2103293749999993E-2</v>
      </c>
      <c r="EO291">
        <f t="shared" si="869"/>
        <v>7.1999999999999998E-3</v>
      </c>
      <c r="EP291" s="460">
        <f t="shared" si="870"/>
        <v>77.199999999999989</v>
      </c>
      <c r="EQ291" s="460"/>
      <c r="ER291" s="460">
        <f t="shared" si="871"/>
        <v>10895.860581671672</v>
      </c>
      <c r="ES291" s="528">
        <f t="shared" si="872"/>
        <v>0.31499999999999995</v>
      </c>
      <c r="EV291" s="460">
        <f t="shared" si="873"/>
        <v>314.99999999999994</v>
      </c>
      <c r="EW291" s="528">
        <f t="shared" si="874"/>
        <v>2.8399541733542515</v>
      </c>
      <c r="EX291" s="528">
        <f t="shared" si="875"/>
        <v>1.4821543138042943E-2</v>
      </c>
      <c r="EY291" s="528">
        <f t="shared" si="876"/>
        <v>546.76558412196073</v>
      </c>
      <c r="EZ291" s="528"/>
      <c r="FA291" s="528">
        <f t="shared" si="877"/>
        <v>7.6725000000000003</v>
      </c>
      <c r="FB291" s="460">
        <f t="shared" si="878"/>
        <v>557292.85983845312</v>
      </c>
      <c r="FC291" s="173">
        <f t="shared" si="879"/>
        <v>568.50372042012475</v>
      </c>
      <c r="FD291" s="5">
        <f t="shared" si="880"/>
        <v>76.499999999999986</v>
      </c>
      <c r="FE291" s="173">
        <f t="shared" si="881"/>
        <v>0.1186039670440529</v>
      </c>
      <c r="FF291" s="5">
        <f t="shared" si="882"/>
        <v>11.860396704405291</v>
      </c>
      <c r="FI291" s="562">
        <f t="shared" si="836"/>
        <v>-50</v>
      </c>
      <c r="FJ291">
        <f t="shared" si="837"/>
        <v>-50</v>
      </c>
      <c r="FL291">
        <f t="shared" si="838"/>
        <v>0.60786632270233543</v>
      </c>
    </row>
    <row r="292" spans="5:168">
      <c r="E292" s="170">
        <v>76</v>
      </c>
      <c r="F292" s="217">
        <f t="shared" si="839"/>
        <v>0.45599999999999996</v>
      </c>
      <c r="G292" s="217"/>
      <c r="H292" s="217">
        <f t="shared" si="764"/>
        <v>77.52</v>
      </c>
      <c r="I292" s="541">
        <f t="shared" si="765"/>
        <v>14.958232271569138</v>
      </c>
      <c r="J292" s="172">
        <f t="shared" si="766"/>
        <v>8.5261161797090335</v>
      </c>
      <c r="K292" s="172">
        <f t="shared" si="767"/>
        <v>23.484348451278173</v>
      </c>
      <c r="L292" s="443"/>
      <c r="M292" s="217">
        <f t="shared" si="768"/>
        <v>0.36305530222126908</v>
      </c>
      <c r="N292" s="172">
        <f t="shared" si="769"/>
        <v>183.62890405994668</v>
      </c>
      <c r="O292" s="172">
        <f t="shared" si="762"/>
        <v>77.52</v>
      </c>
      <c r="P292" s="217">
        <f t="shared" si="770"/>
        <v>1.0801700238820393</v>
      </c>
      <c r="Q292" s="217">
        <f t="shared" si="771"/>
        <v>170</v>
      </c>
      <c r="R292" s="217"/>
      <c r="S292" s="172">
        <f t="shared" si="772"/>
        <v>794.46154908179801</v>
      </c>
      <c r="T292" s="172">
        <f t="shared" si="773"/>
        <v>170</v>
      </c>
      <c r="U292" s="217">
        <f t="shared" si="774"/>
        <v>28.63670906376932</v>
      </c>
      <c r="V292" s="217">
        <f t="shared" si="775"/>
        <v>0.95722236905622315</v>
      </c>
      <c r="W292" s="217">
        <f t="shared" si="776"/>
        <v>1.6793525011963062</v>
      </c>
      <c r="X292" s="197">
        <f t="shared" si="777"/>
        <v>350</v>
      </c>
      <c r="Y292" s="443">
        <f t="shared" si="840"/>
        <v>350</v>
      </c>
      <c r="AA292" s="217">
        <f t="shared" si="778"/>
        <v>31.032370700624195</v>
      </c>
      <c r="AB292" s="173">
        <f t="shared" si="779"/>
        <v>1.8198421207581539</v>
      </c>
      <c r="AC292" s="173">
        <f t="shared" si="780"/>
        <v>0.49414763394479999</v>
      </c>
      <c r="AD292" s="173"/>
      <c r="AE292" s="173">
        <f t="shared" si="781"/>
        <v>0.78191130945792209</v>
      </c>
      <c r="AF292" s="545">
        <f t="shared" si="782"/>
        <v>1749.5590400762935</v>
      </c>
      <c r="AG292" s="528">
        <f t="shared" si="783"/>
        <v>9.1222986103424247E-2</v>
      </c>
      <c r="AI292" s="173">
        <f t="shared" si="784"/>
        <v>29.810483210526819</v>
      </c>
      <c r="AJ292" s="173">
        <f t="shared" si="785"/>
        <v>29.810483210526819</v>
      </c>
      <c r="AK292" s="173">
        <f t="shared" si="786"/>
        <v>13.405296205328506</v>
      </c>
      <c r="AM292" s="545">
        <f t="shared" si="787"/>
        <v>455.99999999999994</v>
      </c>
      <c r="AN292" s="460">
        <f t="shared" si="788"/>
        <v>350</v>
      </c>
      <c r="AP292">
        <f t="shared" si="789"/>
        <v>455.99999999999994</v>
      </c>
      <c r="AQ292">
        <f t="shared" si="790"/>
        <v>350</v>
      </c>
      <c r="AS292" s="5">
        <f t="shared" si="763"/>
        <v>2.8571428571428572</v>
      </c>
      <c r="AT292" s="5">
        <f t="shared" si="791"/>
        <v>0.99645742455768338</v>
      </c>
      <c r="AU292" s="5">
        <f t="shared" si="722"/>
        <v>1.8606854325851738</v>
      </c>
      <c r="AV292" s="5"/>
      <c r="AW292" s="173">
        <f t="shared" si="723"/>
        <v>0.34876009859518919</v>
      </c>
      <c r="AX292" s="173">
        <f t="shared" si="792"/>
        <v>77.758179558946367</v>
      </c>
      <c r="AY292" s="173">
        <f t="shared" si="793"/>
        <v>0.48534440367133136</v>
      </c>
      <c r="AZ292" s="173">
        <f t="shared" si="794"/>
        <v>160.21237490481738</v>
      </c>
      <c r="BA292" s="460">
        <f t="shared" si="724"/>
        <v>0.26728505035194328</v>
      </c>
      <c r="BB292" s="5">
        <f t="shared" si="725"/>
        <v>15.42859686789679</v>
      </c>
      <c r="BD292" s="173">
        <f t="shared" si="841"/>
        <v>10.164166818885622</v>
      </c>
      <c r="BE292" s="173">
        <f t="shared" si="842"/>
        <v>0.69446265071078217</v>
      </c>
      <c r="BG292" s="528">
        <f t="shared" si="843"/>
        <v>4.1324114848854183</v>
      </c>
      <c r="BH292" s="528">
        <f t="shared" si="795"/>
        <v>5.513128229833792</v>
      </c>
      <c r="BI292" s="528">
        <f t="shared" si="796"/>
        <v>0.20941525180196793</v>
      </c>
      <c r="BJ292" s="528">
        <f t="shared" si="844"/>
        <v>3.8606023552673611E-2</v>
      </c>
      <c r="BK292">
        <f t="shared" si="845"/>
        <v>6.7312045222061119E-3</v>
      </c>
      <c r="BL292" s="460">
        <f t="shared" si="846"/>
        <v>216.14645632417404</v>
      </c>
      <c r="BM292" s="528">
        <f t="shared" si="797"/>
        <v>595.39546105504076</v>
      </c>
      <c r="BN292" s="460">
        <f t="shared" si="847"/>
        <v>595395.46105504071</v>
      </c>
      <c r="BO292" s="528">
        <f t="shared" si="798"/>
        <v>0.31919999999999993</v>
      </c>
      <c r="BR292" s="460">
        <f t="shared" si="848"/>
        <v>319.19999999999993</v>
      </c>
      <c r="BS292" s="528">
        <f t="shared" si="849"/>
        <v>3.0993086136640637</v>
      </c>
      <c r="BT292" s="528">
        <f t="shared" si="850"/>
        <v>1.4468351196967374E-2</v>
      </c>
      <c r="BU292" s="528">
        <f t="shared" si="851"/>
        <v>555.98446198172132</v>
      </c>
      <c r="BV292" s="528"/>
      <c r="BW292" s="528">
        <f t="shared" si="852"/>
        <v>7.7758179558946381</v>
      </c>
      <c r="BX292" s="460">
        <f t="shared" si="853"/>
        <v>566874.05690247694</v>
      </c>
      <c r="BY292" s="173">
        <f t="shared" si="854"/>
        <v>577.09354909707304</v>
      </c>
      <c r="BZ292" s="5">
        <f t="shared" si="855"/>
        <v>77.52</v>
      </c>
      <c r="CA292" s="173">
        <f t="shared" si="856"/>
        <v>0.11842101359943669</v>
      </c>
      <c r="CB292" s="5">
        <f t="shared" si="857"/>
        <v>11.842101359943669</v>
      </c>
      <c r="CE292" s="562">
        <f t="shared" si="799"/>
        <v>-50</v>
      </c>
      <c r="CF292">
        <f t="shared" si="800"/>
        <v>-50</v>
      </c>
      <c r="CG292" s="173">
        <f t="shared" si="801"/>
        <v>0.6128045461358016</v>
      </c>
      <c r="CI292" s="170">
        <v>76</v>
      </c>
      <c r="CJ292" s="217">
        <f t="shared" si="858"/>
        <v>0.45599999999999996</v>
      </c>
      <c r="CK292" s="217"/>
      <c r="CL292" s="217">
        <f t="shared" si="802"/>
        <v>77.52</v>
      </c>
      <c r="CM292" s="541">
        <f t="shared" si="803"/>
        <v>16</v>
      </c>
      <c r="CN292" s="443">
        <f t="shared" si="804"/>
        <v>8.5250000000000004</v>
      </c>
      <c r="CO292" s="443">
        <f t="shared" si="805"/>
        <v>24.524999999999999</v>
      </c>
      <c r="CP292" s="443"/>
      <c r="CQ292" s="217">
        <f t="shared" si="806"/>
        <v>0.34760448521916415</v>
      </c>
      <c r="CR292" s="172">
        <f t="shared" si="807"/>
        <v>188.05866123003739</v>
      </c>
      <c r="CS292" s="172">
        <f t="shared" si="808"/>
        <v>77.52</v>
      </c>
      <c r="CT292" s="217">
        <f t="shared" si="809"/>
        <v>1.1062274190002199</v>
      </c>
      <c r="CU292" s="217">
        <f t="shared" si="810"/>
        <v>170</v>
      </c>
      <c r="CV292" s="217"/>
      <c r="CW292" s="172">
        <f t="shared" si="811"/>
        <v>849.77881684431179</v>
      </c>
      <c r="CX292" s="172">
        <f t="shared" si="812"/>
        <v>170</v>
      </c>
      <c r="CY292" s="217">
        <f t="shared" si="813"/>
        <v>27.876510263929614</v>
      </c>
      <c r="CZ292" s="217">
        <f t="shared" si="814"/>
        <v>0.87114094574780043</v>
      </c>
      <c r="DA292" s="217">
        <f t="shared" si="815"/>
        <v>1.6349859392334083</v>
      </c>
      <c r="DB292" s="197">
        <f t="shared" si="816"/>
        <v>350</v>
      </c>
      <c r="DC292" s="443">
        <f t="shared" si="817"/>
        <v>350</v>
      </c>
      <c r="DE292" s="217">
        <f t="shared" si="818"/>
        <v>31.780981505752148</v>
      </c>
      <c r="DF292" s="173">
        <f t="shared" si="819"/>
        <v>1.8639871850881022</v>
      </c>
      <c r="DG292" s="173">
        <f t="shared" si="820"/>
        <v>0.51834424474213492</v>
      </c>
      <c r="DH292" s="173"/>
      <c r="DI292" s="173">
        <f t="shared" si="821"/>
        <v>0.78201368523949166</v>
      </c>
      <c r="DJ292" s="545">
        <f t="shared" si="822"/>
        <v>1749.3299999999997</v>
      </c>
      <c r="DK292" s="528">
        <f t="shared" si="823"/>
        <v>9.1234929944607357E-2</v>
      </c>
      <c r="DM292" s="173">
        <f t="shared" si="824"/>
        <v>29.808531856308711</v>
      </c>
      <c r="DN292" s="173">
        <f t="shared" si="825"/>
        <v>29.808531856308711</v>
      </c>
      <c r="DO292" s="173">
        <f t="shared" si="826"/>
        <v>13.403850757759537</v>
      </c>
      <c r="DQ292" s="545">
        <f t="shared" si="827"/>
        <v>455.99999999999994</v>
      </c>
      <c r="DR292" s="460">
        <f t="shared" si="828"/>
        <v>350</v>
      </c>
      <c r="DT292">
        <f t="shared" si="829"/>
        <v>455.99999999999994</v>
      </c>
      <c r="DU292">
        <f t="shared" si="830"/>
        <v>350</v>
      </c>
      <c r="DW292" s="5">
        <f t="shared" si="859"/>
        <v>2.8571428571428572</v>
      </c>
      <c r="DX292" s="5">
        <f t="shared" si="831"/>
        <v>0.93151662050964712</v>
      </c>
      <c r="DY292" s="5">
        <f t="shared" si="832"/>
        <v>1.9256262366332102</v>
      </c>
      <c r="DZ292" s="5"/>
      <c r="EA292" s="173">
        <f t="shared" si="833"/>
        <v>0.32603081717837651</v>
      </c>
      <c r="EB292" s="173">
        <f t="shared" si="860"/>
        <v>77.74799999999999</v>
      </c>
      <c r="EC292" s="173">
        <f t="shared" si="861"/>
        <v>0.50225079640771786</v>
      </c>
      <c r="ED292" s="173">
        <f t="shared" si="862"/>
        <v>154.79915722599594</v>
      </c>
      <c r="EE292" s="460">
        <f t="shared" si="834"/>
        <v>0.24986563467788181</v>
      </c>
      <c r="EF292" s="5">
        <f t="shared" si="835"/>
        <v>14.927454586380644</v>
      </c>
      <c r="EH292" s="173">
        <f t="shared" si="863"/>
        <v>9.8267359254491033</v>
      </c>
      <c r="EI292" s="173">
        <f t="shared" si="864"/>
        <v>0.70643138059252619</v>
      </c>
      <c r="EK292" s="528">
        <f t="shared" si="865"/>
        <v>3.8625895579404816</v>
      </c>
      <c r="EL292" s="528">
        <f t="shared" si="866"/>
        <v>7.0363970963437223</v>
      </c>
      <c r="EM292" s="528">
        <f t="shared" si="867"/>
        <v>6.9999999999999993E-2</v>
      </c>
      <c r="EN292" s="528">
        <f t="shared" si="868"/>
        <v>4.2103293749999993E-2</v>
      </c>
      <c r="EO292">
        <f t="shared" si="869"/>
        <v>7.1999999999999998E-3</v>
      </c>
      <c r="EP292" s="460">
        <f t="shared" si="870"/>
        <v>77.199999999999989</v>
      </c>
      <c r="EQ292" s="460"/>
      <c r="ER292" s="460">
        <f t="shared" si="871"/>
        <v>11018.289948034204</v>
      </c>
      <c r="ES292" s="528">
        <f t="shared" si="872"/>
        <v>0.31919999999999993</v>
      </c>
      <c r="EV292" s="460">
        <f t="shared" si="873"/>
        <v>319.19999999999993</v>
      </c>
      <c r="EW292" s="528">
        <f t="shared" si="874"/>
        <v>2.8969421684553613</v>
      </c>
      <c r="EX292" s="528">
        <f t="shared" si="875"/>
        <v>1.4971358864575877E-2</v>
      </c>
      <c r="EY292" s="528">
        <f t="shared" si="876"/>
        <v>555.89348145694964</v>
      </c>
      <c r="EZ292" s="528"/>
      <c r="FA292" s="528">
        <f t="shared" si="877"/>
        <v>7.7747999999999982</v>
      </c>
      <c r="FB292" s="460">
        <f t="shared" si="878"/>
        <v>566580.19498426956</v>
      </c>
      <c r="FC292" s="173">
        <f t="shared" si="879"/>
        <v>577.91768493230381</v>
      </c>
      <c r="FD292" s="5">
        <f t="shared" si="880"/>
        <v>77.52</v>
      </c>
      <c r="FE292" s="173">
        <f t="shared" si="881"/>
        <v>0.11827211309646708</v>
      </c>
      <c r="FF292" s="5">
        <f t="shared" si="882"/>
        <v>11.827211309646708</v>
      </c>
      <c r="FI292" s="562">
        <f t="shared" si="836"/>
        <v>-50</v>
      </c>
      <c r="FJ292">
        <f t="shared" si="837"/>
        <v>-50</v>
      </c>
      <c r="FL292">
        <f t="shared" si="838"/>
        <v>0.61190534602393243</v>
      </c>
    </row>
    <row r="293" spans="5:168">
      <c r="E293" s="170">
        <v>77</v>
      </c>
      <c r="F293" s="217">
        <f t="shared" si="839"/>
        <v>0.46199999999999997</v>
      </c>
      <c r="G293" s="217"/>
      <c r="H293" s="217">
        <f t="shared" si="764"/>
        <v>78.539999999999992</v>
      </c>
      <c r="I293" s="541">
        <f t="shared" si="765"/>
        <v>14.951400934579855</v>
      </c>
      <c r="J293" s="172">
        <f t="shared" si="766"/>
        <v>8.5261234989986647</v>
      </c>
      <c r="K293" s="172">
        <f t="shared" si="767"/>
        <v>23.47752443357852</v>
      </c>
      <c r="L293" s="443"/>
      <c r="M293" s="217">
        <f t="shared" si="768"/>
        <v>0.36316114054255616</v>
      </c>
      <c r="N293" s="172">
        <f t="shared" si="769"/>
        <v>183.59854908876866</v>
      </c>
      <c r="O293" s="172">
        <f t="shared" si="762"/>
        <v>78.539999999999992</v>
      </c>
      <c r="P293" s="217">
        <f t="shared" si="770"/>
        <v>1.0799914652280509</v>
      </c>
      <c r="Q293" s="217">
        <f t="shared" si="771"/>
        <v>170</v>
      </c>
      <c r="R293" s="217"/>
      <c r="S293" s="172">
        <f t="shared" si="772"/>
        <v>779.90822184251579</v>
      </c>
      <c r="T293" s="172">
        <f t="shared" si="773"/>
        <v>170</v>
      </c>
      <c r="U293" s="217">
        <f t="shared" si="774"/>
        <v>29.018329716475012</v>
      </c>
      <c r="V293" s="217">
        <f t="shared" si="775"/>
        <v>0.97042176326637464</v>
      </c>
      <c r="W293" s="217">
        <f t="shared" si="776"/>
        <v>1.7017305531571891</v>
      </c>
      <c r="X293" s="197">
        <f t="shared" si="777"/>
        <v>350</v>
      </c>
      <c r="Y293" s="443">
        <f t="shared" si="840"/>
        <v>348.17094980715058</v>
      </c>
      <c r="AA293" s="217">
        <f t="shared" si="778"/>
        <v>31.027240837307453</v>
      </c>
      <c r="AB293" s="173">
        <f t="shared" si="779"/>
        <v>1.8195397264038806</v>
      </c>
      <c r="AC293" s="173">
        <f t="shared" si="780"/>
        <v>0.49398385141159001</v>
      </c>
      <c r="AD293" s="173"/>
      <c r="AE293" s="173">
        <f t="shared" si="781"/>
        <v>0.78191063822258977</v>
      </c>
      <c r="AF293" s="545">
        <f t="shared" si="782"/>
        <v>1772.5810754418223</v>
      </c>
      <c r="AG293" s="528">
        <f t="shared" si="783"/>
        <v>9.1222907792635477E-2</v>
      </c>
      <c r="AI293" s="173">
        <f t="shared" si="784"/>
        <v>30.005976762876077</v>
      </c>
      <c r="AJ293" s="173">
        <f t="shared" si="785"/>
        <v>30.005976762876077</v>
      </c>
      <c r="AK293" s="173">
        <f t="shared" si="786"/>
        <v>13.550106244105738</v>
      </c>
      <c r="AM293" s="545">
        <f t="shared" si="787"/>
        <v>461.99999999999994</v>
      </c>
      <c r="AN293" s="460">
        <f t="shared" si="788"/>
        <v>348.17094980715058</v>
      </c>
      <c r="AP293">
        <f t="shared" si="789"/>
        <v>461.99999999999994</v>
      </c>
      <c r="AQ293">
        <f t="shared" si="790"/>
        <v>348.17094980715058</v>
      </c>
      <c r="AS293" s="5">
        <f t="shared" si="763"/>
        <v>2.8721523164235641</v>
      </c>
      <c r="AT293" s="5">
        <f t="shared" si="791"/>
        <v>1.0034503420170393</v>
      </c>
      <c r="AU293" s="5">
        <f t="shared" si="722"/>
        <v>1.8687019744065247</v>
      </c>
      <c r="AV293" s="5"/>
      <c r="AW293" s="173">
        <f t="shared" si="723"/>
        <v>0.34937225866438271</v>
      </c>
      <c r="AX293" s="173">
        <f t="shared" si="792"/>
        <v>78.369680844032999</v>
      </c>
      <c r="AY293" s="173">
        <f t="shared" si="793"/>
        <v>0.48806802219497702</v>
      </c>
      <c r="AZ293" s="173">
        <f t="shared" si="794"/>
        <v>160.57122630485571</v>
      </c>
      <c r="BA293" s="460">
        <f t="shared" si="724"/>
        <v>0.27270238706580713</v>
      </c>
      <c r="BB293" s="5">
        <f t="shared" si="725"/>
        <v>15.706124525676117</v>
      </c>
      <c r="BD293" s="173">
        <f t="shared" si="841"/>
        <v>10.239797071342844</v>
      </c>
      <c r="BE293" s="173">
        <f t="shared" si="842"/>
        <v>0.69868824074559821</v>
      </c>
      <c r="BG293" s="528">
        <f t="shared" si="843"/>
        <v>4.194137762491259</v>
      </c>
      <c r="BH293" s="528">
        <f t="shared" si="795"/>
        <v>5.5186788294441786</v>
      </c>
      <c r="BI293" s="528">
        <f t="shared" si="796"/>
        <v>0.20822573857360749</v>
      </c>
      <c r="BJ293" s="528">
        <f t="shared" si="844"/>
        <v>3.8381958392487307E-2</v>
      </c>
      <c r="BK293">
        <f t="shared" si="845"/>
        <v>6.7281304205609347E-3</v>
      </c>
      <c r="BL293" s="460">
        <f t="shared" si="846"/>
        <v>214.95386899416843</v>
      </c>
      <c r="BM293" s="528">
        <f t="shared" si="797"/>
        <v>3133.8988119428636</v>
      </c>
      <c r="BN293" s="460">
        <f t="shared" si="847"/>
        <v>3133898.8119428637</v>
      </c>
      <c r="BO293" s="528">
        <f t="shared" si="798"/>
        <v>0.32339999999999997</v>
      </c>
      <c r="BR293" s="460">
        <f t="shared" si="848"/>
        <v>323.39999999999998</v>
      </c>
      <c r="BS293" s="528">
        <f t="shared" si="849"/>
        <v>3.1456033218684443</v>
      </c>
      <c r="BT293" s="528">
        <f t="shared" si="850"/>
        <v>1.4644957732685371E-2</v>
      </c>
      <c r="BU293" s="528">
        <f t="shared" si="851"/>
        <v>557.7900416854751</v>
      </c>
      <c r="BV293" s="528"/>
      <c r="BW293" s="528">
        <f t="shared" si="852"/>
        <v>7.8369680844033001</v>
      </c>
      <c r="BX293" s="460">
        <f t="shared" si="853"/>
        <v>568787.25804947957</v>
      </c>
      <c r="BY293" s="173">
        <f t="shared" si="854"/>
        <v>579.07681046880168</v>
      </c>
      <c r="BZ293" s="5">
        <f t="shared" si="855"/>
        <v>78.539999999999992</v>
      </c>
      <c r="CA293" s="173">
        <f t="shared" si="856"/>
        <v>0.11943125350462137</v>
      </c>
      <c r="CB293" s="5">
        <f t="shared" si="857"/>
        <v>11.943125350462138</v>
      </c>
      <c r="CE293" s="562">
        <f t="shared" si="799"/>
        <v>-50</v>
      </c>
      <c r="CF293">
        <f t="shared" si="800"/>
        <v>-50</v>
      </c>
      <c r="CG293" s="173">
        <f t="shared" si="801"/>
        <v>0.61682297965890831</v>
      </c>
      <c r="CI293" s="170">
        <v>77</v>
      </c>
      <c r="CJ293" s="217">
        <f t="shared" si="858"/>
        <v>0.46199999999999997</v>
      </c>
      <c r="CK293" s="217"/>
      <c r="CL293" s="217">
        <f t="shared" si="802"/>
        <v>78.539999999999992</v>
      </c>
      <c r="CM293" s="541">
        <f t="shared" si="803"/>
        <v>16</v>
      </c>
      <c r="CN293" s="443">
        <f t="shared" si="804"/>
        <v>8.5250000000000004</v>
      </c>
      <c r="CO293" s="443">
        <f t="shared" si="805"/>
        <v>24.524999999999999</v>
      </c>
      <c r="CP293" s="443"/>
      <c r="CQ293" s="217">
        <f t="shared" si="806"/>
        <v>0.34760448521916415</v>
      </c>
      <c r="CR293" s="172">
        <f t="shared" si="807"/>
        <v>188.05866123003739</v>
      </c>
      <c r="CS293" s="172">
        <f t="shared" si="808"/>
        <v>78.539999999999992</v>
      </c>
      <c r="CT293" s="217">
        <f t="shared" si="809"/>
        <v>1.1062274190002199</v>
      </c>
      <c r="CU293" s="217">
        <f t="shared" si="810"/>
        <v>170</v>
      </c>
      <c r="CV293" s="217"/>
      <c r="CW293" s="172">
        <f t="shared" si="811"/>
        <v>834.59274988563459</v>
      </c>
      <c r="CX293" s="172">
        <f t="shared" si="812"/>
        <v>170</v>
      </c>
      <c r="CY293" s="217">
        <f t="shared" si="813"/>
        <v>28.243306451612899</v>
      </c>
      <c r="CZ293" s="217">
        <f t="shared" si="814"/>
        <v>0.88260332661290297</v>
      </c>
      <c r="DA293" s="217">
        <f t="shared" si="815"/>
        <v>1.6564989121180584</v>
      </c>
      <c r="DB293" s="197">
        <f t="shared" si="816"/>
        <v>350</v>
      </c>
      <c r="DC293" s="443">
        <f t="shared" si="817"/>
        <v>350</v>
      </c>
      <c r="DE293" s="217">
        <f t="shared" si="818"/>
        <v>31.780981505752148</v>
      </c>
      <c r="DF293" s="173">
        <f t="shared" si="819"/>
        <v>1.8639871850881022</v>
      </c>
      <c r="DG293" s="173">
        <f t="shared" si="820"/>
        <v>0.51834424474213492</v>
      </c>
      <c r="DH293" s="173"/>
      <c r="DI293" s="173">
        <f t="shared" si="821"/>
        <v>0.78201368523949166</v>
      </c>
      <c r="DJ293" s="545">
        <f t="shared" si="822"/>
        <v>1772.3474999999999</v>
      </c>
      <c r="DK293" s="528">
        <f t="shared" si="823"/>
        <v>9.1234929944607357E-2</v>
      </c>
      <c r="DM293" s="173">
        <f t="shared" si="824"/>
        <v>30.003999733368882</v>
      </c>
      <c r="DN293" s="173">
        <f t="shared" si="825"/>
        <v>30.003999733368882</v>
      </c>
      <c r="DO293" s="173">
        <f t="shared" si="826"/>
        <v>13.548641777804111</v>
      </c>
      <c r="DQ293" s="545">
        <f t="shared" si="827"/>
        <v>461.99999999999994</v>
      </c>
      <c r="DR293" s="460">
        <f t="shared" si="828"/>
        <v>350</v>
      </c>
      <c r="DT293">
        <f t="shared" si="829"/>
        <v>461.99999999999994</v>
      </c>
      <c r="DU293">
        <f t="shared" si="830"/>
        <v>350</v>
      </c>
      <c r="DW293" s="5">
        <f t="shared" si="859"/>
        <v>2.8571428571428572</v>
      </c>
      <c r="DX293" s="5">
        <f t="shared" si="831"/>
        <v>0.93762499166777757</v>
      </c>
      <c r="DY293" s="5">
        <f t="shared" si="832"/>
        <v>1.9195178654750795</v>
      </c>
      <c r="DZ293" s="5"/>
      <c r="EA293" s="173">
        <f t="shared" si="833"/>
        <v>0.32816874708372212</v>
      </c>
      <c r="EB293" s="173">
        <f t="shared" si="860"/>
        <v>78.771000000000001</v>
      </c>
      <c r="EC293" s="173">
        <f t="shared" si="861"/>
        <v>0.5039406183342221</v>
      </c>
      <c r="ED293" s="173">
        <f t="shared" si="862"/>
        <v>156.31008324031885</v>
      </c>
      <c r="EE293" s="460">
        <f t="shared" si="834"/>
        <v>0.25481338008853721</v>
      </c>
      <c r="EF293" s="5">
        <f t="shared" si="835"/>
        <v>15.075893315441272</v>
      </c>
      <c r="EH293" s="173">
        <f t="shared" si="863"/>
        <v>9.9235516638390777</v>
      </c>
      <c r="EI293" s="173">
        <f t="shared" si="864"/>
        <v>0.70993507163528113</v>
      </c>
      <c r="EK293" s="528">
        <f t="shared" si="865"/>
        <v>3.9390751049953332</v>
      </c>
      <c r="EL293" s="528">
        <f t="shared" si="866"/>
        <v>7.0825378995608919</v>
      </c>
      <c r="EM293" s="528">
        <f t="shared" si="867"/>
        <v>6.9999999999999993E-2</v>
      </c>
      <c r="EN293" s="528">
        <f t="shared" si="868"/>
        <v>4.2103293749999993E-2</v>
      </c>
      <c r="EO293">
        <f t="shared" si="869"/>
        <v>7.1999999999999998E-3</v>
      </c>
      <c r="EP293" s="460">
        <f t="shared" si="870"/>
        <v>77.199999999999989</v>
      </c>
      <c r="EQ293" s="460"/>
      <c r="ER293" s="460">
        <f t="shared" si="871"/>
        <v>11140.916298306225</v>
      </c>
      <c r="ES293" s="528">
        <f t="shared" si="872"/>
        <v>0.32339999999999997</v>
      </c>
      <c r="EV293" s="460">
        <f t="shared" si="873"/>
        <v>323.39999999999998</v>
      </c>
      <c r="EW293" s="528">
        <f t="shared" si="874"/>
        <v>2.9543063287464997</v>
      </c>
      <c r="EX293" s="528">
        <f t="shared" si="875"/>
        <v>1.5120234178133751E-2</v>
      </c>
      <c r="EY293" s="528">
        <f t="shared" si="876"/>
        <v>565.05145496968476</v>
      </c>
      <c r="EZ293" s="528"/>
      <c r="FA293" s="528">
        <f t="shared" si="877"/>
        <v>7.8770999999999995</v>
      </c>
      <c r="FB293" s="460">
        <f t="shared" si="878"/>
        <v>575897.98153260932</v>
      </c>
      <c r="FC293" s="173">
        <f t="shared" si="879"/>
        <v>587.36229783091562</v>
      </c>
      <c r="FD293" s="5">
        <f t="shared" si="880"/>
        <v>78.539999999999992</v>
      </c>
      <c r="FE293" s="173">
        <f t="shared" si="881"/>
        <v>0.11794523048776548</v>
      </c>
      <c r="FF293" s="5">
        <f t="shared" si="882"/>
        <v>11.794523048776547</v>
      </c>
      <c r="FI293" s="562">
        <f t="shared" si="836"/>
        <v>-50</v>
      </c>
      <c r="FJ293">
        <f t="shared" si="837"/>
        <v>-50</v>
      </c>
      <c r="FL293">
        <f t="shared" si="838"/>
        <v>0.61591788308968376</v>
      </c>
    </row>
    <row r="294" spans="5:168">
      <c r="E294" s="170">
        <v>78</v>
      </c>
      <c r="F294" s="217">
        <f t="shared" si="839"/>
        <v>0.46799999999999997</v>
      </c>
      <c r="G294" s="217"/>
      <c r="H294" s="217">
        <f t="shared" si="764"/>
        <v>79.56</v>
      </c>
      <c r="I294" s="541">
        <f t="shared" si="765"/>
        <v>14.94461381475784</v>
      </c>
      <c r="J294" s="172">
        <f t="shared" si="766"/>
        <v>8.5261307709127596</v>
      </c>
      <c r="K294" s="172">
        <f t="shared" si="767"/>
        <v>23.470744585670602</v>
      </c>
      <c r="L294" s="443"/>
      <c r="M294" s="217">
        <f t="shared" si="768"/>
        <v>0.36326635475229474</v>
      </c>
      <c r="N294" s="172">
        <f t="shared" si="769"/>
        <v>183.56837297308945</v>
      </c>
      <c r="O294" s="172">
        <f t="shared" si="762"/>
        <v>79.56</v>
      </c>
      <c r="P294" s="217">
        <f t="shared" si="770"/>
        <v>1.079813958665232</v>
      </c>
      <c r="Q294" s="217">
        <f t="shared" si="771"/>
        <v>170</v>
      </c>
      <c r="R294" s="217"/>
      <c r="S294" s="172">
        <f t="shared" si="772"/>
        <v>765.73394692137072</v>
      </c>
      <c r="T294" s="172">
        <f t="shared" si="773"/>
        <v>170</v>
      </c>
      <c r="U294" s="217">
        <f t="shared" si="774"/>
        <v>29.40004841854627</v>
      </c>
      <c r="V294" s="217">
        <f t="shared" si="775"/>
        <v>0.98363359478428458</v>
      </c>
      <c r="W294" s="217">
        <f t="shared" si="776"/>
        <v>1.7241143262102971</v>
      </c>
      <c r="X294" s="197">
        <f t="shared" si="777"/>
        <v>350</v>
      </c>
      <c r="Y294" s="443">
        <f t="shared" si="840"/>
        <v>343.90876622412117</v>
      </c>
      <c r="AA294" s="217">
        <f t="shared" si="778"/>
        <v>31.022141199853479</v>
      </c>
      <c r="AB294" s="173">
        <f t="shared" si="779"/>
        <v>1.8192391152201632</v>
      </c>
      <c r="AC294" s="173">
        <f t="shared" si="780"/>
        <v>0.49382106120074365</v>
      </c>
      <c r="AD294" s="173"/>
      <c r="AE294" s="173">
        <f t="shared" si="781"/>
        <v>0.78190997133310103</v>
      </c>
      <c r="AF294" s="545">
        <f t="shared" si="782"/>
        <v>1795.6031403542272</v>
      </c>
      <c r="AG294" s="528">
        <f t="shared" si="783"/>
        <v>9.1222829988861776E-2</v>
      </c>
      <c r="AI294" s="173">
        <f t="shared" si="784"/>
        <v>30.200205111080841</v>
      </c>
      <c r="AJ294" s="173">
        <f t="shared" si="785"/>
        <v>30.200205111080841</v>
      </c>
      <c r="AK294" s="173">
        <f t="shared" si="786"/>
        <v>13.693979094627782</v>
      </c>
      <c r="AM294" s="545">
        <f t="shared" si="787"/>
        <v>468</v>
      </c>
      <c r="AN294" s="460">
        <f t="shared" si="788"/>
        <v>343.90876622412117</v>
      </c>
      <c r="AP294">
        <f t="shared" si="789"/>
        <v>468</v>
      </c>
      <c r="AQ294">
        <f t="shared" si="790"/>
        <v>343.90876622412117</v>
      </c>
      <c r="AS294" s="5">
        <f t="shared" si="763"/>
        <v>2.907747920994582</v>
      </c>
      <c r="AT294" s="5">
        <f t="shared" si="791"/>
        <v>1.0104043331403474</v>
      </c>
      <c r="AU294" s="5">
        <f t="shared" si="722"/>
        <v>1.8973435878542346</v>
      </c>
      <c r="AV294" s="5"/>
      <c r="AW294" s="173">
        <f t="shared" si="723"/>
        <v>0.34748690759780276</v>
      </c>
      <c r="AX294" s="173">
        <f t="shared" si="792"/>
        <v>78.415702936810106</v>
      </c>
      <c r="AY294" s="173">
        <f t="shared" si="793"/>
        <v>0.49265073070530013</v>
      </c>
      <c r="AZ294" s="173">
        <f t="shared" si="794"/>
        <v>159.1709867648969</v>
      </c>
      <c r="BA294" s="460">
        <f t="shared" si="724"/>
        <v>0.2781583693586368</v>
      </c>
      <c r="BB294" s="5">
        <f t="shared" si="725"/>
        <v>16.161290773602122</v>
      </c>
      <c r="BD294" s="173">
        <f t="shared" si="841"/>
        <v>10.278233702577449</v>
      </c>
      <c r="BE294" s="173">
        <f t="shared" si="842"/>
        <v>0.70422896644542898</v>
      </c>
      <c r="BG294" s="528">
        <f t="shared" si="843"/>
        <v>4.2256835217919573</v>
      </c>
      <c r="BH294" s="528">
        <f t="shared" si="795"/>
        <v>5.4848218266383792</v>
      </c>
      <c r="BI294" s="528">
        <f t="shared" si="796"/>
        <v>0.20558334794917305</v>
      </c>
      <c r="BJ294" s="528">
        <f t="shared" si="844"/>
        <v>3.7890206879925226E-2</v>
      </c>
      <c r="BK294">
        <f t="shared" si="845"/>
        <v>6.725076216641028E-3</v>
      </c>
      <c r="BL294" s="460">
        <f t="shared" si="846"/>
        <v>212.30842416581407</v>
      </c>
      <c r="BM294" s="528">
        <f t="shared" si="797"/>
        <v>-2707.1691457750926</v>
      </c>
      <c r="BN294" s="460">
        <f t="shared" si="847"/>
        <v>-2707169.1457750928</v>
      </c>
      <c r="BO294" s="528">
        <f t="shared" si="798"/>
        <v>0.32759999999999995</v>
      </c>
      <c r="BR294" s="460">
        <f t="shared" si="848"/>
        <v>327.59999999999997</v>
      </c>
      <c r="BS294" s="528">
        <f t="shared" si="849"/>
        <v>3.169262641343968</v>
      </c>
      <c r="BT294" s="528">
        <f t="shared" si="850"/>
        <v>1.4878153115423915E-2</v>
      </c>
      <c r="BU294" s="528">
        <f t="shared" si="851"/>
        <v>549.6710333522127</v>
      </c>
      <c r="BV294" s="528"/>
      <c r="BW294" s="528">
        <f t="shared" si="852"/>
        <v>7.841570293681011</v>
      </c>
      <c r="BX294" s="460">
        <f t="shared" si="853"/>
        <v>560696.74444035313</v>
      </c>
      <c r="BY294" s="173">
        <f t="shared" si="854"/>
        <v>570.98504841982913</v>
      </c>
      <c r="BZ294" s="5">
        <f t="shared" si="855"/>
        <v>79.56</v>
      </c>
      <c r="CA294" s="173">
        <f t="shared" si="856"/>
        <v>0.12229744918242154</v>
      </c>
      <c r="CB294" s="5">
        <f t="shared" si="857"/>
        <v>12.229744918242154</v>
      </c>
      <c r="CE294" s="562">
        <f t="shared" si="799"/>
        <v>-50</v>
      </c>
      <c r="CF294">
        <f t="shared" si="800"/>
        <v>-50</v>
      </c>
      <c r="CG294" s="173">
        <f t="shared" si="801"/>
        <v>0.62081540308362382</v>
      </c>
      <c r="CI294" s="170">
        <v>78</v>
      </c>
      <c r="CJ294" s="217">
        <f t="shared" si="858"/>
        <v>0.46799999999999997</v>
      </c>
      <c r="CK294" s="217"/>
      <c r="CL294" s="217">
        <f t="shared" si="802"/>
        <v>79.56</v>
      </c>
      <c r="CM294" s="541">
        <f t="shared" si="803"/>
        <v>16</v>
      </c>
      <c r="CN294" s="443">
        <f t="shared" si="804"/>
        <v>8.5250000000000004</v>
      </c>
      <c r="CO294" s="443">
        <f t="shared" si="805"/>
        <v>24.524999999999999</v>
      </c>
      <c r="CP294" s="443"/>
      <c r="CQ294" s="217">
        <f t="shared" si="806"/>
        <v>0.34760448521916415</v>
      </c>
      <c r="CR294" s="172">
        <f t="shared" si="807"/>
        <v>188.05866123003739</v>
      </c>
      <c r="CS294" s="172">
        <f t="shared" si="808"/>
        <v>79.56</v>
      </c>
      <c r="CT294" s="217">
        <f t="shared" si="809"/>
        <v>1.1062274190002199</v>
      </c>
      <c r="CU294" s="217">
        <f t="shared" si="810"/>
        <v>170</v>
      </c>
      <c r="CV294" s="217"/>
      <c r="CW294" s="172">
        <f t="shared" si="811"/>
        <v>819.79619109807027</v>
      </c>
      <c r="CX294" s="172">
        <f t="shared" si="812"/>
        <v>170</v>
      </c>
      <c r="CY294" s="217">
        <f t="shared" si="813"/>
        <v>28.610102639296187</v>
      </c>
      <c r="CZ294" s="217">
        <f t="shared" si="814"/>
        <v>0.89406570747800584</v>
      </c>
      <c r="DA294" s="217">
        <f t="shared" si="815"/>
        <v>1.6780118850027088</v>
      </c>
      <c r="DB294" s="197">
        <f t="shared" si="816"/>
        <v>350</v>
      </c>
      <c r="DC294" s="443">
        <f t="shared" si="817"/>
        <v>350</v>
      </c>
      <c r="DE294" s="217">
        <f t="shared" si="818"/>
        <v>31.780981505752148</v>
      </c>
      <c r="DF294" s="173">
        <f t="shared" si="819"/>
        <v>1.8639871850881022</v>
      </c>
      <c r="DG294" s="173">
        <f t="shared" si="820"/>
        <v>0.51834424474213492</v>
      </c>
      <c r="DH294" s="173"/>
      <c r="DI294" s="173">
        <f t="shared" si="821"/>
        <v>0.78201368523949166</v>
      </c>
      <c r="DJ294" s="545">
        <f t="shared" si="822"/>
        <v>1795.3649999999998</v>
      </c>
      <c r="DK294" s="528">
        <f t="shared" si="823"/>
        <v>9.1234929944607357E-2</v>
      </c>
      <c r="DM294" s="173">
        <f t="shared" si="824"/>
        <v>30.198202406292804</v>
      </c>
      <c r="DN294" s="173">
        <f t="shared" si="825"/>
        <v>30.198202406292804</v>
      </c>
      <c r="DO294" s="173">
        <f t="shared" si="826"/>
        <v>13.692495609599607</v>
      </c>
      <c r="DQ294" s="545">
        <f t="shared" si="827"/>
        <v>468</v>
      </c>
      <c r="DR294" s="460">
        <f t="shared" si="828"/>
        <v>350</v>
      </c>
      <c r="DT294">
        <f t="shared" si="829"/>
        <v>468</v>
      </c>
      <c r="DU294">
        <f t="shared" si="830"/>
        <v>350</v>
      </c>
      <c r="DW294" s="5">
        <f t="shared" si="859"/>
        <v>2.8571428571428572</v>
      </c>
      <c r="DX294" s="5">
        <f t="shared" si="831"/>
        <v>0.94369382519665002</v>
      </c>
      <c r="DY294" s="5">
        <f t="shared" si="832"/>
        <v>1.9134490319462072</v>
      </c>
      <c r="DZ294" s="5"/>
      <c r="EA294" s="173">
        <f t="shared" si="833"/>
        <v>0.33029283881882748</v>
      </c>
      <c r="EB294" s="173">
        <f t="shared" si="860"/>
        <v>79.793999999999997</v>
      </c>
      <c r="EC294" s="173">
        <f t="shared" si="861"/>
        <v>0.50559881015732022</v>
      </c>
      <c r="ED294" s="173">
        <f t="shared" si="862"/>
        <v>157.82078279648562</v>
      </c>
      <c r="EE294" s="460">
        <f t="shared" si="834"/>
        <v>0.25979335893648947</v>
      </c>
      <c r="EF294" s="5">
        <f t="shared" si="835"/>
        <v>15.223400498164025</v>
      </c>
      <c r="EH294" s="173">
        <f t="shared" si="863"/>
        <v>10.020053565242153</v>
      </c>
      <c r="EI294" s="173">
        <f t="shared" si="864"/>
        <v>0.71339972912600147</v>
      </c>
      <c r="EK294" s="528">
        <f t="shared" si="865"/>
        <v>4.0160589380128791</v>
      </c>
      <c r="EL294" s="528">
        <f t="shared" si="866"/>
        <v>7.1283800473879362</v>
      </c>
      <c r="EM294" s="528">
        <f t="shared" si="867"/>
        <v>6.9999999999999993E-2</v>
      </c>
      <c r="EN294" s="528">
        <f t="shared" si="868"/>
        <v>4.2103293749999993E-2</v>
      </c>
      <c r="EO294">
        <f t="shared" si="869"/>
        <v>7.1999999999999998E-3</v>
      </c>
      <c r="EP294" s="460">
        <f t="shared" si="870"/>
        <v>77.199999999999989</v>
      </c>
      <c r="EQ294" s="460"/>
      <c r="ER294" s="460">
        <f t="shared" si="871"/>
        <v>11263.742279150812</v>
      </c>
      <c r="ES294" s="528">
        <f t="shared" si="872"/>
        <v>0.32759999999999995</v>
      </c>
      <c r="EV294" s="460">
        <f t="shared" si="873"/>
        <v>327.59999999999997</v>
      </c>
      <c r="EW294" s="528">
        <f t="shared" si="874"/>
        <v>3.0120442035096593</v>
      </c>
      <c r="EX294" s="528">
        <f t="shared" si="875"/>
        <v>1.5268175205511568E-2</v>
      </c>
      <c r="EY294" s="528">
        <f t="shared" si="876"/>
        <v>574.23921121767091</v>
      </c>
      <c r="EZ294" s="528"/>
      <c r="FA294" s="528">
        <f t="shared" si="877"/>
        <v>7.9793999999999992</v>
      </c>
      <c r="FB294" s="460">
        <f t="shared" si="878"/>
        <v>585245.9235963861</v>
      </c>
      <c r="FC294" s="173">
        <f t="shared" si="879"/>
        <v>596.8372658755369</v>
      </c>
      <c r="FD294" s="5">
        <f t="shared" si="880"/>
        <v>79.56</v>
      </c>
      <c r="FE294" s="173">
        <f t="shared" si="881"/>
        <v>0.11762318390955728</v>
      </c>
      <c r="FF294" s="5">
        <f t="shared" si="882"/>
        <v>11.762318390955729</v>
      </c>
      <c r="FI294" s="562">
        <f t="shared" si="836"/>
        <v>-50</v>
      </c>
      <c r="FJ294">
        <f t="shared" si="837"/>
        <v>-50</v>
      </c>
      <c r="FL294">
        <f t="shared" si="838"/>
        <v>0.61990444822301938</v>
      </c>
    </row>
    <row r="295" spans="5:168">
      <c r="E295" s="170">
        <v>79</v>
      </c>
      <c r="F295" s="217">
        <f t="shared" si="839"/>
        <v>0.47399999999999998</v>
      </c>
      <c r="G295" s="217"/>
      <c r="H295" s="217">
        <f t="shared" si="764"/>
        <v>80.58</v>
      </c>
      <c r="I295" s="541">
        <f t="shared" si="765"/>
        <v>14.937870064445974</v>
      </c>
      <c r="J295" s="172">
        <f t="shared" si="766"/>
        <v>8.5261379963595214</v>
      </c>
      <c r="K295" s="172">
        <f t="shared" si="767"/>
        <v>23.464008060805497</v>
      </c>
      <c r="L295" s="443"/>
      <c r="M295" s="217">
        <f t="shared" si="768"/>
        <v>0.36337095686705984</v>
      </c>
      <c r="N295" s="172">
        <f t="shared" si="769"/>
        <v>183.53837226911071</v>
      </c>
      <c r="O295" s="172">
        <f t="shared" si="762"/>
        <v>80.58</v>
      </c>
      <c r="P295" s="217">
        <f t="shared" si="770"/>
        <v>1.0796374839359453</v>
      </c>
      <c r="Q295" s="217">
        <f t="shared" si="771"/>
        <v>170</v>
      </c>
      <c r="R295" s="217"/>
      <c r="S295" s="172">
        <f t="shared" si="772"/>
        <v>751.92425549065763</v>
      </c>
      <c r="T295" s="172">
        <f t="shared" si="773"/>
        <v>170</v>
      </c>
      <c r="U295" s="217">
        <f t="shared" si="774"/>
        <v>29.781864658098538</v>
      </c>
      <c r="V295" s="217">
        <f t="shared" si="775"/>
        <v>0.99685780267238866</v>
      </c>
      <c r="W295" s="217">
        <f t="shared" si="776"/>
        <v>1.746503790509534</v>
      </c>
      <c r="X295" s="197">
        <f t="shared" si="777"/>
        <v>350</v>
      </c>
      <c r="Y295" s="443">
        <f t="shared" si="840"/>
        <v>339.74758735604399</v>
      </c>
      <c r="AA295" s="217">
        <f t="shared" si="778"/>
        <v>31.017071206274196</v>
      </c>
      <c r="AB295" s="173">
        <f t="shared" si="779"/>
        <v>1.8189402528740337</v>
      </c>
      <c r="AC295" s="173">
        <f t="shared" si="780"/>
        <v>0.49365924425433255</v>
      </c>
      <c r="AD295" s="173"/>
      <c r="AE295" s="173">
        <f t="shared" si="781"/>
        <v>0.78190930870614461</v>
      </c>
      <c r="AF295" s="545">
        <f t="shared" si="782"/>
        <v>1818.6252346234855</v>
      </c>
      <c r="AG295" s="528">
        <f t="shared" si="783"/>
        <v>9.1222752682383557E-2</v>
      </c>
      <c r="AI295" s="173">
        <f t="shared" si="784"/>
        <v>30.393192509505578</v>
      </c>
      <c r="AJ295" s="173">
        <f t="shared" si="785"/>
        <v>30.393192509505578</v>
      </c>
      <c r="AK295" s="173">
        <f t="shared" si="786"/>
        <v>13.836932723090552</v>
      </c>
      <c r="AM295" s="545">
        <f t="shared" si="787"/>
        <v>474</v>
      </c>
      <c r="AN295" s="460">
        <f t="shared" si="788"/>
        <v>339.74758735604399</v>
      </c>
      <c r="AP295">
        <f t="shared" si="789"/>
        <v>474</v>
      </c>
      <c r="AQ295">
        <f t="shared" si="790"/>
        <v>339.74758735604399</v>
      </c>
      <c r="AS295" s="5">
        <f t="shared" si="763"/>
        <v>2.9433615931819221</v>
      </c>
      <c r="AT295" s="5">
        <f t="shared" si="791"/>
        <v>1.0173201526851285</v>
      </c>
      <c r="AU295" s="5">
        <f t="shared" si="722"/>
        <v>1.9260414404967936</v>
      </c>
      <c r="AV295" s="5"/>
      <c r="AW295" s="173">
        <f t="shared" si="723"/>
        <v>0.34563206744345476</v>
      </c>
      <c r="AX295" s="173">
        <f t="shared" si="792"/>
        <v>78.460131526114139</v>
      </c>
      <c r="AY295" s="173">
        <f t="shared" si="793"/>
        <v>0.49720826365595611</v>
      </c>
      <c r="AZ295" s="173">
        <f t="shared" si="794"/>
        <v>157.80134253843522</v>
      </c>
      <c r="BA295" s="460">
        <f t="shared" si="724"/>
        <v>0.2836527955133829</v>
      </c>
      <c r="BB295" s="5">
        <f t="shared" si="725"/>
        <v>16.623566128842242</v>
      </c>
      <c r="BD295" s="173">
        <f t="shared" si="841"/>
        <v>10.316270190583527</v>
      </c>
      <c r="BE295" s="173">
        <f t="shared" si="842"/>
        <v>0.70973578357518563</v>
      </c>
      <c r="BG295" s="528">
        <f t="shared" si="843"/>
        <v>4.2570172258048915</v>
      </c>
      <c r="BH295" s="528">
        <f t="shared" si="795"/>
        <v>5.4515176127165432</v>
      </c>
      <c r="BI295" s="528">
        <f t="shared" si="796"/>
        <v>0.20300421258534374</v>
      </c>
      <c r="BJ295" s="528">
        <f t="shared" si="844"/>
        <v>3.7410264206265101E-2</v>
      </c>
      <c r="BK295">
        <f t="shared" si="845"/>
        <v>6.7220415290006885E-3</v>
      </c>
      <c r="BL295" s="460">
        <f t="shared" si="846"/>
        <v>209.72625411434441</v>
      </c>
      <c r="BM295" s="528">
        <f t="shared" si="797"/>
        <v>-950.12309313395895</v>
      </c>
      <c r="BN295" s="460">
        <f t="shared" si="847"/>
        <v>-950123.09313395899</v>
      </c>
      <c r="BO295" s="528">
        <f t="shared" si="798"/>
        <v>0.33179999999999998</v>
      </c>
      <c r="BR295" s="460">
        <f t="shared" si="848"/>
        <v>331.8</v>
      </c>
      <c r="BS295" s="528">
        <f t="shared" si="849"/>
        <v>3.192762919353668</v>
      </c>
      <c r="BT295" s="528">
        <f t="shared" si="850"/>
        <v>1.511174647461248E-2</v>
      </c>
      <c r="BU295" s="528">
        <f t="shared" si="851"/>
        <v>541.75354268632395</v>
      </c>
      <c r="BV295" s="528"/>
      <c r="BW295" s="528">
        <f t="shared" si="852"/>
        <v>7.8460131526114134</v>
      </c>
      <c r="BX295" s="460">
        <f t="shared" si="853"/>
        <v>552807.43050476362</v>
      </c>
      <c r="BY295" s="173">
        <f t="shared" si="854"/>
        <v>563.09490186160565</v>
      </c>
      <c r="BZ295" s="5">
        <f t="shared" si="855"/>
        <v>80.58</v>
      </c>
      <c r="CA295" s="173">
        <f t="shared" si="856"/>
        <v>0.12518741956063595</v>
      </c>
      <c r="CB295" s="5">
        <f t="shared" si="857"/>
        <v>12.518741956063595</v>
      </c>
      <c r="CE295" s="562">
        <f t="shared" si="799"/>
        <v>-50</v>
      </c>
      <c r="CF295">
        <f t="shared" si="800"/>
        <v>-50</v>
      </c>
      <c r="CG295" s="173">
        <f t="shared" si="801"/>
        <v>0.62478231503178017</v>
      </c>
      <c r="CI295" s="170">
        <v>79</v>
      </c>
      <c r="CJ295" s="217">
        <f t="shared" si="858"/>
        <v>0.47399999999999998</v>
      </c>
      <c r="CK295" s="217"/>
      <c r="CL295" s="217">
        <f t="shared" si="802"/>
        <v>80.58</v>
      </c>
      <c r="CM295" s="541">
        <f t="shared" si="803"/>
        <v>16</v>
      </c>
      <c r="CN295" s="443">
        <f t="shared" si="804"/>
        <v>8.5250000000000004</v>
      </c>
      <c r="CO295" s="443">
        <f t="shared" si="805"/>
        <v>24.524999999999999</v>
      </c>
      <c r="CP295" s="443"/>
      <c r="CQ295" s="217">
        <f t="shared" si="806"/>
        <v>0.34760448521916415</v>
      </c>
      <c r="CR295" s="172">
        <f t="shared" si="807"/>
        <v>188.05866123003739</v>
      </c>
      <c r="CS295" s="172">
        <f t="shared" si="808"/>
        <v>80.58</v>
      </c>
      <c r="CT295" s="217">
        <f t="shared" si="809"/>
        <v>1.1062274190002199</v>
      </c>
      <c r="CU295" s="217">
        <f t="shared" si="810"/>
        <v>170</v>
      </c>
      <c r="CV295" s="217"/>
      <c r="CW295" s="172">
        <f t="shared" si="811"/>
        <v>805.37435083754553</v>
      </c>
      <c r="CX295" s="172">
        <f t="shared" si="812"/>
        <v>170</v>
      </c>
      <c r="CY295" s="217">
        <f t="shared" si="813"/>
        <v>28.976898826979468</v>
      </c>
      <c r="CZ295" s="217">
        <f t="shared" si="814"/>
        <v>0.90552808834310838</v>
      </c>
      <c r="DA295" s="217">
        <f t="shared" si="815"/>
        <v>1.6995248578873587</v>
      </c>
      <c r="DB295" s="197">
        <f t="shared" si="816"/>
        <v>350</v>
      </c>
      <c r="DC295" s="443">
        <f t="shared" si="817"/>
        <v>350</v>
      </c>
      <c r="DE295" s="217">
        <f t="shared" si="818"/>
        <v>31.780981505752148</v>
      </c>
      <c r="DF295" s="173">
        <f t="shared" si="819"/>
        <v>1.8639871850881022</v>
      </c>
      <c r="DG295" s="173">
        <f t="shared" si="820"/>
        <v>0.51834424474213492</v>
      </c>
      <c r="DH295" s="173"/>
      <c r="DI295" s="173">
        <f t="shared" si="821"/>
        <v>0.78201368523949166</v>
      </c>
      <c r="DJ295" s="545">
        <f t="shared" si="822"/>
        <v>1818.3824999999997</v>
      </c>
      <c r="DK295" s="528">
        <f t="shared" si="823"/>
        <v>9.1234929944607357E-2</v>
      </c>
      <c r="DM295" s="173">
        <f t="shared" si="824"/>
        <v>30.391164129444878</v>
      </c>
      <c r="DN295" s="173">
        <f t="shared" si="825"/>
        <v>30.391164129444878</v>
      </c>
      <c r="DO295" s="173">
        <f t="shared" si="826"/>
        <v>13.835430219341884</v>
      </c>
      <c r="DQ295" s="545">
        <f t="shared" si="827"/>
        <v>474</v>
      </c>
      <c r="DR295" s="460">
        <f t="shared" si="828"/>
        <v>350</v>
      </c>
      <c r="DT295">
        <f t="shared" si="829"/>
        <v>474</v>
      </c>
      <c r="DU295">
        <f t="shared" si="830"/>
        <v>350</v>
      </c>
      <c r="DW295" s="5">
        <f t="shared" si="859"/>
        <v>2.8571428571428572</v>
      </c>
      <c r="DX295" s="5">
        <f t="shared" si="831"/>
        <v>0.94972387904515232</v>
      </c>
      <c r="DY295" s="5">
        <f t="shared" si="832"/>
        <v>1.9074189780977049</v>
      </c>
      <c r="DZ295" s="5"/>
      <c r="EA295" s="173">
        <f t="shared" si="833"/>
        <v>0.33240335766580331</v>
      </c>
      <c r="EB295" s="173">
        <f t="shared" si="860"/>
        <v>80.816999999999993</v>
      </c>
      <c r="EC295" s="173">
        <f t="shared" si="861"/>
        <v>0.50722597823612203</v>
      </c>
      <c r="ED295" s="173">
        <f t="shared" si="862"/>
        <v>159.33135026135895</v>
      </c>
      <c r="EE295" s="460">
        <f t="shared" si="834"/>
        <v>0.26480536392200127</v>
      </c>
      <c r="EF295" s="5">
        <f t="shared" si="835"/>
        <v>15.369982125511305</v>
      </c>
      <c r="EH295" s="173">
        <f t="shared" si="863"/>
        <v>10.116246651322289</v>
      </c>
      <c r="EI295" s="173">
        <f t="shared" si="864"/>
        <v>0.71682605875466099</v>
      </c>
      <c r="EK295" s="528">
        <f t="shared" si="865"/>
        <v>4.0935378524155777</v>
      </c>
      <c r="EL295" s="528">
        <f t="shared" si="866"/>
        <v>7.1739292651433679</v>
      </c>
      <c r="EM295" s="528">
        <f t="shared" si="867"/>
        <v>6.9999999999999993E-2</v>
      </c>
      <c r="EN295" s="528">
        <f t="shared" si="868"/>
        <v>4.2103293749999993E-2</v>
      </c>
      <c r="EO295">
        <f t="shared" si="869"/>
        <v>7.1999999999999998E-3</v>
      </c>
      <c r="EP295" s="460">
        <f t="shared" si="870"/>
        <v>77.199999999999989</v>
      </c>
      <c r="EQ295" s="460"/>
      <c r="ER295" s="460">
        <f t="shared" si="871"/>
        <v>11386.770411308944</v>
      </c>
      <c r="ES295" s="528">
        <f t="shared" si="872"/>
        <v>0.33179999999999998</v>
      </c>
      <c r="EV295" s="460">
        <f t="shared" si="873"/>
        <v>331.8</v>
      </c>
      <c r="EW295" s="528">
        <f t="shared" si="874"/>
        <v>3.0701533893116828</v>
      </c>
      <c r="EX295" s="528">
        <f t="shared" si="875"/>
        <v>1.5415187955292221E-2</v>
      </c>
      <c r="EY295" s="528">
        <f t="shared" si="876"/>
        <v>583.45646335318781</v>
      </c>
      <c r="EZ295" s="528"/>
      <c r="FA295" s="528">
        <f t="shared" si="877"/>
        <v>8.0816999999999997</v>
      </c>
      <c r="FB295" s="460">
        <f t="shared" si="878"/>
        <v>594623.73193045473</v>
      </c>
      <c r="FC295" s="173">
        <f t="shared" si="879"/>
        <v>606.34230234176368</v>
      </c>
      <c r="FD295" s="5">
        <f t="shared" si="880"/>
        <v>80.58</v>
      </c>
      <c r="FE295" s="173">
        <f t="shared" si="881"/>
        <v>0.11730584336146524</v>
      </c>
      <c r="FF295" s="5">
        <f t="shared" si="882"/>
        <v>11.730584336146524</v>
      </c>
      <c r="FI295" s="562">
        <f t="shared" si="836"/>
        <v>-50</v>
      </c>
      <c r="FJ295">
        <f t="shared" si="837"/>
        <v>-50</v>
      </c>
      <c r="FL295">
        <f t="shared" si="838"/>
        <v>0.6238655393141177</v>
      </c>
    </row>
    <row r="296" spans="5:168">
      <c r="E296" s="170">
        <v>80</v>
      </c>
      <c r="F296" s="217">
        <f t="shared" si="839"/>
        <v>0.48</v>
      </c>
      <c r="G296" s="217"/>
      <c r="H296" s="217">
        <f t="shared" si="764"/>
        <v>81.599999999999994</v>
      </c>
      <c r="I296" s="541">
        <f t="shared" si="765"/>
        <v>14.93116886272901</v>
      </c>
      <c r="J296" s="172">
        <f t="shared" si="766"/>
        <v>8.5261451762185043</v>
      </c>
      <c r="K296" s="172">
        <f t="shared" si="767"/>
        <v>23.457314038947516</v>
      </c>
      <c r="L296" s="443"/>
      <c r="M296" s="217">
        <f t="shared" si="768"/>
        <v>0.36347495852405792</v>
      </c>
      <c r="N296" s="172">
        <f t="shared" si="769"/>
        <v>183.5085436417572</v>
      </c>
      <c r="O296" s="172">
        <f t="shared" si="762"/>
        <v>81.599999999999994</v>
      </c>
      <c r="P296" s="217">
        <f t="shared" si="770"/>
        <v>1.0794620214221011</v>
      </c>
      <c r="Q296" s="217">
        <f t="shared" si="771"/>
        <v>170</v>
      </c>
      <c r="R296" s="217"/>
      <c r="S296" s="172">
        <f t="shared" si="772"/>
        <v>738.46540436962721</v>
      </c>
      <c r="T296" s="172">
        <f t="shared" si="773"/>
        <v>170</v>
      </c>
      <c r="U296" s="217">
        <f t="shared" si="774"/>
        <v>30.163777933198055</v>
      </c>
      <c r="V296" s="217">
        <f t="shared" si="775"/>
        <v>1.0100943271927119</v>
      </c>
      <c r="W296" s="217">
        <f t="shared" si="776"/>
        <v>1.7688989167890419</v>
      </c>
      <c r="X296" s="197">
        <f t="shared" si="777"/>
        <v>350</v>
      </c>
      <c r="Y296" s="443">
        <f t="shared" si="840"/>
        <v>335.68387643047805</v>
      </c>
      <c r="AA296" s="217">
        <f t="shared" si="778"/>
        <v>31.012030292955263</v>
      </c>
      <c r="AB296" s="173">
        <f t="shared" si="779"/>
        <v>1.818643106116429</v>
      </c>
      <c r="AC296" s="173">
        <f t="shared" si="780"/>
        <v>0.49349838211587332</v>
      </c>
      <c r="AD296" s="173"/>
      <c r="AE296" s="173">
        <f t="shared" si="781"/>
        <v>0.78190865026103762</v>
      </c>
      <c r="AF296" s="545">
        <f t="shared" si="782"/>
        <v>1841.6473580631964</v>
      </c>
      <c r="AG296" s="528">
        <f t="shared" si="783"/>
        <v>9.1222675863787739E-2</v>
      </c>
      <c r="AI296" s="173">
        <f t="shared" si="784"/>
        <v>30.584962447338654</v>
      </c>
      <c r="AJ296" s="173">
        <f t="shared" si="785"/>
        <v>30.584962447338654</v>
      </c>
      <c r="AK296" s="173">
        <f t="shared" si="786"/>
        <v>13.978984528892827</v>
      </c>
      <c r="AM296" s="545">
        <f t="shared" si="787"/>
        <v>480</v>
      </c>
      <c r="AN296" s="460">
        <f t="shared" si="788"/>
        <v>335.68387643047805</v>
      </c>
      <c r="AP296">
        <f t="shared" si="789"/>
        <v>480</v>
      </c>
      <c r="AQ296">
        <f t="shared" si="790"/>
        <v>335.68387643047805</v>
      </c>
      <c r="AS296" s="5">
        <f t="shared" si="763"/>
        <v>2.9789932439817539</v>
      </c>
      <c r="AT296" s="5">
        <f t="shared" si="791"/>
        <v>1.0241985315591882</v>
      </c>
      <c r="AU296" s="5">
        <f t="shared" si="722"/>
        <v>1.9547947124225658</v>
      </c>
      <c r="AV296" s="5"/>
      <c r="AW296" s="173">
        <f t="shared" si="723"/>
        <v>0.34380693330819156</v>
      </c>
      <c r="AX296" s="173">
        <f t="shared" si="792"/>
        <v>78.503025291759045</v>
      </c>
      <c r="AY296" s="173">
        <f t="shared" si="793"/>
        <v>0.50174100757432372</v>
      </c>
      <c r="AZ296" s="173">
        <f t="shared" si="794"/>
        <v>156.46125014035306</v>
      </c>
      <c r="BA296" s="460">
        <f t="shared" si="724"/>
        <v>0.28918546773435905</v>
      </c>
      <c r="BB296" s="5">
        <f t="shared" si="725"/>
        <v>17.092968407246538</v>
      </c>
      <c r="BD296" s="173">
        <f t="shared" si="841"/>
        <v>10.353916053150996</v>
      </c>
      <c r="BE296" s="173">
        <f t="shared" si="842"/>
        <v>0.71520929046330095</v>
      </c>
      <c r="BG296" s="528">
        <f t="shared" si="843"/>
        <v>4.2881431054279169</v>
      </c>
      <c r="BH296" s="528">
        <f t="shared" si="795"/>
        <v>5.4187514809024053</v>
      </c>
      <c r="BI296" s="528">
        <f t="shared" si="796"/>
        <v>0.20048610573915704</v>
      </c>
      <c r="BJ296" s="528">
        <f t="shared" si="844"/>
        <v>3.6941713985651076E-2</v>
      </c>
      <c r="BK296">
        <f t="shared" si="845"/>
        <v>6.7190259882280541E-3</v>
      </c>
      <c r="BL296" s="460">
        <f t="shared" si="846"/>
        <v>207.20513172738509</v>
      </c>
      <c r="BM296" s="528">
        <f t="shared" si="797"/>
        <v>-577.94356457020604</v>
      </c>
      <c r="BN296" s="460">
        <f t="shared" si="847"/>
        <v>-577943.56457020598</v>
      </c>
      <c r="BO296" s="528">
        <f t="shared" si="798"/>
        <v>0.33599999999999997</v>
      </c>
      <c r="BR296" s="460">
        <f t="shared" si="848"/>
        <v>335.99999999999994</v>
      </c>
      <c r="BS296" s="528">
        <f t="shared" si="849"/>
        <v>3.2161073290709372</v>
      </c>
      <c r="BT296" s="528">
        <f t="shared" si="850"/>
        <v>1.5345729874950552E-2</v>
      </c>
      <c r="BU296" s="528">
        <f t="shared" si="851"/>
        <v>534.03053208810218</v>
      </c>
      <c r="BV296" s="528"/>
      <c r="BW296" s="528">
        <f t="shared" si="852"/>
        <v>7.8503025291759041</v>
      </c>
      <c r="BX296" s="460">
        <f t="shared" si="853"/>
        <v>545112.28767622402</v>
      </c>
      <c r="BY296" s="173">
        <f t="shared" si="854"/>
        <v>555.39932910826735</v>
      </c>
      <c r="BZ296" s="5">
        <f t="shared" si="855"/>
        <v>81.599999999999994</v>
      </c>
      <c r="CA296" s="173">
        <f t="shared" si="856"/>
        <v>0.12810060587384212</v>
      </c>
      <c r="CB296" s="5">
        <f t="shared" si="857"/>
        <v>12.810060587384212</v>
      </c>
      <c r="CE296" s="562">
        <f t="shared" si="799"/>
        <v>-50</v>
      </c>
      <c r="CF296">
        <f t="shared" si="800"/>
        <v>-50</v>
      </c>
      <c r="CG296" s="173">
        <f t="shared" si="801"/>
        <v>0.62872419839470051</v>
      </c>
      <c r="CI296" s="170">
        <v>80</v>
      </c>
      <c r="CJ296" s="217">
        <f t="shared" si="858"/>
        <v>0.48</v>
      </c>
      <c r="CK296" s="217"/>
      <c r="CL296" s="217">
        <f t="shared" si="802"/>
        <v>81.599999999999994</v>
      </c>
      <c r="CM296" s="541">
        <f t="shared" si="803"/>
        <v>16</v>
      </c>
      <c r="CN296" s="443">
        <f t="shared" si="804"/>
        <v>8.5250000000000004</v>
      </c>
      <c r="CO296" s="443">
        <f t="shared" si="805"/>
        <v>24.524999999999999</v>
      </c>
      <c r="CP296" s="443"/>
      <c r="CQ296" s="217">
        <f t="shared" si="806"/>
        <v>0.34760448521916415</v>
      </c>
      <c r="CR296" s="172">
        <f t="shared" si="807"/>
        <v>188.05866123003739</v>
      </c>
      <c r="CS296" s="172">
        <f t="shared" si="808"/>
        <v>81.599999999999994</v>
      </c>
      <c r="CT296" s="217">
        <f t="shared" si="809"/>
        <v>1.1062274190002199</v>
      </c>
      <c r="CU296" s="217">
        <f t="shared" si="810"/>
        <v>170</v>
      </c>
      <c r="CV296" s="217"/>
      <c r="CW296" s="172">
        <f t="shared" si="811"/>
        <v>791.31317897793633</v>
      </c>
      <c r="CX296" s="172">
        <f t="shared" si="812"/>
        <v>170</v>
      </c>
      <c r="CY296" s="217">
        <f t="shared" si="813"/>
        <v>29.343695014662753</v>
      </c>
      <c r="CZ296" s="217">
        <f t="shared" si="814"/>
        <v>0.91699046920821103</v>
      </c>
      <c r="DA296" s="217">
        <f t="shared" si="815"/>
        <v>1.7210378307720089</v>
      </c>
      <c r="DB296" s="197">
        <f t="shared" si="816"/>
        <v>350</v>
      </c>
      <c r="DC296" s="443">
        <f t="shared" si="817"/>
        <v>350</v>
      </c>
      <c r="DE296" s="217">
        <f t="shared" si="818"/>
        <v>31.780981505752148</v>
      </c>
      <c r="DF296" s="173">
        <f t="shared" si="819"/>
        <v>1.8639871850881022</v>
      </c>
      <c r="DG296" s="173">
        <f t="shared" si="820"/>
        <v>0.51834424474213492</v>
      </c>
      <c r="DH296" s="173"/>
      <c r="DI296" s="173">
        <f t="shared" si="821"/>
        <v>0.78201368523949166</v>
      </c>
      <c r="DJ296" s="545">
        <f t="shared" si="822"/>
        <v>1841.4</v>
      </c>
      <c r="DK296" s="528">
        <f t="shared" si="823"/>
        <v>9.1234929944607357E-2</v>
      </c>
      <c r="DM296" s="173">
        <f t="shared" si="824"/>
        <v>30.582908392013433</v>
      </c>
      <c r="DN296" s="173">
        <f t="shared" si="825"/>
        <v>30.582908392013433</v>
      </c>
      <c r="DO296" s="173">
        <f t="shared" si="826"/>
        <v>13.977463006429703</v>
      </c>
      <c r="DQ296" s="545">
        <f t="shared" si="827"/>
        <v>480</v>
      </c>
      <c r="DR296" s="460">
        <f t="shared" si="828"/>
        <v>350</v>
      </c>
      <c r="DT296">
        <f t="shared" si="829"/>
        <v>480</v>
      </c>
      <c r="DU296">
        <f t="shared" si="830"/>
        <v>350</v>
      </c>
      <c r="DW296" s="5">
        <f t="shared" si="859"/>
        <v>2.8571428571428572</v>
      </c>
      <c r="DX296" s="5">
        <f t="shared" si="831"/>
        <v>0.95571588725041967</v>
      </c>
      <c r="DY296" s="5">
        <f t="shared" si="832"/>
        <v>1.9014269698924375</v>
      </c>
      <c r="DZ296" s="5"/>
      <c r="EA296" s="173">
        <f t="shared" si="833"/>
        <v>0.33450056053764687</v>
      </c>
      <c r="EB296" s="173">
        <f t="shared" si="860"/>
        <v>81.839999999999989</v>
      </c>
      <c r="EC296" s="173">
        <f t="shared" si="861"/>
        <v>0.50882270980033595</v>
      </c>
      <c r="ED296" s="173">
        <f t="shared" si="862"/>
        <v>160.84187758072812</v>
      </c>
      <c r="EE296" s="460">
        <f t="shared" si="834"/>
        <v>0.2698491916942361</v>
      </c>
      <c r="EF296" s="5">
        <f t="shared" si="835"/>
        <v>15.515644074322291</v>
      </c>
      <c r="EH296" s="173">
        <f t="shared" si="863"/>
        <v>10.212135800936345</v>
      </c>
      <c r="EI296" s="173">
        <f t="shared" si="864"/>
        <v>0.72021474393867901</v>
      </c>
      <c r="EK296" s="528">
        <f t="shared" si="865"/>
        <v>4.1715087046706323</v>
      </c>
      <c r="EL296" s="528">
        <f t="shared" si="866"/>
        <v>7.2191910975234954</v>
      </c>
      <c r="EM296" s="528">
        <f t="shared" si="867"/>
        <v>6.9999999999999993E-2</v>
      </c>
      <c r="EN296" s="528">
        <f t="shared" si="868"/>
        <v>4.2103293749999993E-2</v>
      </c>
      <c r="EO296">
        <f t="shared" si="869"/>
        <v>7.1999999999999998E-3</v>
      </c>
      <c r="EP296" s="460">
        <f t="shared" si="870"/>
        <v>77.199999999999989</v>
      </c>
      <c r="EQ296" s="460"/>
      <c r="ER296" s="460">
        <f t="shared" si="871"/>
        <v>11510.003095944126</v>
      </c>
      <c r="ES296" s="528">
        <f t="shared" si="872"/>
        <v>0.33599999999999997</v>
      </c>
      <c r="EV296" s="460">
        <f t="shared" si="873"/>
        <v>335.99999999999994</v>
      </c>
      <c r="EW296" s="528">
        <f t="shared" si="874"/>
        <v>3.1286315285029738</v>
      </c>
      <c r="EX296" s="528">
        <f t="shared" si="875"/>
        <v>1.5561278321599708E-2</v>
      </c>
      <c r="EY296" s="528">
        <f t="shared" si="876"/>
        <v>592.70293089334416</v>
      </c>
      <c r="EZ296" s="528"/>
      <c r="FA296" s="528">
        <f t="shared" si="877"/>
        <v>8.1840000000000011</v>
      </c>
      <c r="FB296" s="460">
        <f t="shared" si="878"/>
        <v>604031.12370016868</v>
      </c>
      <c r="FC296" s="173">
        <f t="shared" si="879"/>
        <v>615.87712679611286</v>
      </c>
      <c r="FD296" s="5">
        <f t="shared" si="880"/>
        <v>81.599999999999994</v>
      </c>
      <c r="FE296" s="173">
        <f t="shared" si="881"/>
        <v>0.11699308388051753</v>
      </c>
      <c r="FF296" s="5">
        <f t="shared" si="882"/>
        <v>11.699308388051753</v>
      </c>
      <c r="FI296" s="562">
        <f t="shared" si="836"/>
        <v>-50</v>
      </c>
      <c r="FJ296">
        <f t="shared" si="837"/>
        <v>-50</v>
      </c>
      <c r="FL296">
        <f t="shared" si="838"/>
        <v>0.62780163854573023</v>
      </c>
    </row>
    <row r="297" spans="5:168">
      <c r="E297" s="170">
        <v>81</v>
      </c>
      <c r="F297" s="217">
        <f t="shared" si="839"/>
        <v>0.48599999999999999</v>
      </c>
      <c r="G297" s="217"/>
      <c r="H297" s="217">
        <f t="shared" si="764"/>
        <v>82.62</v>
      </c>
      <c r="I297" s="541">
        <f t="shared" si="765"/>
        <v>14.924509414267146</v>
      </c>
      <c r="J297" s="172">
        <f t="shared" si="766"/>
        <v>8.5261523113418569</v>
      </c>
      <c r="K297" s="172">
        <f t="shared" si="767"/>
        <v>23.450661725609002</v>
      </c>
      <c r="L297" s="443"/>
      <c r="M297" s="217">
        <f t="shared" si="768"/>
        <v>0.3635783709976787</v>
      </c>
      <c r="N297" s="172">
        <f t="shared" si="769"/>
        <v>183.47888385993275</v>
      </c>
      <c r="O297" s="172">
        <f t="shared" si="762"/>
        <v>82.62</v>
      </c>
      <c r="P297" s="217">
        <f t="shared" si="770"/>
        <v>1.0792875521172516</v>
      </c>
      <c r="Q297" s="217">
        <f t="shared" si="771"/>
        <v>170</v>
      </c>
      <c r="R297" s="217"/>
      <c r="S297" s="172">
        <f t="shared" si="772"/>
        <v>725.34433114265823</v>
      </c>
      <c r="T297" s="172">
        <f t="shared" si="773"/>
        <v>170</v>
      </c>
      <c r="U297" s="217">
        <f t="shared" si="774"/>
        <v>30.545787751549046</v>
      </c>
      <c r="V297" s="217">
        <f t="shared" si="775"/>
        <v>1.0233431097691115</v>
      </c>
      <c r="W297" s="217">
        <f t="shared" si="776"/>
        <v>1.7912996763449625</v>
      </c>
      <c r="X297" s="197">
        <f t="shared" si="777"/>
        <v>350</v>
      </c>
      <c r="Y297" s="443">
        <f t="shared" si="840"/>
        <v>331.7142596814985</v>
      </c>
      <c r="AA297" s="217">
        <f t="shared" si="778"/>
        <v>31.007017913854394</v>
      </c>
      <c r="AB297" s="173">
        <f t="shared" si="779"/>
        <v>1.8183476427349012</v>
      </c>
      <c r="AC297" s="173">
        <f t="shared" si="780"/>
        <v>0.49333845690408995</v>
      </c>
      <c r="AD297" s="173"/>
      <c r="AE297" s="173">
        <f t="shared" si="781"/>
        <v>0.78190799591961047</v>
      </c>
      <c r="AF297" s="545">
        <f t="shared" si="782"/>
        <v>1864.6695104904638</v>
      </c>
      <c r="AG297" s="528">
        <f t="shared" si="783"/>
        <v>9.1222599523954576E-2</v>
      </c>
      <c r="AI297" s="173">
        <f t="shared" si="784"/>
        <v>30.775537681967535</v>
      </c>
      <c r="AJ297" s="173">
        <f t="shared" si="785"/>
        <v>30.775537681967535</v>
      </c>
      <c r="AK297" s="173">
        <f t="shared" si="786"/>
        <v>14.120151369358666</v>
      </c>
      <c r="AM297" s="545">
        <f t="shared" si="787"/>
        <v>486</v>
      </c>
      <c r="AN297" s="460">
        <f t="shared" si="788"/>
        <v>331.7142596814985</v>
      </c>
      <c r="AP297">
        <f t="shared" si="789"/>
        <v>486</v>
      </c>
      <c r="AQ297">
        <f t="shared" si="790"/>
        <v>331.7142596814985</v>
      </c>
      <c r="AS297" s="5">
        <f t="shared" si="763"/>
        <v>3.0146427861140737</v>
      </c>
      <c r="AT297" s="5">
        <f t="shared" si="791"/>
        <v>1.0310401778616434</v>
      </c>
      <c r="AU297" s="5">
        <f t="shared" si="722"/>
        <v>1.9836026082524303</v>
      </c>
      <c r="AV297" s="5"/>
      <c r="AW297" s="173">
        <f t="shared" si="723"/>
        <v>0.34201072930125559</v>
      </c>
      <c r="AX297" s="173">
        <f t="shared" si="792"/>
        <v>78.544440155302368</v>
      </c>
      <c r="AY297" s="173">
        <f t="shared" si="793"/>
        <v>0.5062493398679887</v>
      </c>
      <c r="AZ297" s="173">
        <f t="shared" si="794"/>
        <v>155.14971372759496</v>
      </c>
      <c r="BA297" s="460">
        <f t="shared" si="724"/>
        <v>0.29475619202397568</v>
      </c>
      <c r="BB297" s="5">
        <f t="shared" si="725"/>
        <v>17.569515265904716</v>
      </c>
      <c r="BD297" s="173">
        <f t="shared" si="841"/>
        <v>10.391180462152583</v>
      </c>
      <c r="BE297" s="173">
        <f t="shared" si="842"/>
        <v>0.72065006847009272</v>
      </c>
      <c r="BG297" s="528">
        <f t="shared" si="843"/>
        <v>4.3190652558808633</v>
      </c>
      <c r="BH297" s="528">
        <f t="shared" si="795"/>
        <v>5.3865092593645345</v>
      </c>
      <c r="BI297" s="528">
        <f t="shared" si="796"/>
        <v>0.19802690365852726</v>
      </c>
      <c r="BJ297" s="528">
        <f t="shared" si="844"/>
        <v>3.6484159111787623E-2</v>
      </c>
      <c r="BK297">
        <f t="shared" si="845"/>
        <v>6.7160292364202151E-3</v>
      </c>
      <c r="BL297" s="460">
        <f t="shared" si="846"/>
        <v>204.7429328949475</v>
      </c>
      <c r="BM297" s="528">
        <f t="shared" si="797"/>
        <v>-416.18641417467603</v>
      </c>
      <c r="BN297" s="460">
        <f t="shared" si="847"/>
        <v>-416186.41417467606</v>
      </c>
      <c r="BO297" s="528">
        <f t="shared" si="798"/>
        <v>0.34019999999999995</v>
      </c>
      <c r="BR297" s="460">
        <f t="shared" si="848"/>
        <v>340.19999999999993</v>
      </c>
      <c r="BS297" s="528">
        <f t="shared" si="849"/>
        <v>3.239298941910647</v>
      </c>
      <c r="BT297" s="528">
        <f t="shared" si="850"/>
        <v>1.5580095635578479E-2</v>
      </c>
      <c r="BU297" s="528">
        <f t="shared" si="851"/>
        <v>526.49527835865229</v>
      </c>
      <c r="BV297" s="528"/>
      <c r="BW297" s="528">
        <f t="shared" si="852"/>
        <v>7.8544440155302393</v>
      </c>
      <c r="BX297" s="460">
        <f t="shared" si="853"/>
        <v>537604.60141172865</v>
      </c>
      <c r="BY297" s="173">
        <f t="shared" si="854"/>
        <v>547.89160301898085</v>
      </c>
      <c r="BZ297" s="5">
        <f t="shared" si="855"/>
        <v>82.62</v>
      </c>
      <c r="CA297" s="173">
        <f t="shared" si="856"/>
        <v>0.13103644660051217</v>
      </c>
      <c r="CB297" s="5">
        <f t="shared" si="857"/>
        <v>13.103644660051216</v>
      </c>
      <c r="CE297" s="562">
        <f t="shared" si="799"/>
        <v>-50</v>
      </c>
      <c r="CF297">
        <f t="shared" si="800"/>
        <v>-50</v>
      </c>
      <c r="CG297" s="173">
        <f t="shared" si="801"/>
        <v>0.63264152101932647</v>
      </c>
      <c r="CI297" s="170">
        <v>81</v>
      </c>
      <c r="CJ297" s="217">
        <f t="shared" si="858"/>
        <v>0.48599999999999999</v>
      </c>
      <c r="CK297" s="217"/>
      <c r="CL297" s="217">
        <f t="shared" si="802"/>
        <v>82.62</v>
      </c>
      <c r="CM297" s="541">
        <f t="shared" si="803"/>
        <v>16</v>
      </c>
      <c r="CN297" s="443">
        <f t="shared" si="804"/>
        <v>8.5250000000000004</v>
      </c>
      <c r="CO297" s="443">
        <f t="shared" si="805"/>
        <v>24.524999999999999</v>
      </c>
      <c r="CP297" s="443"/>
      <c r="CQ297" s="217">
        <f t="shared" si="806"/>
        <v>0.34760448521916415</v>
      </c>
      <c r="CR297" s="172">
        <f t="shared" si="807"/>
        <v>188.05866123003739</v>
      </c>
      <c r="CS297" s="172">
        <f t="shared" si="808"/>
        <v>82.62</v>
      </c>
      <c r="CT297" s="217">
        <f t="shared" si="809"/>
        <v>1.1062274190002199</v>
      </c>
      <c r="CU297" s="217">
        <f t="shared" si="810"/>
        <v>170</v>
      </c>
      <c r="CV297" s="217"/>
      <c r="CW297" s="172">
        <f t="shared" si="811"/>
        <v>777.59931926269905</v>
      </c>
      <c r="CX297" s="172">
        <f t="shared" si="812"/>
        <v>170</v>
      </c>
      <c r="CY297" s="217">
        <f t="shared" si="813"/>
        <v>29.710491202346041</v>
      </c>
      <c r="CZ297" s="217">
        <f t="shared" si="814"/>
        <v>0.92845285007331368</v>
      </c>
      <c r="DA297" s="217">
        <f t="shared" si="815"/>
        <v>1.742550803656659</v>
      </c>
      <c r="DB297" s="197">
        <f t="shared" si="816"/>
        <v>350</v>
      </c>
      <c r="DC297" s="443">
        <f t="shared" si="817"/>
        <v>350</v>
      </c>
      <c r="DE297" s="217">
        <f t="shared" si="818"/>
        <v>31.780981505752148</v>
      </c>
      <c r="DF297" s="173">
        <f t="shared" si="819"/>
        <v>1.8639871850881022</v>
      </c>
      <c r="DG297" s="173">
        <f t="shared" si="820"/>
        <v>0.51834424474213492</v>
      </c>
      <c r="DH297" s="173"/>
      <c r="DI297" s="173">
        <f t="shared" si="821"/>
        <v>0.78201368523949166</v>
      </c>
      <c r="DJ297" s="545">
        <f t="shared" si="822"/>
        <v>1864.4175</v>
      </c>
      <c r="DK297" s="528">
        <f t="shared" si="823"/>
        <v>9.1234929944607357E-2</v>
      </c>
      <c r="DM297" s="173">
        <f t="shared" si="824"/>
        <v>30.773457951385872</v>
      </c>
      <c r="DN297" s="173">
        <f t="shared" si="825"/>
        <v>30.773457951385872</v>
      </c>
      <c r="DO297" s="173">
        <f t="shared" si="826"/>
        <v>14.118610828187062</v>
      </c>
      <c r="DQ297" s="545">
        <f t="shared" si="827"/>
        <v>486</v>
      </c>
      <c r="DR297" s="460">
        <f t="shared" si="828"/>
        <v>350</v>
      </c>
      <c r="DT297">
        <f t="shared" si="829"/>
        <v>486</v>
      </c>
      <c r="DU297">
        <f t="shared" si="830"/>
        <v>350</v>
      </c>
      <c r="DW297" s="5">
        <f t="shared" si="859"/>
        <v>2.8571428571428572</v>
      </c>
      <c r="DX297" s="5">
        <f t="shared" si="831"/>
        <v>0.96167056098080839</v>
      </c>
      <c r="DY297" s="5">
        <f t="shared" si="832"/>
        <v>1.8954722961620489</v>
      </c>
      <c r="DZ297" s="5"/>
      <c r="EA297" s="173">
        <f t="shared" si="833"/>
        <v>0.33658469634328292</v>
      </c>
      <c r="EB297" s="173">
        <f t="shared" si="860"/>
        <v>82.863</v>
      </c>
      <c r="EC297" s="173">
        <f t="shared" si="861"/>
        <v>0.51038957378464678</v>
      </c>
      <c r="ED297" s="173">
        <f t="shared" si="862"/>
        <v>162.35245439195262</v>
      </c>
      <c r="EE297" s="460">
        <f t="shared" si="834"/>
        <v>0.27492464272745459</v>
      </c>
      <c r="EF297" s="5">
        <f t="shared" si="835"/>
        <v>15.660392110890848</v>
      </c>
      <c r="EH297" s="173">
        <f t="shared" si="863"/>
        <v>10.307725755927136</v>
      </c>
      <c r="EI297" s="173">
        <f t="shared" si="864"/>
        <v>0.72356644679180604</v>
      </c>
      <c r="EK297" s="528">
        <f t="shared" si="865"/>
        <v>4.2499684103761455</v>
      </c>
      <c r="EL297" s="528">
        <f t="shared" si="866"/>
        <v>7.2641709164807331</v>
      </c>
      <c r="EM297" s="528">
        <f t="shared" si="867"/>
        <v>6.9999999999999993E-2</v>
      </c>
      <c r="EN297" s="528">
        <f t="shared" si="868"/>
        <v>4.2103293749999993E-2</v>
      </c>
      <c r="EO297">
        <f t="shared" si="869"/>
        <v>7.1999999999999998E-3</v>
      </c>
      <c r="EP297" s="460">
        <f t="shared" si="870"/>
        <v>77.199999999999989</v>
      </c>
      <c r="EQ297" s="460"/>
      <c r="ER297" s="460">
        <f t="shared" si="871"/>
        <v>11633.442620606877</v>
      </c>
      <c r="ES297" s="528">
        <f t="shared" si="872"/>
        <v>0.34019999999999995</v>
      </c>
      <c r="EV297" s="460">
        <f t="shared" si="873"/>
        <v>340.19999999999993</v>
      </c>
      <c r="EW297" s="528">
        <f t="shared" si="874"/>
        <v>3.1874763077821089</v>
      </c>
      <c r="EX297" s="528">
        <f t="shared" si="875"/>
        <v>1.5706452087687586E-2</v>
      </c>
      <c r="EY297" s="528">
        <f t="shared" si="876"/>
        <v>601.97833950091456</v>
      </c>
      <c r="EZ297" s="528"/>
      <c r="FA297" s="528">
        <f t="shared" si="877"/>
        <v>8.2863000000000024</v>
      </c>
      <c r="FB297" s="460">
        <f t="shared" si="878"/>
        <v>613467.82226078433</v>
      </c>
      <c r="FC297" s="173">
        <f t="shared" si="879"/>
        <v>625.4414648813912</v>
      </c>
      <c r="FD297" s="5">
        <f t="shared" si="880"/>
        <v>82.62</v>
      </c>
      <c r="FE297" s="173">
        <f t="shared" si="881"/>
        <v>0.11668478528744654</v>
      </c>
      <c r="FF297" s="5">
        <f t="shared" si="882"/>
        <v>11.668478528744654</v>
      </c>
      <c r="FI297" s="562">
        <f t="shared" si="836"/>
        <v>-50</v>
      </c>
      <c r="FJ297">
        <f t="shared" si="837"/>
        <v>-50</v>
      </c>
      <c r="FL297">
        <f t="shared" si="838"/>
        <v>0.63171321307830219</v>
      </c>
    </row>
    <row r="298" spans="5:168">
      <c r="E298" s="170">
        <v>82</v>
      </c>
      <c r="F298" s="217">
        <f t="shared" si="839"/>
        <v>0.49199999999999994</v>
      </c>
      <c r="G298" s="217"/>
      <c r="H298" s="217">
        <f t="shared" si="764"/>
        <v>83.639999999999986</v>
      </c>
      <c r="I298" s="541">
        <f t="shared" si="765"/>
        <v>14.917890948194222</v>
      </c>
      <c r="J298" s="172">
        <f t="shared" si="766"/>
        <v>8.5261594025555052</v>
      </c>
      <c r="K298" s="172">
        <f t="shared" si="767"/>
        <v>23.444050350749727</v>
      </c>
      <c r="L298" s="443"/>
      <c r="M298" s="217">
        <f t="shared" si="768"/>
        <v>0.36368120521513092</v>
      </c>
      <c r="N298" s="172">
        <f t="shared" si="769"/>
        <v>183.44938979203965</v>
      </c>
      <c r="O298" s="172">
        <f t="shared" si="762"/>
        <v>83.639999999999986</v>
      </c>
      <c r="P298" s="217">
        <f t="shared" si="770"/>
        <v>1.0791140576002332</v>
      </c>
      <c r="Q298" s="217">
        <f t="shared" si="771"/>
        <v>170</v>
      </c>
      <c r="R298" s="217"/>
      <c r="S298" s="172">
        <f t="shared" si="772"/>
        <v>712.5486125662876</v>
      </c>
      <c r="T298" s="172">
        <f t="shared" si="773"/>
        <v>170</v>
      </c>
      <c r="U298" s="217">
        <f t="shared" si="774"/>
        <v>30.927893630194507</v>
      </c>
      <c r="V298" s="217">
        <f t="shared" si="775"/>
        <v>1.0366040929511642</v>
      </c>
      <c r="W298" s="217">
        <f t="shared" si="776"/>
        <v>1.8137060410179895</v>
      </c>
      <c r="X298" s="197">
        <f t="shared" si="777"/>
        <v>350</v>
      </c>
      <c r="Y298" s="443">
        <f t="shared" si="840"/>
        <v>327.83551707208551</v>
      </c>
      <c r="AA298" s="217">
        <f t="shared" si="778"/>
        <v>31.002033539744136</v>
      </c>
      <c r="AB298" s="173">
        <f t="shared" si="779"/>
        <v>1.8180538315089467</v>
      </c>
      <c r="AC298" s="173">
        <f t="shared" si="780"/>
        <v>0.49317945128813118</v>
      </c>
      <c r="AD298" s="173"/>
      <c r="AE298" s="173">
        <f t="shared" si="781"/>
        <v>0.78190734560609998</v>
      </c>
      <c r="AF298" s="545">
        <f t="shared" si="782"/>
        <v>1887.6916917257888</v>
      </c>
      <c r="AG298" s="528">
        <f t="shared" si="783"/>
        <v>9.1222523654044985E-2</v>
      </c>
      <c r="AI298" s="173">
        <f t="shared" si="784"/>
        <v>30.964940270505224</v>
      </c>
      <c r="AJ298" s="173">
        <f t="shared" si="785"/>
        <v>30.964940270505224</v>
      </c>
      <c r="AK298" s="173">
        <f t="shared" si="786"/>
        <v>14.260449583090287</v>
      </c>
      <c r="AM298" s="545">
        <f t="shared" si="787"/>
        <v>491.99999999999994</v>
      </c>
      <c r="AN298" s="460">
        <f t="shared" si="788"/>
        <v>327.83551707208551</v>
      </c>
      <c r="AP298">
        <f t="shared" si="789"/>
        <v>491.99999999999994</v>
      </c>
      <c r="AQ298">
        <f t="shared" si="790"/>
        <v>327.83551707208551</v>
      </c>
      <c r="AS298" s="5">
        <f t="shared" si="763"/>
        <v>3.0503101339691541</v>
      </c>
      <c r="AT298" s="5">
        <f t="shared" si="791"/>
        <v>1.0378457778662562</v>
      </c>
      <c r="AU298" s="5">
        <f t="shared" ref="AU298:AU316" si="883">AS298-AT298</f>
        <v>2.0124643561028979</v>
      </c>
      <c r="AV298" s="5"/>
      <c r="AW298" s="173">
        <f t="shared" ref="AW298:AW315" si="884">AT298/AS298</f>
        <v>0.34024270722786487</v>
      </c>
      <c r="AX298" s="173">
        <f t="shared" si="792"/>
        <v>78.584429438679834</v>
      </c>
      <c r="AY298" s="173">
        <f t="shared" si="793"/>
        <v>0.51073362909298481</v>
      </c>
      <c r="AZ298" s="173">
        <f t="shared" si="794"/>
        <v>153.8657824005802</v>
      </c>
      <c r="BA298" s="460">
        <f t="shared" si="724"/>
        <v>0.30036477806482231</v>
      </c>
      <c r="BB298" s="5">
        <f t="shared" si="725"/>
        <v>18.053224207522064</v>
      </c>
      <c r="BD298" s="173">
        <f t="shared" si="841"/>
        <v>10.428072260263805</v>
      </c>
      <c r="BE298" s="173">
        <f t="shared" si="842"/>
        <v>0.72605868263758233</v>
      </c>
      <c r="BG298" s="528">
        <f t="shared" si="843"/>
        <v>4.3497876426113393</v>
      </c>
      <c r="BH298" s="528">
        <f t="shared" si="795"/>
        <v>5.3547772868471952</v>
      </c>
      <c r="BI298" s="528">
        <f t="shared" si="796"/>
        <v>0.19562457970504946</v>
      </c>
      <c r="BJ298" s="528">
        <f t="shared" si="844"/>
        <v>3.6037220656858389E-2</v>
      </c>
      <c r="BK298">
        <f t="shared" si="845"/>
        <v>6.7130509266873995E-3</v>
      </c>
      <c r="BL298" s="460">
        <f t="shared" si="846"/>
        <v>202.33763063173686</v>
      </c>
      <c r="BM298" s="528">
        <f t="shared" si="797"/>
        <v>-325.72943550819843</v>
      </c>
      <c r="BN298" s="460">
        <f t="shared" si="847"/>
        <v>-325729.43550819845</v>
      </c>
      <c r="BO298" s="528">
        <f t="shared" si="798"/>
        <v>0.34439999999999993</v>
      </c>
      <c r="BR298" s="460">
        <f t="shared" si="848"/>
        <v>344.39999999999992</v>
      </c>
      <c r="BS298" s="528">
        <f t="shared" si="849"/>
        <v>3.262340731958504</v>
      </c>
      <c r="BT298" s="528">
        <f t="shared" si="850"/>
        <v>1.5814836319002643E-2</v>
      </c>
      <c r="BU298" s="528">
        <f t="shared" si="851"/>
        <v>519.14135571697386</v>
      </c>
      <c r="BV298" s="528"/>
      <c r="BW298" s="528">
        <f t="shared" si="852"/>
        <v>7.8584429438679857</v>
      </c>
      <c r="BX298" s="460">
        <f t="shared" si="853"/>
        <v>530277.95422911935</v>
      </c>
      <c r="BY298" s="173">
        <f t="shared" si="854"/>
        <v>540.56529400986653</v>
      </c>
      <c r="BZ298" s="5">
        <f t="shared" si="855"/>
        <v>83.639999999999986</v>
      </c>
      <c r="CA298" s="173">
        <f t="shared" si="856"/>
        <v>0.13399437781551068</v>
      </c>
      <c r="CB298" s="5">
        <f t="shared" si="857"/>
        <v>13.399437781551068</v>
      </c>
      <c r="CE298" s="562">
        <f t="shared" si="799"/>
        <v>-50</v>
      </c>
      <c r="CF298">
        <f t="shared" si="800"/>
        <v>-50</v>
      </c>
      <c r="CG298" s="173">
        <f t="shared" si="801"/>
        <v>0.63653473635633995</v>
      </c>
      <c r="CI298" s="170">
        <v>82</v>
      </c>
      <c r="CJ298" s="217">
        <f t="shared" si="858"/>
        <v>0.49199999999999994</v>
      </c>
      <c r="CK298" s="217"/>
      <c r="CL298" s="217">
        <f t="shared" si="802"/>
        <v>83.639999999999986</v>
      </c>
      <c r="CM298" s="541">
        <f t="shared" si="803"/>
        <v>16</v>
      </c>
      <c r="CN298" s="443">
        <f t="shared" si="804"/>
        <v>8.5250000000000004</v>
      </c>
      <c r="CO298" s="443">
        <f t="shared" si="805"/>
        <v>24.524999999999999</v>
      </c>
      <c r="CP298" s="443"/>
      <c r="CQ298" s="217">
        <f t="shared" si="806"/>
        <v>0.34760448521916415</v>
      </c>
      <c r="CR298" s="172">
        <f t="shared" si="807"/>
        <v>188.05866123003739</v>
      </c>
      <c r="CS298" s="172">
        <f t="shared" si="808"/>
        <v>83.639999999999986</v>
      </c>
      <c r="CT298" s="217">
        <f t="shared" si="809"/>
        <v>1.1062274190002199</v>
      </c>
      <c r="CU298" s="217">
        <f t="shared" si="810"/>
        <v>170</v>
      </c>
      <c r="CV298" s="217"/>
      <c r="CW298" s="172">
        <f t="shared" si="811"/>
        <v>764.22006699665133</v>
      </c>
      <c r="CX298" s="172">
        <f t="shared" si="812"/>
        <v>170</v>
      </c>
      <c r="CY298" s="217">
        <f t="shared" si="813"/>
        <v>30.077287390029319</v>
      </c>
      <c r="CZ298" s="217">
        <f t="shared" si="814"/>
        <v>0.93991523093841622</v>
      </c>
      <c r="DA298" s="217">
        <f t="shared" si="815"/>
        <v>1.764063776541309</v>
      </c>
      <c r="DB298" s="197">
        <f t="shared" si="816"/>
        <v>350</v>
      </c>
      <c r="DC298" s="443">
        <f t="shared" si="817"/>
        <v>350</v>
      </c>
      <c r="DE298" s="217">
        <f t="shared" si="818"/>
        <v>31.780981505752148</v>
      </c>
      <c r="DF298" s="173">
        <f t="shared" si="819"/>
        <v>1.8639871850881022</v>
      </c>
      <c r="DG298" s="173">
        <f t="shared" si="820"/>
        <v>0.51834424474213492</v>
      </c>
      <c r="DH298" s="173"/>
      <c r="DI298" s="173">
        <f t="shared" si="821"/>
        <v>0.78201368523949166</v>
      </c>
      <c r="DJ298" s="545">
        <f t="shared" si="822"/>
        <v>1887.4349999999997</v>
      </c>
      <c r="DK298" s="528">
        <f t="shared" si="823"/>
        <v>9.1234929944607357E-2</v>
      </c>
      <c r="DM298" s="173">
        <f t="shared" si="824"/>
        <v>30.962834864675145</v>
      </c>
      <c r="DN298" s="173">
        <f t="shared" si="825"/>
        <v>30.962834864675145</v>
      </c>
      <c r="DO298" s="173">
        <f t="shared" si="826"/>
        <v>14.258890023216154</v>
      </c>
      <c r="DQ298" s="545">
        <f t="shared" si="827"/>
        <v>491.99999999999994</v>
      </c>
      <c r="DR298" s="460">
        <f t="shared" si="828"/>
        <v>350</v>
      </c>
      <c r="DT298">
        <f t="shared" si="829"/>
        <v>491.99999999999994</v>
      </c>
      <c r="DU298">
        <f t="shared" si="830"/>
        <v>350</v>
      </c>
      <c r="DW298" s="5">
        <f t="shared" si="859"/>
        <v>2.8571428571428572</v>
      </c>
      <c r="DX298" s="5">
        <f t="shared" si="831"/>
        <v>0.96758858952109839</v>
      </c>
      <c r="DY298" s="5">
        <f t="shared" si="832"/>
        <v>1.8895542676217589</v>
      </c>
      <c r="DZ298" s="5"/>
      <c r="EA298" s="173">
        <f t="shared" si="833"/>
        <v>0.33865600633238441</v>
      </c>
      <c r="EB298" s="173">
        <f t="shared" si="860"/>
        <v>83.885999999999981</v>
      </c>
      <c r="EC298" s="173">
        <f t="shared" si="861"/>
        <v>0.5119271216168787</v>
      </c>
      <c r="ED298" s="173">
        <f t="shared" si="862"/>
        <v>163.86316813036416</v>
      </c>
      <c r="EE298" s="460">
        <f t="shared" si="834"/>
        <v>0.28003152120257668</v>
      </c>
      <c r="EF298" s="5">
        <f t="shared" si="835"/>
        <v>15.804231894388389</v>
      </c>
      <c r="EH298" s="173">
        <f t="shared" si="863"/>
        <v>10.40302112661297</v>
      </c>
      <c r="EI298" s="173">
        <f t="shared" si="864"/>
        <v>0.72688180903940369</v>
      </c>
      <c r="EK298" s="528">
        <f t="shared" si="865"/>
        <v>4.3289139424302316</v>
      </c>
      <c r="EL298" s="528">
        <f t="shared" si="866"/>
        <v>7.3088739286655189</v>
      </c>
      <c r="EM298" s="528">
        <f t="shared" si="867"/>
        <v>6.9999999999999993E-2</v>
      </c>
      <c r="EN298" s="528">
        <f t="shared" si="868"/>
        <v>4.2103293749999993E-2</v>
      </c>
      <c r="EO298">
        <f t="shared" si="869"/>
        <v>7.1999999999999998E-3</v>
      </c>
      <c r="EP298" s="460">
        <f t="shared" si="870"/>
        <v>77.199999999999989</v>
      </c>
      <c r="EQ298" s="460"/>
      <c r="ER298" s="460">
        <f t="shared" si="871"/>
        <v>11757.091164845748</v>
      </c>
      <c r="ES298" s="528">
        <f t="shared" si="872"/>
        <v>0.34439999999999993</v>
      </c>
      <c r="EV298" s="460">
        <f t="shared" si="873"/>
        <v>344.39999999999992</v>
      </c>
      <c r="EW298" s="528">
        <f t="shared" si="874"/>
        <v>3.2466854568226733</v>
      </c>
      <c r="EX298" s="528">
        <f t="shared" si="875"/>
        <v>1.5850714929371883E-2</v>
      </c>
      <c r="EY298" s="528">
        <f t="shared" si="876"/>
        <v>611.28242077534594</v>
      </c>
      <c r="EZ298" s="528"/>
      <c r="FA298" s="528">
        <f t="shared" si="877"/>
        <v>8.3886000000000003</v>
      </c>
      <c r="FB298" s="460">
        <f t="shared" si="878"/>
        <v>622933.556947098</v>
      </c>
      <c r="FC298" s="173">
        <f t="shared" si="879"/>
        <v>635.03504811194375</v>
      </c>
      <c r="FD298" s="5">
        <f t="shared" si="880"/>
        <v>83.639999999999986</v>
      </c>
      <c r="FE298" s="173">
        <f t="shared" si="881"/>
        <v>0.11638083194864431</v>
      </c>
      <c r="FF298" s="5">
        <f t="shared" si="882"/>
        <v>11.63808319486443</v>
      </c>
      <c r="FI298" s="562">
        <f t="shared" si="836"/>
        <v>-50</v>
      </c>
      <c r="FJ298">
        <f t="shared" si="837"/>
        <v>-50</v>
      </c>
      <c r="FL298">
        <f t="shared" si="838"/>
        <v>0.63560071569714371</v>
      </c>
    </row>
    <row r="299" spans="5:168">
      <c r="E299" s="170">
        <v>83</v>
      </c>
      <c r="F299" s="217">
        <f t="shared" si="839"/>
        <v>0.49799999999999994</v>
      </c>
      <c r="G299" s="217"/>
      <c r="H299" s="217">
        <f t="shared" si="764"/>
        <v>84.66</v>
      </c>
      <c r="I299" s="541">
        <f t="shared" si="765"/>
        <v>14.911312717076203</v>
      </c>
      <c r="J299" s="172">
        <f t="shared" si="766"/>
        <v>8.5261664506602752</v>
      </c>
      <c r="K299" s="172">
        <f t="shared" si="767"/>
        <v>23.437479167736477</v>
      </c>
      <c r="L299" s="443"/>
      <c r="M299" s="217">
        <f t="shared" si="768"/>
        <v>0.36378347177122172</v>
      </c>
      <c r="N299" s="172">
        <f t="shared" si="769"/>
        <v>183.42005840174284</v>
      </c>
      <c r="O299" s="172">
        <f t="shared" si="762"/>
        <v>84.66</v>
      </c>
      <c r="P299" s="217">
        <f t="shared" si="770"/>
        <v>1.0789415200102519</v>
      </c>
      <c r="Q299" s="217">
        <f t="shared" si="771"/>
        <v>170</v>
      </c>
      <c r="R299" s="217"/>
      <c r="S299" s="172">
        <f t="shared" si="772"/>
        <v>700.06642598740746</v>
      </c>
      <c r="T299" s="172">
        <f t="shared" si="773"/>
        <v>170</v>
      </c>
      <c r="U299" s="217">
        <f t="shared" si="774"/>
        <v>31.310095095229787</v>
      </c>
      <c r="V299" s="217">
        <f t="shared" si="775"/>
        <v>1.0498772203795963</v>
      </c>
      <c r="W299" s="217">
        <f t="shared" si="776"/>
        <v>1.8361179831766652</v>
      </c>
      <c r="X299" s="197">
        <f t="shared" si="777"/>
        <v>350</v>
      </c>
      <c r="Y299" s="443">
        <f t="shared" si="840"/>
        <v>324.04457364276283</v>
      </c>
      <c r="AA299" s="217">
        <f t="shared" si="778"/>
        <v>30.997076657496059</v>
      </c>
      <c r="AB299" s="173">
        <f t="shared" si="779"/>
        <v>1.8177616421677774</v>
      </c>
      <c r="AC299" s="173">
        <f t="shared" si="780"/>
        <v>0.49302134846414208</v>
      </c>
      <c r="AD299" s="173"/>
      <c r="AE299" s="173">
        <f t="shared" si="781"/>
        <v>0.7819066992470447</v>
      </c>
      <c r="AF299" s="545">
        <f t="shared" si="782"/>
        <v>1910.7139015929677</v>
      </c>
      <c r="AG299" s="528">
        <f t="shared" si="783"/>
        <v>9.1222448245488558E-2</v>
      </c>
      <c r="AI299" s="173">
        <f t="shared" si="784"/>
        <v>31.153191599591725</v>
      </c>
      <c r="AJ299" s="173">
        <f t="shared" si="785"/>
        <v>31.310095095229787</v>
      </c>
      <c r="AK299" s="173">
        <f t="shared" si="786"/>
        <v>14.516119823627003</v>
      </c>
      <c r="AM299" s="545">
        <f t="shared" si="787"/>
        <v>497.99999999999994</v>
      </c>
      <c r="AN299" s="460">
        <f t="shared" si="788"/>
        <v>324.04457364276283</v>
      </c>
      <c r="AP299">
        <f t="shared" si="789"/>
        <v>497.99999999999994</v>
      </c>
      <c r="AQ299">
        <f t="shared" si="790"/>
        <v>324.04457364276283</v>
      </c>
      <c r="AS299" s="5">
        <f t="shared" si="763"/>
        <v>3.0859952035562621</v>
      </c>
      <c r="AT299" s="5">
        <f t="shared" si="791"/>
        <v>1.0498772203795963</v>
      </c>
      <c r="AU299" s="5">
        <f t="shared" si="883"/>
        <v>2.0361179831766658</v>
      </c>
      <c r="AV299" s="5"/>
      <c r="AW299" s="173">
        <f t="shared" si="884"/>
        <v>0.3402070162551552</v>
      </c>
      <c r="AX299" s="173">
        <f t="shared" si="792"/>
        <v>79.417010575925531</v>
      </c>
      <c r="AY299" s="173">
        <f t="shared" si="793"/>
        <v>0.51645452660541236</v>
      </c>
      <c r="AZ299" s="173">
        <f t="shared" si="794"/>
        <v>153.77348146781304</v>
      </c>
      <c r="BA299" s="460">
        <f t="shared" si="724"/>
        <v>0.30755226808766989</v>
      </c>
      <c r="BB299" s="5">
        <f t="shared" si="725"/>
        <v>18.496319054011359</v>
      </c>
      <c r="BD299" s="173">
        <f t="shared" si="841"/>
        <v>10.543757098511561</v>
      </c>
      <c r="BE299" s="173">
        <f t="shared" si="842"/>
        <v>0.7341716497835582</v>
      </c>
      <c r="BG299" s="528">
        <f t="shared" si="843"/>
        <v>4.4468325500965173</v>
      </c>
      <c r="BH299" s="528">
        <f t="shared" si="795"/>
        <v>5.3503544871017299</v>
      </c>
      <c r="BI299" s="528">
        <f t="shared" si="796"/>
        <v>0.19327719887435463</v>
      </c>
      <c r="BJ299" s="528">
        <f t="shared" si="844"/>
        <v>3.5600536844973524E-2</v>
      </c>
      <c r="BK299">
        <f t="shared" si="845"/>
        <v>6.710090722684291E-3</v>
      </c>
      <c r="BL299" s="460">
        <f t="shared" si="846"/>
        <v>199.98728959703894</v>
      </c>
      <c r="BM299" s="528">
        <f t="shared" si="797"/>
        <v>-195.04926248709626</v>
      </c>
      <c r="BN299" s="460">
        <f t="shared" si="847"/>
        <v>-195049.26248709625</v>
      </c>
      <c r="BO299" s="528">
        <f t="shared" si="798"/>
        <v>0.34859999999999997</v>
      </c>
      <c r="BR299" s="460">
        <f t="shared" si="848"/>
        <v>348.59999999999997</v>
      </c>
      <c r="BS299" s="528">
        <f t="shared" si="849"/>
        <v>3.3351244125723878</v>
      </c>
      <c r="BT299" s="528">
        <f t="shared" si="850"/>
        <v>1.6170240340377347E-2</v>
      </c>
      <c r="BU299" s="528">
        <f t="shared" si="851"/>
        <v>518.43325801904973</v>
      </c>
      <c r="BV299" s="528"/>
      <c r="BW299" s="528">
        <f t="shared" si="852"/>
        <v>7.9417010575925531</v>
      </c>
      <c r="BX299" s="460">
        <f t="shared" si="853"/>
        <v>529726.25372955506</v>
      </c>
      <c r="BY299" s="173">
        <f t="shared" si="854"/>
        <v>540.10762859319539</v>
      </c>
      <c r="BZ299" s="5">
        <f t="shared" si="855"/>
        <v>84.66</v>
      </c>
      <c r="CA299" s="173">
        <f t="shared" si="856"/>
        <v>0.13550638049322594</v>
      </c>
      <c r="CB299" s="5">
        <f t="shared" si="857"/>
        <v>13.550638049322593</v>
      </c>
      <c r="CE299" s="562">
        <f t="shared" si="799"/>
        <v>-50</v>
      </c>
      <c r="CF299">
        <f t="shared" si="800"/>
        <v>-50</v>
      </c>
      <c r="CG299" s="173">
        <f t="shared" si="801"/>
        <v>0.64040428407282179</v>
      </c>
      <c r="CI299" s="170">
        <v>83</v>
      </c>
      <c r="CJ299" s="217">
        <f t="shared" si="858"/>
        <v>0.49799999999999994</v>
      </c>
      <c r="CK299" s="217"/>
      <c r="CL299" s="217">
        <f t="shared" si="802"/>
        <v>84.66</v>
      </c>
      <c r="CM299" s="541">
        <f t="shared" si="803"/>
        <v>16</v>
      </c>
      <c r="CN299" s="443">
        <f t="shared" si="804"/>
        <v>8.5250000000000004</v>
      </c>
      <c r="CO299" s="443">
        <f t="shared" si="805"/>
        <v>24.524999999999999</v>
      </c>
      <c r="CP299" s="443"/>
      <c r="CQ299" s="217">
        <f t="shared" si="806"/>
        <v>0.34760448521916415</v>
      </c>
      <c r="CR299" s="172">
        <f t="shared" si="807"/>
        <v>188.05866123003739</v>
      </c>
      <c r="CS299" s="172">
        <f t="shared" si="808"/>
        <v>84.66</v>
      </c>
      <c r="CT299" s="217">
        <f t="shared" si="809"/>
        <v>1.1062274190002199</v>
      </c>
      <c r="CU299" s="217">
        <f t="shared" si="810"/>
        <v>170</v>
      </c>
      <c r="CV299" s="217"/>
      <c r="CW299" s="172">
        <f t="shared" si="811"/>
        <v>751.16332979620563</v>
      </c>
      <c r="CX299" s="172">
        <f t="shared" si="812"/>
        <v>170</v>
      </c>
      <c r="CY299" s="217">
        <f t="shared" si="813"/>
        <v>30.444083577712608</v>
      </c>
      <c r="CZ299" s="217">
        <f t="shared" si="814"/>
        <v>0.95137761180351899</v>
      </c>
      <c r="DA299" s="217">
        <f t="shared" si="815"/>
        <v>1.7855767494259593</v>
      </c>
      <c r="DB299" s="197">
        <f t="shared" si="816"/>
        <v>350</v>
      </c>
      <c r="DC299" s="443">
        <f t="shared" si="817"/>
        <v>350</v>
      </c>
      <c r="DE299" s="217">
        <f t="shared" si="818"/>
        <v>31.780981505752148</v>
      </c>
      <c r="DF299" s="173">
        <f t="shared" si="819"/>
        <v>1.8639871850881022</v>
      </c>
      <c r="DG299" s="173">
        <f t="shared" si="820"/>
        <v>0.51834424474213492</v>
      </c>
      <c r="DH299" s="173"/>
      <c r="DI299" s="173">
        <f t="shared" si="821"/>
        <v>0.78201368523949166</v>
      </c>
      <c r="DJ299" s="545">
        <f t="shared" si="822"/>
        <v>1910.4524999999999</v>
      </c>
      <c r="DK299" s="528">
        <f t="shared" si="823"/>
        <v>9.1234929944607357E-2</v>
      </c>
      <c r="DM299" s="173">
        <f t="shared" si="824"/>
        <v>31.151060518521216</v>
      </c>
      <c r="DN299" s="173">
        <f t="shared" si="825"/>
        <v>31.151060518521216</v>
      </c>
      <c r="DO299" s="173">
        <f t="shared" si="826"/>
        <v>14.398316433472505</v>
      </c>
      <c r="DQ299" s="545">
        <f t="shared" si="827"/>
        <v>497.99999999999994</v>
      </c>
      <c r="DR299" s="460">
        <f t="shared" si="828"/>
        <v>350</v>
      </c>
      <c r="DT299">
        <f t="shared" si="829"/>
        <v>497.99999999999994</v>
      </c>
      <c r="DU299">
        <f t="shared" si="830"/>
        <v>350</v>
      </c>
      <c r="DW299" s="5">
        <f t="shared" si="859"/>
        <v>2.8571428571428572</v>
      </c>
      <c r="DX299" s="5">
        <f t="shared" si="831"/>
        <v>0.97347064120378812</v>
      </c>
      <c r="DY299" s="5">
        <f t="shared" si="832"/>
        <v>1.8836722159390691</v>
      </c>
      <c r="DZ299" s="5"/>
      <c r="EA299" s="173">
        <f t="shared" si="833"/>
        <v>0.34071472442132583</v>
      </c>
      <c r="EB299" s="173">
        <f t="shared" si="860"/>
        <v>84.908999999999978</v>
      </c>
      <c r="EC299" s="173">
        <f t="shared" si="861"/>
        <v>0.51343588796303041</v>
      </c>
      <c r="ED299" s="173">
        <f t="shared" si="862"/>
        <v>165.3741041298496</v>
      </c>
      <c r="EE299" s="460">
        <f t="shared" si="834"/>
        <v>0.28516963489381553</v>
      </c>
      <c r="EF299" s="5">
        <f t="shared" si="835"/>
        <v>15.947168980140159</v>
      </c>
      <c r="EH299" s="173">
        <f t="shared" si="863"/>
        <v>10.498026396993067</v>
      </c>
      <c r="EI299" s="173">
        <f t="shared" si="864"/>
        <v>0.73016145288369927</v>
      </c>
      <c r="EK299" s="528">
        <f t="shared" si="865"/>
        <v>4.40834232927853</v>
      </c>
      <c r="EL299" s="528">
        <f t="shared" si="866"/>
        <v>7.3533051824610522</v>
      </c>
      <c r="EM299" s="528">
        <f t="shared" si="867"/>
        <v>6.9999999999999993E-2</v>
      </c>
      <c r="EN299" s="528">
        <f t="shared" si="868"/>
        <v>4.2103293749999993E-2</v>
      </c>
      <c r="EO299">
        <f t="shared" si="869"/>
        <v>7.1999999999999998E-3</v>
      </c>
      <c r="EP299" s="460">
        <f t="shared" si="870"/>
        <v>77.199999999999989</v>
      </c>
      <c r="EQ299" s="460"/>
      <c r="ER299" s="460">
        <f t="shared" si="871"/>
        <v>11880.950805489581</v>
      </c>
      <c r="ES299" s="528">
        <f t="shared" si="872"/>
        <v>0.34859999999999997</v>
      </c>
      <c r="EV299" s="460">
        <f t="shared" si="873"/>
        <v>348.59999999999997</v>
      </c>
      <c r="EW299" s="528">
        <f t="shared" si="874"/>
        <v>3.3062567469588968</v>
      </c>
      <c r="EX299" s="528">
        <f t="shared" si="875"/>
        <v>1.5994072418317035E-2</v>
      </c>
      <c r="EY299" s="528">
        <f t="shared" si="876"/>
        <v>620.61491205333903</v>
      </c>
      <c r="EZ299" s="528"/>
      <c r="FA299" s="528">
        <f t="shared" si="877"/>
        <v>8.4908999999999999</v>
      </c>
      <c r="FB299" s="460">
        <f t="shared" si="878"/>
        <v>632428.06287271623</v>
      </c>
      <c r="FC299" s="173">
        <f t="shared" si="879"/>
        <v>644.65761367820585</v>
      </c>
      <c r="FD299" s="5">
        <f t="shared" si="880"/>
        <v>84.66</v>
      </c>
      <c r="FE299" s="173">
        <f t="shared" si="881"/>
        <v>0.1160811125526364</v>
      </c>
      <c r="FF299" s="5">
        <f t="shared" si="882"/>
        <v>11.608111255263639</v>
      </c>
      <c r="FI299" s="562">
        <f t="shared" si="836"/>
        <v>-50</v>
      </c>
      <c r="FJ299">
        <f t="shared" si="837"/>
        <v>-50</v>
      </c>
      <c r="FL299">
        <f t="shared" si="838"/>
        <v>0.63946458542418927</v>
      </c>
    </row>
    <row r="300" spans="5:168">
      <c r="E300" s="170">
        <v>84</v>
      </c>
      <c r="F300" s="217">
        <f t="shared" si="839"/>
        <v>0.504</v>
      </c>
      <c r="G300" s="217"/>
      <c r="H300" s="217">
        <f t="shared" si="764"/>
        <v>85.68</v>
      </c>
      <c r="I300" s="541">
        <f t="shared" si="765"/>
        <v>14.897050069668582</v>
      </c>
      <c r="J300" s="172">
        <f t="shared" si="766"/>
        <v>8.5261817320682134</v>
      </c>
      <c r="K300" s="172">
        <f t="shared" si="767"/>
        <v>23.423231801736797</v>
      </c>
      <c r="L300" s="443"/>
      <c r="M300" s="217">
        <f t="shared" si="768"/>
        <v>0.36400517390973131</v>
      </c>
      <c r="N300" s="172">
        <f t="shared" si="769"/>
        <v>183.35629296303838</v>
      </c>
      <c r="O300" s="172">
        <f t="shared" si="762"/>
        <v>85.68</v>
      </c>
      <c r="P300" s="217">
        <f t="shared" si="770"/>
        <v>1.0785664291943435</v>
      </c>
      <c r="Q300" s="217">
        <f t="shared" si="771"/>
        <v>170</v>
      </c>
      <c r="R300" s="217"/>
      <c r="S300" s="172">
        <f t="shared" si="772"/>
        <v>687.53015024606714</v>
      </c>
      <c r="T300" s="172">
        <f t="shared" si="773"/>
        <v>170</v>
      </c>
      <c r="U300" s="217">
        <f t="shared" si="774"/>
        <v>31.698371076274494</v>
      </c>
      <c r="V300" s="217">
        <f t="shared" si="775"/>
        <v>1.0639143631803505</v>
      </c>
      <c r="W300" s="217">
        <f t="shared" si="776"/>
        <v>1.8588843208122279</v>
      </c>
      <c r="X300" s="197">
        <f t="shared" si="777"/>
        <v>350</v>
      </c>
      <c r="Y300" s="443">
        <f t="shared" si="840"/>
        <v>320.2255736580093</v>
      </c>
      <c r="AA300" s="217">
        <f t="shared" si="778"/>
        <v>30.986319721454812</v>
      </c>
      <c r="AB300" s="173">
        <f t="shared" si="779"/>
        <v>1.8171275663120536</v>
      </c>
      <c r="AC300" s="173">
        <f t="shared" si="780"/>
        <v>0.49267833776362585</v>
      </c>
      <c r="AD300" s="173"/>
      <c r="AE300" s="173">
        <f t="shared" si="781"/>
        <v>0.78190529784186524</v>
      </c>
      <c r="AF300" s="545">
        <f t="shared" si="782"/>
        <v>1933.7380168330703</v>
      </c>
      <c r="AG300" s="528">
        <f t="shared" si="783"/>
        <v>9.1222284748217627E-2</v>
      </c>
      <c r="AI300" s="173">
        <f t="shared" si="784"/>
        <v>31.340327623275705</v>
      </c>
      <c r="AJ300" s="173">
        <f t="shared" si="785"/>
        <v>31.698371076274494</v>
      </c>
      <c r="AK300" s="173">
        <f t="shared" si="786"/>
        <v>14.803731661437897</v>
      </c>
      <c r="AM300" s="545">
        <f t="shared" si="787"/>
        <v>504</v>
      </c>
      <c r="AN300" s="460">
        <f t="shared" si="788"/>
        <v>320.2255736580093</v>
      </c>
      <c r="AP300">
        <f t="shared" si="789"/>
        <v>504</v>
      </c>
      <c r="AQ300">
        <f t="shared" si="790"/>
        <v>320.2255736580093</v>
      </c>
      <c r="AS300" s="5">
        <f t="shared" si="763"/>
        <v>3.1227986839925785</v>
      </c>
      <c r="AT300" s="5">
        <f t="shared" si="791"/>
        <v>1.0639143631803505</v>
      </c>
      <c r="AU300" s="5">
        <f t="shared" si="883"/>
        <v>2.0588843208122283</v>
      </c>
      <c r="AV300" s="5"/>
      <c r="AW300" s="173">
        <f t="shared" si="884"/>
        <v>0.34069258727242341</v>
      </c>
      <c r="AX300" s="173">
        <f t="shared" si="792"/>
        <v>80.439601665624323</v>
      </c>
      <c r="AY300" s="173">
        <f t="shared" si="793"/>
        <v>0.5224742755494296</v>
      </c>
      <c r="AZ300" s="173">
        <f t="shared" si="794"/>
        <v>153.95897067091909</v>
      </c>
      <c r="BA300" s="460">
        <f t="shared" si="724"/>
        <v>0.31541931708405679</v>
      </c>
      <c r="BB300" s="5">
        <f t="shared" si="725"/>
        <v>18.946592275082956</v>
      </c>
      <c r="BD300" s="173">
        <f t="shared" si="841"/>
        <v>10.682125105712114</v>
      </c>
      <c r="BE300" s="173">
        <f t="shared" si="842"/>
        <v>0.74300254517674236</v>
      </c>
      <c r="BG300" s="528">
        <f t="shared" si="843"/>
        <v>4.5643118709634019</v>
      </c>
      <c r="BH300" s="528">
        <f t="shared" si="795"/>
        <v>5.349612092645307</v>
      </c>
      <c r="BI300" s="528">
        <f t="shared" si="796"/>
        <v>0.19081665617486837</v>
      </c>
      <c r="BJ300" s="528">
        <f t="shared" si="844"/>
        <v>3.5138210532126506E-2</v>
      </c>
      <c r="BK300">
        <f t="shared" si="845"/>
        <v>6.7036725313508617E-3</v>
      </c>
      <c r="BL300" s="460">
        <f t="shared" si="846"/>
        <v>197.52032870621923</v>
      </c>
      <c r="BM300" s="528">
        <f t="shared" si="797"/>
        <v>-132.35511517698785</v>
      </c>
      <c r="BN300" s="460">
        <f t="shared" si="847"/>
        <v>-132355.11517698786</v>
      </c>
      <c r="BO300" s="528">
        <f t="shared" si="798"/>
        <v>0.3528</v>
      </c>
      <c r="BR300" s="460">
        <f t="shared" si="848"/>
        <v>352.8</v>
      </c>
      <c r="BS300" s="528">
        <f t="shared" si="849"/>
        <v>3.4232339032225512</v>
      </c>
      <c r="BT300" s="528">
        <f t="shared" si="850"/>
        <v>1.656158346417351E-2</v>
      </c>
      <c r="BU300" s="528">
        <f t="shared" si="851"/>
        <v>519.0418761923878</v>
      </c>
      <c r="BV300" s="528"/>
      <c r="BW300" s="528">
        <f t="shared" si="852"/>
        <v>8.0439601665624316</v>
      </c>
      <c r="BX300" s="460">
        <f t="shared" si="853"/>
        <v>530525.63184563699</v>
      </c>
      <c r="BY300" s="173">
        <f t="shared" si="854"/>
        <v>541.02501434848398</v>
      </c>
      <c r="BZ300" s="5">
        <f t="shared" si="855"/>
        <v>85.68</v>
      </c>
      <c r="CA300" s="173">
        <f t="shared" si="856"/>
        <v>0.1367150382370437</v>
      </c>
      <c r="CB300" s="5">
        <f t="shared" si="857"/>
        <v>13.67150382370437</v>
      </c>
      <c r="CE300" s="562">
        <f t="shared" si="799"/>
        <v>-50</v>
      </c>
      <c r="CF300">
        <f t="shared" si="800"/>
        <v>-50</v>
      </c>
      <c r="CG300" s="173">
        <f t="shared" si="801"/>
        <v>0.63973892249848452</v>
      </c>
      <c r="CI300" s="170">
        <v>84</v>
      </c>
      <c r="CJ300" s="217">
        <f t="shared" si="858"/>
        <v>0.504</v>
      </c>
      <c r="CK300" s="217"/>
      <c r="CL300" s="217">
        <f t="shared" si="802"/>
        <v>85.68</v>
      </c>
      <c r="CM300" s="541">
        <f t="shared" si="803"/>
        <v>16</v>
      </c>
      <c r="CN300" s="443">
        <f t="shared" si="804"/>
        <v>8.5250000000000004</v>
      </c>
      <c r="CO300" s="443">
        <f t="shared" si="805"/>
        <v>24.524999999999999</v>
      </c>
      <c r="CP300" s="443"/>
      <c r="CQ300" s="217">
        <f t="shared" si="806"/>
        <v>0.34760448521916415</v>
      </c>
      <c r="CR300" s="172">
        <f t="shared" si="807"/>
        <v>188.05866123003739</v>
      </c>
      <c r="CS300" s="172">
        <f t="shared" si="808"/>
        <v>85.68</v>
      </c>
      <c r="CT300" s="217">
        <f t="shared" si="809"/>
        <v>1.1062274190002199</v>
      </c>
      <c r="CU300" s="217">
        <f t="shared" si="810"/>
        <v>170</v>
      </c>
      <c r="CV300" s="217"/>
      <c r="CW300" s="172">
        <f t="shared" si="811"/>
        <v>738.41759114318586</v>
      </c>
      <c r="CX300" s="172">
        <f t="shared" si="812"/>
        <v>170</v>
      </c>
      <c r="CY300" s="217">
        <f t="shared" si="813"/>
        <v>30.810879765395892</v>
      </c>
      <c r="CZ300" s="217">
        <f t="shared" si="814"/>
        <v>0.96283999266862175</v>
      </c>
      <c r="DA300" s="217">
        <f t="shared" si="815"/>
        <v>1.8070897223106095</v>
      </c>
      <c r="DB300" s="197">
        <f t="shared" si="816"/>
        <v>350</v>
      </c>
      <c r="DC300" s="443">
        <f t="shared" si="817"/>
        <v>350</v>
      </c>
      <c r="DE300" s="217">
        <f t="shared" si="818"/>
        <v>31.780981505752148</v>
      </c>
      <c r="DF300" s="173">
        <f t="shared" si="819"/>
        <v>1.8639871850881022</v>
      </c>
      <c r="DG300" s="173">
        <f t="shared" si="820"/>
        <v>0.51834424474213492</v>
      </c>
      <c r="DH300" s="173"/>
      <c r="DI300" s="173">
        <f t="shared" si="821"/>
        <v>0.78201368523949166</v>
      </c>
      <c r="DJ300" s="545">
        <f t="shared" si="822"/>
        <v>1933.47</v>
      </c>
      <c r="DK300" s="528">
        <f t="shared" si="823"/>
        <v>9.1234929944607357E-2</v>
      </c>
      <c r="DM300" s="173">
        <f t="shared" si="824"/>
        <v>31.33815565728143</v>
      </c>
      <c r="DN300" s="173">
        <f t="shared" si="825"/>
        <v>31.33815565728143</v>
      </c>
      <c r="DO300" s="173">
        <f t="shared" si="826"/>
        <v>14.536905425146738</v>
      </c>
      <c r="DQ300" s="545">
        <f t="shared" si="827"/>
        <v>504</v>
      </c>
      <c r="DR300" s="460">
        <f t="shared" si="828"/>
        <v>350</v>
      </c>
      <c r="DT300">
        <f t="shared" si="829"/>
        <v>504</v>
      </c>
      <c r="DU300">
        <f t="shared" si="830"/>
        <v>350</v>
      </c>
      <c r="DW300" s="5">
        <f t="shared" si="859"/>
        <v>2.8571428571428572</v>
      </c>
      <c r="DX300" s="5">
        <f t="shared" si="831"/>
        <v>0.97931736429004457</v>
      </c>
      <c r="DY300" s="5">
        <f t="shared" si="832"/>
        <v>1.8778254928528126</v>
      </c>
      <c r="DZ300" s="5"/>
      <c r="EA300" s="173">
        <f t="shared" si="833"/>
        <v>0.34276107750151558</v>
      </c>
      <c r="EB300" s="173">
        <f t="shared" si="860"/>
        <v>85.931999999999988</v>
      </c>
      <c r="EC300" s="173">
        <f t="shared" si="861"/>
        <v>0.51491639143203582</v>
      </c>
      <c r="ED300" s="173">
        <f t="shared" si="862"/>
        <v>166.88534571799937</v>
      </c>
      <c r="EE300" s="460">
        <f t="shared" si="834"/>
        <v>0.29033879506010735</v>
      </c>
      <c r="EF300" s="5">
        <f t="shared" si="835"/>
        <v>16.089208822762899</v>
      </c>
      <c r="EH300" s="173">
        <f t="shared" si="863"/>
        <v>10.592745929686794</v>
      </c>
      <c r="EI300" s="173">
        <f t="shared" si="864"/>
        <v>0.73340598182231909</v>
      </c>
      <c r="EK300" s="528">
        <f t="shared" si="865"/>
        <v>4.4882506532358457</v>
      </c>
      <c r="EL300" s="528">
        <f t="shared" si="866"/>
        <v>7.3974695746377099</v>
      </c>
      <c r="EM300" s="528">
        <f t="shared" si="867"/>
        <v>6.9999999999999993E-2</v>
      </c>
      <c r="EN300" s="528">
        <f t="shared" si="868"/>
        <v>4.2103293749999993E-2</v>
      </c>
      <c r="EO300">
        <f t="shared" si="869"/>
        <v>7.1999999999999998E-3</v>
      </c>
      <c r="EP300" s="460">
        <f t="shared" si="870"/>
        <v>77.199999999999989</v>
      </c>
      <c r="EQ300" s="460"/>
      <c r="ER300" s="460">
        <f t="shared" si="871"/>
        <v>12005.023521623554</v>
      </c>
      <c r="ES300" s="528">
        <f t="shared" si="872"/>
        <v>0.3528</v>
      </c>
      <c r="EV300" s="460">
        <f t="shared" si="873"/>
        <v>352.8</v>
      </c>
      <c r="EW300" s="528">
        <f t="shared" si="874"/>
        <v>3.3661879899268841</v>
      </c>
      <c r="EX300" s="528">
        <f t="shared" si="875"/>
        <v>1.6136530025182793E-2</v>
      </c>
      <c r="EY300" s="528">
        <f t="shared" si="876"/>
        <v>629.97555621844833</v>
      </c>
      <c r="EZ300" s="528"/>
      <c r="FA300" s="528">
        <f t="shared" si="877"/>
        <v>8.5932000000000031</v>
      </c>
      <c r="FB300" s="460">
        <f t="shared" si="878"/>
        <v>641951.08073840034</v>
      </c>
      <c r="FC300" s="173">
        <f t="shared" si="879"/>
        <v>654.30890426002395</v>
      </c>
      <c r="FD300" s="5">
        <f t="shared" si="880"/>
        <v>85.68</v>
      </c>
      <c r="FE300" s="173">
        <f t="shared" si="881"/>
        <v>0.11578551990002948</v>
      </c>
      <c r="FF300" s="5">
        <f t="shared" si="882"/>
        <v>11.578551990002948</v>
      </c>
      <c r="FI300" s="562">
        <f t="shared" si="836"/>
        <v>-50</v>
      </c>
      <c r="FJ300">
        <f t="shared" si="837"/>
        <v>-50</v>
      </c>
      <c r="FL300">
        <f t="shared" si="838"/>
        <v>0.64330524809668621</v>
      </c>
    </row>
    <row r="301" spans="5:168">
      <c r="E301" s="170">
        <v>85</v>
      </c>
      <c r="F301" s="217">
        <f t="shared" si="839"/>
        <v>0.51</v>
      </c>
      <c r="G301" s="217"/>
      <c r="H301" s="217">
        <f t="shared" si="764"/>
        <v>86.7</v>
      </c>
      <c r="I301" s="541">
        <f t="shared" si="765"/>
        <v>14.880359539416693</v>
      </c>
      <c r="J301" s="172">
        <f t="shared" si="766"/>
        <v>8.5261996147791965</v>
      </c>
      <c r="K301" s="172">
        <f t="shared" si="767"/>
        <v>23.40655915419589</v>
      </c>
      <c r="L301" s="443"/>
      <c r="M301" s="217">
        <f t="shared" si="768"/>
        <v>0.36426492501463831</v>
      </c>
      <c r="N301" s="172">
        <f t="shared" si="769"/>
        <v>183.28155705875457</v>
      </c>
      <c r="O301" s="172">
        <f t="shared" si="762"/>
        <v>86.7</v>
      </c>
      <c r="P301" s="217">
        <f t="shared" si="770"/>
        <v>1.0781268062279681</v>
      </c>
      <c r="Q301" s="217">
        <f t="shared" si="771"/>
        <v>170</v>
      </c>
      <c r="R301" s="217"/>
      <c r="S301" s="172">
        <f t="shared" si="772"/>
        <v>675.18555422921065</v>
      </c>
      <c r="T301" s="172">
        <f t="shared" si="773"/>
        <v>170</v>
      </c>
      <c r="U301" s="217">
        <f t="shared" si="774"/>
        <v>32.088838264067348</v>
      </c>
      <c r="V301" s="217">
        <f t="shared" si="775"/>
        <v>1.0782279211421939</v>
      </c>
      <c r="W301" s="217">
        <f t="shared" si="776"/>
        <v>1.8817785012002886</v>
      </c>
      <c r="X301" s="197">
        <f t="shared" si="777"/>
        <v>350</v>
      </c>
      <c r="Y301" s="443">
        <f t="shared" si="840"/>
        <v>316.45505304343953</v>
      </c>
      <c r="AA301" s="217">
        <f t="shared" si="778"/>
        <v>30.973714904184916</v>
      </c>
      <c r="AB301" s="173">
        <f t="shared" si="779"/>
        <v>1.8163845736437783</v>
      </c>
      <c r="AC301" s="173">
        <f t="shared" si="780"/>
        <v>0.49227655697851636</v>
      </c>
      <c r="AD301" s="173"/>
      <c r="AE301" s="173">
        <f t="shared" si="781"/>
        <v>0.78190365788654059</v>
      </c>
      <c r="AF301" s="545">
        <f t="shared" si="782"/>
        <v>1956.7628115918255</v>
      </c>
      <c r="AG301" s="528">
        <f t="shared" si="783"/>
        <v>9.1222093420096406E-2</v>
      </c>
      <c r="AI301" s="173">
        <f t="shared" si="784"/>
        <v>31.5263583272787</v>
      </c>
      <c r="AJ301" s="173">
        <f t="shared" si="785"/>
        <v>32.088838264067348</v>
      </c>
      <c r="AK301" s="173">
        <f t="shared" si="786"/>
        <v>15.092966615358526</v>
      </c>
      <c r="AM301" s="545">
        <f t="shared" si="787"/>
        <v>510</v>
      </c>
      <c r="AN301" s="460">
        <f t="shared" si="788"/>
        <v>316.45505304343953</v>
      </c>
      <c r="AP301">
        <f t="shared" si="789"/>
        <v>510</v>
      </c>
      <c r="AQ301">
        <f t="shared" si="790"/>
        <v>316.45505304343953</v>
      </c>
      <c r="AS301" s="5">
        <f t="shared" si="763"/>
        <v>3.1600064223424829</v>
      </c>
      <c r="AT301" s="5">
        <f t="shared" si="791"/>
        <v>1.0782279211421939</v>
      </c>
      <c r="AU301" s="5">
        <f t="shared" si="883"/>
        <v>2.0817785012002892</v>
      </c>
      <c r="AV301" s="5"/>
      <c r="AW301" s="173">
        <f t="shared" si="884"/>
        <v>0.3412106739779705</v>
      </c>
      <c r="AX301" s="173">
        <f t="shared" si="792"/>
        <v>81.462931044786501</v>
      </c>
      <c r="AY301" s="173">
        <f t="shared" si="793"/>
        <v>0.52849460332037101</v>
      </c>
      <c r="AZ301" s="173">
        <f t="shared" si="794"/>
        <v>154.14146243496086</v>
      </c>
      <c r="BA301" s="460">
        <f t="shared" si="724"/>
        <v>0.32346837634265818</v>
      </c>
      <c r="BB301" s="5">
        <f t="shared" si="725"/>
        <v>19.407079037407748</v>
      </c>
      <c r="BD301" s="173">
        <f t="shared" si="841"/>
        <v>10.821928773902863</v>
      </c>
      <c r="BE301" s="173">
        <f t="shared" si="842"/>
        <v>0.75185942501196801</v>
      </c>
      <c r="BG301" s="528">
        <f t="shared" si="843"/>
        <v>4.6845656954970689</v>
      </c>
      <c r="BH301" s="528">
        <f t="shared" si="795"/>
        <v>5.3479350321579986</v>
      </c>
      <c r="BI301" s="528">
        <f t="shared" si="796"/>
        <v>0.18835859869406246</v>
      </c>
      <c r="BJ301" s="528">
        <f t="shared" si="844"/>
        <v>3.467505683312775E-2</v>
      </c>
      <c r="BK301">
        <f t="shared" si="845"/>
        <v>6.6961617927375119E-3</v>
      </c>
      <c r="BL301" s="460">
        <f t="shared" si="846"/>
        <v>195.05476048679998</v>
      </c>
      <c r="BM301" s="528">
        <f t="shared" si="797"/>
        <v>-100.23641692266969</v>
      </c>
      <c r="BN301" s="460">
        <f t="shared" si="847"/>
        <v>-100236.41692266968</v>
      </c>
      <c r="BO301" s="528">
        <f t="shared" si="798"/>
        <v>0.35699999999999998</v>
      </c>
      <c r="BR301" s="460">
        <f t="shared" si="848"/>
        <v>357</v>
      </c>
      <c r="BS301" s="528">
        <f t="shared" si="849"/>
        <v>3.5134242716228017</v>
      </c>
      <c r="BT301" s="528">
        <f t="shared" si="850"/>
        <v>1.6958777849379814E-2</v>
      </c>
      <c r="BU301" s="528">
        <f t="shared" si="851"/>
        <v>519.55924483756837</v>
      </c>
      <c r="BV301" s="528"/>
      <c r="BW301" s="528">
        <f t="shared" si="852"/>
        <v>8.1462931044786515</v>
      </c>
      <c r="BX301" s="460">
        <f t="shared" si="853"/>
        <v>531235.92099151923</v>
      </c>
      <c r="BY301" s="173">
        <f t="shared" si="854"/>
        <v>541.85515153649419</v>
      </c>
      <c r="BZ301" s="5">
        <f t="shared" si="855"/>
        <v>86.7</v>
      </c>
      <c r="CA301" s="173">
        <f t="shared" si="856"/>
        <v>0.13793539005775876</v>
      </c>
      <c r="CB301" s="5">
        <f t="shared" si="857"/>
        <v>13.793539005775877</v>
      </c>
      <c r="CE301" s="562">
        <f t="shared" si="799"/>
        <v>-50</v>
      </c>
      <c r="CF301">
        <f t="shared" si="800"/>
        <v>-50</v>
      </c>
      <c r="CG301" s="173">
        <f t="shared" si="801"/>
        <v>0.63770471426874187</v>
      </c>
      <c r="CI301" s="170">
        <v>85</v>
      </c>
      <c r="CJ301" s="217">
        <f t="shared" si="858"/>
        <v>0.51</v>
      </c>
      <c r="CK301" s="217"/>
      <c r="CL301" s="217">
        <f t="shared" si="802"/>
        <v>86.7</v>
      </c>
      <c r="CM301" s="541">
        <f t="shared" si="803"/>
        <v>16</v>
      </c>
      <c r="CN301" s="443">
        <f t="shared" si="804"/>
        <v>8.5250000000000004</v>
      </c>
      <c r="CO301" s="443">
        <f t="shared" si="805"/>
        <v>24.524999999999999</v>
      </c>
      <c r="CP301" s="443"/>
      <c r="CQ301" s="217">
        <f t="shared" si="806"/>
        <v>0.34760448521916415</v>
      </c>
      <c r="CR301" s="172">
        <f t="shared" si="807"/>
        <v>188.05866123003739</v>
      </c>
      <c r="CS301" s="172">
        <f t="shared" si="808"/>
        <v>86.7</v>
      </c>
      <c r="CT301" s="217">
        <f t="shared" si="809"/>
        <v>1.1062274190002199</v>
      </c>
      <c r="CU301" s="217">
        <f t="shared" si="810"/>
        <v>170</v>
      </c>
      <c r="CV301" s="217"/>
      <c r="CW301" s="172">
        <f t="shared" si="811"/>
        <v>725.97187651134413</v>
      </c>
      <c r="CX301" s="172">
        <f t="shared" si="812"/>
        <v>170</v>
      </c>
      <c r="CY301" s="217">
        <f t="shared" si="813"/>
        <v>31.177675953079177</v>
      </c>
      <c r="CZ301" s="217">
        <f t="shared" si="814"/>
        <v>0.97430237353372429</v>
      </c>
      <c r="DA301" s="217">
        <f t="shared" si="815"/>
        <v>1.8286026951952596</v>
      </c>
      <c r="DB301" s="197">
        <f t="shared" si="816"/>
        <v>350</v>
      </c>
      <c r="DC301" s="443">
        <f t="shared" si="817"/>
        <v>350</v>
      </c>
      <c r="DE301" s="217">
        <f t="shared" si="818"/>
        <v>31.780981505752148</v>
      </c>
      <c r="DF301" s="173">
        <f t="shared" si="819"/>
        <v>1.8639871850881022</v>
      </c>
      <c r="DG301" s="173">
        <f t="shared" si="820"/>
        <v>0.51834424474213492</v>
      </c>
      <c r="DH301" s="173"/>
      <c r="DI301" s="173">
        <f t="shared" si="821"/>
        <v>0.78201368523949166</v>
      </c>
      <c r="DJ301" s="545">
        <f t="shared" si="822"/>
        <v>1956.4875</v>
      </c>
      <c r="DK301" s="528">
        <f t="shared" si="823"/>
        <v>9.1234929944607357E-2</v>
      </c>
      <c r="DM301" s="173">
        <f t="shared" si="824"/>
        <v>31.524140409715038</v>
      </c>
      <c r="DN301" s="173">
        <f t="shared" si="825"/>
        <v>31.524140409715038</v>
      </c>
      <c r="DO301" s="173">
        <f t="shared" si="826"/>
        <v>14.67467190843089</v>
      </c>
      <c r="DQ301" s="545">
        <f t="shared" si="827"/>
        <v>510</v>
      </c>
      <c r="DR301" s="460">
        <f t="shared" si="828"/>
        <v>350</v>
      </c>
      <c r="DT301">
        <f t="shared" si="829"/>
        <v>510</v>
      </c>
      <c r="DU301">
        <f t="shared" si="830"/>
        <v>350</v>
      </c>
      <c r="DW301" s="5">
        <f t="shared" si="859"/>
        <v>2.8571428571428572</v>
      </c>
      <c r="DX301" s="5">
        <f t="shared" si="831"/>
        <v>0.98512938780359482</v>
      </c>
      <c r="DY301" s="5">
        <f t="shared" si="832"/>
        <v>1.8720134693392625</v>
      </c>
      <c r="DZ301" s="5"/>
      <c r="EA301" s="173">
        <f t="shared" si="833"/>
        <v>0.34479528573125817</v>
      </c>
      <c r="EB301" s="173">
        <f t="shared" si="860"/>
        <v>86.954999999999998</v>
      </c>
      <c r="EC301" s="173">
        <f t="shared" si="861"/>
        <v>0.51636913524287598</v>
      </c>
      <c r="ED301" s="173">
        <f t="shared" si="862"/>
        <v>168.39697430618199</v>
      </c>
      <c r="EE301" s="460">
        <f t="shared" si="834"/>
        <v>0.29553881634107843</v>
      </c>
      <c r="EF301" s="5">
        <f t="shared" si="835"/>
        <v>16.230356779171409</v>
      </c>
      <c r="EH301" s="173">
        <f t="shared" si="863"/>
        <v>10.687183970623355</v>
      </c>
      <c r="EI301" s="173">
        <f t="shared" si="864"/>
        <v>0.73661598142314644</v>
      </c>
      <c r="EK301" s="528">
        <f t="shared" si="865"/>
        <v>4.5686360488779512</v>
      </c>
      <c r="EL301" s="528">
        <f t="shared" si="866"/>
        <v>7.4413718566520153</v>
      </c>
      <c r="EM301" s="528">
        <f t="shared" si="867"/>
        <v>6.9999999999999993E-2</v>
      </c>
      <c r="EN301" s="528">
        <f t="shared" si="868"/>
        <v>4.2103293749999993E-2</v>
      </c>
      <c r="EO301">
        <f t="shared" si="869"/>
        <v>7.1999999999999998E-3</v>
      </c>
      <c r="EP301" s="460">
        <f t="shared" si="870"/>
        <v>77.199999999999989</v>
      </c>
      <c r="EQ301" s="460"/>
      <c r="ER301" s="460">
        <f t="shared" si="871"/>
        <v>12129.311199279966</v>
      </c>
      <c r="ES301" s="528">
        <f t="shared" si="872"/>
        <v>0.35699999999999998</v>
      </c>
      <c r="EV301" s="460">
        <f t="shared" si="873"/>
        <v>357</v>
      </c>
      <c r="EW301" s="528">
        <f t="shared" si="874"/>
        <v>3.4264770366584636</v>
      </c>
      <c r="EX301" s="528">
        <f t="shared" si="875"/>
        <v>1.6278093122639555E-2</v>
      </c>
      <c r="EY301" s="528">
        <f t="shared" si="876"/>
        <v>639.36410151920245</v>
      </c>
      <c r="EZ301" s="528"/>
      <c r="FA301" s="528">
        <f t="shared" si="877"/>
        <v>8.6955000000000027</v>
      </c>
      <c r="FB301" s="460">
        <f t="shared" si="878"/>
        <v>651502.35664898355</v>
      </c>
      <c r="FC301" s="173">
        <f t="shared" si="879"/>
        <v>663.9886678482635</v>
      </c>
      <c r="FD301" s="5">
        <f t="shared" si="880"/>
        <v>86.7</v>
      </c>
      <c r="FE301" s="173">
        <f t="shared" si="881"/>
        <v>0.11549395070597315</v>
      </c>
      <c r="FF301" s="5">
        <f t="shared" si="882"/>
        <v>11.549395070597315</v>
      </c>
      <c r="FI301" s="562">
        <f t="shared" si="836"/>
        <v>-50</v>
      </c>
      <c r="FJ301">
        <f t="shared" si="837"/>
        <v>-50</v>
      </c>
      <c r="FL301">
        <f t="shared" si="838"/>
        <v>0.64712311691497137</v>
      </c>
    </row>
    <row r="302" spans="5:168">
      <c r="E302" s="170">
        <v>86</v>
      </c>
      <c r="F302" s="217">
        <f t="shared" si="839"/>
        <v>0.51600000000000001</v>
      </c>
      <c r="G302" s="217"/>
      <c r="H302" s="217">
        <f t="shared" si="764"/>
        <v>87.72</v>
      </c>
      <c r="I302" s="541">
        <f t="shared" si="765"/>
        <v>14.86358351632957</v>
      </c>
      <c r="J302" s="172">
        <f t="shared" si="766"/>
        <v>8.5262175890896472</v>
      </c>
      <c r="K302" s="172">
        <f t="shared" si="767"/>
        <v>23.389801105419217</v>
      </c>
      <c r="L302" s="443"/>
      <c r="M302" s="217">
        <f t="shared" si="768"/>
        <v>0.36452637794869958</v>
      </c>
      <c r="N302" s="172">
        <f t="shared" si="769"/>
        <v>183.20632951754234</v>
      </c>
      <c r="O302" s="172">
        <f t="shared" si="762"/>
        <v>87.72</v>
      </c>
      <c r="P302" s="217">
        <f t="shared" si="770"/>
        <v>1.0776842912796609</v>
      </c>
      <c r="Q302" s="217">
        <f t="shared" si="771"/>
        <v>170</v>
      </c>
      <c r="R302" s="217"/>
      <c r="S302" s="172">
        <f t="shared" si="772"/>
        <v>663.1321166295387</v>
      </c>
      <c r="T302" s="172">
        <f t="shared" si="773"/>
        <v>170</v>
      </c>
      <c r="U302" s="217">
        <f t="shared" si="774"/>
        <v>32.479711641490894</v>
      </c>
      <c r="V302" s="217">
        <f t="shared" si="775"/>
        <v>1.0925935729364229</v>
      </c>
      <c r="W302" s="217">
        <f t="shared" si="776"/>
        <v>1.9046963851270176</v>
      </c>
      <c r="X302" s="197">
        <f t="shared" si="777"/>
        <v>350</v>
      </c>
      <c r="Y302" s="443">
        <f t="shared" si="840"/>
        <v>312.76487685392408</v>
      </c>
      <c r="AA302" s="217">
        <f t="shared" si="778"/>
        <v>30.96102726694593</v>
      </c>
      <c r="AB302" s="173">
        <f t="shared" si="779"/>
        <v>1.8156367078037277</v>
      </c>
      <c r="AC302" s="173">
        <f t="shared" si="780"/>
        <v>0.49187230415031757</v>
      </c>
      <c r="AD302" s="173"/>
      <c r="AE302" s="173">
        <f t="shared" si="781"/>
        <v>0.78190200953790967</v>
      </c>
      <c r="AF302" s="545">
        <f t="shared" si="782"/>
        <v>1979.7877241866161</v>
      </c>
      <c r="AG302" s="528">
        <f t="shared" si="783"/>
        <v>9.1221901112756132E-2</v>
      </c>
      <c r="AI302" s="173">
        <f t="shared" si="784"/>
        <v>31.711298665915848</v>
      </c>
      <c r="AJ302" s="173">
        <f t="shared" si="785"/>
        <v>32.479711641490894</v>
      </c>
      <c r="AK302" s="173">
        <f t="shared" si="786"/>
        <v>15.382502450487078</v>
      </c>
      <c r="AM302" s="545">
        <f t="shared" si="787"/>
        <v>516</v>
      </c>
      <c r="AN302" s="460">
        <f t="shared" si="788"/>
        <v>312.76487685392408</v>
      </c>
      <c r="AP302">
        <f t="shared" si="789"/>
        <v>516</v>
      </c>
      <c r="AQ302">
        <f t="shared" si="790"/>
        <v>312.76487685392408</v>
      </c>
      <c r="AS302" s="5">
        <f t="shared" si="763"/>
        <v>3.1972899580634406</v>
      </c>
      <c r="AT302" s="5">
        <f t="shared" si="791"/>
        <v>1.0925935729364229</v>
      </c>
      <c r="AU302" s="5">
        <f t="shared" si="883"/>
        <v>2.104696385127018</v>
      </c>
      <c r="AV302" s="5"/>
      <c r="AW302" s="173">
        <f t="shared" si="884"/>
        <v>0.34172489429084918</v>
      </c>
      <c r="AX302" s="173">
        <f t="shared" si="792"/>
        <v>82.486393332414437</v>
      </c>
      <c r="AY302" s="173">
        <f t="shared" si="793"/>
        <v>0.53451464035512886</v>
      </c>
      <c r="AZ302" s="173">
        <f t="shared" si="794"/>
        <v>154.3201759218623</v>
      </c>
      <c r="BA302" s="460">
        <f t="shared" si="724"/>
        <v>0.33163428449129073</v>
      </c>
      <c r="BB302" s="5">
        <f t="shared" si="725"/>
        <v>19.873965569663191</v>
      </c>
      <c r="BD302" s="173">
        <f t="shared" si="841"/>
        <v>10.962001229076243</v>
      </c>
      <c r="BE302" s="173">
        <f t="shared" si="842"/>
        <v>0.76072074129056055</v>
      </c>
      <c r="BG302" s="528">
        <f t="shared" si="843"/>
        <v>4.8066188378507624</v>
      </c>
      <c r="BH302" s="528">
        <f t="shared" si="795"/>
        <v>5.346125974639321</v>
      </c>
      <c r="BI302" s="528">
        <f t="shared" si="796"/>
        <v>0.18595227472371334</v>
      </c>
      <c r="BJ302" s="528">
        <f t="shared" si="844"/>
        <v>3.4221656648396777E-2</v>
      </c>
      <c r="BK302">
        <f t="shared" si="845"/>
        <v>6.6886125823483059E-3</v>
      </c>
      <c r="BL302" s="460">
        <f t="shared" si="846"/>
        <v>192.64088730606167</v>
      </c>
      <c r="BM302" s="528">
        <f t="shared" si="797"/>
        <v>-80.848577604701333</v>
      </c>
      <c r="BN302" s="460">
        <f t="shared" si="847"/>
        <v>-80848.577604701335</v>
      </c>
      <c r="BO302" s="528">
        <f t="shared" si="798"/>
        <v>0.36119999999999997</v>
      </c>
      <c r="BR302" s="460">
        <f t="shared" si="848"/>
        <v>361.2</v>
      </c>
      <c r="BS302" s="528">
        <f t="shared" si="849"/>
        <v>3.604964128388072</v>
      </c>
      <c r="BT302" s="528">
        <f t="shared" si="850"/>
        <v>1.73608813868898E-2</v>
      </c>
      <c r="BU302" s="528">
        <f t="shared" si="851"/>
        <v>520.05030733423223</v>
      </c>
      <c r="BV302" s="528"/>
      <c r="BW302" s="528">
        <f t="shared" si="852"/>
        <v>8.248639333241444</v>
      </c>
      <c r="BX302" s="460">
        <f t="shared" si="853"/>
        <v>531921.27167724865</v>
      </c>
      <c r="BY302" s="173">
        <f t="shared" si="854"/>
        <v>542.6620790336932</v>
      </c>
      <c r="BZ302" s="5">
        <f t="shared" si="855"/>
        <v>87.72</v>
      </c>
      <c r="CA302" s="173">
        <f t="shared" si="856"/>
        <v>0.13915370204442545</v>
      </c>
      <c r="CB302" s="5">
        <f t="shared" si="857"/>
        <v>13.915370204442546</v>
      </c>
      <c r="CE302" s="562">
        <f t="shared" si="799"/>
        <v>-50</v>
      </c>
      <c r="CF302">
        <f t="shared" si="800"/>
        <v>-50</v>
      </c>
      <c r="CG302" s="173">
        <f t="shared" si="801"/>
        <v>0.63568243718779183</v>
      </c>
      <c r="CI302" s="170">
        <v>86</v>
      </c>
      <c r="CJ302" s="217">
        <f t="shared" si="858"/>
        <v>0.51600000000000001</v>
      </c>
      <c r="CK302" s="217"/>
      <c r="CL302" s="217">
        <f t="shared" si="802"/>
        <v>87.72</v>
      </c>
      <c r="CM302" s="541">
        <f t="shared" si="803"/>
        <v>16</v>
      </c>
      <c r="CN302" s="443">
        <f t="shared" si="804"/>
        <v>8.5250000000000004</v>
      </c>
      <c r="CO302" s="443">
        <f t="shared" si="805"/>
        <v>24.524999999999999</v>
      </c>
      <c r="CP302" s="443"/>
      <c r="CQ302" s="217">
        <f t="shared" si="806"/>
        <v>0.34760448521916415</v>
      </c>
      <c r="CR302" s="172">
        <f t="shared" si="807"/>
        <v>188.05866123003739</v>
      </c>
      <c r="CS302" s="172">
        <f t="shared" si="808"/>
        <v>87.72</v>
      </c>
      <c r="CT302" s="217">
        <f t="shared" si="809"/>
        <v>1.1062274190002199</v>
      </c>
      <c r="CU302" s="217">
        <f t="shared" si="810"/>
        <v>170</v>
      </c>
      <c r="CV302" s="217"/>
      <c r="CW302" s="172">
        <f t="shared" si="811"/>
        <v>713.81572185617119</v>
      </c>
      <c r="CX302" s="172">
        <f t="shared" si="812"/>
        <v>170</v>
      </c>
      <c r="CY302" s="217">
        <f t="shared" si="813"/>
        <v>31.544472140762458</v>
      </c>
      <c r="CZ302" s="217">
        <f t="shared" si="814"/>
        <v>0.98576475439882671</v>
      </c>
      <c r="DA302" s="217">
        <f t="shared" si="815"/>
        <v>1.8501156680799093</v>
      </c>
      <c r="DB302" s="197">
        <f t="shared" si="816"/>
        <v>350</v>
      </c>
      <c r="DC302" s="443">
        <f t="shared" si="817"/>
        <v>350</v>
      </c>
      <c r="DE302" s="217">
        <f t="shared" si="818"/>
        <v>31.780981505752148</v>
      </c>
      <c r="DF302" s="173">
        <f t="shared" si="819"/>
        <v>1.8639871850881022</v>
      </c>
      <c r="DG302" s="173">
        <f t="shared" si="820"/>
        <v>0.51834424474213492</v>
      </c>
      <c r="DH302" s="173"/>
      <c r="DI302" s="173">
        <f t="shared" si="821"/>
        <v>0.78201368523949166</v>
      </c>
      <c r="DJ302" s="545">
        <f t="shared" si="822"/>
        <v>1979.5050000000001</v>
      </c>
      <c r="DK302" s="528">
        <f t="shared" si="823"/>
        <v>9.1234929944607357E-2</v>
      </c>
      <c r="DM302" s="173">
        <f t="shared" si="824"/>
        <v>31.709034314259039</v>
      </c>
      <c r="DN302" s="173">
        <f t="shared" si="825"/>
        <v>31.709034314259039</v>
      </c>
      <c r="DO302" s="173">
        <f t="shared" si="826"/>
        <v>14.811630356241263</v>
      </c>
      <c r="DQ302" s="545">
        <f t="shared" si="827"/>
        <v>516</v>
      </c>
      <c r="DR302" s="460">
        <f t="shared" si="828"/>
        <v>350</v>
      </c>
      <c r="DT302">
        <f t="shared" si="829"/>
        <v>516</v>
      </c>
      <c r="DU302">
        <f t="shared" si="830"/>
        <v>350</v>
      </c>
      <c r="DW302" s="5">
        <f t="shared" si="859"/>
        <v>2.8571428571428572</v>
      </c>
      <c r="DX302" s="5">
        <f t="shared" si="831"/>
        <v>0.99090732232059497</v>
      </c>
      <c r="DY302" s="5">
        <f t="shared" si="832"/>
        <v>1.8662355348222621</v>
      </c>
      <c r="DZ302" s="5"/>
      <c r="EA302" s="173">
        <f t="shared" si="833"/>
        <v>0.34681756281220821</v>
      </c>
      <c r="EB302" s="173">
        <f t="shared" si="860"/>
        <v>87.97799999999998</v>
      </c>
      <c r="EC302" s="173">
        <f t="shared" si="861"/>
        <v>0.51779460785647602</v>
      </c>
      <c r="ED302" s="173">
        <f t="shared" si="862"/>
        <v>169.90906947487179</v>
      </c>
      <c r="EE302" s="460">
        <f t="shared" si="834"/>
        <v>0.30076951665731</v>
      </c>
      <c r="EF302" s="5">
        <f t="shared" si="835"/>
        <v>16.370618111460882</v>
      </c>
      <c r="EH302" s="173">
        <f t="shared" si="863"/>
        <v>10.781344653497312</v>
      </c>
      <c r="EI302" s="173">
        <f t="shared" si="864"/>
        <v>0.73979202005832467</v>
      </c>
      <c r="EK302" s="528">
        <f t="shared" si="865"/>
        <v>4.6494957014998031</v>
      </c>
      <c r="EL302" s="528">
        <f t="shared" si="866"/>
        <v>7.485016640613078</v>
      </c>
      <c r="EM302" s="528">
        <f t="shared" si="867"/>
        <v>6.9999999999999993E-2</v>
      </c>
      <c r="EN302" s="528">
        <f t="shared" si="868"/>
        <v>4.2103293749999993E-2</v>
      </c>
      <c r="EO302">
        <f t="shared" si="869"/>
        <v>7.1999999999999998E-3</v>
      </c>
      <c r="EP302" s="460">
        <f t="shared" si="870"/>
        <v>77.199999999999989</v>
      </c>
      <c r="EQ302" s="460"/>
      <c r="ER302" s="460">
        <f t="shared" si="871"/>
        <v>12253.81563586288</v>
      </c>
      <c r="ES302" s="528">
        <f t="shared" si="872"/>
        <v>0.36119999999999997</v>
      </c>
      <c r="EV302" s="460">
        <f t="shared" si="873"/>
        <v>361.2</v>
      </c>
      <c r="EW302" s="528">
        <f t="shared" si="874"/>
        <v>3.4871217761248525</v>
      </c>
      <c r="EX302" s="528">
        <f t="shared" si="875"/>
        <v>1.6418766988259302E-2</v>
      </c>
      <c r="EY302" s="528">
        <f t="shared" si="876"/>
        <v>648.78030139525481</v>
      </c>
      <c r="EZ302" s="528"/>
      <c r="FA302" s="528">
        <f t="shared" si="877"/>
        <v>8.7978000000000023</v>
      </c>
      <c r="FB302" s="460">
        <f t="shared" si="878"/>
        <v>661081.64193836797</v>
      </c>
      <c r="FC302" s="173">
        <f t="shared" si="879"/>
        <v>673.69665757423081</v>
      </c>
      <c r="FD302" s="5">
        <f t="shared" si="880"/>
        <v>87.72</v>
      </c>
      <c r="FE302" s="173">
        <f t="shared" si="881"/>
        <v>0.11520630541425755</v>
      </c>
      <c r="FF302" s="5">
        <f t="shared" si="882"/>
        <v>11.520630541425755</v>
      </c>
      <c r="FI302" s="562">
        <f t="shared" si="836"/>
        <v>-50</v>
      </c>
      <c r="FJ302">
        <f t="shared" si="837"/>
        <v>-50</v>
      </c>
      <c r="FL302">
        <f t="shared" si="838"/>
        <v>0.65091859296132915</v>
      </c>
    </row>
    <row r="303" spans="5:168">
      <c r="E303" s="170">
        <v>87</v>
      </c>
      <c r="F303" s="217">
        <f t="shared" si="839"/>
        <v>0.52200000000000002</v>
      </c>
      <c r="G303" s="217"/>
      <c r="H303" s="217">
        <f t="shared" si="764"/>
        <v>88.740000000000009</v>
      </c>
      <c r="I303" s="541">
        <f t="shared" si="765"/>
        <v>14.849073980217151</v>
      </c>
      <c r="J303" s="172">
        <f t="shared" si="766"/>
        <v>8.5262331350211973</v>
      </c>
      <c r="K303" s="172">
        <f t="shared" si="767"/>
        <v>23.37530711523835</v>
      </c>
      <c r="L303" s="443"/>
      <c r="M303" s="217">
        <f t="shared" si="768"/>
        <v>0.36475294917622764</v>
      </c>
      <c r="N303" s="172">
        <f t="shared" si="769"/>
        <v>183.14124778688006</v>
      </c>
      <c r="O303" s="172">
        <f t="shared" si="762"/>
        <v>88.740000000000009</v>
      </c>
      <c r="P303" s="217">
        <f t="shared" si="770"/>
        <v>1.0773014575698827</v>
      </c>
      <c r="Q303" s="217">
        <f t="shared" si="771"/>
        <v>170</v>
      </c>
      <c r="R303" s="217"/>
      <c r="S303" s="172">
        <f t="shared" si="772"/>
        <v>651.46300911126741</v>
      </c>
      <c r="T303" s="172">
        <f t="shared" si="773"/>
        <v>170</v>
      </c>
      <c r="U303" s="217">
        <f t="shared" si="774"/>
        <v>32.869101828844926</v>
      </c>
      <c r="V303" s="217">
        <f t="shared" si="775"/>
        <v>1.1067727816776711</v>
      </c>
      <c r="W303" s="217">
        <f t="shared" si="776"/>
        <v>1.9275277433968032</v>
      </c>
      <c r="X303" s="197">
        <f t="shared" si="777"/>
        <v>350</v>
      </c>
      <c r="Y303" s="443">
        <f t="shared" si="840"/>
        <v>309.18586329480729</v>
      </c>
      <c r="AA303" s="217">
        <f t="shared" si="778"/>
        <v>30.950038974363132</v>
      </c>
      <c r="AB303" s="173">
        <f t="shared" si="779"/>
        <v>1.8149890159135431</v>
      </c>
      <c r="AC303" s="173">
        <f t="shared" si="780"/>
        <v>0.49152233182994504</v>
      </c>
      <c r="AD303" s="173"/>
      <c r="AE303" s="173">
        <f t="shared" si="781"/>
        <v>0.78190058389132855</v>
      </c>
      <c r="AF303" s="545">
        <f t="shared" si="782"/>
        <v>2002.8121634164793</v>
      </c>
      <c r="AG303" s="528">
        <f t="shared" si="783"/>
        <v>9.1221734787321665E-2</v>
      </c>
      <c r="AI303" s="173">
        <f t="shared" si="784"/>
        <v>31.895162898761455</v>
      </c>
      <c r="AJ303" s="173">
        <f t="shared" si="785"/>
        <v>32.869101828844926</v>
      </c>
      <c r="AK303" s="173">
        <f t="shared" si="786"/>
        <v>15.670939626304881</v>
      </c>
      <c r="AM303" s="545">
        <f t="shared" si="787"/>
        <v>522</v>
      </c>
      <c r="AN303" s="460">
        <f t="shared" si="788"/>
        <v>309.18586329480729</v>
      </c>
      <c r="AP303">
        <f t="shared" si="789"/>
        <v>522</v>
      </c>
      <c r="AQ303">
        <f t="shared" si="790"/>
        <v>309.18586329480729</v>
      </c>
      <c r="AS303" s="5">
        <f t="shared" si="763"/>
        <v>3.2343005250744747</v>
      </c>
      <c r="AT303" s="5">
        <f t="shared" si="791"/>
        <v>1.1067727816776711</v>
      </c>
      <c r="AU303" s="5">
        <f t="shared" si="883"/>
        <v>2.1275277433968034</v>
      </c>
      <c r="AV303" s="5"/>
      <c r="AW303" s="173">
        <f t="shared" si="884"/>
        <v>0.34219849797420604</v>
      </c>
      <c r="AX303" s="173">
        <f t="shared" si="792"/>
        <v>83.509389948395366</v>
      </c>
      <c r="AY303" s="173">
        <f t="shared" si="793"/>
        <v>0.54053361383132403</v>
      </c>
      <c r="AZ303" s="173">
        <f t="shared" si="794"/>
        <v>154.49435115880667</v>
      </c>
      <c r="BA303" s="460">
        <f t="shared" si="724"/>
        <v>0.33984434825632015</v>
      </c>
      <c r="BB303" s="5">
        <f t="shared" si="725"/>
        <v>20.343012602731626</v>
      </c>
      <c r="BD303" s="173">
        <f t="shared" si="841"/>
        <v>11.101106239733701</v>
      </c>
      <c r="BE303" s="173">
        <f t="shared" si="842"/>
        <v>0.76956382440391369</v>
      </c>
      <c r="BG303" s="528">
        <f t="shared" si="843"/>
        <v>4.9293823898341804</v>
      </c>
      <c r="BH303" s="528">
        <f t="shared" si="795"/>
        <v>5.3449950731637772</v>
      </c>
      <c r="BI303" s="528">
        <f t="shared" si="796"/>
        <v>0.18364495030807604</v>
      </c>
      <c r="BJ303" s="528">
        <f t="shared" si="844"/>
        <v>3.3788139258897766E-2</v>
      </c>
      <c r="BK303">
        <f t="shared" si="845"/>
        <v>6.6820832910977172E-3</v>
      </c>
      <c r="BL303" s="460">
        <f t="shared" si="846"/>
        <v>190.32703359917375</v>
      </c>
      <c r="BM303" s="528">
        <f t="shared" si="797"/>
        <v>-67.976950592134216</v>
      </c>
      <c r="BN303" s="460">
        <f t="shared" si="847"/>
        <v>-67976.950592134221</v>
      </c>
      <c r="BO303" s="528">
        <f t="shared" si="798"/>
        <v>0.3654</v>
      </c>
      <c r="BR303" s="460">
        <f t="shared" si="848"/>
        <v>365.4</v>
      </c>
      <c r="BS303" s="528">
        <f t="shared" si="849"/>
        <v>3.6970367923756351</v>
      </c>
      <c r="BT303" s="528">
        <f t="shared" si="850"/>
        <v>1.776685439493533E-2</v>
      </c>
      <c r="BU303" s="528">
        <f t="shared" si="851"/>
        <v>520.58142548644469</v>
      </c>
      <c r="BV303" s="528"/>
      <c r="BW303" s="528">
        <f t="shared" si="852"/>
        <v>8.3509389948395381</v>
      </c>
      <c r="BX303" s="460">
        <f t="shared" si="853"/>
        <v>532647.16812805482</v>
      </c>
      <c r="BY303" s="173">
        <f t="shared" si="854"/>
        <v>543.5110607639109</v>
      </c>
      <c r="BZ303" s="5">
        <f t="shared" si="855"/>
        <v>88.740000000000009</v>
      </c>
      <c r="CA303" s="173">
        <f t="shared" si="856"/>
        <v>0.14035563640301499</v>
      </c>
      <c r="CB303" s="5">
        <f t="shared" si="857"/>
        <v>14.035563640301499</v>
      </c>
      <c r="CE303" s="562">
        <f t="shared" si="799"/>
        <v>-50</v>
      </c>
      <c r="CF303">
        <f t="shared" si="800"/>
        <v>-50</v>
      </c>
      <c r="CG303" s="173">
        <f t="shared" si="801"/>
        <v>0.63496696350464299</v>
      </c>
      <c r="CI303" s="170">
        <v>87</v>
      </c>
      <c r="CJ303" s="217">
        <f t="shared" si="858"/>
        <v>0.52200000000000002</v>
      </c>
      <c r="CK303" s="217"/>
      <c r="CL303" s="217">
        <f t="shared" si="802"/>
        <v>88.740000000000009</v>
      </c>
      <c r="CM303" s="541">
        <f t="shared" si="803"/>
        <v>16</v>
      </c>
      <c r="CN303" s="443">
        <f t="shared" si="804"/>
        <v>8.5250000000000004</v>
      </c>
      <c r="CO303" s="443">
        <f t="shared" si="805"/>
        <v>24.524999999999999</v>
      </c>
      <c r="CP303" s="443"/>
      <c r="CQ303" s="217">
        <f t="shared" si="806"/>
        <v>0.34760448521916415</v>
      </c>
      <c r="CR303" s="172">
        <f t="shared" si="807"/>
        <v>188.05866123003739</v>
      </c>
      <c r="CS303" s="172">
        <f t="shared" si="808"/>
        <v>88.740000000000009</v>
      </c>
      <c r="CT303" s="217">
        <f t="shared" si="809"/>
        <v>1.1062274190002199</v>
      </c>
      <c r="CU303" s="217">
        <f t="shared" si="810"/>
        <v>170</v>
      </c>
      <c r="CV303" s="217"/>
      <c r="CW303" s="172">
        <f t="shared" si="811"/>
        <v>701.93914427785501</v>
      </c>
      <c r="CX303" s="172">
        <f t="shared" si="812"/>
        <v>170</v>
      </c>
      <c r="CY303" s="217">
        <f t="shared" si="813"/>
        <v>31.911268328445747</v>
      </c>
      <c r="CZ303" s="217">
        <f t="shared" si="814"/>
        <v>0.99722713526392959</v>
      </c>
      <c r="DA303" s="217">
        <f t="shared" si="815"/>
        <v>1.8716286409645597</v>
      </c>
      <c r="DB303" s="197">
        <f t="shared" si="816"/>
        <v>350</v>
      </c>
      <c r="DC303" s="443">
        <f t="shared" si="817"/>
        <v>348.5710255238551</v>
      </c>
      <c r="DE303" s="217">
        <f t="shared" si="818"/>
        <v>31.780981505752148</v>
      </c>
      <c r="DF303" s="173">
        <f t="shared" si="819"/>
        <v>1.8639871850881022</v>
      </c>
      <c r="DG303" s="173">
        <f t="shared" si="820"/>
        <v>0.51834424474213492</v>
      </c>
      <c r="DH303" s="173"/>
      <c r="DI303" s="173">
        <f t="shared" si="821"/>
        <v>0.78201368523949166</v>
      </c>
      <c r="DJ303" s="545">
        <f t="shared" si="822"/>
        <v>2002.5225</v>
      </c>
      <c r="DK303" s="528">
        <f t="shared" si="823"/>
        <v>9.1234929944607357E-2</v>
      </c>
      <c r="DM303" s="173">
        <f t="shared" si="824"/>
        <v>31.892856342985112</v>
      </c>
      <c r="DN303" s="173">
        <f t="shared" si="825"/>
        <v>31.911268328445747</v>
      </c>
      <c r="DO303" s="173">
        <f t="shared" si="826"/>
        <v>14.961433329712898</v>
      </c>
      <c r="DQ303" s="545">
        <f t="shared" si="827"/>
        <v>522</v>
      </c>
      <c r="DR303" s="460">
        <f t="shared" si="828"/>
        <v>348.5710255238551</v>
      </c>
      <c r="DT303">
        <f t="shared" si="829"/>
        <v>522</v>
      </c>
      <c r="DU303">
        <f t="shared" si="830"/>
        <v>348.5710255238551</v>
      </c>
      <c r="DW303" s="5">
        <f t="shared" si="859"/>
        <v>2.8688557762284894</v>
      </c>
      <c r="DX303" s="5">
        <f t="shared" si="831"/>
        <v>0.99722713526392959</v>
      </c>
      <c r="DY303" s="5">
        <f t="shared" si="832"/>
        <v>1.8716286409645599</v>
      </c>
      <c r="DZ303" s="5"/>
      <c r="EA303" s="173">
        <f t="shared" si="833"/>
        <v>0.34760448521916415</v>
      </c>
      <c r="EB303" s="173">
        <f t="shared" si="860"/>
        <v>88.739999999999981</v>
      </c>
      <c r="EC303" s="173">
        <f t="shared" si="861"/>
        <v>0.52046920821114362</v>
      </c>
      <c r="ED303" s="173">
        <f t="shared" si="862"/>
        <v>170.5</v>
      </c>
      <c r="EE303" s="460">
        <f t="shared" si="834"/>
        <v>0.30620739094574778</v>
      </c>
      <c r="EF303" s="5">
        <f t="shared" si="835"/>
        <v>16.608832559919506</v>
      </c>
      <c r="EH303" s="173">
        <f t="shared" si="863"/>
        <v>10.862408326169117</v>
      </c>
      <c r="EI303" s="173">
        <f t="shared" si="864"/>
        <v>0.74406165873354657</v>
      </c>
      <c r="EK303" s="528">
        <f t="shared" si="865"/>
        <v>4.7196765857771261</v>
      </c>
      <c r="EL303" s="528">
        <f t="shared" si="866"/>
        <v>7.5020000000000007</v>
      </c>
      <c r="EM303" s="528">
        <f t="shared" si="867"/>
        <v>6.9714205104771026E-2</v>
      </c>
      <c r="EN303" s="528">
        <f t="shared" si="868"/>
        <v>4.1931395086770337E-2</v>
      </c>
      <c r="EO303">
        <f t="shared" si="869"/>
        <v>7.1999999999999998E-3</v>
      </c>
      <c r="EP303" s="460">
        <f t="shared" si="870"/>
        <v>76.914205104771028</v>
      </c>
      <c r="EQ303" s="460"/>
      <c r="ER303" s="460">
        <f t="shared" si="871"/>
        <v>12340.522185968668</v>
      </c>
      <c r="ES303" s="528">
        <f t="shared" si="872"/>
        <v>0.3654</v>
      </c>
      <c r="EV303" s="460">
        <f t="shared" si="873"/>
        <v>365.4</v>
      </c>
      <c r="EW303" s="528">
        <f t="shared" si="874"/>
        <v>3.5397574393328441</v>
      </c>
      <c r="EX303" s="528">
        <f t="shared" si="875"/>
        <v>1.66088325599195E-2</v>
      </c>
      <c r="EY303" s="528">
        <f t="shared" si="876"/>
        <v>652.46674164042054</v>
      </c>
      <c r="EZ303" s="528"/>
      <c r="FA303" s="528">
        <f t="shared" si="877"/>
        <v>8.8740000000000006</v>
      </c>
      <c r="FB303" s="460">
        <f t="shared" si="878"/>
        <v>664897.10791231331</v>
      </c>
      <c r="FC303" s="173">
        <f t="shared" si="879"/>
        <v>677.60303009828203</v>
      </c>
      <c r="FD303" s="5">
        <f t="shared" si="880"/>
        <v>88.740000000000009</v>
      </c>
      <c r="FE303" s="173">
        <f t="shared" si="881"/>
        <v>0.11579670789022414</v>
      </c>
      <c r="FF303" s="5">
        <f t="shared" si="882"/>
        <v>11.579670789022414</v>
      </c>
      <c r="FI303" s="562">
        <f t="shared" si="836"/>
        <v>-50</v>
      </c>
      <c r="FJ303">
        <f t="shared" si="837"/>
        <v>-50</v>
      </c>
      <c r="FL303">
        <f t="shared" si="838"/>
        <v>0.65239551478083579</v>
      </c>
    </row>
    <row r="304" spans="5:168">
      <c r="E304" s="170">
        <v>88</v>
      </c>
      <c r="F304" s="217">
        <f t="shared" si="839"/>
        <v>0.52800000000000002</v>
      </c>
      <c r="G304" s="217"/>
      <c r="H304" s="217">
        <f t="shared" si="764"/>
        <v>89.76</v>
      </c>
      <c r="I304" s="541">
        <f t="shared" si="765"/>
        <v>14.836207942372786</v>
      </c>
      <c r="J304" s="172">
        <f t="shared" si="766"/>
        <v>8.5262469200617428</v>
      </c>
      <c r="K304" s="172">
        <f t="shared" si="767"/>
        <v>23.362454862434529</v>
      </c>
      <c r="L304" s="443"/>
      <c r="M304" s="217">
        <f t="shared" si="768"/>
        <v>0.36495419923042316</v>
      </c>
      <c r="N304" s="172">
        <f t="shared" si="769"/>
        <v>183.083523774318</v>
      </c>
      <c r="O304" s="172">
        <f t="shared" si="762"/>
        <v>89.76</v>
      </c>
      <c r="P304" s="217">
        <f t="shared" si="770"/>
        <v>1.0769619045548118</v>
      </c>
      <c r="Q304" s="217">
        <f t="shared" si="771"/>
        <v>170</v>
      </c>
      <c r="R304" s="217"/>
      <c r="S304" s="172">
        <f t="shared" si="772"/>
        <v>640.13671579589925</v>
      </c>
      <c r="T304" s="172">
        <f t="shared" si="773"/>
        <v>170</v>
      </c>
      <c r="U304" s="217">
        <f t="shared" si="774"/>
        <v>33.257443753514856</v>
      </c>
      <c r="V304" s="217">
        <f t="shared" si="775"/>
        <v>1.1208202218078349</v>
      </c>
      <c r="W304" s="217">
        <f t="shared" si="776"/>
        <v>1.9502979485183629</v>
      </c>
      <c r="X304" s="197">
        <f t="shared" si="777"/>
        <v>350</v>
      </c>
      <c r="Y304" s="443">
        <f t="shared" si="840"/>
        <v>305.70586201117868</v>
      </c>
      <c r="AA304" s="217">
        <f t="shared" si="778"/>
        <v>30.940283830593419</v>
      </c>
      <c r="AB304" s="173">
        <f t="shared" si="779"/>
        <v>1.8144140159601059</v>
      </c>
      <c r="AC304" s="173">
        <f t="shared" si="780"/>
        <v>0.49121174060010975</v>
      </c>
      <c r="AD304" s="173"/>
      <c r="AE304" s="173">
        <f t="shared" si="781"/>
        <v>0.78189931973239057</v>
      </c>
      <c r="AF304" s="545">
        <f t="shared" si="782"/>
        <v>2025.8362682066702</v>
      </c>
      <c r="AG304" s="528">
        <f t="shared" si="783"/>
        <v>9.1221587302112231E-2</v>
      </c>
      <c r="AI304" s="173">
        <f t="shared" si="784"/>
        <v>32.07797062976433</v>
      </c>
      <c r="AJ304" s="173">
        <f t="shared" si="785"/>
        <v>33.257443753514856</v>
      </c>
      <c r="AK304" s="173">
        <f t="shared" si="786"/>
        <v>15.95860031124557</v>
      </c>
      <c r="AM304" s="545">
        <f t="shared" si="787"/>
        <v>528</v>
      </c>
      <c r="AN304" s="460">
        <f t="shared" si="788"/>
        <v>305.70586201117868</v>
      </c>
      <c r="AP304">
        <f t="shared" si="789"/>
        <v>528</v>
      </c>
      <c r="AQ304">
        <f t="shared" si="790"/>
        <v>305.70586201117868</v>
      </c>
      <c r="AS304" s="5">
        <f t="shared" si="763"/>
        <v>3.271118170326198</v>
      </c>
      <c r="AT304" s="5">
        <f t="shared" si="791"/>
        <v>1.1208202218078349</v>
      </c>
      <c r="AU304" s="5">
        <f t="shared" si="883"/>
        <v>2.1502979485183631</v>
      </c>
      <c r="AV304" s="5"/>
      <c r="AW304" s="173">
        <f t="shared" si="884"/>
        <v>0.34264131206732468</v>
      </c>
      <c r="AX304" s="173">
        <f t="shared" si="792"/>
        <v>84.532070336968857</v>
      </c>
      <c r="AY304" s="173">
        <f t="shared" si="793"/>
        <v>0.54655173974513194</v>
      </c>
      <c r="AZ304" s="173">
        <f t="shared" si="794"/>
        <v>154.664351405025</v>
      </c>
      <c r="BA304" s="460">
        <f t="shared" si="724"/>
        <v>0.348113574773257</v>
      </c>
      <c r="BB304" s="5">
        <f t="shared" si="725"/>
        <v>20.815102577014937</v>
      </c>
      <c r="BD304" s="173">
        <f t="shared" si="841"/>
        <v>11.239528686735159</v>
      </c>
      <c r="BE304" s="173">
        <f t="shared" si="842"/>
        <v>0.77839393931692058</v>
      </c>
      <c r="BG304" s="528">
        <f t="shared" si="843"/>
        <v>5.0530802039977036</v>
      </c>
      <c r="BH304" s="528">
        <f t="shared" si="795"/>
        <v>5.3443344085041788</v>
      </c>
      <c r="BI304" s="528">
        <f t="shared" si="796"/>
        <v>0.18142062952000673</v>
      </c>
      <c r="BJ304" s="528">
        <f t="shared" si="844"/>
        <v>3.3371114632942955E-2</v>
      </c>
      <c r="BK304">
        <f t="shared" si="845"/>
        <v>6.6762935740677532E-3</v>
      </c>
      <c r="BL304" s="460">
        <f t="shared" si="846"/>
        <v>188.0969230940745</v>
      </c>
      <c r="BM304" s="528">
        <f t="shared" si="797"/>
        <v>-58.795714220343932</v>
      </c>
      <c r="BN304" s="460">
        <f t="shared" si="847"/>
        <v>-58795.714220343929</v>
      </c>
      <c r="BO304" s="528">
        <f t="shared" si="798"/>
        <v>0.36959999999999998</v>
      </c>
      <c r="BR304" s="460">
        <f t="shared" si="848"/>
        <v>369.59999999999997</v>
      </c>
      <c r="BS304" s="528">
        <f t="shared" si="849"/>
        <v>3.7898101529982773</v>
      </c>
      <c r="BT304" s="528">
        <f t="shared" si="850"/>
        <v>1.8176913742959416E-2</v>
      </c>
      <c r="BU304" s="528">
        <f t="shared" si="851"/>
        <v>521.136610346937</v>
      </c>
      <c r="BV304" s="528"/>
      <c r="BW304" s="528">
        <f t="shared" si="852"/>
        <v>8.4532070336968879</v>
      </c>
      <c r="BX304" s="460">
        <f t="shared" si="853"/>
        <v>533397.80444737512</v>
      </c>
      <c r="BY304" s="173">
        <f t="shared" si="854"/>
        <v>544.38628709760405</v>
      </c>
      <c r="BZ304" s="5">
        <f t="shared" si="855"/>
        <v>89.76</v>
      </c>
      <c r="CA304" s="173">
        <f t="shared" si="856"/>
        <v>0.14154462751933558</v>
      </c>
      <c r="CB304" s="5">
        <f t="shared" si="857"/>
        <v>14.154462751933558</v>
      </c>
      <c r="CE304" s="562">
        <f t="shared" si="799"/>
        <v>-50</v>
      </c>
      <c r="CF304">
        <f t="shared" si="800"/>
        <v>-50</v>
      </c>
      <c r="CG304" s="173">
        <f t="shared" si="801"/>
        <v>0.63516501522369073</v>
      </c>
      <c r="CI304" s="170">
        <v>88</v>
      </c>
      <c r="CJ304" s="217">
        <f t="shared" si="858"/>
        <v>0.52800000000000002</v>
      </c>
      <c r="CK304" s="217"/>
      <c r="CL304" s="217">
        <f t="shared" si="802"/>
        <v>89.76</v>
      </c>
      <c r="CM304" s="541">
        <f t="shared" si="803"/>
        <v>16</v>
      </c>
      <c r="CN304" s="443">
        <f t="shared" si="804"/>
        <v>8.5250000000000004</v>
      </c>
      <c r="CO304" s="443">
        <f t="shared" si="805"/>
        <v>24.524999999999999</v>
      </c>
      <c r="CP304" s="443"/>
      <c r="CQ304" s="217">
        <f t="shared" si="806"/>
        <v>0.34760448521916415</v>
      </c>
      <c r="CR304" s="172">
        <f t="shared" si="807"/>
        <v>188.05866123003739</v>
      </c>
      <c r="CS304" s="172">
        <f t="shared" si="808"/>
        <v>89.76</v>
      </c>
      <c r="CT304" s="217">
        <f t="shared" si="809"/>
        <v>1.1062274190002199</v>
      </c>
      <c r="CU304" s="217">
        <f t="shared" si="810"/>
        <v>170</v>
      </c>
      <c r="CV304" s="217"/>
      <c r="CW304" s="172">
        <f t="shared" si="811"/>
        <v>690.33261468452145</v>
      </c>
      <c r="CX304" s="172">
        <f t="shared" si="812"/>
        <v>170</v>
      </c>
      <c r="CY304" s="217">
        <f t="shared" si="813"/>
        <v>32.278064516129028</v>
      </c>
      <c r="CZ304" s="217">
        <f t="shared" si="814"/>
        <v>1.0086895161290319</v>
      </c>
      <c r="DA304" s="217">
        <f t="shared" si="815"/>
        <v>1.8931416138492094</v>
      </c>
      <c r="DB304" s="197">
        <f t="shared" si="816"/>
        <v>350</v>
      </c>
      <c r="DC304" s="443">
        <f t="shared" si="817"/>
        <v>344.60999114290235</v>
      </c>
      <c r="DE304" s="217">
        <f t="shared" si="818"/>
        <v>31.780981505752148</v>
      </c>
      <c r="DF304" s="173">
        <f t="shared" si="819"/>
        <v>1.8639871850881022</v>
      </c>
      <c r="DG304" s="173">
        <f t="shared" si="820"/>
        <v>0.51834424474213492</v>
      </c>
      <c r="DH304" s="173"/>
      <c r="DI304" s="173">
        <f t="shared" si="821"/>
        <v>0.78201368523949166</v>
      </c>
      <c r="DJ304" s="545">
        <f t="shared" si="822"/>
        <v>2025.54</v>
      </c>
      <c r="DK304" s="528">
        <f t="shared" si="823"/>
        <v>9.1234929944607357E-2</v>
      </c>
      <c r="DM304" s="173">
        <f t="shared" si="824"/>
        <v>32.07562492432087</v>
      </c>
      <c r="DN304" s="173">
        <f t="shared" si="825"/>
        <v>32.278064516129028</v>
      </c>
      <c r="DO304" s="173">
        <f t="shared" si="826"/>
        <v>15.233134209478289</v>
      </c>
      <c r="DQ304" s="545">
        <f t="shared" si="827"/>
        <v>528</v>
      </c>
      <c r="DR304" s="460">
        <f t="shared" si="828"/>
        <v>344.60999114290235</v>
      </c>
      <c r="DT304">
        <f t="shared" si="829"/>
        <v>528</v>
      </c>
      <c r="DU304">
        <f t="shared" si="830"/>
        <v>344.60999114290235</v>
      </c>
      <c r="DW304" s="5">
        <f t="shared" si="859"/>
        <v>2.9018311299782416</v>
      </c>
      <c r="DX304" s="5">
        <f t="shared" si="831"/>
        <v>1.0086895161290319</v>
      </c>
      <c r="DY304" s="5">
        <f t="shared" si="832"/>
        <v>1.8931416138492096</v>
      </c>
      <c r="DZ304" s="5"/>
      <c r="EA304" s="173">
        <f t="shared" si="833"/>
        <v>0.34760448521916409</v>
      </c>
      <c r="EB304" s="173">
        <f t="shared" si="860"/>
        <v>89.76</v>
      </c>
      <c r="EC304" s="173">
        <f t="shared" si="861"/>
        <v>0.52645161290322573</v>
      </c>
      <c r="ED304" s="173">
        <f t="shared" si="862"/>
        <v>170.50000000000003</v>
      </c>
      <c r="EE304" s="460">
        <f t="shared" si="834"/>
        <v>0.31328709677419342</v>
      </c>
      <c r="EF304" s="5">
        <f t="shared" si="835"/>
        <v>16.992839125910507</v>
      </c>
      <c r="EH304" s="173">
        <f t="shared" si="863"/>
        <v>10.987263594286</v>
      </c>
      <c r="EI304" s="173">
        <f t="shared" si="864"/>
        <v>0.75261409159255288</v>
      </c>
      <c r="EK304" s="528">
        <f t="shared" si="865"/>
        <v>4.8287984516129008</v>
      </c>
      <c r="EL304" s="528">
        <f t="shared" si="866"/>
        <v>7.5020000000000024</v>
      </c>
      <c r="EM304" s="528">
        <f t="shared" si="867"/>
        <v>6.8921998228580472E-2</v>
      </c>
      <c r="EN304" s="528">
        <f t="shared" si="868"/>
        <v>4.1454901960784329E-2</v>
      </c>
      <c r="EO304">
        <f t="shared" si="869"/>
        <v>7.1999999999999998E-3</v>
      </c>
      <c r="EP304" s="460">
        <f t="shared" si="870"/>
        <v>76.121998228580466</v>
      </c>
      <c r="EQ304" s="460"/>
      <c r="ER304" s="460">
        <f t="shared" si="871"/>
        <v>12448.375351802268</v>
      </c>
      <c r="ES304" s="528">
        <f t="shared" si="872"/>
        <v>0.36959999999999998</v>
      </c>
      <c r="EV304" s="460">
        <f t="shared" si="873"/>
        <v>369.59999999999997</v>
      </c>
      <c r="EW304" s="528">
        <f t="shared" si="874"/>
        <v>3.6215988387096751</v>
      </c>
      <c r="EX304" s="528">
        <f t="shared" si="875"/>
        <v>1.6992839125910507E-2</v>
      </c>
      <c r="EY304" s="528">
        <f t="shared" si="876"/>
        <v>652.46674164042156</v>
      </c>
      <c r="EZ304" s="528"/>
      <c r="FA304" s="528">
        <f t="shared" si="877"/>
        <v>8.9760000000000009</v>
      </c>
      <c r="FB304" s="460">
        <f t="shared" si="878"/>
        <v>665081.33331825712</v>
      </c>
      <c r="FC304" s="173">
        <f t="shared" si="879"/>
        <v>677.89930867005944</v>
      </c>
      <c r="FD304" s="5">
        <f t="shared" si="880"/>
        <v>89.76</v>
      </c>
      <c r="FE304" s="173">
        <f t="shared" si="881"/>
        <v>0.11692686975359655</v>
      </c>
      <c r="FF304" s="5">
        <f t="shared" si="882"/>
        <v>11.692686975359655</v>
      </c>
      <c r="FI304" s="562">
        <f t="shared" si="836"/>
        <v>-50</v>
      </c>
      <c r="FJ304">
        <f t="shared" si="837"/>
        <v>-50</v>
      </c>
      <c r="FL304">
        <f t="shared" si="838"/>
        <v>0.65239551478083591</v>
      </c>
    </row>
    <row r="305" spans="5:168">
      <c r="E305" s="170">
        <v>89</v>
      </c>
      <c r="F305" s="217">
        <f t="shared" si="839"/>
        <v>0.53400000000000003</v>
      </c>
      <c r="G305" s="217"/>
      <c r="H305" s="217">
        <f t="shared" si="764"/>
        <v>90.78</v>
      </c>
      <c r="I305" s="541">
        <f t="shared" si="765"/>
        <v>14.823341683309733</v>
      </c>
      <c r="J305" s="172">
        <f t="shared" si="766"/>
        <v>8.5262607053393111</v>
      </c>
      <c r="K305" s="172">
        <f t="shared" si="767"/>
        <v>23.349602388649046</v>
      </c>
      <c r="L305" s="443"/>
      <c r="M305" s="217">
        <f t="shared" si="768"/>
        <v>0.36515567429126083</v>
      </c>
      <c r="N305" s="172">
        <f t="shared" si="769"/>
        <v>183.0257347045476</v>
      </c>
      <c r="O305" s="172">
        <f t="shared" si="762"/>
        <v>90.78</v>
      </c>
      <c r="P305" s="217">
        <f t="shared" si="770"/>
        <v>1.0766219688502801</v>
      </c>
      <c r="Q305" s="217">
        <f t="shared" si="771"/>
        <v>170</v>
      </c>
      <c r="R305" s="217"/>
      <c r="S305" s="172">
        <f t="shared" si="772"/>
        <v>629.07084528331643</v>
      </c>
      <c r="T305" s="172">
        <f t="shared" si="773"/>
        <v>170</v>
      </c>
      <c r="U305" s="217">
        <f t="shared" si="774"/>
        <v>33.646043817362212</v>
      </c>
      <c r="V305" s="217">
        <f t="shared" si="775"/>
        <v>1.1349007712358745</v>
      </c>
      <c r="W305" s="217">
        <f t="shared" si="776"/>
        <v>1.9730832178455673</v>
      </c>
      <c r="X305" s="197">
        <f t="shared" si="777"/>
        <v>350</v>
      </c>
      <c r="Y305" s="443">
        <f t="shared" si="840"/>
        <v>302.29892384626663</v>
      </c>
      <c r="AA305" s="217">
        <f t="shared" si="778"/>
        <v>30.930517693015371</v>
      </c>
      <c r="AB305" s="173">
        <f t="shared" si="779"/>
        <v>1.8138383731127339</v>
      </c>
      <c r="AC305" s="173">
        <f t="shared" si="780"/>
        <v>0.49090089905354434</v>
      </c>
      <c r="AD305" s="173"/>
      <c r="AE305" s="173">
        <f t="shared" si="781"/>
        <v>0.78189805555580416</v>
      </c>
      <c r="AF305" s="545">
        <f t="shared" si="782"/>
        <v>2048.8604474930366</v>
      </c>
      <c r="AG305" s="528">
        <f t="shared" si="783"/>
        <v>9.1221439814843819E-2</v>
      </c>
      <c r="AI305" s="173">
        <f t="shared" si="784"/>
        <v>32.259743039101288</v>
      </c>
      <c r="AJ305" s="173">
        <f t="shared" si="785"/>
        <v>33.646043817362212</v>
      </c>
      <c r="AK305" s="173">
        <f t="shared" si="786"/>
        <v>16.246452210391762</v>
      </c>
      <c r="AM305" s="545">
        <f t="shared" si="787"/>
        <v>534</v>
      </c>
      <c r="AN305" s="460">
        <f t="shared" si="788"/>
        <v>302.29892384626663</v>
      </c>
      <c r="AP305">
        <f t="shared" si="789"/>
        <v>534</v>
      </c>
      <c r="AQ305">
        <f t="shared" si="790"/>
        <v>302.29892384626663</v>
      </c>
      <c r="AS305" s="5">
        <f t="shared" si="763"/>
        <v>3.3079839890814413</v>
      </c>
      <c r="AT305" s="5">
        <f t="shared" si="791"/>
        <v>1.1349007712358745</v>
      </c>
      <c r="AU305" s="5">
        <f t="shared" si="883"/>
        <v>2.1730832178455666</v>
      </c>
      <c r="AV305" s="5"/>
      <c r="AW305" s="173">
        <f t="shared" si="884"/>
        <v>0.34307928181690295</v>
      </c>
      <c r="AX305" s="173">
        <f t="shared" si="792"/>
        <v>85.554847627467382</v>
      </c>
      <c r="AY305" s="173">
        <f t="shared" si="793"/>
        <v>0.55256958171303838</v>
      </c>
      <c r="AZ305" s="173">
        <f t="shared" si="794"/>
        <v>154.83090358002715</v>
      </c>
      <c r="BA305" s="460">
        <f t="shared" si="724"/>
        <v>0.35649235990585709</v>
      </c>
      <c r="BB305" s="5">
        <f t="shared" si="725"/>
        <v>21.293173831445955</v>
      </c>
      <c r="BD305" s="173">
        <f t="shared" si="841"/>
        <v>11.378123017755344</v>
      </c>
      <c r="BE305" s="173">
        <f t="shared" si="842"/>
        <v>0.78722678558888814</v>
      </c>
      <c r="BG305" s="528">
        <f t="shared" si="843"/>
        <v>5.1784673362869595</v>
      </c>
      <c r="BH305" s="528">
        <f t="shared" si="795"/>
        <v>5.3435836820219897</v>
      </c>
      <c r="BI305" s="528">
        <f t="shared" si="796"/>
        <v>0.17924320954680154</v>
      </c>
      <c r="BJ305" s="528">
        <f t="shared" si="844"/>
        <v>3.2962912366416686E-2</v>
      </c>
      <c r="BK305">
        <f t="shared" si="845"/>
        <v>6.6705037574893798E-3</v>
      </c>
      <c r="BL305" s="460">
        <f t="shared" si="846"/>
        <v>185.91371330429089</v>
      </c>
      <c r="BM305" s="528">
        <f t="shared" si="797"/>
        <v>-51.879344363669645</v>
      </c>
      <c r="BN305" s="460">
        <f t="shared" si="847"/>
        <v>-51879.344363669647</v>
      </c>
      <c r="BO305" s="528">
        <f t="shared" si="798"/>
        <v>0.37380000000000002</v>
      </c>
      <c r="BR305" s="460">
        <f t="shared" si="848"/>
        <v>373.8</v>
      </c>
      <c r="BS305" s="528">
        <f t="shared" si="849"/>
        <v>3.8838505022152194</v>
      </c>
      <c r="BT305" s="528">
        <f t="shared" si="850"/>
        <v>1.8591780358458401E-2</v>
      </c>
      <c r="BU305" s="528">
        <f t="shared" si="851"/>
        <v>521.67079328024352</v>
      </c>
      <c r="BV305" s="528"/>
      <c r="BW305" s="528">
        <f t="shared" si="852"/>
        <v>8.5554847627467385</v>
      </c>
      <c r="BX305" s="460">
        <f t="shared" si="853"/>
        <v>534128.72032556392</v>
      </c>
      <c r="BY305" s="173">
        <f t="shared" si="854"/>
        <v>545.24344796954358</v>
      </c>
      <c r="BZ305" s="5">
        <f t="shared" si="855"/>
        <v>90.78</v>
      </c>
      <c r="CA305" s="173">
        <f t="shared" si="856"/>
        <v>0.14273058688293372</v>
      </c>
      <c r="CB305" s="5">
        <f t="shared" si="857"/>
        <v>14.273058688293371</v>
      </c>
      <c r="CE305" s="562">
        <f t="shared" si="799"/>
        <v>-50</v>
      </c>
      <c r="CF305">
        <f t="shared" si="800"/>
        <v>-50</v>
      </c>
      <c r="CG305" s="173">
        <f t="shared" si="801"/>
        <v>0.63535861634231028</v>
      </c>
      <c r="CI305" s="170">
        <v>89</v>
      </c>
      <c r="CJ305" s="217">
        <f t="shared" si="858"/>
        <v>0.53400000000000003</v>
      </c>
      <c r="CK305" s="217"/>
      <c r="CL305" s="217">
        <f t="shared" si="802"/>
        <v>90.78</v>
      </c>
      <c r="CM305" s="541">
        <f t="shared" si="803"/>
        <v>16</v>
      </c>
      <c r="CN305" s="443">
        <f t="shared" si="804"/>
        <v>8.5250000000000004</v>
      </c>
      <c r="CO305" s="443">
        <f t="shared" si="805"/>
        <v>24.524999999999999</v>
      </c>
      <c r="CP305" s="443"/>
      <c r="CQ305" s="217">
        <f t="shared" si="806"/>
        <v>0.34760448521916415</v>
      </c>
      <c r="CR305" s="172">
        <f t="shared" si="807"/>
        <v>188.05866123003739</v>
      </c>
      <c r="CS305" s="172">
        <f t="shared" si="808"/>
        <v>90.78</v>
      </c>
      <c r="CT305" s="217">
        <f t="shared" si="809"/>
        <v>1.1062274190002199</v>
      </c>
      <c r="CU305" s="217">
        <f t="shared" si="810"/>
        <v>170</v>
      </c>
      <c r="CV305" s="217"/>
      <c r="CW305" s="172">
        <f t="shared" si="811"/>
        <v>678.98703229843397</v>
      </c>
      <c r="CX305" s="172">
        <f t="shared" si="812"/>
        <v>170</v>
      </c>
      <c r="CY305" s="217">
        <f t="shared" si="813"/>
        <v>32.644860703812313</v>
      </c>
      <c r="CZ305" s="217">
        <f t="shared" si="814"/>
        <v>1.0201518969941348</v>
      </c>
      <c r="DA305" s="217">
        <f t="shared" si="815"/>
        <v>1.9146545867338598</v>
      </c>
      <c r="DB305" s="197">
        <f t="shared" si="816"/>
        <v>350</v>
      </c>
      <c r="DC305" s="443">
        <f t="shared" si="817"/>
        <v>340.73796877051012</v>
      </c>
      <c r="DE305" s="217">
        <f t="shared" si="818"/>
        <v>31.780981505752148</v>
      </c>
      <c r="DF305" s="173">
        <f t="shared" si="819"/>
        <v>1.8639871850881022</v>
      </c>
      <c r="DG305" s="173">
        <f t="shared" si="820"/>
        <v>0.51834424474213492</v>
      </c>
      <c r="DH305" s="173"/>
      <c r="DI305" s="173">
        <f t="shared" si="821"/>
        <v>0.78201368523949166</v>
      </c>
      <c r="DJ305" s="545">
        <f t="shared" si="822"/>
        <v>2048.5574999999999</v>
      </c>
      <c r="DK305" s="528">
        <f t="shared" si="823"/>
        <v>9.1234929944607357E-2</v>
      </c>
      <c r="DM305" s="173">
        <f t="shared" si="824"/>
        <v>32.257357964612396</v>
      </c>
      <c r="DN305" s="173">
        <f t="shared" si="825"/>
        <v>32.644860703812313</v>
      </c>
      <c r="DO305" s="173">
        <f t="shared" si="826"/>
        <v>15.504835089243688</v>
      </c>
      <c r="DQ305" s="545">
        <f t="shared" si="827"/>
        <v>534</v>
      </c>
      <c r="DR305" s="460">
        <f t="shared" si="828"/>
        <v>340.73796877051012</v>
      </c>
      <c r="DT305">
        <f t="shared" si="829"/>
        <v>534</v>
      </c>
      <c r="DU305">
        <f t="shared" si="830"/>
        <v>340.73796877051012</v>
      </c>
      <c r="DW305" s="5">
        <f t="shared" si="859"/>
        <v>2.9348064837279946</v>
      </c>
      <c r="DX305" s="5">
        <f t="shared" si="831"/>
        <v>1.0201518969941348</v>
      </c>
      <c r="DY305" s="5">
        <f t="shared" si="832"/>
        <v>1.9146545867338598</v>
      </c>
      <c r="DZ305" s="5"/>
      <c r="EA305" s="173">
        <f t="shared" si="833"/>
        <v>0.34760448521916415</v>
      </c>
      <c r="EB305" s="173">
        <f t="shared" si="860"/>
        <v>90.779999999999987</v>
      </c>
      <c r="EC305" s="173">
        <f t="shared" si="861"/>
        <v>0.53243401759530773</v>
      </c>
      <c r="ED305" s="173">
        <f t="shared" si="862"/>
        <v>170.50000000000003</v>
      </c>
      <c r="EE305" s="460">
        <f t="shared" si="834"/>
        <v>0.32044771352639295</v>
      </c>
      <c r="EF305" s="5">
        <f t="shared" si="835"/>
        <v>17.381234338369978</v>
      </c>
      <c r="EH305" s="173">
        <f t="shared" si="863"/>
        <v>11.112118862402889</v>
      </c>
      <c r="EI305" s="173">
        <f t="shared" si="864"/>
        <v>0.76116652445155908</v>
      </c>
      <c r="EK305" s="528">
        <f t="shared" si="865"/>
        <v>4.9391674244868033</v>
      </c>
      <c r="EL305" s="528">
        <f t="shared" si="866"/>
        <v>7.5020000000000007</v>
      </c>
      <c r="EM305" s="528">
        <f t="shared" si="867"/>
        <v>6.8147593754102023E-2</v>
      </c>
      <c r="EN305" s="528">
        <f t="shared" si="868"/>
        <v>4.0989116545494607E-2</v>
      </c>
      <c r="EO305">
        <f t="shared" si="869"/>
        <v>7.1999999999999998E-3</v>
      </c>
      <c r="EP305" s="460">
        <f t="shared" si="870"/>
        <v>75.347593754102022</v>
      </c>
      <c r="EQ305" s="460"/>
      <c r="ER305" s="460">
        <f t="shared" si="871"/>
        <v>12557.504134786399</v>
      </c>
      <c r="ES305" s="528">
        <f t="shared" si="872"/>
        <v>0.37380000000000002</v>
      </c>
      <c r="EV305" s="460">
        <f t="shared" si="873"/>
        <v>373.8</v>
      </c>
      <c r="EW305" s="528">
        <f t="shared" si="874"/>
        <v>3.7043755683651023</v>
      </c>
      <c r="EX305" s="528">
        <f t="shared" si="875"/>
        <v>1.7381234338369977E-2</v>
      </c>
      <c r="EY305" s="528">
        <f t="shared" si="876"/>
        <v>652.46674164042054</v>
      </c>
      <c r="EZ305" s="528"/>
      <c r="FA305" s="528">
        <f t="shared" si="877"/>
        <v>9.0780000000000012</v>
      </c>
      <c r="FB305" s="460">
        <f t="shared" si="878"/>
        <v>665266.498443124</v>
      </c>
      <c r="FC305" s="173">
        <f t="shared" si="879"/>
        <v>678.19780257791035</v>
      </c>
      <c r="FD305" s="5">
        <f t="shared" si="880"/>
        <v>90.78</v>
      </c>
      <c r="FE305" s="173">
        <f t="shared" si="881"/>
        <v>0.11805282245556427</v>
      </c>
      <c r="FF305" s="5">
        <f t="shared" si="882"/>
        <v>11.805282245556427</v>
      </c>
      <c r="FI305" s="562">
        <f t="shared" si="836"/>
        <v>-50</v>
      </c>
      <c r="FJ305">
        <f t="shared" si="837"/>
        <v>-50</v>
      </c>
      <c r="FL305">
        <f t="shared" si="838"/>
        <v>0.65239551478083579</v>
      </c>
    </row>
    <row r="306" spans="5:168">
      <c r="E306" s="170">
        <v>90</v>
      </c>
      <c r="F306" s="217">
        <f t="shared" si="839"/>
        <v>0.54</v>
      </c>
      <c r="G306" s="217"/>
      <c r="H306" s="217">
        <f t="shared" si="764"/>
        <v>91.800000000000011</v>
      </c>
      <c r="I306" s="541">
        <f t="shared" si="765"/>
        <v>14.810475210597424</v>
      </c>
      <c r="J306" s="172">
        <f t="shared" si="766"/>
        <v>8.5262744908457897</v>
      </c>
      <c r="K306" s="172">
        <f t="shared" si="767"/>
        <v>23.336749701443214</v>
      </c>
      <c r="L306" s="443"/>
      <c r="M306" s="217">
        <f t="shared" si="768"/>
        <v>0.3653573746177245</v>
      </c>
      <c r="N306" s="172">
        <f t="shared" si="769"/>
        <v>182.96788050258886</v>
      </c>
      <c r="O306" s="172">
        <f t="shared" si="762"/>
        <v>91.800000000000011</v>
      </c>
      <c r="P306" s="217">
        <f t="shared" si="770"/>
        <v>1.0762816500152286</v>
      </c>
      <c r="Q306" s="217">
        <f t="shared" si="771"/>
        <v>170</v>
      </c>
      <c r="R306" s="217"/>
      <c r="S306" s="172">
        <f t="shared" si="772"/>
        <v>618.25671925597737</v>
      </c>
      <c r="T306" s="172">
        <f t="shared" si="773"/>
        <v>170</v>
      </c>
      <c r="U306" s="217">
        <f t="shared" si="774"/>
        <v>34.034902693447819</v>
      </c>
      <c r="V306" s="217">
        <f t="shared" si="775"/>
        <v>1.1490145390167708</v>
      </c>
      <c r="W306" s="217">
        <f t="shared" si="776"/>
        <v>1.9958835907751555</v>
      </c>
      <c r="X306" s="197">
        <f t="shared" si="777"/>
        <v>350</v>
      </c>
      <c r="Y306" s="443">
        <f t="shared" si="840"/>
        <v>298.96276693550794</v>
      </c>
      <c r="AA306" s="217">
        <f t="shared" si="778"/>
        <v>30.920740548938042</v>
      </c>
      <c r="AB306" s="173">
        <f t="shared" si="779"/>
        <v>1.8132620866320925</v>
      </c>
      <c r="AC306" s="173">
        <f t="shared" si="780"/>
        <v>0.49058980711979838</v>
      </c>
      <c r="AD306" s="173"/>
      <c r="AE306" s="173">
        <f t="shared" si="781"/>
        <v>0.7818967913623136</v>
      </c>
      <c r="AF306" s="545">
        <f t="shared" si="782"/>
        <v>2071.8847012755264</v>
      </c>
      <c r="AG306" s="528">
        <f t="shared" si="783"/>
        <v>9.1221292325603276E-2</v>
      </c>
      <c r="AI306" s="173">
        <f t="shared" si="784"/>
        <v>32.440497530293307</v>
      </c>
      <c r="AJ306" s="173">
        <f t="shared" si="785"/>
        <v>34.034902693447819</v>
      </c>
      <c r="AK306" s="173">
        <f t="shared" si="786"/>
        <v>16.534495822307022</v>
      </c>
      <c r="AM306" s="545">
        <f t="shared" si="787"/>
        <v>540</v>
      </c>
      <c r="AN306" s="460">
        <f t="shared" si="788"/>
        <v>298.96276693550794</v>
      </c>
      <c r="AP306">
        <f t="shared" si="789"/>
        <v>540</v>
      </c>
      <c r="AQ306">
        <f t="shared" si="790"/>
        <v>298.96276693550794</v>
      </c>
      <c r="AS306" s="5">
        <f t="shared" si="763"/>
        <v>3.3448981297919262</v>
      </c>
      <c r="AT306" s="5">
        <f t="shared" si="791"/>
        <v>1.1490145390167708</v>
      </c>
      <c r="AU306" s="5">
        <f t="shared" si="883"/>
        <v>2.1958835907751553</v>
      </c>
      <c r="AV306" s="5"/>
      <c r="AW306" s="173">
        <f t="shared" si="884"/>
        <v>0.34351256583358092</v>
      </c>
      <c r="AX306" s="173">
        <f t="shared" si="792"/>
        <v>86.577718992036992</v>
      </c>
      <c r="AY306" s="173">
        <f t="shared" si="793"/>
        <v>0.55858714853313263</v>
      </c>
      <c r="AZ306" s="173">
        <f t="shared" si="794"/>
        <v>154.99411187563624</v>
      </c>
      <c r="BA306" s="460">
        <f t="shared" si="724"/>
        <v>0.3649810888641507</v>
      </c>
      <c r="BB306" s="5">
        <f t="shared" si="725"/>
        <v>21.777247335201785</v>
      </c>
      <c r="BD306" s="173">
        <f t="shared" si="841"/>
        <v>11.516889503493488</v>
      </c>
      <c r="BE306" s="173">
        <f t="shared" si="842"/>
        <v>0.79606237708142047</v>
      </c>
      <c r="BG306" s="528">
        <f t="shared" si="843"/>
        <v>5.3055497534271385</v>
      </c>
      <c r="BH306" s="528">
        <f t="shared" si="795"/>
        <v>5.3427457055877356</v>
      </c>
      <c r="BI306" s="528">
        <f t="shared" si="796"/>
        <v>0.17711122594359824</v>
      </c>
      <c r="BJ306" s="528">
        <f t="shared" si="844"/>
        <v>3.2563256966016349E-2</v>
      </c>
      <c r="BK306">
        <f t="shared" si="845"/>
        <v>6.6647138447688409E-3</v>
      </c>
      <c r="BL306" s="460">
        <f t="shared" si="846"/>
        <v>183.77593978836708</v>
      </c>
      <c r="BM306" s="528">
        <f t="shared" si="797"/>
        <v>-46.482813622213875</v>
      </c>
      <c r="BN306" s="460">
        <f t="shared" si="847"/>
        <v>-46482.813622213878</v>
      </c>
      <c r="BO306" s="528">
        <f t="shared" si="798"/>
        <v>0.378</v>
      </c>
      <c r="BR306" s="460">
        <f t="shared" si="848"/>
        <v>378</v>
      </c>
      <c r="BS306" s="528">
        <f t="shared" si="849"/>
        <v>3.9791623150703539</v>
      </c>
      <c r="BT306" s="528">
        <f t="shared" si="850"/>
        <v>1.9011459246135651E-2</v>
      </c>
      <c r="BU306" s="528">
        <f t="shared" si="851"/>
        <v>522.18458632692432</v>
      </c>
      <c r="BV306" s="528"/>
      <c r="BW306" s="528">
        <f t="shared" si="852"/>
        <v>8.6577718992036985</v>
      </c>
      <c r="BX306" s="460">
        <f t="shared" si="853"/>
        <v>534840.53200044448</v>
      </c>
      <c r="BY306" s="173">
        <f t="shared" si="854"/>
        <v>546.08316665621373</v>
      </c>
      <c r="BZ306" s="5">
        <f t="shared" si="855"/>
        <v>91.800000000000011</v>
      </c>
      <c r="CA306" s="173">
        <f t="shared" si="856"/>
        <v>0.14391350140373826</v>
      </c>
      <c r="CB306" s="5">
        <f t="shared" si="857"/>
        <v>14.391350140373827</v>
      </c>
      <c r="CE306" s="562">
        <f t="shared" si="799"/>
        <v>-50</v>
      </c>
      <c r="CF306">
        <f t="shared" si="800"/>
        <v>-50</v>
      </c>
      <c r="CG306" s="173">
        <f t="shared" si="801"/>
        <v>0.63554791521384946</v>
      </c>
      <c r="CI306" s="170">
        <v>90</v>
      </c>
      <c r="CJ306" s="217">
        <f t="shared" si="858"/>
        <v>0.54</v>
      </c>
      <c r="CK306" s="217"/>
      <c r="CL306" s="217">
        <f t="shared" si="802"/>
        <v>91.800000000000011</v>
      </c>
      <c r="CM306" s="541">
        <f t="shared" si="803"/>
        <v>16</v>
      </c>
      <c r="CN306" s="443">
        <f t="shared" si="804"/>
        <v>8.5250000000000004</v>
      </c>
      <c r="CO306" s="443">
        <f t="shared" si="805"/>
        <v>24.524999999999999</v>
      </c>
      <c r="CP306" s="443"/>
      <c r="CQ306" s="217">
        <f t="shared" si="806"/>
        <v>0.34760448521916415</v>
      </c>
      <c r="CR306" s="172">
        <f t="shared" si="807"/>
        <v>188.05866123003739</v>
      </c>
      <c r="CS306" s="172">
        <f t="shared" si="808"/>
        <v>91.800000000000011</v>
      </c>
      <c r="CT306" s="217">
        <f t="shared" si="809"/>
        <v>1.1062274190002199</v>
      </c>
      <c r="CU306" s="217">
        <f t="shared" si="810"/>
        <v>170</v>
      </c>
      <c r="CV306" s="217"/>
      <c r="CW306" s="172">
        <f t="shared" si="811"/>
        <v>667.89370086181191</v>
      </c>
      <c r="CX306" s="172">
        <f t="shared" si="812"/>
        <v>170</v>
      </c>
      <c r="CY306" s="217">
        <f t="shared" si="813"/>
        <v>33.011656891495605</v>
      </c>
      <c r="CZ306" s="217">
        <f t="shared" si="814"/>
        <v>1.0316142778592376</v>
      </c>
      <c r="DA306" s="217">
        <f t="shared" si="815"/>
        <v>1.9361675596185106</v>
      </c>
      <c r="DB306" s="197">
        <f t="shared" si="816"/>
        <v>350</v>
      </c>
      <c r="DC306" s="443">
        <f t="shared" si="817"/>
        <v>336.95199133972659</v>
      </c>
      <c r="DE306" s="217">
        <f t="shared" si="818"/>
        <v>31.780981505752148</v>
      </c>
      <c r="DF306" s="173">
        <f t="shared" si="819"/>
        <v>1.8639871850881022</v>
      </c>
      <c r="DG306" s="173">
        <f t="shared" si="820"/>
        <v>0.51834424474213492</v>
      </c>
      <c r="DH306" s="173"/>
      <c r="DI306" s="173">
        <f t="shared" si="821"/>
        <v>0.78201368523949166</v>
      </c>
      <c r="DJ306" s="545">
        <f t="shared" si="822"/>
        <v>2071.5749999999998</v>
      </c>
      <c r="DK306" s="528">
        <f t="shared" si="823"/>
        <v>9.1234929944607357E-2</v>
      </c>
      <c r="DM306" s="173">
        <f t="shared" si="824"/>
        <v>32.438072868599505</v>
      </c>
      <c r="DN306" s="173">
        <f t="shared" si="825"/>
        <v>33.011656891495605</v>
      </c>
      <c r="DO306" s="173">
        <f t="shared" si="826"/>
        <v>15.776535969009085</v>
      </c>
      <c r="DQ306" s="545">
        <f t="shared" si="827"/>
        <v>540</v>
      </c>
      <c r="DR306" s="460">
        <f t="shared" si="828"/>
        <v>336.95199133972659</v>
      </c>
      <c r="DT306">
        <f t="shared" si="829"/>
        <v>540</v>
      </c>
      <c r="DU306">
        <f t="shared" si="830"/>
        <v>336.95199133972659</v>
      </c>
      <c r="DW306" s="5">
        <f t="shared" si="859"/>
        <v>2.9677818374777476</v>
      </c>
      <c r="DX306" s="5">
        <f t="shared" si="831"/>
        <v>1.0316142778592376</v>
      </c>
      <c r="DY306" s="5">
        <f t="shared" si="832"/>
        <v>1.9361675596185099</v>
      </c>
      <c r="DZ306" s="5"/>
      <c r="EA306" s="173">
        <f t="shared" si="833"/>
        <v>0.34760448521916421</v>
      </c>
      <c r="EB306" s="173">
        <f t="shared" si="860"/>
        <v>91.800000000000026</v>
      </c>
      <c r="EC306" s="173">
        <f t="shared" si="861"/>
        <v>0.53841642228739006</v>
      </c>
      <c r="ED306" s="173">
        <f t="shared" si="862"/>
        <v>170.50000000000003</v>
      </c>
      <c r="EE306" s="460">
        <f t="shared" si="834"/>
        <v>0.3276892412023461</v>
      </c>
      <c r="EF306" s="5">
        <f t="shared" si="835"/>
        <v>17.774018197297924</v>
      </c>
      <c r="EH306" s="173">
        <f t="shared" si="863"/>
        <v>11.236974130519778</v>
      </c>
      <c r="EI306" s="173">
        <f t="shared" si="864"/>
        <v>0.76971895731056561</v>
      </c>
      <c r="EK306" s="528">
        <f t="shared" si="865"/>
        <v>5.0507835043988294</v>
      </c>
      <c r="EL306" s="528">
        <f t="shared" si="866"/>
        <v>7.5020000000000007</v>
      </c>
      <c r="EM306" s="528">
        <f t="shared" si="867"/>
        <v>6.7390398267945323E-2</v>
      </c>
      <c r="EN306" s="528">
        <f t="shared" si="868"/>
        <v>4.0533681917211323E-2</v>
      </c>
      <c r="EO306">
        <f t="shared" si="869"/>
        <v>7.1999999999999998E-3</v>
      </c>
      <c r="EP306" s="460">
        <f t="shared" si="870"/>
        <v>74.590398267945318</v>
      </c>
      <c r="EQ306" s="460"/>
      <c r="ER306" s="460">
        <f t="shared" si="871"/>
        <v>12667.907584583985</v>
      </c>
      <c r="ES306" s="528">
        <f t="shared" si="872"/>
        <v>0.378</v>
      </c>
      <c r="EV306" s="460">
        <f t="shared" si="873"/>
        <v>378</v>
      </c>
      <c r="EW306" s="528">
        <f t="shared" si="874"/>
        <v>3.7880876282991216</v>
      </c>
      <c r="EX306" s="528">
        <f t="shared" si="875"/>
        <v>1.7774018197297927E-2</v>
      </c>
      <c r="EY306" s="528">
        <f t="shared" si="876"/>
        <v>652.46674164042156</v>
      </c>
      <c r="EZ306" s="528"/>
      <c r="FA306" s="528">
        <f t="shared" si="877"/>
        <v>9.1800000000000033</v>
      </c>
      <c r="FB306" s="460">
        <f t="shared" si="878"/>
        <v>665452.6032869179</v>
      </c>
      <c r="FC306" s="173">
        <f t="shared" si="879"/>
        <v>678.49851087150194</v>
      </c>
      <c r="FD306" s="5">
        <f t="shared" si="880"/>
        <v>91.800000000000011</v>
      </c>
      <c r="FE306" s="173">
        <f t="shared" si="881"/>
        <v>0.11917457804265924</v>
      </c>
      <c r="FF306" s="5">
        <f t="shared" si="882"/>
        <v>11.917457804265924</v>
      </c>
      <c r="FI306" s="562">
        <f t="shared" si="836"/>
        <v>-50</v>
      </c>
      <c r="FJ306">
        <f t="shared" si="837"/>
        <v>-50</v>
      </c>
      <c r="FL306">
        <f t="shared" si="838"/>
        <v>0.65239551478083579</v>
      </c>
    </row>
    <row r="307" spans="5:168">
      <c r="E307" s="170">
        <v>91</v>
      </c>
      <c r="F307" s="217">
        <f t="shared" si="839"/>
        <v>0.54600000000000004</v>
      </c>
      <c r="G307" s="217"/>
      <c r="H307" s="217">
        <f t="shared" si="764"/>
        <v>92.820000000000007</v>
      </c>
      <c r="I307" s="541">
        <f t="shared" si="765"/>
        <v>14.797608531463849</v>
      </c>
      <c r="J307" s="172">
        <f t="shared" si="766"/>
        <v>8.5262882765734318</v>
      </c>
      <c r="K307" s="172">
        <f t="shared" si="767"/>
        <v>23.323896808037283</v>
      </c>
      <c r="L307" s="443"/>
      <c r="M307" s="217">
        <f t="shared" si="768"/>
        <v>0.36555930047447094</v>
      </c>
      <c r="N307" s="172">
        <f t="shared" si="769"/>
        <v>182.90996109182561</v>
      </c>
      <c r="O307" s="172">
        <f t="shared" si="762"/>
        <v>92.820000000000007</v>
      </c>
      <c r="P307" s="217">
        <f t="shared" si="770"/>
        <v>1.0759409475989741</v>
      </c>
      <c r="Q307" s="217">
        <f t="shared" si="771"/>
        <v>170</v>
      </c>
      <c r="R307" s="217"/>
      <c r="S307" s="172">
        <f t="shared" si="772"/>
        <v>607.68604088158679</v>
      </c>
      <c r="T307" s="172">
        <f t="shared" si="773"/>
        <v>170</v>
      </c>
      <c r="U307" s="217">
        <f t="shared" si="774"/>
        <v>34.424021057181861</v>
      </c>
      <c r="V307" s="217">
        <f t="shared" si="775"/>
        <v>1.1631616346650466</v>
      </c>
      <c r="W307" s="217">
        <f t="shared" si="776"/>
        <v>2.0186991068413818</v>
      </c>
      <c r="X307" s="197">
        <f t="shared" si="777"/>
        <v>350</v>
      </c>
      <c r="Y307" s="443">
        <f t="shared" si="840"/>
        <v>295.69520345020368</v>
      </c>
      <c r="AA307" s="217">
        <f t="shared" si="778"/>
        <v>30.910952385394882</v>
      </c>
      <c r="AB307" s="173">
        <f t="shared" si="779"/>
        <v>1.8126851557626116</v>
      </c>
      <c r="AC307" s="173">
        <f t="shared" si="780"/>
        <v>0.49027846472053926</v>
      </c>
      <c r="AD307" s="173"/>
      <c r="AE307" s="173">
        <f t="shared" si="781"/>
        <v>0.78189552715262922</v>
      </c>
      <c r="AF307" s="545">
        <f t="shared" si="782"/>
        <v>2094.9090295540923</v>
      </c>
      <c r="AG307" s="528">
        <f t="shared" si="783"/>
        <v>9.1221144834473425E-2</v>
      </c>
      <c r="AI307" s="173">
        <f t="shared" si="784"/>
        <v>32.620251024729477</v>
      </c>
      <c r="AJ307" s="173">
        <f t="shared" si="785"/>
        <v>34.424021057181861</v>
      </c>
      <c r="AK307" s="173">
        <f t="shared" si="786"/>
        <v>16.822731647295203</v>
      </c>
      <c r="AM307" s="545">
        <f t="shared" si="787"/>
        <v>546</v>
      </c>
      <c r="AN307" s="460">
        <f t="shared" si="788"/>
        <v>295.69520345020368</v>
      </c>
      <c r="AP307">
        <f t="shared" si="789"/>
        <v>546</v>
      </c>
      <c r="AQ307">
        <f t="shared" si="790"/>
        <v>295.69520345020368</v>
      </c>
      <c r="AS307" s="5">
        <f t="shared" si="763"/>
        <v>3.3818607415064283</v>
      </c>
      <c r="AT307" s="5">
        <f t="shared" si="791"/>
        <v>1.1631616346650466</v>
      </c>
      <c r="AU307" s="5">
        <f t="shared" si="883"/>
        <v>2.2186991068413819</v>
      </c>
      <c r="AV307" s="5"/>
      <c r="AW307" s="173">
        <f t="shared" si="884"/>
        <v>0.34394131620775242</v>
      </c>
      <c r="AX307" s="173">
        <f t="shared" si="792"/>
        <v>87.600681719484655</v>
      </c>
      <c r="AY307" s="173">
        <f t="shared" si="793"/>
        <v>0.56460444864028358</v>
      </c>
      <c r="AZ307" s="173">
        <f t="shared" si="794"/>
        <v>155.15407632803851</v>
      </c>
      <c r="BA307" s="460">
        <f t="shared" si="724"/>
        <v>0.37358014854536203</v>
      </c>
      <c r="BB307" s="5">
        <f t="shared" si="725"/>
        <v>22.267344149198902</v>
      </c>
      <c r="BD307" s="173">
        <f t="shared" si="841"/>
        <v>11.655828421672895</v>
      </c>
      <c r="BE307" s="173">
        <f t="shared" si="842"/>
        <v>0.80490072739793361</v>
      </c>
      <c r="BG307" s="528">
        <f t="shared" si="843"/>
        <v>5.4343334478191059</v>
      </c>
      <c r="BH307" s="528">
        <f t="shared" si="795"/>
        <v>5.341823175190739</v>
      </c>
      <c r="BI307" s="528">
        <f t="shared" si="796"/>
        <v>0.17502327461150691</v>
      </c>
      <c r="BJ307" s="528">
        <f t="shared" si="844"/>
        <v>3.2171884290519225E-2</v>
      </c>
      <c r="BK307">
        <f t="shared" si="845"/>
        <v>6.6589238391587318E-3</v>
      </c>
      <c r="BL307" s="460">
        <f t="shared" si="846"/>
        <v>181.68219845066562</v>
      </c>
      <c r="BM307" s="528">
        <f t="shared" si="797"/>
        <v>-42.155558258391018</v>
      </c>
      <c r="BN307" s="460">
        <f t="shared" si="847"/>
        <v>-42155.558258391015</v>
      </c>
      <c r="BO307" s="528">
        <f t="shared" si="798"/>
        <v>0.38219999999999998</v>
      </c>
      <c r="BR307" s="460">
        <f t="shared" si="848"/>
        <v>382.2</v>
      </c>
      <c r="BS307" s="528">
        <f t="shared" si="849"/>
        <v>4.0757500858643292</v>
      </c>
      <c r="BT307" s="528">
        <f t="shared" si="850"/>
        <v>1.9435955428971679E-2</v>
      </c>
      <c r="BU307" s="528">
        <f t="shared" si="851"/>
        <v>522.67857766889369</v>
      </c>
      <c r="BV307" s="528"/>
      <c r="BW307" s="528">
        <f t="shared" si="852"/>
        <v>8.7600681719484665</v>
      </c>
      <c r="BX307" s="460">
        <f t="shared" si="853"/>
        <v>535533.83188213548</v>
      </c>
      <c r="BY307" s="173">
        <f t="shared" si="854"/>
        <v>546.90604258788642</v>
      </c>
      <c r="BZ307" s="5">
        <f t="shared" si="855"/>
        <v>92.820000000000007</v>
      </c>
      <c r="CA307" s="173">
        <f t="shared" si="856"/>
        <v>0.1450933584390513</v>
      </c>
      <c r="CB307" s="5">
        <f t="shared" si="857"/>
        <v>14.509335843905131</v>
      </c>
      <c r="CE307" s="562">
        <f t="shared" si="799"/>
        <v>-50</v>
      </c>
      <c r="CF307">
        <f t="shared" si="800"/>
        <v>-50</v>
      </c>
      <c r="CG307" s="173">
        <f t="shared" si="801"/>
        <v>0.63573305367062949</v>
      </c>
      <c r="CI307" s="170">
        <v>91</v>
      </c>
      <c r="CJ307" s="217">
        <f t="shared" si="858"/>
        <v>0.54600000000000004</v>
      </c>
      <c r="CK307" s="217"/>
      <c r="CL307" s="217">
        <f t="shared" si="802"/>
        <v>92.820000000000007</v>
      </c>
      <c r="CM307" s="541">
        <f t="shared" si="803"/>
        <v>16</v>
      </c>
      <c r="CN307" s="443">
        <f t="shared" si="804"/>
        <v>8.5250000000000004</v>
      </c>
      <c r="CO307" s="443">
        <f t="shared" si="805"/>
        <v>24.524999999999999</v>
      </c>
      <c r="CP307" s="443"/>
      <c r="CQ307" s="217">
        <f t="shared" si="806"/>
        <v>0.34760448521916415</v>
      </c>
      <c r="CR307" s="172">
        <f t="shared" si="807"/>
        <v>188.05866123003739</v>
      </c>
      <c r="CS307" s="172">
        <f t="shared" si="808"/>
        <v>92.820000000000007</v>
      </c>
      <c r="CT307" s="217">
        <f t="shared" si="809"/>
        <v>1.1062274190002199</v>
      </c>
      <c r="CU307" s="217">
        <f t="shared" si="810"/>
        <v>170</v>
      </c>
      <c r="CV307" s="217"/>
      <c r="CW307" s="172">
        <f t="shared" si="811"/>
        <v>657.04430641152919</v>
      </c>
      <c r="CX307" s="172">
        <f t="shared" si="812"/>
        <v>170</v>
      </c>
      <c r="CY307" s="217">
        <f t="shared" si="813"/>
        <v>33.378453079178882</v>
      </c>
      <c r="CZ307" s="217">
        <f t="shared" si="814"/>
        <v>1.0430766587243401</v>
      </c>
      <c r="DA307" s="217">
        <f t="shared" si="815"/>
        <v>1.9576805325031601</v>
      </c>
      <c r="DB307" s="197">
        <f t="shared" si="816"/>
        <v>350</v>
      </c>
      <c r="DC307" s="443">
        <f t="shared" si="817"/>
        <v>333.24922220412526</v>
      </c>
      <c r="DE307" s="217">
        <f t="shared" si="818"/>
        <v>31.780981505752148</v>
      </c>
      <c r="DF307" s="173">
        <f t="shared" si="819"/>
        <v>1.8639871850881022</v>
      </c>
      <c r="DG307" s="173">
        <f t="shared" si="820"/>
        <v>0.51834424474213492</v>
      </c>
      <c r="DH307" s="173"/>
      <c r="DI307" s="173">
        <f t="shared" si="821"/>
        <v>0.78201368523949166</v>
      </c>
      <c r="DJ307" s="545">
        <f t="shared" si="822"/>
        <v>2094.5925000000002</v>
      </c>
      <c r="DK307" s="528">
        <f t="shared" si="823"/>
        <v>9.1234929944607357E-2</v>
      </c>
      <c r="DM307" s="173">
        <f t="shared" si="824"/>
        <v>32.617786558869994</v>
      </c>
      <c r="DN307" s="173">
        <f t="shared" si="825"/>
        <v>33.378453079178882</v>
      </c>
      <c r="DO307" s="173">
        <f t="shared" si="826"/>
        <v>16.048236848774479</v>
      </c>
      <c r="DQ307" s="545">
        <f t="shared" si="827"/>
        <v>546</v>
      </c>
      <c r="DR307" s="460">
        <f t="shared" si="828"/>
        <v>333.24922220412526</v>
      </c>
      <c r="DT307">
        <f t="shared" si="829"/>
        <v>546</v>
      </c>
      <c r="DU307">
        <f t="shared" si="830"/>
        <v>333.24922220412526</v>
      </c>
      <c r="DW307" s="5">
        <f t="shared" si="859"/>
        <v>3.0007571912275002</v>
      </c>
      <c r="DX307" s="5">
        <f t="shared" si="831"/>
        <v>1.0430766587243401</v>
      </c>
      <c r="DY307" s="5">
        <f t="shared" si="832"/>
        <v>1.9576805325031601</v>
      </c>
      <c r="DZ307" s="5"/>
      <c r="EA307" s="173">
        <f t="shared" si="833"/>
        <v>0.34760448521916415</v>
      </c>
      <c r="EB307" s="173">
        <f t="shared" si="860"/>
        <v>92.82</v>
      </c>
      <c r="EC307" s="173">
        <f t="shared" si="861"/>
        <v>0.54439882697947206</v>
      </c>
      <c r="ED307" s="173">
        <f t="shared" si="862"/>
        <v>170.5</v>
      </c>
      <c r="EE307" s="460">
        <f t="shared" si="834"/>
        <v>0.33501167980205276</v>
      </c>
      <c r="EF307" s="5">
        <f t="shared" si="835"/>
        <v>18.171190702694332</v>
      </c>
      <c r="EH307" s="173">
        <f t="shared" si="863"/>
        <v>11.361829398636662</v>
      </c>
      <c r="EI307" s="173">
        <f t="shared" si="864"/>
        <v>0.7782713901695717</v>
      </c>
      <c r="EK307" s="528">
        <f t="shared" si="865"/>
        <v>5.1636466913489736</v>
      </c>
      <c r="EL307" s="528">
        <f t="shared" si="866"/>
        <v>7.5020000000000007</v>
      </c>
      <c r="EM307" s="528">
        <f t="shared" si="867"/>
        <v>6.6649844440825057E-2</v>
      </c>
      <c r="EN307" s="528">
        <f t="shared" si="868"/>
        <v>4.0088256841198017E-2</v>
      </c>
      <c r="EO307">
        <f t="shared" si="869"/>
        <v>7.1999999999999998E-3</v>
      </c>
      <c r="EP307" s="460">
        <f t="shared" si="870"/>
        <v>73.849844440825052</v>
      </c>
      <c r="EQ307" s="460"/>
      <c r="ER307" s="460">
        <f t="shared" si="871"/>
        <v>12779.584792630998</v>
      </c>
      <c r="ES307" s="528">
        <f t="shared" si="872"/>
        <v>0.38219999999999998</v>
      </c>
      <c r="EV307" s="460">
        <f t="shared" si="873"/>
        <v>382.2</v>
      </c>
      <c r="EW307" s="528">
        <f t="shared" si="874"/>
        <v>3.87273501851173</v>
      </c>
      <c r="EX307" s="528">
        <f t="shared" si="875"/>
        <v>1.817119070269433E-2</v>
      </c>
      <c r="EY307" s="528">
        <f t="shared" si="876"/>
        <v>652.46674164042054</v>
      </c>
      <c r="EZ307" s="528"/>
      <c r="FA307" s="528">
        <f t="shared" si="877"/>
        <v>9.2820000000000018</v>
      </c>
      <c r="FB307" s="460">
        <f t="shared" si="878"/>
        <v>665639.64784963499</v>
      </c>
      <c r="FC307" s="173">
        <f t="shared" si="879"/>
        <v>678.80143264226604</v>
      </c>
      <c r="FD307" s="5">
        <f t="shared" si="880"/>
        <v>92.820000000000007</v>
      </c>
      <c r="FE307" s="173">
        <f t="shared" si="881"/>
        <v>0.1202921485503016</v>
      </c>
      <c r="FF307" s="5">
        <f t="shared" si="882"/>
        <v>12.02921485503016</v>
      </c>
      <c r="FI307" s="562">
        <f t="shared" si="836"/>
        <v>-50</v>
      </c>
      <c r="FJ307">
        <f t="shared" si="837"/>
        <v>-50</v>
      </c>
      <c r="FL307">
        <f t="shared" si="838"/>
        <v>0.65239551478083579</v>
      </c>
    </row>
    <row r="308" spans="5:168">
      <c r="E308" s="170">
        <v>92</v>
      </c>
      <c r="F308" s="217">
        <f t="shared" si="839"/>
        <v>0.55200000000000005</v>
      </c>
      <c r="G308" s="217"/>
      <c r="H308" s="217">
        <f t="shared" si="764"/>
        <v>93.84</v>
      </c>
      <c r="I308" s="541">
        <f t="shared" si="765"/>
        <v>14.784741652814589</v>
      </c>
      <c r="J308" s="172">
        <f t="shared" si="766"/>
        <v>8.5263020625148425</v>
      </c>
      <c r="K308" s="172">
        <f t="shared" si="767"/>
        <v>23.311043715329433</v>
      </c>
      <c r="L308" s="443"/>
      <c r="M308" s="217">
        <f t="shared" si="768"/>
        <v>0.36576145213156114</v>
      </c>
      <c r="N308" s="172">
        <f t="shared" si="769"/>
        <v>182.85197639408327</v>
      </c>
      <c r="O308" s="172">
        <f t="shared" si="762"/>
        <v>93.84</v>
      </c>
      <c r="P308" s="217">
        <f t="shared" si="770"/>
        <v>1.0755998611416662</v>
      </c>
      <c r="Q308" s="217">
        <f t="shared" si="771"/>
        <v>170</v>
      </c>
      <c r="R308" s="217"/>
      <c r="S308" s="172">
        <f t="shared" si="772"/>
        <v>597.35087408242441</v>
      </c>
      <c r="T308" s="172">
        <f t="shared" si="773"/>
        <v>170</v>
      </c>
      <c r="U308" s="217">
        <f t="shared" si="774"/>
        <v>34.813399586333709</v>
      </c>
      <c r="V308" s="217">
        <f t="shared" si="775"/>
        <v>1.1773421681570688</v>
      </c>
      <c r="W308" s="217">
        <f t="shared" si="776"/>
        <v>2.041529805716586</v>
      </c>
      <c r="X308" s="197">
        <f t="shared" si="777"/>
        <v>350</v>
      </c>
      <c r="Y308" s="443">
        <f t="shared" si="840"/>
        <v>292.49413480288314</v>
      </c>
      <c r="AA308" s="217">
        <f t="shared" si="778"/>
        <v>30.90115318915684</v>
      </c>
      <c r="AB308" s="173">
        <f t="shared" si="779"/>
        <v>1.8121075797332533</v>
      </c>
      <c r="AC308" s="173">
        <f t="shared" si="780"/>
        <v>0.48996687176998316</v>
      </c>
      <c r="AD308" s="173"/>
      <c r="AE308" s="173">
        <f t="shared" si="781"/>
        <v>0.7818942629274297</v>
      </c>
      <c r="AF308" s="545">
        <f t="shared" si="782"/>
        <v>2117.9334323286866</v>
      </c>
      <c r="AG308" s="528">
        <f t="shared" si="783"/>
        <v>9.122099734153348E-2</v>
      </c>
      <c r="AI308" s="173">
        <f t="shared" si="784"/>
        <v>32.799019980161226</v>
      </c>
      <c r="AJ308" s="173">
        <f t="shared" si="785"/>
        <v>34.813399586333709</v>
      </c>
      <c r="AK308" s="173">
        <f t="shared" si="786"/>
        <v>17.111160187407684</v>
      </c>
      <c r="AM308" s="545">
        <f t="shared" si="787"/>
        <v>552</v>
      </c>
      <c r="AN308" s="460">
        <f t="shared" si="788"/>
        <v>292.49413480288314</v>
      </c>
      <c r="AP308">
        <f t="shared" si="789"/>
        <v>552</v>
      </c>
      <c r="AQ308">
        <f t="shared" si="790"/>
        <v>292.49413480288314</v>
      </c>
      <c r="AS308" s="5">
        <f t="shared" si="763"/>
        <v>3.4188719738736548</v>
      </c>
      <c r="AT308" s="5">
        <f t="shared" si="791"/>
        <v>1.1773421681570688</v>
      </c>
      <c r="AU308" s="5">
        <f t="shared" si="883"/>
        <v>2.2415298057165858</v>
      </c>
      <c r="AV308" s="5"/>
      <c r="AW308" s="173">
        <f t="shared" si="884"/>
        <v>0.34436567884205244</v>
      </c>
      <c r="AX308" s="173">
        <f t="shared" si="792"/>
        <v>88.623733209330226</v>
      </c>
      <c r="AY308" s="173">
        <f t="shared" si="793"/>
        <v>0.5706214901246569</v>
      </c>
      <c r="AZ308" s="173">
        <f t="shared" si="794"/>
        <v>155.31089302292077</v>
      </c>
      <c r="BA308" s="460">
        <f t="shared" si="724"/>
        <v>0.38228992754276592</v>
      </c>
      <c r="BB308" s="5">
        <f t="shared" si="725"/>
        <v>22.763485426574309</v>
      </c>
      <c r="BD308" s="173">
        <f t="shared" si="841"/>
        <v>11.794940056755777</v>
      </c>
      <c r="BE308" s="173">
        <f t="shared" si="842"/>
        <v>0.81374184989792397</v>
      </c>
      <c r="BG308" s="528">
        <f t="shared" si="843"/>
        <v>5.564824437698479</v>
      </c>
      <c r="BH308" s="528">
        <f t="shared" si="795"/>
        <v>5.3408186768477579</v>
      </c>
      <c r="BI308" s="528">
        <f t="shared" si="796"/>
        <v>0.17297800872096608</v>
      </c>
      <c r="BJ308" s="528">
        <f t="shared" si="844"/>
        <v>3.1788540972027726E-2</v>
      </c>
      <c r="BK308">
        <f t="shared" si="845"/>
        <v>6.6531337437665643E-3</v>
      </c>
      <c r="BL308" s="460">
        <f t="shared" si="846"/>
        <v>179.63114246473265</v>
      </c>
      <c r="BM308" s="528">
        <f t="shared" si="797"/>
        <v>-38.609081247682198</v>
      </c>
      <c r="BN308" s="460">
        <f t="shared" si="847"/>
        <v>-38609.081247682196</v>
      </c>
      <c r="BO308" s="528">
        <f t="shared" si="798"/>
        <v>0.38640000000000002</v>
      </c>
      <c r="BR308" s="460">
        <f t="shared" si="848"/>
        <v>386.40000000000003</v>
      </c>
      <c r="BS308" s="528">
        <f t="shared" si="849"/>
        <v>4.173618328273859</v>
      </c>
      <c r="BT308" s="528">
        <f t="shared" si="850"/>
        <v>1.986527394825886E-2</v>
      </c>
      <c r="BU308" s="528">
        <f t="shared" si="851"/>
        <v>523.15333277756429</v>
      </c>
      <c r="BV308" s="528"/>
      <c r="BW308" s="528">
        <f t="shared" si="852"/>
        <v>8.8623733209330222</v>
      </c>
      <c r="BX308" s="460">
        <f t="shared" si="853"/>
        <v>536209.18970071943</v>
      </c>
      <c r="BY308" s="173">
        <f t="shared" si="854"/>
        <v>547.71265249870237</v>
      </c>
      <c r="BZ308" s="5">
        <f t="shared" si="855"/>
        <v>93.84</v>
      </c>
      <c r="CA308" s="173">
        <f t="shared" si="856"/>
        <v>0.1462701457698202</v>
      </c>
      <c r="CB308" s="5">
        <f t="shared" si="857"/>
        <v>14.62701457698202</v>
      </c>
      <c r="CE308" s="562">
        <f t="shared" si="799"/>
        <v>-50</v>
      </c>
      <c r="CF308">
        <f t="shared" si="800"/>
        <v>-50</v>
      </c>
      <c r="CG308" s="173">
        <f t="shared" si="801"/>
        <v>0.63591416737834927</v>
      </c>
      <c r="CI308" s="170">
        <v>92</v>
      </c>
      <c r="CJ308" s="217">
        <f t="shared" si="858"/>
        <v>0.55200000000000005</v>
      </c>
      <c r="CK308" s="217"/>
      <c r="CL308" s="217">
        <f t="shared" si="802"/>
        <v>93.84</v>
      </c>
      <c r="CM308" s="541">
        <f t="shared" si="803"/>
        <v>16</v>
      </c>
      <c r="CN308" s="443">
        <f t="shared" si="804"/>
        <v>8.5250000000000004</v>
      </c>
      <c r="CO308" s="443">
        <f t="shared" si="805"/>
        <v>24.524999999999999</v>
      </c>
      <c r="CP308" s="443"/>
      <c r="CQ308" s="217">
        <f t="shared" si="806"/>
        <v>0.34760448521916415</v>
      </c>
      <c r="CR308" s="172">
        <f t="shared" si="807"/>
        <v>188.05866123003739</v>
      </c>
      <c r="CS308" s="172">
        <f t="shared" si="808"/>
        <v>93.84</v>
      </c>
      <c r="CT308" s="217">
        <f t="shared" si="809"/>
        <v>1.1062274190002199</v>
      </c>
      <c r="CU308" s="217">
        <f t="shared" si="810"/>
        <v>170</v>
      </c>
      <c r="CV308" s="217"/>
      <c r="CW308" s="172">
        <f t="shared" si="811"/>
        <v>646.43089650332161</v>
      </c>
      <c r="CX308" s="172">
        <f t="shared" si="812"/>
        <v>170</v>
      </c>
      <c r="CY308" s="217">
        <f t="shared" si="813"/>
        <v>33.745249266862167</v>
      </c>
      <c r="CZ308" s="217">
        <f t="shared" si="814"/>
        <v>1.0545390395894427</v>
      </c>
      <c r="DA308" s="217">
        <f t="shared" si="815"/>
        <v>1.9791935053878102</v>
      </c>
      <c r="DB308" s="197">
        <f t="shared" si="816"/>
        <v>350</v>
      </c>
      <c r="DC308" s="443">
        <f t="shared" si="817"/>
        <v>329.62694804973256</v>
      </c>
      <c r="DE308" s="217">
        <f t="shared" si="818"/>
        <v>31.780981505752148</v>
      </c>
      <c r="DF308" s="173">
        <f t="shared" si="819"/>
        <v>1.8639871850881022</v>
      </c>
      <c r="DG308" s="173">
        <f t="shared" si="820"/>
        <v>0.51834424474213492</v>
      </c>
      <c r="DH308" s="173"/>
      <c r="DI308" s="173">
        <f t="shared" si="821"/>
        <v>0.78201368523949166</v>
      </c>
      <c r="DJ308" s="545">
        <f t="shared" si="822"/>
        <v>2117.61</v>
      </c>
      <c r="DK308" s="528">
        <f t="shared" si="823"/>
        <v>9.1234929944607357E-2</v>
      </c>
      <c r="DM308" s="173">
        <f t="shared" si="824"/>
        <v>32.796515494354409</v>
      </c>
      <c r="DN308" s="173">
        <f t="shared" si="825"/>
        <v>33.745249266862167</v>
      </c>
      <c r="DO308" s="173">
        <f t="shared" si="826"/>
        <v>16.319937728539877</v>
      </c>
      <c r="DQ308" s="545">
        <f t="shared" si="827"/>
        <v>552</v>
      </c>
      <c r="DR308" s="460">
        <f t="shared" si="828"/>
        <v>329.62694804973256</v>
      </c>
      <c r="DT308">
        <f t="shared" si="829"/>
        <v>552</v>
      </c>
      <c r="DU308">
        <f t="shared" si="830"/>
        <v>329.62694804973256</v>
      </c>
      <c r="DW308" s="5">
        <f t="shared" si="859"/>
        <v>3.0337325449772532</v>
      </c>
      <c r="DX308" s="5">
        <f t="shared" si="831"/>
        <v>1.0545390395894427</v>
      </c>
      <c r="DY308" s="5">
        <f t="shared" si="832"/>
        <v>1.9791935053878105</v>
      </c>
      <c r="DZ308" s="5"/>
      <c r="EA308" s="173">
        <f t="shared" si="833"/>
        <v>0.34760448521916409</v>
      </c>
      <c r="EB308" s="173">
        <f t="shared" si="860"/>
        <v>93.839999999999975</v>
      </c>
      <c r="EC308" s="173">
        <f t="shared" si="861"/>
        <v>0.55038123167155417</v>
      </c>
      <c r="ED308" s="173">
        <f t="shared" si="862"/>
        <v>170.49999999999997</v>
      </c>
      <c r="EE308" s="460">
        <f t="shared" si="834"/>
        <v>0.34241502932551321</v>
      </c>
      <c r="EF308" s="5">
        <f t="shared" si="835"/>
        <v>18.572751854559215</v>
      </c>
      <c r="EH308" s="173">
        <f t="shared" si="863"/>
        <v>11.486684666753547</v>
      </c>
      <c r="EI308" s="173">
        <f t="shared" si="864"/>
        <v>0.78682382302857801</v>
      </c>
      <c r="EK308" s="528">
        <f t="shared" si="865"/>
        <v>5.2777569853372412</v>
      </c>
      <c r="EL308" s="528">
        <f t="shared" si="866"/>
        <v>7.5020000000000007</v>
      </c>
      <c r="EM308" s="528">
        <f t="shared" si="867"/>
        <v>6.5925389609946511E-2</v>
      </c>
      <c r="EN308" s="528">
        <f t="shared" si="868"/>
        <v>3.9652514919011082E-2</v>
      </c>
      <c r="EO308">
        <f t="shared" si="869"/>
        <v>7.1999999999999998E-3</v>
      </c>
      <c r="EP308" s="460">
        <f t="shared" si="870"/>
        <v>73.125389609946509</v>
      </c>
      <c r="EQ308" s="460"/>
      <c r="ER308" s="460">
        <f t="shared" si="871"/>
        <v>12892.534889866198</v>
      </c>
      <c r="ES308" s="528">
        <f t="shared" si="872"/>
        <v>0.38640000000000002</v>
      </c>
      <c r="EV308" s="460">
        <f t="shared" si="873"/>
        <v>386.40000000000003</v>
      </c>
      <c r="EW308" s="528">
        <f t="shared" si="874"/>
        <v>3.9583177390029309</v>
      </c>
      <c r="EX308" s="528">
        <f t="shared" si="875"/>
        <v>1.857275185455921E-2</v>
      </c>
      <c r="EY308" s="528">
        <f t="shared" si="876"/>
        <v>652.46674164041929</v>
      </c>
      <c r="EZ308" s="528"/>
      <c r="FA308" s="528">
        <f t="shared" si="877"/>
        <v>9.3840000000000003</v>
      </c>
      <c r="FB308" s="460">
        <f t="shared" si="878"/>
        <v>665827.63213127677</v>
      </c>
      <c r="FC308" s="173">
        <f t="shared" si="879"/>
        <v>679.10656702114295</v>
      </c>
      <c r="FD308" s="5">
        <f t="shared" si="880"/>
        <v>93.84</v>
      </c>
      <c r="FE308" s="173">
        <f t="shared" si="881"/>
        <v>0.12140554600255198</v>
      </c>
      <c r="FF308" s="5">
        <f t="shared" si="882"/>
        <v>12.140554600255198</v>
      </c>
      <c r="FI308" s="562">
        <f t="shared" si="836"/>
        <v>-50</v>
      </c>
      <c r="FJ308">
        <f t="shared" si="837"/>
        <v>-50</v>
      </c>
      <c r="FL308">
        <f t="shared" si="838"/>
        <v>0.65239551478083591</v>
      </c>
    </row>
    <row r="309" spans="5:168">
      <c r="E309" s="170">
        <v>93</v>
      </c>
      <c r="F309" s="217">
        <f t="shared" si="839"/>
        <v>0.55800000000000005</v>
      </c>
      <c r="G309" s="217"/>
      <c r="H309" s="217">
        <f t="shared" si="764"/>
        <v>94.860000000000014</v>
      </c>
      <c r="I309" s="541">
        <f t="shared" si="765"/>
        <v>14.771874581250598</v>
      </c>
      <c r="J309" s="172">
        <f t="shared" si="766"/>
        <v>8.5263158486629465</v>
      </c>
      <c r="K309" s="172">
        <f t="shared" si="767"/>
        <v>23.298190429913546</v>
      </c>
      <c r="L309" s="443"/>
      <c r="M309" s="217">
        <f t="shared" si="768"/>
        <v>0.36596382986420906</v>
      </c>
      <c r="N309" s="172">
        <f t="shared" si="769"/>
        <v>182.79392632970115</v>
      </c>
      <c r="O309" s="172">
        <f t="shared" si="762"/>
        <v>94.860000000000014</v>
      </c>
      <c r="P309" s="217">
        <f t="shared" si="770"/>
        <v>1.0752583901747126</v>
      </c>
      <c r="Q309" s="217">
        <f t="shared" si="771"/>
        <v>170</v>
      </c>
      <c r="R309" s="217"/>
      <c r="S309" s="172">
        <f t="shared" si="772"/>
        <v>587.2436241420977</v>
      </c>
      <c r="T309" s="172">
        <f t="shared" si="773"/>
        <v>170</v>
      </c>
      <c r="U309" s="217">
        <f t="shared" si="774"/>
        <v>35.203038961041834</v>
      </c>
      <c r="V309" s="217">
        <f t="shared" si="775"/>
        <v>1.1915562499333621</v>
      </c>
      <c r="W309" s="217">
        <f t="shared" si="776"/>
        <v>2.0643757272117824</v>
      </c>
      <c r="X309" s="197">
        <f t="shared" si="777"/>
        <v>350</v>
      </c>
      <c r="Y309" s="443">
        <f t="shared" si="840"/>
        <v>289.35754714306438</v>
      </c>
      <c r="AA309" s="217">
        <f t="shared" si="778"/>
        <v>30.891342946744459</v>
      </c>
      <c r="AB309" s="173">
        <f t="shared" si="779"/>
        <v>1.8115293577582325</v>
      </c>
      <c r="AC309" s="173">
        <f t="shared" si="780"/>
        <v>0.48965502817529638</v>
      </c>
      <c r="AD309" s="173"/>
      <c r="AE309" s="173">
        <f t="shared" si="781"/>
        <v>0.78189299868736384</v>
      </c>
      <c r="AF309" s="545">
        <f t="shared" si="782"/>
        <v>2140.9579095992658</v>
      </c>
      <c r="AG309" s="528">
        <f t="shared" si="783"/>
        <v>9.1220849846859103E-2</v>
      </c>
      <c r="AI309" s="173">
        <f t="shared" si="784"/>
        <v>32.976820408294323</v>
      </c>
      <c r="AJ309" s="173">
        <f t="shared" si="785"/>
        <v>35.203038961041834</v>
      </c>
      <c r="AK309" s="173">
        <f t="shared" si="786"/>
        <v>17.399781946450737</v>
      </c>
      <c r="AM309" s="545">
        <f t="shared" si="787"/>
        <v>558</v>
      </c>
      <c r="AN309" s="460">
        <f t="shared" si="788"/>
        <v>289.35754714306438</v>
      </c>
      <c r="AP309">
        <f t="shared" si="789"/>
        <v>558</v>
      </c>
      <c r="AQ309">
        <f t="shared" si="790"/>
        <v>289.35754714306438</v>
      </c>
      <c r="AS309" s="5">
        <f t="shared" si="763"/>
        <v>3.4559319771451449</v>
      </c>
      <c r="AT309" s="5">
        <f t="shared" si="791"/>
        <v>1.1915562499333621</v>
      </c>
      <c r="AU309" s="5">
        <f t="shared" si="883"/>
        <v>2.2643757272117826</v>
      </c>
      <c r="AV309" s="5"/>
      <c r="AW309" s="173">
        <f t="shared" si="884"/>
        <v>0.34478579376370583</v>
      </c>
      <c r="AX309" s="173">
        <f t="shared" si="792"/>
        <v>89.646870966217946</v>
      </c>
      <c r="AY309" s="173">
        <f t="shared" si="793"/>
        <v>0.57663828074910917</v>
      </c>
      <c r="AZ309" s="173">
        <f t="shared" si="794"/>
        <v>155.46465428857402</v>
      </c>
      <c r="BA309" s="460">
        <f t="shared" ref="BA309:BA316" si="885">F309*AT309/Vout_ripple*1000</f>
        <v>0.3911108161545977</v>
      </c>
      <c r="BB309" s="5">
        <f t="shared" ref="BB309:BB316" si="886">H309/Efficiency/I309*AU309/Vinripple1</f>
        <v>23.265692413169646</v>
      </c>
      <c r="BD309" s="173">
        <f t="shared" si="841"/>
        <v>11.934224699675953</v>
      </c>
      <c r="BE309" s="173">
        <f t="shared" si="842"/>
        <v>0.82258575771038545</v>
      </c>
      <c r="BG309" s="528">
        <f t="shared" si="843"/>
        <v>5.6970287672942241</v>
      </c>
      <c r="BH309" s="528">
        <f t="shared" si="795"/>
        <v>5.3397346921537459</v>
      </c>
      <c r="BI309" s="528">
        <f t="shared" si="796"/>
        <v>0.17097413582142615</v>
      </c>
      <c r="BJ309" s="528">
        <f t="shared" si="844"/>
        <v>3.1412983872264336E-2</v>
      </c>
      <c r="BK309">
        <f t="shared" si="845"/>
        <v>6.6473435615627694E-3</v>
      </c>
      <c r="BL309" s="460">
        <f t="shared" si="846"/>
        <v>177.62147938298892</v>
      </c>
      <c r="BM309" s="528">
        <f t="shared" si="797"/>
        <v>-35.650095750865717</v>
      </c>
      <c r="BN309" s="460">
        <f t="shared" si="847"/>
        <v>-35650.095750865716</v>
      </c>
      <c r="BO309" s="528">
        <f t="shared" si="798"/>
        <v>0.3906</v>
      </c>
      <c r="BR309" s="460">
        <f t="shared" si="848"/>
        <v>390.6</v>
      </c>
      <c r="BS309" s="528">
        <f t="shared" si="849"/>
        <v>4.2727715754706681</v>
      </c>
      <c r="BT309" s="528">
        <f t="shared" si="850"/>
        <v>2.0299419863639069E-2</v>
      </c>
      <c r="BU309" s="528">
        <f t="shared" si="851"/>
        <v>523.6093954964997</v>
      </c>
      <c r="BV309" s="528"/>
      <c r="BW309" s="528">
        <f t="shared" si="852"/>
        <v>8.9646870966217982</v>
      </c>
      <c r="BX309" s="460">
        <f t="shared" si="853"/>
        <v>536867.15358845587</v>
      </c>
      <c r="BY309" s="173">
        <f t="shared" si="854"/>
        <v>548.503551511159</v>
      </c>
      <c r="BZ309" s="5">
        <f t="shared" si="855"/>
        <v>94.860000000000014</v>
      </c>
      <c r="CA309" s="173">
        <f t="shared" si="856"/>
        <v>0.14744385157845655</v>
      </c>
      <c r="CB309" s="5">
        <f t="shared" si="857"/>
        <v>14.744385157845654</v>
      </c>
      <c r="CE309" s="562">
        <f t="shared" si="799"/>
        <v>-50</v>
      </c>
      <c r="CF309">
        <f t="shared" si="800"/>
        <v>-50</v>
      </c>
      <c r="CG309" s="173">
        <f t="shared" si="801"/>
        <v>0.63609138616762317</v>
      </c>
      <c r="CI309" s="170">
        <v>93</v>
      </c>
      <c r="CJ309" s="217">
        <f t="shared" si="858"/>
        <v>0.55800000000000005</v>
      </c>
      <c r="CK309" s="217"/>
      <c r="CL309" s="217">
        <f t="shared" si="802"/>
        <v>94.860000000000014</v>
      </c>
      <c r="CM309" s="541">
        <f t="shared" si="803"/>
        <v>16</v>
      </c>
      <c r="CN309" s="443">
        <f t="shared" si="804"/>
        <v>8.5250000000000004</v>
      </c>
      <c r="CO309" s="443">
        <f t="shared" si="805"/>
        <v>24.524999999999999</v>
      </c>
      <c r="CP309" s="443"/>
      <c r="CQ309" s="217">
        <f t="shared" si="806"/>
        <v>0.34760448521916415</v>
      </c>
      <c r="CR309" s="172">
        <f t="shared" si="807"/>
        <v>188.05866123003739</v>
      </c>
      <c r="CS309" s="172">
        <f t="shared" si="808"/>
        <v>94.860000000000014</v>
      </c>
      <c r="CT309" s="217">
        <f t="shared" si="809"/>
        <v>1.1062274190002199</v>
      </c>
      <c r="CU309" s="217">
        <f t="shared" si="810"/>
        <v>170</v>
      </c>
      <c r="CV309" s="217"/>
      <c r="CW309" s="172">
        <f t="shared" si="811"/>
        <v>636.04586077640295</v>
      </c>
      <c r="CX309" s="172">
        <f t="shared" si="812"/>
        <v>170</v>
      </c>
      <c r="CY309" s="217">
        <f t="shared" si="813"/>
        <v>34.112045454545459</v>
      </c>
      <c r="CZ309" s="217">
        <f t="shared" si="814"/>
        <v>1.0660014204545456</v>
      </c>
      <c r="DA309" s="217">
        <f t="shared" si="815"/>
        <v>2.0007064782724604</v>
      </c>
      <c r="DB309" s="197">
        <f t="shared" si="816"/>
        <v>350</v>
      </c>
      <c r="DC309" s="443">
        <f t="shared" si="817"/>
        <v>326.08257226425155</v>
      </c>
      <c r="DE309" s="217">
        <f t="shared" si="818"/>
        <v>31.780981505752148</v>
      </c>
      <c r="DF309" s="173">
        <f t="shared" si="819"/>
        <v>1.8639871850881022</v>
      </c>
      <c r="DG309" s="173">
        <f t="shared" si="820"/>
        <v>0.51834424474213492</v>
      </c>
      <c r="DH309" s="173"/>
      <c r="DI309" s="173">
        <f t="shared" si="821"/>
        <v>0.78201368523949166</v>
      </c>
      <c r="DJ309" s="545">
        <f t="shared" si="822"/>
        <v>2140.6275000000001</v>
      </c>
      <c r="DK309" s="528">
        <f t="shared" si="823"/>
        <v>9.1234929944607357E-2</v>
      </c>
      <c r="DM309" s="173">
        <f t="shared" si="824"/>
        <v>32.974275687918563</v>
      </c>
      <c r="DN309" s="173">
        <f t="shared" si="825"/>
        <v>34.112045454545459</v>
      </c>
      <c r="DO309" s="173">
        <f t="shared" si="826"/>
        <v>16.591638608305274</v>
      </c>
      <c r="DQ309" s="545">
        <f t="shared" si="827"/>
        <v>558</v>
      </c>
      <c r="DR309" s="460">
        <f t="shared" si="828"/>
        <v>326.08257226425155</v>
      </c>
      <c r="DT309">
        <f t="shared" si="829"/>
        <v>558</v>
      </c>
      <c r="DU309">
        <f t="shared" si="830"/>
        <v>326.08257226425155</v>
      </c>
      <c r="DW309" s="5">
        <f t="shared" si="859"/>
        <v>3.0667078987270062</v>
      </c>
      <c r="DX309" s="5">
        <f t="shared" si="831"/>
        <v>1.0660014204545456</v>
      </c>
      <c r="DY309" s="5">
        <f t="shared" si="832"/>
        <v>2.0007064782724608</v>
      </c>
      <c r="DZ309" s="5"/>
      <c r="EA309" s="173">
        <f t="shared" si="833"/>
        <v>0.34760448521916415</v>
      </c>
      <c r="EB309" s="173">
        <f t="shared" si="860"/>
        <v>94.860000000000014</v>
      </c>
      <c r="EC309" s="173">
        <f t="shared" si="861"/>
        <v>0.55636363636363639</v>
      </c>
      <c r="ED309" s="173">
        <f t="shared" si="862"/>
        <v>170.50000000000003</v>
      </c>
      <c r="EE309" s="460">
        <f t="shared" si="834"/>
        <v>0.34989928977272738</v>
      </c>
      <c r="EF309" s="5">
        <f t="shared" si="835"/>
        <v>18.978701652892568</v>
      </c>
      <c r="EH309" s="173">
        <f t="shared" si="863"/>
        <v>11.611539934870438</v>
      </c>
      <c r="EI309" s="173">
        <f t="shared" si="864"/>
        <v>0.79537625588758443</v>
      </c>
      <c r="EK309" s="528">
        <f t="shared" si="865"/>
        <v>5.3931143863636386</v>
      </c>
      <c r="EL309" s="528">
        <f t="shared" si="866"/>
        <v>7.5020000000000007</v>
      </c>
      <c r="EM309" s="528">
        <f t="shared" si="867"/>
        <v>6.5216514452850302E-2</v>
      </c>
      <c r="EN309" s="528">
        <f t="shared" si="868"/>
        <v>3.9226143790849669E-2</v>
      </c>
      <c r="EO309">
        <f t="shared" si="869"/>
        <v>7.1999999999999998E-3</v>
      </c>
      <c r="EP309" s="460">
        <f t="shared" si="870"/>
        <v>72.416514452850294</v>
      </c>
      <c r="EQ309" s="460"/>
      <c r="ER309" s="460">
        <f t="shared" si="871"/>
        <v>13006.757044607339</v>
      </c>
      <c r="ES309" s="528">
        <f t="shared" si="872"/>
        <v>0.3906</v>
      </c>
      <c r="EV309" s="460">
        <f t="shared" si="873"/>
        <v>390.6</v>
      </c>
      <c r="EW309" s="528">
        <f t="shared" si="874"/>
        <v>4.044835789772729</v>
      </c>
      <c r="EX309" s="528">
        <f t="shared" si="875"/>
        <v>1.8978701652892564E-2</v>
      </c>
      <c r="EY309" s="528">
        <f t="shared" si="876"/>
        <v>652.46674164042167</v>
      </c>
      <c r="EZ309" s="528"/>
      <c r="FA309" s="528">
        <f t="shared" si="877"/>
        <v>9.4860000000000024</v>
      </c>
      <c r="FB309" s="460">
        <f t="shared" si="878"/>
        <v>666016.55613184732</v>
      </c>
      <c r="FC309" s="173">
        <f t="shared" si="879"/>
        <v>679.41391317645457</v>
      </c>
      <c r="FD309" s="5">
        <f t="shared" si="880"/>
        <v>94.860000000000014</v>
      </c>
      <c r="FE309" s="173">
        <f t="shared" si="881"/>
        <v>0.12251478241186943</v>
      </c>
      <c r="FF309" s="5">
        <f t="shared" si="882"/>
        <v>12.251478241186943</v>
      </c>
      <c r="FI309" s="562">
        <f t="shared" si="836"/>
        <v>-50</v>
      </c>
      <c r="FJ309">
        <f t="shared" si="837"/>
        <v>-50</v>
      </c>
      <c r="FL309">
        <f t="shared" si="838"/>
        <v>0.65239551478083579</v>
      </c>
    </row>
    <row r="310" spans="5:168">
      <c r="E310" s="170">
        <v>94</v>
      </c>
      <c r="F310" s="217">
        <f t="shared" si="839"/>
        <v>0.56399999999999995</v>
      </c>
      <c r="G310" s="217"/>
      <c r="H310" s="217">
        <f t="shared" si="764"/>
        <v>95.88</v>
      </c>
      <c r="I310" s="541">
        <f t="shared" si="765"/>
        <v>14.75900732308482</v>
      </c>
      <c r="J310" s="172">
        <f t="shared" si="766"/>
        <v>8.5263296350109812</v>
      </c>
      <c r="K310" s="172">
        <f t="shared" si="767"/>
        <v>23.285336958095801</v>
      </c>
      <c r="L310" s="443"/>
      <c r="M310" s="217">
        <f t="shared" si="768"/>
        <v>0.36616643395254717</v>
      </c>
      <c r="N310" s="172">
        <f t="shared" si="769"/>
        <v>182.73581081759986</v>
      </c>
      <c r="O310" s="172">
        <f t="shared" si="762"/>
        <v>95.88</v>
      </c>
      <c r="P310" s="217">
        <f t="shared" si="770"/>
        <v>1.0749165342211757</v>
      </c>
      <c r="Q310" s="217">
        <f t="shared" si="771"/>
        <v>170</v>
      </c>
      <c r="R310" s="217"/>
      <c r="S310" s="172">
        <f t="shared" si="772"/>
        <v>577.35701955012814</v>
      </c>
      <c r="T310" s="172">
        <f t="shared" si="773"/>
        <v>170</v>
      </c>
      <c r="U310" s="217">
        <f t="shared" si="774"/>
        <v>35.59293986382383</v>
      </c>
      <c r="V310" s="217">
        <f t="shared" si="775"/>
        <v>1.2058039909009426</v>
      </c>
      <c r="W310" s="217">
        <f t="shared" si="776"/>
        <v>2.0872369112772398</v>
      </c>
      <c r="X310" s="197">
        <f t="shared" si="777"/>
        <v>350</v>
      </c>
      <c r="Y310" s="443">
        <f t="shared" si="840"/>
        <v>286.28350712309793</v>
      </c>
      <c r="AA310" s="217">
        <f t="shared" si="778"/>
        <v>30.881521644439321</v>
      </c>
      <c r="AB310" s="173">
        <f t="shared" si="779"/>
        <v>1.8109504890376871</v>
      </c>
      <c r="AC310" s="173">
        <f t="shared" si="780"/>
        <v>0.48934293383697147</v>
      </c>
      <c r="AD310" s="173"/>
      <c r="AE310" s="173">
        <f t="shared" si="781"/>
        <v>0.78189173443305193</v>
      </c>
      <c r="AF310" s="545">
        <f t="shared" si="782"/>
        <v>2163.9824613657865</v>
      </c>
      <c r="AG310" s="528">
        <f t="shared" si="783"/>
        <v>9.1220702350522737E-2</v>
      </c>
      <c r="AI310" s="173">
        <f t="shared" si="784"/>
        <v>33.153667891531803</v>
      </c>
      <c r="AJ310" s="173">
        <f t="shared" si="785"/>
        <v>35.59293986382383</v>
      </c>
      <c r="AK310" s="173">
        <f t="shared" si="786"/>
        <v>17.68859742999296</v>
      </c>
      <c r="AM310" s="545">
        <f t="shared" si="787"/>
        <v>564</v>
      </c>
      <c r="AN310" s="460">
        <f t="shared" si="788"/>
        <v>286.28350712309793</v>
      </c>
      <c r="AP310">
        <f t="shared" si="789"/>
        <v>564</v>
      </c>
      <c r="AQ310">
        <f t="shared" si="790"/>
        <v>286.28350712309793</v>
      </c>
      <c r="AS310" s="5">
        <f t="shared" si="763"/>
        <v>3.4930409021781821</v>
      </c>
      <c r="AT310" s="5">
        <f t="shared" si="791"/>
        <v>1.2058039909009426</v>
      </c>
      <c r="AU310" s="5">
        <f t="shared" si="883"/>
        <v>2.2872369112772395</v>
      </c>
      <c r="AV310" s="5"/>
      <c r="AW310" s="173">
        <f t="shared" si="884"/>
        <v>0.34520179541814988</v>
      </c>
      <c r="AX310" s="173">
        <f t="shared" si="792"/>
        <v>90.670092594664098</v>
      </c>
      <c r="AY310" s="173">
        <f t="shared" si="793"/>
        <v>0.58265482796554013</v>
      </c>
      <c r="AZ310" s="173">
        <f t="shared" si="794"/>
        <v>155.61544887778152</v>
      </c>
      <c r="BA310" s="460">
        <f t="shared" si="885"/>
        <v>0.40004320639301855</v>
      </c>
      <c r="BB310" s="5">
        <f t="shared" si="886"/>
        <v>23.773986448018121</v>
      </c>
      <c r="BD310" s="173">
        <f t="shared" si="841"/>
        <v>12.073682647588184</v>
      </c>
      <c r="BE310" s="173">
        <f t="shared" si="842"/>
        <v>0.83143246374643665</v>
      </c>
      <c r="BG310" s="528">
        <f t="shared" si="843"/>
        <v>5.8309525069868799</v>
      </c>
      <c r="BH310" s="528">
        <f t="shared" si="795"/>
        <v>5.3385736034997837</v>
      </c>
      <c r="BI310" s="528">
        <f t="shared" si="796"/>
        <v>0.16901041512432832</v>
      </c>
      <c r="BJ310" s="528">
        <f t="shared" si="844"/>
        <v>3.1044979571464751E-2</v>
      </c>
      <c r="BK310">
        <f t="shared" si="845"/>
        <v>6.6415532953881685E-3</v>
      </c>
      <c r="BL310" s="460">
        <f t="shared" si="846"/>
        <v>175.6519684197165</v>
      </c>
      <c r="BM310" s="528">
        <f t="shared" si="797"/>
        <v>-33.144242087180658</v>
      </c>
      <c r="BN310" s="460">
        <f t="shared" si="847"/>
        <v>-33144.242087180661</v>
      </c>
      <c r="BO310" s="528">
        <f t="shared" si="798"/>
        <v>0.39479999999999993</v>
      </c>
      <c r="BR310" s="460">
        <f t="shared" si="848"/>
        <v>394.79999999999995</v>
      </c>
      <c r="BS310" s="528">
        <f t="shared" si="849"/>
        <v>4.3732143802401602</v>
      </c>
      <c r="BT310" s="528">
        <f t="shared" si="850"/>
        <v>2.0738398253144091E-2</v>
      </c>
      <c r="BU310" s="528">
        <f t="shared" si="851"/>
        <v>524.04728906289347</v>
      </c>
      <c r="BV310" s="528"/>
      <c r="BW310" s="528">
        <f t="shared" si="852"/>
        <v>9.0670092594664133</v>
      </c>
      <c r="BX310" s="460">
        <f t="shared" si="853"/>
        <v>537508.2511008532</v>
      </c>
      <c r="BY310" s="173">
        <f t="shared" si="854"/>
        <v>549.27927415933107</v>
      </c>
      <c r="BZ310" s="5">
        <f t="shared" si="855"/>
        <v>95.88</v>
      </c>
      <c r="CA310" s="173">
        <f t="shared" si="856"/>
        <v>0.14861446442808338</v>
      </c>
      <c r="CB310" s="5">
        <f t="shared" si="857"/>
        <v>14.861446442808338</v>
      </c>
      <c r="CE310" s="562">
        <f t="shared" si="799"/>
        <v>-50</v>
      </c>
      <c r="CF310">
        <f t="shared" si="800"/>
        <v>-50</v>
      </c>
      <c r="CG310" s="173">
        <f t="shared" si="801"/>
        <v>0.63626483434435954</v>
      </c>
      <c r="CI310" s="170">
        <v>94</v>
      </c>
      <c r="CJ310" s="217">
        <f t="shared" si="858"/>
        <v>0.56399999999999995</v>
      </c>
      <c r="CK310" s="217"/>
      <c r="CL310" s="217">
        <f t="shared" si="802"/>
        <v>95.88</v>
      </c>
      <c r="CM310" s="541">
        <f t="shared" si="803"/>
        <v>16</v>
      </c>
      <c r="CN310" s="443">
        <f t="shared" si="804"/>
        <v>8.5250000000000004</v>
      </c>
      <c r="CO310" s="443">
        <f t="shared" si="805"/>
        <v>24.524999999999999</v>
      </c>
      <c r="CP310" s="443"/>
      <c r="CQ310" s="217">
        <f t="shared" si="806"/>
        <v>0.34760448521916415</v>
      </c>
      <c r="CR310" s="172">
        <f t="shared" si="807"/>
        <v>188.05866123003739</v>
      </c>
      <c r="CS310" s="172">
        <f t="shared" si="808"/>
        <v>95.88</v>
      </c>
      <c r="CT310" s="217">
        <f t="shared" si="809"/>
        <v>1.1062274190002199</v>
      </c>
      <c r="CU310" s="217">
        <f t="shared" si="810"/>
        <v>170</v>
      </c>
      <c r="CV310" s="217"/>
      <c r="CW310" s="172">
        <f t="shared" si="811"/>
        <v>625.88191275867405</v>
      </c>
      <c r="CX310" s="172">
        <f t="shared" si="812"/>
        <v>170</v>
      </c>
      <c r="CY310" s="217">
        <f t="shared" si="813"/>
        <v>34.478841642228737</v>
      </c>
      <c r="CZ310" s="217">
        <f t="shared" si="814"/>
        <v>1.077463801319648</v>
      </c>
      <c r="DA310" s="217">
        <f t="shared" si="815"/>
        <v>2.0222194511571105</v>
      </c>
      <c r="DB310" s="197">
        <f t="shared" si="816"/>
        <v>350</v>
      </c>
      <c r="DC310" s="443">
        <f t="shared" si="817"/>
        <v>322.61360872952554</v>
      </c>
      <c r="DE310" s="217">
        <f t="shared" si="818"/>
        <v>31.780981505752148</v>
      </c>
      <c r="DF310" s="173">
        <f t="shared" si="819"/>
        <v>1.8639871850881022</v>
      </c>
      <c r="DG310" s="173">
        <f t="shared" si="820"/>
        <v>0.51834424474213492</v>
      </c>
      <c r="DH310" s="173"/>
      <c r="DI310" s="173">
        <f t="shared" si="821"/>
        <v>0.78201368523949166</v>
      </c>
      <c r="DJ310" s="545">
        <f t="shared" si="822"/>
        <v>2163.6449999999995</v>
      </c>
      <c r="DK310" s="528">
        <f t="shared" si="823"/>
        <v>9.1234929944607357E-2</v>
      </c>
      <c r="DM310" s="173">
        <f t="shared" si="824"/>
        <v>33.151082723107031</v>
      </c>
      <c r="DN310" s="173">
        <f t="shared" si="825"/>
        <v>34.478841642228737</v>
      </c>
      <c r="DO310" s="173">
        <f t="shared" si="826"/>
        <v>16.863339488070668</v>
      </c>
      <c r="DQ310" s="545">
        <f t="shared" si="827"/>
        <v>564</v>
      </c>
      <c r="DR310" s="460">
        <f t="shared" si="828"/>
        <v>322.61360872952554</v>
      </c>
      <c r="DT310">
        <f t="shared" si="829"/>
        <v>564</v>
      </c>
      <c r="DU310">
        <f t="shared" si="830"/>
        <v>322.61360872952554</v>
      </c>
      <c r="DW310" s="5">
        <f t="shared" si="859"/>
        <v>3.0996832524767579</v>
      </c>
      <c r="DX310" s="5">
        <f t="shared" si="831"/>
        <v>1.077463801319648</v>
      </c>
      <c r="DY310" s="5">
        <f t="shared" si="832"/>
        <v>2.0222194511571097</v>
      </c>
      <c r="DZ310" s="5"/>
      <c r="EA310" s="173">
        <f t="shared" si="833"/>
        <v>0.34760448521916421</v>
      </c>
      <c r="EB310" s="173">
        <f t="shared" si="860"/>
        <v>95.88000000000001</v>
      </c>
      <c r="EC310" s="173">
        <f t="shared" si="861"/>
        <v>0.56234604105571839</v>
      </c>
      <c r="ED310" s="173">
        <f t="shared" si="862"/>
        <v>170.50000000000003</v>
      </c>
      <c r="EE310" s="460">
        <f t="shared" si="834"/>
        <v>0.35746446114369496</v>
      </c>
      <c r="EF310" s="5">
        <f t="shared" si="835"/>
        <v>19.389040097694366</v>
      </c>
      <c r="EH310" s="173">
        <f t="shared" si="863"/>
        <v>11.736395202987321</v>
      </c>
      <c r="EI310" s="173">
        <f t="shared" si="864"/>
        <v>0.80392868874659051</v>
      </c>
      <c r="EK310" s="528">
        <f t="shared" si="865"/>
        <v>5.5097188944281514</v>
      </c>
      <c r="EL310" s="528">
        <f t="shared" si="866"/>
        <v>7.5020000000000007</v>
      </c>
      <c r="EM310" s="528">
        <f t="shared" si="867"/>
        <v>6.4522721745905107E-2</v>
      </c>
      <c r="EN310" s="528">
        <f t="shared" si="868"/>
        <v>3.8808844388819361E-2</v>
      </c>
      <c r="EO310">
        <f t="shared" si="869"/>
        <v>7.1999999999999998E-3</v>
      </c>
      <c r="EP310" s="460">
        <f t="shared" si="870"/>
        <v>71.722721745905105</v>
      </c>
      <c r="EQ310" s="460"/>
      <c r="ER310" s="460">
        <f t="shared" si="871"/>
        <v>13122.250460562878</v>
      </c>
      <c r="ES310" s="528">
        <f t="shared" si="872"/>
        <v>0.39479999999999993</v>
      </c>
      <c r="EV310" s="460">
        <f t="shared" si="873"/>
        <v>394.79999999999995</v>
      </c>
      <c r="EW310" s="528">
        <f t="shared" si="874"/>
        <v>4.1322891708211138</v>
      </c>
      <c r="EX310" s="528">
        <f t="shared" si="875"/>
        <v>1.938904009769437E-2</v>
      </c>
      <c r="EY310" s="528">
        <f t="shared" si="876"/>
        <v>652.46674164042054</v>
      </c>
      <c r="EZ310" s="528"/>
      <c r="FA310" s="528">
        <f t="shared" si="877"/>
        <v>9.588000000000001</v>
      </c>
      <c r="FB310" s="460">
        <f t="shared" si="878"/>
        <v>666206.41985133931</v>
      </c>
      <c r="FC310" s="173">
        <f t="shared" si="879"/>
        <v>679.72347031190213</v>
      </c>
      <c r="FD310" s="5">
        <f t="shared" si="880"/>
        <v>95.88</v>
      </c>
      <c r="FE310" s="173">
        <f t="shared" si="881"/>
        <v>0.12361986977887386</v>
      </c>
      <c r="FF310" s="5">
        <f t="shared" si="882"/>
        <v>12.361986977887387</v>
      </c>
      <c r="FI310" s="562">
        <f t="shared" si="836"/>
        <v>-50</v>
      </c>
      <c r="FJ310">
        <f t="shared" si="837"/>
        <v>-50</v>
      </c>
      <c r="FL310">
        <f t="shared" si="838"/>
        <v>0.65239551478083579</v>
      </c>
    </row>
    <row r="311" spans="5:168">
      <c r="E311" s="170">
        <v>95</v>
      </c>
      <c r="F311" s="217">
        <f t="shared" si="839"/>
        <v>0.56999999999999995</v>
      </c>
      <c r="G311" s="217"/>
      <c r="H311" s="217">
        <f t="shared" si="764"/>
        <v>96.899999999999991</v>
      </c>
      <c r="I311" s="541">
        <f t="shared" si="765"/>
        <v>14.746139884357724</v>
      </c>
      <c r="J311" s="172">
        <f t="shared" si="766"/>
        <v>8.5263434215524736</v>
      </c>
      <c r="K311" s="172">
        <f t="shared" si="767"/>
        <v>23.2724833059102</v>
      </c>
      <c r="L311" s="443"/>
      <c r="M311" s="217">
        <f t="shared" si="768"/>
        <v>0.36636926468140762</v>
      </c>
      <c r="N311" s="172">
        <f t="shared" si="769"/>
        <v>182.6776297753448</v>
      </c>
      <c r="O311" s="172">
        <f t="shared" si="762"/>
        <v>96.899999999999991</v>
      </c>
      <c r="P311" s="217">
        <f t="shared" si="770"/>
        <v>1.0745742927961459</v>
      </c>
      <c r="Q311" s="217">
        <f t="shared" si="771"/>
        <v>170</v>
      </c>
      <c r="R311" s="217"/>
      <c r="S311" s="172">
        <f t="shared" si="772"/>
        <v>567.68409499316726</v>
      </c>
      <c r="T311" s="172">
        <f t="shared" si="773"/>
        <v>170</v>
      </c>
      <c r="U311" s="217">
        <f t="shared" si="774"/>
        <v>35.983102979586448</v>
      </c>
      <c r="V311" s="217">
        <f t="shared" si="775"/>
        <v>1.2200855024356672</v>
      </c>
      <c r="W311" s="217">
        <f t="shared" si="776"/>
        <v>2.1101133980030711</v>
      </c>
      <c r="X311" s="197">
        <f t="shared" si="777"/>
        <v>350</v>
      </c>
      <c r="Y311" s="443">
        <f t="shared" si="840"/>
        <v>283.27015791538508</v>
      </c>
      <c r="AA311" s="217">
        <f t="shared" si="778"/>
        <v>30.871689268294659</v>
      </c>
      <c r="AB311" s="173">
        <f t="shared" si="779"/>
        <v>1.8103709727583055</v>
      </c>
      <c r="AC311" s="173">
        <f t="shared" si="780"/>
        <v>0.48903058864917903</v>
      </c>
      <c r="AD311" s="173"/>
      <c r="AE311" s="173">
        <f t="shared" si="781"/>
        <v>0.78189047016508773</v>
      </c>
      <c r="AF311" s="545">
        <f t="shared" si="782"/>
        <v>2187.0070876282089</v>
      </c>
      <c r="AG311" s="528">
        <f t="shared" si="783"/>
        <v>9.1220554852593588E-2</v>
      </c>
      <c r="AI311" s="173">
        <f t="shared" si="784"/>
        <v>33.329577598917524</v>
      </c>
      <c r="AJ311" s="173">
        <f t="shared" si="785"/>
        <v>35.983102979586448</v>
      </c>
      <c r="AK311" s="173">
        <f t="shared" si="786"/>
        <v>17.977607145372676</v>
      </c>
      <c r="AM311" s="545">
        <f t="shared" si="787"/>
        <v>570</v>
      </c>
      <c r="AN311" s="460">
        <f t="shared" si="788"/>
        <v>283.27015791538508</v>
      </c>
      <c r="AP311">
        <f t="shared" si="789"/>
        <v>570</v>
      </c>
      <c r="AQ311">
        <f t="shared" si="790"/>
        <v>283.27015791538508</v>
      </c>
      <c r="AS311" s="5">
        <f t="shared" si="763"/>
        <v>3.5301989004387373</v>
      </c>
      <c r="AT311" s="5">
        <f t="shared" si="791"/>
        <v>1.2200855024356672</v>
      </c>
      <c r="AU311" s="5">
        <f t="shared" si="883"/>
        <v>2.3101133980030699</v>
      </c>
      <c r="AV311" s="5"/>
      <c r="AW311" s="173">
        <f t="shared" si="884"/>
        <v>0.34561381294522342</v>
      </c>
      <c r="AX311" s="173">
        <f t="shared" si="792"/>
        <v>91.693395794115574</v>
      </c>
      <c r="AY311" s="173">
        <f t="shared" si="793"/>
        <v>0.58867113893027367</v>
      </c>
      <c r="AZ311" s="173">
        <f t="shared" si="794"/>
        <v>155.76336213924083</v>
      </c>
      <c r="BA311" s="460">
        <f t="shared" si="885"/>
        <v>0.40908749199313543</v>
      </c>
      <c r="BB311" s="5">
        <f t="shared" si="886"/>
        <v>24.288388963834638</v>
      </c>
      <c r="BD311" s="173">
        <f t="shared" si="841"/>
        <v>12.213314203632908</v>
      </c>
      <c r="BE311" s="173">
        <f t="shared" si="842"/>
        <v>0.84028198071120697</v>
      </c>
      <c r="BG311" s="528">
        <f t="shared" si="843"/>
        <v>5.9666017534664535</v>
      </c>
      <c r="BH311" s="528">
        <f t="shared" si="795"/>
        <v>5.337337698981198</v>
      </c>
      <c r="BI311" s="528">
        <f t="shared" si="796"/>
        <v>0.16708565494737485</v>
      </c>
      <c r="BJ311" s="528">
        <f t="shared" si="844"/>
        <v>3.0684303887611383E-2</v>
      </c>
      <c r="BK311">
        <f t="shared" si="845"/>
        <v>6.6357629479609761E-3</v>
      </c>
      <c r="BL311" s="460">
        <f t="shared" si="846"/>
        <v>173.72141789533583</v>
      </c>
      <c r="BM311" s="528">
        <f t="shared" si="797"/>
        <v>-30.99522189413948</v>
      </c>
      <c r="BN311" s="460">
        <f t="shared" si="847"/>
        <v>-30995.221894139479</v>
      </c>
      <c r="BO311" s="528">
        <f t="shared" si="798"/>
        <v>0.39899999999999997</v>
      </c>
      <c r="BR311" s="460">
        <f t="shared" si="848"/>
        <v>398.99999999999994</v>
      </c>
      <c r="BS311" s="528">
        <f t="shared" si="849"/>
        <v>4.4749513150998403</v>
      </c>
      <c r="BT311" s="528">
        <f t="shared" si="850"/>
        <v>2.1182214213238477E-2</v>
      </c>
      <c r="BU311" s="528">
        <f t="shared" si="851"/>
        <v>524.4675170718383</v>
      </c>
      <c r="BV311" s="528"/>
      <c r="BW311" s="528">
        <f t="shared" si="852"/>
        <v>9.1693395794115595</v>
      </c>
      <c r="BX311" s="460">
        <f t="shared" si="853"/>
        <v>538132.99018056295</v>
      </c>
      <c r="BY311" s="173">
        <f t="shared" si="854"/>
        <v>550.04033535479357</v>
      </c>
      <c r="BZ311" s="5">
        <f t="shared" si="855"/>
        <v>96.899999999999991</v>
      </c>
      <c r="CA311" s="173">
        <f t="shared" si="856"/>
        <v>0.14978197324310952</v>
      </c>
      <c r="CB311" s="5">
        <f t="shared" si="857"/>
        <v>14.978197324310951</v>
      </c>
      <c r="CE311" s="562">
        <f t="shared" si="799"/>
        <v>-50</v>
      </c>
      <c r="CF311">
        <f t="shared" si="800"/>
        <v>-50</v>
      </c>
      <c r="CG311" s="173">
        <f t="shared" si="801"/>
        <v>0.63643463098053299</v>
      </c>
      <c r="CI311" s="170">
        <v>95</v>
      </c>
      <c r="CJ311" s="217">
        <f t="shared" si="858"/>
        <v>0.56999999999999995</v>
      </c>
      <c r="CK311" s="217"/>
      <c r="CL311" s="217">
        <f t="shared" si="802"/>
        <v>96.899999999999991</v>
      </c>
      <c r="CM311" s="541">
        <f t="shared" si="803"/>
        <v>16</v>
      </c>
      <c r="CN311" s="443">
        <f t="shared" si="804"/>
        <v>8.5250000000000004</v>
      </c>
      <c r="CO311" s="443">
        <f t="shared" si="805"/>
        <v>24.524999999999999</v>
      </c>
      <c r="CP311" s="443"/>
      <c r="CQ311" s="217">
        <f t="shared" si="806"/>
        <v>0.34760448521916415</v>
      </c>
      <c r="CR311" s="172">
        <f t="shared" si="807"/>
        <v>188.05866123003739</v>
      </c>
      <c r="CS311" s="172">
        <f t="shared" si="808"/>
        <v>96.899999999999991</v>
      </c>
      <c r="CT311" s="217">
        <f t="shared" si="809"/>
        <v>1.1062274190002199</v>
      </c>
      <c r="CU311" s="217">
        <f t="shared" si="810"/>
        <v>170</v>
      </c>
      <c r="CV311" s="217"/>
      <c r="CW311" s="172">
        <f t="shared" si="811"/>
        <v>615.93207282111018</v>
      </c>
      <c r="CX311" s="172">
        <f t="shared" si="812"/>
        <v>170</v>
      </c>
      <c r="CY311" s="217">
        <f t="shared" si="813"/>
        <v>34.845637829912015</v>
      </c>
      <c r="CZ311" s="217">
        <f t="shared" si="814"/>
        <v>1.0889261821847502</v>
      </c>
      <c r="DA311" s="217">
        <f t="shared" si="815"/>
        <v>2.0437324240417598</v>
      </c>
      <c r="DB311" s="197">
        <f t="shared" si="816"/>
        <v>350</v>
      </c>
      <c r="DC311" s="443">
        <f t="shared" si="817"/>
        <v>319.21767600605693</v>
      </c>
      <c r="DE311" s="217">
        <f t="shared" si="818"/>
        <v>31.780981505752148</v>
      </c>
      <c r="DF311" s="173">
        <f t="shared" si="819"/>
        <v>1.8639871850881022</v>
      </c>
      <c r="DG311" s="173">
        <f t="shared" si="820"/>
        <v>0.51834424474213492</v>
      </c>
      <c r="DH311" s="173"/>
      <c r="DI311" s="173">
        <f t="shared" si="821"/>
        <v>0.78201368523949166</v>
      </c>
      <c r="DJ311" s="545">
        <f t="shared" si="822"/>
        <v>2186.6624999999995</v>
      </c>
      <c r="DK311" s="528">
        <f t="shared" si="823"/>
        <v>9.1234929944607357E-2</v>
      </c>
      <c r="DM311" s="173">
        <f t="shared" si="824"/>
        <v>33.326951770087135</v>
      </c>
      <c r="DN311" s="173">
        <f t="shared" si="825"/>
        <v>34.845637829912015</v>
      </c>
      <c r="DO311" s="173">
        <f t="shared" si="826"/>
        <v>17.135040367836059</v>
      </c>
      <c r="DQ311" s="545">
        <f t="shared" si="827"/>
        <v>570</v>
      </c>
      <c r="DR311" s="460">
        <f t="shared" si="828"/>
        <v>319.21767600605693</v>
      </c>
      <c r="DT311">
        <f t="shared" si="829"/>
        <v>570</v>
      </c>
      <c r="DU311">
        <f t="shared" si="830"/>
        <v>319.21767600605693</v>
      </c>
      <c r="DW311" s="5">
        <f t="shared" si="859"/>
        <v>3.13265860622651</v>
      </c>
      <c r="DX311" s="5">
        <f t="shared" si="831"/>
        <v>1.0889261821847502</v>
      </c>
      <c r="DY311" s="5">
        <f t="shared" si="832"/>
        <v>2.0437324240417598</v>
      </c>
      <c r="DZ311" s="5"/>
      <c r="EA311" s="173">
        <f t="shared" si="833"/>
        <v>0.34760448521916415</v>
      </c>
      <c r="EB311" s="173">
        <f t="shared" si="860"/>
        <v>96.9</v>
      </c>
      <c r="EC311" s="173">
        <f t="shared" si="861"/>
        <v>0.56832844574780039</v>
      </c>
      <c r="ED311" s="173">
        <f t="shared" si="862"/>
        <v>170.50000000000006</v>
      </c>
      <c r="EE311" s="460">
        <f t="shared" si="834"/>
        <v>0.3651105434384162</v>
      </c>
      <c r="EF311" s="5">
        <f t="shared" si="835"/>
        <v>19.803767188964649</v>
      </c>
      <c r="EH311" s="173">
        <f t="shared" si="863"/>
        <v>11.861250471104206</v>
      </c>
      <c r="EI311" s="173">
        <f t="shared" si="864"/>
        <v>0.81248112160559671</v>
      </c>
      <c r="EK311" s="528">
        <f t="shared" si="865"/>
        <v>5.6275705095307904</v>
      </c>
      <c r="EL311" s="528">
        <f t="shared" si="866"/>
        <v>7.5020000000000024</v>
      </c>
      <c r="EM311" s="528">
        <f t="shared" si="867"/>
        <v>6.3843535201211388E-2</v>
      </c>
      <c r="EN311" s="528">
        <f t="shared" si="868"/>
        <v>3.8400330237358116E-2</v>
      </c>
      <c r="EO311">
        <f t="shared" si="869"/>
        <v>7.1999999999999998E-3</v>
      </c>
      <c r="EP311" s="460">
        <f t="shared" si="870"/>
        <v>71.043535201211384</v>
      </c>
      <c r="EQ311" s="460"/>
      <c r="ER311" s="460">
        <f t="shared" si="871"/>
        <v>13239.014374969363</v>
      </c>
      <c r="ES311" s="528">
        <f t="shared" si="872"/>
        <v>0.39899999999999997</v>
      </c>
      <c r="EV311" s="460">
        <f t="shared" si="873"/>
        <v>398.99999999999994</v>
      </c>
      <c r="EW311" s="528">
        <f t="shared" si="874"/>
        <v>4.2206778821480926</v>
      </c>
      <c r="EX311" s="528">
        <f t="shared" si="875"/>
        <v>1.9803767188964653E-2</v>
      </c>
      <c r="EY311" s="528">
        <f t="shared" si="876"/>
        <v>652.46674164042167</v>
      </c>
      <c r="EZ311" s="528"/>
      <c r="FA311" s="528">
        <f t="shared" si="877"/>
        <v>9.6900000000000013</v>
      </c>
      <c r="FB311" s="460">
        <f t="shared" si="878"/>
        <v>666397.22328975878</v>
      </c>
      <c r="FC311" s="173">
        <f t="shared" si="879"/>
        <v>680.03523766472813</v>
      </c>
      <c r="FD311" s="5">
        <f t="shared" si="880"/>
        <v>96.899999999999991</v>
      </c>
      <c r="FE311" s="173">
        <f t="shared" si="881"/>
        <v>0.12472082009210576</v>
      </c>
      <c r="FF311" s="5">
        <f t="shared" si="882"/>
        <v>12.472082009210576</v>
      </c>
      <c r="FI311" s="562">
        <f t="shared" si="836"/>
        <v>-50</v>
      </c>
      <c r="FJ311">
        <f t="shared" si="837"/>
        <v>-50</v>
      </c>
      <c r="FL311">
        <f t="shared" si="838"/>
        <v>0.65239551478083579</v>
      </c>
    </row>
    <row r="312" spans="5:168">
      <c r="E312" s="170">
        <v>96</v>
      </c>
      <c r="F312" s="217">
        <f t="shared" si="839"/>
        <v>0.57599999999999996</v>
      </c>
      <c r="G312" s="217"/>
      <c r="H312" s="217">
        <f>F312*Vout</f>
        <v>97.919999999999987</v>
      </c>
      <c r="I312" s="541">
        <f t="shared" si="765"/>
        <v>14.733272270851847</v>
      </c>
      <c r="J312" s="172">
        <f t="shared" si="766"/>
        <v>8.5263572082812313</v>
      </c>
      <c r="K312" s="172">
        <f t="shared" si="767"/>
        <v>23.259629479133078</v>
      </c>
      <c r="L312" s="443"/>
      <c r="M312" s="217">
        <f t="shared" si="768"/>
        <v>0.36657232234011705</v>
      </c>
      <c r="N312" s="172">
        <f>M312*I312*(Isw_max+VIN_max/Lmag*ILIM_delay)*0.5*Efficiency</f>
        <v>182.61938311920485</v>
      </c>
      <c r="O312" s="172">
        <f t="shared" si="762"/>
        <v>97.919999999999987</v>
      </c>
      <c r="P312" s="217">
        <f>N312/Vout</f>
        <v>1.0742316654070874</v>
      </c>
      <c r="Q312" s="217">
        <f t="shared" si="771"/>
        <v>170</v>
      </c>
      <c r="R312" s="217"/>
      <c r="S312" s="172">
        <f t="shared" si="772"/>
        <v>558.21817540924246</v>
      </c>
      <c r="T312" s="172">
        <f>MIN(Vout, S312)</f>
        <v>170</v>
      </c>
      <c r="U312" s="217">
        <f t="shared" si="774"/>
        <v>36.373528995635795</v>
      </c>
      <c r="V312" s="217">
        <f>L*U312/I312*1000000</f>
        <v>1.2344008963846005</v>
      </c>
      <c r="W312" s="217">
        <f t="shared" si="776"/>
        <v>2.1330052276198312</v>
      </c>
      <c r="X312" s="197">
        <f t="shared" si="777"/>
        <v>350</v>
      </c>
      <c r="Y312" s="443">
        <f t="shared" si="840"/>
        <v>280.31571546373164</v>
      </c>
      <c r="AA312" s="217">
        <f t="shared" si="778"/>
        <v>30.861845804145315</v>
      </c>
      <c r="AB312" s="173">
        <f>L*AA312/J312*1000000</f>
        <v>1.8097908080939136</v>
      </c>
      <c r="AC312" s="173">
        <f>0.5*AB312*AA312*Nps*X312/1000</f>
        <v>0.48871799250009668</v>
      </c>
      <c r="AD312" s="173"/>
      <c r="AE312" s="173">
        <f t="shared" si="781"/>
        <v>0.78188920588403943</v>
      </c>
      <c r="AF312" s="545">
        <f>MAX(12000,F312/(0.5*AE312/1000000*Isw_min*Nps))/1000</f>
        <v>2210.031788386495</v>
      </c>
      <c r="AG312" s="528">
        <f t="shared" si="783"/>
        <v>9.1220407353137939E-2</v>
      </c>
      <c r="AI312" s="173">
        <f t="shared" si="784"/>
        <v>33.504564301326347</v>
      </c>
      <c r="AJ312" s="173">
        <f>MAX(IF(F312&gt;AC312,U312,AI312),Isw_min)</f>
        <v>36.373528995635795</v>
      </c>
      <c r="AK312" s="173">
        <f>IF(F312&gt;AG312, (AJ312-Isw_min)/1.08*0.8+1.2, AF312*0.2/350+1)</f>
        <v>18.266811601705523</v>
      </c>
      <c r="AM312" s="545">
        <f t="shared" si="787"/>
        <v>576</v>
      </c>
      <c r="AN312" s="460">
        <f t="shared" si="788"/>
        <v>280.31571546373164</v>
      </c>
      <c r="AP312">
        <f t="shared" si="789"/>
        <v>576</v>
      </c>
      <c r="AQ312">
        <f t="shared" si="790"/>
        <v>280.31571546373164</v>
      </c>
      <c r="AS312" s="5">
        <f t="shared" si="763"/>
        <v>3.5674061240044317</v>
      </c>
      <c r="AT312" s="5">
        <f t="shared" si="791"/>
        <v>1.2344008963846005</v>
      </c>
      <c r="AU312" s="5">
        <f t="shared" si="883"/>
        <v>2.3330052276198314</v>
      </c>
      <c r="AV312" s="5"/>
      <c r="AW312" s="173">
        <f t="shared" si="884"/>
        <v>0.34602197043912092</v>
      </c>
      <c r="AX312" s="173">
        <f t="shared" si="792"/>
        <v>92.716778354299464</v>
      </c>
      <c r="AY312" s="173">
        <f t="shared" si="793"/>
        <v>0.59468722051853495</v>
      </c>
      <c r="AZ312" s="173">
        <f t="shared" si="794"/>
        <v>155.90847617921816</v>
      </c>
      <c r="BA312" s="460">
        <f t="shared" si="885"/>
        <v>0.41824406842207634</v>
      </c>
      <c r="BB312" s="5">
        <f t="shared" si="886"/>
        <v>24.808921487508815</v>
      </c>
      <c r="BD312" s="173">
        <f t="shared" si="841"/>
        <v>12.353119676715384</v>
      </c>
      <c r="BE312" s="173">
        <f t="shared" si="842"/>
        <v>0.84913432111503984</v>
      </c>
      <c r="BG312" s="528">
        <f t="shared" si="843"/>
        <v>6.1039826298901119</v>
      </c>
      <c r="BH312" s="528">
        <f t="shared" si="795"/>
        <v>5.3360291770171537</v>
      </c>
      <c r="BI312" s="528">
        <f t="shared" si="796"/>
        <v>0.16519871030903174</v>
      </c>
      <c r="BJ312" s="528">
        <f t="shared" si="844"/>
        <v>3.033074142392678E-2</v>
      </c>
      <c r="BK312">
        <f t="shared" si="845"/>
        <v>6.6299725218833313E-3</v>
      </c>
      <c r="BL312" s="460">
        <f t="shared" si="846"/>
        <v>171.82868283091506</v>
      </c>
      <c r="BM312" s="528">
        <f t="shared" si="797"/>
        <v>-29.132212116496451</v>
      </c>
      <c r="BN312" s="460">
        <f t="shared" si="847"/>
        <v>-29132.212116496452</v>
      </c>
      <c r="BO312" s="528">
        <f t="shared" si="798"/>
        <v>0.40319999999999995</v>
      </c>
      <c r="BR312" s="460">
        <f t="shared" si="848"/>
        <v>403.19999999999993</v>
      </c>
      <c r="BS312" s="528">
        <f t="shared" si="849"/>
        <v>4.5779869724175839</v>
      </c>
      <c r="BT312" s="528">
        <f t="shared" si="850"/>
        <v>2.1630872858864988E-2</v>
      </c>
      <c r="BU312" s="528">
        <f t="shared" si="851"/>
        <v>524.87056438709283</v>
      </c>
      <c r="BV312" s="528"/>
      <c r="BW312" s="528">
        <f t="shared" si="852"/>
        <v>9.2716778354299478</v>
      </c>
      <c r="BX312" s="460">
        <f t="shared" si="853"/>
        <v>538741.86006779922</v>
      </c>
      <c r="BY312" s="173">
        <f t="shared" si="854"/>
        <v>550.78723129896139</v>
      </c>
      <c r="BZ312" s="5">
        <f t="shared" si="855"/>
        <v>97.919999999999987</v>
      </c>
      <c r="CA312" s="173">
        <f t="shared" si="856"/>
        <v>0.15094636729102973</v>
      </c>
      <c r="CB312" s="5">
        <f t="shared" si="857"/>
        <v>15.094636729102973</v>
      </c>
      <c r="CE312" s="562">
        <f t="shared" si="799"/>
        <v>-50</v>
      </c>
      <c r="CF312">
        <f t="shared" si="800"/>
        <v>-50</v>
      </c>
      <c r="CG312" s="173">
        <f t="shared" si="801"/>
        <v>0.63660089018678612</v>
      </c>
      <c r="CI312" s="170">
        <v>96</v>
      </c>
      <c r="CJ312" s="217">
        <f t="shared" si="858"/>
        <v>0.57599999999999996</v>
      </c>
      <c r="CK312" s="217"/>
      <c r="CL312" s="217">
        <f t="shared" si="802"/>
        <v>97.919999999999987</v>
      </c>
      <c r="CM312" s="541">
        <f t="shared" si="803"/>
        <v>16</v>
      </c>
      <c r="CN312" s="443">
        <f t="shared" si="804"/>
        <v>8.5250000000000004</v>
      </c>
      <c r="CO312" s="443">
        <f t="shared" si="805"/>
        <v>24.524999999999999</v>
      </c>
      <c r="CP312" s="443"/>
      <c r="CQ312" s="217">
        <f t="shared" si="806"/>
        <v>0.34760448521916415</v>
      </c>
      <c r="CR312" s="172">
        <f t="shared" si="807"/>
        <v>188.05866123003739</v>
      </c>
      <c r="CS312" s="172">
        <f t="shared" si="808"/>
        <v>97.919999999999987</v>
      </c>
      <c r="CT312" s="217">
        <f t="shared" si="809"/>
        <v>1.1062274190002199</v>
      </c>
      <c r="CU312" s="217">
        <f t="shared" si="810"/>
        <v>170</v>
      </c>
      <c r="CV312" s="217"/>
      <c r="CW312" s="172">
        <f t="shared" si="811"/>
        <v>606.18965219753875</v>
      </c>
      <c r="CX312" s="172">
        <f t="shared" si="812"/>
        <v>170</v>
      </c>
      <c r="CY312" s="217">
        <f t="shared" si="813"/>
        <v>35.212434017595299</v>
      </c>
      <c r="CZ312" s="217">
        <f t="shared" si="814"/>
        <v>1.1003885630498529</v>
      </c>
      <c r="DA312" s="217">
        <f t="shared" si="815"/>
        <v>2.06524539692641</v>
      </c>
      <c r="DB312" s="197">
        <f t="shared" si="816"/>
        <v>350</v>
      </c>
      <c r="DC312" s="443">
        <f t="shared" si="817"/>
        <v>315.89249188099387</v>
      </c>
      <c r="DE312" s="217">
        <f t="shared" si="818"/>
        <v>31.780981505752148</v>
      </c>
      <c r="DF312" s="173">
        <f t="shared" si="819"/>
        <v>1.8639871850881022</v>
      </c>
      <c r="DG312" s="173">
        <f t="shared" si="820"/>
        <v>0.51834424474213492</v>
      </c>
      <c r="DH312" s="173"/>
      <c r="DI312" s="173">
        <f t="shared" si="821"/>
        <v>0.78201368523949166</v>
      </c>
      <c r="DJ312" s="545">
        <f t="shared" si="822"/>
        <v>2209.6799999999998</v>
      </c>
      <c r="DK312" s="528">
        <f t="shared" si="823"/>
        <v>9.1234929944607357E-2</v>
      </c>
      <c r="DM312" s="173">
        <f t="shared" si="824"/>
        <v>33.501897600839612</v>
      </c>
      <c r="DN312" s="173">
        <f t="shared" si="825"/>
        <v>35.212434017595299</v>
      </c>
      <c r="DO312" s="173">
        <f t="shared" si="826"/>
        <v>17.406741247601452</v>
      </c>
      <c r="DQ312" s="545">
        <f t="shared" si="827"/>
        <v>576</v>
      </c>
      <c r="DR312" s="460">
        <f t="shared" si="828"/>
        <v>315.89249188099387</v>
      </c>
      <c r="DT312">
        <f t="shared" si="829"/>
        <v>576</v>
      </c>
      <c r="DU312">
        <f t="shared" si="830"/>
        <v>315.89249188099387</v>
      </c>
      <c r="DW312" s="5">
        <f t="shared" si="859"/>
        <v>3.1656339599762626</v>
      </c>
      <c r="DX312" s="5">
        <f t="shared" si="831"/>
        <v>1.1003885630498529</v>
      </c>
      <c r="DY312" s="5">
        <f t="shared" si="832"/>
        <v>2.06524539692641</v>
      </c>
      <c r="DZ312" s="5"/>
      <c r="EA312" s="173">
        <f t="shared" si="833"/>
        <v>0.34760448521916415</v>
      </c>
      <c r="EB312" s="173">
        <f t="shared" si="860"/>
        <v>97.92</v>
      </c>
      <c r="EC312" s="173">
        <f t="shared" si="861"/>
        <v>0.5743108504398825</v>
      </c>
      <c r="ED312" s="173">
        <f t="shared" si="862"/>
        <v>170.50000000000006</v>
      </c>
      <c r="EE312" s="460">
        <f t="shared" si="834"/>
        <v>0.37283753665689134</v>
      </c>
      <c r="EF312" s="5">
        <f t="shared" si="835"/>
        <v>20.222882926703402</v>
      </c>
      <c r="EH312" s="173">
        <f t="shared" si="863"/>
        <v>11.986105739221092</v>
      </c>
      <c r="EI312" s="173">
        <f t="shared" si="864"/>
        <v>0.82103355446460302</v>
      </c>
      <c r="EK312" s="528">
        <f t="shared" si="865"/>
        <v>5.7466692316715511</v>
      </c>
      <c r="EL312" s="528">
        <f t="shared" si="866"/>
        <v>7.5020000000000033</v>
      </c>
      <c r="EM312" s="528">
        <f t="shared" si="867"/>
        <v>6.317849837619878E-2</v>
      </c>
      <c r="EN312" s="528">
        <f t="shared" si="868"/>
        <v>3.8000326797385638E-2</v>
      </c>
      <c r="EO312">
        <f t="shared" si="869"/>
        <v>7.1999999999999998E-3</v>
      </c>
      <c r="EP312" s="460">
        <f t="shared" si="870"/>
        <v>70.378498376198777</v>
      </c>
      <c r="EQ312" s="460"/>
      <c r="ER312" s="460">
        <f t="shared" si="871"/>
        <v>13357.048056845138</v>
      </c>
      <c r="ES312" s="528">
        <f t="shared" si="872"/>
        <v>0.40319999999999995</v>
      </c>
      <c r="EV312" s="460">
        <f t="shared" si="873"/>
        <v>403.19999999999993</v>
      </c>
      <c r="EW312" s="528">
        <f t="shared" si="874"/>
        <v>4.3100019237536635</v>
      </c>
      <c r="EX312" s="528">
        <f t="shared" si="875"/>
        <v>2.0222882926703406E-2</v>
      </c>
      <c r="EY312" s="528">
        <f t="shared" si="876"/>
        <v>652.4667416404227</v>
      </c>
      <c r="EZ312" s="528"/>
      <c r="FA312" s="528">
        <f t="shared" si="877"/>
        <v>9.7920000000000016</v>
      </c>
      <c r="FB312" s="460">
        <f t="shared" si="878"/>
        <v>666588.96644710307</v>
      </c>
      <c r="FC312" s="173">
        <f t="shared" si="879"/>
        <v>680.34921450394825</v>
      </c>
      <c r="FD312" s="5">
        <f t="shared" si="880"/>
        <v>97.919999999999987</v>
      </c>
      <c r="FE312" s="173">
        <f t="shared" si="881"/>
        <v>0.1258176453277958</v>
      </c>
      <c r="FF312" s="5">
        <f t="shared" si="882"/>
        <v>12.58176453277958</v>
      </c>
      <c r="FI312" s="562">
        <f t="shared" si="836"/>
        <v>-50</v>
      </c>
      <c r="FJ312">
        <f t="shared" si="837"/>
        <v>-50</v>
      </c>
      <c r="FL312">
        <f t="shared" si="838"/>
        <v>0.65239551478083579</v>
      </c>
    </row>
    <row r="313" spans="5:168">
      <c r="E313" s="170">
        <v>97</v>
      </c>
      <c r="F313" s="217">
        <f>IF(PLOT_TYPE=1, E313/100*Iout_max, min_I*EXP(N313*rr/100))</f>
        <v>0.58199999999999996</v>
      </c>
      <c r="G313" s="217"/>
      <c r="H313" s="217">
        <f>F313*Vout</f>
        <v>98.94</v>
      </c>
      <c r="I313" s="541">
        <f t="shared" si="765"/>
        <v>14.720404488105418</v>
      </c>
      <c r="J313" s="172">
        <f t="shared" si="766"/>
        <v>8.526370995191316</v>
      </c>
      <c r="K313" s="172">
        <f t="shared" si="767"/>
        <v>23.246775483296734</v>
      </c>
      <c r="L313" s="443"/>
      <c r="M313" s="217">
        <f t="shared" si="768"/>
        <v>0.36677560722230496</v>
      </c>
      <c r="N313" s="172">
        <f>M313*I313*(Isw_max+VIN_max/Lmag*ILIM_delay)*0.5*Efficiency</f>
        <v>182.56107076420798</v>
      </c>
      <c r="O313" s="172">
        <f t="shared" si="762"/>
        <v>98.94</v>
      </c>
      <c r="P313" s="217">
        <f>N313/Vout</f>
        <v>1.0738886515541646</v>
      </c>
      <c r="Q313" s="217">
        <f t="shared" si="771"/>
        <v>170</v>
      </c>
      <c r="R313" s="217"/>
      <c r="S313" s="172">
        <f t="shared" si="772"/>
        <v>548.9528610283237</v>
      </c>
      <c r="T313" s="172">
        <f>MIN(Vout, S313)</f>
        <v>170</v>
      </c>
      <c r="U313" s="217">
        <f t="shared" si="774"/>
        <v>36.764218601687482</v>
      </c>
      <c r="V313" s="217">
        <f>L*U313/I313*1000000</f>
        <v>1.2487502850683962</v>
      </c>
      <c r="W313" s="217">
        <f t="shared" si="776"/>
        <v>2.1559124404991103</v>
      </c>
      <c r="X313" s="197">
        <f t="shared" si="777"/>
        <v>350</v>
      </c>
      <c r="Y313" s="443">
        <f t="shared" si="840"/>
        <v>277.41846495293487</v>
      </c>
      <c r="AA313" s="217">
        <f t="shared" si="778"/>
        <v>30.851991237617003</v>
      </c>
      <c r="AB313" s="173">
        <f>L*AA313/J313*1000000</f>
        <v>1.8092099942060254</v>
      </c>
      <c r="AC313" s="173">
        <f>0.5*AB313*AA313*Nps*X313/1000</f>
        <v>0.48840514527221729</v>
      </c>
      <c r="AD313" s="173"/>
      <c r="AE313" s="173">
        <f t="shared" si="781"/>
        <v>0.78188794159045139</v>
      </c>
      <c r="AF313" s="545">
        <f>MAX(12000,F313/(0.5*AE313/1000000*Isw_min*Nps))/1000</f>
        <v>2233.0565636406059</v>
      </c>
      <c r="AG313" s="528">
        <f t="shared" si="783"/>
        <v>9.1220259852219321E-2</v>
      </c>
      <c r="AI313" s="173">
        <f t="shared" si="784"/>
        <v>33.678642385944059</v>
      </c>
      <c r="AJ313" s="173">
        <f>MAX(IF(F313&gt;AC313,U313,AI313),Isw_min)</f>
        <v>36.764218601687482</v>
      </c>
      <c r="AK313" s="173">
        <f>IF(F313&gt;AG313, (AJ313-Isw_min)/1.08*0.8+1.2, AF313*0.2/350+1)</f>
        <v>18.556211309891957</v>
      </c>
      <c r="AM313" s="545">
        <f t="shared" si="787"/>
        <v>582</v>
      </c>
      <c r="AN313" s="460">
        <f t="shared" si="788"/>
        <v>277.41846495293487</v>
      </c>
      <c r="AP313">
        <f t="shared" si="789"/>
        <v>582</v>
      </c>
      <c r="AQ313">
        <f t="shared" si="790"/>
        <v>277.41846495293487</v>
      </c>
      <c r="AS313" s="5">
        <f t="shared" si="763"/>
        <v>3.6046627255675063</v>
      </c>
      <c r="AT313" s="5">
        <f t="shared" si="791"/>
        <v>1.2487502850683962</v>
      </c>
      <c r="AU313" s="5">
        <f t="shared" si="883"/>
        <v>2.3559124404991101</v>
      </c>
      <c r="AV313" s="5"/>
      <c r="AW313" s="173">
        <f t="shared" si="884"/>
        <v>0.34642638719321434</v>
      </c>
      <c r="AX313" s="173">
        <f t="shared" si="792"/>
        <v>93.740238150843297</v>
      </c>
      <c r="AY313" s="173">
        <f t="shared" si="793"/>
        <v>0.60070307933808309</v>
      </c>
      <c r="AZ313" s="173">
        <f t="shared" si="794"/>
        <v>156.0508700140775</v>
      </c>
      <c r="BA313" s="460">
        <f t="shared" si="885"/>
        <v>0.42751333288812154</v>
      </c>
      <c r="BB313" s="5">
        <f t="shared" si="886"/>
        <v>25.335605640600946</v>
      </c>
      <c r="BD313" s="173">
        <f t="shared" si="841"/>
        <v>12.493099381298192</v>
      </c>
      <c r="BE313" s="173">
        <f t="shared" si="842"/>
        <v>0.85798949728405005</v>
      </c>
      <c r="BG313" s="528">
        <f t="shared" si="843"/>
        <v>6.2431012860397317</v>
      </c>
      <c r="BH313" s="528">
        <f t="shared" si="795"/>
        <v>5.3346501507013064</v>
      </c>
      <c r="BI313" s="528">
        <f t="shared" si="796"/>
        <v>0.16334848066305993</v>
      </c>
      <c r="BJ313" s="528">
        <f t="shared" si="844"/>
        <v>2.9984085142707784E-2</v>
      </c>
      <c r="BK313">
        <f t="shared" si="845"/>
        <v>6.6241820196474375E-3</v>
      </c>
      <c r="BL313" s="460">
        <f t="shared" si="846"/>
        <v>169.97266268270735</v>
      </c>
      <c r="BM313" s="528">
        <f t="shared" si="797"/>
        <v>-27.501963473252566</v>
      </c>
      <c r="BN313" s="460">
        <f t="shared" si="847"/>
        <v>-27501.963473252566</v>
      </c>
      <c r="BO313" s="528">
        <f t="shared" si="798"/>
        <v>0.40739999999999993</v>
      </c>
      <c r="BR313" s="460">
        <f t="shared" si="848"/>
        <v>407.39999999999992</v>
      </c>
      <c r="BS313" s="528">
        <f t="shared" si="849"/>
        <v>4.6823259645297979</v>
      </c>
      <c r="BT313" s="528">
        <f t="shared" si="850"/>
        <v>2.2084379323492109E-2</v>
      </c>
      <c r="BU313" s="528">
        <f t="shared" si="851"/>
        <v>525.25689800176656</v>
      </c>
      <c r="BV313" s="528"/>
      <c r="BW313" s="528">
        <f t="shared" si="852"/>
        <v>9.37402381508433</v>
      </c>
      <c r="BX313" s="460">
        <f t="shared" si="853"/>
        <v>539335.33216070419</v>
      </c>
      <c r="BY313" s="173">
        <f t="shared" si="854"/>
        <v>551.52044034527069</v>
      </c>
      <c r="BZ313" s="5">
        <f t="shared" si="855"/>
        <v>98.94</v>
      </c>
      <c r="CA313" s="173">
        <f t="shared" si="856"/>
        <v>0.15210763616536266</v>
      </c>
      <c r="CB313" s="5">
        <f t="shared" si="857"/>
        <v>15.210763616536266</v>
      </c>
      <c r="CE313" s="562">
        <f t="shared" si="799"/>
        <v>-50</v>
      </c>
      <c r="CF313">
        <f t="shared" si="800"/>
        <v>-50</v>
      </c>
      <c r="CG313" s="173">
        <f t="shared" si="801"/>
        <v>0.63676372136816806</v>
      </c>
      <c r="CI313" s="170">
        <v>97</v>
      </c>
      <c r="CJ313" s="217">
        <f t="shared" si="858"/>
        <v>0.58199999999999996</v>
      </c>
      <c r="CK313" s="217"/>
      <c r="CL313" s="217">
        <f t="shared" si="802"/>
        <v>98.94</v>
      </c>
      <c r="CM313" s="541">
        <f t="shared" si="803"/>
        <v>16</v>
      </c>
      <c r="CN313" s="443">
        <f t="shared" si="804"/>
        <v>8.5250000000000004</v>
      </c>
      <c r="CO313" s="443">
        <f t="shared" si="805"/>
        <v>24.524999999999999</v>
      </c>
      <c r="CP313" s="443"/>
      <c r="CQ313" s="217">
        <f t="shared" si="806"/>
        <v>0.34760448521916415</v>
      </c>
      <c r="CR313" s="172">
        <f t="shared" si="807"/>
        <v>188.05866123003739</v>
      </c>
      <c r="CS313" s="172">
        <f t="shared" si="808"/>
        <v>98.94</v>
      </c>
      <c r="CT313" s="217">
        <f t="shared" si="809"/>
        <v>1.1062274190002199</v>
      </c>
      <c r="CU313" s="217">
        <f t="shared" si="810"/>
        <v>170</v>
      </c>
      <c r="CV313" s="217"/>
      <c r="CW313" s="172">
        <f t="shared" si="811"/>
        <v>596.64823799292208</v>
      </c>
      <c r="CX313" s="172">
        <f t="shared" si="812"/>
        <v>170</v>
      </c>
      <c r="CY313" s="217">
        <f t="shared" si="813"/>
        <v>35.579230205278591</v>
      </c>
      <c r="CZ313" s="217">
        <f t="shared" si="814"/>
        <v>1.111850943914956</v>
      </c>
      <c r="DA313" s="217">
        <f t="shared" si="815"/>
        <v>2.086758369811061</v>
      </c>
      <c r="DB313" s="197">
        <f t="shared" si="816"/>
        <v>350</v>
      </c>
      <c r="DC313" s="443">
        <f t="shared" si="817"/>
        <v>312.6358682533546</v>
      </c>
      <c r="DE313" s="217">
        <f t="shared" si="818"/>
        <v>31.780981505752148</v>
      </c>
      <c r="DF313" s="173">
        <f t="shared" si="819"/>
        <v>1.8639871850881022</v>
      </c>
      <c r="DG313" s="173">
        <f t="shared" si="820"/>
        <v>0.51834424474213492</v>
      </c>
      <c r="DH313" s="173"/>
      <c r="DI313" s="173">
        <f t="shared" si="821"/>
        <v>0.78201368523949166</v>
      </c>
      <c r="DJ313" s="545">
        <f t="shared" si="822"/>
        <v>2232.6975000000002</v>
      </c>
      <c r="DK313" s="528">
        <f t="shared" si="823"/>
        <v>9.1234929944607357E-2</v>
      </c>
      <c r="DM313" s="173">
        <f t="shared" si="824"/>
        <v>33.675934603639014</v>
      </c>
      <c r="DN313" s="173">
        <f t="shared" si="825"/>
        <v>35.579230205278591</v>
      </c>
      <c r="DO313" s="173">
        <f t="shared" si="826"/>
        <v>17.678442127366857</v>
      </c>
      <c r="DQ313" s="545">
        <f t="shared" si="827"/>
        <v>582</v>
      </c>
      <c r="DR313" s="460">
        <f t="shared" si="828"/>
        <v>312.6358682533546</v>
      </c>
      <c r="DT313">
        <f t="shared" si="829"/>
        <v>582</v>
      </c>
      <c r="DU313">
        <f t="shared" si="830"/>
        <v>312.6358682533546</v>
      </c>
      <c r="DW313" s="5">
        <f t="shared" si="859"/>
        <v>3.198609313726017</v>
      </c>
      <c r="DX313" s="5">
        <f t="shared" si="831"/>
        <v>1.111850943914956</v>
      </c>
      <c r="DY313" s="5">
        <f t="shared" si="832"/>
        <v>2.086758369811061</v>
      </c>
      <c r="DZ313" s="5"/>
      <c r="EA313" s="173">
        <f t="shared" si="833"/>
        <v>0.34760448521916415</v>
      </c>
      <c r="EB313" s="173">
        <f t="shared" si="860"/>
        <v>98.939999999999984</v>
      </c>
      <c r="EC313" s="173">
        <f t="shared" si="861"/>
        <v>0.58029325513196472</v>
      </c>
      <c r="ED313" s="173">
        <f t="shared" si="862"/>
        <v>170.5</v>
      </c>
      <c r="EE313" s="460">
        <f t="shared" si="834"/>
        <v>0.38064544079912016</v>
      </c>
      <c r="EF313" s="5">
        <f t="shared" si="835"/>
        <v>20.646387310910637</v>
      </c>
      <c r="EH313" s="173">
        <f t="shared" si="863"/>
        <v>12.110961007337982</v>
      </c>
      <c r="EI313" s="173">
        <f t="shared" si="864"/>
        <v>0.82958598732360944</v>
      </c>
      <c r="EK313" s="528">
        <f t="shared" si="865"/>
        <v>5.8670150608504414</v>
      </c>
      <c r="EL313" s="528">
        <f t="shared" si="866"/>
        <v>7.5020000000000007</v>
      </c>
      <c r="EM313" s="528">
        <f t="shared" si="867"/>
        <v>6.2527173650670911E-2</v>
      </c>
      <c r="EN313" s="528">
        <f t="shared" si="868"/>
        <v>3.7608570851020824E-2</v>
      </c>
      <c r="EO313">
        <f t="shared" si="869"/>
        <v>7.1999999999999998E-3</v>
      </c>
      <c r="EP313" s="460">
        <f t="shared" si="870"/>
        <v>69.727173650670906</v>
      </c>
      <c r="EQ313" s="460"/>
      <c r="ER313" s="460">
        <f t="shared" si="871"/>
        <v>13476.350805352131</v>
      </c>
      <c r="ES313" s="528">
        <f t="shared" si="872"/>
        <v>0.40739999999999993</v>
      </c>
      <c r="EV313" s="460">
        <f t="shared" si="873"/>
        <v>407.39999999999992</v>
      </c>
      <c r="EW313" s="528">
        <f t="shared" si="874"/>
        <v>4.4002612956378311</v>
      </c>
      <c r="EX313" s="528">
        <f t="shared" si="875"/>
        <v>2.0646387310910636E-2</v>
      </c>
      <c r="EY313" s="528">
        <f t="shared" si="876"/>
        <v>652.46674164042167</v>
      </c>
      <c r="EZ313" s="528"/>
      <c r="FA313" s="528">
        <f t="shared" si="877"/>
        <v>9.8940000000000001</v>
      </c>
      <c r="FB313" s="460">
        <f t="shared" si="878"/>
        <v>666781.64932337042</v>
      </c>
      <c r="FC313" s="173">
        <f t="shared" si="879"/>
        <v>680.66540012872258</v>
      </c>
      <c r="FD313" s="5">
        <f t="shared" si="880"/>
        <v>98.94</v>
      </c>
      <c r="FE313" s="173">
        <f t="shared" si="881"/>
        <v>0.12691035744963255</v>
      </c>
      <c r="FF313" s="5">
        <f t="shared" si="882"/>
        <v>12.691035744963255</v>
      </c>
      <c r="FI313" s="562">
        <f t="shared" si="836"/>
        <v>-50</v>
      </c>
      <c r="FJ313">
        <f t="shared" si="837"/>
        <v>-50</v>
      </c>
      <c r="FL313">
        <f t="shared" si="838"/>
        <v>0.65239551478083579</v>
      </c>
    </row>
    <row r="314" spans="5:168">
      <c r="E314" s="170">
        <v>98</v>
      </c>
      <c r="F314" s="217">
        <f>IF(PLOT_TYPE=1, E314/100*Iout_max, min_I*EXP(N314*rr/100))</f>
        <v>0.58799999999999997</v>
      </c>
      <c r="G314" s="217"/>
      <c r="H314" s="217">
        <f>F314*Vout</f>
        <v>99.96</v>
      </c>
      <c r="I314" s="541">
        <f t="shared" si="765"/>
        <v>14.707536541425123</v>
      </c>
      <c r="J314" s="172">
        <f t="shared" si="766"/>
        <v>8.5263847822770451</v>
      </c>
      <c r="K314" s="172">
        <f t="shared" si="767"/>
        <v>23.23392132370217</v>
      </c>
      <c r="L314" s="443"/>
      <c r="M314" s="217">
        <f t="shared" si="768"/>
        <v>0.36697911962572388</v>
      </c>
      <c r="N314" s="172">
        <f>M314*I314*(Isw_max+VIN_max/Lmag*ILIM_delay)*0.5*Efficiency</f>
        <v>182.5026926241928</v>
      </c>
      <c r="O314" s="172">
        <f t="shared" si="762"/>
        <v>99.96</v>
      </c>
      <c r="P314" s="217">
        <f>N314/Vout</f>
        <v>1.0735452507305459</v>
      </c>
      <c r="Q314" s="217">
        <f t="shared" si="771"/>
        <v>170</v>
      </c>
      <c r="R314" s="217"/>
      <c r="S314" s="172">
        <f t="shared" si="772"/>
        <v>539.88201332876417</v>
      </c>
      <c r="T314" s="172">
        <f>MIN(Vout, S314)</f>
        <v>170</v>
      </c>
      <c r="U314" s="217">
        <f t="shared" si="774"/>
        <v>37.155172489876961</v>
      </c>
      <c r="V314" s="217">
        <f>L*U314/I314*1000000</f>
        <v>1.2631337812836982</v>
      </c>
      <c r="W314" s="217">
        <f t="shared" si="776"/>
        <v>2.1788350771541385</v>
      </c>
      <c r="X314" s="197">
        <f t="shared" si="777"/>
        <v>350</v>
      </c>
      <c r="Y314" s="443">
        <f t="shared" si="840"/>
        <v>274.57675748192253</v>
      </c>
      <c r="AA314" s="217">
        <f t="shared" si="778"/>
        <v>30.842125554135077</v>
      </c>
      <c r="AB314" s="173">
        <f>L*AA314/J314*1000000</f>
        <v>1.8086285302443514</v>
      </c>
      <c r="AC314" s="173">
        <f>0.5*AB314*AA314*Nps*X314/1000</f>
        <v>0.48809204684263691</v>
      </c>
      <c r="AD314" s="173"/>
      <c r="AE314" s="173">
        <f t="shared" si="781"/>
        <v>0.78188667728484518</v>
      </c>
      <c r="AF314" s="545">
        <f>MAX(12000,F314/(0.5*AE314/1000000*Isw_min*Nps))/1000</f>
        <v>2256.081413390506</v>
      </c>
      <c r="AG314" s="528">
        <f t="shared" si="783"/>
        <v>9.1220112349898602E-2</v>
      </c>
      <c r="AI314" s="173">
        <f t="shared" si="784"/>
        <v>33.851825870077299</v>
      </c>
      <c r="AJ314" s="173">
        <f>MAX(IF(F314&gt;AC314,U314,AI314),Isw_min)</f>
        <v>37.155172489876961</v>
      </c>
      <c r="AK314" s="173">
        <f>IF(F314&gt;AG314, (AJ314-Isw_min)/1.08*0.8+1.2, AF314*0.2/350+1)</f>
        <v>18.845806782624905</v>
      </c>
      <c r="AM314" s="545">
        <f t="shared" si="787"/>
        <v>588</v>
      </c>
      <c r="AN314" s="460">
        <f t="shared" si="788"/>
        <v>274.57675748192253</v>
      </c>
      <c r="AP314">
        <f t="shared" si="789"/>
        <v>588</v>
      </c>
      <c r="AQ314">
        <f t="shared" si="790"/>
        <v>274.57675748192253</v>
      </c>
      <c r="AS314" s="5">
        <f t="shared" si="763"/>
        <v>3.6419688584378362</v>
      </c>
      <c r="AT314" s="5">
        <f t="shared" si="791"/>
        <v>1.2631337812836982</v>
      </c>
      <c r="AU314" s="5">
        <f t="shared" si="883"/>
        <v>2.3788350771541378</v>
      </c>
      <c r="AV314" s="5"/>
      <c r="AW314" s="173">
        <f t="shared" si="884"/>
        <v>0.34682717793075779</v>
      </c>
      <c r="AX314" s="173">
        <f t="shared" si="792"/>
        <v>94.763773141147624</v>
      </c>
      <c r="AY314" s="173">
        <f t="shared" si="793"/>
        <v>0.60671872174206021</v>
      </c>
      <c r="AZ314" s="173">
        <f t="shared" si="794"/>
        <v>156.19061971427905</v>
      </c>
      <c r="BA314" s="460">
        <f t="shared" si="885"/>
        <v>0.4368956843498909</v>
      </c>
      <c r="BB314" s="5">
        <f t="shared" si="886"/>
        <v>25.868463139841253</v>
      </c>
      <c r="BD314" s="173">
        <f t="shared" si="841"/>
        <v>12.633253637206231</v>
      </c>
      <c r="BE314" s="173">
        <f t="shared" si="842"/>
        <v>0.86684752137008725</v>
      </c>
      <c r="BG314" s="528">
        <f t="shared" si="843"/>
        <v>6.3839638984793785</v>
      </c>
      <c r="BH314" s="528">
        <f t="shared" si="795"/>
        <v>5.3332026519015834</v>
      </c>
      <c r="BI314" s="528">
        <f t="shared" si="796"/>
        <v>0.161533907763656</v>
      </c>
      <c r="BJ314" s="528">
        <f t="shared" si="844"/>
        <v>2.964413596372855E-2</v>
      </c>
      <c r="BK314">
        <f t="shared" si="845"/>
        <v>6.6183914436413046E-3</v>
      </c>
      <c r="BL314" s="460">
        <f t="shared" si="846"/>
        <v>168.15229920729729</v>
      </c>
      <c r="BM314" s="528">
        <f t="shared" si="797"/>
        <v>-26.063668074614654</v>
      </c>
      <c r="BN314" s="460">
        <f t="shared" si="847"/>
        <v>-26063.668074614652</v>
      </c>
      <c r="BO314" s="528">
        <f t="shared" si="798"/>
        <v>0.41159999999999997</v>
      </c>
      <c r="BR314" s="460">
        <f t="shared" si="848"/>
        <v>411.59999999999997</v>
      </c>
      <c r="BS314" s="528">
        <f t="shared" si="849"/>
        <v>4.7879729238595337</v>
      </c>
      <c r="BT314" s="528">
        <f t="shared" si="850"/>
        <v>2.2542738759163915E-2</v>
      </c>
      <c r="BU314" s="528">
        <f t="shared" si="851"/>
        <v>525.62696785208766</v>
      </c>
      <c r="BV314" s="528"/>
      <c r="BW314" s="528">
        <f t="shared" si="852"/>
        <v>9.476377314114762</v>
      </c>
      <c r="BX314" s="460">
        <f t="shared" si="853"/>
        <v>539913.8608288212</v>
      </c>
      <c r="BY314" s="173">
        <f t="shared" si="854"/>
        <v>552.24042381437312</v>
      </c>
      <c r="BZ314" s="5">
        <f t="shared" si="855"/>
        <v>99.96</v>
      </c>
      <c r="CA314" s="173">
        <f t="shared" si="856"/>
        <v>0.15326576976964712</v>
      </c>
      <c r="CB314" s="5">
        <f t="shared" si="857"/>
        <v>15.326576976964713</v>
      </c>
      <c r="CE314" s="562">
        <f t="shared" si="799"/>
        <v>-50</v>
      </c>
      <c r="CF314">
        <f t="shared" si="800"/>
        <v>-50</v>
      </c>
      <c r="CG314" s="173">
        <f t="shared" si="801"/>
        <v>0.63692322946421565</v>
      </c>
      <c r="CI314" s="170">
        <v>98</v>
      </c>
      <c r="CJ314" s="217">
        <f t="shared" si="858"/>
        <v>0.58799999999999997</v>
      </c>
      <c r="CK314" s="217"/>
      <c r="CL314" s="217">
        <f t="shared" si="802"/>
        <v>99.96</v>
      </c>
      <c r="CM314" s="541">
        <f t="shared" si="803"/>
        <v>16</v>
      </c>
      <c r="CN314" s="443">
        <f t="shared" si="804"/>
        <v>8.5250000000000004</v>
      </c>
      <c r="CO314" s="443">
        <f t="shared" si="805"/>
        <v>24.524999999999999</v>
      </c>
      <c r="CP314" s="443"/>
      <c r="CQ314" s="217">
        <f t="shared" si="806"/>
        <v>0.34760448521916415</v>
      </c>
      <c r="CR314" s="172">
        <f t="shared" si="807"/>
        <v>188.05866123003739</v>
      </c>
      <c r="CS314" s="172">
        <f t="shared" si="808"/>
        <v>99.96</v>
      </c>
      <c r="CT314" s="217">
        <f t="shared" si="809"/>
        <v>1.1062274190002199</v>
      </c>
      <c r="CU314" s="217">
        <f t="shared" si="810"/>
        <v>170</v>
      </c>
      <c r="CV314" s="217"/>
      <c r="CW314" s="172">
        <f t="shared" si="811"/>
        <v>587.30167910953924</v>
      </c>
      <c r="CX314" s="172">
        <f t="shared" si="812"/>
        <v>170</v>
      </c>
      <c r="CY314" s="217">
        <f t="shared" si="813"/>
        <v>35.946026392961869</v>
      </c>
      <c r="CZ314" s="217">
        <f t="shared" si="814"/>
        <v>1.1233133247800584</v>
      </c>
      <c r="DA314" s="217">
        <f t="shared" si="815"/>
        <v>2.1082713426957107</v>
      </c>
      <c r="DB314" s="197">
        <f t="shared" si="816"/>
        <v>350</v>
      </c>
      <c r="DC314" s="443">
        <f t="shared" si="817"/>
        <v>309.44570633240204</v>
      </c>
      <c r="DE314" s="217">
        <f t="shared" si="818"/>
        <v>31.780981505752148</v>
      </c>
      <c r="DF314" s="173">
        <f t="shared" si="819"/>
        <v>1.8639871850881022</v>
      </c>
      <c r="DG314" s="173">
        <f t="shared" si="820"/>
        <v>0.51834424474213492</v>
      </c>
      <c r="DH314" s="173"/>
      <c r="DI314" s="173">
        <f t="shared" si="821"/>
        <v>0.78201368523949166</v>
      </c>
      <c r="DJ314" s="545">
        <f t="shared" si="822"/>
        <v>2255.7150000000001</v>
      </c>
      <c r="DK314" s="528">
        <f t="shared" si="823"/>
        <v>9.1234929944607357E-2</v>
      </c>
      <c r="DM314" s="173">
        <f t="shared" si="824"/>
        <v>33.849076796864047</v>
      </c>
      <c r="DN314" s="173">
        <f t="shared" si="825"/>
        <v>35.946026392961869</v>
      </c>
      <c r="DO314" s="173">
        <f t="shared" si="826"/>
        <v>17.950143007132247</v>
      </c>
      <c r="DQ314" s="545">
        <f t="shared" si="827"/>
        <v>588</v>
      </c>
      <c r="DR314" s="460">
        <f t="shared" si="828"/>
        <v>309.44570633240204</v>
      </c>
      <c r="DT314">
        <f t="shared" si="829"/>
        <v>588</v>
      </c>
      <c r="DU314">
        <f t="shared" si="830"/>
        <v>309.44570633240204</v>
      </c>
      <c r="DW314" s="5">
        <f t="shared" si="859"/>
        <v>3.2315846674757691</v>
      </c>
      <c r="DX314" s="5">
        <f t="shared" si="831"/>
        <v>1.1233133247800584</v>
      </c>
      <c r="DY314" s="5">
        <f t="shared" si="832"/>
        <v>2.1082713426957107</v>
      </c>
      <c r="DZ314" s="5"/>
      <c r="EA314" s="173">
        <f t="shared" si="833"/>
        <v>0.34760448521916415</v>
      </c>
      <c r="EB314" s="173">
        <f t="shared" si="860"/>
        <v>99.959999999999965</v>
      </c>
      <c r="EC314" s="173">
        <f t="shared" si="861"/>
        <v>0.58627565982404672</v>
      </c>
      <c r="ED314" s="173">
        <f t="shared" si="862"/>
        <v>170.5</v>
      </c>
      <c r="EE314" s="460">
        <f t="shared" si="834"/>
        <v>0.38853425586510254</v>
      </c>
      <c r="EF314" s="5">
        <f t="shared" si="835"/>
        <v>21.074280341586324</v>
      </c>
      <c r="EH314" s="173">
        <f t="shared" si="863"/>
        <v>12.235816275454866</v>
      </c>
      <c r="EI314" s="173">
        <f t="shared" si="864"/>
        <v>0.83813842018261564</v>
      </c>
      <c r="EK314" s="528">
        <f t="shared" si="865"/>
        <v>5.9886079970674473</v>
      </c>
      <c r="EL314" s="528">
        <f t="shared" si="866"/>
        <v>7.5020000000000007</v>
      </c>
      <c r="EM314" s="528">
        <f t="shared" si="867"/>
        <v>6.1889141266480409E-2</v>
      </c>
      <c r="EN314" s="528">
        <f t="shared" si="868"/>
        <v>3.7224809923969586E-2</v>
      </c>
      <c r="EO314">
        <f t="shared" si="869"/>
        <v>7.1999999999999998E-3</v>
      </c>
      <c r="EP314" s="460">
        <f t="shared" si="870"/>
        <v>69.089141266480411</v>
      </c>
      <c r="EQ314" s="460"/>
      <c r="ER314" s="460">
        <f t="shared" si="871"/>
        <v>13596.921948257897</v>
      </c>
      <c r="ES314" s="528">
        <f t="shared" si="872"/>
        <v>0.41159999999999997</v>
      </c>
      <c r="EV314" s="460">
        <f t="shared" si="873"/>
        <v>411.59999999999997</v>
      </c>
      <c r="EW314" s="528">
        <f t="shared" si="874"/>
        <v>4.4914559978005855</v>
      </c>
      <c r="EX314" s="528">
        <f t="shared" si="875"/>
        <v>2.1074280341586323E-2</v>
      </c>
      <c r="EY314" s="528">
        <f t="shared" si="876"/>
        <v>652.46674164042167</v>
      </c>
      <c r="EZ314" s="528"/>
      <c r="FA314" s="528">
        <f t="shared" si="877"/>
        <v>9.9960000000000004</v>
      </c>
      <c r="FB314" s="460">
        <f t="shared" si="878"/>
        <v>666975.27191856387</v>
      </c>
      <c r="FC314" s="173">
        <f t="shared" si="879"/>
        <v>680.98379386682177</v>
      </c>
      <c r="FD314" s="5">
        <f t="shared" si="880"/>
        <v>99.96</v>
      </c>
      <c r="FE314" s="173">
        <f t="shared" si="881"/>
        <v>0.12799896840853398</v>
      </c>
      <c r="FF314" s="5">
        <f t="shared" si="882"/>
        <v>12.799896840853398</v>
      </c>
      <c r="FI314" s="562">
        <f t="shared" si="836"/>
        <v>-50</v>
      </c>
      <c r="FJ314">
        <f t="shared" si="837"/>
        <v>-50</v>
      </c>
      <c r="FL314">
        <f t="shared" si="838"/>
        <v>0.65239551478083579</v>
      </c>
    </row>
    <row r="315" spans="5:168">
      <c r="E315" s="170">
        <v>99</v>
      </c>
      <c r="F315" s="217">
        <f>IF(PLOT_TYPE=1, E315/100*Iout_max, min_I*EXP(N315*rr/100))</f>
        <v>0.59399999999999997</v>
      </c>
      <c r="G315" s="217"/>
      <c r="H315" s="217">
        <f>F315*Vout</f>
        <v>100.97999999999999</v>
      </c>
      <c r="I315" s="541">
        <f t="shared" si="765"/>
        <v>14.694668435898086</v>
      </c>
      <c r="J315" s="172">
        <f t="shared" si="766"/>
        <v>8.5263985695329669</v>
      </c>
      <c r="K315" s="172">
        <f t="shared" si="767"/>
        <v>23.221067005431053</v>
      </c>
      <c r="L315" s="443"/>
      <c r="M315" s="217">
        <f t="shared" si="768"/>
        <v>0.36718285985208149</v>
      </c>
      <c r="N315" s="172">
        <f>M315*I315*(Isw_max+VIN_max/Lmag*ILIM_delay)*0.5*Efficiency</f>
        <v>182.44424861185723</v>
      </c>
      <c r="O315" s="172">
        <f t="shared" si="762"/>
        <v>100.97999999999999</v>
      </c>
      <c r="P315" s="217">
        <f>N315/Vout</f>
        <v>1.0732014624226895</v>
      </c>
      <c r="Q315" s="217">
        <f t="shared" si="771"/>
        <v>170</v>
      </c>
      <c r="R315" s="217"/>
      <c r="S315" s="172">
        <f t="shared" si="772"/>
        <v>530.999741844862</v>
      </c>
      <c r="T315" s="172">
        <f>MIN(Vout, S315)</f>
        <v>170</v>
      </c>
      <c r="U315" s="217">
        <f t="shared" si="774"/>
        <v>37.54639135476986</v>
      </c>
      <c r="V315" s="217">
        <f>L*U315/I315*1000000</f>
        <v>1.2775514983055536</v>
      </c>
      <c r="W315" s="217">
        <f t="shared" si="776"/>
        <v>2.2017731782403915</v>
      </c>
      <c r="X315" s="197">
        <f t="shared" si="777"/>
        <v>350</v>
      </c>
      <c r="Y315" s="443">
        <f t="shared" si="840"/>
        <v>271.7890069268837</v>
      </c>
      <c r="AA315" s="217">
        <f t="shared" si="778"/>
        <v>30.832248738932666</v>
      </c>
      <c r="AB315" s="173">
        <f>L*AA315/J315*1000000</f>
        <v>1.8080464153472886</v>
      </c>
      <c r="AC315" s="173">
        <f>0.5*AB315*AA315*Nps*X315/1000</f>
        <v>0.48777869708332777</v>
      </c>
      <c r="AD315" s="173"/>
      <c r="AE315" s="173">
        <f t="shared" si="781"/>
        <v>0.78188541296772063</v>
      </c>
      <c r="AF315" s="545">
        <f>MAX(12000,F315/(0.5*AE315/1000000*Isw_min*Nps))/1000</f>
        <v>2279.1063376361622</v>
      </c>
      <c r="AG315" s="528">
        <f t="shared" si="783"/>
        <v>9.1219964846234083E-2</v>
      </c>
      <c r="AI315" s="173">
        <f t="shared" si="784"/>
        <v>34.024128414330853</v>
      </c>
      <c r="AJ315" s="173">
        <f>MAX(IF(F315&gt;AC315,U315,AI315),Isw_min)</f>
        <v>37.54639135476986</v>
      </c>
      <c r="AK315" s="173">
        <f>IF(F315&gt;AG315, (AJ315-Isw_min)/1.08*0.8+1.2, AF315*0.2/350+1)</f>
        <v>19.135598534397424</v>
      </c>
      <c r="AM315" s="545">
        <f t="shared" si="787"/>
        <v>594</v>
      </c>
      <c r="AN315" s="460">
        <f t="shared" si="788"/>
        <v>271.7890069268837</v>
      </c>
      <c r="AP315">
        <f t="shared" si="789"/>
        <v>594</v>
      </c>
      <c r="AQ315">
        <f t="shared" si="790"/>
        <v>271.7890069268837</v>
      </c>
      <c r="AS315" s="5">
        <f t="shared" si="763"/>
        <v>3.6793246765459449</v>
      </c>
      <c r="AT315" s="5">
        <f t="shared" si="791"/>
        <v>1.2775514983055536</v>
      </c>
      <c r="AU315" s="5">
        <f t="shared" si="883"/>
        <v>2.4017731782403913</v>
      </c>
      <c r="AV315" s="5"/>
      <c r="AW315" s="173">
        <f t="shared" si="884"/>
        <v>0.34722445302241878</v>
      </c>
      <c r="AX315" s="173">
        <f t="shared" si="792"/>
        <v>95.787381360494422</v>
      </c>
      <c r="AY315" s="173">
        <f t="shared" si="793"/>
        <v>0.61273415384110552</v>
      </c>
      <c r="AZ315" s="173">
        <f t="shared" si="794"/>
        <v>156.32779854039939</v>
      </c>
      <c r="BA315" s="460">
        <f t="shared" si="885"/>
        <v>0.44639152352558753</v>
      </c>
      <c r="BB315" s="5">
        <f t="shared" si="886"/>
        <v>26.407515797632033</v>
      </c>
      <c r="BD315" s="173">
        <f t="shared" si="841"/>
        <v>12.773582769443355</v>
      </c>
      <c r="BE315" s="173">
        <f t="shared" si="842"/>
        <v>0.87570840536013872</v>
      </c>
      <c r="BG315" s="528">
        <f t="shared" si="843"/>
        <v>6.5265766707128066</v>
      </c>
      <c r="BH315" s="528">
        <f t="shared" si="795"/>
        <v>5.3316886351258423</v>
      </c>
      <c r="BI315" s="528">
        <f t="shared" si="796"/>
        <v>0.15975397365250257</v>
      </c>
      <c r="BJ315" s="528">
        <f t="shared" si="844"/>
        <v>2.9310702385575968E-2</v>
      </c>
      <c r="BK315">
        <f t="shared" si="845"/>
        <v>6.612600796154138E-3</v>
      </c>
      <c r="BL315" s="460">
        <f t="shared" si="846"/>
        <v>166.36657444865671</v>
      </c>
      <c r="BM315" s="528">
        <f t="shared" si="797"/>
        <v>-24.785526457661337</v>
      </c>
      <c r="BN315" s="460">
        <f t="shared" si="847"/>
        <v>-24785.526457661337</v>
      </c>
      <c r="BO315" s="528">
        <f t="shared" si="798"/>
        <v>0.41579999999999995</v>
      </c>
      <c r="BR315" s="460">
        <f t="shared" si="848"/>
        <v>415.79999999999995</v>
      </c>
      <c r="BS315" s="528">
        <f t="shared" si="849"/>
        <v>4.8949325030346049</v>
      </c>
      <c r="BT315" s="528">
        <f t="shared" si="850"/>
        <v>2.3005956336551909E-2</v>
      </c>
      <c r="BU315" s="528">
        <f t="shared" si="851"/>
        <v>525.98120758721075</v>
      </c>
      <c r="BV315" s="528"/>
      <c r="BW315" s="528">
        <f t="shared" si="852"/>
        <v>9.5787381360494432</v>
      </c>
      <c r="BX315" s="460">
        <f t="shared" si="853"/>
        <v>540477.88418263127</v>
      </c>
      <c r="BY315" s="173">
        <f t="shared" si="854"/>
        <v>552.94762676530422</v>
      </c>
      <c r="BZ315" s="5">
        <f t="shared" si="855"/>
        <v>100.97999999999999</v>
      </c>
      <c r="CA315" s="173">
        <f t="shared" si="856"/>
        <v>0.15442075830241975</v>
      </c>
      <c r="CB315" s="5">
        <f t="shared" si="857"/>
        <v>15.442075830241976</v>
      </c>
      <c r="CE315" s="562">
        <f t="shared" si="799"/>
        <v>-50</v>
      </c>
      <c r="CF315">
        <f t="shared" si="800"/>
        <v>-50</v>
      </c>
      <c r="CG315" s="173">
        <f t="shared" si="801"/>
        <v>0.6370795151744848</v>
      </c>
      <c r="CI315" s="170">
        <v>99</v>
      </c>
      <c r="CJ315" s="217">
        <f t="shared" si="858"/>
        <v>0.59399999999999997</v>
      </c>
      <c r="CK315" s="217"/>
      <c r="CL315" s="217">
        <f t="shared" si="802"/>
        <v>100.97999999999999</v>
      </c>
      <c r="CM315" s="541">
        <f t="shared" si="803"/>
        <v>16</v>
      </c>
      <c r="CN315" s="443">
        <f t="shared" si="804"/>
        <v>8.5250000000000004</v>
      </c>
      <c r="CO315" s="443">
        <f t="shared" si="805"/>
        <v>24.524999999999999</v>
      </c>
      <c r="CP315" s="443"/>
      <c r="CQ315" s="217">
        <f t="shared" si="806"/>
        <v>0.34760448521916415</v>
      </c>
      <c r="CR315" s="172">
        <f t="shared" si="807"/>
        <v>188.05866123003739</v>
      </c>
      <c r="CS315" s="172">
        <f t="shared" si="808"/>
        <v>100.97999999999999</v>
      </c>
      <c r="CT315" s="217">
        <f t="shared" si="809"/>
        <v>1.1062274190002199</v>
      </c>
      <c r="CU315" s="217">
        <f t="shared" si="810"/>
        <v>170</v>
      </c>
      <c r="CV315" s="217"/>
      <c r="CW315" s="172">
        <f t="shared" si="811"/>
        <v>578.14407302616701</v>
      </c>
      <c r="CX315" s="172">
        <f t="shared" si="812"/>
        <v>170</v>
      </c>
      <c r="CY315" s="217">
        <f t="shared" si="813"/>
        <v>36.312822580645154</v>
      </c>
      <c r="CZ315" s="217">
        <f t="shared" si="814"/>
        <v>1.1347757056451611</v>
      </c>
      <c r="DA315" s="217">
        <f t="shared" si="815"/>
        <v>2.1297843155803609</v>
      </c>
      <c r="DB315" s="197">
        <f t="shared" si="816"/>
        <v>350</v>
      </c>
      <c r="DC315" s="443">
        <f t="shared" si="817"/>
        <v>306.31999212702419</v>
      </c>
      <c r="DE315" s="217">
        <f t="shared" si="818"/>
        <v>31.780981505752148</v>
      </c>
      <c r="DF315" s="173">
        <f t="shared" si="819"/>
        <v>1.8639871850881022</v>
      </c>
      <c r="DG315" s="173">
        <f t="shared" si="820"/>
        <v>0.51834424474213492</v>
      </c>
      <c r="DH315" s="173"/>
      <c r="DI315" s="173">
        <f t="shared" si="821"/>
        <v>0.78201368523949166</v>
      </c>
      <c r="DJ315" s="545">
        <f t="shared" si="822"/>
        <v>2278.7325000000001</v>
      </c>
      <c r="DK315" s="528">
        <f t="shared" si="823"/>
        <v>9.1234929944607357E-2</v>
      </c>
      <c r="DM315" s="173">
        <f t="shared" si="824"/>
        <v>34.021337842175292</v>
      </c>
      <c r="DN315" s="173">
        <f t="shared" si="825"/>
        <v>36.312822580645154</v>
      </c>
      <c r="DO315" s="173">
        <f t="shared" si="826"/>
        <v>18.221843886897641</v>
      </c>
      <c r="DQ315" s="545">
        <f t="shared" si="827"/>
        <v>594</v>
      </c>
      <c r="DR315" s="460">
        <f t="shared" si="828"/>
        <v>306.31999212702419</v>
      </c>
      <c r="DT315">
        <f t="shared" si="829"/>
        <v>594</v>
      </c>
      <c r="DU315">
        <f t="shared" si="830"/>
        <v>306.31999212702419</v>
      </c>
      <c r="DW315" s="5">
        <f t="shared" si="859"/>
        <v>3.2645600212255226</v>
      </c>
      <c r="DX315" s="5">
        <f t="shared" si="831"/>
        <v>1.1347757056451611</v>
      </c>
      <c r="DY315" s="5">
        <f t="shared" si="832"/>
        <v>2.1297843155803617</v>
      </c>
      <c r="DZ315" s="5"/>
      <c r="EA315" s="173">
        <f t="shared" si="833"/>
        <v>0.34760448521916404</v>
      </c>
      <c r="EB315" s="173">
        <f t="shared" si="860"/>
        <v>100.97999999999995</v>
      </c>
      <c r="EC315" s="173">
        <f t="shared" si="861"/>
        <v>0.59225806451612906</v>
      </c>
      <c r="ED315" s="173">
        <f t="shared" si="862"/>
        <v>170.49999999999991</v>
      </c>
      <c r="EE315" s="460">
        <f t="shared" si="834"/>
        <v>0.39650398185483865</v>
      </c>
      <c r="EF315" s="5">
        <f t="shared" si="835"/>
        <v>21.506562018730492</v>
      </c>
      <c r="EH315" s="173">
        <f t="shared" si="863"/>
        <v>12.360671543571749</v>
      </c>
      <c r="EI315" s="173">
        <f t="shared" si="864"/>
        <v>0.84669085304162195</v>
      </c>
      <c r="EK315" s="528">
        <f t="shared" si="865"/>
        <v>6.1114480403225766</v>
      </c>
      <c r="EL315" s="528">
        <f t="shared" si="866"/>
        <v>7.5019999999999989</v>
      </c>
      <c r="EM315" s="528">
        <f t="shared" si="867"/>
        <v>6.1263998425404836E-2</v>
      </c>
      <c r="EN315" s="528">
        <f t="shared" si="868"/>
        <v>3.6848801742919386E-2</v>
      </c>
      <c r="EO315">
        <f t="shared" si="869"/>
        <v>7.1999999999999998E-3</v>
      </c>
      <c r="EP315" s="460">
        <f t="shared" si="870"/>
        <v>68.463998425404839</v>
      </c>
      <c r="EQ315" s="460"/>
      <c r="ER315" s="460">
        <f t="shared" si="871"/>
        <v>13718.760840490899</v>
      </c>
      <c r="ES315" s="528">
        <f t="shared" si="872"/>
        <v>0.41579999999999995</v>
      </c>
      <c r="EV315" s="460">
        <f t="shared" si="873"/>
        <v>415.79999999999995</v>
      </c>
      <c r="EW315" s="528">
        <f t="shared" si="874"/>
        <v>4.583586030241932</v>
      </c>
      <c r="EX315" s="528">
        <f t="shared" si="875"/>
        <v>2.1506562018730482E-2</v>
      </c>
      <c r="EY315" s="528">
        <f t="shared" si="876"/>
        <v>652.46674164042042</v>
      </c>
      <c r="EZ315" s="528"/>
      <c r="FA315" s="528">
        <f t="shared" si="877"/>
        <v>10.097999999999995</v>
      </c>
      <c r="FB315" s="460">
        <f t="shared" si="878"/>
        <v>667169.83423268108</v>
      </c>
      <c r="FC315" s="173">
        <f t="shared" si="879"/>
        <v>681.30439507317192</v>
      </c>
      <c r="FD315" s="5">
        <f t="shared" si="880"/>
        <v>100.97999999999999</v>
      </c>
      <c r="FE315" s="173">
        <f t="shared" si="881"/>
        <v>0.1290834901424241</v>
      </c>
      <c r="FF315" s="5">
        <f t="shared" si="882"/>
        <v>12.908349014242409</v>
      </c>
      <c r="FI315" s="562">
        <f t="shared" si="836"/>
        <v>-50</v>
      </c>
      <c r="FJ315">
        <f t="shared" si="837"/>
        <v>-50</v>
      </c>
      <c r="FL315">
        <f t="shared" si="838"/>
        <v>0.65239551478083602</v>
      </c>
    </row>
    <row r="316" spans="5:168">
      <c r="E316" s="170">
        <v>100</v>
      </c>
      <c r="F316" s="217">
        <f>IF(PLOT_TYPE=1, E316/100*Iout_max, min_I*EXP(N316*rr/100))</f>
        <v>0.6</v>
      </c>
      <c r="G316" s="217"/>
      <c r="H316" s="217">
        <f>F316*Vout</f>
        <v>102</v>
      </c>
      <c r="I316" s="541">
        <f t="shared" si="765"/>
        <v>14.681800176403096</v>
      </c>
      <c r="J316" s="172">
        <f t="shared" si="766"/>
        <v>8.5264123569538537</v>
      </c>
      <c r="K316" s="172">
        <f t="shared" si="767"/>
        <v>23.208212533356949</v>
      </c>
      <c r="L316" s="443"/>
      <c r="M316" s="217">
        <f t="shared" si="768"/>
        <v>0.36738682820688229</v>
      </c>
      <c r="N316" s="172">
        <f>M316*I316*(Isw_max+VIN_max/Lmag*ILIM_delay)*0.5*Efficiency</f>
        <v>182.38573863880373</v>
      </c>
      <c r="O316" s="172">
        <f t="shared" si="762"/>
        <v>102</v>
      </c>
      <c r="P316" s="217">
        <f>N316/Vout</f>
        <v>1.0728572861106103</v>
      </c>
      <c r="Q316" s="217">
        <f t="shared" si="771"/>
        <v>170</v>
      </c>
      <c r="R316" s="217"/>
      <c r="S316" s="172">
        <f t="shared" si="772"/>
        <v>522.30039176596813</v>
      </c>
      <c r="T316" s="172">
        <f>MIN(Vout, S316)</f>
        <v>170</v>
      </c>
      <c r="U316" s="217">
        <f t="shared" si="774"/>
        <v>37.93787589337245</v>
      </c>
      <c r="V316" s="217">
        <f>L*U316/I316*1000000</f>
        <v>1.2920035498898497</v>
      </c>
      <c r="W316" s="217">
        <f t="shared" si="776"/>
        <v>2.2247267845562031</v>
      </c>
      <c r="X316" s="197">
        <f t="shared" si="777"/>
        <v>350</v>
      </c>
      <c r="Y316" s="443">
        <f t="shared" si="840"/>
        <v>269.05368698185134</v>
      </c>
      <c r="AA316" s="217">
        <f t="shared" si="778"/>
        <v>30.822360777058339</v>
      </c>
      <c r="AB316" s="173">
        <f>L*AA316/J316*1000000</f>
        <v>1.8074636486423661</v>
      </c>
      <c r="AC316" s="173">
        <f>0.5*AB316*AA316*Nps*X316/1000</f>
        <v>0.4874650958613907</v>
      </c>
      <c r="AD316" s="173"/>
      <c r="AE316" s="173">
        <f t="shared" si="781"/>
        <v>0.78188414863955746</v>
      </c>
      <c r="AF316" s="545">
        <f>MAX(12000,F316/(0.5*AE316/1000000*Isw_min*Nps))/1000</f>
        <v>2302.1313363775403</v>
      </c>
      <c r="AG316" s="528">
        <f t="shared" si="783"/>
        <v>9.121981734128172E-2</v>
      </c>
      <c r="AI316" s="173">
        <f t="shared" si="784"/>
        <v>34.195563335187423</v>
      </c>
      <c r="AJ316" s="173">
        <f>MAX(IF(F316&gt;AC316,U316,AI316),Isw_min)</f>
        <v>37.93787589337245</v>
      </c>
      <c r="AK316" s="173">
        <f>IF(F316&gt;AG316, (AJ316-Isw_min)/1.08*0.8+1.2, AF316*0.2/350+1)</f>
        <v>19.425587081510454</v>
      </c>
      <c r="AM316" s="545">
        <f t="shared" si="787"/>
        <v>600</v>
      </c>
      <c r="AN316" s="460">
        <f t="shared" si="788"/>
        <v>269.05368698185134</v>
      </c>
      <c r="AP316">
        <f t="shared" si="789"/>
        <v>600</v>
      </c>
      <c r="AQ316">
        <f t="shared" si="790"/>
        <v>269.05368698185134</v>
      </c>
      <c r="AS316" s="5">
        <f t="shared" si="763"/>
        <v>3.7167303344460532</v>
      </c>
      <c r="AT316" s="5">
        <f t="shared" si="791"/>
        <v>1.2920035498898497</v>
      </c>
      <c r="AU316" s="5">
        <f t="shared" si="883"/>
        <v>2.4247267845562037</v>
      </c>
      <c r="AV316" s="5"/>
      <c r="AW316" s="173">
        <f>AT316/AS316</f>
        <v>0.34761831869150434</v>
      </c>
      <c r="AX316" s="173">
        <f t="shared" si="792"/>
        <v>96.811060918375929</v>
      </c>
      <c r="AY316" s="173">
        <f t="shared" si="793"/>
        <v>0.6187493815147842</v>
      </c>
      <c r="AZ316" s="173">
        <f t="shared" si="794"/>
        <v>156.46247707168456</v>
      </c>
      <c r="BA316" s="460">
        <f t="shared" si="885"/>
        <v>0.45600125290229987</v>
      </c>
      <c r="BB316" s="5">
        <f t="shared" si="886"/>
        <v>26.952785522552933</v>
      </c>
      <c r="BD316" s="173">
        <f t="shared" si="841"/>
        <v>12.914087108019894</v>
      </c>
      <c r="BE316" s="173">
        <f t="shared" si="842"/>
        <v>0.88457216108521164</v>
      </c>
      <c r="BG316" s="528">
        <f t="shared" si="843"/>
        <v>6.6709458333410252</v>
      </c>
      <c r="BH316" s="528">
        <f t="shared" si="795"/>
        <v>5.3301099811688397</v>
      </c>
      <c r="BI316" s="528">
        <f t="shared" si="796"/>
        <v>0.15800769875968196</v>
      </c>
      <c r="BJ316" s="528">
        <f t="shared" si="844"/>
        <v>2.8983600128403911E-2</v>
      </c>
      <c r="BK316">
        <f t="shared" si="845"/>
        <v>6.6068100793813932E-3</v>
      </c>
      <c r="BL316" s="460">
        <f t="shared" si="846"/>
        <v>164.61450883906335</v>
      </c>
      <c r="BM316" s="528">
        <f t="shared" si="797"/>
        <v>-23.642391884411822</v>
      </c>
      <c r="BN316" s="460">
        <f t="shared" si="847"/>
        <v>-23642.391884411823</v>
      </c>
      <c r="BO316" s="528">
        <f t="shared" si="798"/>
        <v>0.42</v>
      </c>
      <c r="BR316" s="460">
        <f t="shared" si="848"/>
        <v>420</v>
      </c>
      <c r="BS316" s="528">
        <f t="shared" si="849"/>
        <v>5.0032093750057687</v>
      </c>
      <c r="BT316" s="528">
        <f t="shared" si="850"/>
        <v>2.347403724500885E-2</v>
      </c>
      <c r="BU316" s="528">
        <f t="shared" si="851"/>
        <v>526.32003529781036</v>
      </c>
      <c r="BV316" s="528"/>
      <c r="BW316" s="528">
        <f t="shared" si="852"/>
        <v>9.6811060918375951</v>
      </c>
      <c r="BX316" s="460">
        <f t="shared" si="853"/>
        <v>541027.82480189879</v>
      </c>
      <c r="BY316" s="173">
        <f t="shared" si="854"/>
        <v>553.64247872537612</v>
      </c>
      <c r="BZ316" s="5">
        <f t="shared" si="855"/>
        <v>102</v>
      </c>
      <c r="CA316" s="173">
        <f t="shared" si="856"/>
        <v>0.15557259224310258</v>
      </c>
      <c r="CB316" s="5">
        <f t="shared" si="857"/>
        <v>15.557259224310258</v>
      </c>
      <c r="CE316" s="562">
        <f t="shared" si="799"/>
        <v>-50</v>
      </c>
      <c r="CF316">
        <f t="shared" si="800"/>
        <v>-50</v>
      </c>
      <c r="CG316" s="173">
        <f t="shared" si="801"/>
        <v>0.63723267517054816</v>
      </c>
      <c r="CI316" s="170">
        <v>100</v>
      </c>
      <c r="CJ316" s="217">
        <f t="shared" si="858"/>
        <v>0.6</v>
      </c>
      <c r="CK316" s="217"/>
      <c r="CL316" s="217">
        <f t="shared" si="802"/>
        <v>102</v>
      </c>
      <c r="CM316" s="541">
        <f t="shared" si="803"/>
        <v>16</v>
      </c>
      <c r="CN316" s="443">
        <f t="shared" si="804"/>
        <v>8.5250000000000004</v>
      </c>
      <c r="CO316" s="443">
        <f t="shared" si="805"/>
        <v>24.524999999999999</v>
      </c>
      <c r="CP316" s="443"/>
      <c r="CQ316" s="217">
        <f t="shared" si="806"/>
        <v>0.34760448521916415</v>
      </c>
      <c r="CR316" s="172">
        <f t="shared" si="807"/>
        <v>188.05866123003739</v>
      </c>
      <c r="CS316" s="172">
        <f t="shared" si="808"/>
        <v>102</v>
      </c>
      <c r="CT316" s="217">
        <f t="shared" si="809"/>
        <v>1.1062274190002199</v>
      </c>
      <c r="CU316" s="217">
        <f t="shared" si="810"/>
        <v>170</v>
      </c>
      <c r="CV316" s="217"/>
      <c r="CW316" s="172">
        <f t="shared" si="811"/>
        <v>569.16975337055294</v>
      </c>
      <c r="CX316" s="172">
        <f t="shared" si="812"/>
        <v>170</v>
      </c>
      <c r="CY316" s="217">
        <f t="shared" si="813"/>
        <v>36.679618768328446</v>
      </c>
      <c r="CZ316" s="217">
        <f t="shared" si="814"/>
        <v>1.1462380865102639</v>
      </c>
      <c r="DA316" s="217">
        <f t="shared" si="815"/>
        <v>2.1512972884650114</v>
      </c>
      <c r="DB316" s="197">
        <f t="shared" si="816"/>
        <v>350</v>
      </c>
      <c r="DC316" s="443">
        <f t="shared" si="817"/>
        <v>303.25679220575392</v>
      </c>
      <c r="DE316" s="217">
        <f t="shared" si="818"/>
        <v>31.780981505752148</v>
      </c>
      <c r="DF316" s="173">
        <f t="shared" si="819"/>
        <v>1.8639871850881022</v>
      </c>
      <c r="DG316" s="173">
        <f t="shared" si="820"/>
        <v>0.51834424474213492</v>
      </c>
      <c r="DH316" s="173"/>
      <c r="DI316" s="173">
        <f t="shared" si="821"/>
        <v>0.78201368523949166</v>
      </c>
      <c r="DJ316" s="545">
        <f t="shared" si="822"/>
        <v>2301.75</v>
      </c>
      <c r="DK316" s="528">
        <f t="shared" si="823"/>
        <v>9.1234929944607357E-2</v>
      </c>
      <c r="DM316" s="173">
        <f t="shared" si="824"/>
        <v>34.192731057095415</v>
      </c>
      <c r="DN316" s="173">
        <f t="shared" si="825"/>
        <v>36.679618768328446</v>
      </c>
      <c r="DO316" s="173">
        <f t="shared" si="826"/>
        <v>18.493544766663042</v>
      </c>
      <c r="DQ316" s="545">
        <f t="shared" si="827"/>
        <v>600</v>
      </c>
      <c r="DR316" s="460">
        <f t="shared" si="828"/>
        <v>303.25679220575392</v>
      </c>
      <c r="DT316">
        <f t="shared" si="829"/>
        <v>600</v>
      </c>
      <c r="DU316">
        <f t="shared" si="830"/>
        <v>303.25679220575392</v>
      </c>
      <c r="DW316" s="5">
        <f t="shared" si="859"/>
        <v>3.2975353749752756</v>
      </c>
      <c r="DX316" s="5">
        <f t="shared" si="831"/>
        <v>1.1462380865102639</v>
      </c>
      <c r="DY316" s="5">
        <f t="shared" si="832"/>
        <v>2.1512972884650114</v>
      </c>
      <c r="DZ316" s="5"/>
      <c r="EA316" s="173">
        <f t="shared" si="833"/>
        <v>0.34760448521916409</v>
      </c>
      <c r="EB316" s="173">
        <f t="shared" si="860"/>
        <v>101.99999999999999</v>
      </c>
      <c r="EC316" s="173">
        <f t="shared" si="861"/>
        <v>0.59824046920821117</v>
      </c>
      <c r="ED316" s="173">
        <f t="shared" si="862"/>
        <v>170.49999999999997</v>
      </c>
      <c r="EE316" s="460">
        <f t="shared" si="834"/>
        <v>0.40455461876832849</v>
      </c>
      <c r="EF316" s="5">
        <f t="shared" si="835"/>
        <v>21.943232342343116</v>
      </c>
      <c r="EH316" s="173">
        <f t="shared" si="863"/>
        <v>12.485526811688638</v>
      </c>
      <c r="EI316" s="173">
        <f t="shared" si="864"/>
        <v>0.85524328590062837</v>
      </c>
      <c r="EK316" s="528">
        <f t="shared" si="865"/>
        <v>6.2355351906158347</v>
      </c>
      <c r="EL316" s="528">
        <f t="shared" si="866"/>
        <v>7.5019999999999989</v>
      </c>
      <c r="EM316" s="528">
        <f t="shared" si="867"/>
        <v>6.0651358441150785E-2</v>
      </c>
      <c r="EN316" s="528">
        <f t="shared" si="868"/>
        <v>3.6480313725490189E-2</v>
      </c>
      <c r="EO316">
        <f t="shared" si="869"/>
        <v>7.1999999999999998E-3</v>
      </c>
      <c r="EP316" s="460">
        <f t="shared" si="870"/>
        <v>67.851358441150779</v>
      </c>
      <c r="EQ316" s="460"/>
      <c r="ER316" s="460">
        <f t="shared" si="871"/>
        <v>13841.866862782474</v>
      </c>
      <c r="ES316" s="528">
        <f t="shared" si="872"/>
        <v>0.42</v>
      </c>
      <c r="EV316" s="460">
        <f t="shared" si="873"/>
        <v>420</v>
      </c>
      <c r="EW316" s="528">
        <f t="shared" si="874"/>
        <v>4.6766513929618752</v>
      </c>
      <c r="EX316" s="528">
        <f t="shared" si="875"/>
        <v>2.1943232342343119E-2</v>
      </c>
      <c r="EY316" s="528">
        <f t="shared" si="876"/>
        <v>652.46674164042042</v>
      </c>
      <c r="EZ316" s="528"/>
      <c r="FA316" s="528">
        <f t="shared" si="877"/>
        <v>10.200000000000001</v>
      </c>
      <c r="FB316" s="460">
        <f t="shared" si="878"/>
        <v>667365.33626572462</v>
      </c>
      <c r="FC316" s="173">
        <f t="shared" si="879"/>
        <v>681.62720312850718</v>
      </c>
      <c r="FD316" s="5">
        <f t="shared" si="880"/>
        <v>102</v>
      </c>
      <c r="FE316" s="173">
        <f t="shared" si="881"/>
        <v>0.13016393457600911</v>
      </c>
      <c r="FF316" s="5">
        <f t="shared" si="882"/>
        <v>13.016393457600911</v>
      </c>
      <c r="FI316" s="562">
        <f t="shared" si="836"/>
        <v>-50</v>
      </c>
      <c r="FJ316">
        <f t="shared" si="837"/>
        <v>-50</v>
      </c>
      <c r="FL316">
        <f t="shared" si="838"/>
        <v>0.65239551478083591</v>
      </c>
    </row>
    <row r="317" spans="5:168">
      <c r="E317" s="170"/>
      <c r="F317" s="217"/>
      <c r="G317" s="217"/>
      <c r="CE317" s="562"/>
      <c r="CI317" s="170"/>
      <c r="CJ317" s="217"/>
      <c r="CK317" s="217"/>
      <c r="FI317" s="562"/>
    </row>
    <row r="318" spans="5:168" ht="45" customHeight="1" thickBot="1">
      <c r="E318" s="241" t="s">
        <v>25</v>
      </c>
      <c r="F318" s="444" t="s">
        <v>194</v>
      </c>
      <c r="G318" s="260"/>
      <c r="H318" s="527" t="s">
        <v>223</v>
      </c>
      <c r="I318" s="242" t="s">
        <v>412</v>
      </c>
      <c r="J318" s="243" t="s">
        <v>418</v>
      </c>
      <c r="K318" s="527" t="s">
        <v>413</v>
      </c>
      <c r="L318" s="527"/>
      <c r="M318" s="244" t="s">
        <v>48</v>
      </c>
      <c r="N318" s="527" t="s">
        <v>402</v>
      </c>
      <c r="O318" s="527" t="s">
        <v>656</v>
      </c>
      <c r="P318" s="527" t="s">
        <v>403</v>
      </c>
      <c r="Q318" s="527" t="s">
        <v>433</v>
      </c>
      <c r="R318" s="527" t="s">
        <v>654</v>
      </c>
      <c r="S318" s="527" t="s">
        <v>657</v>
      </c>
      <c r="T318" s="527" t="s">
        <v>655</v>
      </c>
      <c r="U318" s="527" t="s">
        <v>414</v>
      </c>
      <c r="V318" s="527" t="s">
        <v>466</v>
      </c>
      <c r="W318" s="527" t="s">
        <v>465</v>
      </c>
      <c r="X318" s="546" t="s">
        <v>420</v>
      </c>
      <c r="Y318" s="542" t="s">
        <v>425</v>
      </c>
      <c r="AA318" s="245" t="s">
        <v>417</v>
      </c>
      <c r="AB318" s="245" t="s">
        <v>464</v>
      </c>
      <c r="AC318" s="245" t="s">
        <v>423</v>
      </c>
      <c r="AD318" s="544"/>
      <c r="AE318" s="245" t="s">
        <v>463</v>
      </c>
      <c r="AF318" s="245" t="s">
        <v>681</v>
      </c>
      <c r="AG318" s="245" t="s">
        <v>427</v>
      </c>
      <c r="AH318" s="544"/>
      <c r="AI318" s="245" t="s">
        <v>429</v>
      </c>
      <c r="AJ318" s="547" t="s">
        <v>430</v>
      </c>
      <c r="AK318" s="547" t="s">
        <v>431</v>
      </c>
      <c r="AM318" s="543" t="s">
        <v>275</v>
      </c>
      <c r="AN318" s="543" t="s">
        <v>432</v>
      </c>
      <c r="AP318" s="245" t="s">
        <v>275</v>
      </c>
      <c r="AQ318" s="245" t="s">
        <v>432</v>
      </c>
      <c r="AR318" s="548"/>
      <c r="AS318" s="245" t="s">
        <v>467</v>
      </c>
      <c r="AT318" s="245" t="s">
        <v>461</v>
      </c>
      <c r="AU318" s="245" t="s">
        <v>462</v>
      </c>
      <c r="AV318" s="245" t="s">
        <v>653</v>
      </c>
      <c r="AW318" s="245" t="s">
        <v>48</v>
      </c>
      <c r="AX318" s="548" t="s">
        <v>651</v>
      </c>
      <c r="AY318" s="544" t="s">
        <v>650</v>
      </c>
      <c r="AZ318" s="544" t="s">
        <v>652</v>
      </c>
      <c r="BA318" s="245" t="s">
        <v>481</v>
      </c>
      <c r="BB318" s="245" t="s">
        <v>514</v>
      </c>
      <c r="BC318" s="544"/>
      <c r="BD318" s="557" t="s">
        <v>456</v>
      </c>
      <c r="BE318" s="245" t="s">
        <v>457</v>
      </c>
      <c r="BF318" s="544"/>
      <c r="BG318" s="557" t="s">
        <v>474</v>
      </c>
      <c r="BH318" s="245" t="s">
        <v>475</v>
      </c>
      <c r="BI318" s="245" t="s">
        <v>473</v>
      </c>
      <c r="BJ318" s="245" t="s">
        <v>469</v>
      </c>
      <c r="BK318" s="245" t="s">
        <v>478</v>
      </c>
      <c r="BL318" s="245" t="s">
        <v>777</v>
      </c>
      <c r="BM318" s="245" t="s">
        <v>776</v>
      </c>
      <c r="BN318" s="245" t="s">
        <v>491</v>
      </c>
      <c r="BO318" s="557" t="s">
        <v>476</v>
      </c>
      <c r="BP318" s="245" t="s">
        <v>477</v>
      </c>
      <c r="BQ318" s="245" t="s">
        <v>483</v>
      </c>
      <c r="BR318" s="245" t="s">
        <v>487</v>
      </c>
      <c r="BS318" s="557" t="s">
        <v>458</v>
      </c>
      <c r="BT318" s="245" t="s">
        <v>459</v>
      </c>
      <c r="BU318" s="245" t="s">
        <v>468</v>
      </c>
      <c r="BV318" s="245" t="s">
        <v>666</v>
      </c>
      <c r="BW318" s="245" t="s">
        <v>484</v>
      </c>
      <c r="BX318" s="245" t="s">
        <v>667</v>
      </c>
      <c r="BY318" s="557" t="s">
        <v>482</v>
      </c>
      <c r="BZ318" s="245" t="s">
        <v>223</v>
      </c>
      <c r="CA318" s="245" t="s">
        <v>47</v>
      </c>
      <c r="CB318" s="245" t="s">
        <v>485</v>
      </c>
      <c r="CC318" s="245"/>
      <c r="CE318" s="569" t="s">
        <v>664</v>
      </c>
      <c r="CF318" s="569" t="s">
        <v>665</v>
      </c>
      <c r="CG318" s="781" t="s">
        <v>828</v>
      </c>
      <c r="CI318" s="241" t="s">
        <v>25</v>
      </c>
      <c r="CJ318" s="444" t="s">
        <v>194</v>
      </c>
      <c r="CK318" s="260"/>
      <c r="CL318" s="527" t="s">
        <v>223</v>
      </c>
      <c r="CM318" s="242" t="s">
        <v>412</v>
      </c>
      <c r="CN318" s="243" t="s">
        <v>418</v>
      </c>
      <c r="CO318" s="527" t="s">
        <v>413</v>
      </c>
      <c r="CP318" s="527"/>
      <c r="CQ318" s="244" t="s">
        <v>48</v>
      </c>
      <c r="CR318" s="527" t="s">
        <v>402</v>
      </c>
      <c r="CS318" s="527" t="s">
        <v>656</v>
      </c>
      <c r="CT318" s="527" t="s">
        <v>403</v>
      </c>
      <c r="CU318" s="527" t="s">
        <v>433</v>
      </c>
      <c r="CV318" s="527" t="s">
        <v>654</v>
      </c>
      <c r="CW318" s="527" t="s">
        <v>657</v>
      </c>
      <c r="CX318" s="527" t="s">
        <v>655</v>
      </c>
      <c r="CY318" s="527" t="s">
        <v>414</v>
      </c>
      <c r="CZ318" s="527" t="s">
        <v>466</v>
      </c>
      <c r="DA318" s="527" t="s">
        <v>465</v>
      </c>
      <c r="DB318" s="546" t="s">
        <v>420</v>
      </c>
      <c r="DC318" s="542" t="s">
        <v>425</v>
      </c>
      <c r="DE318" s="245" t="s">
        <v>417</v>
      </c>
      <c r="DF318" s="245" t="s">
        <v>464</v>
      </c>
      <c r="DG318" s="245" t="s">
        <v>423</v>
      </c>
      <c r="DH318" s="544"/>
      <c r="DI318" s="245" t="s">
        <v>463</v>
      </c>
      <c r="DJ318" s="245" t="s">
        <v>681</v>
      </c>
      <c r="DK318" s="245" t="s">
        <v>427</v>
      </c>
      <c r="DL318" s="544"/>
      <c r="DM318" s="245" t="s">
        <v>429</v>
      </c>
      <c r="DN318" s="547" t="s">
        <v>430</v>
      </c>
      <c r="DO318" s="547" t="s">
        <v>431</v>
      </c>
      <c r="DQ318" s="543" t="s">
        <v>275</v>
      </c>
      <c r="DR318" s="543" t="s">
        <v>432</v>
      </c>
      <c r="DT318" s="245" t="s">
        <v>275</v>
      </c>
      <c r="DU318" s="245" t="s">
        <v>432</v>
      </c>
      <c r="DV318" s="548"/>
      <c r="DW318" s="245" t="s">
        <v>467</v>
      </c>
      <c r="DX318" s="245" t="s">
        <v>461</v>
      </c>
      <c r="DY318" s="245" t="s">
        <v>462</v>
      </c>
      <c r="DZ318" s="245" t="s">
        <v>653</v>
      </c>
      <c r="EA318" s="245" t="s">
        <v>48</v>
      </c>
      <c r="EB318" s="548" t="s">
        <v>651</v>
      </c>
      <c r="EC318" s="544" t="s">
        <v>650</v>
      </c>
      <c r="ED318" s="544" t="s">
        <v>652</v>
      </c>
      <c r="EE318" s="245" t="s">
        <v>481</v>
      </c>
      <c r="EF318" s="245" t="s">
        <v>514</v>
      </c>
      <c r="EG318" s="544"/>
      <c r="EH318" s="557" t="s">
        <v>456</v>
      </c>
      <c r="EI318" s="245" t="s">
        <v>457</v>
      </c>
      <c r="EJ318" s="544"/>
      <c r="EK318" s="557" t="s">
        <v>474</v>
      </c>
      <c r="EL318" s="245" t="s">
        <v>475</v>
      </c>
      <c r="EM318" s="245" t="s">
        <v>473</v>
      </c>
      <c r="EN318" s="245" t="s">
        <v>469</v>
      </c>
      <c r="EO318" s="245" t="s">
        <v>478</v>
      </c>
      <c r="EP318" s="245" t="s">
        <v>777</v>
      </c>
      <c r="EQ318" s="245" t="s">
        <v>776</v>
      </c>
      <c r="ER318" s="245" t="s">
        <v>491</v>
      </c>
      <c r="ES318" s="557" t="s">
        <v>476</v>
      </c>
      <c r="ET318" s="245" t="s">
        <v>477</v>
      </c>
      <c r="EU318" s="245" t="s">
        <v>483</v>
      </c>
      <c r="EV318" s="245" t="s">
        <v>487</v>
      </c>
      <c r="EW318" s="557" t="s">
        <v>458</v>
      </c>
      <c r="EX318" s="245" t="s">
        <v>459</v>
      </c>
      <c r="EY318" s="245" t="s">
        <v>468</v>
      </c>
      <c r="EZ318" s="245" t="s">
        <v>666</v>
      </c>
      <c r="FA318" s="245" t="s">
        <v>484</v>
      </c>
      <c r="FB318" s="245" t="s">
        <v>667</v>
      </c>
      <c r="FC318" s="557" t="s">
        <v>482</v>
      </c>
      <c r="FD318" s="245" t="s">
        <v>223</v>
      </c>
      <c r="FE318" s="245" t="s">
        <v>47</v>
      </c>
      <c r="FF318" s="245" t="s">
        <v>485</v>
      </c>
      <c r="FG318" s="245"/>
      <c r="FI318" s="569" t="s">
        <v>664</v>
      </c>
      <c r="FJ318" s="569" t="s">
        <v>665</v>
      </c>
      <c r="FL318" t="s">
        <v>825</v>
      </c>
    </row>
    <row r="319" spans="5:168">
      <c r="CE319" s="562"/>
      <c r="FI319" s="562"/>
    </row>
    <row r="320" spans="5:168">
      <c r="E320" s="76" t="s">
        <v>904</v>
      </c>
      <c r="CE320" s="562"/>
      <c r="FI320" s="562"/>
    </row>
    <row r="321" spans="5:165">
      <c r="F321" s="76" t="s">
        <v>905</v>
      </c>
      <c r="G321" s="76" t="s">
        <v>906</v>
      </c>
      <c r="N321">
        <f>Efficiency</f>
        <v>1</v>
      </c>
      <c r="CE321" s="562"/>
      <c r="FI321" s="562"/>
    </row>
    <row r="322" spans="5:165">
      <c r="F322">
        <f>'Design Converter'!E73</f>
        <v>0.1</v>
      </c>
      <c r="G322" s="884">
        <f>F322*Vout</f>
        <v>17</v>
      </c>
    </row>
    <row r="323" spans="5:165">
      <c r="E323" t="s">
        <v>907</v>
      </c>
    </row>
    <row r="324" spans="5:165">
      <c r="F324" t="s">
        <v>908</v>
      </c>
      <c r="G324" t="s">
        <v>909</v>
      </c>
      <c r="H324" t="s">
        <v>910</v>
      </c>
      <c r="I324" s="76" t="s">
        <v>660</v>
      </c>
    </row>
    <row r="325" spans="5:165">
      <c r="F325" s="885">
        <v>1.9999999999999999E-7</v>
      </c>
      <c r="G325">
        <f>VIN_max</f>
        <v>16</v>
      </c>
      <c r="H325">
        <f>15000</f>
        <v>15000</v>
      </c>
      <c r="I325">
        <f>L*0.9</f>
        <v>4.4999999999999998E-7</v>
      </c>
    </row>
    <row r="326" spans="5:165">
      <c r="G326" s="76" t="s">
        <v>911</v>
      </c>
    </row>
    <row r="327" spans="5:165">
      <c r="G327" s="884">
        <f>0.5*(G325/I325*F325)^2*H325*I325</f>
        <v>0.17066666666666666</v>
      </c>
    </row>
    <row r="328" spans="5:165">
      <c r="E328" s="76" t="s">
        <v>912</v>
      </c>
    </row>
    <row r="329" spans="5:165">
      <c r="G329" t="str">
        <f>IF(G327&gt;G322, "Yes", "No")</f>
        <v>No</v>
      </c>
      <c r="H329">
        <f>(Vout*1.05)^2/(G327-G322)</f>
        <v>-1893.2568135002375</v>
      </c>
    </row>
  </sheetData>
  <sheetProtection selectLockedCells="1" selectUnlockedCells="1"/>
  <mergeCells count="2">
    <mergeCell ref="M3:AA3"/>
    <mergeCell ref="CQ3:DE3"/>
  </mergeCells>
  <phoneticPr fontId="83"/>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7030A0"/>
  </sheetPr>
  <dimension ref="A1:FM329"/>
  <sheetViews>
    <sheetView topLeftCell="A67" zoomScale="70" zoomScaleNormal="70" workbookViewId="0">
      <selection activeCell="BG107" sqref="BG107"/>
    </sheetView>
  </sheetViews>
  <sheetFormatPr defaultRowHeight="12.5"/>
  <cols>
    <col min="1" max="1" width="2.81640625" customWidth="1"/>
    <col min="2" max="2" width="3.54296875" customWidth="1"/>
    <col min="3" max="3" width="2.81640625" customWidth="1"/>
    <col min="4" max="4" width="3.7265625" customWidth="1"/>
    <col min="5" max="5" width="6.1796875" customWidth="1"/>
    <col min="6" max="7" width="7.7265625" customWidth="1"/>
    <col min="8" max="9" width="7.81640625" customWidth="1"/>
    <col min="10" max="10" width="6.26953125" customWidth="1"/>
    <col min="11" max="11" width="9.54296875" customWidth="1"/>
    <col min="12" max="12" width="9.26953125" customWidth="1"/>
    <col min="13" max="13" width="7.81640625" customWidth="1"/>
    <col min="14" max="14" width="8.453125" customWidth="1"/>
    <col min="15" max="16" width="9.54296875" customWidth="1"/>
    <col min="17" max="18" width="8.81640625" customWidth="1"/>
    <col min="19" max="19" width="8.54296875" customWidth="1"/>
    <col min="20" max="20" width="7.54296875" customWidth="1"/>
    <col min="21" max="21" width="9" customWidth="1"/>
    <col min="22" max="22" width="8.81640625" customWidth="1"/>
    <col min="23" max="23" width="10" customWidth="1"/>
    <col min="24" max="24" width="9.54296875" customWidth="1"/>
    <col min="25" max="25" width="1.81640625" customWidth="1"/>
    <col min="26" max="26" width="9.81640625" customWidth="1"/>
    <col min="27" max="27" width="10.453125" customWidth="1"/>
    <col min="28" max="28" width="10.1796875" customWidth="1"/>
    <col min="29" max="29" width="2" customWidth="1"/>
    <col min="30" max="30" width="9.1796875" customWidth="1"/>
    <col min="31" max="31" width="9.453125" customWidth="1"/>
    <col min="32" max="32" width="10.453125" customWidth="1"/>
    <col min="33" max="33" width="2.1796875" customWidth="1"/>
    <col min="35" max="35" width="8" customWidth="1"/>
    <col min="37" max="37" width="2.26953125" customWidth="1"/>
    <col min="38" max="38" width="6.54296875" customWidth="1"/>
    <col min="39" max="39" width="7.54296875" customWidth="1"/>
    <col min="40" max="40" width="2" customWidth="1"/>
    <col min="41" max="41" width="6.453125" customWidth="1"/>
    <col min="42" max="42" width="7.54296875" customWidth="1"/>
    <col min="43" max="43" width="2.1796875" customWidth="1"/>
    <col min="44" max="46" width="7" customWidth="1"/>
    <col min="47" max="47" width="8.453125" customWidth="1"/>
    <col min="48" max="48" width="2.1796875" customWidth="1"/>
    <col min="49" max="50" width="9.453125" customWidth="1"/>
    <col min="51" max="51" width="9.81640625" customWidth="1"/>
    <col min="52" max="52" width="2" customWidth="1"/>
    <col min="56" max="56" width="2.1796875" customWidth="1"/>
    <col min="57" max="57" width="9" customWidth="1"/>
    <col min="58" max="59" width="8.1796875" customWidth="1"/>
    <col min="60" max="60" width="8.7265625" customWidth="1"/>
    <col min="61" max="64" width="7.54296875" customWidth="1"/>
    <col min="65" max="66" width="10.26953125" customWidth="1"/>
    <col min="67" max="67" width="9.453125" customWidth="1"/>
    <col min="68" max="68" width="9.54296875" customWidth="1"/>
    <col min="69" max="69" width="10" customWidth="1"/>
    <col min="70" max="70" width="8.7265625" customWidth="1"/>
    <col min="73" max="74" width="9.81640625" customWidth="1"/>
    <col min="75" max="75" width="12.1796875" customWidth="1"/>
    <col min="76" max="76" width="9.1796875" customWidth="1"/>
    <col min="78" max="78" width="7.7265625" customWidth="1"/>
    <col min="79" max="79" width="10.453125" customWidth="1"/>
    <col min="80" max="80" width="12.453125" bestFit="1" customWidth="1"/>
    <col min="81" max="81" width="6.54296875" customWidth="1"/>
    <col min="82" max="82" width="5" customWidth="1"/>
    <col min="83" max="83" width="9.54296875" customWidth="1"/>
    <col min="85" max="85" width="15" customWidth="1"/>
    <col min="86" max="86" width="16.7265625" customWidth="1"/>
    <col min="87" max="87" width="6.1796875" customWidth="1"/>
    <col min="88" max="89" width="7.7265625" customWidth="1"/>
    <col min="90" max="91" width="7.81640625" customWidth="1"/>
    <col min="92" max="92" width="6.26953125" customWidth="1"/>
    <col min="93" max="93" width="9.54296875" customWidth="1"/>
    <col min="94" max="94" width="9.26953125" customWidth="1"/>
    <col min="95" max="95" width="1.81640625" customWidth="1"/>
    <col min="96" max="96" width="8.453125" customWidth="1"/>
    <col min="97" max="98" width="9.54296875" customWidth="1"/>
    <col min="99" max="100" width="8.81640625" customWidth="1"/>
    <col min="101" max="101" width="8.54296875" customWidth="1"/>
    <col min="102" max="102" width="7.54296875" customWidth="1"/>
    <col min="103" max="103" width="9" customWidth="1"/>
    <col min="104" max="104" width="8.81640625" customWidth="1"/>
    <col min="105" max="105" width="10" customWidth="1"/>
    <col min="106" max="106" width="9.54296875" customWidth="1"/>
    <col min="107" max="107" width="1.81640625" customWidth="1"/>
    <col min="108" max="108" width="9.81640625" customWidth="1"/>
    <col min="109" max="109" width="10.453125" customWidth="1"/>
    <col min="110" max="110" width="10.1796875" customWidth="1"/>
    <col min="111" max="111" width="2" customWidth="1"/>
    <col min="113" max="113" width="9.453125" customWidth="1"/>
    <col min="114" max="114" width="10.453125" customWidth="1"/>
    <col min="115" max="115" width="2.1796875" customWidth="1"/>
    <col min="117" max="117" width="8" customWidth="1"/>
    <col min="119" max="119" width="2.26953125" customWidth="1"/>
    <col min="120" max="120" width="6.54296875" customWidth="1"/>
    <col min="121" max="121" width="7.54296875" customWidth="1"/>
    <col min="122" max="122" width="2" customWidth="1"/>
    <col min="123" max="123" width="6.453125" customWidth="1"/>
    <col min="124" max="124" width="7.54296875" customWidth="1"/>
    <col min="125" max="125" width="2.1796875" customWidth="1"/>
    <col min="126" max="128" width="7" customWidth="1"/>
    <col min="129" max="129" width="8.453125" customWidth="1"/>
    <col min="130" max="130" width="2.1796875" customWidth="1"/>
    <col min="131" max="132" width="9.453125" customWidth="1"/>
    <col min="133" max="133" width="9.81640625" customWidth="1"/>
    <col min="134" max="134" width="2" customWidth="1"/>
    <col min="138" max="138" width="2.1796875" customWidth="1"/>
    <col min="139" max="139" width="9" customWidth="1"/>
    <col min="140" max="141" width="8.1796875" customWidth="1"/>
    <col min="142" max="142" width="8.7265625" customWidth="1"/>
    <col min="143" max="146" width="7.54296875" customWidth="1"/>
    <col min="147" max="148" width="10.26953125" customWidth="1"/>
    <col min="149" max="149" width="9.453125" customWidth="1"/>
    <col min="150" max="150" width="9.54296875" customWidth="1"/>
    <col min="151" max="151" width="10" customWidth="1"/>
    <col min="152" max="152" width="8.7265625" customWidth="1"/>
    <col min="155" max="156" width="9.81640625" customWidth="1"/>
    <col min="157" max="157" width="12.1796875" customWidth="1"/>
    <col min="160" max="160" width="7.7265625" customWidth="1"/>
    <col min="161" max="161" width="10.453125" customWidth="1"/>
    <col min="162" max="162" width="12.453125" bestFit="1" customWidth="1"/>
    <col min="163" max="163" width="6.54296875" customWidth="1"/>
    <col min="164" max="164" width="5" customWidth="1"/>
    <col min="165" max="165" width="9.54296875" customWidth="1"/>
    <col min="168" max="168" width="17.453125" customWidth="1"/>
    <col min="169" max="169" width="14.1796875" customWidth="1"/>
  </cols>
  <sheetData>
    <row r="1" spans="2:169" ht="25">
      <c r="B1" s="445" t="s">
        <v>515</v>
      </c>
      <c r="CI1" s="779" t="s">
        <v>823</v>
      </c>
    </row>
    <row r="2" spans="2:169" ht="13" thickBot="1">
      <c r="AW2">
        <f>Vout_ripple</f>
        <v>1700</v>
      </c>
      <c r="EA2">
        <f>Vout_ripple</f>
        <v>1700</v>
      </c>
    </row>
    <row r="3" spans="2:169" ht="13">
      <c r="E3" s="220" t="s">
        <v>421</v>
      </c>
      <c r="F3" s="540"/>
      <c r="G3" s="540"/>
      <c r="H3" s="540"/>
      <c r="I3" s="540"/>
      <c r="J3" s="221"/>
      <c r="K3" s="222"/>
      <c r="L3" s="524"/>
      <c r="M3" s="524"/>
      <c r="N3" s="947" t="s">
        <v>189</v>
      </c>
      <c r="O3" s="948"/>
      <c r="P3" s="950"/>
      <c r="Q3" s="947"/>
      <c r="R3" s="950"/>
      <c r="S3" s="947"/>
      <c r="T3" s="947"/>
      <c r="U3" s="948"/>
      <c r="V3" s="948"/>
      <c r="W3" s="947"/>
      <c r="X3" s="948"/>
      <c r="Y3" s="947"/>
      <c r="Z3" s="949"/>
      <c r="AA3" s="533"/>
      <c r="AB3" s="533"/>
      <c r="AC3" s="533"/>
      <c r="AD3" s="533"/>
      <c r="AE3" s="533"/>
      <c r="AF3" s="533"/>
      <c r="AG3" s="533"/>
      <c r="AH3" s="533"/>
      <c r="AI3" s="533"/>
      <c r="AJ3" s="533"/>
      <c r="AK3" s="533"/>
      <c r="AL3" s="533"/>
      <c r="AM3" s="533"/>
      <c r="AN3" s="533"/>
      <c r="AO3" s="533"/>
      <c r="AP3" s="533"/>
      <c r="AQ3" s="533"/>
      <c r="AR3" s="533" t="s">
        <v>460</v>
      </c>
      <c r="AS3" s="533"/>
      <c r="AT3" s="533"/>
      <c r="AU3" s="533"/>
      <c r="AV3" s="533"/>
      <c r="AW3" s="533" t="s">
        <v>470</v>
      </c>
      <c r="AX3" s="533" t="s">
        <v>470</v>
      </c>
      <c r="AY3" s="533"/>
      <c r="AZ3" s="533"/>
      <c r="BA3" s="558" t="s">
        <v>471</v>
      </c>
      <c r="BB3" s="533"/>
      <c r="BC3" s="533"/>
      <c r="BD3" s="533"/>
      <c r="BE3" s="558" t="s">
        <v>888</v>
      </c>
      <c r="BF3" s="533"/>
      <c r="BG3" s="533"/>
      <c r="BH3" s="533"/>
      <c r="BI3" s="533"/>
      <c r="BJ3" s="533"/>
      <c r="BK3" s="533"/>
      <c r="BL3" s="533"/>
      <c r="BM3" s="558" t="s">
        <v>489</v>
      </c>
      <c r="BN3" s="533"/>
      <c r="BO3" s="533"/>
      <c r="BP3" s="533"/>
      <c r="BQ3" s="533"/>
      <c r="BR3" s="559" t="s">
        <v>490</v>
      </c>
      <c r="BS3" s="533"/>
      <c r="BT3" s="533"/>
      <c r="BU3" s="533"/>
      <c r="BV3" s="533"/>
      <c r="BW3" s="533"/>
      <c r="BX3" s="533"/>
      <c r="BY3" s="558"/>
      <c r="BZ3" s="533"/>
      <c r="CA3" s="533"/>
      <c r="CB3" s="533"/>
      <c r="CC3" s="533"/>
      <c r="CI3" s="220" t="s">
        <v>421</v>
      </c>
      <c r="CJ3" s="540"/>
      <c r="CK3" s="540"/>
      <c r="CL3" s="540"/>
      <c r="CM3" s="540"/>
      <c r="CN3" s="221"/>
      <c r="CO3" s="222"/>
      <c r="CP3" s="524"/>
      <c r="CQ3" s="524"/>
      <c r="CR3" s="947" t="s">
        <v>189</v>
      </c>
      <c r="CS3" s="948"/>
      <c r="CT3" s="950"/>
      <c r="CU3" s="947"/>
      <c r="CV3" s="950"/>
      <c r="CW3" s="947"/>
      <c r="CX3" s="947"/>
      <c r="CY3" s="948"/>
      <c r="CZ3" s="948"/>
      <c r="DA3" s="947"/>
      <c r="DB3" s="948"/>
      <c r="DC3" s="947"/>
      <c r="DD3" s="949"/>
      <c r="DE3" s="533"/>
      <c r="DF3" s="533"/>
      <c r="DG3" s="533"/>
      <c r="DH3" s="533"/>
      <c r="DI3" s="533"/>
      <c r="DJ3" s="533"/>
      <c r="DK3" s="533"/>
      <c r="DL3" s="533"/>
      <c r="DM3" s="533"/>
      <c r="DN3" s="533"/>
      <c r="DO3" s="533"/>
      <c r="DP3" s="533"/>
      <c r="DQ3" s="533"/>
      <c r="DR3" s="533"/>
      <c r="DS3" s="533"/>
      <c r="DT3" s="533"/>
      <c r="DU3" s="533"/>
      <c r="DV3" s="533" t="s">
        <v>460</v>
      </c>
      <c r="DW3" s="533"/>
      <c r="DX3" s="533"/>
      <c r="DY3" s="533"/>
      <c r="DZ3" s="533"/>
      <c r="EA3" s="533" t="s">
        <v>470</v>
      </c>
      <c r="EB3" s="533" t="s">
        <v>470</v>
      </c>
      <c r="EC3" s="533"/>
      <c r="ED3" s="533"/>
      <c r="EE3" s="558" t="s">
        <v>471</v>
      </c>
      <c r="EF3" s="533"/>
      <c r="EG3" s="533"/>
      <c r="EH3" s="533"/>
      <c r="EI3" s="558" t="s">
        <v>493</v>
      </c>
      <c r="EJ3" s="533"/>
      <c r="EK3" s="533"/>
      <c r="EL3" s="533"/>
      <c r="EM3" s="533"/>
      <c r="EN3" s="533"/>
      <c r="EO3" s="533"/>
      <c r="EP3" s="533"/>
      <c r="EQ3" s="558" t="s">
        <v>489</v>
      </c>
      <c r="ER3" s="533"/>
      <c r="ES3" s="533"/>
      <c r="ET3" s="533"/>
      <c r="EU3" s="533"/>
      <c r="EV3" s="559" t="s">
        <v>490</v>
      </c>
      <c r="EW3" s="533"/>
      <c r="EX3" s="533"/>
      <c r="EY3" s="533"/>
      <c r="EZ3" s="533"/>
      <c r="FA3" s="533"/>
      <c r="FB3" s="533"/>
      <c r="FC3" s="558"/>
      <c r="FD3" s="533"/>
      <c r="FE3" s="533"/>
      <c r="FF3" s="533"/>
      <c r="FG3" s="533"/>
    </row>
    <row r="4" spans="2:169" ht="45" customHeight="1" thickBot="1">
      <c r="E4" s="241" t="s">
        <v>25</v>
      </c>
      <c r="F4" s="602" t="s">
        <v>580</v>
      </c>
      <c r="G4" s="444" t="s">
        <v>579</v>
      </c>
      <c r="H4" s="603" t="s">
        <v>581</v>
      </c>
      <c r="I4" s="604" t="s">
        <v>582</v>
      </c>
      <c r="J4" s="242" t="s">
        <v>412</v>
      </c>
      <c r="K4" s="243" t="s">
        <v>586</v>
      </c>
      <c r="L4" s="605" t="s">
        <v>413</v>
      </c>
      <c r="M4" s="606"/>
      <c r="N4" s="244" t="s">
        <v>48</v>
      </c>
      <c r="O4" s="606" t="s">
        <v>590</v>
      </c>
      <c r="P4" s="606" t="s">
        <v>606</v>
      </c>
      <c r="Q4" s="606" t="s">
        <v>583</v>
      </c>
      <c r="R4" s="606" t="s">
        <v>584</v>
      </c>
      <c r="S4" s="606" t="s">
        <v>585</v>
      </c>
      <c r="T4" s="606" t="s">
        <v>414</v>
      </c>
      <c r="U4" s="606" t="s">
        <v>466</v>
      </c>
      <c r="V4" s="606" t="s">
        <v>465</v>
      </c>
      <c r="W4" s="607" t="s">
        <v>420</v>
      </c>
      <c r="X4" s="608" t="s">
        <v>425</v>
      </c>
      <c r="Z4" s="245" t="s">
        <v>417</v>
      </c>
      <c r="AA4" s="245" t="s">
        <v>464</v>
      </c>
      <c r="AB4" s="245" t="s">
        <v>587</v>
      </c>
      <c r="AC4" s="544"/>
      <c r="AD4" s="245" t="s">
        <v>463</v>
      </c>
      <c r="AE4" s="607" t="s">
        <v>426</v>
      </c>
      <c r="AF4" s="245" t="s">
        <v>588</v>
      </c>
      <c r="AG4" s="544"/>
      <c r="AH4" s="245" t="s">
        <v>429</v>
      </c>
      <c r="AI4" s="547" t="s">
        <v>430</v>
      </c>
      <c r="AJ4" s="547" t="s">
        <v>431</v>
      </c>
      <c r="AL4" s="543" t="s">
        <v>275</v>
      </c>
      <c r="AM4" s="543" t="s">
        <v>432</v>
      </c>
      <c r="AO4" s="245" t="s">
        <v>275</v>
      </c>
      <c r="AP4" s="245" t="s">
        <v>432</v>
      </c>
      <c r="AQ4" s="548"/>
      <c r="AR4" s="245" t="s">
        <v>467</v>
      </c>
      <c r="AS4" s="245" t="s">
        <v>461</v>
      </c>
      <c r="AT4" s="245" t="s">
        <v>462</v>
      </c>
      <c r="AU4" s="245" t="s">
        <v>48</v>
      </c>
      <c r="AV4" s="544"/>
      <c r="AW4" s="245" t="s">
        <v>591</v>
      </c>
      <c r="AX4" s="245" t="s">
        <v>592</v>
      </c>
      <c r="AY4" s="245" t="s">
        <v>514</v>
      </c>
      <c r="AZ4" s="544"/>
      <c r="BA4" s="557" t="s">
        <v>456</v>
      </c>
      <c r="BB4" s="245" t="s">
        <v>599</v>
      </c>
      <c r="BC4" s="245" t="s">
        <v>598</v>
      </c>
      <c r="BD4" s="544"/>
      <c r="BE4" s="557" t="s">
        <v>474</v>
      </c>
      <c r="BF4" s="245" t="s">
        <v>475</v>
      </c>
      <c r="BG4" s="245" t="s">
        <v>473</v>
      </c>
      <c r="BH4" s="245" t="s">
        <v>469</v>
      </c>
      <c r="BI4" s="245" t="s">
        <v>478</v>
      </c>
      <c r="BJ4" s="245" t="s">
        <v>491</v>
      </c>
      <c r="BK4" s="245" t="s">
        <v>776</v>
      </c>
      <c r="BL4" s="245" t="s">
        <v>778</v>
      </c>
      <c r="BM4" s="557" t="s">
        <v>601</v>
      </c>
      <c r="BN4" s="245" t="s">
        <v>600</v>
      </c>
      <c r="BO4" s="245" t="s">
        <v>477</v>
      </c>
      <c r="BP4" s="245" t="s">
        <v>483</v>
      </c>
      <c r="BQ4" s="245" t="s">
        <v>487</v>
      </c>
      <c r="BR4" s="557" t="s">
        <v>458</v>
      </c>
      <c r="BS4" s="245" t="s">
        <v>603</v>
      </c>
      <c r="BT4" s="245" t="s">
        <v>602</v>
      </c>
      <c r="BU4" s="245" t="s">
        <v>468</v>
      </c>
      <c r="BV4" s="245" t="s">
        <v>673</v>
      </c>
      <c r="BW4" s="245" t="s">
        <v>484</v>
      </c>
      <c r="BX4" s="245" t="s">
        <v>667</v>
      </c>
      <c r="BY4" s="557" t="s">
        <v>482</v>
      </c>
      <c r="BZ4" s="245" t="s">
        <v>223</v>
      </c>
      <c r="CA4" s="245" t="s">
        <v>47</v>
      </c>
      <c r="CB4" s="245" t="s">
        <v>485</v>
      </c>
      <c r="CC4" s="245" t="s">
        <v>604</v>
      </c>
      <c r="CE4" s="569" t="s">
        <v>497</v>
      </c>
      <c r="CG4" s="782" t="s">
        <v>829</v>
      </c>
      <c r="CH4" s="783" t="s">
        <v>830</v>
      </c>
      <c r="CI4" s="241" t="s">
        <v>25</v>
      </c>
      <c r="CJ4" s="602" t="s">
        <v>580</v>
      </c>
      <c r="CK4" s="444" t="s">
        <v>579</v>
      </c>
      <c r="CL4" s="603" t="s">
        <v>581</v>
      </c>
      <c r="CM4" s="604" t="s">
        <v>582</v>
      </c>
      <c r="CN4" s="242" t="s">
        <v>412</v>
      </c>
      <c r="CO4" s="243" t="s">
        <v>586</v>
      </c>
      <c r="CP4" s="605" t="s">
        <v>413</v>
      </c>
      <c r="CQ4" s="606"/>
      <c r="CR4" s="244" t="s">
        <v>48</v>
      </c>
      <c r="CS4" s="606" t="s">
        <v>590</v>
      </c>
      <c r="CT4" s="606" t="s">
        <v>606</v>
      </c>
      <c r="CU4" s="606" t="s">
        <v>583</v>
      </c>
      <c r="CV4" s="606" t="s">
        <v>584</v>
      </c>
      <c r="CW4" s="606" t="s">
        <v>585</v>
      </c>
      <c r="CX4" s="606" t="s">
        <v>414</v>
      </c>
      <c r="CY4" s="606" t="s">
        <v>466</v>
      </c>
      <c r="CZ4" s="606" t="s">
        <v>465</v>
      </c>
      <c r="DA4" s="607" t="s">
        <v>420</v>
      </c>
      <c r="DB4" s="608" t="s">
        <v>425</v>
      </c>
      <c r="DD4" s="245" t="s">
        <v>417</v>
      </c>
      <c r="DE4" s="245" t="s">
        <v>464</v>
      </c>
      <c r="DF4" s="245" t="s">
        <v>587</v>
      </c>
      <c r="DG4" s="544"/>
      <c r="DH4" s="245" t="s">
        <v>463</v>
      </c>
      <c r="DI4" s="607" t="s">
        <v>426</v>
      </c>
      <c r="DJ4" s="245" t="s">
        <v>588</v>
      </c>
      <c r="DK4" s="544"/>
      <c r="DL4" s="245" t="s">
        <v>429</v>
      </c>
      <c r="DM4" s="547" t="s">
        <v>430</v>
      </c>
      <c r="DN4" s="547" t="s">
        <v>431</v>
      </c>
      <c r="DP4" s="543" t="s">
        <v>275</v>
      </c>
      <c r="DQ4" s="543" t="s">
        <v>432</v>
      </c>
      <c r="DS4" s="245" t="s">
        <v>275</v>
      </c>
      <c r="DT4" s="245" t="s">
        <v>432</v>
      </c>
      <c r="DU4" s="548"/>
      <c r="DV4" s="245" t="s">
        <v>467</v>
      </c>
      <c r="DW4" s="245" t="s">
        <v>461</v>
      </c>
      <c r="DX4" s="245" t="s">
        <v>462</v>
      </c>
      <c r="DY4" s="245" t="s">
        <v>48</v>
      </c>
      <c r="DZ4" s="544"/>
      <c r="EA4" s="245" t="s">
        <v>591</v>
      </c>
      <c r="EB4" s="245" t="s">
        <v>592</v>
      </c>
      <c r="EC4" s="245" t="s">
        <v>514</v>
      </c>
      <c r="ED4" s="544"/>
      <c r="EE4" s="557" t="s">
        <v>456</v>
      </c>
      <c r="EF4" s="245" t="s">
        <v>599</v>
      </c>
      <c r="EG4" s="245" t="s">
        <v>598</v>
      </c>
      <c r="EH4" s="544"/>
      <c r="EI4" s="557" t="s">
        <v>474</v>
      </c>
      <c r="EJ4" s="245" t="s">
        <v>475</v>
      </c>
      <c r="EK4" s="245" t="s">
        <v>473</v>
      </c>
      <c r="EL4" s="245" t="s">
        <v>469</v>
      </c>
      <c r="EM4" s="245" t="s">
        <v>478</v>
      </c>
      <c r="EN4" s="245" t="s">
        <v>491</v>
      </c>
      <c r="EO4" s="245" t="s">
        <v>776</v>
      </c>
      <c r="EP4" s="245" t="s">
        <v>778</v>
      </c>
      <c r="EQ4" s="557" t="s">
        <v>601</v>
      </c>
      <c r="ER4" s="245" t="s">
        <v>600</v>
      </c>
      <c r="ES4" s="245" t="s">
        <v>477</v>
      </c>
      <c r="ET4" s="245" t="s">
        <v>483</v>
      </c>
      <c r="EU4" s="245" t="s">
        <v>487</v>
      </c>
      <c r="EV4" s="557" t="s">
        <v>458</v>
      </c>
      <c r="EW4" s="245" t="s">
        <v>603</v>
      </c>
      <c r="EX4" s="245" t="s">
        <v>602</v>
      </c>
      <c r="EY4" s="245" t="s">
        <v>468</v>
      </c>
      <c r="EZ4" s="245" t="s">
        <v>673</v>
      </c>
      <c r="FA4" s="245" t="s">
        <v>484</v>
      </c>
      <c r="FB4" s="245" t="s">
        <v>486</v>
      </c>
      <c r="FC4" s="557" t="s">
        <v>482</v>
      </c>
      <c r="FD4" s="245" t="s">
        <v>223</v>
      </c>
      <c r="FE4" s="245" t="s">
        <v>47</v>
      </c>
      <c r="FF4" s="245" t="s">
        <v>485</v>
      </c>
      <c r="FG4" s="245" t="s">
        <v>604</v>
      </c>
      <c r="FI4" s="569" t="s">
        <v>497</v>
      </c>
      <c r="FL4" s="782" t="s">
        <v>876</v>
      </c>
      <c r="FM4" s="782" t="s">
        <v>875</v>
      </c>
    </row>
    <row r="5" spans="2:169">
      <c r="E5" s="170">
        <v>0.1</v>
      </c>
      <c r="F5" s="217">
        <v>1.0000000000000001E-9</v>
      </c>
      <c r="G5" s="217">
        <v>1.0000000000000001E-9</v>
      </c>
      <c r="H5" s="217">
        <f t="shared" ref="H5:H36" si="0">F5*Vout</f>
        <v>1.7000000000000001E-7</v>
      </c>
      <c r="I5" s="217">
        <f>G5*Vout2</f>
        <v>1.2000000000000002E-8</v>
      </c>
      <c r="J5" s="541">
        <f t="shared" ref="J5:J36" si="1">Vin-(F5/CG5/Nps+G5/CH5/(Nps/Nsec1sec2))*(Rdcr_pri+RON/1000)</f>
        <v>12.499632072486804</v>
      </c>
      <c r="K5" s="443">
        <f t="shared" ref="K5:K36" si="2">MAX((S5+Vfwd2+Rdcr_sec*F5/CG5)*Nps,(Vout2+Vfwd22+Rdcr_sec2*G5/CH5)*Nps/Nsec1sec2)</f>
        <v>8.5350025449044082</v>
      </c>
      <c r="L5" s="172">
        <f t="shared" ref="L5:L36" si="3">MAX((Vout+Vfwd2+F5/CG5*Rdcr_sec)*Nps+J5, (Vout2+Vfwd22+G5/CH5*Rdcr_sec2)*Nps/Nsec1sec2+J5)</f>
        <v>21.034634617391212</v>
      </c>
      <c r="M5" s="443"/>
      <c r="N5" s="217">
        <f t="shared" ref="N5:N36" si="4">MAX((Vout+Vfwd2+F5/CG5*Rdcr_sec)*Nps/((Vout+Vfwd2+F5/CG5*Rdcr_sec)*Nps+J5), (Vout2+Vfwd22+G5/CH5*Rdcr_sec2)*Nps/Nsec1sec2/((Vout2+Vfwd22+G5/CH5*Rdcr_sec2)*Nps/Nsec1sec2+J5))</f>
        <v>0.40575948668239564</v>
      </c>
      <c r="O5" s="172">
        <f>N5*J5*Isw_max*0.5*Efficiency*(Pout/Pout_total)</f>
        <v>159.66917220123693</v>
      </c>
      <c r="P5" s="172">
        <f t="shared" ref="P5:P36" si="5">N5*J5*Isw_max*0.5*Efficiency*(Pout2/Pout_total)</f>
        <v>9.3923042471315838</v>
      </c>
      <c r="Q5" s="217">
        <f t="shared" ref="Q5:Q68" si="6">O5/Vout</f>
        <v>0.93923042471315843</v>
      </c>
      <c r="R5" s="217">
        <f t="shared" ref="R5:R36" si="7">O5/Vout2</f>
        <v>13.305764350103077</v>
      </c>
      <c r="S5" s="443">
        <f t="shared" ref="S5:S36" si="8">MIN(Vout,O5/F5)</f>
        <v>170</v>
      </c>
      <c r="T5" s="217">
        <f t="shared" ref="T5:T36" si="9">MIN(2*(Vout*F5+Vout2*G5)/(Efficiency*J5*N5), Isw_max)</f>
        <v>7.1768764760781346E-8</v>
      </c>
      <c r="U5" s="217">
        <f t="shared" ref="U5:U68" si="10">L*T5/J5*1000000</f>
        <v>2.8708350911685252E-9</v>
      </c>
      <c r="V5" s="217">
        <f t="shared" ref="V5:V68" si="11">L*T5/K5*1000000</f>
        <v>4.2043786386231918E-9</v>
      </c>
      <c r="W5" s="197">
        <f t="shared" ref="W5:W68" si="12">IF(1/((350000*L)*(1/J5+1/K5))&gt;Isw_min, 350, 0.001/((Isw_min*L)*(1/J5+1/K5)))</f>
        <v>350</v>
      </c>
      <c r="X5" s="443">
        <f>MIN(1/(U5+V5+0.2)*1000, 350)</f>
        <v>350</v>
      </c>
      <c r="Z5" s="217">
        <f t="shared" ref="Z5:Z68" si="13">1/((W5*1000*L)*(1/J5+1/K5))</f>
        <v>28.981967391148892</v>
      </c>
      <c r="AA5" s="173">
        <f t="shared" ref="AA5:AA68" si="14">L*Z5/K5*1000000</f>
        <v>1.6978300380502982</v>
      </c>
      <c r="AB5" s="173">
        <f t="shared" ref="AB5:AB36" si="15">0.5*AA5*Z5*Nps*W5/1000*(Pout/Pout_total)</f>
        <v>0.40663667507082868</v>
      </c>
      <c r="AC5" s="173"/>
      <c r="AD5" s="173">
        <f t="shared" ref="AD5:AD68" si="16">L*Isw_min/K5*1000000</f>
        <v>0.78109720900397617</v>
      </c>
      <c r="AE5" s="545">
        <f t="shared" ref="AE5:AE36" si="17">MAX(10, F5/(0.5*AD5/1000000*Isw_min*Nps)/1000*Pout_total/Pout)</f>
        <v>10</v>
      </c>
      <c r="AF5" s="528">
        <f t="shared" ref="AF5:AF36" si="18">0.5*AD5/1000000*Isw_min*Nps*W5*1000*(Pout/Pout_total)</f>
        <v>8.6065340621734418E-2</v>
      </c>
      <c r="AH5" s="173">
        <f t="shared" ref="AH5:AH36" si="19">SQRT((H5+I5)/(0.5*L*Fsw_DCM))</f>
        <v>1.4422205101855959E-3</v>
      </c>
      <c r="AI5" s="173">
        <f t="shared" ref="AI5:AI36" si="20">MAX(IF(F5&gt;AB5,T5,AH5),Isw_min)</f>
        <v>13.333333333333334</v>
      </c>
      <c r="AJ5" s="173">
        <f t="shared" ref="AJ5:AJ36" si="21">IF(F5&gt;AF5, (AI5-Isw_min)/1.08*0.8+1.2, AE5*0.2/350+1)</f>
        <v>1.0057142857142858</v>
      </c>
      <c r="AL5" s="545">
        <f t="shared" ref="AL5:AL36" si="22">F5*1000</f>
        <v>1.0000000000000002E-6</v>
      </c>
      <c r="AM5" s="460">
        <f t="shared" ref="AM5:AM36" si="23">IF(F5&gt;AF5, X5, AE5)</f>
        <v>10</v>
      </c>
      <c r="AO5">
        <f>IF(H5&gt;O5, "",AL5)</f>
        <v>1.0000000000000002E-6</v>
      </c>
      <c r="AP5" s="460">
        <f t="shared" ref="AP5:AP68" si="24">IF(H5&gt;O5, "",AM5)</f>
        <v>10</v>
      </c>
      <c r="AQ5" s="460"/>
      <c r="AR5" s="5">
        <f>1/AM5*1000</f>
        <v>100</v>
      </c>
      <c r="AS5" s="5">
        <f t="shared" ref="AS5:AS68" si="25">L*AI5/J5*1000000</f>
        <v>0.53334903203597506</v>
      </c>
      <c r="AT5" s="5">
        <f>AR5-AS5</f>
        <v>99.466650967964028</v>
      </c>
      <c r="AU5" s="173">
        <f>AS5/AR5</f>
        <v>5.3334903203597506E-3</v>
      </c>
      <c r="AW5" s="5">
        <f t="shared" ref="AW5:AW36" si="26">F5*AS5/Vout_ripple*1000</f>
        <v>3.1373472472704417E-10</v>
      </c>
      <c r="AX5" s="5">
        <f t="shared" ref="AX5:AX36" si="27">G5*AS5/Vout_ripple2*1000</f>
        <v>4.4445752669664584E-9</v>
      </c>
      <c r="AY5" s="5">
        <f t="shared" ref="AY5:AY68" si="28">H5/Efficiency/J5*AT5/Vinripple1</f>
        <v>2.1644580341558513E-6</v>
      </c>
      <c r="AZ5" s="5"/>
      <c r="BA5" s="173">
        <f>AI5*SQRT(AU5/3)</f>
        <v>0.56219096902293642</v>
      </c>
      <c r="BB5" s="173">
        <f t="shared" ref="BB5:BB36" si="29">AI5*Npri_sec1*SQRT((1-AU5)/3)*(Pout/Pout_total)</f>
        <v>0.36254613335405378</v>
      </c>
      <c r="BC5" s="173">
        <f t="shared" ref="BC5:BC36" si="30">AI5*Npri_sec2*SQRT((1-AU5)/3)*(Pout2/Pout_total)</f>
        <v>0.2866448585620055</v>
      </c>
      <c r="BD5" s="173"/>
      <c r="BE5" s="528">
        <f t="shared" ref="BE5:BE68" si="31">Rdson*BA5^2</f>
        <v>1.2642347426037931E-2</v>
      </c>
      <c r="BF5" s="528">
        <f t="shared" ref="BF5:BF36" si="32">0.5*L5*AI5*AM5*1000*Tfall</f>
        <v>6.3103903852173626E-2</v>
      </c>
      <c r="BG5" s="528">
        <f t="shared" ref="BG5:BG36" si="33">Qg*Vdd*AM5*1000*0+Qg*J5*AM5*1000</f>
        <v>4.9998528289947218E-3</v>
      </c>
      <c r="BH5" s="528">
        <f t="shared" ref="BH5:BH68" si="34">0.5*(Coss+Csw)*L5^2*AM5*1000</f>
        <v>8.8491170697430554E-4</v>
      </c>
      <c r="BI5">
        <f t="shared" ref="BI5:BI68" si="35">J5*IQ</f>
        <v>5.6248344326190617E-3</v>
      </c>
      <c r="BJ5" s="460">
        <f>(BG5+BI5)*1000</f>
        <v>10.624687261613783</v>
      </c>
      <c r="BK5">
        <f t="shared" ref="BK5:BK36" si="36">(BF5+BG5*0+BH5+BI5*0+BE5*(1+RdsonTC*(Ta-25)))/(1-BE5*RdsonTC*ThetaJA)</f>
        <v>8.0285760904911255E-2</v>
      </c>
      <c r="BL5" s="460">
        <f>BK5*1000</f>
        <v>80.285760904911257</v>
      </c>
      <c r="BM5" s="173">
        <f t="shared" ref="BM5:BM36" si="37">Vfwd2*F5*(1+Diode_TC/1000*(Ta-25))</f>
        <v>8.679999999999999E-10</v>
      </c>
      <c r="BN5" s="173">
        <f t="shared" ref="BN5:BN36" si="38">Vfwd22*G5*(1+Diode_TC/1000*(Ta-25))</f>
        <v>8.679999999999999E-10</v>
      </c>
      <c r="BO5" s="528"/>
      <c r="BQ5" s="460">
        <f>SUM(BM5:BP5)*1000</f>
        <v>1.7359999999999998E-6</v>
      </c>
      <c r="BR5" s="528">
        <f t="shared" ref="BR5:BR68" si="39">Rdcr_pri*BA5^2</f>
        <v>9.4817605695284475E-3</v>
      </c>
      <c r="BS5" s="528">
        <f>Rdcr_sec*BB5^2</f>
        <v>3.9431909642992603E-3</v>
      </c>
      <c r="BT5" s="528">
        <f t="shared" ref="BT5:BT36" si="40">Rdcr_sec2*BC5^2</f>
        <v>4.1082637470016064E-4</v>
      </c>
      <c r="BU5" s="528">
        <f t="shared" ref="BU5:BU68" si="41">AI5^2.5*AM5^2.5*k_core</f>
        <v>1.026400478559336E-2</v>
      </c>
      <c r="BV5" s="528">
        <f t="shared" ref="BV5:BV36" si="42">(BU5+(BR5+BS5+BT5)*(1+Ltc*(Ta-25)))/(1-(BR5+BS5+BT5)*Ltc*ThetaCa)</f>
        <v>2.7450753594580421E-2</v>
      </c>
      <c r="BW5" s="625">
        <f t="shared" ref="BW5:BW36" si="43">0.5*Lleak*0.000000001*AI5^2*AM5*1000</f>
        <v>4.4444444444444446E-2</v>
      </c>
      <c r="BX5" s="460">
        <f>(BV5+BW5)*1000</f>
        <v>71.895198039024862</v>
      </c>
      <c r="BY5" s="173">
        <f>SUM(BK5,BM5:BP5,BV5:BW5)</f>
        <v>0.15218096067993614</v>
      </c>
      <c r="BZ5" s="5">
        <f>MIN(H5+I5,O5+P5)</f>
        <v>1.8200000000000002E-7</v>
      </c>
      <c r="CA5" s="173">
        <f>BZ5/(BZ5+BY5)</f>
        <v>1.195943181888036E-6</v>
      </c>
      <c r="CB5" s="5">
        <f>CA5*100</f>
        <v>1.195943181888036E-4</v>
      </c>
      <c r="CC5">
        <v>0</v>
      </c>
      <c r="CE5" s="562">
        <f t="shared" ref="CE5:CE36" si="44">IF(ABS(F5-Ioutmax_Vinnom)&lt;Iout/200, AM5, -50)</f>
        <v>-50</v>
      </c>
      <c r="CF5">
        <f t="shared" ref="CF5:CF36" si="45">IF(ABS(F5-Ioutmax_Vinnom)&lt;Iout/200, (O5+P5)*CA5, -50)</f>
        <v>-50</v>
      </c>
      <c r="CG5" s="173">
        <f t="shared" ref="CG5:CG36" si="46">MIN(SQRT(2*DT5*1000*Ls1_*(CL5+CJ5*Vfwd1))/(CW5+Vfwd1), 1-DY5)</f>
        <v>4.8435947969648271E-6</v>
      </c>
      <c r="CH5" s="173">
        <f t="shared" ref="CH5:CH36" si="47">MIN(SQRT(2*DT5*1000*Ls2_*(CM5+CK5*Vfwd22))/(Vout2+Vfwd22), 1-DY5)</f>
        <v>1.3203781686683824E-6</v>
      </c>
      <c r="CI5" s="170">
        <v>0.1</v>
      </c>
      <c r="CJ5" s="217">
        <v>1.0000000000000001E-9</v>
      </c>
      <c r="CK5" s="217">
        <v>1.0000000000000001E-9</v>
      </c>
      <c r="CL5" s="217">
        <f t="shared" ref="CL5:CL68" si="48">CJ5*Vout</f>
        <v>1.7000000000000001E-7</v>
      </c>
      <c r="CM5" s="217">
        <f>CK5*Vout2</f>
        <v>1.2000000000000002E-8</v>
      </c>
      <c r="CN5" s="541">
        <f>Vin</f>
        <v>12.5</v>
      </c>
      <c r="CO5" s="443">
        <f t="shared" ref="CO5:CO36" si="49">(CW5+Vfwd2)*Nps</f>
        <v>8.5350000000000001</v>
      </c>
      <c r="CP5" s="443">
        <f t="shared" ref="CP5:CP36" si="50">(Vout+Vfwd2)*Nps+CN5</f>
        <v>21.035</v>
      </c>
      <c r="CQ5" s="443"/>
      <c r="CR5" s="217">
        <f>(Vout+Vfwd2)*Nps/((Vout+Vfwd2)*Nps+CN5)</f>
        <v>0.40575231756596147</v>
      </c>
      <c r="CS5" s="172">
        <f>CR5*CN5*Isw_max*0.5*Efficiency*(Pout/Pout_total)</f>
        <v>159.67105089401261</v>
      </c>
      <c r="CT5" s="172">
        <f t="shared" ref="CT5:CT68" si="51">CR5*CN5*Isw_max*0.5*Efficiency*(Pout2/Pout_total)</f>
        <v>9.3924147584713307</v>
      </c>
      <c r="CU5" s="217">
        <f t="shared" ref="CU5:CU68" si="52">CS5/Vout</f>
        <v>0.93924147584713302</v>
      </c>
      <c r="CV5" s="217">
        <f t="shared" ref="CV5:CV68" si="53">CS5/Vout2</f>
        <v>13.305920907834384</v>
      </c>
      <c r="CW5" s="443">
        <f t="shared" ref="CW5:CW68" si="54">MIN(Vout,CS5/CJ5)</f>
        <v>170</v>
      </c>
      <c r="CX5" s="217">
        <f t="shared" ref="CX5:CX68" si="55">MIN(2*(Vout*CJ5+Vout2*CK5)/(Efficiency*CN5*CR5), Isw_max)</f>
        <v>7.1767920328060941E-8</v>
      </c>
      <c r="CY5" s="217">
        <f t="shared" ref="CY5:CY68" si="56">L*CX5/CN5*1000000</f>
        <v>2.8707168131224375E-9</v>
      </c>
      <c r="CZ5" s="217">
        <f t="shared" ref="CZ5:CZ68" si="57">L*CX5/CO5*1000000</f>
        <v>4.2043304234364928E-9</v>
      </c>
      <c r="DA5" s="197">
        <f t="shared" ref="DA5:DA68" si="58">IF(1/((350000*L)*(1/CN5+1/CO5))&gt;Isw_min, 350, 0.001/((Isw_min*L)*(1/CN5+1/CO5)))</f>
        <v>350</v>
      </c>
      <c r="DB5" s="443">
        <f>MIN(1/(CY5+CZ5)*1000, 350)</f>
        <v>350</v>
      </c>
      <c r="DD5" s="217">
        <f t="shared" ref="DD5:DD68" si="59">1/((DA5*1000*L)*(1/CN5+1/CO5))</f>
        <v>28.98230839756868</v>
      </c>
      <c r="DE5" s="173">
        <f t="shared" ref="DE5:DE68" si="60">L*DD5/CO5*1000000</f>
        <v>1.6978505212401103</v>
      </c>
      <c r="DF5" s="173">
        <f t="shared" ref="DF5:DF68" si="61">0.5*DE5*DD5*Nps*DA5/1000*(Pout/Pout_total)</f>
        <v>0.40664636548103333</v>
      </c>
      <c r="DG5" s="173"/>
      <c r="DH5" s="173">
        <f t="shared" ref="DH5:DH68" si="62">L*Isw_min/CO5*1000000</f>
        <v>0.78109744190587771</v>
      </c>
      <c r="DI5" s="545">
        <f t="shared" ref="DI5:DI68" si="63">MAX(10, CJ5/(0.5*DH5/1000000*Isw_min*Nps)/1000*Pout_total/Pout)</f>
        <v>10</v>
      </c>
      <c r="DJ5" s="528">
        <f t="shared" ref="DJ5:DJ68" si="64">0.5*DH5/1000000*Isw_min*Nps*DA5*1000*(Pout/Pout_total)</f>
        <v>8.6065366284073561E-2</v>
      </c>
      <c r="DL5" s="173">
        <f t="shared" ref="DL5:DL68" si="65">SQRT((CL5+CM5)/(0.5*L*Fsw_DCM))</f>
        <v>1.4422205101855959E-3</v>
      </c>
      <c r="DM5" s="173">
        <f t="shared" ref="DM5:DM68" si="66">MAX(IF(CJ5&gt;DF5,CX5,DL5),Isw_min)</f>
        <v>13.333333333333334</v>
      </c>
      <c r="DN5" s="173">
        <f t="shared" ref="DN5:DN68" si="67">IF(CJ5&gt;DJ5, (DM5-Isw_min)/1.08*0.8+1.2, DI5*0.2/350+1)</f>
        <v>1.0057142857142858</v>
      </c>
      <c r="DP5" s="545">
        <f t="shared" ref="DP5:DP68" si="68">CJ5*1000</f>
        <v>1.0000000000000002E-6</v>
      </c>
      <c r="DQ5" s="460">
        <f t="shared" ref="DQ5:DQ68" si="69">IF(CJ5&gt;DJ5, DB5, DI5)</f>
        <v>10</v>
      </c>
      <c r="DS5">
        <f>IF(CL5&gt;CS5, "",DP5)</f>
        <v>1.0000000000000002E-6</v>
      </c>
      <c r="DT5" s="460">
        <f t="shared" ref="DT5:DT68" si="70">IF(CL5&gt;CS5, "",DQ5)</f>
        <v>10</v>
      </c>
      <c r="DU5" s="460"/>
      <c r="DV5" s="5">
        <f>1/DQ5*1000</f>
        <v>100</v>
      </c>
      <c r="DW5" s="5">
        <f t="shared" ref="DW5:DW68" si="71">L*DM5/CN5*1000000</f>
        <v>0.53333333333333333</v>
      </c>
      <c r="DX5" s="5">
        <f>DV5-DW5</f>
        <v>99.466666666666669</v>
      </c>
      <c r="DY5" s="173">
        <f>DW5/DV5</f>
        <v>5.3333333333333332E-3</v>
      </c>
      <c r="EA5" s="5">
        <f t="shared" ref="EA5:EA68" si="72">CJ5*DW5/Vout_ripple*1000</f>
        <v>3.1372549019607849E-10</v>
      </c>
      <c r="EB5" s="5">
        <f t="shared" ref="EB5:EB68" si="73">CK5*DW5/Vout_ripple2*1000</f>
        <v>4.4444444444444451E-9</v>
      </c>
      <c r="EC5" s="5">
        <f t="shared" ref="EC5:EC68" si="74">CL5/Efficiency/CN5*DX5/Vinripple1</f>
        <v>2.1643946666666669E-6</v>
      </c>
      <c r="ED5" s="5"/>
      <c r="EE5" s="173">
        <f>DM5*SQRT(DY5/3)</f>
        <v>0.56218269514104513</v>
      </c>
      <c r="EF5" s="173">
        <f t="shared" ref="EF5:EF68" si="75">DM5*Npri_sec1*SQRT((1-DY5)/3)*(Pout/Pout_total)</f>
        <v>0.36254616196416412</v>
      </c>
      <c r="EG5" s="173">
        <f t="shared" ref="EG5:EG68" si="76">DM5*Npri_sec2*SQRT((1-DY5)/3)*(Pout2/Pout_total)</f>
        <v>0.28664488118241233</v>
      </c>
      <c r="EH5" s="173"/>
      <c r="EI5" s="528">
        <f t="shared" ref="EI5:EI68" si="77">Rdson*EE5^2</f>
        <v>1.2641975308641971E-2</v>
      </c>
      <c r="EJ5" s="528">
        <f t="shared" ref="EJ5:EJ68" si="78">0.5*CP5*DM5*DQ5*1000*Trise</f>
        <v>7.712833333333334E-2</v>
      </c>
      <c r="EK5" s="528">
        <f t="shared" ref="EK5:EK68" si="79">Qg*Vdd*DQ5*1000</f>
        <v>2E-3</v>
      </c>
      <c r="EL5" s="528">
        <f t="shared" ref="EL5:EL68" si="80">0.5*(Coss+Csw)*CP5^2*DQ5*1000</f>
        <v>8.8494245000000004E-4</v>
      </c>
      <c r="EM5">
        <f t="shared" ref="EM5:EM68" si="81">CN5*IQ</f>
        <v>5.6249999999999998E-3</v>
      </c>
      <c r="EN5" s="460">
        <f>(EK5+EM5)*1000</f>
        <v>7.625</v>
      </c>
      <c r="EO5">
        <f t="shared" ref="EO5:EO68" si="82">(EJ5+EK5+EL5+EM5+EI5*(1+RdsonTC*(Ta-25)))/(1-EI5*RdsonTC*ThetaJA)</f>
        <v>0.10199996512054006</v>
      </c>
      <c r="EP5" s="460">
        <f>EO5*1000</f>
        <v>101.99996512054007</v>
      </c>
      <c r="EQ5" s="173">
        <f t="shared" ref="EQ5:EQ68" si="83">Vfwd2*CJ5*(1+Diode_TC/1000*(Ta-25))</f>
        <v>8.679999999999999E-10</v>
      </c>
      <c r="ER5" s="173">
        <f t="shared" ref="ER5:ER36" si="84">Vfwd22*CK5*(1+Diode_TC/1000*(Ta-25))</f>
        <v>8.679999999999999E-10</v>
      </c>
      <c r="ES5" s="528"/>
      <c r="EU5" s="460">
        <f>SUM(EQ5:ET5)*1000</f>
        <v>1.7359999999999998E-6</v>
      </c>
      <c r="EV5" s="528">
        <f t="shared" ref="EV5:EV68" si="85">Rdcr_pri*EE5^2</f>
        <v>9.4814814814814779E-3</v>
      </c>
      <c r="EW5" s="528">
        <f>Rdcr_sec*EF5^2</f>
        <v>3.9431915866483778E-3</v>
      </c>
      <c r="EX5" s="528">
        <f t="shared" ref="EX5:EX68" si="86">Rdcr_sec2*EG5^2</f>
        <v>4.1082643954039642E-4</v>
      </c>
      <c r="EY5" s="528">
        <f t="shared" ref="EY5:EY68" si="87">DM5^2.5*DQ5^2.5*k_core</f>
        <v>1.026400478559336E-2</v>
      </c>
      <c r="EZ5" s="528">
        <f t="shared" ref="EZ5:EZ68" si="88">(EY5+(EV5+EW5+EX5)*(1+Ltc*(Ta-25)))/(1-(EV5+EW5+EX5)*Ltc*ThetaCa)</f>
        <v>2.7450407382931027E-2</v>
      </c>
      <c r="FA5" s="625">
        <f t="shared" ref="FA5:FA68" si="89">0.5*Lleak*0.000000001*DM5^2*DQ5*1000</f>
        <v>4.4444444444444446E-2</v>
      </c>
      <c r="FB5" s="460">
        <f>(EZ5+FA5)*1000</f>
        <v>71.894851827375476</v>
      </c>
      <c r="FC5" s="173">
        <f>SUM(EO5,EQ5:ET5,EZ5:FA5)</f>
        <v>0.17389481868391554</v>
      </c>
      <c r="FD5" s="5">
        <f>MIN(CL5+CM5,CS5+CT5)</f>
        <v>1.8200000000000002E-7</v>
      </c>
      <c r="FE5" s="173">
        <f>FD5/(FD5+FC5)</f>
        <v>1.04660858152453E-6</v>
      </c>
      <c r="FF5" s="5">
        <f>FE5*100</f>
        <v>1.0466085815245299E-4</v>
      </c>
      <c r="FG5">
        <v>0</v>
      </c>
      <c r="FI5" s="562">
        <f t="shared" ref="FI5:FI68" si="90">IF(ABS(CJ5-Ioutmax_Vinnom)&lt;Iout/200, DQ5, -50)</f>
        <v>-50</v>
      </c>
      <c r="FJ5">
        <f t="shared" ref="FJ5:FJ68" si="91">IF(ABS(CJ5-Ioutmax_Vinnom)&lt;Iout/200, (CS5+CT5)*FE5, -50)</f>
        <v>-50</v>
      </c>
      <c r="FL5">
        <f t="shared" ref="FL5:FL68" si="92">MIN(SQRT(2*DQ5*1000*L*CJ5*(Vout+Vfwd1))/(Nps*(Vout+Vfwd1)),1-DY5)</f>
        <v>4.843594796964828E-6</v>
      </c>
      <c r="FM5">
        <f>MIN(,)</f>
        <v>0</v>
      </c>
    </row>
    <row r="6" spans="2:169">
      <c r="E6" s="170">
        <v>1</v>
      </c>
      <c r="F6" s="217">
        <f>IF(PLOT_TYPE=1, E6/100*Iout, min_I*EXP(O6*rr/100))</f>
        <v>6.0000000000000001E-3</v>
      </c>
      <c r="G6" s="217">
        <f t="shared" ref="G6:G37" si="93">IF(PLOT_TYPE=1, E6/100*Iout2, min_I*EXP(Q6*rr/100))</f>
        <v>5.0000000000000001E-3</v>
      </c>
      <c r="H6" s="217">
        <f t="shared" si="0"/>
        <v>1.02</v>
      </c>
      <c r="I6" s="217">
        <f>G6*Vout2</f>
        <v>0.06</v>
      </c>
      <c r="J6" s="541">
        <f t="shared" si="1"/>
        <v>11.933822443405219</v>
      </c>
      <c r="K6" s="443">
        <f t="shared" si="2"/>
        <v>8.5386430156699316</v>
      </c>
      <c r="L6" s="172">
        <f t="shared" si="3"/>
        <v>20.472465459075153</v>
      </c>
      <c r="M6" s="443"/>
      <c r="N6" s="217">
        <f t="shared" si="4"/>
        <v>0.41707937095992864</v>
      </c>
      <c r="O6" s="172">
        <f t="shared" ref="O6:O37" si="94">N6*J6*Isw_max*0.5*Efficiency*Pout/(Pout+Pout2)</f>
        <v>156.69438830246256</v>
      </c>
      <c r="P6" s="172">
        <f t="shared" si="5"/>
        <v>9.2173169589683841</v>
      </c>
      <c r="Q6" s="217">
        <f t="shared" si="6"/>
        <v>0.92173169589683857</v>
      </c>
      <c r="R6" s="217">
        <f t="shared" si="7"/>
        <v>13.05786569187188</v>
      </c>
      <c r="S6" s="443">
        <f t="shared" si="8"/>
        <v>170</v>
      </c>
      <c r="T6" s="217">
        <f t="shared" si="9"/>
        <v>0.4339657644199843</v>
      </c>
      <c r="U6" s="217">
        <f t="shared" si="10"/>
        <v>1.8182177859525604E-2</v>
      </c>
      <c r="V6" s="217">
        <f t="shared" si="11"/>
        <v>2.5411869522099693E-2</v>
      </c>
      <c r="W6" s="197">
        <f t="shared" si="12"/>
        <v>350</v>
      </c>
      <c r="X6" s="443">
        <f t="shared" ref="X6:X69" si="95">MIN(1/(U6+V6+0.2)*1000, 350)</f>
        <v>350</v>
      </c>
      <c r="Z6" s="217">
        <f t="shared" si="13"/>
        <v>28.442006616245301</v>
      </c>
      <c r="AA6" s="173">
        <f t="shared" si="14"/>
        <v>1.6654875115430607</v>
      </c>
      <c r="AB6" s="173">
        <f t="shared" si="15"/>
        <v>0.39145882026994572</v>
      </c>
      <c r="AC6" s="173"/>
      <c r="AD6" s="173">
        <f t="shared" si="16"/>
        <v>0.78076418635047107</v>
      </c>
      <c r="AE6" s="545">
        <f t="shared" si="17"/>
        <v>24.410473562444633</v>
      </c>
      <c r="AF6" s="528">
        <f t="shared" si="18"/>
        <v>8.6028646458987085E-2</v>
      </c>
      <c r="AH6" s="173">
        <f t="shared" si="19"/>
        <v>3.5132402626147199</v>
      </c>
      <c r="AI6" s="173">
        <f t="shared" si="20"/>
        <v>13.333333333333334</v>
      </c>
      <c r="AJ6" s="173">
        <f t="shared" si="21"/>
        <v>1.0139488420356826</v>
      </c>
      <c r="AL6" s="545">
        <f t="shared" si="22"/>
        <v>6</v>
      </c>
      <c r="AM6" s="460">
        <f t="shared" si="23"/>
        <v>24.410473562444633</v>
      </c>
      <c r="AO6">
        <f t="shared" ref="AO6:AO69" si="96">IF(H6&gt;O6, "",AL6)</f>
        <v>6</v>
      </c>
      <c r="AP6" s="460">
        <f t="shared" si="24"/>
        <v>24.410473562444633</v>
      </c>
      <c r="AQ6" s="460"/>
      <c r="AR6" s="5">
        <f t="shared" ref="AR6:AR69" si="97">1/AM6*1000</f>
        <v>40.966022123327178</v>
      </c>
      <c r="AS6" s="5">
        <f t="shared" si="25"/>
        <v>0.55863632111861616</v>
      </c>
      <c r="AT6" s="5">
        <f t="shared" ref="AT6:AT69" si="98">AR6-AS6</f>
        <v>40.407385802208559</v>
      </c>
      <c r="AU6" s="173">
        <f t="shared" ref="AU6:AU69" si="99">AS6/AR6</f>
        <v>1.3636577147687309E-2</v>
      </c>
      <c r="AW6" s="5">
        <f t="shared" si="26"/>
        <v>1.9716576039480569E-3</v>
      </c>
      <c r="AX6" s="5">
        <f t="shared" si="27"/>
        <v>2.327651337994234E-2</v>
      </c>
      <c r="AY6" s="5">
        <f t="shared" si="28"/>
        <v>5.5258785642186528</v>
      </c>
      <c r="AZ6" s="5"/>
      <c r="BA6" s="173">
        <f t="shared" ref="BA6:BA69" si="100">AI6*SQRT(AU6/3)</f>
        <v>0.89894018744502258</v>
      </c>
      <c r="BB6" s="173">
        <f t="shared" si="29"/>
        <v>0.36102976557944322</v>
      </c>
      <c r="BC6" s="173">
        <f t="shared" si="30"/>
        <v>0.28544595175734583</v>
      </c>
      <c r="BD6" s="173"/>
      <c r="BE6" s="528">
        <f t="shared" si="31"/>
        <v>3.2323738424147694E-2</v>
      </c>
      <c r="BF6" s="528">
        <f t="shared" si="32"/>
        <v>0.1499227730540445</v>
      </c>
      <c r="BG6" s="528">
        <f t="shared" si="33"/>
        <v>1.165241029014606E-2</v>
      </c>
      <c r="BH6" s="528">
        <f t="shared" si="34"/>
        <v>2.0461925285851258E-3</v>
      </c>
      <c r="BI6">
        <f t="shared" si="35"/>
        <v>5.3702200995323487E-3</v>
      </c>
      <c r="BJ6" s="460">
        <f t="shared" ref="BJ6:BJ69" si="101">(BG6+BI6)*1000</f>
        <v>17.022630389678408</v>
      </c>
      <c r="BK6">
        <f t="shared" si="36"/>
        <v>0.19451400432473803</v>
      </c>
      <c r="BL6" s="460">
        <f t="shared" ref="BL6:BL69" si="102">BK6*1000</f>
        <v>194.51400432473804</v>
      </c>
      <c r="BM6" s="173">
        <f t="shared" si="37"/>
        <v>5.208E-3</v>
      </c>
      <c r="BN6" s="173">
        <f t="shared" si="38"/>
        <v>4.3399999999999992E-3</v>
      </c>
      <c r="BO6" s="528"/>
      <c r="BQ6" s="460">
        <f t="shared" ref="BQ6:BQ69" si="103">SUM(BM6:BP6)*1000</f>
        <v>9.548</v>
      </c>
      <c r="BR6" s="528">
        <f t="shared" si="39"/>
        <v>2.424280381811077E-2</v>
      </c>
      <c r="BS6" s="528">
        <f t="shared" ref="BS6:BS68" si="104">Rdcr_sec*BB6^2</f>
        <v>3.9102747490304315E-3</v>
      </c>
      <c r="BT6" s="528">
        <f t="shared" si="40"/>
        <v>4.0739695687328501E-4</v>
      </c>
      <c r="BU6" s="528">
        <f t="shared" si="41"/>
        <v>9.555586712199382E-2</v>
      </c>
      <c r="BV6" s="528">
        <f t="shared" si="42"/>
        <v>0.13127078926487717</v>
      </c>
      <c r="BW6" s="625">
        <f t="shared" si="43"/>
        <v>0.10849099361086505</v>
      </c>
      <c r="BX6" s="460">
        <f t="shared" ref="BX6:BX69" si="105">(BV6+BW6)*1000</f>
        <v>239.76178287574223</v>
      </c>
      <c r="BY6" s="173">
        <f t="shared" ref="BY6:BY69" si="106">SUM(BK6,BM6:BP6,BV6:BW6)</f>
        <v>0.44382378720048027</v>
      </c>
      <c r="BZ6" s="5">
        <f t="shared" ref="BZ6:BZ69" si="107">MIN(H6+I6,O6+P6)</f>
        <v>1.08</v>
      </c>
      <c r="CA6" s="173">
        <f t="shared" ref="CA6:CA69" si="108">BZ6/(BZ6+BY6)</f>
        <v>0.70874336591381148</v>
      </c>
      <c r="CB6" s="5">
        <f t="shared" ref="CB6:CB69" si="109">CA6*100</f>
        <v>70.874336591381152</v>
      </c>
      <c r="CC6">
        <f t="shared" ref="CC6:CC37" si="110">F6/Iout*100</f>
        <v>1</v>
      </c>
      <c r="CE6" s="562">
        <f t="shared" si="44"/>
        <v>-50</v>
      </c>
      <c r="CF6">
        <f t="shared" si="45"/>
        <v>-50</v>
      </c>
      <c r="CG6" s="173">
        <f t="shared" si="46"/>
        <v>1.8532707265040232E-2</v>
      </c>
      <c r="CH6" s="173">
        <f t="shared" si="47"/>
        <v>4.6118882334287752E-3</v>
      </c>
      <c r="CI6" s="170">
        <v>1</v>
      </c>
      <c r="CJ6" s="217">
        <f>IF(PLOT_TYPE=1, CI6/100*Iout, min_I*EXP(CS6*rr/100))</f>
        <v>6.0000000000000001E-3</v>
      </c>
      <c r="CK6" s="217">
        <f t="shared" ref="CK6:CK69" si="111">IF(PLOT_TYPE=1, CI6/100*Iout2, min_I*EXP(CU6*rr/100))</f>
        <v>5.0000000000000001E-3</v>
      </c>
      <c r="CL6" s="217">
        <f t="shared" si="48"/>
        <v>1.02</v>
      </c>
      <c r="CM6" s="217">
        <f>CK6*Vout2</f>
        <v>0.06</v>
      </c>
      <c r="CN6" s="541">
        <f t="shared" ref="CN6:CN69" si="112">Vin</f>
        <v>12.5</v>
      </c>
      <c r="CO6" s="443">
        <f t="shared" si="49"/>
        <v>8.5350000000000001</v>
      </c>
      <c r="CP6" s="443">
        <f t="shared" si="50"/>
        <v>21.035</v>
      </c>
      <c r="CQ6" s="443"/>
      <c r="CR6" s="217">
        <f t="shared" ref="CR6:CR68" si="113">(Vout+Vfwd1)*Nps/((Vout+Vfwd1)*Nps+CN6)</f>
        <v>0.40546967895362668</v>
      </c>
      <c r="CS6" s="172">
        <f t="shared" ref="CS6:CS69" si="114">CR6*CN6*Isw_max*0.5*Efficiency*Pout/(Pout+Pout2)</f>
        <v>159.55982736601052</v>
      </c>
      <c r="CT6" s="172">
        <f t="shared" si="51"/>
        <v>9.3858721980006177</v>
      </c>
      <c r="CU6" s="217">
        <f t="shared" si="52"/>
        <v>0.93858721980006188</v>
      </c>
      <c r="CV6" s="217">
        <f t="shared" si="53"/>
        <v>13.296652280500878</v>
      </c>
      <c r="CW6" s="443">
        <f t="shared" si="54"/>
        <v>170</v>
      </c>
      <c r="CX6" s="217">
        <f t="shared" si="55"/>
        <v>0.42617243401759525</v>
      </c>
      <c r="CY6" s="217">
        <f t="shared" si="56"/>
        <v>1.7046897360703809E-2</v>
      </c>
      <c r="CZ6" s="217">
        <f t="shared" si="57"/>
        <v>2.4966164851645881E-2</v>
      </c>
      <c r="DA6" s="197">
        <f t="shared" si="58"/>
        <v>350</v>
      </c>
      <c r="DB6" s="443">
        <f t="shared" ref="DB6:DB69" si="115">MIN(1/(CY6+CZ6)*1000, 350)</f>
        <v>350</v>
      </c>
      <c r="DD6" s="217">
        <f t="shared" si="59"/>
        <v>28.98230839756868</v>
      </c>
      <c r="DE6" s="173">
        <f t="shared" si="60"/>
        <v>1.6978505212401103</v>
      </c>
      <c r="DF6" s="173">
        <f t="shared" si="61"/>
        <v>0.40664636548103333</v>
      </c>
      <c r="DG6" s="173"/>
      <c r="DH6" s="173">
        <f t="shared" si="62"/>
        <v>0.78109744190587771</v>
      </c>
      <c r="DI6" s="545">
        <f t="shared" si="63"/>
        <v>24.400058823529417</v>
      </c>
      <c r="DJ6" s="528">
        <f t="shared" si="64"/>
        <v>8.6065366284073561E-2</v>
      </c>
      <c r="DL6" s="173">
        <f t="shared" si="65"/>
        <v>3.5132402626147199</v>
      </c>
      <c r="DM6" s="173">
        <f t="shared" si="66"/>
        <v>13.333333333333334</v>
      </c>
      <c r="DN6" s="173">
        <f t="shared" si="67"/>
        <v>1.0139428907563026</v>
      </c>
      <c r="DP6" s="545">
        <f t="shared" si="68"/>
        <v>6</v>
      </c>
      <c r="DQ6" s="460">
        <f t="shared" si="69"/>
        <v>24.400058823529417</v>
      </c>
      <c r="DS6">
        <f t="shared" ref="DS6:DS69" si="116">IF(CL6&gt;CS6, "",DP6)</f>
        <v>6</v>
      </c>
      <c r="DT6" s="460">
        <f t="shared" si="70"/>
        <v>24.400058823529417</v>
      </c>
      <c r="DU6" s="460"/>
      <c r="DV6" s="5">
        <f t="shared" ref="DV6:DV69" si="117">1/DQ6*1000</f>
        <v>40.98350775432074</v>
      </c>
      <c r="DW6" s="5">
        <f t="shared" si="71"/>
        <v>0.53333333333333333</v>
      </c>
      <c r="DX6" s="5">
        <f t="shared" ref="DX6:DX69" si="118">DV6-DW6</f>
        <v>40.450174420987409</v>
      </c>
      <c r="DY6" s="173">
        <f t="shared" ref="DY6:DY69" si="119">DW6/DV6</f>
        <v>1.3013364705882356E-2</v>
      </c>
      <c r="EA6" s="5">
        <f t="shared" si="72"/>
        <v>1.8823529411764706E-3</v>
      </c>
      <c r="EB6" s="5">
        <f t="shared" si="73"/>
        <v>2.222222222222222E-2</v>
      </c>
      <c r="EC6" s="5">
        <f t="shared" si="74"/>
        <v>5.2811747724041158</v>
      </c>
      <c r="ED6" s="5"/>
      <c r="EE6" s="173">
        <f t="shared" ref="EE6:EE69" si="120">DM6*SQRT(DY6/3)</f>
        <v>0.87815850103564841</v>
      </c>
      <c r="EF6" s="173">
        <f t="shared" si="75"/>
        <v>0.361143802002384</v>
      </c>
      <c r="EG6" s="173">
        <f t="shared" si="76"/>
        <v>0.28553611395000905</v>
      </c>
      <c r="EH6" s="173"/>
      <c r="EI6" s="528">
        <f t="shared" si="77"/>
        <v>3.0846494117647075E-2</v>
      </c>
      <c r="EJ6" s="528">
        <f t="shared" si="78"/>
        <v>0.18819358702941183</v>
      </c>
      <c r="EK6" s="528">
        <f t="shared" si="79"/>
        <v>4.8800117647058829E-3</v>
      </c>
      <c r="EL6" s="528">
        <f t="shared" si="80"/>
        <v>2.1592647835438242E-3</v>
      </c>
      <c r="EM6">
        <f t="shared" si="81"/>
        <v>5.6249999999999998E-3</v>
      </c>
      <c r="EN6" s="460">
        <f t="shared" ref="EN6:EN69" si="121">(EK6+EM6)*1000</f>
        <v>10.505011764705884</v>
      </c>
      <c r="EO6">
        <f t="shared" si="82"/>
        <v>0.24180513162658523</v>
      </c>
      <c r="EP6" s="460">
        <f t="shared" ref="EP6:EP69" si="122">EO6*1000</f>
        <v>241.80513162658522</v>
      </c>
      <c r="EQ6" s="173">
        <f t="shared" si="83"/>
        <v>5.208E-3</v>
      </c>
      <c r="ER6" s="173">
        <f t="shared" si="84"/>
        <v>4.3399999999999992E-3</v>
      </c>
      <c r="ES6" s="528"/>
      <c r="EU6" s="460">
        <f t="shared" ref="EU6:EU69" si="123">SUM(EQ6:ET6)*1000</f>
        <v>9.548</v>
      </c>
      <c r="EV6" s="528">
        <f t="shared" si="85"/>
        <v>2.3134870588235306E-2</v>
      </c>
      <c r="EW6" s="528">
        <f t="shared" ref="EW6:EW69" si="124">Rdcr_sec*EF6^2</f>
        <v>3.9127453717421141E-3</v>
      </c>
      <c r="EX6" s="528">
        <f t="shared" si="86"/>
        <v>4.0765436184836282E-4</v>
      </c>
      <c r="EY6" s="528">
        <f t="shared" si="87"/>
        <v>9.5453977355342542E-2</v>
      </c>
      <c r="EZ6" s="528">
        <f t="shared" si="88"/>
        <v>0.12978357199861085</v>
      </c>
      <c r="FA6" s="625">
        <f t="shared" si="89"/>
        <v>0.10844470588235297</v>
      </c>
      <c r="FB6" s="460">
        <f t="shared" ref="FB6:FB69" si="125">(EZ6+FA6)*1000</f>
        <v>238.22827788096382</v>
      </c>
      <c r="FC6" s="173">
        <f t="shared" ref="FC6:FC69" si="126">SUM(EO6,EQ6:ET6,EZ6:FA6)</f>
        <v>0.48958140950754903</v>
      </c>
      <c r="FD6" s="5">
        <f t="shared" ref="FD6:FD69" si="127">MIN(CL6+CM6,CS6+CT6)</f>
        <v>1.08</v>
      </c>
      <c r="FE6" s="173">
        <f t="shared" ref="FE6:FE69" si="128">FD6/(FD6+FC6)</f>
        <v>0.68808154419900169</v>
      </c>
      <c r="FF6" s="5">
        <f t="shared" ref="FF6:FF69" si="129">FE6*100</f>
        <v>68.808154419900163</v>
      </c>
      <c r="FG6">
        <f t="shared" ref="FG6:FG69" si="130">CJ6/Iout*100</f>
        <v>1</v>
      </c>
      <c r="FI6" s="562">
        <f t="shared" si="90"/>
        <v>-50</v>
      </c>
      <c r="FJ6">
        <f t="shared" si="91"/>
        <v>-50</v>
      </c>
      <c r="FL6">
        <f t="shared" si="92"/>
        <v>1.8532707265040232E-2</v>
      </c>
    </row>
    <row r="7" spans="2:169">
      <c r="E7" s="170">
        <v>2</v>
      </c>
      <c r="F7" s="217">
        <f>IF(PLOT_TYPE=1, E7/100*Iout, min_I*EXP(O7*rr/100))</f>
        <v>1.2E-2</v>
      </c>
      <c r="G7" s="217">
        <f t="shared" si="93"/>
        <v>0.01</v>
      </c>
      <c r="H7" s="217">
        <f t="shared" si="0"/>
        <v>2.04</v>
      </c>
      <c r="I7" s="217">
        <f>G7*Vout2</f>
        <v>0.12</v>
      </c>
      <c r="J7" s="541">
        <f t="shared" si="1"/>
        <v>11.933822443405219</v>
      </c>
      <c r="K7" s="443">
        <f t="shared" si="2"/>
        <v>8.5386430156699316</v>
      </c>
      <c r="L7" s="172">
        <f t="shared" si="3"/>
        <v>20.472465459075153</v>
      </c>
      <c r="M7" s="443"/>
      <c r="N7" s="217">
        <f t="shared" si="4"/>
        <v>0.41707937095992864</v>
      </c>
      <c r="O7" s="172">
        <f t="shared" si="94"/>
        <v>156.69438830246256</v>
      </c>
      <c r="P7" s="172">
        <f t="shared" si="5"/>
        <v>9.2173169589683841</v>
      </c>
      <c r="Q7" s="217">
        <f t="shared" si="6"/>
        <v>0.92173169589683857</v>
      </c>
      <c r="R7" s="217">
        <f t="shared" si="7"/>
        <v>13.05786569187188</v>
      </c>
      <c r="S7" s="443">
        <f t="shared" si="8"/>
        <v>170</v>
      </c>
      <c r="T7" s="217">
        <f t="shared" si="9"/>
        <v>0.8679315288399686</v>
      </c>
      <c r="U7" s="217">
        <f t="shared" si="10"/>
        <v>3.6364355719051208E-2</v>
      </c>
      <c r="V7" s="217">
        <f t="shared" si="11"/>
        <v>5.0823739044199387E-2</v>
      </c>
      <c r="W7" s="197">
        <f t="shared" si="12"/>
        <v>350</v>
      </c>
      <c r="X7" s="443">
        <f t="shared" si="95"/>
        <v>350</v>
      </c>
      <c r="Z7" s="217">
        <f t="shared" si="13"/>
        <v>28.442006616245301</v>
      </c>
      <c r="AA7" s="173">
        <f t="shared" si="14"/>
        <v>1.6654875115430607</v>
      </c>
      <c r="AB7" s="173">
        <f t="shared" si="15"/>
        <v>0.39145882026994572</v>
      </c>
      <c r="AC7" s="173"/>
      <c r="AD7" s="173">
        <f t="shared" si="16"/>
        <v>0.78076418635047107</v>
      </c>
      <c r="AE7" s="545">
        <f t="shared" si="17"/>
        <v>48.820947124889265</v>
      </c>
      <c r="AF7" s="528">
        <f t="shared" si="18"/>
        <v>8.6028646458987085E-2</v>
      </c>
      <c r="AH7" s="173">
        <f t="shared" si="19"/>
        <v>4.9684720272649505</v>
      </c>
      <c r="AI7" s="173">
        <f t="shared" si="20"/>
        <v>13.333333333333334</v>
      </c>
      <c r="AJ7" s="173">
        <f t="shared" si="21"/>
        <v>1.0278976840713654</v>
      </c>
      <c r="AL7" s="545">
        <f t="shared" si="22"/>
        <v>12</v>
      </c>
      <c r="AM7" s="460">
        <f t="shared" si="23"/>
        <v>48.820947124889265</v>
      </c>
      <c r="AO7">
        <f t="shared" si="96"/>
        <v>12</v>
      </c>
      <c r="AP7" s="460">
        <f t="shared" si="24"/>
        <v>48.820947124889265</v>
      </c>
      <c r="AQ7" s="460"/>
      <c r="AR7" s="5">
        <f t="shared" si="97"/>
        <v>20.483011061663589</v>
      </c>
      <c r="AS7" s="5">
        <f t="shared" si="25"/>
        <v>0.55863632111861616</v>
      </c>
      <c r="AT7" s="5">
        <f t="shared" si="98"/>
        <v>19.924374740544973</v>
      </c>
      <c r="AU7" s="173">
        <f t="shared" si="99"/>
        <v>2.7273154295374618E-2</v>
      </c>
      <c r="AW7" s="5">
        <f t="shared" si="26"/>
        <v>3.9433152078961137E-3</v>
      </c>
      <c r="AX7" s="5">
        <f t="shared" si="27"/>
        <v>4.655302675988468E-2</v>
      </c>
      <c r="AY7" s="5">
        <f t="shared" si="28"/>
        <v>5.4494827170046367</v>
      </c>
      <c r="AZ7" s="5"/>
      <c r="BA7" s="173">
        <f t="shared" si="100"/>
        <v>1.2712934048469633</v>
      </c>
      <c r="BB7" s="173">
        <f t="shared" si="29"/>
        <v>0.35852544275060011</v>
      </c>
      <c r="BC7" s="173">
        <f t="shared" si="30"/>
        <v>0.2834659243979965</v>
      </c>
      <c r="BD7" s="173"/>
      <c r="BE7" s="528">
        <f t="shared" si="31"/>
        <v>6.4647476848295402E-2</v>
      </c>
      <c r="BF7" s="528">
        <f t="shared" si="32"/>
        <v>0.299845546108089</v>
      </c>
      <c r="BG7" s="528">
        <f t="shared" si="33"/>
        <v>2.330482058029212E-2</v>
      </c>
      <c r="BH7" s="528">
        <f t="shared" si="34"/>
        <v>4.0923850571702516E-3</v>
      </c>
      <c r="BI7">
        <f t="shared" si="35"/>
        <v>5.3702200995323487E-3</v>
      </c>
      <c r="BJ7" s="460">
        <f t="shared" si="101"/>
        <v>28.67504067982447</v>
      </c>
      <c r="BK7">
        <f t="shared" si="36"/>
        <v>0.39206239950973981</v>
      </c>
      <c r="BL7" s="460">
        <f t="shared" si="102"/>
        <v>392.06239950973981</v>
      </c>
      <c r="BM7" s="173">
        <f t="shared" si="37"/>
        <v>1.0416E-2</v>
      </c>
      <c r="BN7" s="173">
        <f t="shared" si="38"/>
        <v>8.6799999999999985E-3</v>
      </c>
      <c r="BO7" s="528"/>
      <c r="BQ7" s="460">
        <f t="shared" si="103"/>
        <v>19.096</v>
      </c>
      <c r="BR7" s="528">
        <f t="shared" si="39"/>
        <v>4.8485607636221548E-2</v>
      </c>
      <c r="BS7" s="528">
        <f t="shared" si="104"/>
        <v>3.8562147929854153E-3</v>
      </c>
      <c r="BT7" s="528">
        <f t="shared" si="40"/>
        <v>4.0176465147405334E-4</v>
      </c>
      <c r="BU7" s="528">
        <f t="shared" si="41"/>
        <v>0.54054561299298054</v>
      </c>
      <c r="BV7" s="528">
        <f t="shared" si="42"/>
        <v>0.60851528327971205</v>
      </c>
      <c r="BW7" s="625">
        <f t="shared" si="43"/>
        <v>0.21698198722173009</v>
      </c>
      <c r="BX7" s="460">
        <f t="shared" si="105"/>
        <v>825.49727050144213</v>
      </c>
      <c r="BY7" s="173">
        <f t="shared" si="106"/>
        <v>1.2366556700111819</v>
      </c>
      <c r="BZ7" s="5">
        <f t="shared" si="107"/>
        <v>2.16</v>
      </c>
      <c r="CA7" s="173">
        <f t="shared" si="108"/>
        <v>0.63591962502130495</v>
      </c>
      <c r="CB7" s="5">
        <f t="shared" si="109"/>
        <v>63.591962502130492</v>
      </c>
      <c r="CC7">
        <f t="shared" si="110"/>
        <v>2</v>
      </c>
      <c r="CE7" s="562">
        <f t="shared" si="44"/>
        <v>-50</v>
      </c>
      <c r="CF7">
        <f t="shared" si="45"/>
        <v>-50</v>
      </c>
      <c r="CG7" s="173">
        <f t="shared" si="46"/>
        <v>3.7065414530080464E-2</v>
      </c>
      <c r="CH7" s="173">
        <f t="shared" si="47"/>
        <v>9.2237764668575504E-3</v>
      </c>
      <c r="CI7" s="170">
        <v>2</v>
      </c>
      <c r="CJ7" s="217">
        <f>IF(PLOT_TYPE=1, CI7/100*Iout, min_I*EXP(CS7*rr/100))</f>
        <v>1.2E-2</v>
      </c>
      <c r="CK7" s="217">
        <f t="shared" si="111"/>
        <v>0.01</v>
      </c>
      <c r="CL7" s="217">
        <f t="shared" si="48"/>
        <v>2.04</v>
      </c>
      <c r="CM7" s="217">
        <f>CK7*Vout2</f>
        <v>0.12</v>
      </c>
      <c r="CN7" s="541">
        <f t="shared" si="112"/>
        <v>12.5</v>
      </c>
      <c r="CO7" s="443">
        <f t="shared" si="49"/>
        <v>8.5350000000000001</v>
      </c>
      <c r="CP7" s="443">
        <f t="shared" si="50"/>
        <v>21.035</v>
      </c>
      <c r="CQ7" s="443"/>
      <c r="CR7" s="217">
        <f t="shared" si="113"/>
        <v>0.40546967895362668</v>
      </c>
      <c r="CS7" s="172">
        <f t="shared" si="114"/>
        <v>159.55982736601052</v>
      </c>
      <c r="CT7" s="172">
        <f t="shared" si="51"/>
        <v>9.3858721980006177</v>
      </c>
      <c r="CU7" s="217">
        <f t="shared" si="52"/>
        <v>0.93858721980006188</v>
      </c>
      <c r="CV7" s="217">
        <f t="shared" si="53"/>
        <v>13.296652280500878</v>
      </c>
      <c r="CW7" s="443">
        <f t="shared" si="54"/>
        <v>170</v>
      </c>
      <c r="CX7" s="217">
        <f t="shared" si="55"/>
        <v>0.85234486803519049</v>
      </c>
      <c r="CY7" s="217">
        <f t="shared" si="56"/>
        <v>3.4093794721407618E-2</v>
      </c>
      <c r="CZ7" s="217">
        <f t="shared" si="57"/>
        <v>4.9932329703291763E-2</v>
      </c>
      <c r="DA7" s="197">
        <f t="shared" si="58"/>
        <v>350</v>
      </c>
      <c r="DB7" s="443">
        <f t="shared" si="115"/>
        <v>350</v>
      </c>
      <c r="DD7" s="217">
        <f t="shared" si="59"/>
        <v>28.98230839756868</v>
      </c>
      <c r="DE7" s="173">
        <f t="shared" si="60"/>
        <v>1.6978505212401103</v>
      </c>
      <c r="DF7" s="173">
        <f t="shared" si="61"/>
        <v>0.40664636548103333</v>
      </c>
      <c r="DG7" s="173"/>
      <c r="DH7" s="173">
        <f t="shared" si="62"/>
        <v>0.78109744190587771</v>
      </c>
      <c r="DI7" s="545">
        <f t="shared" si="63"/>
        <v>48.800117647058833</v>
      </c>
      <c r="DJ7" s="528">
        <f t="shared" si="64"/>
        <v>8.6065366284073561E-2</v>
      </c>
      <c r="DL7" s="173">
        <f t="shared" si="65"/>
        <v>4.9684720272649505</v>
      </c>
      <c r="DM7" s="173">
        <f t="shared" si="66"/>
        <v>13.333333333333334</v>
      </c>
      <c r="DN7" s="173">
        <f t="shared" si="67"/>
        <v>1.027885781512605</v>
      </c>
      <c r="DP7" s="545">
        <f t="shared" si="68"/>
        <v>12</v>
      </c>
      <c r="DQ7" s="460">
        <f t="shared" si="69"/>
        <v>48.800117647058833</v>
      </c>
      <c r="DS7">
        <f t="shared" si="116"/>
        <v>12</v>
      </c>
      <c r="DT7" s="460">
        <f t="shared" si="70"/>
        <v>48.800117647058833</v>
      </c>
      <c r="DU7" s="460"/>
      <c r="DV7" s="5">
        <f t="shared" si="117"/>
        <v>20.49175387716037</v>
      </c>
      <c r="DW7" s="5">
        <f t="shared" si="71"/>
        <v>0.53333333333333333</v>
      </c>
      <c r="DX7" s="5">
        <f t="shared" si="118"/>
        <v>19.958420543827035</v>
      </c>
      <c r="DY7" s="173">
        <f t="shared" si="119"/>
        <v>2.6026729411764711E-2</v>
      </c>
      <c r="EA7" s="5">
        <f t="shared" si="72"/>
        <v>3.7647058823529413E-3</v>
      </c>
      <c r="EB7" s="5">
        <f t="shared" si="73"/>
        <v>4.4444444444444439E-2</v>
      </c>
      <c r="EC7" s="5">
        <f t="shared" si="74"/>
        <v>5.2115427724041163</v>
      </c>
      <c r="ED7" s="5"/>
      <c r="EE7" s="173">
        <f t="shared" si="120"/>
        <v>1.2419036620778414</v>
      </c>
      <c r="EF7" s="173">
        <f t="shared" si="75"/>
        <v>0.35875507143494523</v>
      </c>
      <c r="EG7" s="173">
        <f t="shared" si="76"/>
        <v>0.28364747889738379</v>
      </c>
      <c r="EH7" s="173"/>
      <c r="EI7" s="528">
        <f t="shared" si="77"/>
        <v>6.1692988235294129E-2</v>
      </c>
      <c r="EJ7" s="528">
        <f t="shared" si="78"/>
        <v>0.37638717405882366</v>
      </c>
      <c r="EK7" s="528">
        <f t="shared" si="79"/>
        <v>9.7600235294117658E-3</v>
      </c>
      <c r="EL7" s="528">
        <f t="shared" si="80"/>
        <v>4.3185295670876483E-3</v>
      </c>
      <c r="EM7">
        <f t="shared" si="81"/>
        <v>5.6249999999999998E-3</v>
      </c>
      <c r="EN7" s="460">
        <f t="shared" si="121"/>
        <v>15.385023529411766</v>
      </c>
      <c r="EO7">
        <f t="shared" si="82"/>
        <v>0.48149875324211883</v>
      </c>
      <c r="EP7" s="460">
        <f t="shared" si="122"/>
        <v>481.49875324211882</v>
      </c>
      <c r="EQ7" s="173">
        <f t="shared" si="83"/>
        <v>1.0416E-2</v>
      </c>
      <c r="ER7" s="173">
        <f t="shared" si="84"/>
        <v>8.6799999999999985E-3</v>
      </c>
      <c r="ES7" s="528"/>
      <c r="EU7" s="460">
        <f t="shared" si="123"/>
        <v>19.096</v>
      </c>
      <c r="EV7" s="528">
        <f t="shared" si="85"/>
        <v>4.6269741176470598E-2</v>
      </c>
      <c r="EW7" s="528">
        <f t="shared" si="124"/>
        <v>3.8611560384087789E-3</v>
      </c>
      <c r="EX7" s="528">
        <f t="shared" si="86"/>
        <v>4.0227946142420892E-4</v>
      </c>
      <c r="EY7" s="528">
        <f t="shared" si="87"/>
        <v>0.53996923743351932</v>
      </c>
      <c r="EZ7" s="528">
        <f t="shared" si="88"/>
        <v>0.60507649149191489</v>
      </c>
      <c r="FA7" s="625">
        <f t="shared" si="89"/>
        <v>0.21688941176470594</v>
      </c>
      <c r="FB7" s="460">
        <f t="shared" si="125"/>
        <v>821.96590325662089</v>
      </c>
      <c r="FC7" s="173">
        <f t="shared" si="126"/>
        <v>1.3225606564987396</v>
      </c>
      <c r="FD7" s="5">
        <f t="shared" si="127"/>
        <v>2.16</v>
      </c>
      <c r="FE7" s="173">
        <f t="shared" si="128"/>
        <v>0.62023327460765554</v>
      </c>
      <c r="FF7" s="5">
        <f t="shared" si="129"/>
        <v>62.023327460765557</v>
      </c>
      <c r="FG7">
        <f t="shared" si="130"/>
        <v>2</v>
      </c>
      <c r="FI7" s="562">
        <f t="shared" si="90"/>
        <v>-50</v>
      </c>
      <c r="FJ7">
        <f t="shared" si="91"/>
        <v>-50</v>
      </c>
      <c r="FL7">
        <f t="shared" si="92"/>
        <v>3.7065414530080464E-2</v>
      </c>
    </row>
    <row r="8" spans="2:169">
      <c r="E8" s="170">
        <v>3</v>
      </c>
      <c r="F8" s="217">
        <f t="shared" ref="F8:F39" si="131">IF(PLOT_TYPE=1, E8/100*Iout_max, min_I*EXP(O8*rr/100))</f>
        <v>1.7999999999999999E-2</v>
      </c>
      <c r="G8" s="217">
        <f t="shared" si="93"/>
        <v>1.4999999999999999E-2</v>
      </c>
      <c r="H8" s="217">
        <f t="shared" si="0"/>
        <v>3.0599999999999996</v>
      </c>
      <c r="I8" s="217">
        <f t="shared" ref="I8:I39" si="132">Vout2*G8</f>
        <v>0.18</v>
      </c>
      <c r="J8" s="541">
        <f t="shared" si="1"/>
        <v>11.933822443405219</v>
      </c>
      <c r="K8" s="443">
        <f t="shared" si="2"/>
        <v>8.5386430156699316</v>
      </c>
      <c r="L8" s="172">
        <f t="shared" si="3"/>
        <v>20.472465459075153</v>
      </c>
      <c r="M8" s="443"/>
      <c r="N8" s="217">
        <f t="shared" si="4"/>
        <v>0.41707937095992864</v>
      </c>
      <c r="O8" s="172">
        <f t="shared" si="94"/>
        <v>156.69438830246256</v>
      </c>
      <c r="P8" s="172">
        <f t="shared" si="5"/>
        <v>9.2173169589683841</v>
      </c>
      <c r="Q8" s="217">
        <f t="shared" si="6"/>
        <v>0.92173169589683857</v>
      </c>
      <c r="R8" s="217">
        <f t="shared" si="7"/>
        <v>13.05786569187188</v>
      </c>
      <c r="S8" s="443">
        <f t="shared" si="8"/>
        <v>170</v>
      </c>
      <c r="T8" s="217">
        <f t="shared" si="9"/>
        <v>1.3018972932599528</v>
      </c>
      <c r="U8" s="217">
        <f t="shared" si="10"/>
        <v>5.4546533578576813E-2</v>
      </c>
      <c r="V8" s="217">
        <f t="shared" si="11"/>
        <v>7.6235608566299073E-2</v>
      </c>
      <c r="W8" s="197">
        <f t="shared" si="12"/>
        <v>350</v>
      </c>
      <c r="X8" s="443">
        <f t="shared" si="95"/>
        <v>350</v>
      </c>
      <c r="Z8" s="217">
        <f t="shared" si="13"/>
        <v>28.442006616245301</v>
      </c>
      <c r="AA8" s="173">
        <f t="shared" si="14"/>
        <v>1.6654875115430607</v>
      </c>
      <c r="AB8" s="173">
        <f t="shared" si="15"/>
        <v>0.39145882026994572</v>
      </c>
      <c r="AC8" s="173"/>
      <c r="AD8" s="173">
        <f t="shared" si="16"/>
        <v>0.78076418635047107</v>
      </c>
      <c r="AE8" s="545">
        <f t="shared" si="17"/>
        <v>73.231420687333895</v>
      </c>
      <c r="AF8" s="528">
        <f t="shared" si="18"/>
        <v>8.6028646458987085E-2</v>
      </c>
      <c r="AH8" s="173">
        <f t="shared" si="19"/>
        <v>6.0851106340453187</v>
      </c>
      <c r="AI8" s="173">
        <f t="shared" si="20"/>
        <v>13.333333333333334</v>
      </c>
      <c r="AJ8" s="173">
        <f t="shared" si="21"/>
        <v>1.041846526107048</v>
      </c>
      <c r="AL8" s="545">
        <f t="shared" si="22"/>
        <v>18</v>
      </c>
      <c r="AM8" s="460">
        <f t="shared" si="23"/>
        <v>73.231420687333895</v>
      </c>
      <c r="AO8">
        <f t="shared" si="96"/>
        <v>18</v>
      </c>
      <c r="AP8" s="460">
        <f t="shared" si="24"/>
        <v>73.231420687333895</v>
      </c>
      <c r="AQ8" s="460"/>
      <c r="AR8" s="5">
        <f t="shared" si="97"/>
        <v>13.655340707775727</v>
      </c>
      <c r="AS8" s="5">
        <f t="shared" si="25"/>
        <v>0.55863632111861616</v>
      </c>
      <c r="AT8" s="5">
        <f t="shared" si="98"/>
        <v>13.096704386657111</v>
      </c>
      <c r="AU8" s="173">
        <f t="shared" si="99"/>
        <v>4.0909731443061925E-2</v>
      </c>
      <c r="AW8" s="5">
        <f t="shared" si="26"/>
        <v>5.914972811844171E-3</v>
      </c>
      <c r="AX8" s="5">
        <f t="shared" si="27"/>
        <v>6.982954013982702E-2</v>
      </c>
      <c r="AY8" s="5">
        <f t="shared" si="28"/>
        <v>5.3730868697906207</v>
      </c>
      <c r="AZ8" s="5"/>
      <c r="BA8" s="173">
        <f t="shared" si="100"/>
        <v>1.5570100776202693</v>
      </c>
      <c r="BB8" s="173">
        <f t="shared" si="29"/>
        <v>0.35600350358483834</v>
      </c>
      <c r="BC8" s="173">
        <f t="shared" si="30"/>
        <v>0.28147196879079162</v>
      </c>
      <c r="BD8" s="173"/>
      <c r="BE8" s="528">
        <f t="shared" si="31"/>
        <v>9.6971215272443081E-2</v>
      </c>
      <c r="BF8" s="528">
        <f t="shared" si="32"/>
        <v>0.4497683191621335</v>
      </c>
      <c r="BG8" s="528">
        <f t="shared" si="33"/>
        <v>3.4957230870438172E-2</v>
      </c>
      <c r="BH8" s="528">
        <f t="shared" si="34"/>
        <v>6.1385775857553766E-3</v>
      </c>
      <c r="BI8">
        <f t="shared" si="35"/>
        <v>5.3702200995323487E-3</v>
      </c>
      <c r="BJ8" s="460">
        <f t="shared" si="101"/>
        <v>40.327450969970521</v>
      </c>
      <c r="BK8">
        <f t="shared" si="36"/>
        <v>0.59271674783584505</v>
      </c>
      <c r="BL8" s="460">
        <f t="shared" si="102"/>
        <v>592.71674783584501</v>
      </c>
      <c r="BM8" s="173">
        <f t="shared" si="37"/>
        <v>1.5623999999999997E-2</v>
      </c>
      <c r="BN8" s="173">
        <f t="shared" si="38"/>
        <v>1.3019999999999999E-2</v>
      </c>
      <c r="BO8" s="528"/>
      <c r="BQ8" s="460">
        <f t="shared" si="103"/>
        <v>28.643999999999995</v>
      </c>
      <c r="BR8" s="528">
        <f t="shared" si="39"/>
        <v>7.2728411454332301E-2</v>
      </c>
      <c r="BS8" s="528">
        <f t="shared" si="104"/>
        <v>3.8021548369404001E-3</v>
      </c>
      <c r="BT8" s="528">
        <f t="shared" si="40"/>
        <v>3.961323460748219E-4</v>
      </c>
      <c r="BU8" s="528">
        <f t="shared" si="41"/>
        <v>1.4895685513493453</v>
      </c>
      <c r="BV8" s="528">
        <f t="shared" si="42"/>
        <v>1.5947721018898426</v>
      </c>
      <c r="BW8" s="625">
        <f t="shared" si="43"/>
        <v>0.32547298083259513</v>
      </c>
      <c r="BX8" s="460">
        <f t="shared" si="105"/>
        <v>1920.2450827224377</v>
      </c>
      <c r="BY8" s="173">
        <f t="shared" si="106"/>
        <v>2.5416058305582827</v>
      </c>
      <c r="BZ8" s="5">
        <f t="shared" si="107"/>
        <v>3.2399999999999998</v>
      </c>
      <c r="CA8" s="173">
        <f t="shared" si="108"/>
        <v>0.56039794046062452</v>
      </c>
      <c r="CB8" s="5">
        <f t="shared" si="109"/>
        <v>56.039794046062454</v>
      </c>
      <c r="CC8">
        <f t="shared" si="110"/>
        <v>3</v>
      </c>
      <c r="CE8" s="562">
        <f t="shared" si="44"/>
        <v>-50</v>
      </c>
      <c r="CF8">
        <f t="shared" si="45"/>
        <v>-50</v>
      </c>
      <c r="CG8" s="173">
        <f t="shared" si="46"/>
        <v>5.5598121795120692E-2</v>
      </c>
      <c r="CH8" s="173">
        <f t="shared" si="47"/>
        <v>1.3835664700286326E-2</v>
      </c>
      <c r="CI8" s="170">
        <v>3</v>
      </c>
      <c r="CJ8" s="217">
        <f t="shared" ref="CJ8:CJ71" si="133">IF(PLOT_TYPE=1, CI8/100*Iout_max, min_I*EXP(CS8*rr/100))</f>
        <v>1.7999999999999999E-2</v>
      </c>
      <c r="CK8" s="217">
        <f t="shared" si="111"/>
        <v>1.4999999999999999E-2</v>
      </c>
      <c r="CL8" s="217">
        <f t="shared" si="48"/>
        <v>3.0599999999999996</v>
      </c>
      <c r="CM8" s="217">
        <f t="shared" ref="CM8:CM71" si="134">Vout2*CK8</f>
        <v>0.18</v>
      </c>
      <c r="CN8" s="541">
        <f t="shared" si="112"/>
        <v>12.5</v>
      </c>
      <c r="CO8" s="443">
        <f t="shared" si="49"/>
        <v>8.5350000000000001</v>
      </c>
      <c r="CP8" s="443">
        <f t="shared" si="50"/>
        <v>21.035</v>
      </c>
      <c r="CQ8" s="443"/>
      <c r="CR8" s="217">
        <f t="shared" si="113"/>
        <v>0.40546967895362668</v>
      </c>
      <c r="CS8" s="172">
        <f t="shared" si="114"/>
        <v>159.55982736601052</v>
      </c>
      <c r="CT8" s="172">
        <f t="shared" si="51"/>
        <v>9.3858721980006177</v>
      </c>
      <c r="CU8" s="217">
        <f t="shared" si="52"/>
        <v>0.93858721980006188</v>
      </c>
      <c r="CV8" s="217">
        <f t="shared" si="53"/>
        <v>13.296652280500878</v>
      </c>
      <c r="CW8" s="443">
        <f t="shared" si="54"/>
        <v>170</v>
      </c>
      <c r="CX8" s="217">
        <f t="shared" si="55"/>
        <v>1.2785173020527856</v>
      </c>
      <c r="CY8" s="217">
        <f t="shared" si="56"/>
        <v>5.1140692082111423E-2</v>
      </c>
      <c r="CZ8" s="217">
        <f t="shared" si="57"/>
        <v>7.4898494554937634E-2</v>
      </c>
      <c r="DA8" s="197">
        <f t="shared" si="58"/>
        <v>350</v>
      </c>
      <c r="DB8" s="443">
        <f t="shared" si="115"/>
        <v>350</v>
      </c>
      <c r="DD8" s="217">
        <f t="shared" si="59"/>
        <v>28.98230839756868</v>
      </c>
      <c r="DE8" s="173">
        <f t="shared" si="60"/>
        <v>1.6978505212401103</v>
      </c>
      <c r="DF8" s="173">
        <f t="shared" si="61"/>
        <v>0.40664636548103333</v>
      </c>
      <c r="DG8" s="173"/>
      <c r="DH8" s="173">
        <f t="shared" si="62"/>
        <v>0.78109744190587771</v>
      </c>
      <c r="DI8" s="545">
        <f t="shared" si="63"/>
        <v>73.200176470588232</v>
      </c>
      <c r="DJ8" s="528">
        <f t="shared" si="64"/>
        <v>8.6065366284073561E-2</v>
      </c>
      <c r="DL8" s="173">
        <f t="shared" si="65"/>
        <v>6.0851106340453187</v>
      </c>
      <c r="DM8" s="173">
        <f t="shared" si="66"/>
        <v>13.333333333333334</v>
      </c>
      <c r="DN8" s="173">
        <f t="shared" si="67"/>
        <v>1.0418286722689076</v>
      </c>
      <c r="DP8" s="545">
        <f t="shared" si="68"/>
        <v>18</v>
      </c>
      <c r="DQ8" s="460">
        <f t="shared" si="69"/>
        <v>73.200176470588232</v>
      </c>
      <c r="DS8">
        <f t="shared" si="116"/>
        <v>18</v>
      </c>
      <c r="DT8" s="460">
        <f t="shared" si="70"/>
        <v>73.200176470588232</v>
      </c>
      <c r="DU8" s="460"/>
      <c r="DV8" s="5">
        <f t="shared" si="117"/>
        <v>13.661169251440249</v>
      </c>
      <c r="DW8" s="5">
        <f t="shared" si="71"/>
        <v>0.53333333333333333</v>
      </c>
      <c r="DX8" s="5">
        <f t="shared" si="118"/>
        <v>13.127835918106916</v>
      </c>
      <c r="DY8" s="173">
        <f t="shared" si="119"/>
        <v>3.9040094117647056E-2</v>
      </c>
      <c r="EA8" s="5">
        <f t="shared" si="72"/>
        <v>5.6470588235294113E-3</v>
      </c>
      <c r="EB8" s="5">
        <f t="shared" si="73"/>
        <v>6.6666666666666666E-2</v>
      </c>
      <c r="EC8" s="5">
        <f t="shared" si="74"/>
        <v>5.141910772404116</v>
      </c>
      <c r="ED8" s="5"/>
      <c r="EE8" s="173">
        <f t="shared" si="120"/>
        <v>1.5210151408922692</v>
      </c>
      <c r="EF8" s="173">
        <f t="shared" si="75"/>
        <v>0.35635032879997208</v>
      </c>
      <c r="EG8" s="173">
        <f t="shared" si="76"/>
        <v>0.28174618400257173</v>
      </c>
      <c r="EH8" s="173"/>
      <c r="EI8" s="528">
        <f t="shared" si="77"/>
        <v>9.2539482352941183E-2</v>
      </c>
      <c r="EJ8" s="528">
        <f t="shared" si="78"/>
        <v>0.56458076108823529</v>
      </c>
      <c r="EK8" s="528">
        <f t="shared" si="79"/>
        <v>1.4640035294117644E-2</v>
      </c>
      <c r="EL8" s="528">
        <f t="shared" si="80"/>
        <v>6.4777943506314703E-3</v>
      </c>
      <c r="EM8">
        <f t="shared" si="81"/>
        <v>5.6249999999999998E-3</v>
      </c>
      <c r="EN8" s="460">
        <f t="shared" si="121"/>
        <v>20.265035294117645</v>
      </c>
      <c r="EO8">
        <f t="shared" si="82"/>
        <v>0.7247848540554831</v>
      </c>
      <c r="EP8" s="460">
        <f t="shared" si="122"/>
        <v>724.78485405548315</v>
      </c>
      <c r="EQ8" s="173">
        <f t="shared" si="83"/>
        <v>1.5623999999999997E-2</v>
      </c>
      <c r="ER8" s="173">
        <f t="shared" si="84"/>
        <v>1.3019999999999999E-2</v>
      </c>
      <c r="ES8" s="528"/>
      <c r="EU8" s="460">
        <f t="shared" si="123"/>
        <v>28.643999999999995</v>
      </c>
      <c r="EV8" s="528">
        <f t="shared" si="85"/>
        <v>6.9404611764705887E-2</v>
      </c>
      <c r="EW8" s="528">
        <f t="shared" si="124"/>
        <v>3.8095667050754467E-3</v>
      </c>
      <c r="EX8" s="528">
        <f t="shared" si="86"/>
        <v>3.9690456100005501E-4</v>
      </c>
      <c r="EY8" s="528">
        <f t="shared" si="87"/>
        <v>1.4879802470758379</v>
      </c>
      <c r="EZ8" s="528">
        <f t="shared" si="88"/>
        <v>1.5886131528096277</v>
      </c>
      <c r="FA8" s="625">
        <f t="shared" si="89"/>
        <v>0.32533411764705883</v>
      </c>
      <c r="FB8" s="460">
        <f t="shared" si="125"/>
        <v>1913.9472704566865</v>
      </c>
      <c r="FC8" s="173">
        <f t="shared" si="126"/>
        <v>2.6673761245121699</v>
      </c>
      <c r="FD8" s="5">
        <f t="shared" si="127"/>
        <v>3.2399999999999998</v>
      </c>
      <c r="FE8" s="173">
        <f t="shared" si="128"/>
        <v>0.54846685426984876</v>
      </c>
      <c r="FF8" s="5">
        <f t="shared" si="129"/>
        <v>54.846685426984877</v>
      </c>
      <c r="FG8">
        <f t="shared" si="130"/>
        <v>3</v>
      </c>
      <c r="FI8" s="562">
        <f t="shared" si="90"/>
        <v>-50</v>
      </c>
      <c r="FJ8">
        <f t="shared" si="91"/>
        <v>-50</v>
      </c>
      <c r="FL8">
        <f t="shared" si="92"/>
        <v>5.5598121795120692E-2</v>
      </c>
    </row>
    <row r="9" spans="2:169">
      <c r="E9" s="170">
        <v>4</v>
      </c>
      <c r="F9" s="217">
        <f t="shared" si="131"/>
        <v>2.4E-2</v>
      </c>
      <c r="G9" s="217">
        <f t="shared" si="93"/>
        <v>0.02</v>
      </c>
      <c r="H9" s="217">
        <f t="shared" si="0"/>
        <v>4.08</v>
      </c>
      <c r="I9" s="217">
        <f t="shared" si="132"/>
        <v>0.24</v>
      </c>
      <c r="J9" s="541">
        <f t="shared" si="1"/>
        <v>11.933822443405219</v>
      </c>
      <c r="K9" s="443">
        <f t="shared" si="2"/>
        <v>8.5386430156699316</v>
      </c>
      <c r="L9" s="172">
        <f t="shared" si="3"/>
        <v>20.472465459075153</v>
      </c>
      <c r="M9" s="443"/>
      <c r="N9" s="217">
        <f t="shared" si="4"/>
        <v>0.41707937095992864</v>
      </c>
      <c r="O9" s="172">
        <f t="shared" si="94"/>
        <v>156.69438830246256</v>
      </c>
      <c r="P9" s="172">
        <f t="shared" si="5"/>
        <v>9.2173169589683841</v>
      </c>
      <c r="Q9" s="217">
        <f t="shared" si="6"/>
        <v>0.92173169589683857</v>
      </c>
      <c r="R9" s="217">
        <f t="shared" si="7"/>
        <v>13.05786569187188</v>
      </c>
      <c r="S9" s="443">
        <f t="shared" si="8"/>
        <v>170</v>
      </c>
      <c r="T9" s="217">
        <f t="shared" si="9"/>
        <v>1.7358630576799372</v>
      </c>
      <c r="U9" s="217">
        <f t="shared" si="10"/>
        <v>7.2728711438102417E-2</v>
      </c>
      <c r="V9" s="217">
        <f t="shared" si="11"/>
        <v>0.10164747808839877</v>
      </c>
      <c r="W9" s="197">
        <f t="shared" si="12"/>
        <v>350</v>
      </c>
      <c r="X9" s="443">
        <f t="shared" si="95"/>
        <v>350</v>
      </c>
      <c r="Z9" s="217">
        <f t="shared" si="13"/>
        <v>28.442006616245301</v>
      </c>
      <c r="AA9" s="173">
        <f t="shared" si="14"/>
        <v>1.6654875115430607</v>
      </c>
      <c r="AB9" s="173">
        <f t="shared" si="15"/>
        <v>0.39145882026994572</v>
      </c>
      <c r="AC9" s="173"/>
      <c r="AD9" s="173">
        <f t="shared" si="16"/>
        <v>0.78076418635047107</v>
      </c>
      <c r="AE9" s="545">
        <f t="shared" si="17"/>
        <v>97.641894249778531</v>
      </c>
      <c r="AF9" s="528">
        <f t="shared" si="18"/>
        <v>8.6028646458987085E-2</v>
      </c>
      <c r="AH9" s="173">
        <f t="shared" si="19"/>
        <v>7.0264805252294398</v>
      </c>
      <c r="AI9" s="173">
        <f t="shared" si="20"/>
        <v>13.333333333333334</v>
      </c>
      <c r="AJ9" s="173">
        <f t="shared" si="21"/>
        <v>1.0557953681427306</v>
      </c>
      <c r="AL9" s="545">
        <f t="shared" si="22"/>
        <v>24</v>
      </c>
      <c r="AM9" s="460">
        <f t="shared" si="23"/>
        <v>97.641894249778531</v>
      </c>
      <c r="AO9">
        <f t="shared" si="96"/>
        <v>24</v>
      </c>
      <c r="AP9" s="460">
        <f t="shared" si="24"/>
        <v>97.641894249778531</v>
      </c>
      <c r="AQ9" s="460"/>
      <c r="AR9" s="5">
        <f t="shared" si="97"/>
        <v>10.241505530831795</v>
      </c>
      <c r="AS9" s="5">
        <f t="shared" si="25"/>
        <v>0.55863632111861616</v>
      </c>
      <c r="AT9" s="5">
        <f t="shared" si="98"/>
        <v>9.6828692097131785</v>
      </c>
      <c r="AU9" s="173">
        <f t="shared" si="99"/>
        <v>5.4546308590749236E-2</v>
      </c>
      <c r="AW9" s="5">
        <f t="shared" si="26"/>
        <v>7.8866304157922274E-3</v>
      </c>
      <c r="AX9" s="5">
        <f t="shared" si="27"/>
        <v>9.3106053519769361E-2</v>
      </c>
      <c r="AY9" s="5">
        <f t="shared" si="28"/>
        <v>5.2966910225766046</v>
      </c>
      <c r="AZ9" s="5"/>
      <c r="BA9" s="173">
        <f t="shared" si="100"/>
        <v>1.7978803748900452</v>
      </c>
      <c r="BB9" s="173">
        <f t="shared" si="29"/>
        <v>0.35346357100816789</v>
      </c>
      <c r="BC9" s="173">
        <f t="shared" si="30"/>
        <v>0.27946378680451256</v>
      </c>
      <c r="BD9" s="173"/>
      <c r="BE9" s="528">
        <f t="shared" si="31"/>
        <v>0.12929495369659078</v>
      </c>
      <c r="BF9" s="528">
        <f t="shared" si="32"/>
        <v>0.599691092216178</v>
      </c>
      <c r="BG9" s="528">
        <f t="shared" si="33"/>
        <v>4.6609641160584241E-2</v>
      </c>
      <c r="BH9" s="528">
        <f t="shared" si="34"/>
        <v>8.1847701143405033E-3</v>
      </c>
      <c r="BI9">
        <f t="shared" si="35"/>
        <v>5.3702200995323487E-3</v>
      </c>
      <c r="BJ9" s="460">
        <f t="shared" si="101"/>
        <v>51.979861260116593</v>
      </c>
      <c r="BK9">
        <f t="shared" si="36"/>
        <v>0.79655087968885741</v>
      </c>
      <c r="BL9" s="460">
        <f t="shared" si="102"/>
        <v>796.55087968885744</v>
      </c>
      <c r="BM9" s="173">
        <f t="shared" si="37"/>
        <v>2.0832E-2</v>
      </c>
      <c r="BN9" s="173">
        <f t="shared" si="38"/>
        <v>1.7359999999999997E-2</v>
      </c>
      <c r="BO9" s="528"/>
      <c r="BQ9" s="460">
        <f t="shared" si="103"/>
        <v>38.192</v>
      </c>
      <c r="BR9" s="528">
        <f t="shared" si="39"/>
        <v>9.6971215272443081E-2</v>
      </c>
      <c r="BS9" s="528">
        <f t="shared" si="104"/>
        <v>3.7480948808953844E-3</v>
      </c>
      <c r="BT9" s="528">
        <f t="shared" si="40"/>
        <v>3.9050004067559029E-4</v>
      </c>
      <c r="BU9" s="528">
        <f t="shared" si="41"/>
        <v>3.0577877479038036</v>
      </c>
      <c r="BV9" s="528">
        <f t="shared" si="42"/>
        <v>3.2091218082985034</v>
      </c>
      <c r="BW9" s="625">
        <f t="shared" si="43"/>
        <v>0.43396397444346019</v>
      </c>
      <c r="BX9" s="460">
        <f t="shared" si="105"/>
        <v>3643.0857827419632</v>
      </c>
      <c r="BY9" s="173">
        <f t="shared" si="106"/>
        <v>4.477828662430821</v>
      </c>
      <c r="BZ9" s="5">
        <f t="shared" si="107"/>
        <v>4.32</v>
      </c>
      <c r="CA9" s="173">
        <f t="shared" si="108"/>
        <v>0.4910302491394955</v>
      </c>
      <c r="CB9" s="5">
        <f t="shared" si="109"/>
        <v>49.103024913949547</v>
      </c>
      <c r="CC9">
        <f t="shared" si="110"/>
        <v>4</v>
      </c>
      <c r="CE9" s="562">
        <f t="shared" si="44"/>
        <v>-50</v>
      </c>
      <c r="CF9">
        <f t="shared" si="45"/>
        <v>-50</v>
      </c>
      <c r="CG9" s="173">
        <f t="shared" si="46"/>
        <v>7.4130829060160927E-2</v>
      </c>
      <c r="CH9" s="173">
        <f t="shared" si="47"/>
        <v>1.8447552933715101E-2</v>
      </c>
      <c r="CI9" s="170">
        <v>4</v>
      </c>
      <c r="CJ9" s="217">
        <f t="shared" si="133"/>
        <v>2.4E-2</v>
      </c>
      <c r="CK9" s="217">
        <f t="shared" si="111"/>
        <v>0.02</v>
      </c>
      <c r="CL9" s="217">
        <f t="shared" si="48"/>
        <v>4.08</v>
      </c>
      <c r="CM9" s="217">
        <f t="shared" si="134"/>
        <v>0.24</v>
      </c>
      <c r="CN9" s="541">
        <f t="shared" si="112"/>
        <v>12.5</v>
      </c>
      <c r="CO9" s="443">
        <f t="shared" si="49"/>
        <v>8.5350000000000001</v>
      </c>
      <c r="CP9" s="443">
        <f t="shared" si="50"/>
        <v>21.035</v>
      </c>
      <c r="CQ9" s="443"/>
      <c r="CR9" s="217">
        <f t="shared" si="113"/>
        <v>0.40546967895362668</v>
      </c>
      <c r="CS9" s="172">
        <f t="shared" si="114"/>
        <v>159.55982736601052</v>
      </c>
      <c r="CT9" s="172">
        <f t="shared" si="51"/>
        <v>9.3858721980006177</v>
      </c>
      <c r="CU9" s="217">
        <f t="shared" si="52"/>
        <v>0.93858721980006188</v>
      </c>
      <c r="CV9" s="217">
        <f t="shared" si="53"/>
        <v>13.296652280500878</v>
      </c>
      <c r="CW9" s="443">
        <f t="shared" si="54"/>
        <v>170</v>
      </c>
      <c r="CX9" s="217">
        <f t="shared" si="55"/>
        <v>1.704689736070381</v>
      </c>
      <c r="CY9" s="217">
        <f t="shared" si="56"/>
        <v>6.8187589442815236E-2</v>
      </c>
      <c r="CZ9" s="217">
        <f t="shared" si="57"/>
        <v>9.9864659406583525E-2</v>
      </c>
      <c r="DA9" s="197">
        <f t="shared" si="58"/>
        <v>350</v>
      </c>
      <c r="DB9" s="443">
        <f t="shared" si="115"/>
        <v>350</v>
      </c>
      <c r="DD9" s="217">
        <f t="shared" si="59"/>
        <v>28.98230839756868</v>
      </c>
      <c r="DE9" s="173">
        <f t="shared" si="60"/>
        <v>1.6978505212401103</v>
      </c>
      <c r="DF9" s="173">
        <f t="shared" si="61"/>
        <v>0.40664636548103333</v>
      </c>
      <c r="DG9" s="173"/>
      <c r="DH9" s="173">
        <f t="shared" si="62"/>
        <v>0.78109744190587771</v>
      </c>
      <c r="DI9" s="545">
        <f t="shared" si="63"/>
        <v>97.600235294117667</v>
      </c>
      <c r="DJ9" s="528">
        <f t="shared" si="64"/>
        <v>8.6065366284073561E-2</v>
      </c>
      <c r="DL9" s="173">
        <f t="shared" si="65"/>
        <v>7.0264805252294398</v>
      </c>
      <c r="DM9" s="173">
        <f t="shared" si="66"/>
        <v>13.333333333333334</v>
      </c>
      <c r="DN9" s="173">
        <f t="shared" si="67"/>
        <v>1.05577156302521</v>
      </c>
      <c r="DP9" s="545">
        <f t="shared" si="68"/>
        <v>24</v>
      </c>
      <c r="DQ9" s="460">
        <f t="shared" si="69"/>
        <v>97.600235294117667</v>
      </c>
      <c r="DS9">
        <f t="shared" si="116"/>
        <v>24</v>
      </c>
      <c r="DT9" s="460">
        <f t="shared" si="70"/>
        <v>97.600235294117667</v>
      </c>
      <c r="DU9" s="460"/>
      <c r="DV9" s="5">
        <f t="shared" si="117"/>
        <v>10.245876938580185</v>
      </c>
      <c r="DW9" s="5">
        <f t="shared" si="71"/>
        <v>0.53333333333333333</v>
      </c>
      <c r="DX9" s="5">
        <f t="shared" si="118"/>
        <v>9.7125436052468519</v>
      </c>
      <c r="DY9" s="173">
        <f t="shared" si="119"/>
        <v>5.2053458823529422E-2</v>
      </c>
      <c r="EA9" s="5">
        <f t="shared" si="72"/>
        <v>7.5294117647058826E-3</v>
      </c>
      <c r="EB9" s="5">
        <f t="shared" si="73"/>
        <v>8.8888888888888878E-2</v>
      </c>
      <c r="EC9" s="5">
        <f t="shared" si="74"/>
        <v>5.0722787724041165</v>
      </c>
      <c r="ED9" s="5"/>
      <c r="EE9" s="173">
        <f t="shared" si="120"/>
        <v>1.7563170020712968</v>
      </c>
      <c r="EF9" s="173">
        <f t="shared" si="75"/>
        <v>0.35392924771965906</v>
      </c>
      <c r="EG9" s="173">
        <f t="shared" si="76"/>
        <v>0.27983197121697917</v>
      </c>
      <c r="EH9" s="173"/>
      <c r="EI9" s="528">
        <f t="shared" si="77"/>
        <v>0.1233859764705883</v>
      </c>
      <c r="EJ9" s="528">
        <f t="shared" si="78"/>
        <v>0.75277434811764732</v>
      </c>
      <c r="EK9" s="528">
        <f t="shared" si="79"/>
        <v>1.9520047058823532E-2</v>
      </c>
      <c r="EL9" s="528">
        <f t="shared" si="80"/>
        <v>8.6370591341752966E-3</v>
      </c>
      <c r="EM9">
        <f t="shared" si="81"/>
        <v>5.6249999999999998E-3</v>
      </c>
      <c r="EN9" s="460">
        <f t="shared" si="121"/>
        <v>25.145047058823533</v>
      </c>
      <c r="EO9">
        <f t="shared" si="82"/>
        <v>0.97174480890156012</v>
      </c>
      <c r="EP9" s="460">
        <f t="shared" si="122"/>
        <v>971.74480890156008</v>
      </c>
      <c r="EQ9" s="173">
        <f t="shared" si="83"/>
        <v>2.0832E-2</v>
      </c>
      <c r="ER9" s="173">
        <f t="shared" si="84"/>
        <v>1.7359999999999997E-2</v>
      </c>
      <c r="ES9" s="528"/>
      <c r="EU9" s="460">
        <f t="shared" si="123"/>
        <v>38.192</v>
      </c>
      <c r="EV9" s="528">
        <f t="shared" si="85"/>
        <v>9.2539482352941224E-2</v>
      </c>
      <c r="EW9" s="528">
        <f t="shared" si="124"/>
        <v>3.7579773717421132E-3</v>
      </c>
      <c r="EX9" s="528">
        <f t="shared" si="86"/>
        <v>3.9152966057590132E-4</v>
      </c>
      <c r="EY9" s="528">
        <f t="shared" si="87"/>
        <v>3.0545272753709622</v>
      </c>
      <c r="EZ9" s="528">
        <f t="shared" si="88"/>
        <v>3.1991675645035595</v>
      </c>
      <c r="FA9" s="625">
        <f t="shared" si="89"/>
        <v>0.43377882352941188</v>
      </c>
      <c r="FB9" s="460">
        <f t="shared" si="125"/>
        <v>3632.9463880329718</v>
      </c>
      <c r="FC9" s="173">
        <f t="shared" si="126"/>
        <v>4.6428831969345321</v>
      </c>
      <c r="FD9" s="5">
        <f t="shared" si="127"/>
        <v>4.32</v>
      </c>
      <c r="FE9" s="173">
        <f t="shared" si="128"/>
        <v>0.48198776053195896</v>
      </c>
      <c r="FF9" s="5">
        <f t="shared" si="129"/>
        <v>48.1987760531959</v>
      </c>
      <c r="FG9">
        <f t="shared" si="130"/>
        <v>4</v>
      </c>
      <c r="FI9" s="562">
        <f t="shared" si="90"/>
        <v>-50</v>
      </c>
      <c r="FJ9">
        <f t="shared" si="91"/>
        <v>-50</v>
      </c>
      <c r="FL9">
        <f t="shared" si="92"/>
        <v>7.4130829060160927E-2</v>
      </c>
    </row>
    <row r="10" spans="2:169">
      <c r="E10" s="170">
        <v>5</v>
      </c>
      <c r="F10" s="217">
        <f t="shared" si="131"/>
        <v>0.03</v>
      </c>
      <c r="G10" s="217">
        <f t="shared" si="93"/>
        <v>2.5000000000000001E-2</v>
      </c>
      <c r="H10" s="217">
        <f t="shared" si="0"/>
        <v>5.0999999999999996</v>
      </c>
      <c r="I10" s="217">
        <f t="shared" si="132"/>
        <v>0.30000000000000004</v>
      </c>
      <c r="J10" s="541">
        <f t="shared" si="1"/>
        <v>11.933822443405219</v>
      </c>
      <c r="K10" s="443">
        <f t="shared" si="2"/>
        <v>8.5386430156699316</v>
      </c>
      <c r="L10" s="172">
        <f t="shared" si="3"/>
        <v>20.472465459075153</v>
      </c>
      <c r="M10" s="443"/>
      <c r="N10" s="217">
        <f t="shared" si="4"/>
        <v>0.41707937095992864</v>
      </c>
      <c r="O10" s="172">
        <f t="shared" si="94"/>
        <v>156.69438830246256</v>
      </c>
      <c r="P10" s="172">
        <f t="shared" si="5"/>
        <v>9.2173169589683841</v>
      </c>
      <c r="Q10" s="217">
        <f t="shared" si="6"/>
        <v>0.92173169589683857</v>
      </c>
      <c r="R10" s="217">
        <f t="shared" si="7"/>
        <v>13.05786569187188</v>
      </c>
      <c r="S10" s="443">
        <f t="shared" si="8"/>
        <v>170</v>
      </c>
      <c r="T10" s="217">
        <f t="shared" si="9"/>
        <v>2.1698288220999213</v>
      </c>
      <c r="U10" s="217">
        <f t="shared" si="10"/>
        <v>9.0910889297628028E-2</v>
      </c>
      <c r="V10" s="217">
        <f t="shared" si="11"/>
        <v>0.12705934761049845</v>
      </c>
      <c r="W10" s="197">
        <f t="shared" si="12"/>
        <v>350</v>
      </c>
      <c r="X10" s="443">
        <f t="shared" si="95"/>
        <v>350</v>
      </c>
      <c r="Z10" s="217">
        <f t="shared" si="13"/>
        <v>28.442006616245301</v>
      </c>
      <c r="AA10" s="173">
        <f t="shared" si="14"/>
        <v>1.6654875115430607</v>
      </c>
      <c r="AB10" s="173">
        <f t="shared" si="15"/>
        <v>0.39145882026994572</v>
      </c>
      <c r="AC10" s="173"/>
      <c r="AD10" s="173">
        <f t="shared" si="16"/>
        <v>0.78076418635047107</v>
      </c>
      <c r="AE10" s="545">
        <f t="shared" si="17"/>
        <v>122.05236781222314</v>
      </c>
      <c r="AF10" s="528">
        <f t="shared" si="18"/>
        <v>8.6028646458987085E-2</v>
      </c>
      <c r="AH10" s="173">
        <f t="shared" si="19"/>
        <v>7.8558440484957259</v>
      </c>
      <c r="AI10" s="173">
        <f t="shared" si="20"/>
        <v>13.333333333333334</v>
      </c>
      <c r="AJ10" s="173">
        <f t="shared" si="21"/>
        <v>1.0697442101784131</v>
      </c>
      <c r="AL10" s="545">
        <f t="shared" si="22"/>
        <v>30</v>
      </c>
      <c r="AM10" s="460">
        <f t="shared" si="23"/>
        <v>122.05236781222314</v>
      </c>
      <c r="AO10">
        <f t="shared" si="96"/>
        <v>30</v>
      </c>
      <c r="AP10" s="460">
        <f t="shared" si="24"/>
        <v>122.05236781222314</v>
      </c>
      <c r="AQ10" s="460"/>
      <c r="AR10" s="5">
        <f t="shared" si="97"/>
        <v>8.1932044246654367</v>
      </c>
      <c r="AS10" s="5">
        <f t="shared" si="25"/>
        <v>0.55863632111861616</v>
      </c>
      <c r="AT10" s="5">
        <f t="shared" si="98"/>
        <v>7.6345681035468207</v>
      </c>
      <c r="AU10" s="173">
        <f t="shared" si="99"/>
        <v>6.8182885738436547E-2</v>
      </c>
      <c r="AW10" s="5">
        <f t="shared" si="26"/>
        <v>9.8582880197402856E-3</v>
      </c>
      <c r="AX10" s="5">
        <f t="shared" si="27"/>
        <v>0.11638256689971171</v>
      </c>
      <c r="AY10" s="5">
        <f t="shared" si="28"/>
        <v>5.2202951753625886</v>
      </c>
      <c r="AZ10" s="5"/>
      <c r="BA10" s="173">
        <f t="shared" si="100"/>
        <v>2.0100913668334739</v>
      </c>
      <c r="BB10" s="173">
        <f t="shared" si="29"/>
        <v>0.35090525429952207</v>
      </c>
      <c r="BC10" s="173">
        <f t="shared" si="30"/>
        <v>0.27744106951796399</v>
      </c>
      <c r="BD10" s="173"/>
      <c r="BE10" s="528">
        <f t="shared" si="31"/>
        <v>0.16161869212073854</v>
      </c>
      <c r="BF10" s="528">
        <f t="shared" si="32"/>
        <v>0.74961386527022233</v>
      </c>
      <c r="BG10" s="528">
        <f t="shared" si="33"/>
        <v>5.8262051450730289E-2</v>
      </c>
      <c r="BH10" s="528">
        <f t="shared" si="34"/>
        <v>1.0230962642925627E-2</v>
      </c>
      <c r="BI10">
        <f t="shared" si="35"/>
        <v>5.3702200995323487E-3</v>
      </c>
      <c r="BJ10" s="460">
        <f t="shared" si="101"/>
        <v>63.632271550262629</v>
      </c>
      <c r="BK10">
        <f t="shared" si="36"/>
        <v>1.0036409841342631</v>
      </c>
      <c r="BL10" s="460">
        <f t="shared" si="102"/>
        <v>1003.640984134263</v>
      </c>
      <c r="BM10" s="173">
        <f t="shared" si="37"/>
        <v>2.6039999999999997E-2</v>
      </c>
      <c r="BN10" s="173">
        <f t="shared" si="38"/>
        <v>2.1699999999999997E-2</v>
      </c>
      <c r="BO10" s="528"/>
      <c r="BQ10" s="460">
        <f t="shared" si="103"/>
        <v>47.739999999999988</v>
      </c>
      <c r="BR10" s="528">
        <f t="shared" si="39"/>
        <v>0.12121401909055389</v>
      </c>
      <c r="BS10" s="528">
        <f t="shared" si="104"/>
        <v>3.6940349248503674E-3</v>
      </c>
      <c r="BT10" s="528">
        <f t="shared" si="40"/>
        <v>3.8486773527635862E-4</v>
      </c>
      <c r="BU10" s="528">
        <f t="shared" si="41"/>
        <v>5.3417353633428837</v>
      </c>
      <c r="BV10" s="528">
        <f t="shared" si="42"/>
        <v>5.5527562708694598</v>
      </c>
      <c r="BW10" s="625">
        <f t="shared" si="43"/>
        <v>0.54245496805432514</v>
      </c>
      <c r="BX10" s="460">
        <f t="shared" si="105"/>
        <v>6095.2112389237845</v>
      </c>
      <c r="BY10" s="173">
        <f t="shared" si="106"/>
        <v>7.1465922230580476</v>
      </c>
      <c r="BZ10" s="5">
        <f t="shared" si="107"/>
        <v>5.3999999999999995</v>
      </c>
      <c r="CA10" s="173">
        <f t="shared" si="108"/>
        <v>0.43039575240804545</v>
      </c>
      <c r="CB10" s="5">
        <f t="shared" si="109"/>
        <v>43.039575240804545</v>
      </c>
      <c r="CC10">
        <f t="shared" si="110"/>
        <v>5</v>
      </c>
      <c r="CE10" s="562">
        <f t="shared" si="44"/>
        <v>-50</v>
      </c>
      <c r="CF10">
        <f t="shared" si="45"/>
        <v>-50</v>
      </c>
      <c r="CG10" s="173">
        <f t="shared" si="46"/>
        <v>9.2663536325201148E-2</v>
      </c>
      <c r="CH10" s="173">
        <f t="shared" si="47"/>
        <v>2.3059441167143875E-2</v>
      </c>
      <c r="CI10" s="170">
        <v>5</v>
      </c>
      <c r="CJ10" s="217">
        <f t="shared" si="133"/>
        <v>0.03</v>
      </c>
      <c r="CK10" s="217">
        <f t="shared" si="111"/>
        <v>2.5000000000000001E-2</v>
      </c>
      <c r="CL10" s="217">
        <f t="shared" si="48"/>
        <v>5.0999999999999996</v>
      </c>
      <c r="CM10" s="217">
        <f t="shared" si="134"/>
        <v>0.30000000000000004</v>
      </c>
      <c r="CN10" s="541">
        <f t="shared" si="112"/>
        <v>12.5</v>
      </c>
      <c r="CO10" s="443">
        <f t="shared" si="49"/>
        <v>8.5350000000000001</v>
      </c>
      <c r="CP10" s="443">
        <f t="shared" si="50"/>
        <v>21.035</v>
      </c>
      <c r="CQ10" s="443"/>
      <c r="CR10" s="217">
        <f t="shared" si="113"/>
        <v>0.40546967895362668</v>
      </c>
      <c r="CS10" s="172">
        <f t="shared" si="114"/>
        <v>159.55982736601052</v>
      </c>
      <c r="CT10" s="172">
        <f t="shared" si="51"/>
        <v>9.3858721980006177</v>
      </c>
      <c r="CU10" s="217">
        <f t="shared" si="52"/>
        <v>0.93858721980006188</v>
      </c>
      <c r="CV10" s="217">
        <f t="shared" si="53"/>
        <v>13.296652280500878</v>
      </c>
      <c r="CW10" s="443">
        <f t="shared" si="54"/>
        <v>170</v>
      </c>
      <c r="CX10" s="217">
        <f t="shared" si="55"/>
        <v>2.1308621700879762</v>
      </c>
      <c r="CY10" s="217">
        <f t="shared" si="56"/>
        <v>8.5234486803519055E-2</v>
      </c>
      <c r="CZ10" s="217">
        <f t="shared" si="57"/>
        <v>0.12483082425822942</v>
      </c>
      <c r="DA10" s="197">
        <f t="shared" si="58"/>
        <v>350</v>
      </c>
      <c r="DB10" s="443">
        <f t="shared" si="115"/>
        <v>350</v>
      </c>
      <c r="DD10" s="217">
        <f t="shared" si="59"/>
        <v>28.98230839756868</v>
      </c>
      <c r="DE10" s="173">
        <f t="shared" si="60"/>
        <v>1.6978505212401103</v>
      </c>
      <c r="DF10" s="173">
        <f t="shared" si="61"/>
        <v>0.40664636548103333</v>
      </c>
      <c r="DG10" s="173"/>
      <c r="DH10" s="173">
        <f t="shared" si="62"/>
        <v>0.78109744190587771</v>
      </c>
      <c r="DI10" s="545">
        <f t="shared" si="63"/>
        <v>122.00029411764704</v>
      </c>
      <c r="DJ10" s="528">
        <f t="shared" si="64"/>
        <v>8.6065366284073561E-2</v>
      </c>
      <c r="DL10" s="173">
        <f t="shared" si="65"/>
        <v>7.8558440484957259</v>
      </c>
      <c r="DM10" s="173">
        <f t="shared" si="66"/>
        <v>13.333333333333334</v>
      </c>
      <c r="DN10" s="173">
        <f t="shared" si="67"/>
        <v>1.0697144537815126</v>
      </c>
      <c r="DP10" s="545">
        <f t="shared" si="68"/>
        <v>30</v>
      </c>
      <c r="DQ10" s="460">
        <f t="shared" si="69"/>
        <v>122.00029411764704</v>
      </c>
      <c r="DS10">
        <f t="shared" si="116"/>
        <v>30</v>
      </c>
      <c r="DT10" s="460">
        <f t="shared" si="70"/>
        <v>122.00029411764704</v>
      </c>
      <c r="DU10" s="460"/>
      <c r="DV10" s="5">
        <f t="shared" si="117"/>
        <v>8.1967015508641499</v>
      </c>
      <c r="DW10" s="5">
        <f t="shared" si="71"/>
        <v>0.53333333333333333</v>
      </c>
      <c r="DX10" s="5">
        <f t="shared" si="118"/>
        <v>7.6633682175308167</v>
      </c>
      <c r="DY10" s="173">
        <f t="shared" si="119"/>
        <v>6.506682352941176E-2</v>
      </c>
      <c r="EA10" s="5">
        <f t="shared" si="72"/>
        <v>9.4117647058823539E-3</v>
      </c>
      <c r="EB10" s="5">
        <f t="shared" si="73"/>
        <v>0.11111111111111112</v>
      </c>
      <c r="EC10" s="5">
        <f t="shared" si="74"/>
        <v>5.002646772404117</v>
      </c>
      <c r="ED10" s="5"/>
      <c r="EE10" s="173">
        <f t="shared" si="120"/>
        <v>1.9636221033350287</v>
      </c>
      <c r="EF10" s="173">
        <f t="shared" si="75"/>
        <v>0.35149149057546092</v>
      </c>
      <c r="EG10" s="173">
        <f t="shared" si="76"/>
        <v>0.27790457360459092</v>
      </c>
      <c r="EH10" s="173"/>
      <c r="EI10" s="528">
        <f t="shared" si="77"/>
        <v>0.1542324705882353</v>
      </c>
      <c r="EJ10" s="528">
        <f t="shared" si="78"/>
        <v>0.94096793514705901</v>
      </c>
      <c r="EK10" s="528">
        <f t="shared" si="79"/>
        <v>2.4400058823529407E-2</v>
      </c>
      <c r="EL10" s="528">
        <f t="shared" si="80"/>
        <v>1.0796323917719118E-2</v>
      </c>
      <c r="EM10">
        <f t="shared" si="81"/>
        <v>5.6249999999999998E-3</v>
      </c>
      <c r="EN10" s="460">
        <f t="shared" si="121"/>
        <v>30.025058823529406</v>
      </c>
      <c r="EO10">
        <f t="shared" si="82"/>
        <v>1.2224624689895374</v>
      </c>
      <c r="EP10" s="460">
        <f t="shared" si="122"/>
        <v>1222.4624689895375</v>
      </c>
      <c r="EQ10" s="173">
        <f t="shared" si="83"/>
        <v>2.6039999999999997E-2</v>
      </c>
      <c r="ER10" s="173">
        <f t="shared" si="84"/>
        <v>2.1699999999999997E-2</v>
      </c>
      <c r="ES10" s="528"/>
      <c r="EU10" s="460">
        <f t="shared" si="123"/>
        <v>47.739999999999988</v>
      </c>
      <c r="EV10" s="528">
        <f t="shared" si="85"/>
        <v>0.11567435294117646</v>
      </c>
      <c r="EW10" s="528">
        <f t="shared" si="124"/>
        <v>3.7063880384087798E-3</v>
      </c>
      <c r="EX10" s="528">
        <f t="shared" si="86"/>
        <v>3.8615476015174747E-4</v>
      </c>
      <c r="EY10" s="528">
        <f t="shared" si="87"/>
        <v>5.3360395522317869</v>
      </c>
      <c r="EZ10" s="528">
        <f t="shared" si="88"/>
        <v>5.5376082751843816</v>
      </c>
      <c r="FA10" s="625">
        <f t="shared" si="89"/>
        <v>0.54222352941176477</v>
      </c>
      <c r="FB10" s="460">
        <f t="shared" si="125"/>
        <v>6079.8318045961469</v>
      </c>
      <c r="FC10" s="173">
        <f t="shared" si="126"/>
        <v>7.3500342735856838</v>
      </c>
      <c r="FD10" s="5">
        <f t="shared" si="127"/>
        <v>5.3999999999999995</v>
      </c>
      <c r="FE10" s="173">
        <f t="shared" si="128"/>
        <v>0.42352827326803422</v>
      </c>
      <c r="FF10" s="5">
        <f t="shared" si="129"/>
        <v>42.352827326803421</v>
      </c>
      <c r="FG10">
        <f t="shared" si="130"/>
        <v>5</v>
      </c>
      <c r="FI10" s="562">
        <f t="shared" si="90"/>
        <v>-50</v>
      </c>
      <c r="FJ10">
        <f t="shared" si="91"/>
        <v>-50</v>
      </c>
      <c r="FL10">
        <f t="shared" si="92"/>
        <v>9.2663536325201148E-2</v>
      </c>
    </row>
    <row r="11" spans="2:169">
      <c r="E11" s="170">
        <v>6</v>
      </c>
      <c r="F11" s="217">
        <f t="shared" si="131"/>
        <v>3.5999999999999997E-2</v>
      </c>
      <c r="G11" s="217">
        <f t="shared" si="93"/>
        <v>0.03</v>
      </c>
      <c r="H11" s="217">
        <f t="shared" si="0"/>
        <v>6.1199999999999992</v>
      </c>
      <c r="I11" s="217">
        <f t="shared" si="132"/>
        <v>0.36</v>
      </c>
      <c r="J11" s="541">
        <f t="shared" si="1"/>
        <v>11.933822443405219</v>
      </c>
      <c r="K11" s="443">
        <f t="shared" si="2"/>
        <v>8.5386430156699316</v>
      </c>
      <c r="L11" s="172">
        <f t="shared" si="3"/>
        <v>20.472465459075153</v>
      </c>
      <c r="M11" s="443"/>
      <c r="N11" s="217">
        <f t="shared" si="4"/>
        <v>0.41707937095992864</v>
      </c>
      <c r="O11" s="172">
        <f t="shared" si="94"/>
        <v>156.69438830246256</v>
      </c>
      <c r="P11" s="172">
        <f t="shared" si="5"/>
        <v>9.2173169589683841</v>
      </c>
      <c r="Q11" s="217">
        <f t="shared" si="6"/>
        <v>0.92173169589683857</v>
      </c>
      <c r="R11" s="217">
        <f t="shared" si="7"/>
        <v>13.05786569187188</v>
      </c>
      <c r="S11" s="443">
        <f t="shared" si="8"/>
        <v>170</v>
      </c>
      <c r="T11" s="217">
        <f t="shared" si="9"/>
        <v>2.6037945865199057</v>
      </c>
      <c r="U11" s="217">
        <f t="shared" si="10"/>
        <v>0.10909306715715363</v>
      </c>
      <c r="V11" s="217">
        <f t="shared" si="11"/>
        <v>0.15247121713259815</v>
      </c>
      <c r="W11" s="197">
        <f t="shared" si="12"/>
        <v>350</v>
      </c>
      <c r="X11" s="443">
        <f t="shared" si="95"/>
        <v>350</v>
      </c>
      <c r="Z11" s="217">
        <f t="shared" si="13"/>
        <v>28.442006616245301</v>
      </c>
      <c r="AA11" s="173">
        <f t="shared" si="14"/>
        <v>1.6654875115430607</v>
      </c>
      <c r="AB11" s="173">
        <f t="shared" si="15"/>
        <v>0.39145882026994572</v>
      </c>
      <c r="AC11" s="173"/>
      <c r="AD11" s="173">
        <f t="shared" si="16"/>
        <v>0.78076418635047107</v>
      </c>
      <c r="AE11" s="545">
        <f t="shared" si="17"/>
        <v>146.46284137466779</v>
      </c>
      <c r="AF11" s="528">
        <f t="shared" si="18"/>
        <v>8.6028646458987085E-2</v>
      </c>
      <c r="AH11" s="173">
        <f t="shared" si="19"/>
        <v>8.6056459872076339</v>
      </c>
      <c r="AI11" s="173">
        <f t="shared" si="20"/>
        <v>13.333333333333334</v>
      </c>
      <c r="AJ11" s="173">
        <f t="shared" si="21"/>
        <v>1.083693052214096</v>
      </c>
      <c r="AL11" s="545">
        <f t="shared" si="22"/>
        <v>36</v>
      </c>
      <c r="AM11" s="460">
        <f t="shared" si="23"/>
        <v>146.46284137466779</v>
      </c>
      <c r="AO11">
        <f t="shared" si="96"/>
        <v>36</v>
      </c>
      <c r="AP11" s="460">
        <f t="shared" si="24"/>
        <v>146.46284137466779</v>
      </c>
      <c r="AQ11" s="460"/>
      <c r="AR11" s="5">
        <f t="shared" si="97"/>
        <v>6.8276703538878634</v>
      </c>
      <c r="AS11" s="5">
        <f t="shared" si="25"/>
        <v>0.55863632111861616</v>
      </c>
      <c r="AT11" s="5">
        <f t="shared" si="98"/>
        <v>6.2690340327692473</v>
      </c>
      <c r="AU11" s="173">
        <f t="shared" si="99"/>
        <v>8.181946288612385E-2</v>
      </c>
      <c r="AW11" s="5">
        <f t="shared" si="26"/>
        <v>1.1829945623688342E-2</v>
      </c>
      <c r="AX11" s="5">
        <f t="shared" si="27"/>
        <v>0.13965908027965404</v>
      </c>
      <c r="AY11" s="5">
        <f t="shared" si="28"/>
        <v>5.1438993281485725</v>
      </c>
      <c r="AZ11" s="5"/>
      <c r="BA11" s="173">
        <f t="shared" si="100"/>
        <v>2.2019447685221705</v>
      </c>
      <c r="BB11" s="173">
        <f t="shared" si="29"/>
        <v>0.34832814838909937</v>
      </c>
      <c r="BC11" s="173">
        <f t="shared" si="30"/>
        <v>0.27540349666521202</v>
      </c>
      <c r="BD11" s="173"/>
      <c r="BE11" s="528">
        <f t="shared" si="31"/>
        <v>0.19394243054488619</v>
      </c>
      <c r="BF11" s="528">
        <f t="shared" si="32"/>
        <v>0.899536638324267</v>
      </c>
      <c r="BG11" s="528">
        <f t="shared" si="33"/>
        <v>6.9914461740876344E-2</v>
      </c>
      <c r="BH11" s="528">
        <f t="shared" si="34"/>
        <v>1.2277155171510753E-2</v>
      </c>
      <c r="BI11">
        <f t="shared" si="35"/>
        <v>5.3702200995323487E-3</v>
      </c>
      <c r="BJ11" s="460">
        <f t="shared" si="101"/>
        <v>75.284681840408695</v>
      </c>
      <c r="BK11">
        <f t="shared" si="36"/>
        <v>1.2140657038673168</v>
      </c>
      <c r="BL11" s="460">
        <f t="shared" si="102"/>
        <v>1214.0657038673169</v>
      </c>
      <c r="BM11" s="173">
        <f t="shared" si="37"/>
        <v>3.1247999999999995E-2</v>
      </c>
      <c r="BN11" s="173">
        <f t="shared" si="38"/>
        <v>2.6039999999999997E-2</v>
      </c>
      <c r="BO11" s="528"/>
      <c r="BQ11" s="460">
        <f t="shared" si="103"/>
        <v>57.28799999999999</v>
      </c>
      <c r="BR11" s="528">
        <f t="shared" si="39"/>
        <v>0.14545682290866463</v>
      </c>
      <c r="BS11" s="528">
        <f t="shared" si="104"/>
        <v>3.639974968805353E-3</v>
      </c>
      <c r="BT11" s="528">
        <f t="shared" si="40"/>
        <v>3.7923542987712723E-4</v>
      </c>
      <c r="BU11" s="528">
        <f t="shared" si="41"/>
        <v>8.4262721896107617</v>
      </c>
      <c r="BV11" s="528">
        <f t="shared" si="42"/>
        <v>8.7158472933375251</v>
      </c>
      <c r="BW11" s="625">
        <f t="shared" si="43"/>
        <v>0.65094596166519025</v>
      </c>
      <c r="BX11" s="460">
        <f t="shared" si="105"/>
        <v>9366.7932550027144</v>
      </c>
      <c r="BY11" s="173">
        <f t="shared" si="106"/>
        <v>10.638146958870031</v>
      </c>
      <c r="BZ11" s="5">
        <f t="shared" si="107"/>
        <v>6.4799999999999995</v>
      </c>
      <c r="CA11" s="173">
        <f t="shared" si="108"/>
        <v>0.37854564606610575</v>
      </c>
      <c r="CB11" s="5">
        <f t="shared" si="109"/>
        <v>37.854564606610573</v>
      </c>
      <c r="CC11">
        <f t="shared" si="110"/>
        <v>6</v>
      </c>
      <c r="CE11" s="562">
        <f t="shared" si="44"/>
        <v>-50</v>
      </c>
      <c r="CF11">
        <f t="shared" si="45"/>
        <v>-50</v>
      </c>
      <c r="CG11" s="173">
        <f t="shared" si="46"/>
        <v>0.11119624359024138</v>
      </c>
      <c r="CH11" s="173">
        <f t="shared" si="47"/>
        <v>2.7671329400572653E-2</v>
      </c>
      <c r="CI11" s="170">
        <v>6</v>
      </c>
      <c r="CJ11" s="217">
        <f t="shared" si="133"/>
        <v>3.5999999999999997E-2</v>
      </c>
      <c r="CK11" s="217">
        <f t="shared" si="111"/>
        <v>0.03</v>
      </c>
      <c r="CL11" s="217">
        <f t="shared" si="48"/>
        <v>6.1199999999999992</v>
      </c>
      <c r="CM11" s="217">
        <f t="shared" si="134"/>
        <v>0.36</v>
      </c>
      <c r="CN11" s="541">
        <f t="shared" si="112"/>
        <v>12.5</v>
      </c>
      <c r="CO11" s="443">
        <f t="shared" si="49"/>
        <v>8.5350000000000001</v>
      </c>
      <c r="CP11" s="443">
        <f t="shared" si="50"/>
        <v>21.035</v>
      </c>
      <c r="CQ11" s="443"/>
      <c r="CR11" s="217">
        <f t="shared" si="113"/>
        <v>0.40546967895362668</v>
      </c>
      <c r="CS11" s="172">
        <f t="shared" si="114"/>
        <v>159.55982736601052</v>
      </c>
      <c r="CT11" s="172">
        <f t="shared" si="51"/>
        <v>9.3858721980006177</v>
      </c>
      <c r="CU11" s="217">
        <f t="shared" si="52"/>
        <v>0.93858721980006188</v>
      </c>
      <c r="CV11" s="217">
        <f t="shared" si="53"/>
        <v>13.296652280500878</v>
      </c>
      <c r="CW11" s="443">
        <f t="shared" si="54"/>
        <v>170</v>
      </c>
      <c r="CX11" s="217">
        <f t="shared" si="55"/>
        <v>2.5570346041055712</v>
      </c>
      <c r="CY11" s="217">
        <f t="shared" si="56"/>
        <v>0.10228138416422285</v>
      </c>
      <c r="CZ11" s="217">
        <f t="shared" si="57"/>
        <v>0.14979698910987527</v>
      </c>
      <c r="DA11" s="197">
        <f t="shared" si="58"/>
        <v>350</v>
      </c>
      <c r="DB11" s="443">
        <f t="shared" si="115"/>
        <v>350</v>
      </c>
      <c r="DD11" s="217">
        <f t="shared" si="59"/>
        <v>28.98230839756868</v>
      </c>
      <c r="DE11" s="173">
        <f t="shared" si="60"/>
        <v>1.6978505212401103</v>
      </c>
      <c r="DF11" s="173">
        <f t="shared" si="61"/>
        <v>0.40664636548103333</v>
      </c>
      <c r="DG11" s="173"/>
      <c r="DH11" s="173">
        <f t="shared" si="62"/>
        <v>0.78109744190587771</v>
      </c>
      <c r="DI11" s="545">
        <f t="shared" si="63"/>
        <v>146.40035294117646</v>
      </c>
      <c r="DJ11" s="528">
        <f t="shared" si="64"/>
        <v>8.6065366284073561E-2</v>
      </c>
      <c r="DL11" s="173">
        <f t="shared" si="65"/>
        <v>8.6056459872076339</v>
      </c>
      <c r="DM11" s="173">
        <f t="shared" si="66"/>
        <v>13.333333333333334</v>
      </c>
      <c r="DN11" s="173">
        <f t="shared" si="67"/>
        <v>1.083657344537815</v>
      </c>
      <c r="DP11" s="545">
        <f t="shared" si="68"/>
        <v>36</v>
      </c>
      <c r="DQ11" s="460">
        <f t="shared" si="69"/>
        <v>146.40035294117646</v>
      </c>
      <c r="DS11">
        <f t="shared" si="116"/>
        <v>36</v>
      </c>
      <c r="DT11" s="460">
        <f t="shared" si="70"/>
        <v>146.40035294117646</v>
      </c>
      <c r="DU11" s="460"/>
      <c r="DV11" s="5">
        <f t="shared" si="117"/>
        <v>6.8305846257201246</v>
      </c>
      <c r="DW11" s="5">
        <f t="shared" si="71"/>
        <v>0.53333333333333333</v>
      </c>
      <c r="DX11" s="5">
        <f t="shared" si="118"/>
        <v>6.2972512923867914</v>
      </c>
      <c r="DY11" s="173">
        <f t="shared" si="119"/>
        <v>7.8080188235294112E-2</v>
      </c>
      <c r="EA11" s="5">
        <f t="shared" si="72"/>
        <v>1.1294117647058823E-2</v>
      </c>
      <c r="EB11" s="5">
        <f t="shared" si="73"/>
        <v>0.13333333333333333</v>
      </c>
      <c r="EC11" s="5">
        <f t="shared" si="74"/>
        <v>4.9330147724041158</v>
      </c>
      <c r="ED11" s="5"/>
      <c r="EE11" s="173">
        <f t="shared" si="120"/>
        <v>2.1510402408246709</v>
      </c>
      <c r="EF11" s="173">
        <f t="shared" si="75"/>
        <v>0.34903670795851094</v>
      </c>
      <c r="EG11" s="173">
        <f t="shared" si="76"/>
        <v>0.27596371490744709</v>
      </c>
      <c r="EH11" s="173"/>
      <c r="EI11" s="528">
        <f t="shared" si="77"/>
        <v>0.18507896470588234</v>
      </c>
      <c r="EJ11" s="528">
        <f t="shared" si="78"/>
        <v>1.1291615221764706</v>
      </c>
      <c r="EK11" s="528">
        <f t="shared" si="79"/>
        <v>2.9280070588235289E-2</v>
      </c>
      <c r="EL11" s="528">
        <f t="shared" si="80"/>
        <v>1.2955588701262941E-2</v>
      </c>
      <c r="EM11">
        <f t="shared" si="81"/>
        <v>5.6249999999999998E-3</v>
      </c>
      <c r="EN11" s="460">
        <f t="shared" si="121"/>
        <v>34.90507058823529</v>
      </c>
      <c r="EO11">
        <f t="shared" si="82"/>
        <v>1.4770242568254159</v>
      </c>
      <c r="EP11" s="460">
        <f t="shared" si="122"/>
        <v>1477.0242568254159</v>
      </c>
      <c r="EQ11" s="173">
        <f t="shared" si="83"/>
        <v>3.1247999999999995E-2</v>
      </c>
      <c r="ER11" s="173">
        <f t="shared" si="84"/>
        <v>2.6039999999999997E-2</v>
      </c>
      <c r="ES11" s="528"/>
      <c r="EU11" s="460">
        <f t="shared" si="123"/>
        <v>57.28799999999999</v>
      </c>
      <c r="EV11" s="528">
        <f t="shared" si="85"/>
        <v>0.13880922352941175</v>
      </c>
      <c r="EW11" s="528">
        <f t="shared" si="124"/>
        <v>3.6547987050754454E-3</v>
      </c>
      <c r="EX11" s="528">
        <f t="shared" si="86"/>
        <v>3.8077985972759368E-4</v>
      </c>
      <c r="EY11" s="528">
        <f t="shared" si="87"/>
        <v>8.4172873838316846</v>
      </c>
      <c r="EZ11" s="528">
        <f t="shared" si="88"/>
        <v>8.6937636543209393</v>
      </c>
      <c r="FA11" s="625">
        <f t="shared" si="89"/>
        <v>0.65066823529411766</v>
      </c>
      <c r="FB11" s="460">
        <f t="shared" si="125"/>
        <v>9344.431889615058</v>
      </c>
      <c r="FC11" s="173">
        <f t="shared" si="126"/>
        <v>10.878744146440473</v>
      </c>
      <c r="FD11" s="5">
        <f t="shared" si="127"/>
        <v>6.4799999999999995</v>
      </c>
      <c r="FE11" s="173">
        <f t="shared" si="128"/>
        <v>0.37329889451298626</v>
      </c>
      <c r="FF11" s="5">
        <f t="shared" si="129"/>
        <v>37.329889451298627</v>
      </c>
      <c r="FG11">
        <f t="shared" si="130"/>
        <v>6</v>
      </c>
      <c r="FI11" s="562">
        <f t="shared" si="90"/>
        <v>-50</v>
      </c>
      <c r="FJ11">
        <f t="shared" si="91"/>
        <v>-50</v>
      </c>
      <c r="FL11">
        <f t="shared" si="92"/>
        <v>0.11119624359024138</v>
      </c>
    </row>
    <row r="12" spans="2:169">
      <c r="E12" s="170">
        <v>7</v>
      </c>
      <c r="F12" s="217">
        <f t="shared" si="131"/>
        <v>4.2000000000000003E-2</v>
      </c>
      <c r="G12" s="217">
        <f t="shared" si="93"/>
        <v>3.5000000000000003E-2</v>
      </c>
      <c r="H12" s="217">
        <f t="shared" si="0"/>
        <v>7.1400000000000006</v>
      </c>
      <c r="I12" s="217">
        <f t="shared" si="132"/>
        <v>0.42000000000000004</v>
      </c>
      <c r="J12" s="541">
        <f t="shared" si="1"/>
        <v>11.933822443405219</v>
      </c>
      <c r="K12" s="443">
        <f t="shared" si="2"/>
        <v>8.5386430156699316</v>
      </c>
      <c r="L12" s="172">
        <f t="shared" si="3"/>
        <v>20.472465459075153</v>
      </c>
      <c r="M12" s="443"/>
      <c r="N12" s="217">
        <f t="shared" si="4"/>
        <v>0.41707937095992864</v>
      </c>
      <c r="O12" s="172">
        <f t="shared" si="94"/>
        <v>156.69438830246256</v>
      </c>
      <c r="P12" s="172">
        <f t="shared" si="5"/>
        <v>9.2173169589683841</v>
      </c>
      <c r="Q12" s="217">
        <f t="shared" si="6"/>
        <v>0.92173169589683857</v>
      </c>
      <c r="R12" s="217">
        <f t="shared" si="7"/>
        <v>13.05786569187188</v>
      </c>
      <c r="S12" s="443">
        <f t="shared" si="8"/>
        <v>170</v>
      </c>
      <c r="T12" s="217">
        <f t="shared" si="9"/>
        <v>3.0377603509398901</v>
      </c>
      <c r="U12" s="217">
        <f t="shared" si="10"/>
        <v>0.12727524501667925</v>
      </c>
      <c r="V12" s="217">
        <f t="shared" si="11"/>
        <v>0.17788308665469788</v>
      </c>
      <c r="W12" s="197">
        <f t="shared" si="12"/>
        <v>350</v>
      </c>
      <c r="X12" s="443">
        <f t="shared" si="95"/>
        <v>350</v>
      </c>
      <c r="Z12" s="217">
        <f t="shared" si="13"/>
        <v>28.442006616245301</v>
      </c>
      <c r="AA12" s="173">
        <f t="shared" si="14"/>
        <v>1.6654875115430607</v>
      </c>
      <c r="AB12" s="173">
        <f t="shared" si="15"/>
        <v>0.39145882026994572</v>
      </c>
      <c r="AC12" s="173"/>
      <c r="AD12" s="173">
        <f t="shared" si="16"/>
        <v>0.78076418635047107</v>
      </c>
      <c r="AE12" s="545">
        <f t="shared" si="17"/>
        <v>170.87331493711241</v>
      </c>
      <c r="AF12" s="528">
        <f t="shared" si="18"/>
        <v>8.6028646458987085E-2</v>
      </c>
      <c r="AH12" s="173">
        <f t="shared" si="19"/>
        <v>9.2951600308978009</v>
      </c>
      <c r="AI12" s="173">
        <f t="shared" si="20"/>
        <v>13.333333333333334</v>
      </c>
      <c r="AJ12" s="173">
        <f t="shared" si="21"/>
        <v>1.0976418942497785</v>
      </c>
      <c r="AL12" s="545">
        <f t="shared" si="22"/>
        <v>42</v>
      </c>
      <c r="AM12" s="460">
        <f t="shared" si="23"/>
        <v>170.87331493711241</v>
      </c>
      <c r="AO12">
        <f t="shared" si="96"/>
        <v>42</v>
      </c>
      <c r="AP12" s="460">
        <f t="shared" si="24"/>
        <v>170.87331493711241</v>
      </c>
      <c r="AQ12" s="460"/>
      <c r="AR12" s="5">
        <f t="shared" si="97"/>
        <v>5.8522888747610251</v>
      </c>
      <c r="AS12" s="5">
        <f t="shared" si="25"/>
        <v>0.55863632111861616</v>
      </c>
      <c r="AT12" s="5">
        <f t="shared" si="98"/>
        <v>5.2936525536424091</v>
      </c>
      <c r="AU12" s="173">
        <f t="shared" si="99"/>
        <v>9.5456040033811168E-2</v>
      </c>
      <c r="AW12" s="5">
        <f t="shared" si="26"/>
        <v>1.38016032276364E-2</v>
      </c>
      <c r="AX12" s="5">
        <f t="shared" si="27"/>
        <v>0.16293559365959637</v>
      </c>
      <c r="AY12" s="5">
        <f t="shared" si="28"/>
        <v>5.0675034809345565</v>
      </c>
      <c r="AZ12" s="5"/>
      <c r="BA12" s="173">
        <f t="shared" si="100"/>
        <v>2.3783721795013175</v>
      </c>
      <c r="BB12" s="173">
        <f t="shared" si="29"/>
        <v>0.34573183310962935</v>
      </c>
      <c r="BC12" s="173">
        <f t="shared" si="30"/>
        <v>0.27335073604360233</v>
      </c>
      <c r="BD12" s="173"/>
      <c r="BE12" s="528">
        <f t="shared" si="31"/>
        <v>0.2262661689690339</v>
      </c>
      <c r="BF12" s="528">
        <f t="shared" si="32"/>
        <v>1.0494594113783113</v>
      </c>
      <c r="BG12" s="528">
        <f t="shared" si="33"/>
        <v>8.1566872031022405E-2</v>
      </c>
      <c r="BH12" s="528">
        <f t="shared" si="34"/>
        <v>1.4323347700095877E-2</v>
      </c>
      <c r="BI12">
        <f t="shared" si="35"/>
        <v>5.3702200995323487E-3</v>
      </c>
      <c r="BJ12" s="460">
        <f t="shared" si="101"/>
        <v>86.93709213055476</v>
      </c>
      <c r="BK12">
        <f t="shared" si="36"/>
        <v>1.4279062347870839</v>
      </c>
      <c r="BL12" s="460">
        <f t="shared" si="102"/>
        <v>1427.9062347870838</v>
      </c>
      <c r="BM12" s="173">
        <f t="shared" si="37"/>
        <v>3.6455999999999995E-2</v>
      </c>
      <c r="BN12" s="173">
        <f t="shared" si="38"/>
        <v>3.0380000000000001E-2</v>
      </c>
      <c r="BO12" s="528"/>
      <c r="BQ12" s="460">
        <f t="shared" si="103"/>
        <v>66.835999999999999</v>
      </c>
      <c r="BR12" s="528">
        <f t="shared" si="39"/>
        <v>0.16969962672677541</v>
      </c>
      <c r="BS12" s="528">
        <f t="shared" si="104"/>
        <v>3.5859150127603382E-3</v>
      </c>
      <c r="BT12" s="528">
        <f t="shared" si="40"/>
        <v>3.7360312447789579E-4</v>
      </c>
      <c r="BU12" s="528">
        <f t="shared" si="41"/>
        <v>12.388035975178536</v>
      </c>
      <c r="BV12" s="528">
        <f t="shared" si="42"/>
        <v>12.780935420058679</v>
      </c>
      <c r="BW12" s="625">
        <f t="shared" si="43"/>
        <v>0.75943695527605526</v>
      </c>
      <c r="BX12" s="460">
        <f t="shared" si="105"/>
        <v>13540.372375334733</v>
      </c>
      <c r="BY12" s="173">
        <f t="shared" si="106"/>
        <v>15.035114610121818</v>
      </c>
      <c r="BZ12" s="5">
        <f t="shared" si="107"/>
        <v>7.5600000000000005</v>
      </c>
      <c r="CA12" s="173">
        <f t="shared" si="108"/>
        <v>0.33458560093399065</v>
      </c>
      <c r="CB12" s="5">
        <f t="shared" si="109"/>
        <v>33.458560093399065</v>
      </c>
      <c r="CC12">
        <f t="shared" si="110"/>
        <v>7.0000000000000009</v>
      </c>
      <c r="CE12" s="562">
        <f t="shared" si="44"/>
        <v>-50</v>
      </c>
      <c r="CF12">
        <f t="shared" si="45"/>
        <v>-50</v>
      </c>
      <c r="CG12" s="173">
        <f t="shared" si="46"/>
        <v>0.12972895085528163</v>
      </c>
      <c r="CH12" s="173">
        <f t="shared" si="47"/>
        <v>3.2283217634001431E-2</v>
      </c>
      <c r="CI12" s="170">
        <v>7</v>
      </c>
      <c r="CJ12" s="217">
        <f t="shared" si="133"/>
        <v>4.2000000000000003E-2</v>
      </c>
      <c r="CK12" s="217">
        <f t="shared" si="111"/>
        <v>3.5000000000000003E-2</v>
      </c>
      <c r="CL12" s="217">
        <f t="shared" si="48"/>
        <v>7.1400000000000006</v>
      </c>
      <c r="CM12" s="217">
        <f t="shared" si="134"/>
        <v>0.42000000000000004</v>
      </c>
      <c r="CN12" s="541">
        <f t="shared" si="112"/>
        <v>12.5</v>
      </c>
      <c r="CO12" s="443">
        <f t="shared" si="49"/>
        <v>8.5350000000000001</v>
      </c>
      <c r="CP12" s="443">
        <f t="shared" si="50"/>
        <v>21.035</v>
      </c>
      <c r="CQ12" s="443"/>
      <c r="CR12" s="217">
        <f t="shared" si="113"/>
        <v>0.40546967895362668</v>
      </c>
      <c r="CS12" s="172">
        <f t="shared" si="114"/>
        <v>159.55982736601052</v>
      </c>
      <c r="CT12" s="172">
        <f t="shared" si="51"/>
        <v>9.3858721980006177</v>
      </c>
      <c r="CU12" s="217">
        <f t="shared" si="52"/>
        <v>0.93858721980006188</v>
      </c>
      <c r="CV12" s="217">
        <f t="shared" si="53"/>
        <v>13.296652280500878</v>
      </c>
      <c r="CW12" s="443">
        <f t="shared" si="54"/>
        <v>170</v>
      </c>
      <c r="CX12" s="217">
        <f t="shared" si="55"/>
        <v>2.983207038123167</v>
      </c>
      <c r="CY12" s="217">
        <f t="shared" si="56"/>
        <v>0.11932828152492668</v>
      </c>
      <c r="CZ12" s="217">
        <f t="shared" si="57"/>
        <v>0.17476315396152123</v>
      </c>
      <c r="DA12" s="197">
        <f t="shared" si="58"/>
        <v>350</v>
      </c>
      <c r="DB12" s="443">
        <f t="shared" si="115"/>
        <v>350</v>
      </c>
      <c r="DD12" s="217">
        <f t="shared" si="59"/>
        <v>28.98230839756868</v>
      </c>
      <c r="DE12" s="173">
        <f t="shared" si="60"/>
        <v>1.6978505212401103</v>
      </c>
      <c r="DF12" s="173">
        <f t="shared" si="61"/>
        <v>0.40664636548103333</v>
      </c>
      <c r="DG12" s="173"/>
      <c r="DH12" s="173">
        <f t="shared" si="62"/>
        <v>0.78109744190587771</v>
      </c>
      <c r="DI12" s="545">
        <f t="shared" si="63"/>
        <v>170.80041176470593</v>
      </c>
      <c r="DJ12" s="528">
        <f t="shared" si="64"/>
        <v>8.6065366284073561E-2</v>
      </c>
      <c r="DL12" s="173">
        <f t="shared" si="65"/>
        <v>9.2951600308978009</v>
      </c>
      <c r="DM12" s="173">
        <f t="shared" si="66"/>
        <v>13.333333333333334</v>
      </c>
      <c r="DN12" s="173">
        <f t="shared" si="67"/>
        <v>1.0976002352941177</v>
      </c>
      <c r="DP12" s="545">
        <f t="shared" si="68"/>
        <v>42</v>
      </c>
      <c r="DQ12" s="460">
        <f t="shared" si="69"/>
        <v>170.80041176470593</v>
      </c>
      <c r="DS12">
        <f t="shared" si="116"/>
        <v>42</v>
      </c>
      <c r="DT12" s="460">
        <f t="shared" si="70"/>
        <v>170.80041176470593</v>
      </c>
      <c r="DU12" s="460"/>
      <c r="DV12" s="5">
        <f t="shared" si="117"/>
        <v>5.8547868220458197</v>
      </c>
      <c r="DW12" s="5">
        <f t="shared" si="71"/>
        <v>0.53333333333333333</v>
      </c>
      <c r="DX12" s="5">
        <f t="shared" si="118"/>
        <v>5.3214534887124865</v>
      </c>
      <c r="DY12" s="173">
        <f t="shared" si="119"/>
        <v>9.1093552941176492E-2</v>
      </c>
      <c r="EA12" s="5">
        <f t="shared" si="72"/>
        <v>1.3176470588235295E-2</v>
      </c>
      <c r="EB12" s="5">
        <f t="shared" si="73"/>
        <v>0.15555555555555556</v>
      </c>
      <c r="EC12" s="5">
        <f t="shared" si="74"/>
        <v>4.8633827724041163</v>
      </c>
      <c r="ED12" s="5"/>
      <c r="EE12" s="173">
        <f t="shared" si="120"/>
        <v>2.3233890054375821</v>
      </c>
      <c r="EF12" s="173">
        <f t="shared" si="75"/>
        <v>0.34656453808500143</v>
      </c>
      <c r="EG12" s="173">
        <f t="shared" si="76"/>
        <v>0.27400910908341708</v>
      </c>
      <c r="EH12" s="173"/>
      <c r="EI12" s="528">
        <f t="shared" si="77"/>
        <v>0.21592545882352948</v>
      </c>
      <c r="EJ12" s="528">
        <f t="shared" si="78"/>
        <v>1.3173551092058831</v>
      </c>
      <c r="EK12" s="528">
        <f t="shared" si="79"/>
        <v>3.4160082352941185E-2</v>
      </c>
      <c r="EL12" s="528">
        <f t="shared" si="80"/>
        <v>1.5114853484806769E-2</v>
      </c>
      <c r="EM12">
        <f t="shared" si="81"/>
        <v>5.6249999999999998E-3</v>
      </c>
      <c r="EN12" s="460">
        <f t="shared" si="121"/>
        <v>39.785082352941181</v>
      </c>
      <c r="EO12">
        <f t="shared" si="82"/>
        <v>1.7355192655344387</v>
      </c>
      <c r="EP12" s="460">
        <f t="shared" si="122"/>
        <v>1735.5192655344388</v>
      </c>
      <c r="EQ12" s="173">
        <f t="shared" si="83"/>
        <v>3.6455999999999995E-2</v>
      </c>
      <c r="ER12" s="173">
        <f t="shared" si="84"/>
        <v>3.0380000000000001E-2</v>
      </c>
      <c r="ES12" s="528"/>
      <c r="EU12" s="460">
        <f t="shared" si="123"/>
        <v>66.835999999999999</v>
      </c>
      <c r="EV12" s="528">
        <f t="shared" si="85"/>
        <v>0.1619440941176471</v>
      </c>
      <c r="EW12" s="528">
        <f t="shared" si="124"/>
        <v>3.6032093717421119E-3</v>
      </c>
      <c r="EX12" s="528">
        <f t="shared" si="86"/>
        <v>3.7540495930343983E-4</v>
      </c>
      <c r="EY12" s="528">
        <f t="shared" si="87"/>
        <v>12.374826800977152</v>
      </c>
      <c r="EZ12" s="528">
        <f t="shared" si="88"/>
        <v>12.749809594665697</v>
      </c>
      <c r="FA12" s="625">
        <f t="shared" si="89"/>
        <v>0.75911294117647088</v>
      </c>
      <c r="FB12" s="460">
        <f t="shared" si="125"/>
        <v>13508.922535842166</v>
      </c>
      <c r="FC12" s="173">
        <f t="shared" si="126"/>
        <v>15.311277801376606</v>
      </c>
      <c r="FD12" s="5">
        <f t="shared" si="127"/>
        <v>7.5600000000000005</v>
      </c>
      <c r="FE12" s="173">
        <f t="shared" si="128"/>
        <v>0.33054558934809358</v>
      </c>
      <c r="FF12" s="5">
        <f t="shared" si="129"/>
        <v>33.054558934809357</v>
      </c>
      <c r="FG12">
        <f t="shared" si="130"/>
        <v>7.0000000000000009</v>
      </c>
      <c r="FI12" s="562">
        <f t="shared" si="90"/>
        <v>-50</v>
      </c>
      <c r="FJ12">
        <f t="shared" si="91"/>
        <v>-50</v>
      </c>
      <c r="FL12">
        <f t="shared" si="92"/>
        <v>0.12972895085528166</v>
      </c>
    </row>
    <row r="13" spans="2:169" s="76" customFormat="1">
      <c r="E13" s="189">
        <v>8</v>
      </c>
      <c r="F13" s="217">
        <f t="shared" si="131"/>
        <v>4.8000000000000001E-2</v>
      </c>
      <c r="G13" s="217">
        <f t="shared" si="93"/>
        <v>0.04</v>
      </c>
      <c r="H13" s="217">
        <f t="shared" si="0"/>
        <v>8.16</v>
      </c>
      <c r="I13" s="217">
        <f t="shared" si="132"/>
        <v>0.48</v>
      </c>
      <c r="J13" s="541">
        <f t="shared" si="1"/>
        <v>11.933822443405219</v>
      </c>
      <c r="K13" s="443">
        <f t="shared" si="2"/>
        <v>8.5386430156699316</v>
      </c>
      <c r="L13" s="172">
        <f t="shared" si="3"/>
        <v>20.472465459075153</v>
      </c>
      <c r="M13" s="443"/>
      <c r="N13" s="217">
        <f t="shared" si="4"/>
        <v>0.41707937095992864</v>
      </c>
      <c r="O13" s="172">
        <f t="shared" si="94"/>
        <v>156.69438830246256</v>
      </c>
      <c r="P13" s="172">
        <f t="shared" si="5"/>
        <v>9.2173169589683841</v>
      </c>
      <c r="Q13" s="329">
        <f t="shared" si="6"/>
        <v>0.92173169589683857</v>
      </c>
      <c r="R13" s="217">
        <f t="shared" si="7"/>
        <v>13.05786569187188</v>
      </c>
      <c r="S13" s="443">
        <f t="shared" si="8"/>
        <v>170</v>
      </c>
      <c r="T13" s="217">
        <f t="shared" si="9"/>
        <v>3.4717261153598744</v>
      </c>
      <c r="U13" s="329">
        <f t="shared" si="10"/>
        <v>0.14545742287620483</v>
      </c>
      <c r="V13" s="217">
        <f t="shared" si="11"/>
        <v>0.20329495617679755</v>
      </c>
      <c r="W13" s="537">
        <f t="shared" si="12"/>
        <v>350</v>
      </c>
      <c r="X13" s="443">
        <f t="shared" si="95"/>
        <v>350</v>
      </c>
      <c r="Z13" s="329">
        <f t="shared" si="13"/>
        <v>28.442006616245301</v>
      </c>
      <c r="AA13" s="173">
        <f t="shared" si="14"/>
        <v>1.6654875115430607</v>
      </c>
      <c r="AB13" s="173">
        <f t="shared" si="15"/>
        <v>0.39145882026994572</v>
      </c>
      <c r="AC13" s="538"/>
      <c r="AD13" s="173">
        <f t="shared" si="16"/>
        <v>0.78076418635047107</v>
      </c>
      <c r="AE13" s="545">
        <f t="shared" si="17"/>
        <v>195.28378849955706</v>
      </c>
      <c r="AF13" s="528">
        <f t="shared" si="18"/>
        <v>8.6028646458987085E-2</v>
      </c>
      <c r="AG13"/>
      <c r="AH13" s="173">
        <f t="shared" si="19"/>
        <v>9.936944054529901</v>
      </c>
      <c r="AI13" s="173">
        <f t="shared" si="20"/>
        <v>13.333333333333334</v>
      </c>
      <c r="AJ13" s="173">
        <f t="shared" si="21"/>
        <v>1.1115907362854611</v>
      </c>
      <c r="AL13" s="545">
        <f t="shared" si="22"/>
        <v>48</v>
      </c>
      <c r="AM13" s="460">
        <f t="shared" si="23"/>
        <v>195.28378849955706</v>
      </c>
      <c r="AO13">
        <f t="shared" si="96"/>
        <v>48</v>
      </c>
      <c r="AP13" s="460">
        <f t="shared" si="24"/>
        <v>195.28378849955706</v>
      </c>
      <c r="AQ13" s="460"/>
      <c r="AR13" s="5">
        <f t="shared" si="97"/>
        <v>5.1207527654158973</v>
      </c>
      <c r="AS13" s="5">
        <f t="shared" si="25"/>
        <v>0.55863632111861616</v>
      </c>
      <c r="AT13" s="5">
        <f t="shared" si="98"/>
        <v>4.5621164442972812</v>
      </c>
      <c r="AU13" s="173">
        <f t="shared" si="99"/>
        <v>0.10909261718149847</v>
      </c>
      <c r="AW13" s="5">
        <f t="shared" si="26"/>
        <v>1.5773260831584455E-2</v>
      </c>
      <c r="AX13" s="5">
        <f t="shared" si="27"/>
        <v>0.18621210703953872</v>
      </c>
      <c r="AY13" s="5">
        <f t="shared" si="28"/>
        <v>4.9911076337205404</v>
      </c>
      <c r="AZ13" s="5"/>
      <c r="BA13" s="173">
        <f t="shared" si="100"/>
        <v>2.5425868096939266</v>
      </c>
      <c r="BB13" s="173">
        <f t="shared" si="29"/>
        <v>0.34311587239664493</v>
      </c>
      <c r="BC13" s="173">
        <f t="shared" si="30"/>
        <v>0.27128244288146036</v>
      </c>
      <c r="BD13" s="173"/>
      <c r="BE13" s="528">
        <f t="shared" si="31"/>
        <v>0.25858990739318161</v>
      </c>
      <c r="BF13" s="528">
        <f t="shared" si="32"/>
        <v>1.199382184432356</v>
      </c>
      <c r="BG13" s="528">
        <f t="shared" si="33"/>
        <v>9.3219282321168481E-2</v>
      </c>
      <c r="BH13" s="528">
        <f t="shared" si="34"/>
        <v>1.6369540228681007E-2</v>
      </c>
      <c r="BI13">
        <f t="shared" si="35"/>
        <v>5.3702200995323487E-3</v>
      </c>
      <c r="BJ13" s="460">
        <f t="shared" si="101"/>
        <v>98.589502420700825</v>
      </c>
      <c r="BK13">
        <f t="shared" si="36"/>
        <v>1.6452464304593024</v>
      </c>
      <c r="BL13" s="460">
        <f t="shared" si="102"/>
        <v>1645.2464304593025</v>
      </c>
      <c r="BM13" s="173">
        <f t="shared" si="37"/>
        <v>4.1664E-2</v>
      </c>
      <c r="BN13" s="173">
        <f t="shared" si="38"/>
        <v>3.4719999999999994E-2</v>
      </c>
      <c r="BO13" s="528"/>
      <c r="BQ13" s="460">
        <f t="shared" si="103"/>
        <v>76.384</v>
      </c>
      <c r="BR13" s="528">
        <f t="shared" si="39"/>
        <v>0.19394243054488619</v>
      </c>
      <c r="BS13" s="528">
        <f t="shared" si="104"/>
        <v>3.5318550567153217E-3</v>
      </c>
      <c r="BT13" s="528">
        <f t="shared" si="40"/>
        <v>3.6797081907866401E-4</v>
      </c>
      <c r="BU13" s="528">
        <f t="shared" si="41"/>
        <v>17.297459615775384</v>
      </c>
      <c r="BV13" s="528">
        <f t="shared" si="42"/>
        <v>17.824905576922948</v>
      </c>
      <c r="BW13" s="625">
        <f t="shared" si="43"/>
        <v>0.86792794888692038</v>
      </c>
      <c r="BX13" s="460">
        <f t="shared" si="105"/>
        <v>18692.833525809867</v>
      </c>
      <c r="BY13" s="173">
        <f t="shared" si="106"/>
        <v>20.41446395626917</v>
      </c>
      <c r="BZ13" s="5">
        <f t="shared" si="107"/>
        <v>8.64</v>
      </c>
      <c r="CA13" s="173">
        <f t="shared" si="108"/>
        <v>0.29737254877613123</v>
      </c>
      <c r="CB13" s="5">
        <f t="shared" si="109"/>
        <v>29.737254877613122</v>
      </c>
      <c r="CC13">
        <f t="shared" si="110"/>
        <v>8</v>
      </c>
      <c r="CE13" s="562">
        <f t="shared" si="44"/>
        <v>-50</v>
      </c>
      <c r="CF13">
        <f t="shared" si="45"/>
        <v>-50</v>
      </c>
      <c r="CG13" s="173">
        <f t="shared" si="46"/>
        <v>0.14826165812032185</v>
      </c>
      <c r="CH13" s="173">
        <f t="shared" si="47"/>
        <v>3.6895105867430202E-2</v>
      </c>
      <c r="CI13" s="189">
        <v>8</v>
      </c>
      <c r="CJ13" s="217">
        <f t="shared" si="133"/>
        <v>4.8000000000000001E-2</v>
      </c>
      <c r="CK13" s="217">
        <f t="shared" si="111"/>
        <v>0.04</v>
      </c>
      <c r="CL13" s="217">
        <f t="shared" si="48"/>
        <v>8.16</v>
      </c>
      <c r="CM13" s="217">
        <f t="shared" si="134"/>
        <v>0.48</v>
      </c>
      <c r="CN13" s="541">
        <f t="shared" si="112"/>
        <v>12.5</v>
      </c>
      <c r="CO13" s="443">
        <f t="shared" si="49"/>
        <v>8.5350000000000001</v>
      </c>
      <c r="CP13" s="443">
        <f t="shared" si="50"/>
        <v>21.035</v>
      </c>
      <c r="CQ13" s="535"/>
      <c r="CR13" s="329">
        <f t="shared" si="113"/>
        <v>0.40546967895362668</v>
      </c>
      <c r="CS13" s="172">
        <f t="shared" si="114"/>
        <v>159.55982736601052</v>
      </c>
      <c r="CT13" s="172">
        <f t="shared" si="51"/>
        <v>9.3858721980006177</v>
      </c>
      <c r="CU13" s="329">
        <f t="shared" si="52"/>
        <v>0.93858721980006188</v>
      </c>
      <c r="CV13" s="217">
        <f t="shared" si="53"/>
        <v>13.296652280500878</v>
      </c>
      <c r="CW13" s="443">
        <f t="shared" si="54"/>
        <v>170</v>
      </c>
      <c r="CX13" s="217">
        <f t="shared" si="55"/>
        <v>3.409379472140762</v>
      </c>
      <c r="CY13" s="329">
        <f t="shared" si="56"/>
        <v>0.13637517888563047</v>
      </c>
      <c r="CZ13" s="217">
        <f t="shared" si="57"/>
        <v>0.19972931881316705</v>
      </c>
      <c r="DA13" s="537">
        <f t="shared" si="58"/>
        <v>350</v>
      </c>
      <c r="DB13" s="535">
        <f t="shared" si="115"/>
        <v>350</v>
      </c>
      <c r="DD13" s="329">
        <f t="shared" si="59"/>
        <v>28.98230839756868</v>
      </c>
      <c r="DE13" s="173">
        <f t="shared" si="60"/>
        <v>1.6978505212401103</v>
      </c>
      <c r="DF13" s="173">
        <f t="shared" si="61"/>
        <v>0.40664636548103333</v>
      </c>
      <c r="DG13" s="538"/>
      <c r="DH13" s="173">
        <f t="shared" si="62"/>
        <v>0.78109744190587771</v>
      </c>
      <c r="DI13" s="545">
        <f t="shared" si="63"/>
        <v>195.20047058823533</v>
      </c>
      <c r="DJ13" s="528">
        <f t="shared" si="64"/>
        <v>8.6065366284073561E-2</v>
      </c>
      <c r="DK13"/>
      <c r="DL13" s="173">
        <f t="shared" si="65"/>
        <v>9.936944054529901</v>
      </c>
      <c r="DM13" s="173">
        <f t="shared" si="66"/>
        <v>13.333333333333334</v>
      </c>
      <c r="DN13" s="173">
        <f t="shared" si="67"/>
        <v>1.1115431260504203</v>
      </c>
      <c r="DP13" s="545">
        <f t="shared" si="68"/>
        <v>48</v>
      </c>
      <c r="DQ13" s="460">
        <f t="shared" si="69"/>
        <v>195.20047058823533</v>
      </c>
      <c r="DS13">
        <f t="shared" si="116"/>
        <v>48</v>
      </c>
      <c r="DT13" s="460">
        <f t="shared" si="70"/>
        <v>195.20047058823533</v>
      </c>
      <c r="DU13" s="460"/>
      <c r="DV13" s="5">
        <f t="shared" si="117"/>
        <v>5.1229384692900926</v>
      </c>
      <c r="DW13" s="5">
        <f t="shared" si="71"/>
        <v>0.53333333333333333</v>
      </c>
      <c r="DX13" s="5">
        <f t="shared" si="118"/>
        <v>4.5896051359567593</v>
      </c>
      <c r="DY13" s="173">
        <f t="shared" si="119"/>
        <v>0.10410691764705884</v>
      </c>
      <c r="EA13" s="5">
        <f t="shared" si="72"/>
        <v>1.5058823529411765E-2</v>
      </c>
      <c r="EB13" s="5">
        <f t="shared" si="73"/>
        <v>0.17777777777777776</v>
      </c>
      <c r="EC13" s="5">
        <f t="shared" si="74"/>
        <v>4.793750772404116</v>
      </c>
      <c r="ED13" s="5"/>
      <c r="EE13" s="173">
        <f t="shared" si="120"/>
        <v>2.4838073241556828</v>
      </c>
      <c r="EF13" s="173">
        <f t="shared" si="75"/>
        <v>0.34407460617375701</v>
      </c>
      <c r="EG13" s="173">
        <f t="shared" si="76"/>
        <v>0.27204045981408209</v>
      </c>
      <c r="EH13" s="173"/>
      <c r="EI13" s="528">
        <f t="shared" si="77"/>
        <v>0.24677195294117651</v>
      </c>
      <c r="EJ13" s="528">
        <f t="shared" si="78"/>
        <v>1.5055486962352946</v>
      </c>
      <c r="EK13" s="528">
        <f t="shared" si="79"/>
        <v>3.9040094117647063E-2</v>
      </c>
      <c r="EL13" s="528">
        <f t="shared" si="80"/>
        <v>1.7274118268350593E-2</v>
      </c>
      <c r="EM13">
        <f t="shared" si="81"/>
        <v>5.6249999999999998E-3</v>
      </c>
      <c r="EN13" s="460">
        <f t="shared" si="121"/>
        <v>44.665094117647058</v>
      </c>
      <c r="EO13">
        <f t="shared" si="82"/>
        <v>1.9980393628232413</v>
      </c>
      <c r="EP13" s="460">
        <f t="shared" si="122"/>
        <v>1998.0393628232414</v>
      </c>
      <c r="EQ13" s="173">
        <f t="shared" si="83"/>
        <v>4.1664E-2</v>
      </c>
      <c r="ER13" s="173">
        <f t="shared" si="84"/>
        <v>3.4719999999999994E-2</v>
      </c>
      <c r="ES13" s="528"/>
      <c r="EU13" s="460">
        <f t="shared" si="123"/>
        <v>76.384</v>
      </c>
      <c r="EV13" s="528">
        <f t="shared" si="85"/>
        <v>0.18507896470588239</v>
      </c>
      <c r="EW13" s="528">
        <f t="shared" si="124"/>
        <v>3.5516200384087798E-3</v>
      </c>
      <c r="EX13" s="528">
        <f t="shared" si="86"/>
        <v>3.7003005887928603E-4</v>
      </c>
      <c r="EY13" s="528">
        <f t="shared" si="87"/>
        <v>17.279015597872601</v>
      </c>
      <c r="EZ13" s="528">
        <f t="shared" si="88"/>
        <v>17.782244775845754</v>
      </c>
      <c r="FA13" s="625">
        <f t="shared" si="89"/>
        <v>0.86755764705882377</v>
      </c>
      <c r="FB13" s="460">
        <f t="shared" si="125"/>
        <v>18649.802422904577</v>
      </c>
      <c r="FC13" s="173">
        <f t="shared" si="126"/>
        <v>20.724225785727821</v>
      </c>
      <c r="FD13" s="5">
        <f t="shared" si="127"/>
        <v>8.64</v>
      </c>
      <c r="FE13" s="173">
        <f t="shared" si="128"/>
        <v>0.29423557981901172</v>
      </c>
      <c r="FF13" s="5">
        <f t="shared" si="129"/>
        <v>29.423557981901173</v>
      </c>
      <c r="FG13">
        <f t="shared" si="130"/>
        <v>8</v>
      </c>
      <c r="FI13" s="562">
        <f t="shared" si="90"/>
        <v>-50</v>
      </c>
      <c r="FJ13">
        <f t="shared" si="91"/>
        <v>-50</v>
      </c>
      <c r="FL13">
        <f t="shared" si="92"/>
        <v>0.14826165812032185</v>
      </c>
    </row>
    <row r="14" spans="2:169">
      <c r="E14" s="170">
        <v>9</v>
      </c>
      <c r="F14" s="217">
        <f t="shared" si="131"/>
        <v>5.3999999999999999E-2</v>
      </c>
      <c r="G14" s="217">
        <f t="shared" si="93"/>
        <v>4.4999999999999998E-2</v>
      </c>
      <c r="H14" s="217">
        <f t="shared" si="0"/>
        <v>9.18</v>
      </c>
      <c r="I14" s="217">
        <f t="shared" si="132"/>
        <v>0.54</v>
      </c>
      <c r="J14" s="541">
        <f t="shared" si="1"/>
        <v>11.933822443405219</v>
      </c>
      <c r="K14" s="443">
        <f t="shared" si="2"/>
        <v>8.5386430156699316</v>
      </c>
      <c r="L14" s="172">
        <f t="shared" si="3"/>
        <v>20.472465459075153</v>
      </c>
      <c r="M14" s="443"/>
      <c r="N14" s="217">
        <f t="shared" si="4"/>
        <v>0.41707937095992864</v>
      </c>
      <c r="O14" s="172">
        <f t="shared" si="94"/>
        <v>156.69438830246256</v>
      </c>
      <c r="P14" s="172">
        <f t="shared" si="5"/>
        <v>9.2173169589683841</v>
      </c>
      <c r="Q14" s="217">
        <f t="shared" si="6"/>
        <v>0.92173169589683857</v>
      </c>
      <c r="R14" s="217">
        <f t="shared" si="7"/>
        <v>13.05786569187188</v>
      </c>
      <c r="S14" s="443">
        <f t="shared" si="8"/>
        <v>170</v>
      </c>
      <c r="T14" s="217">
        <f t="shared" si="9"/>
        <v>3.9056918797798583</v>
      </c>
      <c r="U14" s="217">
        <f t="shared" si="10"/>
        <v>0.16363960073573042</v>
      </c>
      <c r="V14" s="217">
        <f t="shared" si="11"/>
        <v>0.22870682569889719</v>
      </c>
      <c r="W14" s="197">
        <f t="shared" si="12"/>
        <v>350</v>
      </c>
      <c r="X14" s="443">
        <f t="shared" si="95"/>
        <v>350</v>
      </c>
      <c r="Z14" s="217">
        <f t="shared" si="13"/>
        <v>28.442006616245301</v>
      </c>
      <c r="AA14" s="173">
        <f t="shared" si="14"/>
        <v>1.6654875115430607</v>
      </c>
      <c r="AB14" s="173">
        <f t="shared" si="15"/>
        <v>0.39145882026994572</v>
      </c>
      <c r="AC14" s="173"/>
      <c r="AD14" s="173">
        <f t="shared" si="16"/>
        <v>0.78076418635047107</v>
      </c>
      <c r="AE14" s="545">
        <f t="shared" si="17"/>
        <v>219.69426206200166</v>
      </c>
      <c r="AF14" s="528">
        <f t="shared" si="18"/>
        <v>8.6028646458987085E-2</v>
      </c>
      <c r="AH14" s="173">
        <f t="shared" si="19"/>
        <v>10.539720787844157</v>
      </c>
      <c r="AI14" s="173">
        <f t="shared" si="20"/>
        <v>13.333333333333334</v>
      </c>
      <c r="AJ14" s="173">
        <f t="shared" si="21"/>
        <v>1.1255395783211437</v>
      </c>
      <c r="AL14" s="545">
        <f t="shared" si="22"/>
        <v>54</v>
      </c>
      <c r="AM14" s="460">
        <f t="shared" si="23"/>
        <v>219.69426206200166</v>
      </c>
      <c r="AO14">
        <f t="shared" si="96"/>
        <v>54</v>
      </c>
      <c r="AP14" s="460">
        <f t="shared" si="24"/>
        <v>219.69426206200166</v>
      </c>
      <c r="AQ14" s="460"/>
      <c r="AR14" s="5">
        <f t="shared" si="97"/>
        <v>4.5517802359252428</v>
      </c>
      <c r="AS14" s="5">
        <f t="shared" si="25"/>
        <v>0.55863632111861616</v>
      </c>
      <c r="AT14" s="5">
        <f t="shared" si="98"/>
        <v>3.9931439148066268</v>
      </c>
      <c r="AU14" s="173">
        <f t="shared" si="99"/>
        <v>0.12272919432918576</v>
      </c>
      <c r="AW14" s="5">
        <f t="shared" si="26"/>
        <v>1.7744918435532511E-2</v>
      </c>
      <c r="AX14" s="5">
        <f t="shared" si="27"/>
        <v>0.20948862041948102</v>
      </c>
      <c r="AY14" s="5">
        <f t="shared" si="28"/>
        <v>4.9147117865065253</v>
      </c>
      <c r="AZ14" s="5"/>
      <c r="BA14" s="173">
        <f t="shared" si="100"/>
        <v>2.6968205623350676</v>
      </c>
      <c r="BB14" s="173">
        <f t="shared" si="29"/>
        <v>0.34047981343344996</v>
      </c>
      <c r="BC14" s="173">
        <f t="shared" si="30"/>
        <v>0.26919825916206541</v>
      </c>
      <c r="BD14" s="173"/>
      <c r="BE14" s="528">
        <f t="shared" si="31"/>
        <v>0.2909136458173292</v>
      </c>
      <c r="BF14" s="528">
        <f t="shared" si="32"/>
        <v>1.3493049574864004</v>
      </c>
      <c r="BG14" s="528">
        <f t="shared" si="33"/>
        <v>0.10487169261131453</v>
      </c>
      <c r="BH14" s="528">
        <f t="shared" si="34"/>
        <v>1.8415732757266129E-2</v>
      </c>
      <c r="BI14">
        <f t="shared" si="35"/>
        <v>5.3702200995323487E-3</v>
      </c>
      <c r="BJ14" s="460">
        <f t="shared" si="101"/>
        <v>110.24191271084688</v>
      </c>
      <c r="BK14">
        <f t="shared" si="36"/>
        <v>1.8661729117503998</v>
      </c>
      <c r="BL14" s="460">
        <f t="shared" si="102"/>
        <v>1866.1729117503999</v>
      </c>
      <c r="BM14" s="173">
        <f t="shared" si="37"/>
        <v>4.6871999999999997E-2</v>
      </c>
      <c r="BN14" s="173">
        <f t="shared" si="38"/>
        <v>3.9059999999999997E-2</v>
      </c>
      <c r="BO14" s="528"/>
      <c r="BQ14" s="460">
        <f t="shared" si="103"/>
        <v>85.931999999999988</v>
      </c>
      <c r="BR14" s="528">
        <f t="shared" si="39"/>
        <v>0.21818523436299692</v>
      </c>
      <c r="BS14" s="528">
        <f t="shared" si="104"/>
        <v>3.4777951006703064E-3</v>
      </c>
      <c r="BT14" s="528">
        <f t="shared" si="40"/>
        <v>3.6233851367943273E-4</v>
      </c>
      <c r="BU14" s="528">
        <f t="shared" si="41"/>
        <v>23.220075710644473</v>
      </c>
      <c r="BV14" s="528">
        <f t="shared" si="42"/>
        <v>23.920259520712364</v>
      </c>
      <c r="BW14" s="625">
        <f t="shared" si="43"/>
        <v>0.97641894249778527</v>
      </c>
      <c r="BX14" s="460">
        <f t="shared" si="105"/>
        <v>24896.678463210148</v>
      </c>
      <c r="BY14" s="173">
        <f t="shared" si="106"/>
        <v>26.848783374960547</v>
      </c>
      <c r="BZ14" s="5">
        <f t="shared" si="107"/>
        <v>9.7199999999999989</v>
      </c>
      <c r="CA14" s="173">
        <f t="shared" si="108"/>
        <v>0.26580047523964107</v>
      </c>
      <c r="CB14" s="5">
        <f t="shared" si="109"/>
        <v>26.580047523964108</v>
      </c>
      <c r="CC14">
        <f t="shared" si="110"/>
        <v>9</v>
      </c>
      <c r="CE14" s="562">
        <f t="shared" si="44"/>
        <v>-50</v>
      </c>
      <c r="CF14">
        <f t="shared" si="45"/>
        <v>-50</v>
      </c>
      <c r="CG14" s="173">
        <f t="shared" si="46"/>
        <v>0.16679436538536205</v>
      </c>
      <c r="CH14" s="173">
        <f t="shared" si="47"/>
        <v>4.1506994100858972E-2</v>
      </c>
      <c r="CI14" s="170">
        <v>9</v>
      </c>
      <c r="CJ14" s="217">
        <f t="shared" si="133"/>
        <v>5.3999999999999999E-2</v>
      </c>
      <c r="CK14" s="217">
        <f t="shared" si="111"/>
        <v>4.4999999999999998E-2</v>
      </c>
      <c r="CL14" s="217">
        <f t="shared" si="48"/>
        <v>9.18</v>
      </c>
      <c r="CM14" s="217">
        <f t="shared" si="134"/>
        <v>0.54</v>
      </c>
      <c r="CN14" s="541">
        <f t="shared" si="112"/>
        <v>12.5</v>
      </c>
      <c r="CO14" s="443">
        <f t="shared" si="49"/>
        <v>8.5350000000000001</v>
      </c>
      <c r="CP14" s="443">
        <f t="shared" si="50"/>
        <v>21.035</v>
      </c>
      <c r="CQ14" s="443"/>
      <c r="CR14" s="217">
        <f t="shared" si="113"/>
        <v>0.40546967895362668</v>
      </c>
      <c r="CS14" s="172">
        <f t="shared" si="114"/>
        <v>159.55982736601052</v>
      </c>
      <c r="CT14" s="172">
        <f t="shared" si="51"/>
        <v>9.3858721980006177</v>
      </c>
      <c r="CU14" s="217">
        <f t="shared" si="52"/>
        <v>0.93858721980006188</v>
      </c>
      <c r="CV14" s="217">
        <f t="shared" si="53"/>
        <v>13.296652280500878</v>
      </c>
      <c r="CW14" s="443">
        <f t="shared" si="54"/>
        <v>170</v>
      </c>
      <c r="CX14" s="217">
        <f t="shared" si="55"/>
        <v>3.8355519061583569</v>
      </c>
      <c r="CY14" s="217">
        <f t="shared" si="56"/>
        <v>0.15342207624633428</v>
      </c>
      <c r="CZ14" s="217">
        <f t="shared" si="57"/>
        <v>0.22469548366481293</v>
      </c>
      <c r="DA14" s="197">
        <f t="shared" si="58"/>
        <v>350</v>
      </c>
      <c r="DB14" s="443">
        <f t="shared" si="115"/>
        <v>350</v>
      </c>
      <c r="DD14" s="217">
        <f t="shared" si="59"/>
        <v>28.98230839756868</v>
      </c>
      <c r="DE14" s="173">
        <f t="shared" si="60"/>
        <v>1.6978505212401103</v>
      </c>
      <c r="DF14" s="173">
        <f t="shared" si="61"/>
        <v>0.40664636548103333</v>
      </c>
      <c r="DG14" s="173"/>
      <c r="DH14" s="173">
        <f t="shared" si="62"/>
        <v>0.78109744190587771</v>
      </c>
      <c r="DI14" s="545">
        <f t="shared" si="63"/>
        <v>219.60052941176471</v>
      </c>
      <c r="DJ14" s="528">
        <f t="shared" si="64"/>
        <v>8.6065366284073561E-2</v>
      </c>
      <c r="DL14" s="173">
        <f t="shared" si="65"/>
        <v>10.539720787844157</v>
      </c>
      <c r="DM14" s="173">
        <f t="shared" si="66"/>
        <v>13.333333333333334</v>
      </c>
      <c r="DN14" s="173">
        <f t="shared" si="67"/>
        <v>1.1254860168067227</v>
      </c>
      <c r="DP14" s="545">
        <f t="shared" si="68"/>
        <v>54</v>
      </c>
      <c r="DQ14" s="460">
        <f t="shared" si="69"/>
        <v>219.60052941176471</v>
      </c>
      <c r="DS14">
        <f t="shared" si="116"/>
        <v>54</v>
      </c>
      <c r="DT14" s="460">
        <f t="shared" si="70"/>
        <v>219.60052941176471</v>
      </c>
      <c r="DU14" s="460"/>
      <c r="DV14" s="5">
        <f t="shared" si="117"/>
        <v>4.5537230838134164</v>
      </c>
      <c r="DW14" s="5">
        <f t="shared" si="71"/>
        <v>0.53333333333333333</v>
      </c>
      <c r="DX14" s="5">
        <f t="shared" si="118"/>
        <v>4.0203897504800832</v>
      </c>
      <c r="DY14" s="173">
        <f t="shared" si="119"/>
        <v>0.11712028235294117</v>
      </c>
      <c r="EA14" s="5">
        <f t="shared" si="72"/>
        <v>1.6941176470588237E-2</v>
      </c>
      <c r="EB14" s="5">
        <f t="shared" si="73"/>
        <v>0.2</v>
      </c>
      <c r="EC14" s="5">
        <f t="shared" si="74"/>
        <v>4.7241187724041165</v>
      </c>
      <c r="ED14" s="5"/>
      <c r="EE14" s="173">
        <f t="shared" si="120"/>
        <v>2.6344755031069447</v>
      </c>
      <c r="EF14" s="173">
        <f t="shared" si="75"/>
        <v>0.34156652378296903</v>
      </c>
      <c r="EG14" s="173">
        <f t="shared" si="76"/>
        <v>0.27005745998032804</v>
      </c>
      <c r="EH14" s="173"/>
      <c r="EI14" s="528">
        <f t="shared" si="77"/>
        <v>0.2776184470588236</v>
      </c>
      <c r="EJ14" s="528">
        <f t="shared" si="78"/>
        <v>1.6937422832647062</v>
      </c>
      <c r="EK14" s="528">
        <f t="shared" si="79"/>
        <v>4.3920105882352942E-2</v>
      </c>
      <c r="EL14" s="528">
        <f t="shared" si="80"/>
        <v>1.9433383051894411E-2</v>
      </c>
      <c r="EM14">
        <f t="shared" si="81"/>
        <v>5.6249999999999998E-3</v>
      </c>
      <c r="EN14" s="460">
        <f t="shared" si="121"/>
        <v>49.545105882352942</v>
      </c>
      <c r="EO14">
        <f t="shared" si="82"/>
        <v>2.2646792998365779</v>
      </c>
      <c r="EP14" s="460">
        <f t="shared" si="122"/>
        <v>2264.6792998365777</v>
      </c>
      <c r="EQ14" s="173">
        <f t="shared" si="83"/>
        <v>4.6871999999999997E-2</v>
      </c>
      <c r="ER14" s="173">
        <f t="shared" si="84"/>
        <v>3.9059999999999997E-2</v>
      </c>
      <c r="ES14" s="528"/>
      <c r="EU14" s="460">
        <f t="shared" si="123"/>
        <v>85.931999999999988</v>
      </c>
      <c r="EV14" s="528">
        <f t="shared" si="85"/>
        <v>0.20821383529411766</v>
      </c>
      <c r="EW14" s="528">
        <f t="shared" si="124"/>
        <v>3.5000307050754463E-3</v>
      </c>
      <c r="EX14" s="528">
        <f t="shared" si="86"/>
        <v>3.6465515845513239E-4</v>
      </c>
      <c r="EY14" s="528">
        <f t="shared" si="87"/>
        <v>23.195316497348209</v>
      </c>
      <c r="EZ14" s="528">
        <f t="shared" si="88"/>
        <v>23.86316300927578</v>
      </c>
      <c r="FA14" s="625">
        <f t="shared" si="89"/>
        <v>0.97600235294117665</v>
      </c>
      <c r="FB14" s="460">
        <f t="shared" si="125"/>
        <v>24839.165362216958</v>
      </c>
      <c r="FC14" s="173">
        <f t="shared" si="126"/>
        <v>27.189776662053536</v>
      </c>
      <c r="FD14" s="5">
        <f t="shared" si="127"/>
        <v>9.7199999999999989</v>
      </c>
      <c r="FE14" s="173">
        <f t="shared" si="128"/>
        <v>0.2633448608751135</v>
      </c>
      <c r="FF14" s="5">
        <f t="shared" si="129"/>
        <v>26.334486087511351</v>
      </c>
      <c r="FG14">
        <f t="shared" si="130"/>
        <v>9</v>
      </c>
      <c r="FI14" s="562">
        <f t="shared" si="90"/>
        <v>-50</v>
      </c>
      <c r="FJ14">
        <f t="shared" si="91"/>
        <v>-50</v>
      </c>
      <c r="FL14">
        <f t="shared" si="92"/>
        <v>0.16679436538536208</v>
      </c>
    </row>
    <row r="15" spans="2:169">
      <c r="E15" s="170">
        <v>10</v>
      </c>
      <c r="F15" s="217">
        <f t="shared" si="131"/>
        <v>0.06</v>
      </c>
      <c r="G15" s="217">
        <f t="shared" si="93"/>
        <v>0.05</v>
      </c>
      <c r="H15" s="217">
        <f t="shared" si="0"/>
        <v>10.199999999999999</v>
      </c>
      <c r="I15" s="217">
        <f t="shared" si="132"/>
        <v>0.60000000000000009</v>
      </c>
      <c r="J15" s="541">
        <f t="shared" si="1"/>
        <v>11.933822443405219</v>
      </c>
      <c r="K15" s="443">
        <f t="shared" si="2"/>
        <v>8.5386430156699316</v>
      </c>
      <c r="L15" s="172">
        <f t="shared" si="3"/>
        <v>20.472465459075153</v>
      </c>
      <c r="M15" s="443"/>
      <c r="N15" s="217">
        <f t="shared" si="4"/>
        <v>0.41707937095992864</v>
      </c>
      <c r="O15" s="172">
        <f t="shared" si="94"/>
        <v>156.69438830246256</v>
      </c>
      <c r="P15" s="172">
        <f t="shared" si="5"/>
        <v>9.2173169589683841</v>
      </c>
      <c r="Q15" s="217">
        <f t="shared" si="6"/>
        <v>0.92173169589683857</v>
      </c>
      <c r="R15" s="217">
        <f t="shared" si="7"/>
        <v>13.05786569187188</v>
      </c>
      <c r="S15" s="443">
        <f t="shared" si="8"/>
        <v>170</v>
      </c>
      <c r="T15" s="217">
        <f t="shared" si="9"/>
        <v>4.3396576441998427</v>
      </c>
      <c r="U15" s="217">
        <f t="shared" si="10"/>
        <v>0.18182177859525606</v>
      </c>
      <c r="V15" s="217">
        <f t="shared" si="11"/>
        <v>0.25411869522099689</v>
      </c>
      <c r="W15" s="197">
        <f t="shared" si="12"/>
        <v>350</v>
      </c>
      <c r="X15" s="443">
        <f t="shared" si="95"/>
        <v>350</v>
      </c>
      <c r="Z15" s="217">
        <f t="shared" si="13"/>
        <v>28.442006616245301</v>
      </c>
      <c r="AA15" s="173">
        <f t="shared" si="14"/>
        <v>1.6654875115430607</v>
      </c>
      <c r="AB15" s="173">
        <f t="shared" si="15"/>
        <v>0.39145882026994572</v>
      </c>
      <c r="AC15" s="173"/>
      <c r="AD15" s="173">
        <f t="shared" si="16"/>
        <v>0.78076418635047107</v>
      </c>
      <c r="AE15" s="545">
        <f t="shared" si="17"/>
        <v>244.10473562444628</v>
      </c>
      <c r="AF15" s="528">
        <f t="shared" si="18"/>
        <v>8.6028646458987085E-2</v>
      </c>
      <c r="AH15" s="173">
        <f t="shared" si="19"/>
        <v>11.109841197270617</v>
      </c>
      <c r="AI15" s="173">
        <f t="shared" si="20"/>
        <v>13.333333333333334</v>
      </c>
      <c r="AJ15" s="173">
        <f t="shared" si="21"/>
        <v>1.1394884203568265</v>
      </c>
      <c r="AL15" s="545">
        <f t="shared" si="22"/>
        <v>60</v>
      </c>
      <c r="AM15" s="460">
        <f t="shared" si="23"/>
        <v>244.10473562444628</v>
      </c>
      <c r="AO15">
        <f t="shared" si="96"/>
        <v>60</v>
      </c>
      <c r="AP15" s="460">
        <f t="shared" si="24"/>
        <v>244.10473562444628</v>
      </c>
      <c r="AQ15" s="460"/>
      <c r="AR15" s="5">
        <f t="shared" si="97"/>
        <v>4.0966022123327184</v>
      </c>
      <c r="AS15" s="5">
        <f t="shared" si="25"/>
        <v>0.55863632111861616</v>
      </c>
      <c r="AT15" s="5">
        <f t="shared" si="98"/>
        <v>3.5379658912141023</v>
      </c>
      <c r="AU15" s="173">
        <f t="shared" si="99"/>
        <v>0.13636577147687309</v>
      </c>
      <c r="AW15" s="5">
        <f t="shared" si="26"/>
        <v>1.9716576039480571E-2</v>
      </c>
      <c r="AX15" s="5">
        <f t="shared" si="27"/>
        <v>0.23276513379942343</v>
      </c>
      <c r="AY15" s="5">
        <f t="shared" si="28"/>
        <v>4.8383159392925084</v>
      </c>
      <c r="AZ15" s="5"/>
      <c r="BA15" s="173">
        <f t="shared" si="100"/>
        <v>2.8426984725849707</v>
      </c>
      <c r="BB15" s="173">
        <f t="shared" si="29"/>
        <v>0.33782318573603415</v>
      </c>
      <c r="BC15" s="173">
        <f t="shared" si="30"/>
        <v>0.26709781290014378</v>
      </c>
      <c r="BD15" s="173"/>
      <c r="BE15" s="528">
        <f t="shared" si="31"/>
        <v>0.32323738424147702</v>
      </c>
      <c r="BF15" s="528">
        <f t="shared" si="32"/>
        <v>1.4992277305404447</v>
      </c>
      <c r="BG15" s="528">
        <f t="shared" si="33"/>
        <v>0.11652410290146058</v>
      </c>
      <c r="BH15" s="528">
        <f t="shared" si="34"/>
        <v>2.0461925285851255E-2</v>
      </c>
      <c r="BI15">
        <f t="shared" si="35"/>
        <v>5.3702200995323487E-3</v>
      </c>
      <c r="BJ15" s="460">
        <f t="shared" si="101"/>
        <v>121.89432300099293</v>
      </c>
      <c r="BK15">
        <f t="shared" si="36"/>
        <v>2.0907751819338114</v>
      </c>
      <c r="BL15" s="460">
        <f t="shared" si="102"/>
        <v>2090.7751819338114</v>
      </c>
      <c r="BM15" s="173">
        <f t="shared" si="37"/>
        <v>5.2079999999999994E-2</v>
      </c>
      <c r="BN15" s="173">
        <f t="shared" si="38"/>
        <v>4.3399999999999994E-2</v>
      </c>
      <c r="BO15" s="528"/>
      <c r="BQ15" s="460">
        <f t="shared" si="103"/>
        <v>95.479999999999976</v>
      </c>
      <c r="BR15" s="528">
        <f t="shared" si="39"/>
        <v>0.24242803818110772</v>
      </c>
      <c r="BS15" s="528">
        <f t="shared" si="104"/>
        <v>3.4237351446252903E-3</v>
      </c>
      <c r="BT15" s="528">
        <f t="shared" si="40"/>
        <v>3.5670620828020107E-4</v>
      </c>
      <c r="BU15" s="528">
        <f t="shared" si="41"/>
        <v>30.217418389789948</v>
      </c>
      <c r="BV15" s="528">
        <f t="shared" si="42"/>
        <v>31.135992534875655</v>
      </c>
      <c r="BW15" s="625">
        <f t="shared" si="43"/>
        <v>1.0849099361086503</v>
      </c>
      <c r="BX15" s="460">
        <f t="shared" si="105"/>
        <v>32220.902470984307</v>
      </c>
      <c r="BY15" s="173">
        <f t="shared" si="106"/>
        <v>34.407157652918116</v>
      </c>
      <c r="BZ15" s="5">
        <f t="shared" si="107"/>
        <v>10.799999999999999</v>
      </c>
      <c r="CA15" s="173">
        <f t="shared" si="108"/>
        <v>0.23890022201612274</v>
      </c>
      <c r="CB15" s="5">
        <f t="shared" si="109"/>
        <v>23.890022201612275</v>
      </c>
      <c r="CC15">
        <f t="shared" si="110"/>
        <v>10</v>
      </c>
      <c r="CE15" s="562">
        <f t="shared" si="44"/>
        <v>-50</v>
      </c>
      <c r="CF15">
        <f t="shared" si="45"/>
        <v>-50</v>
      </c>
      <c r="CG15" s="173">
        <f t="shared" si="46"/>
        <v>0.1853270726504023</v>
      </c>
      <c r="CH15" s="173">
        <f t="shared" si="47"/>
        <v>4.611888233428775E-2</v>
      </c>
      <c r="CI15" s="170">
        <v>10</v>
      </c>
      <c r="CJ15" s="217">
        <f t="shared" si="133"/>
        <v>0.06</v>
      </c>
      <c r="CK15" s="217">
        <f t="shared" si="111"/>
        <v>0.05</v>
      </c>
      <c r="CL15" s="217">
        <f t="shared" si="48"/>
        <v>10.199999999999999</v>
      </c>
      <c r="CM15" s="217">
        <f t="shared" si="134"/>
        <v>0.60000000000000009</v>
      </c>
      <c r="CN15" s="541">
        <f t="shared" si="112"/>
        <v>12.5</v>
      </c>
      <c r="CO15" s="443">
        <f t="shared" si="49"/>
        <v>8.5350000000000001</v>
      </c>
      <c r="CP15" s="443">
        <f t="shared" si="50"/>
        <v>21.035</v>
      </c>
      <c r="CQ15" s="443"/>
      <c r="CR15" s="217">
        <f t="shared" si="113"/>
        <v>0.40546967895362668</v>
      </c>
      <c r="CS15" s="172">
        <f t="shared" si="114"/>
        <v>159.55982736601052</v>
      </c>
      <c r="CT15" s="172">
        <f t="shared" si="51"/>
        <v>9.3858721980006177</v>
      </c>
      <c r="CU15" s="217">
        <f t="shared" si="52"/>
        <v>0.93858721980006188</v>
      </c>
      <c r="CV15" s="217">
        <f t="shared" si="53"/>
        <v>13.296652280500878</v>
      </c>
      <c r="CW15" s="443">
        <f t="shared" si="54"/>
        <v>170</v>
      </c>
      <c r="CX15" s="217">
        <f t="shared" si="55"/>
        <v>4.2617243401759524</v>
      </c>
      <c r="CY15" s="217">
        <f t="shared" si="56"/>
        <v>0.17046897360703811</v>
      </c>
      <c r="CZ15" s="217">
        <f t="shared" si="57"/>
        <v>0.24966164851645883</v>
      </c>
      <c r="DA15" s="197">
        <f t="shared" si="58"/>
        <v>350</v>
      </c>
      <c r="DB15" s="443">
        <f t="shared" si="115"/>
        <v>350</v>
      </c>
      <c r="DD15" s="217">
        <f t="shared" si="59"/>
        <v>28.98230839756868</v>
      </c>
      <c r="DE15" s="173">
        <f t="shared" si="60"/>
        <v>1.6978505212401103</v>
      </c>
      <c r="DF15" s="173">
        <f t="shared" si="61"/>
        <v>0.40664636548103333</v>
      </c>
      <c r="DG15" s="173"/>
      <c r="DH15" s="173">
        <f t="shared" si="62"/>
        <v>0.78109744190587771</v>
      </c>
      <c r="DI15" s="545">
        <f t="shared" si="63"/>
        <v>244.00058823529409</v>
      </c>
      <c r="DJ15" s="528">
        <f t="shared" si="64"/>
        <v>8.6065366284073561E-2</v>
      </c>
      <c r="DL15" s="173">
        <f t="shared" si="65"/>
        <v>11.109841197270617</v>
      </c>
      <c r="DM15" s="173">
        <f t="shared" si="66"/>
        <v>13.333333333333334</v>
      </c>
      <c r="DN15" s="173">
        <f t="shared" si="67"/>
        <v>1.1394289075630253</v>
      </c>
      <c r="DP15" s="545">
        <f t="shared" si="68"/>
        <v>60</v>
      </c>
      <c r="DQ15" s="460">
        <f t="shared" si="69"/>
        <v>244.00058823529409</v>
      </c>
      <c r="DS15">
        <f t="shared" si="116"/>
        <v>60</v>
      </c>
      <c r="DT15" s="460">
        <f t="shared" si="70"/>
        <v>244.00058823529409</v>
      </c>
      <c r="DU15" s="460"/>
      <c r="DV15" s="5">
        <f t="shared" si="117"/>
        <v>4.0983507754320749</v>
      </c>
      <c r="DW15" s="5">
        <f t="shared" si="71"/>
        <v>0.53333333333333333</v>
      </c>
      <c r="DX15" s="5">
        <f t="shared" si="118"/>
        <v>3.5650174420987417</v>
      </c>
      <c r="DY15" s="173">
        <f t="shared" si="119"/>
        <v>0.13013364705882352</v>
      </c>
      <c r="EA15" s="5">
        <f t="shared" si="72"/>
        <v>1.8823529411764708E-2</v>
      </c>
      <c r="EB15" s="5">
        <f t="shared" si="73"/>
        <v>0.22222222222222224</v>
      </c>
      <c r="EC15" s="5">
        <f t="shared" si="74"/>
        <v>4.654486772404117</v>
      </c>
      <c r="ED15" s="5"/>
      <c r="EE15" s="173">
        <f t="shared" si="120"/>
        <v>2.7769810099119807</v>
      </c>
      <c r="EF15" s="173">
        <f t="shared" si="75"/>
        <v>0.33903988810276753</v>
      </c>
      <c r="EG15" s="173">
        <f t="shared" si="76"/>
        <v>0.26805979110302192</v>
      </c>
      <c r="EH15" s="173"/>
      <c r="EI15" s="528">
        <f t="shared" si="77"/>
        <v>0.30846494117647061</v>
      </c>
      <c r="EJ15" s="528">
        <f t="shared" si="78"/>
        <v>1.881935870294118</v>
      </c>
      <c r="EK15" s="528">
        <f t="shared" si="79"/>
        <v>4.8800117647058813E-2</v>
      </c>
      <c r="EL15" s="528">
        <f t="shared" si="80"/>
        <v>2.1592647835438235E-2</v>
      </c>
      <c r="EM15">
        <f t="shared" si="81"/>
        <v>5.6249999999999998E-3</v>
      </c>
      <c r="EN15" s="460">
        <f t="shared" si="121"/>
        <v>54.425117647058812</v>
      </c>
      <c r="EO15">
        <f t="shared" si="82"/>
        <v>2.5355368251795709</v>
      </c>
      <c r="EP15" s="460">
        <f t="shared" si="122"/>
        <v>2535.5368251795708</v>
      </c>
      <c r="EQ15" s="173">
        <f t="shared" si="83"/>
        <v>5.2079999999999994E-2</v>
      </c>
      <c r="ER15" s="173">
        <f t="shared" si="84"/>
        <v>4.3399999999999994E-2</v>
      </c>
      <c r="ES15" s="528"/>
      <c r="EU15" s="460">
        <f t="shared" si="123"/>
        <v>95.479999999999976</v>
      </c>
      <c r="EV15" s="528">
        <f t="shared" si="85"/>
        <v>0.23134870588235293</v>
      </c>
      <c r="EW15" s="528">
        <f t="shared" si="124"/>
        <v>3.4484413717421137E-3</v>
      </c>
      <c r="EX15" s="528">
        <f t="shared" si="86"/>
        <v>3.5928025803097876E-4</v>
      </c>
      <c r="EY15" s="528">
        <f t="shared" si="87"/>
        <v>30.18519801650173</v>
      </c>
      <c r="EZ15" s="528">
        <f t="shared" si="88"/>
        <v>31.061129934609792</v>
      </c>
      <c r="FA15" s="625">
        <f t="shared" si="89"/>
        <v>1.0844470588235295</v>
      </c>
      <c r="FB15" s="460">
        <f t="shared" si="125"/>
        <v>32145.576993433322</v>
      </c>
      <c r="FC15" s="173">
        <f t="shared" si="126"/>
        <v>34.776593818612888</v>
      </c>
      <c r="FD15" s="5">
        <f t="shared" si="127"/>
        <v>10.799999999999999</v>
      </c>
      <c r="FE15" s="173">
        <f t="shared" si="128"/>
        <v>0.23696373719769773</v>
      </c>
      <c r="FF15" s="5">
        <f t="shared" si="129"/>
        <v>23.696373719769774</v>
      </c>
      <c r="FG15">
        <f t="shared" si="130"/>
        <v>10</v>
      </c>
      <c r="FI15" s="562">
        <f t="shared" si="90"/>
        <v>-50</v>
      </c>
      <c r="FJ15">
        <f t="shared" si="91"/>
        <v>-50</v>
      </c>
      <c r="FL15">
        <f t="shared" si="92"/>
        <v>0.1853270726504023</v>
      </c>
    </row>
    <row r="16" spans="2:169">
      <c r="E16" s="170">
        <v>11</v>
      </c>
      <c r="F16" s="217">
        <f t="shared" si="131"/>
        <v>6.6000000000000003E-2</v>
      </c>
      <c r="G16" s="217">
        <f t="shared" si="93"/>
        <v>5.5E-2</v>
      </c>
      <c r="H16" s="217">
        <f t="shared" si="0"/>
        <v>11.22</v>
      </c>
      <c r="I16" s="217">
        <f t="shared" si="132"/>
        <v>0.66</v>
      </c>
      <c r="J16" s="541">
        <f t="shared" si="1"/>
        <v>11.933822443405219</v>
      </c>
      <c r="K16" s="443">
        <f t="shared" si="2"/>
        <v>8.5386430156699316</v>
      </c>
      <c r="L16" s="172">
        <f t="shared" si="3"/>
        <v>20.472465459075153</v>
      </c>
      <c r="M16" s="443"/>
      <c r="N16" s="217">
        <f t="shared" si="4"/>
        <v>0.41707937095992864</v>
      </c>
      <c r="O16" s="172">
        <f t="shared" si="94"/>
        <v>156.69438830246256</v>
      </c>
      <c r="P16" s="172">
        <f t="shared" si="5"/>
        <v>9.2173169589683841</v>
      </c>
      <c r="Q16" s="217">
        <f t="shared" si="6"/>
        <v>0.92173169589683857</v>
      </c>
      <c r="R16" s="217">
        <f t="shared" si="7"/>
        <v>13.05786569187188</v>
      </c>
      <c r="S16" s="443">
        <f t="shared" si="8"/>
        <v>170</v>
      </c>
      <c r="T16" s="217">
        <f t="shared" si="9"/>
        <v>4.7736234086198275</v>
      </c>
      <c r="U16" s="217">
        <f t="shared" si="10"/>
        <v>0.20000395645478164</v>
      </c>
      <c r="V16" s="217">
        <f t="shared" si="11"/>
        <v>0.27953056474309662</v>
      </c>
      <c r="W16" s="197">
        <f t="shared" si="12"/>
        <v>350</v>
      </c>
      <c r="X16" s="443">
        <f t="shared" si="95"/>
        <v>350</v>
      </c>
      <c r="Z16" s="217">
        <f t="shared" si="13"/>
        <v>28.442006616245301</v>
      </c>
      <c r="AA16" s="173">
        <f t="shared" si="14"/>
        <v>1.6654875115430607</v>
      </c>
      <c r="AB16" s="173">
        <f t="shared" si="15"/>
        <v>0.39145882026994572</v>
      </c>
      <c r="AC16" s="173"/>
      <c r="AD16" s="173">
        <f t="shared" si="16"/>
        <v>0.78076418635047107</v>
      </c>
      <c r="AE16" s="545">
        <f t="shared" si="17"/>
        <v>268.51520918689096</v>
      </c>
      <c r="AF16" s="528">
        <f t="shared" si="18"/>
        <v>8.6028646458987085E-2</v>
      </c>
      <c r="AH16" s="173">
        <f t="shared" si="19"/>
        <v>11.652099749462694</v>
      </c>
      <c r="AI16" s="173">
        <f t="shared" si="20"/>
        <v>13.333333333333334</v>
      </c>
      <c r="AJ16" s="173">
        <f t="shared" si="21"/>
        <v>1.1534372623925091</v>
      </c>
      <c r="AL16" s="545">
        <f t="shared" si="22"/>
        <v>66</v>
      </c>
      <c r="AM16" s="460">
        <f t="shared" si="23"/>
        <v>268.51520918689096</v>
      </c>
      <c r="AO16">
        <f t="shared" si="96"/>
        <v>66</v>
      </c>
      <c r="AP16" s="460">
        <f t="shared" si="24"/>
        <v>268.51520918689096</v>
      </c>
      <c r="AQ16" s="460"/>
      <c r="AR16" s="5">
        <f t="shared" si="97"/>
        <v>3.7241838293933798</v>
      </c>
      <c r="AS16" s="5">
        <f t="shared" si="25"/>
        <v>0.55863632111861616</v>
      </c>
      <c r="AT16" s="5">
        <f t="shared" si="98"/>
        <v>3.1655475082747637</v>
      </c>
      <c r="AU16" s="173">
        <f t="shared" si="99"/>
        <v>0.15000234862456041</v>
      </c>
      <c r="AW16" s="5">
        <f t="shared" si="26"/>
        <v>2.1688233643428631E-2</v>
      </c>
      <c r="AX16" s="5">
        <f t="shared" si="27"/>
        <v>0.25604164717936573</v>
      </c>
      <c r="AY16" s="5">
        <f t="shared" si="28"/>
        <v>4.7619200920784923</v>
      </c>
      <c r="AZ16" s="5"/>
      <c r="BA16" s="173">
        <f t="shared" si="100"/>
        <v>2.981447310726892</v>
      </c>
      <c r="BB16" s="173">
        <f t="shared" si="29"/>
        <v>0.3351455001726999</v>
      </c>
      <c r="BC16" s="173">
        <f t="shared" si="30"/>
        <v>0.26498071736674328</v>
      </c>
      <c r="BD16" s="173"/>
      <c r="BE16" s="528">
        <f t="shared" si="31"/>
        <v>0.35556112266562467</v>
      </c>
      <c r="BF16" s="528">
        <f t="shared" si="32"/>
        <v>1.6491505035944896</v>
      </c>
      <c r="BG16" s="528">
        <f t="shared" si="33"/>
        <v>0.12817651319160667</v>
      </c>
      <c r="BH16" s="528">
        <f t="shared" si="34"/>
        <v>2.2508117814436384E-2</v>
      </c>
      <c r="BI16">
        <f t="shared" si="35"/>
        <v>5.3702200995323487E-3</v>
      </c>
      <c r="BJ16" s="460">
        <f t="shared" si="101"/>
        <v>133.54673329113899</v>
      </c>
      <c r="BK16">
        <f t="shared" si="36"/>
        <v>2.3191457475899258</v>
      </c>
      <c r="BL16" s="460">
        <f t="shared" si="102"/>
        <v>2319.1457475899256</v>
      </c>
      <c r="BM16" s="173">
        <f t="shared" si="37"/>
        <v>5.7287999999999999E-2</v>
      </c>
      <c r="BN16" s="173">
        <f t="shared" si="38"/>
        <v>4.7739999999999998E-2</v>
      </c>
      <c r="BO16" s="528"/>
      <c r="BQ16" s="460">
        <f t="shared" si="103"/>
        <v>105.02799999999999</v>
      </c>
      <c r="BR16" s="528">
        <f t="shared" si="39"/>
        <v>0.26667084199921848</v>
      </c>
      <c r="BS16" s="528">
        <f t="shared" si="104"/>
        <v>3.3696751885802755E-3</v>
      </c>
      <c r="BT16" s="528">
        <f t="shared" si="40"/>
        <v>3.5107390288096946E-4</v>
      </c>
      <c r="BU16" s="528">
        <f t="shared" si="41"/>
        <v>38.347677889046103</v>
      </c>
      <c r="BV16" s="528">
        <f t="shared" si="42"/>
        <v>39.538227808072996</v>
      </c>
      <c r="BW16" s="625">
        <f t="shared" si="43"/>
        <v>1.1934009297195154</v>
      </c>
      <c r="BX16" s="460">
        <f t="shared" si="105"/>
        <v>40731.628737792511</v>
      </c>
      <c r="BY16" s="173">
        <f t="shared" si="106"/>
        <v>43.155802485382438</v>
      </c>
      <c r="BZ16" s="5">
        <f t="shared" si="107"/>
        <v>11.88</v>
      </c>
      <c r="CA16" s="173">
        <f t="shared" si="108"/>
        <v>0.21585948534420552</v>
      </c>
      <c r="CB16" s="5">
        <f t="shared" si="109"/>
        <v>21.585948534420552</v>
      </c>
      <c r="CC16">
        <f t="shared" si="110"/>
        <v>11.000000000000002</v>
      </c>
      <c r="CE16" s="562">
        <f t="shared" si="44"/>
        <v>-50</v>
      </c>
      <c r="CF16">
        <f t="shared" si="45"/>
        <v>-50</v>
      </c>
      <c r="CG16" s="173">
        <f t="shared" si="46"/>
        <v>0.20385977991544252</v>
      </c>
      <c r="CH16" s="173">
        <f t="shared" si="47"/>
        <v>5.0730770567716528E-2</v>
      </c>
      <c r="CI16" s="170">
        <v>11</v>
      </c>
      <c r="CJ16" s="217">
        <f t="shared" si="133"/>
        <v>6.6000000000000003E-2</v>
      </c>
      <c r="CK16" s="217">
        <f t="shared" si="111"/>
        <v>5.5E-2</v>
      </c>
      <c r="CL16" s="217">
        <f t="shared" si="48"/>
        <v>11.22</v>
      </c>
      <c r="CM16" s="217">
        <f t="shared" si="134"/>
        <v>0.66</v>
      </c>
      <c r="CN16" s="541">
        <f t="shared" si="112"/>
        <v>12.5</v>
      </c>
      <c r="CO16" s="443">
        <f t="shared" si="49"/>
        <v>8.5350000000000001</v>
      </c>
      <c r="CP16" s="443">
        <f t="shared" si="50"/>
        <v>21.035</v>
      </c>
      <c r="CQ16" s="443"/>
      <c r="CR16" s="217">
        <f t="shared" si="113"/>
        <v>0.40546967895362668</v>
      </c>
      <c r="CS16" s="172">
        <f t="shared" si="114"/>
        <v>159.55982736601052</v>
      </c>
      <c r="CT16" s="172">
        <f t="shared" si="51"/>
        <v>9.3858721980006177</v>
      </c>
      <c r="CU16" s="217">
        <f t="shared" si="52"/>
        <v>0.93858721980006188</v>
      </c>
      <c r="CV16" s="217">
        <f t="shared" si="53"/>
        <v>13.296652280500878</v>
      </c>
      <c r="CW16" s="443">
        <f t="shared" si="54"/>
        <v>170</v>
      </c>
      <c r="CX16" s="217">
        <f t="shared" si="55"/>
        <v>4.6878967741935478</v>
      </c>
      <c r="CY16" s="217">
        <f t="shared" si="56"/>
        <v>0.18751587096774192</v>
      </c>
      <c r="CZ16" s="217">
        <f t="shared" si="57"/>
        <v>0.27462781336810471</v>
      </c>
      <c r="DA16" s="197">
        <f t="shared" si="58"/>
        <v>350</v>
      </c>
      <c r="DB16" s="443">
        <f t="shared" si="115"/>
        <v>350</v>
      </c>
      <c r="DD16" s="217">
        <f t="shared" si="59"/>
        <v>28.98230839756868</v>
      </c>
      <c r="DE16" s="173">
        <f t="shared" si="60"/>
        <v>1.6978505212401103</v>
      </c>
      <c r="DF16" s="173">
        <f t="shared" si="61"/>
        <v>0.40664636548103333</v>
      </c>
      <c r="DG16" s="173"/>
      <c r="DH16" s="173">
        <f t="shared" si="62"/>
        <v>0.78109744190587771</v>
      </c>
      <c r="DI16" s="545">
        <f t="shared" si="63"/>
        <v>268.40064705882355</v>
      </c>
      <c r="DJ16" s="528">
        <f t="shared" si="64"/>
        <v>8.6065366284073561E-2</v>
      </c>
      <c r="DL16" s="173">
        <f t="shared" si="65"/>
        <v>11.652099749462694</v>
      </c>
      <c r="DM16" s="173">
        <f t="shared" si="66"/>
        <v>13.333333333333334</v>
      </c>
      <c r="DN16" s="173">
        <f t="shared" si="67"/>
        <v>1.1533717983193277</v>
      </c>
      <c r="DP16" s="545">
        <f t="shared" si="68"/>
        <v>66</v>
      </c>
      <c r="DQ16" s="460">
        <f t="shared" si="69"/>
        <v>268.40064705882355</v>
      </c>
      <c r="DS16">
        <f t="shared" si="116"/>
        <v>66</v>
      </c>
      <c r="DT16" s="460">
        <f t="shared" si="70"/>
        <v>268.40064705882355</v>
      </c>
      <c r="DU16" s="460"/>
      <c r="DV16" s="5">
        <f t="shared" si="117"/>
        <v>3.7257734322109766</v>
      </c>
      <c r="DW16" s="5">
        <f t="shared" si="71"/>
        <v>0.53333333333333333</v>
      </c>
      <c r="DX16" s="5">
        <f t="shared" si="118"/>
        <v>3.1924400988776434</v>
      </c>
      <c r="DY16" s="173">
        <f t="shared" si="119"/>
        <v>0.1431470117647059</v>
      </c>
      <c r="EA16" s="5">
        <f t="shared" si="72"/>
        <v>2.0705882352941178E-2</v>
      </c>
      <c r="EB16" s="5">
        <f t="shared" si="73"/>
        <v>0.24444444444444444</v>
      </c>
      <c r="EC16" s="5">
        <f t="shared" si="74"/>
        <v>4.5848547724041167</v>
      </c>
      <c r="ED16" s="5"/>
      <c r="EE16" s="173">
        <f t="shared" si="120"/>
        <v>2.9125222543961691</v>
      </c>
      <c r="EF16" s="173">
        <f t="shared" si="75"/>
        <v>0.3364942811999822</v>
      </c>
      <c r="EG16" s="173">
        <f t="shared" si="76"/>
        <v>0.26604712274588682</v>
      </c>
      <c r="EH16" s="173"/>
      <c r="EI16" s="528">
        <f t="shared" si="77"/>
        <v>0.33931143529411772</v>
      </c>
      <c r="EJ16" s="528">
        <f t="shared" si="78"/>
        <v>2.0701294573235298</v>
      </c>
      <c r="EK16" s="528">
        <f t="shared" si="79"/>
        <v>5.3680129411764706E-2</v>
      </c>
      <c r="EL16" s="528">
        <f t="shared" si="80"/>
        <v>2.375191261898206E-2</v>
      </c>
      <c r="EM16">
        <f t="shared" si="81"/>
        <v>5.6249999999999998E-3</v>
      </c>
      <c r="EN16" s="460">
        <f t="shared" si="121"/>
        <v>59.305129411764703</v>
      </c>
      <c r="EO16">
        <f t="shared" si="82"/>
        <v>2.8107128043937628</v>
      </c>
      <c r="EP16" s="460">
        <f t="shared" si="122"/>
        <v>2810.7128043937628</v>
      </c>
      <c r="EQ16" s="173">
        <f t="shared" si="83"/>
        <v>5.7287999999999999E-2</v>
      </c>
      <c r="ER16" s="173">
        <f t="shared" si="84"/>
        <v>4.7739999999999998E-2</v>
      </c>
      <c r="ES16" s="528"/>
      <c r="EU16" s="460">
        <f t="shared" si="123"/>
        <v>105.02799999999999</v>
      </c>
      <c r="EV16" s="528">
        <f t="shared" si="85"/>
        <v>0.25448357647058828</v>
      </c>
      <c r="EW16" s="528">
        <f t="shared" si="124"/>
        <v>3.3968520384087806E-3</v>
      </c>
      <c r="EX16" s="528">
        <f t="shared" si="86"/>
        <v>3.5390535760682486E-4</v>
      </c>
      <c r="EY16" s="528">
        <f t="shared" si="87"/>
        <v>38.306788343805039</v>
      </c>
      <c r="EZ16" s="528">
        <f t="shared" si="88"/>
        <v>39.441817433922601</v>
      </c>
      <c r="FA16" s="625">
        <f t="shared" si="89"/>
        <v>1.1928917647058825</v>
      </c>
      <c r="FB16" s="460">
        <f t="shared" si="125"/>
        <v>40634.709198628487</v>
      </c>
      <c r="FC16" s="173">
        <f t="shared" si="126"/>
        <v>43.550450003022249</v>
      </c>
      <c r="FD16" s="5">
        <f t="shared" si="127"/>
        <v>11.88</v>
      </c>
      <c r="FE16" s="173">
        <f t="shared" si="128"/>
        <v>0.2143226331258769</v>
      </c>
      <c r="FF16" s="5">
        <f t="shared" si="129"/>
        <v>21.43226331258769</v>
      </c>
      <c r="FG16">
        <f t="shared" si="130"/>
        <v>11.000000000000002</v>
      </c>
      <c r="FI16" s="562">
        <f t="shared" si="90"/>
        <v>-50</v>
      </c>
      <c r="FJ16">
        <f t="shared" si="91"/>
        <v>-50</v>
      </c>
      <c r="FL16">
        <f t="shared" si="92"/>
        <v>0.20385977991544257</v>
      </c>
    </row>
    <row r="17" spans="5:168">
      <c r="E17" s="170">
        <v>12</v>
      </c>
      <c r="F17" s="217">
        <f t="shared" si="131"/>
        <v>7.1999999999999995E-2</v>
      </c>
      <c r="G17" s="217">
        <f t="shared" si="93"/>
        <v>0.06</v>
      </c>
      <c r="H17" s="217">
        <f t="shared" si="0"/>
        <v>12.239999999999998</v>
      </c>
      <c r="I17" s="217">
        <f t="shared" si="132"/>
        <v>0.72</v>
      </c>
      <c r="J17" s="541">
        <f t="shared" si="1"/>
        <v>11.933822443405219</v>
      </c>
      <c r="K17" s="443">
        <f t="shared" si="2"/>
        <v>8.5386430156699316</v>
      </c>
      <c r="L17" s="172">
        <f t="shared" si="3"/>
        <v>20.472465459075153</v>
      </c>
      <c r="M17" s="443"/>
      <c r="N17" s="217">
        <f t="shared" si="4"/>
        <v>0.41707937095992864</v>
      </c>
      <c r="O17" s="172">
        <f t="shared" si="94"/>
        <v>156.69438830246256</v>
      </c>
      <c r="P17" s="172">
        <f t="shared" si="5"/>
        <v>9.2173169589683841</v>
      </c>
      <c r="Q17" s="217">
        <f t="shared" si="6"/>
        <v>0.92173169589683857</v>
      </c>
      <c r="R17" s="217">
        <f t="shared" si="7"/>
        <v>13.05786569187188</v>
      </c>
      <c r="S17" s="443">
        <f t="shared" si="8"/>
        <v>170</v>
      </c>
      <c r="T17" s="217">
        <f t="shared" si="9"/>
        <v>5.2075891730398114</v>
      </c>
      <c r="U17" s="217">
        <f t="shared" si="10"/>
        <v>0.21818613431430725</v>
      </c>
      <c r="V17" s="217">
        <f t="shared" si="11"/>
        <v>0.30494243426519629</v>
      </c>
      <c r="W17" s="197">
        <f t="shared" si="12"/>
        <v>350</v>
      </c>
      <c r="X17" s="443">
        <f t="shared" si="95"/>
        <v>350</v>
      </c>
      <c r="Z17" s="217">
        <f t="shared" si="13"/>
        <v>28.442006616245301</v>
      </c>
      <c r="AA17" s="173">
        <f t="shared" si="14"/>
        <v>1.6654875115430607</v>
      </c>
      <c r="AB17" s="173">
        <f t="shared" si="15"/>
        <v>0.39145882026994572</v>
      </c>
      <c r="AC17" s="173"/>
      <c r="AD17" s="173">
        <f t="shared" si="16"/>
        <v>0.78076418635047107</v>
      </c>
      <c r="AE17" s="545">
        <f t="shared" si="17"/>
        <v>292.92568274933558</v>
      </c>
      <c r="AF17" s="528">
        <f t="shared" si="18"/>
        <v>8.6028646458987085E-2</v>
      </c>
      <c r="AH17" s="173">
        <f t="shared" si="19"/>
        <v>12.170221268090637</v>
      </c>
      <c r="AI17" s="173">
        <f t="shared" si="20"/>
        <v>13.333333333333334</v>
      </c>
      <c r="AJ17" s="173">
        <f t="shared" si="21"/>
        <v>1.1673861044281917</v>
      </c>
      <c r="AL17" s="545">
        <f t="shared" si="22"/>
        <v>72</v>
      </c>
      <c r="AM17" s="460">
        <f t="shared" si="23"/>
        <v>292.92568274933558</v>
      </c>
      <c r="AO17">
        <f t="shared" si="96"/>
        <v>72</v>
      </c>
      <c r="AP17" s="460">
        <f t="shared" si="24"/>
        <v>292.92568274933558</v>
      </c>
      <c r="AQ17" s="460"/>
      <c r="AR17" s="5">
        <f t="shared" si="97"/>
        <v>3.4138351769439317</v>
      </c>
      <c r="AS17" s="5">
        <f t="shared" si="25"/>
        <v>0.55863632111861616</v>
      </c>
      <c r="AT17" s="5">
        <f t="shared" si="98"/>
        <v>2.8551988558253156</v>
      </c>
      <c r="AU17" s="173">
        <f t="shared" si="99"/>
        <v>0.1636389257722477</v>
      </c>
      <c r="AW17" s="5">
        <f t="shared" si="26"/>
        <v>2.3659891247376684E-2</v>
      </c>
      <c r="AX17" s="5">
        <f t="shared" si="27"/>
        <v>0.27931816055930808</v>
      </c>
      <c r="AY17" s="5">
        <f t="shared" si="28"/>
        <v>4.6855242448644763</v>
      </c>
      <c r="AZ17" s="5"/>
      <c r="BA17" s="173">
        <f t="shared" si="100"/>
        <v>3.1140201552405387</v>
      </c>
      <c r="BB17" s="173">
        <f t="shared" si="29"/>
        <v>0.33244624791261423</v>
      </c>
      <c r="BC17" s="173">
        <f t="shared" si="30"/>
        <v>0.26284657025791225</v>
      </c>
      <c r="BD17" s="173"/>
      <c r="BE17" s="528">
        <f t="shared" si="31"/>
        <v>0.38788486108977233</v>
      </c>
      <c r="BF17" s="528">
        <f t="shared" si="32"/>
        <v>1.799073276648534</v>
      </c>
      <c r="BG17" s="528">
        <f t="shared" si="33"/>
        <v>0.13982892348175269</v>
      </c>
      <c r="BH17" s="528">
        <f t="shared" si="34"/>
        <v>2.4554310343021506E-2</v>
      </c>
      <c r="BI17">
        <f t="shared" si="35"/>
        <v>5.3702200995323487E-3</v>
      </c>
      <c r="BJ17" s="460">
        <f t="shared" si="101"/>
        <v>145.19914358128503</v>
      </c>
      <c r="BK17">
        <f t="shared" si="36"/>
        <v>2.5513802456427621</v>
      </c>
      <c r="BL17" s="460">
        <f t="shared" si="102"/>
        <v>2551.380245642762</v>
      </c>
      <c r="BM17" s="173">
        <f t="shared" si="37"/>
        <v>6.2495999999999989E-2</v>
      </c>
      <c r="BN17" s="173">
        <f t="shared" si="38"/>
        <v>5.2079999999999994E-2</v>
      </c>
      <c r="BO17" s="528"/>
      <c r="BQ17" s="460">
        <f t="shared" si="103"/>
        <v>114.57599999999998</v>
      </c>
      <c r="BR17" s="528">
        <f t="shared" si="39"/>
        <v>0.2909136458173292</v>
      </c>
      <c r="BS17" s="528">
        <f t="shared" si="104"/>
        <v>3.3156152325352606E-3</v>
      </c>
      <c r="BT17" s="528">
        <f t="shared" si="40"/>
        <v>3.4544159748173801E-4</v>
      </c>
      <c r="BU17" s="528">
        <f t="shared" si="41"/>
        <v>47.666193643178993</v>
      </c>
      <c r="BV17" s="528">
        <f t="shared" si="42"/>
        <v>49.190692974950743</v>
      </c>
      <c r="BW17" s="625">
        <f t="shared" si="43"/>
        <v>1.3018919233303805</v>
      </c>
      <c r="BX17" s="460">
        <f t="shared" si="105"/>
        <v>50492.584898281122</v>
      </c>
      <c r="BY17" s="173">
        <f t="shared" si="106"/>
        <v>53.158541143923884</v>
      </c>
      <c r="BZ17" s="5">
        <f t="shared" si="107"/>
        <v>12.959999999999999</v>
      </c>
      <c r="CA17" s="173">
        <f t="shared" si="108"/>
        <v>0.19601158428146881</v>
      </c>
      <c r="CB17" s="5">
        <f t="shared" si="109"/>
        <v>19.601158428146881</v>
      </c>
      <c r="CC17">
        <f t="shared" si="110"/>
        <v>12</v>
      </c>
      <c r="CE17" s="562">
        <f t="shared" si="44"/>
        <v>-50</v>
      </c>
      <c r="CF17">
        <f t="shared" si="45"/>
        <v>-50</v>
      </c>
      <c r="CG17" s="173">
        <f t="shared" si="46"/>
        <v>0.22239248718048277</v>
      </c>
      <c r="CH17" s="173">
        <f t="shared" si="47"/>
        <v>5.5342658801145306E-2</v>
      </c>
      <c r="CI17" s="170">
        <v>12</v>
      </c>
      <c r="CJ17" s="217">
        <f t="shared" si="133"/>
        <v>7.1999999999999995E-2</v>
      </c>
      <c r="CK17" s="217">
        <f t="shared" si="111"/>
        <v>0.06</v>
      </c>
      <c r="CL17" s="217">
        <f t="shared" si="48"/>
        <v>12.239999999999998</v>
      </c>
      <c r="CM17" s="217">
        <f t="shared" si="134"/>
        <v>0.72</v>
      </c>
      <c r="CN17" s="541">
        <f t="shared" si="112"/>
        <v>12.5</v>
      </c>
      <c r="CO17" s="443">
        <f t="shared" si="49"/>
        <v>8.5350000000000001</v>
      </c>
      <c r="CP17" s="443">
        <f t="shared" si="50"/>
        <v>21.035</v>
      </c>
      <c r="CQ17" s="443"/>
      <c r="CR17" s="217">
        <f t="shared" si="113"/>
        <v>0.40546967895362668</v>
      </c>
      <c r="CS17" s="172">
        <f t="shared" si="114"/>
        <v>159.55982736601052</v>
      </c>
      <c r="CT17" s="172">
        <f t="shared" si="51"/>
        <v>9.3858721980006177</v>
      </c>
      <c r="CU17" s="217">
        <f t="shared" si="52"/>
        <v>0.93858721980006188</v>
      </c>
      <c r="CV17" s="217">
        <f t="shared" si="53"/>
        <v>13.296652280500878</v>
      </c>
      <c r="CW17" s="443">
        <f t="shared" si="54"/>
        <v>170</v>
      </c>
      <c r="CX17" s="217">
        <f t="shared" si="55"/>
        <v>5.1140692082111423</v>
      </c>
      <c r="CY17" s="217">
        <f t="shared" si="56"/>
        <v>0.20456276832844569</v>
      </c>
      <c r="CZ17" s="217">
        <f t="shared" si="57"/>
        <v>0.29959397821975053</v>
      </c>
      <c r="DA17" s="197">
        <f t="shared" si="58"/>
        <v>350</v>
      </c>
      <c r="DB17" s="443">
        <f t="shared" si="115"/>
        <v>350</v>
      </c>
      <c r="DD17" s="217">
        <f t="shared" si="59"/>
        <v>28.98230839756868</v>
      </c>
      <c r="DE17" s="173">
        <f t="shared" si="60"/>
        <v>1.6978505212401103</v>
      </c>
      <c r="DF17" s="173">
        <f t="shared" si="61"/>
        <v>0.40664636548103333</v>
      </c>
      <c r="DG17" s="173"/>
      <c r="DH17" s="173">
        <f t="shared" si="62"/>
        <v>0.78109744190587771</v>
      </c>
      <c r="DI17" s="545">
        <f t="shared" si="63"/>
        <v>292.80070588235293</v>
      </c>
      <c r="DJ17" s="528">
        <f t="shared" si="64"/>
        <v>8.6065366284073561E-2</v>
      </c>
      <c r="DL17" s="173">
        <f t="shared" si="65"/>
        <v>12.170221268090637</v>
      </c>
      <c r="DM17" s="173">
        <f t="shared" si="66"/>
        <v>13.333333333333334</v>
      </c>
      <c r="DN17" s="173">
        <f t="shared" si="67"/>
        <v>1.1673146890756303</v>
      </c>
      <c r="DP17" s="545">
        <f t="shared" si="68"/>
        <v>72</v>
      </c>
      <c r="DQ17" s="460">
        <f t="shared" si="69"/>
        <v>292.80070588235293</v>
      </c>
      <c r="DS17">
        <f t="shared" si="116"/>
        <v>72</v>
      </c>
      <c r="DT17" s="460">
        <f t="shared" si="70"/>
        <v>292.80070588235293</v>
      </c>
      <c r="DU17" s="460"/>
      <c r="DV17" s="5">
        <f t="shared" si="117"/>
        <v>3.4152923128600623</v>
      </c>
      <c r="DW17" s="5">
        <f t="shared" si="71"/>
        <v>0.53333333333333333</v>
      </c>
      <c r="DX17" s="5">
        <f t="shared" si="118"/>
        <v>2.8819589795267291</v>
      </c>
      <c r="DY17" s="173">
        <f t="shared" si="119"/>
        <v>0.15616037647058822</v>
      </c>
      <c r="EA17" s="5">
        <f t="shared" si="72"/>
        <v>2.2588235294117645E-2</v>
      </c>
      <c r="EB17" s="5">
        <f t="shared" si="73"/>
        <v>0.26666666666666666</v>
      </c>
      <c r="EC17" s="5">
        <f t="shared" si="74"/>
        <v>4.5152227724041163</v>
      </c>
      <c r="ED17" s="5"/>
      <c r="EE17" s="173">
        <f t="shared" si="120"/>
        <v>3.0420302817845384</v>
      </c>
      <c r="EF17" s="173">
        <f t="shared" si="75"/>
        <v>0.3339292692110834</v>
      </c>
      <c r="EG17" s="173">
        <f t="shared" si="76"/>
        <v>0.2640191118774059</v>
      </c>
      <c r="EH17" s="173"/>
      <c r="EI17" s="528">
        <f t="shared" si="77"/>
        <v>0.37015792941176473</v>
      </c>
      <c r="EJ17" s="528">
        <f t="shared" si="78"/>
        <v>2.2583230443529412</v>
      </c>
      <c r="EK17" s="528">
        <f t="shared" si="79"/>
        <v>5.8560141176470577E-2</v>
      </c>
      <c r="EL17" s="528">
        <f t="shared" si="80"/>
        <v>2.5911177402525881E-2</v>
      </c>
      <c r="EM17">
        <f t="shared" si="81"/>
        <v>5.6249999999999998E-3</v>
      </c>
      <c r="EN17" s="460">
        <f t="shared" si="121"/>
        <v>64.18514117647058</v>
      </c>
      <c r="EO17">
        <f t="shared" si="82"/>
        <v>3.0903113451937223</v>
      </c>
      <c r="EP17" s="460">
        <f t="shared" si="122"/>
        <v>3090.3113451937224</v>
      </c>
      <c r="EQ17" s="173">
        <f t="shared" si="83"/>
        <v>6.2495999999999989E-2</v>
      </c>
      <c r="ER17" s="173">
        <f t="shared" si="84"/>
        <v>5.2079999999999994E-2</v>
      </c>
      <c r="ES17" s="528"/>
      <c r="EU17" s="460">
        <f t="shared" si="123"/>
        <v>114.57599999999998</v>
      </c>
      <c r="EV17" s="528">
        <f t="shared" si="85"/>
        <v>0.27761844705882355</v>
      </c>
      <c r="EW17" s="528">
        <f t="shared" si="124"/>
        <v>3.3452627050754463E-3</v>
      </c>
      <c r="EX17" s="528">
        <f t="shared" si="86"/>
        <v>3.4853045718267084E-4</v>
      </c>
      <c r="EY17" s="528">
        <f t="shared" si="87"/>
        <v>47.615367906426918</v>
      </c>
      <c r="EZ17" s="528">
        <f t="shared" si="88"/>
        <v>49.068480211709037</v>
      </c>
      <c r="FA17" s="625">
        <f t="shared" si="89"/>
        <v>1.3013364705882353</v>
      </c>
      <c r="FB17" s="460">
        <f t="shared" si="125"/>
        <v>50369.816682297271</v>
      </c>
      <c r="FC17" s="173">
        <f t="shared" si="126"/>
        <v>53.574704027490995</v>
      </c>
      <c r="FD17" s="5">
        <f t="shared" si="127"/>
        <v>12.959999999999999</v>
      </c>
      <c r="FE17" s="173">
        <f t="shared" si="128"/>
        <v>0.19478556626095686</v>
      </c>
      <c r="FF17" s="5">
        <f t="shared" si="129"/>
        <v>19.478556626095685</v>
      </c>
      <c r="FG17">
        <f t="shared" si="130"/>
        <v>12</v>
      </c>
      <c r="FI17" s="562">
        <f t="shared" si="90"/>
        <v>-50</v>
      </c>
      <c r="FJ17">
        <f t="shared" si="91"/>
        <v>-50</v>
      </c>
      <c r="FL17">
        <f t="shared" si="92"/>
        <v>0.22239248718048277</v>
      </c>
    </row>
    <row r="18" spans="5:168">
      <c r="E18" s="170">
        <v>13</v>
      </c>
      <c r="F18" s="217">
        <f t="shared" si="131"/>
        <v>7.8E-2</v>
      </c>
      <c r="G18" s="217">
        <f t="shared" si="93"/>
        <v>6.5000000000000002E-2</v>
      </c>
      <c r="H18" s="217">
        <f t="shared" si="0"/>
        <v>13.26</v>
      </c>
      <c r="I18" s="217">
        <f t="shared" si="132"/>
        <v>0.78</v>
      </c>
      <c r="J18" s="541">
        <f t="shared" si="1"/>
        <v>11.933822443405219</v>
      </c>
      <c r="K18" s="443">
        <f t="shared" si="2"/>
        <v>8.5386430156699316</v>
      </c>
      <c r="L18" s="172">
        <f t="shared" si="3"/>
        <v>20.472465459075153</v>
      </c>
      <c r="M18" s="443"/>
      <c r="N18" s="217">
        <f t="shared" si="4"/>
        <v>0.41707937095992864</v>
      </c>
      <c r="O18" s="172">
        <f t="shared" si="94"/>
        <v>156.69438830246256</v>
      </c>
      <c r="P18" s="172">
        <f t="shared" si="5"/>
        <v>9.2173169589683841</v>
      </c>
      <c r="Q18" s="217">
        <f t="shared" si="6"/>
        <v>0.92173169589683857</v>
      </c>
      <c r="R18" s="217">
        <f t="shared" si="7"/>
        <v>13.05786569187188</v>
      </c>
      <c r="S18" s="443">
        <f t="shared" si="8"/>
        <v>170</v>
      </c>
      <c r="T18" s="217">
        <f t="shared" si="9"/>
        <v>5.6415549374597953</v>
      </c>
      <c r="U18" s="217">
        <f t="shared" si="10"/>
        <v>0.23636831217383283</v>
      </c>
      <c r="V18" s="217">
        <f t="shared" si="11"/>
        <v>0.33035430378729591</v>
      </c>
      <c r="W18" s="197">
        <f t="shared" si="12"/>
        <v>350</v>
      </c>
      <c r="X18" s="443">
        <f t="shared" si="95"/>
        <v>350</v>
      </c>
      <c r="Z18" s="217">
        <f t="shared" si="13"/>
        <v>28.442006616245301</v>
      </c>
      <c r="AA18" s="173">
        <f t="shared" si="14"/>
        <v>1.6654875115430607</v>
      </c>
      <c r="AB18" s="173">
        <f t="shared" si="15"/>
        <v>0.39145882026994572</v>
      </c>
      <c r="AC18" s="173"/>
      <c r="AD18" s="173">
        <f t="shared" si="16"/>
        <v>0.78076418635047107</v>
      </c>
      <c r="AE18" s="545">
        <f t="shared" si="17"/>
        <v>317.3361563117802</v>
      </c>
      <c r="AF18" s="528">
        <f t="shared" si="18"/>
        <v>8.6028646458987085E-2</v>
      </c>
      <c r="AH18" s="173">
        <f t="shared" si="19"/>
        <v>12.667167909881943</v>
      </c>
      <c r="AI18" s="173">
        <f t="shared" si="20"/>
        <v>13.333333333333334</v>
      </c>
      <c r="AJ18" s="173">
        <f t="shared" si="21"/>
        <v>1.1813349464638745</v>
      </c>
      <c r="AL18" s="545">
        <f t="shared" si="22"/>
        <v>78</v>
      </c>
      <c r="AM18" s="460">
        <f t="shared" si="23"/>
        <v>317.3361563117802</v>
      </c>
      <c r="AO18">
        <f t="shared" si="96"/>
        <v>78</v>
      </c>
      <c r="AP18" s="460">
        <f t="shared" si="24"/>
        <v>317.3361563117802</v>
      </c>
      <c r="AQ18" s="460"/>
      <c r="AR18" s="5">
        <f t="shared" si="97"/>
        <v>3.1512324710251676</v>
      </c>
      <c r="AS18" s="5">
        <f t="shared" si="25"/>
        <v>0.55863632111861616</v>
      </c>
      <c r="AT18" s="5">
        <f t="shared" si="98"/>
        <v>2.5925961499065515</v>
      </c>
      <c r="AU18" s="173">
        <f t="shared" si="99"/>
        <v>0.17727550291993502</v>
      </c>
      <c r="AW18" s="5">
        <f t="shared" si="26"/>
        <v>2.5631548851324744E-2</v>
      </c>
      <c r="AX18" s="5">
        <f t="shared" si="27"/>
        <v>0.30259467393925044</v>
      </c>
      <c r="AY18" s="5">
        <f t="shared" si="28"/>
        <v>4.6091283976504602</v>
      </c>
      <c r="AZ18" s="5"/>
      <c r="BA18" s="173">
        <f t="shared" si="100"/>
        <v>3.2411749394082392</v>
      </c>
      <c r="BB18" s="173">
        <f t="shared" si="29"/>
        <v>0.32972489929688581</v>
      </c>
      <c r="BC18" s="173">
        <f t="shared" si="30"/>
        <v>0.26069495280212324</v>
      </c>
      <c r="BD18" s="173"/>
      <c r="BE18" s="528">
        <f t="shared" si="31"/>
        <v>0.42020859951392014</v>
      </c>
      <c r="BF18" s="528">
        <f t="shared" si="32"/>
        <v>1.9489960497025787</v>
      </c>
      <c r="BG18" s="528">
        <f t="shared" si="33"/>
        <v>0.15148133377189876</v>
      </c>
      <c r="BH18" s="528">
        <f t="shared" si="34"/>
        <v>2.6600502871606632E-2</v>
      </c>
      <c r="BI18">
        <f t="shared" si="35"/>
        <v>5.3702200995323487E-3</v>
      </c>
      <c r="BJ18" s="460">
        <f t="shared" si="101"/>
        <v>156.85155387143109</v>
      </c>
      <c r="BK18">
        <f t="shared" si="36"/>
        <v>2.7875775768998845</v>
      </c>
      <c r="BL18" s="460">
        <f t="shared" si="102"/>
        <v>2787.5775768998847</v>
      </c>
      <c r="BM18" s="173">
        <f t="shared" si="37"/>
        <v>6.7704E-2</v>
      </c>
      <c r="BN18" s="173">
        <f t="shared" si="38"/>
        <v>5.6419999999999998E-2</v>
      </c>
      <c r="BO18" s="528"/>
      <c r="BQ18" s="460">
        <f t="shared" si="103"/>
        <v>124.124</v>
      </c>
      <c r="BR18" s="528">
        <f t="shared" si="39"/>
        <v>0.31515644963544009</v>
      </c>
      <c r="BS18" s="528">
        <f t="shared" si="104"/>
        <v>3.2615552764902445E-3</v>
      </c>
      <c r="BT18" s="528">
        <f t="shared" si="40"/>
        <v>3.3980929208250635E-4</v>
      </c>
      <c r="BU18" s="528">
        <f t="shared" si="41"/>
        <v>58.225836779981456</v>
      </c>
      <c r="BV18" s="528">
        <f t="shared" si="42"/>
        <v>60.155088840149162</v>
      </c>
      <c r="BW18" s="625">
        <f t="shared" si="43"/>
        <v>1.4103829169412456</v>
      </c>
      <c r="BX18" s="460">
        <f t="shared" si="105"/>
        <v>61565.47175709041</v>
      </c>
      <c r="BY18" s="173">
        <f t="shared" si="106"/>
        <v>64.477173333990294</v>
      </c>
      <c r="BZ18" s="5">
        <f t="shared" si="107"/>
        <v>14.04</v>
      </c>
      <c r="CA18" s="173">
        <f t="shared" si="108"/>
        <v>0.17881438421474666</v>
      </c>
      <c r="CB18" s="5">
        <f t="shared" si="109"/>
        <v>17.881438421474666</v>
      </c>
      <c r="CC18">
        <f t="shared" si="110"/>
        <v>13</v>
      </c>
      <c r="CE18" s="562">
        <f t="shared" si="44"/>
        <v>-50</v>
      </c>
      <c r="CF18">
        <f t="shared" si="45"/>
        <v>-50</v>
      </c>
      <c r="CG18" s="173">
        <f t="shared" si="46"/>
        <v>0.24092519444552302</v>
      </c>
      <c r="CH18" s="173">
        <f t="shared" si="47"/>
        <v>5.995454703457407E-2</v>
      </c>
      <c r="CI18" s="170">
        <v>13</v>
      </c>
      <c r="CJ18" s="217">
        <f t="shared" si="133"/>
        <v>7.8E-2</v>
      </c>
      <c r="CK18" s="217">
        <f t="shared" si="111"/>
        <v>6.5000000000000002E-2</v>
      </c>
      <c r="CL18" s="217">
        <f t="shared" si="48"/>
        <v>13.26</v>
      </c>
      <c r="CM18" s="217">
        <f t="shared" si="134"/>
        <v>0.78</v>
      </c>
      <c r="CN18" s="541">
        <f t="shared" si="112"/>
        <v>12.5</v>
      </c>
      <c r="CO18" s="443">
        <f t="shared" si="49"/>
        <v>8.5350000000000001</v>
      </c>
      <c r="CP18" s="443">
        <f t="shared" si="50"/>
        <v>21.035</v>
      </c>
      <c r="CQ18" s="443"/>
      <c r="CR18" s="217">
        <f t="shared" si="113"/>
        <v>0.40546967895362668</v>
      </c>
      <c r="CS18" s="172">
        <f t="shared" si="114"/>
        <v>159.55982736601052</v>
      </c>
      <c r="CT18" s="172">
        <f t="shared" si="51"/>
        <v>9.3858721980006177</v>
      </c>
      <c r="CU18" s="217">
        <f t="shared" si="52"/>
        <v>0.93858721980006188</v>
      </c>
      <c r="CV18" s="217">
        <f t="shared" si="53"/>
        <v>13.296652280500878</v>
      </c>
      <c r="CW18" s="443">
        <f t="shared" si="54"/>
        <v>170</v>
      </c>
      <c r="CX18" s="217">
        <f t="shared" si="55"/>
        <v>5.5402416422287377</v>
      </c>
      <c r="CY18" s="217">
        <f t="shared" si="56"/>
        <v>0.22160966568914953</v>
      </c>
      <c r="CZ18" s="217">
        <f t="shared" si="57"/>
        <v>0.32456014307139647</v>
      </c>
      <c r="DA18" s="197">
        <f t="shared" si="58"/>
        <v>350</v>
      </c>
      <c r="DB18" s="443">
        <f t="shared" si="115"/>
        <v>350</v>
      </c>
      <c r="DD18" s="217">
        <f t="shared" si="59"/>
        <v>28.98230839756868</v>
      </c>
      <c r="DE18" s="173">
        <f t="shared" si="60"/>
        <v>1.6978505212401103</v>
      </c>
      <c r="DF18" s="173">
        <f t="shared" si="61"/>
        <v>0.40664636548103333</v>
      </c>
      <c r="DG18" s="173"/>
      <c r="DH18" s="173">
        <f t="shared" si="62"/>
        <v>0.78109744190587771</v>
      </c>
      <c r="DI18" s="545">
        <f t="shared" si="63"/>
        <v>317.20076470588236</v>
      </c>
      <c r="DJ18" s="528">
        <f t="shared" si="64"/>
        <v>8.6065366284073561E-2</v>
      </c>
      <c r="DL18" s="173">
        <f t="shared" si="65"/>
        <v>12.667167909881943</v>
      </c>
      <c r="DM18" s="173">
        <f t="shared" si="66"/>
        <v>13.333333333333334</v>
      </c>
      <c r="DN18" s="173">
        <f t="shared" si="67"/>
        <v>1.1812575798319327</v>
      </c>
      <c r="DP18" s="545">
        <f t="shared" si="68"/>
        <v>78</v>
      </c>
      <c r="DQ18" s="460">
        <f t="shared" si="69"/>
        <v>317.20076470588236</v>
      </c>
      <c r="DS18">
        <f t="shared" si="116"/>
        <v>78</v>
      </c>
      <c r="DT18" s="460">
        <f t="shared" si="70"/>
        <v>317.20076470588236</v>
      </c>
      <c r="DU18" s="460"/>
      <c r="DV18" s="5">
        <f t="shared" si="117"/>
        <v>3.1525775195631343</v>
      </c>
      <c r="DW18" s="5">
        <f t="shared" si="71"/>
        <v>0.53333333333333333</v>
      </c>
      <c r="DX18" s="5">
        <f t="shared" si="118"/>
        <v>2.619244186229801</v>
      </c>
      <c r="DY18" s="173">
        <f t="shared" si="119"/>
        <v>0.1691737411764706</v>
      </c>
      <c r="EA18" s="5">
        <f t="shared" si="72"/>
        <v>2.4470588235294119E-2</v>
      </c>
      <c r="EB18" s="5">
        <f t="shared" si="73"/>
        <v>0.28888888888888886</v>
      </c>
      <c r="EC18" s="5">
        <f t="shared" si="74"/>
        <v>4.4455907724041168</v>
      </c>
      <c r="ED18" s="5"/>
      <c r="EE18" s="173">
        <f t="shared" si="120"/>
        <v>3.1662455034686263</v>
      </c>
      <c r="EF18" s="173">
        <f t="shared" si="75"/>
        <v>0.33134440147888988</v>
      </c>
      <c r="EG18" s="173">
        <f t="shared" si="76"/>
        <v>0.26197540218826543</v>
      </c>
      <c r="EH18" s="173"/>
      <c r="EI18" s="528">
        <f t="shared" si="77"/>
        <v>0.40100442352941179</v>
      </c>
      <c r="EJ18" s="528">
        <f t="shared" si="78"/>
        <v>2.4465166313823534</v>
      </c>
      <c r="EK18" s="528">
        <f t="shared" si="79"/>
        <v>6.344015294117647E-2</v>
      </c>
      <c r="EL18" s="528">
        <f t="shared" si="80"/>
        <v>2.8070442186069706E-2</v>
      </c>
      <c r="EM18">
        <f t="shared" si="81"/>
        <v>5.6249999999999998E-3</v>
      </c>
      <c r="EN18" s="460">
        <f t="shared" si="121"/>
        <v>69.065152941176478</v>
      </c>
      <c r="EO18">
        <f t="shared" si="82"/>
        <v>3.3744399287909044</v>
      </c>
      <c r="EP18" s="460">
        <f t="shared" si="122"/>
        <v>3374.4399287909046</v>
      </c>
      <c r="EQ18" s="173">
        <f t="shared" si="83"/>
        <v>6.7704E-2</v>
      </c>
      <c r="ER18" s="173">
        <f t="shared" si="84"/>
        <v>5.6419999999999998E-2</v>
      </c>
      <c r="ES18" s="528"/>
      <c r="EU18" s="460">
        <f t="shared" si="123"/>
        <v>124.124</v>
      </c>
      <c r="EV18" s="528">
        <f t="shared" si="85"/>
        <v>0.30075331764705882</v>
      </c>
      <c r="EW18" s="528">
        <f t="shared" si="124"/>
        <v>3.2936733717421128E-3</v>
      </c>
      <c r="EX18" s="528">
        <f t="shared" si="86"/>
        <v>3.4315555675851715E-4</v>
      </c>
      <c r="EY18" s="528">
        <f t="shared" si="87"/>
        <v>58.163751456481492</v>
      </c>
      <c r="EZ18" s="528">
        <f t="shared" si="88"/>
        <v>60.002324547342369</v>
      </c>
      <c r="FA18" s="625">
        <f t="shared" si="89"/>
        <v>1.4097811764705885</v>
      </c>
      <c r="FB18" s="460">
        <f t="shared" si="125"/>
        <v>61412.105723812958</v>
      </c>
      <c r="FC18" s="173">
        <f t="shared" si="126"/>
        <v>64.910669652603858</v>
      </c>
      <c r="FD18" s="5">
        <f t="shared" si="127"/>
        <v>14.04</v>
      </c>
      <c r="FE18" s="173">
        <f t="shared" si="128"/>
        <v>0.17783256382470655</v>
      </c>
      <c r="FF18" s="5">
        <f t="shared" si="129"/>
        <v>17.783256382470654</v>
      </c>
      <c r="FG18">
        <f t="shared" si="130"/>
        <v>13</v>
      </c>
      <c r="FI18" s="562">
        <f t="shared" si="90"/>
        <v>-50</v>
      </c>
      <c r="FJ18">
        <f t="shared" si="91"/>
        <v>-50</v>
      </c>
      <c r="FL18">
        <f t="shared" si="92"/>
        <v>0.24092519444552299</v>
      </c>
    </row>
    <row r="19" spans="5:168">
      <c r="E19" s="170">
        <v>14</v>
      </c>
      <c r="F19" s="217">
        <f t="shared" si="131"/>
        <v>8.4000000000000005E-2</v>
      </c>
      <c r="G19" s="217">
        <f t="shared" si="93"/>
        <v>7.0000000000000007E-2</v>
      </c>
      <c r="H19" s="217">
        <f t="shared" si="0"/>
        <v>14.280000000000001</v>
      </c>
      <c r="I19" s="217">
        <f t="shared" si="132"/>
        <v>0.84000000000000008</v>
      </c>
      <c r="J19" s="541">
        <f t="shared" si="1"/>
        <v>11.933822443405219</v>
      </c>
      <c r="K19" s="443">
        <f t="shared" si="2"/>
        <v>8.5386430156699316</v>
      </c>
      <c r="L19" s="172">
        <f t="shared" si="3"/>
        <v>20.472465459075153</v>
      </c>
      <c r="M19" s="443"/>
      <c r="N19" s="217">
        <f t="shared" si="4"/>
        <v>0.41707937095992864</v>
      </c>
      <c r="O19" s="172">
        <f t="shared" si="94"/>
        <v>156.69438830246256</v>
      </c>
      <c r="P19" s="172">
        <f t="shared" si="5"/>
        <v>9.2173169589683841</v>
      </c>
      <c r="Q19" s="217">
        <f t="shared" si="6"/>
        <v>0.92173169589683857</v>
      </c>
      <c r="R19" s="217">
        <f t="shared" si="7"/>
        <v>13.05786569187188</v>
      </c>
      <c r="S19" s="443">
        <f t="shared" si="8"/>
        <v>170</v>
      </c>
      <c r="T19" s="217">
        <f t="shared" si="9"/>
        <v>6.0755207018797801</v>
      </c>
      <c r="U19" s="217">
        <f t="shared" si="10"/>
        <v>0.2545504900333585</v>
      </c>
      <c r="V19" s="217">
        <f t="shared" si="11"/>
        <v>0.35576617330939575</v>
      </c>
      <c r="W19" s="197">
        <f t="shared" si="12"/>
        <v>350</v>
      </c>
      <c r="X19" s="443">
        <f t="shared" si="95"/>
        <v>350</v>
      </c>
      <c r="Z19" s="217">
        <f t="shared" si="13"/>
        <v>28.442006616245301</v>
      </c>
      <c r="AA19" s="173">
        <f t="shared" si="14"/>
        <v>1.6654875115430607</v>
      </c>
      <c r="AB19" s="173">
        <f t="shared" si="15"/>
        <v>0.39145882026994572</v>
      </c>
      <c r="AC19" s="173"/>
      <c r="AD19" s="173">
        <f t="shared" si="16"/>
        <v>0.78076418635047107</v>
      </c>
      <c r="AE19" s="545">
        <f t="shared" si="17"/>
        <v>341.74662987422482</v>
      </c>
      <c r="AF19" s="528">
        <f t="shared" si="18"/>
        <v>8.6028646458987085E-2</v>
      </c>
      <c r="AH19" s="173">
        <f t="shared" si="19"/>
        <v>13.145341380123988</v>
      </c>
      <c r="AI19" s="173">
        <f t="shared" si="20"/>
        <v>13.333333333333334</v>
      </c>
      <c r="AJ19" s="173">
        <f t="shared" si="21"/>
        <v>1.1952837884995571</v>
      </c>
      <c r="AL19" s="545">
        <f t="shared" si="22"/>
        <v>84</v>
      </c>
      <c r="AM19" s="460">
        <f t="shared" si="23"/>
        <v>341.74662987422482</v>
      </c>
      <c r="AO19">
        <f t="shared" si="96"/>
        <v>84</v>
      </c>
      <c r="AP19" s="460">
        <f t="shared" si="24"/>
        <v>341.74662987422482</v>
      </c>
      <c r="AQ19" s="460"/>
      <c r="AR19" s="5">
        <f t="shared" si="97"/>
        <v>2.9261444373805126</v>
      </c>
      <c r="AS19" s="5">
        <f t="shared" si="25"/>
        <v>0.55863632111861616</v>
      </c>
      <c r="AT19" s="5">
        <f t="shared" si="98"/>
        <v>2.3675081162618965</v>
      </c>
      <c r="AU19" s="173">
        <f t="shared" si="99"/>
        <v>0.19091208006762234</v>
      </c>
      <c r="AW19" s="5">
        <f t="shared" si="26"/>
        <v>2.76032064552728E-2</v>
      </c>
      <c r="AX19" s="5">
        <f t="shared" si="27"/>
        <v>0.32587118731919273</v>
      </c>
      <c r="AY19" s="5">
        <f t="shared" si="28"/>
        <v>4.5327325504364442</v>
      </c>
      <c r="AZ19" s="5"/>
      <c r="BA19" s="173">
        <f t="shared" si="100"/>
        <v>3.3635261926216207</v>
      </c>
      <c r="BB19" s="173">
        <f t="shared" si="29"/>
        <v>0.32698090262507323</v>
      </c>
      <c r="BC19" s="173">
        <f t="shared" si="30"/>
        <v>0.25852542880083373</v>
      </c>
      <c r="BD19" s="173"/>
      <c r="BE19" s="528">
        <f t="shared" si="31"/>
        <v>0.45253233793806785</v>
      </c>
      <c r="BF19" s="528">
        <f t="shared" si="32"/>
        <v>2.0989188227566227</v>
      </c>
      <c r="BG19" s="528">
        <f t="shared" si="33"/>
        <v>0.16313374406204481</v>
      </c>
      <c r="BH19" s="528">
        <f t="shared" si="34"/>
        <v>2.8646695400191755E-2</v>
      </c>
      <c r="BI19">
        <f t="shared" si="35"/>
        <v>5.3702200995323487E-3</v>
      </c>
      <c r="BJ19" s="460">
        <f t="shared" si="101"/>
        <v>168.50396416157716</v>
      </c>
      <c r="BK19">
        <f t="shared" si="36"/>
        <v>3.027840046487281</v>
      </c>
      <c r="BL19" s="460">
        <f t="shared" si="102"/>
        <v>3027.8400464872811</v>
      </c>
      <c r="BM19" s="173">
        <f t="shared" si="37"/>
        <v>7.2911999999999991E-2</v>
      </c>
      <c r="BN19" s="173">
        <f t="shared" si="38"/>
        <v>6.0760000000000002E-2</v>
      </c>
      <c r="BO19" s="528"/>
      <c r="BQ19" s="460">
        <f t="shared" si="103"/>
        <v>133.672</v>
      </c>
      <c r="BR19" s="528">
        <f t="shared" si="39"/>
        <v>0.33939925345355088</v>
      </c>
      <c r="BS19" s="528">
        <f t="shared" si="104"/>
        <v>3.2074953204452284E-3</v>
      </c>
      <c r="BT19" s="528">
        <f t="shared" si="40"/>
        <v>3.3417698668327479E-4</v>
      </c>
      <c r="BU19" s="528">
        <f t="shared" si="41"/>
        <v>70.077313949053135</v>
      </c>
      <c r="BV19" s="528">
        <f t="shared" si="42"/>
        <v>72.491381618756961</v>
      </c>
      <c r="BW19" s="625">
        <f t="shared" si="43"/>
        <v>1.5188739105521105</v>
      </c>
      <c r="BX19" s="460">
        <f t="shared" si="105"/>
        <v>74010.255529309085</v>
      </c>
      <c r="BY19" s="173">
        <f t="shared" si="106"/>
        <v>77.171767575796352</v>
      </c>
      <c r="BZ19" s="5">
        <f t="shared" si="107"/>
        <v>15.120000000000001</v>
      </c>
      <c r="CA19" s="173">
        <f t="shared" si="108"/>
        <v>0.16382826331267755</v>
      </c>
      <c r="CB19" s="5">
        <f t="shared" si="109"/>
        <v>16.382826331267754</v>
      </c>
      <c r="CC19">
        <f t="shared" si="110"/>
        <v>14.000000000000002</v>
      </c>
      <c r="CE19" s="562">
        <f t="shared" si="44"/>
        <v>-50</v>
      </c>
      <c r="CF19">
        <f t="shared" si="45"/>
        <v>-50</v>
      </c>
      <c r="CG19" s="173">
        <f t="shared" si="46"/>
        <v>0.25945790171056327</v>
      </c>
      <c r="CH19" s="173">
        <f t="shared" si="47"/>
        <v>6.4566435268002861E-2</v>
      </c>
      <c r="CI19" s="170">
        <v>14</v>
      </c>
      <c r="CJ19" s="217">
        <f t="shared" si="133"/>
        <v>8.4000000000000005E-2</v>
      </c>
      <c r="CK19" s="217">
        <f t="shared" si="111"/>
        <v>7.0000000000000007E-2</v>
      </c>
      <c r="CL19" s="217">
        <f t="shared" si="48"/>
        <v>14.280000000000001</v>
      </c>
      <c r="CM19" s="217">
        <f t="shared" si="134"/>
        <v>0.84000000000000008</v>
      </c>
      <c r="CN19" s="541">
        <f t="shared" si="112"/>
        <v>12.5</v>
      </c>
      <c r="CO19" s="443">
        <f t="shared" si="49"/>
        <v>8.5350000000000001</v>
      </c>
      <c r="CP19" s="443">
        <f t="shared" si="50"/>
        <v>21.035</v>
      </c>
      <c r="CQ19" s="443"/>
      <c r="CR19" s="217">
        <f t="shared" si="113"/>
        <v>0.40546967895362668</v>
      </c>
      <c r="CS19" s="172">
        <f t="shared" si="114"/>
        <v>159.55982736601052</v>
      </c>
      <c r="CT19" s="172">
        <f t="shared" si="51"/>
        <v>9.3858721980006177</v>
      </c>
      <c r="CU19" s="217">
        <f t="shared" si="52"/>
        <v>0.93858721980006188</v>
      </c>
      <c r="CV19" s="217">
        <f t="shared" si="53"/>
        <v>13.296652280500878</v>
      </c>
      <c r="CW19" s="443">
        <f t="shared" si="54"/>
        <v>170</v>
      </c>
      <c r="CX19" s="217">
        <f t="shared" si="55"/>
        <v>5.966414076246334</v>
      </c>
      <c r="CY19" s="217">
        <f t="shared" si="56"/>
        <v>0.23865656304985336</v>
      </c>
      <c r="CZ19" s="217">
        <f t="shared" si="57"/>
        <v>0.34952630792304246</v>
      </c>
      <c r="DA19" s="197">
        <f t="shared" si="58"/>
        <v>350</v>
      </c>
      <c r="DB19" s="443">
        <f t="shared" si="115"/>
        <v>350</v>
      </c>
      <c r="DD19" s="217">
        <f t="shared" si="59"/>
        <v>28.98230839756868</v>
      </c>
      <c r="DE19" s="173">
        <f t="shared" si="60"/>
        <v>1.6978505212401103</v>
      </c>
      <c r="DF19" s="173">
        <f t="shared" si="61"/>
        <v>0.40664636548103333</v>
      </c>
      <c r="DG19" s="173"/>
      <c r="DH19" s="173">
        <f t="shared" si="62"/>
        <v>0.78109744190587771</v>
      </c>
      <c r="DI19" s="545">
        <f t="shared" si="63"/>
        <v>341.60082352941185</v>
      </c>
      <c r="DJ19" s="528">
        <f t="shared" si="64"/>
        <v>8.6065366284073561E-2</v>
      </c>
      <c r="DL19" s="173">
        <f t="shared" si="65"/>
        <v>13.145341380123988</v>
      </c>
      <c r="DM19" s="173">
        <f t="shared" si="66"/>
        <v>13.333333333333334</v>
      </c>
      <c r="DN19" s="173">
        <f t="shared" si="67"/>
        <v>1.1952004705882353</v>
      </c>
      <c r="DP19" s="545">
        <f t="shared" si="68"/>
        <v>84</v>
      </c>
      <c r="DQ19" s="460">
        <f t="shared" si="69"/>
        <v>341.60082352941185</v>
      </c>
      <c r="DS19">
        <f t="shared" si="116"/>
        <v>84</v>
      </c>
      <c r="DT19" s="460">
        <f t="shared" si="70"/>
        <v>341.60082352941185</v>
      </c>
      <c r="DU19" s="460"/>
      <c r="DV19" s="5">
        <f t="shared" si="117"/>
        <v>2.9273934110229098</v>
      </c>
      <c r="DW19" s="5">
        <f t="shared" si="71"/>
        <v>0.53333333333333333</v>
      </c>
      <c r="DX19" s="5">
        <f t="shared" si="118"/>
        <v>2.3940600776895766</v>
      </c>
      <c r="DY19" s="173">
        <f t="shared" si="119"/>
        <v>0.18218710588235298</v>
      </c>
      <c r="EA19" s="5">
        <f t="shared" si="72"/>
        <v>2.6352941176470589E-2</v>
      </c>
      <c r="EB19" s="5">
        <f t="shared" si="73"/>
        <v>0.31111111111111112</v>
      </c>
      <c r="EC19" s="5">
        <f t="shared" si="74"/>
        <v>4.3759587724041165</v>
      </c>
      <c r="ED19" s="5"/>
      <c r="EE19" s="173">
        <f t="shared" si="120"/>
        <v>3.2857682421583654</v>
      </c>
      <c r="EF19" s="173">
        <f t="shared" si="75"/>
        <v>0.32873920962817826</v>
      </c>
      <c r="EG19" s="173">
        <f t="shared" si="76"/>
        <v>0.25991562336049112</v>
      </c>
      <c r="EH19" s="173"/>
      <c r="EI19" s="528">
        <f t="shared" si="77"/>
        <v>0.43185091764705896</v>
      </c>
      <c r="EJ19" s="528">
        <f t="shared" si="78"/>
        <v>2.6347102184117661</v>
      </c>
      <c r="EK19" s="528">
        <f t="shared" si="79"/>
        <v>6.8320164705882369E-2</v>
      </c>
      <c r="EL19" s="528">
        <f t="shared" si="80"/>
        <v>3.0229706969613537E-2</v>
      </c>
      <c r="EM19">
        <f t="shared" si="81"/>
        <v>5.6249999999999998E-3</v>
      </c>
      <c r="EN19" s="460">
        <f t="shared" si="121"/>
        <v>73.945164705882377</v>
      </c>
      <c r="EO19">
        <f t="shared" si="82"/>
        <v>3.6632095476527287</v>
      </c>
      <c r="EP19" s="460">
        <f t="shared" si="122"/>
        <v>3663.2095476527288</v>
      </c>
      <c r="EQ19" s="173">
        <f t="shared" si="83"/>
        <v>7.2911999999999991E-2</v>
      </c>
      <c r="ER19" s="173">
        <f t="shared" si="84"/>
        <v>6.0760000000000002E-2</v>
      </c>
      <c r="ES19" s="528"/>
      <c r="EU19" s="460">
        <f t="shared" si="123"/>
        <v>133.672</v>
      </c>
      <c r="EV19" s="528">
        <f t="shared" si="85"/>
        <v>0.32388818823529419</v>
      </c>
      <c r="EW19" s="528">
        <f t="shared" si="124"/>
        <v>3.2420840384087797E-3</v>
      </c>
      <c r="EX19" s="528">
        <f t="shared" si="86"/>
        <v>3.3778065633436341E-4</v>
      </c>
      <c r="EY19" s="528">
        <f t="shared" si="87"/>
        <v>70.002591575839745</v>
      </c>
      <c r="EZ19" s="528">
        <f t="shared" si="88"/>
        <v>72.30280054678866</v>
      </c>
      <c r="FA19" s="625">
        <f t="shared" si="89"/>
        <v>1.5182258823529418</v>
      </c>
      <c r="FB19" s="460">
        <f t="shared" si="125"/>
        <v>73821.026429141595</v>
      </c>
      <c r="FC19" s="173">
        <f t="shared" si="126"/>
        <v>77.617907976794328</v>
      </c>
      <c r="FD19" s="5">
        <f t="shared" si="127"/>
        <v>15.120000000000001</v>
      </c>
      <c r="FE19" s="173">
        <f t="shared" si="128"/>
        <v>0.16304012382707034</v>
      </c>
      <c r="FF19" s="5">
        <f t="shared" si="129"/>
        <v>16.304012382707032</v>
      </c>
      <c r="FG19">
        <f t="shared" si="130"/>
        <v>14.000000000000002</v>
      </c>
      <c r="FI19" s="562">
        <f t="shared" si="90"/>
        <v>-50</v>
      </c>
      <c r="FJ19">
        <f t="shared" si="91"/>
        <v>-50</v>
      </c>
      <c r="FL19">
        <f t="shared" si="92"/>
        <v>0.25945790171056332</v>
      </c>
    </row>
    <row r="20" spans="5:168">
      <c r="E20" s="170">
        <v>15</v>
      </c>
      <c r="F20" s="217">
        <f t="shared" si="131"/>
        <v>0.09</v>
      </c>
      <c r="G20" s="217">
        <f t="shared" si="93"/>
        <v>7.4999999999999997E-2</v>
      </c>
      <c r="H20" s="217">
        <f t="shared" si="0"/>
        <v>15.299999999999999</v>
      </c>
      <c r="I20" s="217">
        <f t="shared" si="132"/>
        <v>0.89999999999999991</v>
      </c>
      <c r="J20" s="541">
        <f t="shared" si="1"/>
        <v>11.921025156700045</v>
      </c>
      <c r="K20" s="443">
        <f t="shared" si="2"/>
        <v>8.5387253585947924</v>
      </c>
      <c r="L20" s="172">
        <f t="shared" si="3"/>
        <v>20.459750515294836</v>
      </c>
      <c r="M20" s="443"/>
      <c r="N20" s="217">
        <f t="shared" si="4"/>
        <v>0.41734259429075665</v>
      </c>
      <c r="O20" s="172">
        <f t="shared" si="94"/>
        <v>156.62514187693282</v>
      </c>
      <c r="P20" s="172">
        <f t="shared" si="5"/>
        <v>9.2132436398195754</v>
      </c>
      <c r="Q20" s="217">
        <f t="shared" si="6"/>
        <v>0.92132436398195772</v>
      </c>
      <c r="R20" s="217">
        <f t="shared" si="7"/>
        <v>13.052095156411069</v>
      </c>
      <c r="S20" s="443">
        <f t="shared" si="8"/>
        <v>170</v>
      </c>
      <c r="T20" s="217">
        <f t="shared" si="9"/>
        <v>6.5123644121035085</v>
      </c>
      <c r="U20" s="217">
        <f t="shared" si="10"/>
        <v>0.27314615674824433</v>
      </c>
      <c r="V20" s="217">
        <f t="shared" si="11"/>
        <v>0.38134289010410566</v>
      </c>
      <c r="W20" s="197">
        <f t="shared" si="12"/>
        <v>350</v>
      </c>
      <c r="X20" s="443">
        <f t="shared" si="95"/>
        <v>350</v>
      </c>
      <c r="Z20" s="217">
        <f t="shared" si="13"/>
        <v>28.429437517157549</v>
      </c>
      <c r="AA20" s="173">
        <f t="shared" si="14"/>
        <v>1.6647354448835527</v>
      </c>
      <c r="AB20" s="173">
        <f t="shared" si="15"/>
        <v>0.39110913786366786</v>
      </c>
      <c r="AC20" s="173"/>
      <c r="AD20" s="173">
        <f t="shared" si="16"/>
        <v>0.78075665707601483</v>
      </c>
      <c r="AE20" s="545">
        <f t="shared" si="17"/>
        <v>366.16063449503548</v>
      </c>
      <c r="AF20" s="528">
        <f t="shared" si="18"/>
        <v>8.6027816844486835E-2</v>
      </c>
      <c r="AH20" s="173">
        <f t="shared" si="19"/>
        <v>13.60672102833218</v>
      </c>
      <c r="AI20" s="173">
        <f t="shared" si="20"/>
        <v>13.60672102833218</v>
      </c>
      <c r="AJ20" s="173">
        <f t="shared" si="21"/>
        <v>1.4025094037028487</v>
      </c>
      <c r="AL20" s="545">
        <f t="shared" si="22"/>
        <v>90</v>
      </c>
      <c r="AM20" s="460">
        <f t="shared" si="23"/>
        <v>350</v>
      </c>
      <c r="AO20">
        <f t="shared" si="96"/>
        <v>90</v>
      </c>
      <c r="AP20" s="460">
        <f t="shared" si="24"/>
        <v>350</v>
      </c>
      <c r="AQ20" s="460"/>
      <c r="AR20" s="5">
        <f t="shared" si="97"/>
        <v>2.8571428571428572</v>
      </c>
      <c r="AS20" s="5">
        <f t="shared" si="25"/>
        <v>0.57070263880303573</v>
      </c>
      <c r="AT20" s="5">
        <f t="shared" si="98"/>
        <v>2.2864402183398216</v>
      </c>
      <c r="AU20" s="173">
        <f t="shared" si="99"/>
        <v>0.1997459235810625</v>
      </c>
      <c r="AW20" s="5">
        <f t="shared" si="26"/>
        <v>3.0213669113101891E-2</v>
      </c>
      <c r="AX20" s="5">
        <f t="shared" si="27"/>
        <v>0.35668914925189732</v>
      </c>
      <c r="AY20" s="5">
        <f t="shared" si="28"/>
        <v>4.6952385226282756</v>
      </c>
      <c r="AZ20" s="5"/>
      <c r="BA20" s="173">
        <f t="shared" si="100"/>
        <v>3.5110079746627703</v>
      </c>
      <c r="BB20" s="173">
        <f t="shared" si="29"/>
        <v>0.33185871067373646</v>
      </c>
      <c r="BC20" s="173">
        <f t="shared" si="30"/>
        <v>0.26238203757298201</v>
      </c>
      <c r="BD20" s="173"/>
      <c r="BE20" s="528">
        <f t="shared" si="31"/>
        <v>0.49308707992582274</v>
      </c>
      <c r="BF20" s="528">
        <f t="shared" si="32"/>
        <v>2.1923221758707778</v>
      </c>
      <c r="BG20" s="528">
        <f t="shared" si="33"/>
        <v>0.16689435219380064</v>
      </c>
      <c r="BH20" s="528">
        <f t="shared" si="34"/>
        <v>2.9302097380367514E-2</v>
      </c>
      <c r="BI20">
        <f t="shared" si="35"/>
        <v>5.36446132051502E-3</v>
      </c>
      <c r="BJ20" s="460">
        <f t="shared" si="101"/>
        <v>172.25881351431565</v>
      </c>
      <c r="BK20">
        <f t="shared" si="36"/>
        <v>3.2257677140751273</v>
      </c>
      <c r="BL20" s="460">
        <f t="shared" si="102"/>
        <v>3225.7677140751275</v>
      </c>
      <c r="BM20" s="173">
        <f t="shared" si="37"/>
        <v>7.8119999999999995E-2</v>
      </c>
      <c r="BN20" s="173">
        <f t="shared" si="38"/>
        <v>6.5099999999999991E-2</v>
      </c>
      <c r="BO20" s="528"/>
      <c r="BQ20" s="460">
        <f t="shared" si="103"/>
        <v>143.22</v>
      </c>
      <c r="BR20" s="528">
        <f t="shared" si="39"/>
        <v>0.36981530994436701</v>
      </c>
      <c r="BS20" s="528">
        <f t="shared" si="104"/>
        <v>3.3039061155010416E-3</v>
      </c>
      <c r="BT20" s="528">
        <f t="shared" si="40"/>
        <v>3.4422166820474872E-4</v>
      </c>
      <c r="BU20" s="528">
        <f t="shared" si="41"/>
        <v>78.257112081576665</v>
      </c>
      <c r="BV20" s="528">
        <f t="shared" si="42"/>
        <v>81.144569123381984</v>
      </c>
      <c r="BW20" s="625">
        <f t="shared" si="43"/>
        <v>1.62</v>
      </c>
      <c r="BX20" s="460">
        <f t="shared" si="105"/>
        <v>82764.569123381982</v>
      </c>
      <c r="BY20" s="173">
        <f t="shared" si="106"/>
        <v>86.133556837457121</v>
      </c>
      <c r="BZ20" s="5">
        <f t="shared" si="107"/>
        <v>16.2</v>
      </c>
      <c r="CA20" s="173">
        <f t="shared" si="108"/>
        <v>0.15830584317255272</v>
      </c>
      <c r="CB20" s="5">
        <f t="shared" si="109"/>
        <v>15.830584317255273</v>
      </c>
      <c r="CC20">
        <f t="shared" si="110"/>
        <v>15</v>
      </c>
      <c r="CE20" s="562">
        <f t="shared" si="44"/>
        <v>-50</v>
      </c>
      <c r="CF20">
        <f t="shared" si="45"/>
        <v>-50</v>
      </c>
      <c r="CG20" s="173">
        <f t="shared" si="46"/>
        <v>0.27184608375904912</v>
      </c>
      <c r="CH20" s="173">
        <f t="shared" si="47"/>
        <v>6.7649250433964067E-2</v>
      </c>
      <c r="CI20" s="170">
        <v>15</v>
      </c>
      <c r="CJ20" s="217">
        <f t="shared" si="133"/>
        <v>0.09</v>
      </c>
      <c r="CK20" s="217">
        <f t="shared" si="111"/>
        <v>7.4999999999999997E-2</v>
      </c>
      <c r="CL20" s="217">
        <f t="shared" si="48"/>
        <v>15.299999999999999</v>
      </c>
      <c r="CM20" s="217">
        <f t="shared" si="134"/>
        <v>0.89999999999999991</v>
      </c>
      <c r="CN20" s="541">
        <f t="shared" si="112"/>
        <v>12.5</v>
      </c>
      <c r="CO20" s="443">
        <f t="shared" si="49"/>
        <v>8.5350000000000001</v>
      </c>
      <c r="CP20" s="443">
        <f t="shared" si="50"/>
        <v>21.035</v>
      </c>
      <c r="CQ20" s="443"/>
      <c r="CR20" s="217">
        <f t="shared" si="113"/>
        <v>0.40546967895362668</v>
      </c>
      <c r="CS20" s="172">
        <f t="shared" si="114"/>
        <v>159.55982736601052</v>
      </c>
      <c r="CT20" s="172">
        <f t="shared" si="51"/>
        <v>9.3858721980006177</v>
      </c>
      <c r="CU20" s="217">
        <f t="shared" si="52"/>
        <v>0.93858721980006188</v>
      </c>
      <c r="CV20" s="217">
        <f t="shared" si="53"/>
        <v>13.296652280500878</v>
      </c>
      <c r="CW20" s="443">
        <f t="shared" si="54"/>
        <v>170</v>
      </c>
      <c r="CX20" s="217">
        <f t="shared" si="55"/>
        <v>6.3925865102639285</v>
      </c>
      <c r="CY20" s="217">
        <f t="shared" si="56"/>
        <v>0.25570346041055714</v>
      </c>
      <c r="CZ20" s="217">
        <f t="shared" si="57"/>
        <v>0.37449247277468828</v>
      </c>
      <c r="DA20" s="197">
        <f t="shared" si="58"/>
        <v>350</v>
      </c>
      <c r="DB20" s="443">
        <f t="shared" si="115"/>
        <v>350</v>
      </c>
      <c r="DD20" s="217">
        <f t="shared" si="59"/>
        <v>28.98230839756868</v>
      </c>
      <c r="DE20" s="173">
        <f t="shared" si="60"/>
        <v>1.6978505212401103</v>
      </c>
      <c r="DF20" s="173">
        <f t="shared" si="61"/>
        <v>0.40664636548103333</v>
      </c>
      <c r="DG20" s="173"/>
      <c r="DH20" s="173">
        <f t="shared" si="62"/>
        <v>0.78109744190587771</v>
      </c>
      <c r="DI20" s="545">
        <f t="shared" si="63"/>
        <v>366.00088235294123</v>
      </c>
      <c r="DJ20" s="528">
        <f t="shared" si="64"/>
        <v>8.6065366284073561E-2</v>
      </c>
      <c r="DL20" s="173">
        <f t="shared" si="65"/>
        <v>13.60672102833218</v>
      </c>
      <c r="DM20" s="173">
        <f t="shared" si="66"/>
        <v>13.60672102833218</v>
      </c>
      <c r="DN20" s="173">
        <f t="shared" si="67"/>
        <v>1.4025094037028487</v>
      </c>
      <c r="DP20" s="545">
        <f t="shared" si="68"/>
        <v>90</v>
      </c>
      <c r="DQ20" s="460">
        <f t="shared" si="69"/>
        <v>350</v>
      </c>
      <c r="DS20">
        <f t="shared" si="116"/>
        <v>90</v>
      </c>
      <c r="DT20" s="460">
        <f t="shared" si="70"/>
        <v>350</v>
      </c>
      <c r="DU20" s="460"/>
      <c r="DV20" s="5">
        <f t="shared" si="117"/>
        <v>2.8571428571428572</v>
      </c>
      <c r="DW20" s="5">
        <f t="shared" si="71"/>
        <v>0.54426884113328722</v>
      </c>
      <c r="DX20" s="5">
        <f t="shared" si="118"/>
        <v>2.31287401600957</v>
      </c>
      <c r="DY20" s="173">
        <f t="shared" si="119"/>
        <v>0.19049409439665052</v>
      </c>
      <c r="EA20" s="5">
        <f t="shared" si="72"/>
        <v>2.881423276587991E-2</v>
      </c>
      <c r="EB20" s="5">
        <f t="shared" si="73"/>
        <v>0.34016802570830446</v>
      </c>
      <c r="EC20" s="5">
        <f t="shared" si="74"/>
        <v>4.5295324729531412</v>
      </c>
      <c r="ED20" s="5"/>
      <c r="EE20" s="173">
        <f t="shared" si="120"/>
        <v>3.4287325600692453</v>
      </c>
      <c r="EF20" s="173">
        <f t="shared" si="75"/>
        <v>0.33377152630373913</v>
      </c>
      <c r="EG20" s="173">
        <f t="shared" si="76"/>
        <v>0.26389439342310456</v>
      </c>
      <c r="EH20" s="173"/>
      <c r="EI20" s="528">
        <f t="shared" si="77"/>
        <v>0.47024827873916003</v>
      </c>
      <c r="EJ20" s="528">
        <f t="shared" si="78"/>
        <v>2.7548422519980611</v>
      </c>
      <c r="EK20" s="528">
        <f t="shared" si="79"/>
        <v>6.9999999999999993E-2</v>
      </c>
      <c r="EL20" s="528">
        <f t="shared" si="80"/>
        <v>3.0972985749999998E-2</v>
      </c>
      <c r="EM20">
        <f t="shared" si="81"/>
        <v>5.6249999999999998E-3</v>
      </c>
      <c r="EN20" s="460">
        <f t="shared" si="121"/>
        <v>75.625</v>
      </c>
      <c r="EO20">
        <f t="shared" si="82"/>
        <v>3.893702827425189</v>
      </c>
      <c r="EP20" s="460">
        <f t="shared" si="122"/>
        <v>3893.7028274251888</v>
      </c>
      <c r="EQ20" s="173">
        <f t="shared" si="83"/>
        <v>7.8119999999999995E-2</v>
      </c>
      <c r="ER20" s="173">
        <f t="shared" si="84"/>
        <v>6.5099999999999991E-2</v>
      </c>
      <c r="ES20" s="528"/>
      <c r="EU20" s="460">
        <f t="shared" si="123"/>
        <v>143.22</v>
      </c>
      <c r="EV20" s="528">
        <f t="shared" si="85"/>
        <v>0.35268620905436998</v>
      </c>
      <c r="EW20" s="528">
        <f t="shared" si="124"/>
        <v>3.3421029531338284E-3</v>
      </c>
      <c r="EX20" s="528">
        <f t="shared" si="86"/>
        <v>3.4820125440074144E-4</v>
      </c>
      <c r="EY20" s="528">
        <f t="shared" si="87"/>
        <v>78.257112081576665</v>
      </c>
      <c r="EZ20" s="528">
        <f t="shared" si="88"/>
        <v>81.008583480012859</v>
      </c>
      <c r="FA20" s="625">
        <f t="shared" si="89"/>
        <v>1.62</v>
      </c>
      <c r="FB20" s="460">
        <f t="shared" si="125"/>
        <v>82628.583480012865</v>
      </c>
      <c r="FC20" s="173">
        <f t="shared" si="126"/>
        <v>86.665506307438051</v>
      </c>
      <c r="FD20" s="5">
        <f t="shared" si="127"/>
        <v>16.2</v>
      </c>
      <c r="FE20" s="173">
        <f t="shared" si="128"/>
        <v>0.15748719450796697</v>
      </c>
      <c r="FF20" s="5">
        <f t="shared" si="129"/>
        <v>15.748719450796697</v>
      </c>
      <c r="FG20">
        <f t="shared" si="130"/>
        <v>15</v>
      </c>
      <c r="FI20" s="562">
        <f t="shared" si="90"/>
        <v>-50</v>
      </c>
      <c r="FJ20">
        <f t="shared" si="91"/>
        <v>-50</v>
      </c>
      <c r="FL20">
        <f t="shared" si="92"/>
        <v>0.27184608375904912</v>
      </c>
    </row>
    <row r="21" spans="5:168" s="76" customFormat="1">
      <c r="E21" s="189">
        <v>16</v>
      </c>
      <c r="F21" s="329">
        <f t="shared" si="131"/>
        <v>9.6000000000000002E-2</v>
      </c>
      <c r="G21" s="217">
        <f t="shared" si="93"/>
        <v>0.08</v>
      </c>
      <c r="H21" s="217">
        <f t="shared" si="0"/>
        <v>16.32</v>
      </c>
      <c r="I21" s="217">
        <f t="shared" si="132"/>
        <v>0.96</v>
      </c>
      <c r="J21" s="541">
        <f t="shared" si="1"/>
        <v>11.902037353073659</v>
      </c>
      <c r="K21" s="443">
        <f t="shared" si="2"/>
        <v>8.5388475338123406</v>
      </c>
      <c r="L21" s="172">
        <f t="shared" si="3"/>
        <v>20.440884886886</v>
      </c>
      <c r="M21" s="443"/>
      <c r="N21" s="217">
        <f t="shared" si="4"/>
        <v>0.41773375179518285</v>
      </c>
      <c r="O21" s="172">
        <f t="shared" si="94"/>
        <v>156.52223369925881</v>
      </c>
      <c r="P21" s="172">
        <f t="shared" si="5"/>
        <v>9.2071902176034577</v>
      </c>
      <c r="Q21" s="329">
        <f t="shared" si="6"/>
        <v>0.92071902176034592</v>
      </c>
      <c r="R21" s="217">
        <f t="shared" si="7"/>
        <v>13.043519474938234</v>
      </c>
      <c r="S21" s="443">
        <f t="shared" si="8"/>
        <v>170</v>
      </c>
      <c r="T21" s="217">
        <f t="shared" si="9"/>
        <v>6.9510891474400953</v>
      </c>
      <c r="U21" s="329">
        <f t="shared" si="10"/>
        <v>0.29201257487420845</v>
      </c>
      <c r="V21" s="217">
        <f t="shared" si="11"/>
        <v>0.40702736053753158</v>
      </c>
      <c r="W21" s="537">
        <f t="shared" si="12"/>
        <v>350</v>
      </c>
      <c r="X21" s="443">
        <f t="shared" si="95"/>
        <v>350</v>
      </c>
      <c r="Z21" s="329">
        <f t="shared" si="13"/>
        <v>28.410758385747808</v>
      </c>
      <c r="AA21" s="173">
        <f t="shared" si="14"/>
        <v>1.663617852013763</v>
      </c>
      <c r="AB21" s="173">
        <f t="shared" si="15"/>
        <v>0.39058977332873562</v>
      </c>
      <c r="AC21" s="538"/>
      <c r="AD21" s="173">
        <f t="shared" si="16"/>
        <v>0.78074548588294079</v>
      </c>
      <c r="AE21" s="545">
        <f t="shared" si="17"/>
        <v>390.57693189955734</v>
      </c>
      <c r="AF21" s="528">
        <f t="shared" si="18"/>
        <v>8.6026585944509223E-2</v>
      </c>
      <c r="AG21"/>
      <c r="AH21" s="173">
        <f t="shared" si="19"/>
        <v>14.05296105045888</v>
      </c>
      <c r="AI21" s="173">
        <f t="shared" si="20"/>
        <v>14.05296105045888</v>
      </c>
      <c r="AJ21" s="173">
        <f t="shared" si="21"/>
        <v>1.7330575682411449</v>
      </c>
      <c r="AL21" s="545">
        <f t="shared" si="22"/>
        <v>96</v>
      </c>
      <c r="AM21" s="460">
        <f t="shared" si="23"/>
        <v>350</v>
      </c>
      <c r="AO21">
        <f t="shared" si="96"/>
        <v>96</v>
      </c>
      <c r="AP21" s="460">
        <f t="shared" si="24"/>
        <v>350</v>
      </c>
      <c r="AQ21" s="460"/>
      <c r="AR21" s="5">
        <f t="shared" si="97"/>
        <v>2.8571428571428572</v>
      </c>
      <c r="AS21" s="5">
        <f t="shared" si="25"/>
        <v>0.59035947517127185</v>
      </c>
      <c r="AT21" s="5">
        <f t="shared" si="98"/>
        <v>2.2667833819715852</v>
      </c>
      <c r="AU21" s="173">
        <f t="shared" si="99"/>
        <v>0.20662581630994514</v>
      </c>
      <c r="AW21" s="5">
        <f t="shared" si="26"/>
        <v>3.3337946833201237E-2</v>
      </c>
      <c r="AX21" s="5">
        <f t="shared" si="27"/>
        <v>0.39357298344751457</v>
      </c>
      <c r="AY21" s="5">
        <f t="shared" si="28"/>
        <v>4.9731189639357307</v>
      </c>
      <c r="AZ21" s="5"/>
      <c r="BA21" s="173">
        <f t="shared" si="100"/>
        <v>3.6880729802901282</v>
      </c>
      <c r="BB21" s="173">
        <f t="shared" si="29"/>
        <v>0.34126572179065351</v>
      </c>
      <c r="BC21" s="173">
        <f t="shared" si="30"/>
        <v>0.2698196327450883</v>
      </c>
      <c r="BD21" s="173"/>
      <c r="BE21" s="528">
        <f t="shared" si="31"/>
        <v>0.54407529231784435</v>
      </c>
      <c r="BF21" s="528">
        <f t="shared" si="32"/>
        <v>2.2621328033245396</v>
      </c>
      <c r="BG21" s="528">
        <f t="shared" si="33"/>
        <v>0.16662852294303124</v>
      </c>
      <c r="BH21" s="528">
        <f t="shared" si="34"/>
        <v>2.9248084247124714E-2</v>
      </c>
      <c r="BI21">
        <f t="shared" si="35"/>
        <v>5.3559168088831467E-3</v>
      </c>
      <c r="BJ21" s="460">
        <f t="shared" si="101"/>
        <v>171.98443975191438</v>
      </c>
      <c r="BK21">
        <f t="shared" si="36"/>
        <v>3.4251310400442758</v>
      </c>
      <c r="BL21" s="460">
        <f t="shared" si="102"/>
        <v>3425.1310400442758</v>
      </c>
      <c r="BM21" s="173">
        <f t="shared" si="37"/>
        <v>8.3327999999999999E-2</v>
      </c>
      <c r="BN21" s="173">
        <f t="shared" si="38"/>
        <v>6.9439999999999988E-2</v>
      </c>
      <c r="BO21" s="528"/>
      <c r="BQ21" s="460">
        <f t="shared" si="103"/>
        <v>152.768</v>
      </c>
      <c r="BR21" s="528">
        <f t="shared" si="39"/>
        <v>0.40805646923838323</v>
      </c>
      <c r="BS21" s="528">
        <f t="shared" si="104"/>
        <v>3.4938687860788715E-3</v>
      </c>
      <c r="BT21" s="528">
        <f t="shared" si="40"/>
        <v>3.6401317107347163E-4</v>
      </c>
      <c r="BU21" s="528">
        <f t="shared" si="41"/>
        <v>84.83200303926462</v>
      </c>
      <c r="BV21" s="528">
        <f t="shared" si="42"/>
        <v>88.250922555288625</v>
      </c>
      <c r="BW21" s="625">
        <f t="shared" si="43"/>
        <v>1.7280000000000006</v>
      </c>
      <c r="BX21" s="460">
        <f t="shared" si="105"/>
        <v>89978.92255528862</v>
      </c>
      <c r="BY21" s="173">
        <f t="shared" si="106"/>
        <v>93.556821595332892</v>
      </c>
      <c r="BZ21" s="5">
        <f t="shared" si="107"/>
        <v>17.28</v>
      </c>
      <c r="CA21" s="173">
        <f t="shared" si="108"/>
        <v>0.15590486763586178</v>
      </c>
      <c r="CB21" s="5">
        <f t="shared" si="109"/>
        <v>15.590486763586178</v>
      </c>
      <c r="CC21">
        <f t="shared" si="110"/>
        <v>16</v>
      </c>
      <c r="CE21" s="562">
        <f t="shared" si="44"/>
        <v>-50</v>
      </c>
      <c r="CF21">
        <f t="shared" si="45"/>
        <v>-50</v>
      </c>
      <c r="CG21" s="173">
        <f t="shared" si="46"/>
        <v>0.28076142803480103</v>
      </c>
      <c r="CH21" s="173">
        <f t="shared" si="47"/>
        <v>6.986784541710872E-2</v>
      </c>
      <c r="CI21" s="189">
        <v>16</v>
      </c>
      <c r="CJ21" s="329">
        <f t="shared" si="133"/>
        <v>9.6000000000000002E-2</v>
      </c>
      <c r="CK21" s="217">
        <f t="shared" si="111"/>
        <v>0.08</v>
      </c>
      <c r="CL21" s="217">
        <f t="shared" si="48"/>
        <v>16.32</v>
      </c>
      <c r="CM21" s="217">
        <f t="shared" si="134"/>
        <v>0.96</v>
      </c>
      <c r="CN21" s="541">
        <f t="shared" si="112"/>
        <v>12.5</v>
      </c>
      <c r="CO21" s="443">
        <f t="shared" si="49"/>
        <v>8.5350000000000001</v>
      </c>
      <c r="CP21" s="443">
        <f t="shared" si="50"/>
        <v>21.035</v>
      </c>
      <c r="CQ21" s="535"/>
      <c r="CR21" s="329">
        <f t="shared" si="113"/>
        <v>0.40546967895362668</v>
      </c>
      <c r="CS21" s="172">
        <f t="shared" si="114"/>
        <v>159.55982736601052</v>
      </c>
      <c r="CT21" s="172">
        <f t="shared" si="51"/>
        <v>9.3858721980006177</v>
      </c>
      <c r="CU21" s="329">
        <f t="shared" si="52"/>
        <v>0.93858721980006188</v>
      </c>
      <c r="CV21" s="217">
        <f t="shared" si="53"/>
        <v>13.296652280500878</v>
      </c>
      <c r="CW21" s="443">
        <f t="shared" si="54"/>
        <v>170</v>
      </c>
      <c r="CX21" s="217">
        <f t="shared" si="55"/>
        <v>6.818758944281524</v>
      </c>
      <c r="CY21" s="329">
        <f t="shared" si="56"/>
        <v>0.27275035777126094</v>
      </c>
      <c r="CZ21" s="217">
        <f t="shared" si="57"/>
        <v>0.3994586376263341</v>
      </c>
      <c r="DA21" s="537">
        <f t="shared" si="58"/>
        <v>350</v>
      </c>
      <c r="DB21" s="535">
        <f t="shared" si="115"/>
        <v>350</v>
      </c>
      <c r="DD21" s="329">
        <f t="shared" si="59"/>
        <v>28.98230839756868</v>
      </c>
      <c r="DE21" s="173">
        <f t="shared" si="60"/>
        <v>1.6978505212401103</v>
      </c>
      <c r="DF21" s="173">
        <f t="shared" si="61"/>
        <v>0.40664636548103333</v>
      </c>
      <c r="DG21" s="538"/>
      <c r="DH21" s="173">
        <f t="shared" si="62"/>
        <v>0.78109744190587771</v>
      </c>
      <c r="DI21" s="545">
        <f t="shared" si="63"/>
        <v>390.40094117647067</v>
      </c>
      <c r="DJ21" s="528">
        <f t="shared" si="64"/>
        <v>8.6065366284073561E-2</v>
      </c>
      <c r="DK21"/>
      <c r="DL21" s="173">
        <f t="shared" si="65"/>
        <v>14.05296105045888</v>
      </c>
      <c r="DM21" s="173">
        <f t="shared" si="66"/>
        <v>14.05296105045888</v>
      </c>
      <c r="DN21" s="173">
        <f t="shared" si="67"/>
        <v>1.7330575682411449</v>
      </c>
      <c r="DP21" s="545">
        <f t="shared" si="68"/>
        <v>96</v>
      </c>
      <c r="DQ21" s="460">
        <f t="shared" si="69"/>
        <v>350</v>
      </c>
      <c r="DS21">
        <f t="shared" si="116"/>
        <v>96</v>
      </c>
      <c r="DT21" s="460">
        <f t="shared" si="70"/>
        <v>350</v>
      </c>
      <c r="DU21" s="460"/>
      <c r="DV21" s="5">
        <f t="shared" si="117"/>
        <v>2.8571428571428572</v>
      </c>
      <c r="DW21" s="5">
        <f t="shared" si="71"/>
        <v>0.56211844201835515</v>
      </c>
      <c r="DX21" s="5">
        <f t="shared" si="118"/>
        <v>2.2950244151245021</v>
      </c>
      <c r="DY21" s="173">
        <f t="shared" si="119"/>
        <v>0.19674145470642429</v>
      </c>
      <c r="EA21" s="5">
        <f t="shared" si="72"/>
        <v>3.1743159078683587E-2</v>
      </c>
      <c r="EB21" s="5">
        <f t="shared" si="73"/>
        <v>0.37474562801223676</v>
      </c>
      <c r="EC21" s="5">
        <f t="shared" si="74"/>
        <v>4.7942142022184804</v>
      </c>
      <c r="ED21" s="5"/>
      <c r="EE21" s="173">
        <f t="shared" si="120"/>
        <v>3.5987788073321347</v>
      </c>
      <c r="EF21" s="173">
        <f t="shared" si="75"/>
        <v>0.34338499442293796</v>
      </c>
      <c r="EG21" s="173">
        <f t="shared" si="76"/>
        <v>0.2714952225474549</v>
      </c>
      <c r="EH21" s="173"/>
      <c r="EI21" s="528">
        <f t="shared" si="77"/>
        <v>0.51804835616411604</v>
      </c>
      <c r="EJ21" s="528">
        <f t="shared" si="78"/>
        <v>2.8451888435778745</v>
      </c>
      <c r="EK21" s="528">
        <f t="shared" si="79"/>
        <v>6.9999999999999993E-2</v>
      </c>
      <c r="EL21" s="528">
        <f t="shared" si="80"/>
        <v>3.0972985749999998E-2</v>
      </c>
      <c r="EM21">
        <f t="shared" si="81"/>
        <v>5.6249999999999998E-3</v>
      </c>
      <c r="EN21" s="460">
        <f t="shared" si="121"/>
        <v>75.625</v>
      </c>
      <c r="EO21">
        <f t="shared" si="82"/>
        <v>4.1163873148503258</v>
      </c>
      <c r="EP21" s="460">
        <f t="shared" si="122"/>
        <v>4116.3873148503262</v>
      </c>
      <c r="EQ21" s="173">
        <f t="shared" si="83"/>
        <v>8.3327999999999999E-2</v>
      </c>
      <c r="ER21" s="173">
        <f t="shared" si="84"/>
        <v>6.9439999999999988E-2</v>
      </c>
      <c r="ES21" s="528"/>
      <c r="EU21" s="460">
        <f t="shared" si="123"/>
        <v>152.768</v>
      </c>
      <c r="EV21" s="528">
        <f t="shared" si="85"/>
        <v>0.38853626712308703</v>
      </c>
      <c r="EW21" s="528">
        <f t="shared" si="124"/>
        <v>3.537397631845234E-3</v>
      </c>
      <c r="EX21" s="528">
        <f t="shared" si="86"/>
        <v>3.685482793304603E-4</v>
      </c>
      <c r="EY21" s="528">
        <f t="shared" si="87"/>
        <v>84.83200303926462</v>
      </c>
      <c r="EZ21" s="528">
        <f t="shared" si="88"/>
        <v>88.08406377716814</v>
      </c>
      <c r="FA21" s="625">
        <f t="shared" si="89"/>
        <v>1.7280000000000006</v>
      </c>
      <c r="FB21" s="460">
        <f t="shared" si="125"/>
        <v>89812.063777168136</v>
      </c>
      <c r="FC21" s="173">
        <f t="shared" si="126"/>
        <v>94.081219092018458</v>
      </c>
      <c r="FD21" s="5">
        <f t="shared" si="127"/>
        <v>17.28</v>
      </c>
      <c r="FE21" s="173">
        <f t="shared" si="128"/>
        <v>0.15517071509177205</v>
      </c>
      <c r="FF21" s="5">
        <f t="shared" si="129"/>
        <v>15.517071509177205</v>
      </c>
      <c r="FG21">
        <f t="shared" si="130"/>
        <v>16</v>
      </c>
      <c r="FI21" s="562">
        <f t="shared" si="90"/>
        <v>-50</v>
      </c>
      <c r="FJ21">
        <f t="shared" si="91"/>
        <v>-50</v>
      </c>
      <c r="FL21">
        <f t="shared" si="92"/>
        <v>0.28076142803480103</v>
      </c>
    </row>
    <row r="22" spans="5:168">
      <c r="E22" s="170">
        <v>17</v>
      </c>
      <c r="F22" s="217">
        <f t="shared" si="131"/>
        <v>0.10200000000000001</v>
      </c>
      <c r="G22" s="217">
        <f t="shared" si="93"/>
        <v>8.5000000000000006E-2</v>
      </c>
      <c r="H22" s="217">
        <f t="shared" si="0"/>
        <v>17.34</v>
      </c>
      <c r="I22" s="217">
        <f t="shared" si="132"/>
        <v>1.02</v>
      </c>
      <c r="J22" s="541">
        <f t="shared" si="1"/>
        <v>11.883634211637194</v>
      </c>
      <c r="K22" s="443">
        <f t="shared" si="2"/>
        <v>8.5389659470766031</v>
      </c>
      <c r="L22" s="172">
        <f t="shared" si="3"/>
        <v>20.422600158713799</v>
      </c>
      <c r="M22" s="443"/>
      <c r="N22" s="217">
        <f t="shared" si="4"/>
        <v>0.41811355462655159</v>
      </c>
      <c r="O22" s="172">
        <f t="shared" si="94"/>
        <v>156.42230595529358</v>
      </c>
      <c r="P22" s="172">
        <f t="shared" si="5"/>
        <v>9.2013121150172683</v>
      </c>
      <c r="Q22" s="217">
        <f t="shared" si="6"/>
        <v>0.92013121150172694</v>
      </c>
      <c r="R22" s="217">
        <f t="shared" si="7"/>
        <v>13.035192162941131</v>
      </c>
      <c r="S22" s="443">
        <f t="shared" si="8"/>
        <v>170</v>
      </c>
      <c r="T22" s="217">
        <f t="shared" si="9"/>
        <v>7.3902503414723455</v>
      </c>
      <c r="U22" s="217">
        <f t="shared" si="10"/>
        <v>0.31094235188741132</v>
      </c>
      <c r="V22" s="217">
        <f t="shared" si="11"/>
        <v>0.43273684350518271</v>
      </c>
      <c r="W22" s="197">
        <f t="shared" si="12"/>
        <v>350</v>
      </c>
      <c r="X22" s="443">
        <f t="shared" si="95"/>
        <v>350</v>
      </c>
      <c r="Z22" s="217">
        <f t="shared" si="13"/>
        <v>28.392620240624716</v>
      </c>
      <c r="AA22" s="173">
        <f t="shared" si="14"/>
        <v>1.662532701066995</v>
      </c>
      <c r="AB22" s="173">
        <f t="shared" si="15"/>
        <v>0.39008579824047318</v>
      </c>
      <c r="AC22" s="173"/>
      <c r="AD22" s="173">
        <f t="shared" si="16"/>
        <v>0.78073465897226857</v>
      </c>
      <c r="AE22" s="545">
        <f t="shared" si="17"/>
        <v>414.9937450279229</v>
      </c>
      <c r="AF22" s="528">
        <f t="shared" si="18"/>
        <v>8.6025392979351828E-2</v>
      </c>
      <c r="AH22" s="173">
        <f t="shared" si="19"/>
        <v>14.485460690933216</v>
      </c>
      <c r="AI22" s="173">
        <f t="shared" si="20"/>
        <v>14.485460690933216</v>
      </c>
      <c r="AJ22" s="173">
        <f t="shared" si="21"/>
        <v>2.053427672296209</v>
      </c>
      <c r="AL22" s="545">
        <f t="shared" si="22"/>
        <v>102.00000000000001</v>
      </c>
      <c r="AM22" s="460">
        <f t="shared" si="23"/>
        <v>350</v>
      </c>
      <c r="AO22">
        <f t="shared" si="96"/>
        <v>102.00000000000001</v>
      </c>
      <c r="AP22" s="460">
        <f t="shared" si="24"/>
        <v>350</v>
      </c>
      <c r="AQ22" s="460"/>
      <c r="AR22" s="5">
        <f t="shared" si="97"/>
        <v>2.8571428571428572</v>
      </c>
      <c r="AS22" s="5">
        <f t="shared" si="25"/>
        <v>0.60947099317261677</v>
      </c>
      <c r="AT22" s="5">
        <f t="shared" si="98"/>
        <v>2.2476718639702407</v>
      </c>
      <c r="AU22" s="173">
        <f t="shared" si="99"/>
        <v>0.21331484761041586</v>
      </c>
      <c r="AW22" s="5">
        <f t="shared" si="26"/>
        <v>3.6568259590357012E-2</v>
      </c>
      <c r="AX22" s="5">
        <f t="shared" si="27"/>
        <v>0.43170862016393691</v>
      </c>
      <c r="AY22" s="5">
        <f t="shared" si="28"/>
        <v>5.2475031697731103</v>
      </c>
      <c r="AZ22" s="5"/>
      <c r="BA22" s="173">
        <f t="shared" si="100"/>
        <v>3.8626221550736299</v>
      </c>
      <c r="BB22" s="173">
        <f t="shared" si="29"/>
        <v>0.35028261395757743</v>
      </c>
      <c r="BC22" s="173">
        <f t="shared" si="30"/>
        <v>0.27694878278165108</v>
      </c>
      <c r="BD22" s="173"/>
      <c r="BE22" s="528">
        <f t="shared" si="31"/>
        <v>0.59679399651462617</v>
      </c>
      <c r="BF22" s="528">
        <f t="shared" si="32"/>
        <v>2.3296673279698492</v>
      </c>
      <c r="BG22" s="528">
        <f t="shared" si="33"/>
        <v>0.16637087896292072</v>
      </c>
      <c r="BH22" s="528">
        <f t="shared" si="34"/>
        <v>2.9195781806988782E-2</v>
      </c>
      <c r="BI22">
        <f t="shared" si="35"/>
        <v>5.3476353952367373E-3</v>
      </c>
      <c r="BJ22" s="460">
        <f t="shared" si="101"/>
        <v>171.71851435815748</v>
      </c>
      <c r="BK22">
        <f t="shared" si="36"/>
        <v>3.6317701499940345</v>
      </c>
      <c r="BL22" s="460">
        <f t="shared" si="102"/>
        <v>3631.7701499940345</v>
      </c>
      <c r="BM22" s="173">
        <f t="shared" si="37"/>
        <v>8.8536000000000004E-2</v>
      </c>
      <c r="BN22" s="173">
        <f t="shared" si="38"/>
        <v>7.3779999999999998E-2</v>
      </c>
      <c r="BO22" s="528"/>
      <c r="BQ22" s="460">
        <f t="shared" si="103"/>
        <v>162.316</v>
      </c>
      <c r="BR22" s="528">
        <f t="shared" si="39"/>
        <v>0.44759549738596954</v>
      </c>
      <c r="BS22" s="528">
        <f t="shared" si="104"/>
        <v>3.6809372892285964E-3</v>
      </c>
      <c r="BT22" s="528">
        <f t="shared" si="40"/>
        <v>3.8350314142119078E-4</v>
      </c>
      <c r="BU22" s="528">
        <f t="shared" si="41"/>
        <v>91.510492991022005</v>
      </c>
      <c r="BV22" s="528">
        <f t="shared" si="42"/>
        <v>95.522029215979117</v>
      </c>
      <c r="BW22" s="625">
        <f t="shared" si="43"/>
        <v>1.8359999999999999</v>
      </c>
      <c r="BX22" s="460">
        <f t="shared" si="105"/>
        <v>97358.029215979113</v>
      </c>
      <c r="BY22" s="173">
        <f t="shared" si="106"/>
        <v>101.15211536597315</v>
      </c>
      <c r="BZ22" s="5">
        <f t="shared" si="107"/>
        <v>18.36</v>
      </c>
      <c r="CA22" s="173">
        <f t="shared" si="108"/>
        <v>0.15362459231666617</v>
      </c>
      <c r="CB22" s="5">
        <f t="shared" si="109"/>
        <v>15.362459231666618</v>
      </c>
      <c r="CC22">
        <f t="shared" si="110"/>
        <v>17</v>
      </c>
      <c r="CE22" s="562">
        <f t="shared" si="44"/>
        <v>-50</v>
      </c>
      <c r="CF22">
        <f t="shared" si="45"/>
        <v>-50</v>
      </c>
      <c r="CG22" s="173">
        <f t="shared" si="46"/>
        <v>0.289402255846684</v>
      </c>
      <c r="CH22" s="173">
        <f t="shared" si="47"/>
        <v>7.2018126622266504E-2</v>
      </c>
      <c r="CI22" s="170">
        <v>17</v>
      </c>
      <c r="CJ22" s="217">
        <f t="shared" si="133"/>
        <v>0.10200000000000001</v>
      </c>
      <c r="CK22" s="217">
        <f t="shared" si="111"/>
        <v>8.5000000000000006E-2</v>
      </c>
      <c r="CL22" s="217">
        <f t="shared" si="48"/>
        <v>17.34</v>
      </c>
      <c r="CM22" s="217">
        <f t="shared" si="134"/>
        <v>1.02</v>
      </c>
      <c r="CN22" s="541">
        <f t="shared" si="112"/>
        <v>12.5</v>
      </c>
      <c r="CO22" s="443">
        <f t="shared" si="49"/>
        <v>8.5350000000000001</v>
      </c>
      <c r="CP22" s="443">
        <f t="shared" si="50"/>
        <v>21.035</v>
      </c>
      <c r="CQ22" s="443"/>
      <c r="CR22" s="217">
        <f t="shared" si="113"/>
        <v>0.40546967895362668</v>
      </c>
      <c r="CS22" s="172">
        <f t="shared" si="114"/>
        <v>159.55982736601052</v>
      </c>
      <c r="CT22" s="172">
        <f t="shared" si="51"/>
        <v>9.3858721980006177</v>
      </c>
      <c r="CU22" s="217">
        <f t="shared" si="52"/>
        <v>0.93858721980006188</v>
      </c>
      <c r="CV22" s="217">
        <f t="shared" si="53"/>
        <v>13.296652280500878</v>
      </c>
      <c r="CW22" s="443">
        <f t="shared" si="54"/>
        <v>170</v>
      </c>
      <c r="CX22" s="217">
        <f t="shared" si="55"/>
        <v>7.2449313782991185</v>
      </c>
      <c r="CY22" s="217">
        <f t="shared" si="56"/>
        <v>0.28979725513196475</v>
      </c>
      <c r="CZ22" s="217">
        <f t="shared" si="57"/>
        <v>0.42442480247797992</v>
      </c>
      <c r="DA22" s="197">
        <f t="shared" si="58"/>
        <v>350</v>
      </c>
      <c r="DB22" s="443">
        <f t="shared" si="115"/>
        <v>350</v>
      </c>
      <c r="DD22" s="217">
        <f t="shared" si="59"/>
        <v>28.98230839756868</v>
      </c>
      <c r="DE22" s="173">
        <f t="shared" si="60"/>
        <v>1.6978505212401103</v>
      </c>
      <c r="DF22" s="173">
        <f t="shared" si="61"/>
        <v>0.40664636548103333</v>
      </c>
      <c r="DG22" s="173"/>
      <c r="DH22" s="173">
        <f t="shared" si="62"/>
        <v>0.78109744190587771</v>
      </c>
      <c r="DI22" s="545">
        <f t="shared" si="63"/>
        <v>414.80100000000004</v>
      </c>
      <c r="DJ22" s="528">
        <f t="shared" si="64"/>
        <v>8.6065366284073561E-2</v>
      </c>
      <c r="DL22" s="173">
        <f t="shared" si="65"/>
        <v>14.485460690933216</v>
      </c>
      <c r="DM22" s="173">
        <f t="shared" si="66"/>
        <v>14.485460690933216</v>
      </c>
      <c r="DN22" s="173">
        <f t="shared" si="67"/>
        <v>2.053427672296209</v>
      </c>
      <c r="DP22" s="545">
        <f t="shared" si="68"/>
        <v>102.00000000000001</v>
      </c>
      <c r="DQ22" s="460">
        <f t="shared" si="69"/>
        <v>350</v>
      </c>
      <c r="DS22">
        <f t="shared" si="116"/>
        <v>102.00000000000001</v>
      </c>
      <c r="DT22" s="460">
        <f t="shared" si="70"/>
        <v>350</v>
      </c>
      <c r="DU22" s="460"/>
      <c r="DV22" s="5">
        <f t="shared" si="117"/>
        <v>2.8571428571428572</v>
      </c>
      <c r="DW22" s="5">
        <f t="shared" si="71"/>
        <v>0.57941842763732865</v>
      </c>
      <c r="DX22" s="5">
        <f t="shared" si="118"/>
        <v>2.2777244295055286</v>
      </c>
      <c r="DY22" s="173">
        <f t="shared" si="119"/>
        <v>0.20279644967306501</v>
      </c>
      <c r="EA22" s="5">
        <f t="shared" si="72"/>
        <v>3.4765105658239724E-2</v>
      </c>
      <c r="EB22" s="5">
        <f t="shared" si="73"/>
        <v>0.41042138624310781</v>
      </c>
      <c r="EC22" s="5">
        <f t="shared" si="74"/>
        <v>5.055454925776111</v>
      </c>
      <c r="ED22" s="5"/>
      <c r="EE22" s="173">
        <f t="shared" si="120"/>
        <v>3.7661868127539564</v>
      </c>
      <c r="EF22" s="173">
        <f t="shared" si="75"/>
        <v>0.3526165705150357</v>
      </c>
      <c r="EG22" s="173">
        <f t="shared" si="76"/>
        <v>0.27879411110197588</v>
      </c>
      <c r="EH22" s="173"/>
      <c r="EI22" s="528">
        <f t="shared" si="77"/>
        <v>0.56736652434247226</v>
      </c>
      <c r="EJ22" s="528">
        <f t="shared" si="78"/>
        <v>2.9327535317251345</v>
      </c>
      <c r="EK22" s="528">
        <f t="shared" si="79"/>
        <v>6.9999999999999993E-2</v>
      </c>
      <c r="EL22" s="528">
        <f t="shared" si="80"/>
        <v>3.0972985749999998E-2</v>
      </c>
      <c r="EM22">
        <f t="shared" si="81"/>
        <v>5.6249999999999998E-3</v>
      </c>
      <c r="EN22" s="460">
        <f t="shared" si="121"/>
        <v>75.625</v>
      </c>
      <c r="EO22">
        <f t="shared" si="82"/>
        <v>4.3457400849640209</v>
      </c>
      <c r="EP22" s="460">
        <f t="shared" si="122"/>
        <v>4345.7400849640208</v>
      </c>
      <c r="EQ22" s="173">
        <f t="shared" si="83"/>
        <v>8.8536000000000004E-2</v>
      </c>
      <c r="ER22" s="173">
        <f t="shared" si="84"/>
        <v>7.3779999999999998E-2</v>
      </c>
      <c r="ES22" s="528"/>
      <c r="EU22" s="460">
        <f t="shared" si="123"/>
        <v>162.316</v>
      </c>
      <c r="EV22" s="528">
        <f t="shared" si="85"/>
        <v>0.42552489325685411</v>
      </c>
      <c r="EW22" s="528">
        <f t="shared" si="124"/>
        <v>3.7301533740535541E-3</v>
      </c>
      <c r="EX22" s="528">
        <f t="shared" si="86"/>
        <v>3.8863078192570436E-4</v>
      </c>
      <c r="EY22" s="528">
        <f t="shared" si="87"/>
        <v>91.510492991022005</v>
      </c>
      <c r="EZ22" s="528">
        <f t="shared" si="88"/>
        <v>95.319525674206986</v>
      </c>
      <c r="FA22" s="625">
        <f t="shared" si="89"/>
        <v>1.8359999999999999</v>
      </c>
      <c r="FB22" s="460">
        <f t="shared" si="125"/>
        <v>97155.525674206991</v>
      </c>
      <c r="FC22" s="173">
        <f t="shared" si="126"/>
        <v>101.66358175917101</v>
      </c>
      <c r="FD22" s="5">
        <f t="shared" si="127"/>
        <v>18.36</v>
      </c>
      <c r="FE22" s="173">
        <f t="shared" si="128"/>
        <v>0.15296993916445184</v>
      </c>
      <c r="FF22" s="5">
        <f t="shared" si="129"/>
        <v>15.296993916445183</v>
      </c>
      <c r="FG22">
        <f t="shared" si="130"/>
        <v>17</v>
      </c>
      <c r="FI22" s="562">
        <f t="shared" si="90"/>
        <v>-50</v>
      </c>
      <c r="FJ22">
        <f t="shared" si="91"/>
        <v>-50</v>
      </c>
      <c r="FL22">
        <f t="shared" si="92"/>
        <v>0.28940225584668405</v>
      </c>
    </row>
    <row r="23" spans="5:168">
      <c r="E23" s="170">
        <v>18</v>
      </c>
      <c r="F23" s="217">
        <f t="shared" si="131"/>
        <v>0.108</v>
      </c>
      <c r="G23" s="217">
        <f t="shared" si="93"/>
        <v>0.09</v>
      </c>
      <c r="H23" s="217">
        <f t="shared" si="0"/>
        <v>18.36</v>
      </c>
      <c r="I23" s="217">
        <f t="shared" si="132"/>
        <v>1.08</v>
      </c>
      <c r="J23" s="541">
        <f t="shared" si="1"/>
        <v>11.865764836193192</v>
      </c>
      <c r="K23" s="443">
        <f t="shared" si="2"/>
        <v>8.5390809258743268</v>
      </c>
      <c r="L23" s="172">
        <f t="shared" si="3"/>
        <v>20.404845762067517</v>
      </c>
      <c r="M23" s="443"/>
      <c r="N23" s="217">
        <f t="shared" si="4"/>
        <v>0.41848299298338371</v>
      </c>
      <c r="O23" s="172">
        <f t="shared" si="94"/>
        <v>156.32509871422405</v>
      </c>
      <c r="P23" s="172">
        <f t="shared" si="5"/>
        <v>9.1955940420131785</v>
      </c>
      <c r="Q23" s="217">
        <f t="shared" si="6"/>
        <v>0.91955940420131799</v>
      </c>
      <c r="R23" s="217">
        <f t="shared" si="7"/>
        <v>13.027091559518672</v>
      </c>
      <c r="S23" s="443">
        <f t="shared" si="8"/>
        <v>170</v>
      </c>
      <c r="T23" s="217">
        <f t="shared" si="9"/>
        <v>7.8298367317047344</v>
      </c>
      <c r="U23" s="217">
        <f t="shared" si="10"/>
        <v>0.32993392502698221</v>
      </c>
      <c r="V23" s="217">
        <f t="shared" si="11"/>
        <v>0.45847069489524872</v>
      </c>
      <c r="W23" s="197">
        <f t="shared" si="12"/>
        <v>350</v>
      </c>
      <c r="X23" s="443">
        <f t="shared" si="95"/>
        <v>350</v>
      </c>
      <c r="Z23" s="217">
        <f t="shared" si="13"/>
        <v>28.374975901069231</v>
      </c>
      <c r="AA23" s="173">
        <f t="shared" si="14"/>
        <v>1.6614771629046179</v>
      </c>
      <c r="AB23" s="173">
        <f t="shared" si="15"/>
        <v>0.38959587225373993</v>
      </c>
      <c r="AC23" s="173"/>
      <c r="AD23" s="173">
        <f t="shared" si="16"/>
        <v>0.78072414637340593</v>
      </c>
      <c r="AE23" s="545">
        <f t="shared" si="17"/>
        <v>439.41105846793295</v>
      </c>
      <c r="AF23" s="528">
        <f t="shared" si="18"/>
        <v>8.6024234646699366E-2</v>
      </c>
      <c r="AH23" s="173">
        <f t="shared" si="19"/>
        <v>14.905416081794851</v>
      </c>
      <c r="AI23" s="173">
        <f t="shared" si="20"/>
        <v>14.905416081794851</v>
      </c>
      <c r="AJ23" s="173">
        <f t="shared" si="21"/>
        <v>2.3645057396011233</v>
      </c>
      <c r="AL23" s="545">
        <f t="shared" si="22"/>
        <v>108</v>
      </c>
      <c r="AM23" s="460">
        <f t="shared" si="23"/>
        <v>350</v>
      </c>
      <c r="AO23">
        <f t="shared" si="96"/>
        <v>108</v>
      </c>
      <c r="AP23" s="460">
        <f t="shared" si="24"/>
        <v>350</v>
      </c>
      <c r="AQ23" s="460"/>
      <c r="AR23" s="5">
        <f t="shared" si="97"/>
        <v>2.8571428571428572</v>
      </c>
      <c r="AS23" s="5">
        <f t="shared" si="25"/>
        <v>0.62808492699644836</v>
      </c>
      <c r="AT23" s="5">
        <f t="shared" si="98"/>
        <v>2.2290579301464089</v>
      </c>
      <c r="AU23" s="173">
        <f t="shared" si="99"/>
        <v>0.21982972444875692</v>
      </c>
      <c r="AW23" s="5">
        <f t="shared" si="26"/>
        <v>3.9901865950362603E-2</v>
      </c>
      <c r="AX23" s="5">
        <f t="shared" si="27"/>
        <v>0.47106369524733621</v>
      </c>
      <c r="AY23" s="5">
        <f t="shared" si="28"/>
        <v>5.5184648153695122</v>
      </c>
      <c r="AZ23" s="5"/>
      <c r="BA23" s="173">
        <f t="shared" si="100"/>
        <v>4.0348434056042306</v>
      </c>
      <c r="BB23" s="173">
        <f t="shared" si="29"/>
        <v>0.35894226327149387</v>
      </c>
      <c r="BC23" s="173">
        <f t="shared" si="30"/>
        <v>0.28379548096546547</v>
      </c>
      <c r="BD23" s="173"/>
      <c r="BE23" s="528">
        <f t="shared" si="31"/>
        <v>0.65119845230991791</v>
      </c>
      <c r="BF23" s="528">
        <f t="shared" si="32"/>
        <v>2.3951238898266594</v>
      </c>
      <c r="BG23" s="528">
        <f t="shared" si="33"/>
        <v>0.1661207077067047</v>
      </c>
      <c r="BH23" s="528">
        <f t="shared" si="34"/>
        <v>2.9145041140163527E-2</v>
      </c>
      <c r="BI23">
        <f t="shared" si="35"/>
        <v>5.339594176286936E-3</v>
      </c>
      <c r="BJ23" s="460">
        <f t="shared" si="101"/>
        <v>171.46030188299164</v>
      </c>
      <c r="BK23">
        <f t="shared" si="36"/>
        <v>3.8464286918697033</v>
      </c>
      <c r="BL23" s="460">
        <f t="shared" si="102"/>
        <v>3846.4286918697035</v>
      </c>
      <c r="BM23" s="173">
        <f t="shared" si="37"/>
        <v>9.3743999999999994E-2</v>
      </c>
      <c r="BN23" s="173">
        <f t="shared" si="38"/>
        <v>7.8119999999999995E-2</v>
      </c>
      <c r="BO23" s="528"/>
      <c r="BQ23" s="460">
        <f t="shared" si="103"/>
        <v>171.86399999999998</v>
      </c>
      <c r="BR23" s="528">
        <f t="shared" si="39"/>
        <v>0.48839883923243838</v>
      </c>
      <c r="BS23" s="528">
        <f t="shared" si="104"/>
        <v>3.8651864508738726E-3</v>
      </c>
      <c r="BT23" s="528">
        <f t="shared" si="40"/>
        <v>4.026993750820994E-4</v>
      </c>
      <c r="BU23" s="528">
        <f t="shared" si="41"/>
        <v>98.287972094309595</v>
      </c>
      <c r="BV23" s="528">
        <f t="shared" si="42"/>
        <v>102.95674793979491</v>
      </c>
      <c r="BW23" s="625">
        <f t="shared" si="43"/>
        <v>1.944</v>
      </c>
      <c r="BX23" s="460">
        <f t="shared" si="105"/>
        <v>104900.74793979491</v>
      </c>
      <c r="BY23" s="173">
        <f t="shared" si="106"/>
        <v>108.91904063166461</v>
      </c>
      <c r="BZ23" s="5">
        <f t="shared" si="107"/>
        <v>19.439999999999998</v>
      </c>
      <c r="CA23" s="173">
        <f t="shared" si="108"/>
        <v>0.15145018149352221</v>
      </c>
      <c r="CB23" s="5">
        <f t="shared" si="109"/>
        <v>15.145018149352222</v>
      </c>
      <c r="CC23">
        <f t="shared" si="110"/>
        <v>18</v>
      </c>
      <c r="CE23" s="562">
        <f t="shared" si="44"/>
        <v>-50</v>
      </c>
      <c r="CF23">
        <f t="shared" si="45"/>
        <v>-50</v>
      </c>
      <c r="CG23" s="173">
        <f t="shared" si="46"/>
        <v>0.29779246448853997</v>
      </c>
      <c r="CH23" s="173">
        <f t="shared" si="47"/>
        <v>7.4106040921996533E-2</v>
      </c>
      <c r="CI23" s="170">
        <v>18</v>
      </c>
      <c r="CJ23" s="217">
        <f t="shared" si="133"/>
        <v>0.108</v>
      </c>
      <c r="CK23" s="217">
        <f t="shared" si="111"/>
        <v>0.09</v>
      </c>
      <c r="CL23" s="217">
        <f t="shared" si="48"/>
        <v>18.36</v>
      </c>
      <c r="CM23" s="217">
        <f t="shared" si="134"/>
        <v>1.08</v>
      </c>
      <c r="CN23" s="541">
        <f t="shared" si="112"/>
        <v>12.5</v>
      </c>
      <c r="CO23" s="443">
        <f t="shared" si="49"/>
        <v>8.5350000000000001</v>
      </c>
      <c r="CP23" s="443">
        <f t="shared" si="50"/>
        <v>21.035</v>
      </c>
      <c r="CQ23" s="443"/>
      <c r="CR23" s="217">
        <f t="shared" si="113"/>
        <v>0.40546967895362668</v>
      </c>
      <c r="CS23" s="172">
        <f t="shared" si="114"/>
        <v>159.55982736601052</v>
      </c>
      <c r="CT23" s="172">
        <f t="shared" si="51"/>
        <v>9.3858721980006177</v>
      </c>
      <c r="CU23" s="217">
        <f t="shared" si="52"/>
        <v>0.93858721980006188</v>
      </c>
      <c r="CV23" s="217">
        <f t="shared" si="53"/>
        <v>13.296652280500878</v>
      </c>
      <c r="CW23" s="443">
        <f t="shared" si="54"/>
        <v>170</v>
      </c>
      <c r="CX23" s="217">
        <f t="shared" si="55"/>
        <v>7.6711038123167139</v>
      </c>
      <c r="CY23" s="217">
        <f t="shared" si="56"/>
        <v>0.30684415249266855</v>
      </c>
      <c r="CZ23" s="217">
        <f t="shared" si="57"/>
        <v>0.44939096732962586</v>
      </c>
      <c r="DA23" s="197">
        <f t="shared" si="58"/>
        <v>350</v>
      </c>
      <c r="DB23" s="443">
        <f t="shared" si="115"/>
        <v>350</v>
      </c>
      <c r="DD23" s="217">
        <f t="shared" si="59"/>
        <v>28.98230839756868</v>
      </c>
      <c r="DE23" s="173">
        <f t="shared" si="60"/>
        <v>1.6978505212401103</v>
      </c>
      <c r="DF23" s="173">
        <f t="shared" si="61"/>
        <v>0.40664636548103333</v>
      </c>
      <c r="DG23" s="173"/>
      <c r="DH23" s="173">
        <f t="shared" si="62"/>
        <v>0.78109744190587771</v>
      </c>
      <c r="DI23" s="545">
        <f t="shared" si="63"/>
        <v>439.20105882352942</v>
      </c>
      <c r="DJ23" s="528">
        <f t="shared" si="64"/>
        <v>8.6065366284073561E-2</v>
      </c>
      <c r="DL23" s="173">
        <f t="shared" si="65"/>
        <v>14.905416081794851</v>
      </c>
      <c r="DM23" s="173">
        <f t="shared" si="66"/>
        <v>14.905416081794851</v>
      </c>
      <c r="DN23" s="173">
        <f t="shared" si="67"/>
        <v>2.3645057396011233</v>
      </c>
      <c r="DP23" s="545">
        <f t="shared" si="68"/>
        <v>108</v>
      </c>
      <c r="DQ23" s="460">
        <f t="shared" si="69"/>
        <v>350</v>
      </c>
      <c r="DS23">
        <f t="shared" si="116"/>
        <v>108</v>
      </c>
      <c r="DT23" s="460">
        <f t="shared" si="70"/>
        <v>350</v>
      </c>
      <c r="DU23" s="460"/>
      <c r="DV23" s="5">
        <f t="shared" si="117"/>
        <v>2.8571428571428572</v>
      </c>
      <c r="DW23" s="5">
        <f t="shared" si="71"/>
        <v>0.59621664327179391</v>
      </c>
      <c r="DX23" s="5">
        <f t="shared" si="118"/>
        <v>2.2609262138710635</v>
      </c>
      <c r="DY23" s="173">
        <f t="shared" si="119"/>
        <v>0.20867582514512786</v>
      </c>
      <c r="EA23" s="5">
        <f t="shared" si="72"/>
        <v>3.7877292631384556E-2</v>
      </c>
      <c r="EB23" s="5">
        <f t="shared" si="73"/>
        <v>0.44716248245384538</v>
      </c>
      <c r="EC23" s="5">
        <f t="shared" si="74"/>
        <v>5.313357476694109</v>
      </c>
      <c r="ED23" s="5"/>
      <c r="EE23" s="173">
        <f t="shared" si="120"/>
        <v>3.9311493730975036</v>
      </c>
      <c r="EF23" s="173">
        <f t="shared" si="75"/>
        <v>0.36149901128737194</v>
      </c>
      <c r="EG23" s="173">
        <f t="shared" si="76"/>
        <v>0.28581695797477713</v>
      </c>
      <c r="EH23" s="173"/>
      <c r="EI23" s="528">
        <f t="shared" si="77"/>
        <v>0.6181574157441958</v>
      </c>
      <c r="EJ23" s="528">
        <f t="shared" si="78"/>
        <v>3.0177784875753391</v>
      </c>
      <c r="EK23" s="528">
        <f t="shared" si="79"/>
        <v>6.9999999999999993E-2</v>
      </c>
      <c r="EL23" s="528">
        <f t="shared" si="80"/>
        <v>3.0972985749999998E-2</v>
      </c>
      <c r="EM23">
        <f t="shared" si="81"/>
        <v>5.6249999999999998E-3</v>
      </c>
      <c r="EN23" s="460">
        <f t="shared" si="121"/>
        <v>75.625</v>
      </c>
      <c r="EO23">
        <f t="shared" si="82"/>
        <v>4.5824852564505143</v>
      </c>
      <c r="EP23" s="460">
        <f t="shared" si="122"/>
        <v>4582.4852564505145</v>
      </c>
      <c r="EQ23" s="173">
        <f t="shared" si="83"/>
        <v>9.3743999999999994E-2</v>
      </c>
      <c r="ER23" s="173">
        <f t="shared" si="84"/>
        <v>7.8119999999999995E-2</v>
      </c>
      <c r="ES23" s="528"/>
      <c r="EU23" s="460">
        <f t="shared" si="123"/>
        <v>171.86399999999998</v>
      </c>
      <c r="EV23" s="528">
        <f t="shared" si="85"/>
        <v>0.46361806180814685</v>
      </c>
      <c r="EW23" s="528">
        <f t="shared" si="124"/>
        <v>3.920446054852424E-3</v>
      </c>
      <c r="EX23" s="528">
        <f t="shared" si="86"/>
        <v>4.0845666732977756E-4</v>
      </c>
      <c r="EY23" s="528">
        <f t="shared" si="87"/>
        <v>98.287972094309595</v>
      </c>
      <c r="EZ23" s="528">
        <f t="shared" si="88"/>
        <v>102.71337946116762</v>
      </c>
      <c r="FA23" s="625">
        <f t="shared" si="89"/>
        <v>1.944</v>
      </c>
      <c r="FB23" s="460">
        <f t="shared" si="125"/>
        <v>104657.37946116763</v>
      </c>
      <c r="FC23" s="173">
        <f t="shared" si="126"/>
        <v>109.41172871761813</v>
      </c>
      <c r="FD23" s="5">
        <f t="shared" si="127"/>
        <v>19.439999999999998</v>
      </c>
      <c r="FE23" s="173">
        <f t="shared" si="128"/>
        <v>0.15087108410165964</v>
      </c>
      <c r="FF23" s="5">
        <f t="shared" si="129"/>
        <v>15.087108410165964</v>
      </c>
      <c r="FG23">
        <f t="shared" si="130"/>
        <v>18</v>
      </c>
      <c r="FI23" s="562">
        <f t="shared" si="90"/>
        <v>-50</v>
      </c>
      <c r="FJ23">
        <f t="shared" si="91"/>
        <v>-50</v>
      </c>
      <c r="FL23">
        <f t="shared" si="92"/>
        <v>0.29779246448853997</v>
      </c>
    </row>
    <row r="24" spans="5:168">
      <c r="E24" s="170">
        <v>19</v>
      </c>
      <c r="F24" s="217">
        <f t="shared" si="131"/>
        <v>0.11399999999999999</v>
      </c>
      <c r="G24" s="217">
        <f t="shared" si="93"/>
        <v>9.5000000000000001E-2</v>
      </c>
      <c r="H24" s="217">
        <f t="shared" si="0"/>
        <v>19.38</v>
      </c>
      <c r="I24" s="217">
        <f t="shared" si="132"/>
        <v>1.1400000000000001</v>
      </c>
      <c r="J24" s="541">
        <f t="shared" si="1"/>
        <v>11.848385312508997</v>
      </c>
      <c r="K24" s="443">
        <f t="shared" si="2"/>
        <v>8.5391927527674625</v>
      </c>
      <c r="L24" s="172">
        <f t="shared" si="3"/>
        <v>20.387578065276458</v>
      </c>
      <c r="M24" s="443"/>
      <c r="N24" s="217">
        <f t="shared" si="4"/>
        <v>0.41884292118597316</v>
      </c>
      <c r="O24" s="172">
        <f t="shared" si="94"/>
        <v>156.23038771422264</v>
      </c>
      <c r="P24" s="172">
        <f t="shared" si="5"/>
        <v>9.1900228067189769</v>
      </c>
      <c r="Q24" s="217">
        <f t="shared" si="6"/>
        <v>0.91900228067189793</v>
      </c>
      <c r="R24" s="217">
        <f t="shared" si="7"/>
        <v>13.019198976185221</v>
      </c>
      <c r="S24" s="443">
        <f t="shared" si="8"/>
        <v>170</v>
      </c>
      <c r="T24" s="217">
        <f t="shared" si="9"/>
        <v>8.2698380187299581</v>
      </c>
      <c r="U24" s="217">
        <f t="shared" si="10"/>
        <v>0.34898586603184784</v>
      </c>
      <c r="V24" s="217">
        <f t="shared" si="11"/>
        <v>0.48422832568393487</v>
      </c>
      <c r="W24" s="197">
        <f t="shared" si="12"/>
        <v>350</v>
      </c>
      <c r="X24" s="443">
        <f t="shared" si="95"/>
        <v>350</v>
      </c>
      <c r="Z24" s="217">
        <f t="shared" si="13"/>
        <v>28.35778466073284</v>
      </c>
      <c r="AA24" s="173">
        <f t="shared" si="14"/>
        <v>1.6604487966115054</v>
      </c>
      <c r="AB24" s="173">
        <f t="shared" si="15"/>
        <v>0.38911883891134469</v>
      </c>
      <c r="AC24" s="173"/>
      <c r="AD24" s="173">
        <f t="shared" si="16"/>
        <v>0.78071392222714142</v>
      </c>
      <c r="AE24" s="545">
        <f t="shared" si="17"/>
        <v>463.82885811208666</v>
      </c>
      <c r="AF24" s="528">
        <f t="shared" si="18"/>
        <v>8.6023108097249848E-2</v>
      </c>
      <c r="AH24" s="173">
        <f t="shared" si="19"/>
        <v>15.313859269115859</v>
      </c>
      <c r="AI24" s="173">
        <f t="shared" si="20"/>
        <v>15.313859269115859</v>
      </c>
      <c r="AJ24" s="173">
        <f t="shared" si="21"/>
        <v>2.6670562487277962</v>
      </c>
      <c r="AL24" s="545">
        <f t="shared" si="22"/>
        <v>113.99999999999999</v>
      </c>
      <c r="AM24" s="460">
        <f t="shared" si="23"/>
        <v>350</v>
      </c>
      <c r="AO24">
        <f t="shared" si="96"/>
        <v>113.99999999999999</v>
      </c>
      <c r="AP24" s="460">
        <f t="shared" si="24"/>
        <v>350</v>
      </c>
      <c r="AQ24" s="460"/>
      <c r="AR24" s="5">
        <f t="shared" si="97"/>
        <v>2.8571428571428572</v>
      </c>
      <c r="AS24" s="5">
        <f t="shared" si="25"/>
        <v>0.64624245689191795</v>
      </c>
      <c r="AT24" s="5">
        <f t="shared" si="98"/>
        <v>2.2109004002509391</v>
      </c>
      <c r="AU24" s="173">
        <f t="shared" si="99"/>
        <v>0.22618485991217127</v>
      </c>
      <c r="AW24" s="5">
        <f t="shared" si="26"/>
        <v>4.3336258873928613E-2</v>
      </c>
      <c r="AX24" s="5">
        <f t="shared" si="27"/>
        <v>0.51160861170610161</v>
      </c>
      <c r="AY24" s="5">
        <f t="shared" si="28"/>
        <v>5.786071080808215</v>
      </c>
      <c r="AZ24" s="5"/>
      <c r="BA24" s="173">
        <f t="shared" si="100"/>
        <v>4.2049011427812273</v>
      </c>
      <c r="BB24" s="173">
        <f t="shared" si="29"/>
        <v>0.36727304553330625</v>
      </c>
      <c r="BC24" s="173">
        <f t="shared" si="30"/>
        <v>0.29038216244805642</v>
      </c>
      <c r="BD24" s="173"/>
      <c r="BE24" s="528">
        <f t="shared" si="31"/>
        <v>0.70724774482251496</v>
      </c>
      <c r="BF24" s="528">
        <f t="shared" si="32"/>
        <v>2.4586734479718366</v>
      </c>
      <c r="BG24" s="528">
        <f t="shared" si="33"/>
        <v>0.16587739437512597</v>
      </c>
      <c r="BH24" s="528">
        <f t="shared" si="34"/>
        <v>2.9095733755741923E-2</v>
      </c>
      <c r="BI24">
        <f t="shared" si="35"/>
        <v>5.3317733906290488E-3</v>
      </c>
      <c r="BJ24" s="460">
        <f t="shared" si="101"/>
        <v>171.20916776575501</v>
      </c>
      <c r="BK24">
        <f t="shared" si="36"/>
        <v>4.0698858341599609</v>
      </c>
      <c r="BL24" s="460">
        <f t="shared" si="102"/>
        <v>4069.8858341599607</v>
      </c>
      <c r="BM24" s="173">
        <f t="shared" si="37"/>
        <v>9.8951999999999971E-2</v>
      </c>
      <c r="BN24" s="173">
        <f t="shared" si="38"/>
        <v>8.2459999999999992E-2</v>
      </c>
      <c r="BO24" s="528"/>
      <c r="BQ24" s="460">
        <f t="shared" si="103"/>
        <v>181.41199999999995</v>
      </c>
      <c r="BR24" s="528">
        <f t="shared" si="39"/>
        <v>0.53043580861688611</v>
      </c>
      <c r="BS24" s="528">
        <f t="shared" si="104"/>
        <v>4.0466846992593015E-3</v>
      </c>
      <c r="BT24" s="528">
        <f t="shared" si="40"/>
        <v>4.2160900134004719E-4</v>
      </c>
      <c r="BU24" s="528">
        <f t="shared" si="41"/>
        <v>105.1602825894994</v>
      </c>
      <c r="BV24" s="528">
        <f t="shared" si="42"/>
        <v>110.55444580355363</v>
      </c>
      <c r="BW24" s="625">
        <f t="shared" si="43"/>
        <v>2.052</v>
      </c>
      <c r="BX24" s="460">
        <f t="shared" si="105"/>
        <v>112606.44580355364</v>
      </c>
      <c r="BY24" s="173">
        <f t="shared" si="106"/>
        <v>116.8577436377136</v>
      </c>
      <c r="BZ24" s="5">
        <f t="shared" si="107"/>
        <v>20.52</v>
      </c>
      <c r="CA24" s="173">
        <f t="shared" si="108"/>
        <v>0.1493691733219496</v>
      </c>
      <c r="CB24" s="5">
        <f t="shared" si="109"/>
        <v>14.936917332194961</v>
      </c>
      <c r="CC24">
        <f t="shared" si="110"/>
        <v>19</v>
      </c>
      <c r="CE24" s="562">
        <f t="shared" si="44"/>
        <v>-50</v>
      </c>
      <c r="CF24">
        <f t="shared" si="45"/>
        <v>-50</v>
      </c>
      <c r="CG24" s="173">
        <f t="shared" si="46"/>
        <v>0.30595267301196621</v>
      </c>
      <c r="CH24" s="173">
        <f t="shared" si="47"/>
        <v>7.6136719394024568E-2</v>
      </c>
      <c r="CI24" s="170">
        <v>19</v>
      </c>
      <c r="CJ24" s="217">
        <f t="shared" si="133"/>
        <v>0.11399999999999999</v>
      </c>
      <c r="CK24" s="217">
        <f t="shared" si="111"/>
        <v>9.5000000000000001E-2</v>
      </c>
      <c r="CL24" s="217">
        <f t="shared" si="48"/>
        <v>19.38</v>
      </c>
      <c r="CM24" s="217">
        <f t="shared" si="134"/>
        <v>1.1400000000000001</v>
      </c>
      <c r="CN24" s="541">
        <f t="shared" si="112"/>
        <v>12.5</v>
      </c>
      <c r="CO24" s="443">
        <f t="shared" si="49"/>
        <v>8.5350000000000001</v>
      </c>
      <c r="CP24" s="443">
        <f t="shared" si="50"/>
        <v>21.035</v>
      </c>
      <c r="CQ24" s="443"/>
      <c r="CR24" s="217">
        <f t="shared" si="113"/>
        <v>0.40546967895362668</v>
      </c>
      <c r="CS24" s="172">
        <f t="shared" si="114"/>
        <v>159.55982736601052</v>
      </c>
      <c r="CT24" s="172">
        <f t="shared" si="51"/>
        <v>9.3858721980006177</v>
      </c>
      <c r="CU24" s="217">
        <f t="shared" si="52"/>
        <v>0.93858721980006188</v>
      </c>
      <c r="CV24" s="217">
        <f t="shared" si="53"/>
        <v>13.296652280500878</v>
      </c>
      <c r="CW24" s="443">
        <f t="shared" si="54"/>
        <v>170</v>
      </c>
      <c r="CX24" s="217">
        <f t="shared" si="55"/>
        <v>8.0972762463343102</v>
      </c>
      <c r="CY24" s="217">
        <f t="shared" si="56"/>
        <v>0.32389104985337241</v>
      </c>
      <c r="CZ24" s="217">
        <f t="shared" si="57"/>
        <v>0.47435713218127185</v>
      </c>
      <c r="DA24" s="197">
        <f t="shared" si="58"/>
        <v>350</v>
      </c>
      <c r="DB24" s="443">
        <f t="shared" si="115"/>
        <v>350</v>
      </c>
      <c r="DD24" s="217">
        <f t="shared" si="59"/>
        <v>28.98230839756868</v>
      </c>
      <c r="DE24" s="173">
        <f t="shared" si="60"/>
        <v>1.6978505212401103</v>
      </c>
      <c r="DF24" s="173">
        <f t="shared" si="61"/>
        <v>0.40664636548103333</v>
      </c>
      <c r="DG24" s="173"/>
      <c r="DH24" s="173">
        <f t="shared" si="62"/>
        <v>0.78109744190587771</v>
      </c>
      <c r="DI24" s="545">
        <f t="shared" si="63"/>
        <v>463.6011176470588</v>
      </c>
      <c r="DJ24" s="528">
        <f t="shared" si="64"/>
        <v>8.6065366284073561E-2</v>
      </c>
      <c r="DL24" s="173">
        <f t="shared" si="65"/>
        <v>15.313859269115859</v>
      </c>
      <c r="DM24" s="173">
        <f t="shared" si="66"/>
        <v>15.313859269115859</v>
      </c>
      <c r="DN24" s="173">
        <f t="shared" si="67"/>
        <v>2.6670562487277962</v>
      </c>
      <c r="DP24" s="545">
        <f t="shared" si="68"/>
        <v>113.99999999999999</v>
      </c>
      <c r="DQ24" s="460">
        <f t="shared" si="69"/>
        <v>350</v>
      </c>
      <c r="DS24">
        <f t="shared" si="116"/>
        <v>113.99999999999999</v>
      </c>
      <c r="DT24" s="460">
        <f t="shared" si="70"/>
        <v>350</v>
      </c>
      <c r="DU24" s="460"/>
      <c r="DV24" s="5">
        <f t="shared" si="117"/>
        <v>2.8571428571428572</v>
      </c>
      <c r="DW24" s="5">
        <f t="shared" si="71"/>
        <v>0.61255437076463437</v>
      </c>
      <c r="DX24" s="5">
        <f t="shared" si="118"/>
        <v>2.2445884863782228</v>
      </c>
      <c r="DY24" s="173">
        <f t="shared" si="119"/>
        <v>0.21439402976762204</v>
      </c>
      <c r="EA24" s="5">
        <f t="shared" si="72"/>
        <v>4.1077175451275476E-2</v>
      </c>
      <c r="EB24" s="5">
        <f t="shared" si="73"/>
        <v>0.48493887685533554</v>
      </c>
      <c r="EC24" s="5">
        <f t="shared" si="74"/>
        <v>5.5680159828492748</v>
      </c>
      <c r="ED24" s="5"/>
      <c r="EE24" s="173">
        <f t="shared" si="120"/>
        <v>4.0938353147287687</v>
      </c>
      <c r="EF24" s="173">
        <f t="shared" si="75"/>
        <v>0.3700605863114072</v>
      </c>
      <c r="EG24" s="173">
        <f t="shared" si="76"/>
        <v>0.29258611432773141</v>
      </c>
      <c r="EH24" s="173"/>
      <c r="EI24" s="528">
        <f t="shared" si="77"/>
        <v>0.67037950336481589</v>
      </c>
      <c r="EJ24" s="528">
        <f t="shared" si="78"/>
        <v>3.100472661111326</v>
      </c>
      <c r="EK24" s="528">
        <f t="shared" si="79"/>
        <v>6.9999999999999993E-2</v>
      </c>
      <c r="EL24" s="528">
        <f t="shared" si="80"/>
        <v>3.0972985749999998E-2</v>
      </c>
      <c r="EM24">
        <f t="shared" si="81"/>
        <v>5.6249999999999998E-3</v>
      </c>
      <c r="EN24" s="460">
        <f t="shared" si="121"/>
        <v>75.625</v>
      </c>
      <c r="EO24">
        <f t="shared" si="82"/>
        <v>4.8273659381437568</v>
      </c>
      <c r="EP24" s="460">
        <f t="shared" si="122"/>
        <v>4827.3659381437565</v>
      </c>
      <c r="EQ24" s="173">
        <f t="shared" si="83"/>
        <v>9.8951999999999971E-2</v>
      </c>
      <c r="ER24" s="173">
        <f t="shared" si="84"/>
        <v>8.2459999999999992E-2</v>
      </c>
      <c r="ES24" s="528"/>
      <c r="EU24" s="460">
        <f t="shared" si="123"/>
        <v>181.41199999999995</v>
      </c>
      <c r="EV24" s="528">
        <f t="shared" si="85"/>
        <v>0.50278462752361186</v>
      </c>
      <c r="EW24" s="528">
        <f t="shared" si="124"/>
        <v>4.1083451262342733E-3</v>
      </c>
      <c r="EX24" s="528">
        <f t="shared" si="86"/>
        <v>4.280331714870016E-4</v>
      </c>
      <c r="EY24" s="528">
        <f t="shared" si="87"/>
        <v>105.1602825894994</v>
      </c>
      <c r="EZ24" s="528">
        <f t="shared" si="88"/>
        <v>110.2645212634191</v>
      </c>
      <c r="FA24" s="625">
        <f t="shared" si="89"/>
        <v>2.052</v>
      </c>
      <c r="FB24" s="460">
        <f t="shared" si="125"/>
        <v>112316.52126341911</v>
      </c>
      <c r="FC24" s="173">
        <f t="shared" si="126"/>
        <v>117.32529920156286</v>
      </c>
      <c r="FD24" s="5">
        <f t="shared" si="127"/>
        <v>20.52</v>
      </c>
      <c r="FE24" s="173">
        <f t="shared" si="128"/>
        <v>0.14886253008885594</v>
      </c>
      <c r="FF24" s="5">
        <f t="shared" si="129"/>
        <v>14.886253008885594</v>
      </c>
      <c r="FG24">
        <f t="shared" si="130"/>
        <v>19</v>
      </c>
      <c r="FI24" s="562">
        <f t="shared" si="90"/>
        <v>-50</v>
      </c>
      <c r="FJ24">
        <f t="shared" si="91"/>
        <v>-50</v>
      </c>
      <c r="FL24">
        <f t="shared" si="92"/>
        <v>0.30595267301196621</v>
      </c>
    </row>
    <row r="25" spans="5:168">
      <c r="E25" s="170">
        <v>20</v>
      </c>
      <c r="F25" s="217">
        <f t="shared" si="131"/>
        <v>0.12</v>
      </c>
      <c r="G25" s="217">
        <f t="shared" si="93"/>
        <v>0.1</v>
      </c>
      <c r="H25" s="217">
        <f t="shared" si="0"/>
        <v>20.399999999999999</v>
      </c>
      <c r="I25" s="217">
        <f t="shared" si="132"/>
        <v>1.2000000000000002</v>
      </c>
      <c r="J25" s="541">
        <f t="shared" si="1"/>
        <v>11.831457436733498</v>
      </c>
      <c r="K25" s="443">
        <f t="shared" si="2"/>
        <v>8.5393016735750624</v>
      </c>
      <c r="L25" s="172">
        <f t="shared" si="3"/>
        <v>20.370759110308562</v>
      </c>
      <c r="M25" s="443"/>
      <c r="N25" s="217">
        <f t="shared" si="4"/>
        <v>0.41919408242640177</v>
      </c>
      <c r="O25" s="172">
        <f t="shared" si="94"/>
        <v>156.13797786536102</v>
      </c>
      <c r="P25" s="172">
        <f t="shared" si="5"/>
        <v>9.1845869332565293</v>
      </c>
      <c r="Q25" s="217">
        <f t="shared" si="6"/>
        <v>0.91845869332565311</v>
      </c>
      <c r="R25" s="217">
        <f t="shared" si="7"/>
        <v>13.011498155446752</v>
      </c>
      <c r="S25" s="443">
        <f t="shared" si="8"/>
        <v>170</v>
      </c>
      <c r="T25" s="217">
        <f t="shared" si="9"/>
        <v>8.7102447373357066</v>
      </c>
      <c r="U25" s="217">
        <f t="shared" si="10"/>
        <v>0.36809686312578599</v>
      </c>
      <c r="V25" s="217">
        <f t="shared" si="11"/>
        <v>0.51000919456269056</v>
      </c>
      <c r="W25" s="197">
        <f t="shared" si="12"/>
        <v>350</v>
      </c>
      <c r="X25" s="443">
        <f t="shared" si="95"/>
        <v>350</v>
      </c>
      <c r="Z25" s="217">
        <f t="shared" si="13"/>
        <v>28.341011108334442</v>
      </c>
      <c r="AA25" s="173">
        <f t="shared" si="14"/>
        <v>1.6594454787817092</v>
      </c>
      <c r="AB25" s="173">
        <f t="shared" si="15"/>
        <v>0.38865369215218798</v>
      </c>
      <c r="AC25" s="173"/>
      <c r="AD25" s="173">
        <f t="shared" si="16"/>
        <v>0.7807039640368626</v>
      </c>
      <c r="AE25" s="545">
        <f t="shared" si="17"/>
        <v>488.24713098323292</v>
      </c>
      <c r="AF25" s="528">
        <f t="shared" si="18"/>
        <v>8.6022010852209868E-2</v>
      </c>
      <c r="AH25" s="173">
        <f t="shared" si="19"/>
        <v>15.711688096991452</v>
      </c>
      <c r="AI25" s="173">
        <f t="shared" si="20"/>
        <v>15.711688096991452</v>
      </c>
      <c r="AJ25" s="173">
        <f t="shared" si="21"/>
        <v>2.9617442693763838</v>
      </c>
      <c r="AL25" s="545">
        <f t="shared" si="22"/>
        <v>120</v>
      </c>
      <c r="AM25" s="460">
        <f t="shared" si="23"/>
        <v>350</v>
      </c>
      <c r="AO25">
        <f t="shared" si="96"/>
        <v>120</v>
      </c>
      <c r="AP25" s="460">
        <f t="shared" si="24"/>
        <v>350</v>
      </c>
      <c r="AQ25" s="460"/>
      <c r="AR25" s="5">
        <f t="shared" si="97"/>
        <v>2.8571428571428572</v>
      </c>
      <c r="AS25" s="5">
        <f t="shared" si="25"/>
        <v>0.66397940325639337</v>
      </c>
      <c r="AT25" s="5">
        <f t="shared" si="98"/>
        <v>2.1931634538864637</v>
      </c>
      <c r="AU25" s="173">
        <f t="shared" si="99"/>
        <v>0.23239279113973768</v>
      </c>
      <c r="AW25" s="5">
        <f t="shared" si="26"/>
        <v>4.6869134347510125E-2</v>
      </c>
      <c r="AX25" s="5">
        <f t="shared" si="27"/>
        <v>0.55331616938032779</v>
      </c>
      <c r="AY25" s="5">
        <f t="shared" si="28"/>
        <v>6.0503835235549612</v>
      </c>
      <c r="AZ25" s="5"/>
      <c r="BA25" s="173">
        <f t="shared" si="100"/>
        <v>4.3729402938736914</v>
      </c>
      <c r="BB25" s="173">
        <f t="shared" si="29"/>
        <v>0.37529965454973829</v>
      </c>
      <c r="BC25" s="173">
        <f t="shared" si="30"/>
        <v>0.29672835123501767</v>
      </c>
      <c r="BD25" s="173"/>
      <c r="BE25" s="528">
        <f t="shared" si="31"/>
        <v>0.76490427255136506</v>
      </c>
      <c r="BF25" s="528">
        <f t="shared" si="32"/>
        <v>2.5204647308409069</v>
      </c>
      <c r="BG25" s="528">
        <f t="shared" si="33"/>
        <v>0.16564040411426897</v>
      </c>
      <c r="BH25" s="528">
        <f t="shared" si="34"/>
        <v>2.9047747871115349E-2</v>
      </c>
      <c r="BI25">
        <f t="shared" si="35"/>
        <v>5.324155846530074E-3</v>
      </c>
      <c r="BJ25" s="460">
        <f t="shared" si="101"/>
        <v>170.96455996079905</v>
      </c>
      <c r="BK25">
        <f t="shared" si="36"/>
        <v>4.3029676456840118</v>
      </c>
      <c r="BL25" s="460">
        <f t="shared" si="102"/>
        <v>4302.9676456840116</v>
      </c>
      <c r="BM25" s="173">
        <f t="shared" si="37"/>
        <v>0.10415999999999999</v>
      </c>
      <c r="BN25" s="173">
        <f t="shared" si="38"/>
        <v>8.6799999999999988E-2</v>
      </c>
      <c r="BO25" s="528"/>
      <c r="BQ25" s="460">
        <f t="shared" si="103"/>
        <v>190.95999999999995</v>
      </c>
      <c r="BR25" s="528">
        <f t="shared" si="39"/>
        <v>0.5736782044135238</v>
      </c>
      <c r="BS25" s="528">
        <f t="shared" si="104"/>
        <v>4.2254949211545864E-3</v>
      </c>
      <c r="BT25" s="528">
        <f t="shared" si="40"/>
        <v>4.4023857213326012E-4</v>
      </c>
      <c r="BU25" s="528">
        <f t="shared" si="41"/>
        <v>112.12365279227633</v>
      </c>
      <c r="BV25" s="528">
        <f t="shared" si="42"/>
        <v>118.3149374209806</v>
      </c>
      <c r="BW25" s="625">
        <f t="shared" si="43"/>
        <v>2.16</v>
      </c>
      <c r="BX25" s="460">
        <f t="shared" si="105"/>
        <v>120474.9374209806</v>
      </c>
      <c r="BY25" s="173">
        <f t="shared" si="106"/>
        <v>124.96886506666461</v>
      </c>
      <c r="BZ25" s="5">
        <f t="shared" si="107"/>
        <v>21.599999999999998</v>
      </c>
      <c r="CA25" s="173">
        <f t="shared" si="108"/>
        <v>0.14737099854171326</v>
      </c>
      <c r="CB25" s="5">
        <f t="shared" si="109"/>
        <v>14.737099854171326</v>
      </c>
      <c r="CC25">
        <f t="shared" si="110"/>
        <v>20</v>
      </c>
      <c r="CE25" s="562">
        <f t="shared" si="44"/>
        <v>-50</v>
      </c>
      <c r="CF25">
        <f t="shared" si="45"/>
        <v>-50</v>
      </c>
      <c r="CG25" s="173">
        <f t="shared" si="46"/>
        <v>0.31390081927286512</v>
      </c>
      <c r="CH25" s="173">
        <f t="shared" si="47"/>
        <v>7.8114625897051135E-2</v>
      </c>
      <c r="CI25" s="170">
        <v>20</v>
      </c>
      <c r="CJ25" s="217">
        <f t="shared" si="133"/>
        <v>0.12</v>
      </c>
      <c r="CK25" s="217">
        <f t="shared" si="111"/>
        <v>0.1</v>
      </c>
      <c r="CL25" s="217">
        <f t="shared" si="48"/>
        <v>20.399999999999999</v>
      </c>
      <c r="CM25" s="217">
        <f t="shared" si="134"/>
        <v>1.2000000000000002</v>
      </c>
      <c r="CN25" s="541">
        <f t="shared" si="112"/>
        <v>12.5</v>
      </c>
      <c r="CO25" s="443">
        <f t="shared" si="49"/>
        <v>8.5350000000000001</v>
      </c>
      <c r="CP25" s="443">
        <f t="shared" si="50"/>
        <v>21.035</v>
      </c>
      <c r="CQ25" s="443"/>
      <c r="CR25" s="217">
        <f t="shared" si="113"/>
        <v>0.40546967895362668</v>
      </c>
      <c r="CS25" s="172">
        <f t="shared" si="114"/>
        <v>159.55982736601052</v>
      </c>
      <c r="CT25" s="172">
        <f t="shared" si="51"/>
        <v>9.3858721980006177</v>
      </c>
      <c r="CU25" s="217">
        <f t="shared" si="52"/>
        <v>0.93858721980006188</v>
      </c>
      <c r="CV25" s="217">
        <f t="shared" si="53"/>
        <v>13.296652280500878</v>
      </c>
      <c r="CW25" s="443">
        <f t="shared" si="54"/>
        <v>170</v>
      </c>
      <c r="CX25" s="217">
        <f t="shared" si="55"/>
        <v>8.5234486803519047</v>
      </c>
      <c r="CY25" s="217">
        <f t="shared" si="56"/>
        <v>0.34093794721407622</v>
      </c>
      <c r="CZ25" s="217">
        <f t="shared" si="57"/>
        <v>0.49932329703291767</v>
      </c>
      <c r="DA25" s="197">
        <f t="shared" si="58"/>
        <v>350</v>
      </c>
      <c r="DB25" s="443">
        <f t="shared" si="115"/>
        <v>350</v>
      </c>
      <c r="DD25" s="217">
        <f t="shared" si="59"/>
        <v>28.98230839756868</v>
      </c>
      <c r="DE25" s="173">
        <f t="shared" si="60"/>
        <v>1.6978505212401103</v>
      </c>
      <c r="DF25" s="173">
        <f t="shared" si="61"/>
        <v>0.40664636548103333</v>
      </c>
      <c r="DG25" s="173"/>
      <c r="DH25" s="173">
        <f t="shared" si="62"/>
        <v>0.78109744190587771</v>
      </c>
      <c r="DI25" s="545">
        <f t="shared" si="63"/>
        <v>488.00117647058818</v>
      </c>
      <c r="DJ25" s="528">
        <f t="shared" si="64"/>
        <v>8.6065366284073561E-2</v>
      </c>
      <c r="DL25" s="173">
        <f t="shared" si="65"/>
        <v>15.711688096991452</v>
      </c>
      <c r="DM25" s="173">
        <f t="shared" si="66"/>
        <v>15.711688096991452</v>
      </c>
      <c r="DN25" s="173">
        <f t="shared" si="67"/>
        <v>2.9617442693763838</v>
      </c>
      <c r="DP25" s="545">
        <f t="shared" si="68"/>
        <v>120</v>
      </c>
      <c r="DQ25" s="460">
        <f t="shared" si="69"/>
        <v>350</v>
      </c>
      <c r="DS25">
        <f t="shared" si="116"/>
        <v>120</v>
      </c>
      <c r="DT25" s="460">
        <f t="shared" si="70"/>
        <v>350</v>
      </c>
      <c r="DU25" s="460"/>
      <c r="DV25" s="5">
        <f t="shared" si="117"/>
        <v>2.8571428571428572</v>
      </c>
      <c r="DW25" s="5">
        <f t="shared" si="71"/>
        <v>0.62846752387965799</v>
      </c>
      <c r="DX25" s="5">
        <f t="shared" si="118"/>
        <v>2.2286753332631992</v>
      </c>
      <c r="DY25" s="173">
        <f t="shared" si="119"/>
        <v>0.2199636333578803</v>
      </c>
      <c r="EA25" s="5">
        <f t="shared" si="72"/>
        <v>4.4362413450328798E-2</v>
      </c>
      <c r="EB25" s="5">
        <f t="shared" si="73"/>
        <v>0.5237229365663818</v>
      </c>
      <c r="EC25" s="5">
        <f t="shared" si="74"/>
        <v>5.8195170302168657</v>
      </c>
      <c r="ED25" s="5"/>
      <c r="EE25" s="173">
        <f t="shared" si="120"/>
        <v>4.2543935746160289</v>
      </c>
      <c r="EF25" s="173">
        <f t="shared" si="75"/>
        <v>0.37832589458562621</v>
      </c>
      <c r="EG25" s="173">
        <f t="shared" si="76"/>
        <v>0.2991210292068846</v>
      </c>
      <c r="EH25" s="173"/>
      <c r="EI25" s="528">
        <f t="shared" si="77"/>
        <v>0.72399458750936607</v>
      </c>
      <c r="EJ25" s="528">
        <f t="shared" si="78"/>
        <v>3.1810178315320718</v>
      </c>
      <c r="EK25" s="528">
        <f t="shared" si="79"/>
        <v>6.9999999999999993E-2</v>
      </c>
      <c r="EL25" s="528">
        <f t="shared" si="80"/>
        <v>3.0972985749999998E-2</v>
      </c>
      <c r="EM25">
        <f t="shared" si="81"/>
        <v>5.6249999999999998E-3</v>
      </c>
      <c r="EN25" s="460">
        <f t="shared" si="121"/>
        <v>75.625</v>
      </c>
      <c r="EO25">
        <f t="shared" si="82"/>
        <v>5.0811548633855654</v>
      </c>
      <c r="EP25" s="460">
        <f t="shared" si="122"/>
        <v>5081.1548633855655</v>
      </c>
      <c r="EQ25" s="173">
        <f t="shared" si="83"/>
        <v>0.10415999999999999</v>
      </c>
      <c r="ER25" s="173">
        <f t="shared" si="84"/>
        <v>8.6799999999999988E-2</v>
      </c>
      <c r="ES25" s="528"/>
      <c r="EU25" s="460">
        <f t="shared" si="123"/>
        <v>190.95999999999995</v>
      </c>
      <c r="EV25" s="528">
        <f t="shared" si="85"/>
        <v>0.5429959406320245</v>
      </c>
      <c r="EW25" s="528">
        <f t="shared" si="124"/>
        <v>4.2939144754204307E-3</v>
      </c>
      <c r="EX25" s="528">
        <f t="shared" si="86"/>
        <v>4.4736695056892954E-4</v>
      </c>
      <c r="EY25" s="528">
        <f t="shared" si="87"/>
        <v>112.12365279227633</v>
      </c>
      <c r="EZ25" s="528">
        <f t="shared" si="88"/>
        <v>117.97227127967662</v>
      </c>
      <c r="FA25" s="625">
        <f t="shared" si="89"/>
        <v>2.16</v>
      </c>
      <c r="FB25" s="460">
        <f t="shared" si="125"/>
        <v>120132.27127967661</v>
      </c>
      <c r="FC25" s="173">
        <f t="shared" si="126"/>
        <v>125.40438614306218</v>
      </c>
      <c r="FD25" s="5">
        <f t="shared" si="127"/>
        <v>21.599999999999998</v>
      </c>
      <c r="FE25" s="173">
        <f t="shared" si="128"/>
        <v>0.14693439132475436</v>
      </c>
      <c r="FF25" s="5">
        <f t="shared" si="129"/>
        <v>14.693439132475437</v>
      </c>
      <c r="FG25">
        <f t="shared" si="130"/>
        <v>20</v>
      </c>
      <c r="FI25" s="562">
        <f t="shared" si="90"/>
        <v>-50</v>
      </c>
      <c r="FJ25">
        <f t="shared" si="91"/>
        <v>-50</v>
      </c>
      <c r="FL25">
        <f t="shared" si="92"/>
        <v>0.31390081927286512</v>
      </c>
    </row>
    <row r="26" spans="5:168">
      <c r="E26" s="170">
        <v>21</v>
      </c>
      <c r="F26" s="217">
        <f t="shared" si="131"/>
        <v>0.126</v>
      </c>
      <c r="G26" s="217">
        <f t="shared" si="93"/>
        <v>0.105</v>
      </c>
      <c r="H26" s="217">
        <f t="shared" si="0"/>
        <v>21.42</v>
      </c>
      <c r="I26" s="217">
        <f t="shared" si="132"/>
        <v>1.26</v>
      </c>
      <c r="J26" s="541">
        <f t="shared" si="1"/>
        <v>11.814947726925974</v>
      </c>
      <c r="K26" s="443">
        <f t="shared" si="2"/>
        <v>8.5394079037334905</v>
      </c>
      <c r="L26" s="172">
        <f t="shared" si="3"/>
        <v>20.354355630659462</v>
      </c>
      <c r="M26" s="443"/>
      <c r="N26" s="217">
        <f t="shared" si="4"/>
        <v>0.41953712800766374</v>
      </c>
      <c r="O26" s="172">
        <f t="shared" si="94"/>
        <v>156.04769819918218</v>
      </c>
      <c r="P26" s="172">
        <f t="shared" si="5"/>
        <v>9.179276364657774</v>
      </c>
      <c r="Q26" s="217">
        <f t="shared" si="6"/>
        <v>0.91792763646577757</v>
      </c>
      <c r="R26" s="217">
        <f t="shared" si="7"/>
        <v>13.003974849931849</v>
      </c>
      <c r="S26" s="443">
        <f t="shared" si="8"/>
        <v>170</v>
      </c>
      <c r="T26" s="217">
        <f t="shared" si="9"/>
        <v>9.1510481505294266</v>
      </c>
      <c r="U26" s="217">
        <f t="shared" si="10"/>
        <v>0.38726570620682532</v>
      </c>
      <c r="V26" s="217">
        <f t="shared" si="11"/>
        <v>0.53581280187637603</v>
      </c>
      <c r="W26" s="197">
        <f t="shared" si="12"/>
        <v>350</v>
      </c>
      <c r="X26" s="443">
        <f t="shared" si="95"/>
        <v>350</v>
      </c>
      <c r="Z26" s="217">
        <f t="shared" si="13"/>
        <v>28.324624210943988</v>
      </c>
      <c r="AA26" s="173">
        <f t="shared" si="14"/>
        <v>1.658465348549532</v>
      </c>
      <c r="AB26" s="173">
        <f t="shared" si="15"/>
        <v>0.38819955027638825</v>
      </c>
      <c r="AC26" s="173"/>
      <c r="AD26" s="173">
        <f t="shared" si="16"/>
        <v>0.78069425208648868</v>
      </c>
      <c r="AE26" s="545">
        <f t="shared" si="17"/>
        <v>512.66586509120009</v>
      </c>
      <c r="AF26" s="528">
        <f t="shared" si="18"/>
        <v>8.6020940739159391E-2</v>
      </c>
      <c r="AH26" s="173">
        <f t="shared" si="19"/>
        <v>16.099689437998489</v>
      </c>
      <c r="AI26" s="173">
        <f t="shared" si="20"/>
        <v>16.099689437998489</v>
      </c>
      <c r="AJ26" s="173">
        <f t="shared" si="21"/>
        <v>3.2491526701223368</v>
      </c>
      <c r="AL26" s="545">
        <f t="shared" si="22"/>
        <v>126</v>
      </c>
      <c r="AM26" s="460">
        <f t="shared" si="23"/>
        <v>350</v>
      </c>
      <c r="AO26">
        <f t="shared" si="96"/>
        <v>126</v>
      </c>
      <c r="AP26" s="460">
        <f t="shared" si="24"/>
        <v>350</v>
      </c>
      <c r="AQ26" s="460"/>
      <c r="AR26" s="5">
        <f t="shared" si="97"/>
        <v>2.8571428571428572</v>
      </c>
      <c r="AS26" s="5">
        <f t="shared" si="25"/>
        <v>0.68132715480863681</v>
      </c>
      <c r="AT26" s="5">
        <f t="shared" si="98"/>
        <v>2.1758157023342202</v>
      </c>
      <c r="AU26" s="173">
        <f t="shared" si="99"/>
        <v>0.23846450418302287</v>
      </c>
      <c r="AW26" s="5">
        <f t="shared" si="26"/>
        <v>5.0498365591698957E-2</v>
      </c>
      <c r="AX26" s="5">
        <f t="shared" si="27"/>
        <v>0.59616126045755724</v>
      </c>
      <c r="AY26" s="5">
        <f t="shared" si="28"/>
        <v>6.3114587955777592</v>
      </c>
      <c r="AZ26" s="5"/>
      <c r="BA26" s="173">
        <f t="shared" si="100"/>
        <v>4.5390894639137906</v>
      </c>
      <c r="BB26" s="173">
        <f t="shared" si="29"/>
        <v>0.38304373839994349</v>
      </c>
      <c r="BC26" s="173">
        <f t="shared" si="30"/>
        <v>0.30285116324627304</v>
      </c>
      <c r="BD26" s="173"/>
      <c r="BE26" s="528">
        <f t="shared" si="31"/>
        <v>0.82413332645652737</v>
      </c>
      <c r="BF26" s="528">
        <f t="shared" si="32"/>
        <v>2.5806280843680214</v>
      </c>
      <c r="BG26" s="528">
        <f t="shared" si="33"/>
        <v>0.16540926817696361</v>
      </c>
      <c r="BH26" s="528">
        <f t="shared" si="34"/>
        <v>2.90009855197551E-2</v>
      </c>
      <c r="BI26">
        <f t="shared" si="35"/>
        <v>5.3167264771166881E-3</v>
      </c>
      <c r="BJ26" s="460">
        <f t="shared" si="101"/>
        <v>170.7259946540803</v>
      </c>
      <c r="BK26">
        <f t="shared" si="36"/>
        <v>4.5465585707578819</v>
      </c>
      <c r="BL26" s="460">
        <f t="shared" si="102"/>
        <v>4546.5585707578821</v>
      </c>
      <c r="BM26" s="173">
        <f t="shared" si="37"/>
        <v>0.10936800000000001</v>
      </c>
      <c r="BN26" s="173">
        <f t="shared" si="38"/>
        <v>9.1139999999999999E-2</v>
      </c>
      <c r="BO26" s="528"/>
      <c r="BQ26" s="460">
        <f t="shared" si="103"/>
        <v>200.50800000000001</v>
      </c>
      <c r="BR26" s="528">
        <f t="shared" si="39"/>
        <v>0.61809999484239542</v>
      </c>
      <c r="BS26" s="528">
        <f t="shared" si="104"/>
        <v>4.4016751658221302E-3</v>
      </c>
      <c r="BT26" s="528">
        <f t="shared" si="40"/>
        <v>4.5859413539810358E-4</v>
      </c>
      <c r="BU26" s="528">
        <f t="shared" si="41"/>
        <v>119.17464357160253</v>
      </c>
      <c r="BV26" s="528">
        <f t="shared" si="42"/>
        <v>126.23843668829394</v>
      </c>
      <c r="BW26" s="625">
        <f t="shared" si="43"/>
        <v>2.2680000000000011</v>
      </c>
      <c r="BX26" s="460">
        <f t="shared" si="105"/>
        <v>128506.43668829395</v>
      </c>
      <c r="BY26" s="173">
        <f t="shared" si="106"/>
        <v>133.25350325905183</v>
      </c>
      <c r="BZ26" s="5">
        <f t="shared" si="107"/>
        <v>22.680000000000003</v>
      </c>
      <c r="CA26" s="173">
        <f t="shared" si="108"/>
        <v>0.14544661362684702</v>
      </c>
      <c r="CB26" s="5">
        <f t="shared" si="109"/>
        <v>14.544661362684701</v>
      </c>
      <c r="CC26">
        <f t="shared" si="110"/>
        <v>21.000000000000004</v>
      </c>
      <c r="CE26" s="562">
        <f t="shared" si="44"/>
        <v>-50</v>
      </c>
      <c r="CF26">
        <f t="shared" si="45"/>
        <v>-50</v>
      </c>
      <c r="CG26" s="173">
        <f t="shared" si="46"/>
        <v>0.32165262404834311</v>
      </c>
      <c r="CH26" s="173">
        <f t="shared" si="47"/>
        <v>8.0043672566843541E-2</v>
      </c>
      <c r="CI26" s="170">
        <v>21</v>
      </c>
      <c r="CJ26" s="217">
        <f t="shared" si="133"/>
        <v>0.126</v>
      </c>
      <c r="CK26" s="217">
        <f t="shared" si="111"/>
        <v>0.105</v>
      </c>
      <c r="CL26" s="217">
        <f t="shared" si="48"/>
        <v>21.42</v>
      </c>
      <c r="CM26" s="217">
        <f t="shared" si="134"/>
        <v>1.26</v>
      </c>
      <c r="CN26" s="541">
        <f t="shared" si="112"/>
        <v>12.5</v>
      </c>
      <c r="CO26" s="443">
        <f t="shared" si="49"/>
        <v>8.5350000000000001</v>
      </c>
      <c r="CP26" s="443">
        <f t="shared" si="50"/>
        <v>21.035</v>
      </c>
      <c r="CQ26" s="443"/>
      <c r="CR26" s="217">
        <f t="shared" si="113"/>
        <v>0.40546967895362668</v>
      </c>
      <c r="CS26" s="172">
        <f t="shared" si="114"/>
        <v>159.55982736601052</v>
      </c>
      <c r="CT26" s="172">
        <f t="shared" si="51"/>
        <v>9.3858721980006177</v>
      </c>
      <c r="CU26" s="217">
        <f t="shared" si="52"/>
        <v>0.93858721980006188</v>
      </c>
      <c r="CV26" s="217">
        <f t="shared" si="53"/>
        <v>13.296652280500878</v>
      </c>
      <c r="CW26" s="443">
        <f t="shared" si="54"/>
        <v>170</v>
      </c>
      <c r="CX26" s="217">
        <f t="shared" si="55"/>
        <v>8.949621114369501</v>
      </c>
      <c r="CY26" s="217">
        <f t="shared" si="56"/>
        <v>0.35798484457478008</v>
      </c>
      <c r="CZ26" s="217">
        <f t="shared" si="57"/>
        <v>0.5242894618845636</v>
      </c>
      <c r="DA26" s="197">
        <f t="shared" si="58"/>
        <v>350</v>
      </c>
      <c r="DB26" s="443">
        <f t="shared" si="115"/>
        <v>350</v>
      </c>
      <c r="DD26" s="217">
        <f t="shared" si="59"/>
        <v>28.98230839756868</v>
      </c>
      <c r="DE26" s="173">
        <f t="shared" si="60"/>
        <v>1.6978505212401103</v>
      </c>
      <c r="DF26" s="173">
        <f t="shared" si="61"/>
        <v>0.40664636548103333</v>
      </c>
      <c r="DG26" s="173"/>
      <c r="DH26" s="173">
        <f t="shared" si="62"/>
        <v>0.78109744190587771</v>
      </c>
      <c r="DI26" s="545">
        <f t="shared" si="63"/>
        <v>512.40123529411767</v>
      </c>
      <c r="DJ26" s="528">
        <f t="shared" si="64"/>
        <v>8.6065366284073561E-2</v>
      </c>
      <c r="DL26" s="173">
        <f t="shared" si="65"/>
        <v>16.099689437998489</v>
      </c>
      <c r="DM26" s="173">
        <f t="shared" si="66"/>
        <v>16.099689437998489</v>
      </c>
      <c r="DN26" s="173">
        <f t="shared" si="67"/>
        <v>3.2491526701223368</v>
      </c>
      <c r="DP26" s="545">
        <f t="shared" si="68"/>
        <v>126</v>
      </c>
      <c r="DQ26" s="460">
        <f t="shared" si="69"/>
        <v>350</v>
      </c>
      <c r="DS26">
        <f t="shared" si="116"/>
        <v>126</v>
      </c>
      <c r="DT26" s="460">
        <f t="shared" si="70"/>
        <v>350</v>
      </c>
      <c r="DU26" s="460"/>
      <c r="DV26" s="5">
        <f t="shared" si="117"/>
        <v>2.8571428571428572</v>
      </c>
      <c r="DW26" s="5">
        <f t="shared" si="71"/>
        <v>0.64398757751993951</v>
      </c>
      <c r="DX26" s="5">
        <f t="shared" si="118"/>
        <v>2.2131552796229177</v>
      </c>
      <c r="DY26" s="173">
        <f t="shared" si="119"/>
        <v>0.22539565213197882</v>
      </c>
      <c r="EA26" s="5">
        <f t="shared" si="72"/>
        <v>4.7730843980889628E-2</v>
      </c>
      <c r="EB26" s="5">
        <f t="shared" si="73"/>
        <v>0.56348913032994707</v>
      </c>
      <c r="EC26" s="5">
        <f t="shared" si="74"/>
        <v>6.0679406194589323</v>
      </c>
      <c r="ED26" s="5"/>
      <c r="EE26" s="173">
        <f t="shared" si="120"/>
        <v>4.4129564176641241</v>
      </c>
      <c r="EF26" s="173">
        <f t="shared" si="75"/>
        <v>0.38631649937485041</v>
      </c>
      <c r="EG26" s="173">
        <f t="shared" si="76"/>
        <v>0.30543875147423327</v>
      </c>
      <c r="EH26" s="173"/>
      <c r="EI26" s="528">
        <f t="shared" si="77"/>
        <v>0.7789673737681192</v>
      </c>
      <c r="EJ26" s="528">
        <f t="shared" si="78"/>
        <v>3.2595733105348703</v>
      </c>
      <c r="EK26" s="528">
        <f t="shared" si="79"/>
        <v>6.9999999999999993E-2</v>
      </c>
      <c r="EL26" s="528">
        <f t="shared" si="80"/>
        <v>3.0972985749999998E-2</v>
      </c>
      <c r="EM26">
        <f t="shared" si="81"/>
        <v>5.6249999999999998E-3</v>
      </c>
      <c r="EN26" s="460">
        <f t="shared" si="121"/>
        <v>75.625</v>
      </c>
      <c r="EO26">
        <f t="shared" si="82"/>
        <v>5.3446645237337211</v>
      </c>
      <c r="EP26" s="460">
        <f t="shared" si="122"/>
        <v>5344.6645237337216</v>
      </c>
      <c r="EQ26" s="173">
        <f t="shared" si="83"/>
        <v>0.10936800000000001</v>
      </c>
      <c r="ER26" s="173">
        <f t="shared" si="84"/>
        <v>9.1139999999999999E-2</v>
      </c>
      <c r="ES26" s="528"/>
      <c r="EU26" s="460">
        <f t="shared" si="123"/>
        <v>200.50800000000001</v>
      </c>
      <c r="EV26" s="528">
        <f t="shared" si="85"/>
        <v>0.58422553032608937</v>
      </c>
      <c r="EW26" s="528">
        <f t="shared" si="124"/>
        <v>4.4772131306771643E-3</v>
      </c>
      <c r="EX26" s="528">
        <f t="shared" si="86"/>
        <v>4.664641545106922E-4</v>
      </c>
      <c r="EY26" s="528">
        <f t="shared" si="87"/>
        <v>119.17464357160253</v>
      </c>
      <c r="EZ26" s="528">
        <f t="shared" si="88"/>
        <v>125.83632439147583</v>
      </c>
      <c r="FA26" s="625">
        <f t="shared" si="89"/>
        <v>2.2680000000000011</v>
      </c>
      <c r="FB26" s="460">
        <f t="shared" si="125"/>
        <v>128104.32439147584</v>
      </c>
      <c r="FC26" s="173">
        <f t="shared" si="126"/>
        <v>133.64949691520954</v>
      </c>
      <c r="FD26" s="5">
        <f t="shared" si="127"/>
        <v>22.680000000000003</v>
      </c>
      <c r="FE26" s="173">
        <f t="shared" si="128"/>
        <v>0.14507818708264153</v>
      </c>
      <c r="FF26" s="5">
        <f t="shared" si="129"/>
        <v>14.507818708264153</v>
      </c>
      <c r="FG26">
        <f t="shared" si="130"/>
        <v>21.000000000000004</v>
      </c>
      <c r="FI26" s="562">
        <f t="shared" si="90"/>
        <v>-50</v>
      </c>
      <c r="FJ26">
        <f t="shared" si="91"/>
        <v>-50</v>
      </c>
      <c r="FL26">
        <f t="shared" si="92"/>
        <v>0.32165262404834311</v>
      </c>
    </row>
    <row r="27" spans="5:168">
      <c r="E27" s="170">
        <v>22</v>
      </c>
      <c r="F27" s="217">
        <f t="shared" si="131"/>
        <v>0.13200000000000001</v>
      </c>
      <c r="G27" s="217">
        <f t="shared" si="93"/>
        <v>0.11</v>
      </c>
      <c r="H27" s="217">
        <f t="shared" si="0"/>
        <v>22.44</v>
      </c>
      <c r="I27" s="217">
        <f t="shared" si="132"/>
        <v>1.32</v>
      </c>
      <c r="J27" s="541">
        <f t="shared" si="1"/>
        <v>11.79882664426774</v>
      </c>
      <c r="K27" s="443">
        <f t="shared" si="2"/>
        <v>8.5395116333074661</v>
      </c>
      <c r="L27" s="172">
        <f t="shared" si="3"/>
        <v>20.338338277575204</v>
      </c>
      <c r="M27" s="443"/>
      <c r="N27" s="217">
        <f t="shared" si="4"/>
        <v>0.41987263250130047</v>
      </c>
      <c r="O27" s="172">
        <f t="shared" si="94"/>
        <v>155.95939788970014</v>
      </c>
      <c r="P27" s="172">
        <f t="shared" si="5"/>
        <v>9.1740822288058901</v>
      </c>
      <c r="Q27" s="217">
        <f t="shared" si="6"/>
        <v>0.9174082228805891</v>
      </c>
      <c r="R27" s="217">
        <f t="shared" si="7"/>
        <v>12.996616490808345</v>
      </c>
      <c r="S27" s="443">
        <f t="shared" si="8"/>
        <v>170</v>
      </c>
      <c r="T27" s="217">
        <f t="shared" si="9"/>
        <v>9.5922401614939741</v>
      </c>
      <c r="U27" s="217">
        <f t="shared" si="10"/>
        <v>0.40649127454356665</v>
      </c>
      <c r="V27" s="217">
        <f t="shared" si="11"/>
        <v>0.56163868458709343</v>
      </c>
      <c r="W27" s="197">
        <f t="shared" si="12"/>
        <v>350</v>
      </c>
      <c r="X27" s="443">
        <f t="shared" si="95"/>
        <v>350</v>
      </c>
      <c r="Z27" s="217">
        <f t="shared" si="13"/>
        <v>28.308596591743896</v>
      </c>
      <c r="AA27" s="173">
        <f t="shared" si="14"/>
        <v>1.6575067642819992</v>
      </c>
      <c r="AB27" s="173">
        <f t="shared" si="15"/>
        <v>0.38775563543328867</v>
      </c>
      <c r="AC27" s="173"/>
      <c r="AD27" s="173">
        <f t="shared" si="16"/>
        <v>0.78068476898187422</v>
      </c>
      <c r="AE27" s="545">
        <f t="shared" si="17"/>
        <v>537.08504931366724</v>
      </c>
      <c r="AF27" s="528">
        <f t="shared" si="18"/>
        <v>8.6019895841521338E-2</v>
      </c>
      <c r="AH27" s="173">
        <f t="shared" si="19"/>
        <v>16.478557495814286</v>
      </c>
      <c r="AI27" s="173">
        <f t="shared" si="20"/>
        <v>16.478557495814286</v>
      </c>
      <c r="AJ27" s="173">
        <f t="shared" si="21"/>
        <v>3.5297956759118163</v>
      </c>
      <c r="AL27" s="545">
        <f t="shared" si="22"/>
        <v>132</v>
      </c>
      <c r="AM27" s="460">
        <f t="shared" si="23"/>
        <v>350</v>
      </c>
      <c r="AO27">
        <f t="shared" si="96"/>
        <v>132</v>
      </c>
      <c r="AP27" s="460">
        <f t="shared" si="24"/>
        <v>350</v>
      </c>
      <c r="AQ27" s="460"/>
      <c r="AR27" s="5">
        <f t="shared" si="97"/>
        <v>2.8571428571428572</v>
      </c>
      <c r="AS27" s="5">
        <f t="shared" si="25"/>
        <v>0.69831339982523233</v>
      </c>
      <c r="AT27" s="5">
        <f t="shared" si="98"/>
        <v>2.158829457317625</v>
      </c>
      <c r="AU27" s="173">
        <f t="shared" si="99"/>
        <v>0.2444096899388313</v>
      </c>
      <c r="AW27" s="5">
        <f t="shared" si="26"/>
        <v>5.4221981633488625E-2</v>
      </c>
      <c r="AX27" s="5">
        <f t="shared" si="27"/>
        <v>0.6401206165064629</v>
      </c>
      <c r="AY27" s="5">
        <f t="shared" si="28"/>
        <v>6.5693492389083641</v>
      </c>
      <c r="AZ27" s="5"/>
      <c r="BA27" s="173">
        <f t="shared" si="100"/>
        <v>4.7034634586082795</v>
      </c>
      <c r="BB27" s="173">
        <f t="shared" si="29"/>
        <v>0.39052440085416573</v>
      </c>
      <c r="BC27" s="173">
        <f t="shared" si="30"/>
        <v>0.30876570275963916</v>
      </c>
      <c r="BD27" s="173"/>
      <c r="BE27" s="528">
        <f t="shared" si="31"/>
        <v>0.88490274025853444</v>
      </c>
      <c r="BF27" s="528">
        <f t="shared" si="32"/>
        <v>2.6392785038262048</v>
      </c>
      <c r="BG27" s="528">
        <f t="shared" si="33"/>
        <v>0.16518357301974837</v>
      </c>
      <c r="BH27" s="528">
        <f t="shared" si="34"/>
        <v>2.8955360272515652E-2</v>
      </c>
      <c r="BI27">
        <f t="shared" si="35"/>
        <v>5.3094719899204829E-3</v>
      </c>
      <c r="BJ27" s="460">
        <f t="shared" si="101"/>
        <v>170.49304500966886</v>
      </c>
      <c r="BK27">
        <f t="shared" si="36"/>
        <v>4.8016134550196252</v>
      </c>
      <c r="BL27" s="460">
        <f t="shared" si="102"/>
        <v>4801.6134550196248</v>
      </c>
      <c r="BM27" s="173">
        <f t="shared" si="37"/>
        <v>0.114576</v>
      </c>
      <c r="BN27" s="173">
        <f t="shared" si="38"/>
        <v>9.5479999999999995E-2</v>
      </c>
      <c r="BO27" s="528"/>
      <c r="BQ27" s="460">
        <f t="shared" si="103"/>
        <v>210.05599999999998</v>
      </c>
      <c r="BR27" s="528">
        <f t="shared" si="39"/>
        <v>0.66367705519390074</v>
      </c>
      <c r="BS27" s="528">
        <f t="shared" si="104"/>
        <v>4.5752792298751534E-3</v>
      </c>
      <c r="BT27" s="528">
        <f t="shared" si="40"/>
        <v>4.7668129600326927E-4</v>
      </c>
      <c r="BU27" s="528">
        <f t="shared" si="41"/>
        <v>126.3101044641936</v>
      </c>
      <c r="BV27" s="528">
        <f t="shared" si="42"/>
        <v>134.32551816771368</v>
      </c>
      <c r="BW27" s="625">
        <f t="shared" si="43"/>
        <v>2.3760000000000003</v>
      </c>
      <c r="BX27" s="460">
        <f t="shared" si="105"/>
        <v>136701.51816771369</v>
      </c>
      <c r="BY27" s="173">
        <f t="shared" si="106"/>
        <v>141.7131876227333</v>
      </c>
      <c r="BZ27" s="5">
        <f t="shared" si="107"/>
        <v>23.76</v>
      </c>
      <c r="CA27" s="173">
        <f t="shared" si="108"/>
        <v>0.1435882171688809</v>
      </c>
      <c r="CB27" s="5">
        <f t="shared" si="109"/>
        <v>14.358821716888089</v>
      </c>
      <c r="CC27">
        <f t="shared" si="110"/>
        <v>22.000000000000004</v>
      </c>
      <c r="CE27" s="562">
        <f t="shared" si="44"/>
        <v>-50</v>
      </c>
      <c r="CF27">
        <f t="shared" si="45"/>
        <v>-50</v>
      </c>
      <c r="CG27" s="173">
        <f t="shared" si="46"/>
        <v>0.32922195670124055</v>
      </c>
      <c r="CH27" s="173">
        <f t="shared" si="47"/>
        <v>8.1927310812328472E-2</v>
      </c>
      <c r="CI27" s="170">
        <v>22</v>
      </c>
      <c r="CJ27" s="217">
        <f t="shared" si="133"/>
        <v>0.13200000000000001</v>
      </c>
      <c r="CK27" s="217">
        <f t="shared" si="111"/>
        <v>0.11</v>
      </c>
      <c r="CL27" s="217">
        <f t="shared" si="48"/>
        <v>22.44</v>
      </c>
      <c r="CM27" s="217">
        <f t="shared" si="134"/>
        <v>1.32</v>
      </c>
      <c r="CN27" s="541">
        <f t="shared" si="112"/>
        <v>12.5</v>
      </c>
      <c r="CO27" s="443">
        <f t="shared" si="49"/>
        <v>8.5350000000000001</v>
      </c>
      <c r="CP27" s="443">
        <f t="shared" si="50"/>
        <v>21.035</v>
      </c>
      <c r="CQ27" s="443"/>
      <c r="CR27" s="217">
        <f t="shared" si="113"/>
        <v>0.40546967895362668</v>
      </c>
      <c r="CS27" s="172">
        <f t="shared" si="114"/>
        <v>159.55982736601052</v>
      </c>
      <c r="CT27" s="172">
        <f t="shared" si="51"/>
        <v>9.3858721980006177</v>
      </c>
      <c r="CU27" s="217">
        <f t="shared" si="52"/>
        <v>0.93858721980006188</v>
      </c>
      <c r="CV27" s="217">
        <f t="shared" si="53"/>
        <v>13.296652280500878</v>
      </c>
      <c r="CW27" s="443">
        <f t="shared" si="54"/>
        <v>170</v>
      </c>
      <c r="CX27" s="217">
        <f t="shared" si="55"/>
        <v>9.3757935483870956</v>
      </c>
      <c r="CY27" s="217">
        <f t="shared" si="56"/>
        <v>0.37503174193548383</v>
      </c>
      <c r="CZ27" s="217">
        <f t="shared" si="57"/>
        <v>0.54925562673620942</v>
      </c>
      <c r="DA27" s="197">
        <f t="shared" si="58"/>
        <v>350</v>
      </c>
      <c r="DB27" s="443">
        <f t="shared" si="115"/>
        <v>350</v>
      </c>
      <c r="DD27" s="217">
        <f t="shared" si="59"/>
        <v>28.98230839756868</v>
      </c>
      <c r="DE27" s="173">
        <f t="shared" si="60"/>
        <v>1.6978505212401103</v>
      </c>
      <c r="DF27" s="173">
        <f t="shared" si="61"/>
        <v>0.40664636548103333</v>
      </c>
      <c r="DG27" s="173"/>
      <c r="DH27" s="173">
        <f t="shared" si="62"/>
        <v>0.78109744190587771</v>
      </c>
      <c r="DI27" s="545">
        <f t="shared" si="63"/>
        <v>536.8012941176471</v>
      </c>
      <c r="DJ27" s="528">
        <f t="shared" si="64"/>
        <v>8.6065366284073561E-2</v>
      </c>
      <c r="DL27" s="173">
        <f t="shared" si="65"/>
        <v>16.478557495814286</v>
      </c>
      <c r="DM27" s="173">
        <f t="shared" si="66"/>
        <v>16.478557495814286</v>
      </c>
      <c r="DN27" s="173">
        <f t="shared" si="67"/>
        <v>3.5297956759118163</v>
      </c>
      <c r="DP27" s="545">
        <f t="shared" si="68"/>
        <v>132</v>
      </c>
      <c r="DQ27" s="460">
        <f t="shared" si="69"/>
        <v>350</v>
      </c>
      <c r="DS27">
        <f t="shared" si="116"/>
        <v>132</v>
      </c>
      <c r="DT27" s="460">
        <f t="shared" si="70"/>
        <v>350</v>
      </c>
      <c r="DU27" s="460"/>
      <c r="DV27" s="5">
        <f t="shared" si="117"/>
        <v>2.8571428571428572</v>
      </c>
      <c r="DW27" s="5">
        <f t="shared" si="71"/>
        <v>0.65914229983257133</v>
      </c>
      <c r="DX27" s="5">
        <f t="shared" si="118"/>
        <v>2.1980005573102859</v>
      </c>
      <c r="DY27" s="173">
        <f t="shared" si="119"/>
        <v>0.23069980494139997</v>
      </c>
      <c r="EA27" s="5">
        <f t="shared" si="72"/>
        <v>5.118046092817613E-2</v>
      </c>
      <c r="EB27" s="5">
        <f t="shared" si="73"/>
        <v>0.60421377484652372</v>
      </c>
      <c r="EC27" s="5">
        <f t="shared" si="74"/>
        <v>6.3133609607734806</v>
      </c>
      <c r="ED27" s="5"/>
      <c r="EE27" s="173">
        <f t="shared" si="120"/>
        <v>4.569642005529083</v>
      </c>
      <c r="EF27" s="173">
        <f t="shared" si="75"/>
        <v>0.39405142844527857</v>
      </c>
      <c r="EG27" s="173">
        <f t="shared" si="76"/>
        <v>0.31155432531546567</v>
      </c>
      <c r="EH27" s="173"/>
      <c r="EI27" s="528">
        <f t="shared" si="77"/>
        <v>0.83526512234783445</v>
      </c>
      <c r="EJ27" s="528">
        <f t="shared" si="78"/>
        <v>3.3362796478978654</v>
      </c>
      <c r="EK27" s="528">
        <f t="shared" si="79"/>
        <v>6.9999999999999993E-2</v>
      </c>
      <c r="EL27" s="528">
        <f t="shared" si="80"/>
        <v>3.0972985749999998E-2</v>
      </c>
      <c r="EM27">
        <f t="shared" si="81"/>
        <v>5.6249999999999998E-3</v>
      </c>
      <c r="EN27" s="460">
        <f t="shared" si="121"/>
        <v>75.625</v>
      </c>
      <c r="EO27">
        <f t="shared" si="82"/>
        <v>5.6187572439722482</v>
      </c>
      <c r="EP27" s="460">
        <f t="shared" si="122"/>
        <v>5618.757243972248</v>
      </c>
      <c r="EQ27" s="173">
        <f t="shared" si="83"/>
        <v>0.114576</v>
      </c>
      <c r="ER27" s="173">
        <f t="shared" si="84"/>
        <v>9.5479999999999995E-2</v>
      </c>
      <c r="ES27" s="528"/>
      <c r="EU27" s="460">
        <f t="shared" si="123"/>
        <v>210.05599999999998</v>
      </c>
      <c r="EV27" s="528">
        <f t="shared" si="85"/>
        <v>0.62644884176087579</v>
      </c>
      <c r="EW27" s="528">
        <f t="shared" si="124"/>
        <v>4.6582958477929355E-3</v>
      </c>
      <c r="EX27" s="528">
        <f t="shared" si="86"/>
        <v>4.8533048811387507E-4</v>
      </c>
      <c r="EY27" s="528">
        <f t="shared" si="87"/>
        <v>126.3101044641936</v>
      </c>
      <c r="EZ27" s="528">
        <f t="shared" si="88"/>
        <v>133.85671032844638</v>
      </c>
      <c r="FA27" s="625">
        <f t="shared" si="89"/>
        <v>2.3760000000000003</v>
      </c>
      <c r="FB27" s="460">
        <f t="shared" si="125"/>
        <v>136232.71032844638</v>
      </c>
      <c r="FC27" s="173">
        <f t="shared" si="126"/>
        <v>142.06152357241862</v>
      </c>
      <c r="FD27" s="5">
        <f t="shared" si="127"/>
        <v>23.76</v>
      </c>
      <c r="FE27" s="173">
        <f t="shared" si="128"/>
        <v>0.14328658601199853</v>
      </c>
      <c r="FF27" s="5">
        <f t="shared" si="129"/>
        <v>14.328658601199853</v>
      </c>
      <c r="FG27">
        <f t="shared" si="130"/>
        <v>22.000000000000004</v>
      </c>
      <c r="FI27" s="562">
        <f t="shared" si="90"/>
        <v>-50</v>
      </c>
      <c r="FJ27">
        <f t="shared" si="91"/>
        <v>-50</v>
      </c>
      <c r="FL27">
        <f t="shared" si="92"/>
        <v>0.3292219567012406</v>
      </c>
    </row>
    <row r="28" spans="5:168">
      <c r="E28" s="170">
        <v>23</v>
      </c>
      <c r="F28" s="217">
        <f t="shared" si="131"/>
        <v>0.13800000000000001</v>
      </c>
      <c r="G28" s="217">
        <f t="shared" si="93"/>
        <v>0.115</v>
      </c>
      <c r="H28" s="217">
        <f t="shared" si="0"/>
        <v>23.46</v>
      </c>
      <c r="I28" s="217">
        <f t="shared" si="132"/>
        <v>1.3800000000000001</v>
      </c>
      <c r="J28" s="541">
        <f t="shared" si="1"/>
        <v>11.783067972026785</v>
      </c>
      <c r="K28" s="443">
        <f t="shared" si="2"/>
        <v>8.5396130309860592</v>
      </c>
      <c r="L28" s="172">
        <f t="shared" si="3"/>
        <v>20.322681003012846</v>
      </c>
      <c r="M28" s="443"/>
      <c r="N28" s="217">
        <f t="shared" si="4"/>
        <v>0.42020110583441517</v>
      </c>
      <c r="O28" s="172">
        <f t="shared" si="94"/>
        <v>155.87294308046572</v>
      </c>
      <c r="P28" s="172">
        <f t="shared" si="5"/>
        <v>9.1689966517921011</v>
      </c>
      <c r="Q28" s="217">
        <f t="shared" si="6"/>
        <v>0.91689966517921007</v>
      </c>
      <c r="R28" s="217">
        <f t="shared" si="7"/>
        <v>12.989411923372144</v>
      </c>
      <c r="S28" s="443">
        <f t="shared" si="8"/>
        <v>170</v>
      </c>
      <c r="T28" s="217">
        <f t="shared" si="9"/>
        <v>10.033813239752725</v>
      </c>
      <c r="U28" s="217">
        <f t="shared" si="10"/>
        <v>0.42577252645801489</v>
      </c>
      <c r="V28" s="217">
        <f t="shared" si="11"/>
        <v>0.58748641205081231</v>
      </c>
      <c r="W28" s="197">
        <f t="shared" si="12"/>
        <v>350</v>
      </c>
      <c r="X28" s="443">
        <f t="shared" si="95"/>
        <v>350</v>
      </c>
      <c r="Z28" s="217">
        <f t="shared" si="13"/>
        <v>28.292903954101348</v>
      </c>
      <c r="AA28" s="173">
        <f t="shared" si="14"/>
        <v>1.6565682690445283</v>
      </c>
      <c r="AB28" s="173">
        <f t="shared" si="15"/>
        <v>0.3873212572645251</v>
      </c>
      <c r="AC28" s="173"/>
      <c r="AD28" s="173">
        <f t="shared" si="16"/>
        <v>0.78067549928510926</v>
      </c>
      <c r="AE28" s="545">
        <f t="shared" si="17"/>
        <v>561.50467329624803</v>
      </c>
      <c r="AF28" s="528">
        <f t="shared" si="18"/>
        <v>8.601887445826667E-2</v>
      </c>
      <c r="AH28" s="173">
        <f t="shared" si="19"/>
        <v>16.848908400419131</v>
      </c>
      <c r="AI28" s="173">
        <f t="shared" si="20"/>
        <v>16.848908400419131</v>
      </c>
      <c r="AJ28" s="173">
        <f t="shared" si="21"/>
        <v>3.8041296793228119</v>
      </c>
      <c r="AL28" s="545">
        <f t="shared" si="22"/>
        <v>138</v>
      </c>
      <c r="AM28" s="460">
        <f t="shared" si="23"/>
        <v>350</v>
      </c>
      <c r="AO28">
        <f t="shared" si="96"/>
        <v>138</v>
      </c>
      <c r="AP28" s="460">
        <f t="shared" si="24"/>
        <v>350</v>
      </c>
      <c r="AQ28" s="460"/>
      <c r="AR28" s="5">
        <f t="shared" si="97"/>
        <v>2.8571428571428572</v>
      </c>
      <c r="AS28" s="5">
        <f t="shared" si="25"/>
        <v>0.71496270922049943</v>
      </c>
      <c r="AT28" s="5">
        <f t="shared" si="98"/>
        <v>2.1421801479223577</v>
      </c>
      <c r="AU28" s="173">
        <f t="shared" si="99"/>
        <v>0.25023694822717479</v>
      </c>
      <c r="AW28" s="5">
        <f t="shared" si="26"/>
        <v>5.8038149336722904E-2</v>
      </c>
      <c r="AX28" s="5">
        <f t="shared" si="27"/>
        <v>0.685172596336312</v>
      </c>
      <c r="AY28" s="5">
        <f t="shared" si="28"/>
        <v>6.8241033848999022</v>
      </c>
      <c r="AZ28" s="5"/>
      <c r="BA28" s="173">
        <f t="shared" si="100"/>
        <v>4.8661653208027102</v>
      </c>
      <c r="BB28" s="173">
        <f t="shared" si="29"/>
        <v>0.3977586013210625</v>
      </c>
      <c r="BC28" s="173">
        <f t="shared" si="30"/>
        <v>0.31448537862670389</v>
      </c>
      <c r="BD28" s="173"/>
      <c r="BE28" s="528">
        <f t="shared" si="31"/>
        <v>0.94718259717531783</v>
      </c>
      <c r="BF28" s="528">
        <f t="shared" si="32"/>
        <v>2.6965180515317733</v>
      </c>
      <c r="BG28" s="528">
        <f t="shared" si="33"/>
        <v>0.16496295160837499</v>
      </c>
      <c r="BH28" s="528">
        <f t="shared" si="34"/>
        <v>2.8910795420515344E-2</v>
      </c>
      <c r="BI28">
        <f t="shared" si="35"/>
        <v>5.3023805874120528E-3</v>
      </c>
      <c r="BJ28" s="460">
        <f t="shared" si="101"/>
        <v>170.26533219578704</v>
      </c>
      <c r="BK28">
        <f t="shared" si="36"/>
        <v>5.0691705416867325</v>
      </c>
      <c r="BL28" s="460">
        <f t="shared" si="102"/>
        <v>5069.1705416867326</v>
      </c>
      <c r="BM28" s="173">
        <f t="shared" si="37"/>
        <v>0.119784</v>
      </c>
      <c r="BN28" s="173">
        <f t="shared" si="38"/>
        <v>9.9820000000000006E-2</v>
      </c>
      <c r="BO28" s="528"/>
      <c r="BQ28" s="460">
        <f t="shared" si="103"/>
        <v>219.60400000000001</v>
      </c>
      <c r="BR28" s="528">
        <f t="shared" si="39"/>
        <v>0.71038694788148837</v>
      </c>
      <c r="BS28" s="528">
        <f t="shared" si="104"/>
        <v>4.7463571477466375E-3</v>
      </c>
      <c r="BT28" s="528">
        <f t="shared" si="40"/>
        <v>4.9450526684990655E-4</v>
      </c>
      <c r="BU28" s="528">
        <f t="shared" si="41"/>
        <v>133.52713732766031</v>
      </c>
      <c r="BV28" s="528">
        <f t="shared" si="42"/>
        <v>142.57708604310113</v>
      </c>
      <c r="BW28" s="625">
        <f t="shared" si="43"/>
        <v>2.4840000000000009</v>
      </c>
      <c r="BX28" s="460">
        <f t="shared" si="105"/>
        <v>145061.08604310115</v>
      </c>
      <c r="BY28" s="173">
        <f t="shared" si="106"/>
        <v>150.34986058478788</v>
      </c>
      <c r="BZ28" s="5">
        <f t="shared" si="107"/>
        <v>24.84</v>
      </c>
      <c r="CA28" s="173">
        <f t="shared" si="108"/>
        <v>0.14178902772730964</v>
      </c>
      <c r="CB28" s="5">
        <f t="shared" si="109"/>
        <v>14.178902772730964</v>
      </c>
      <c r="CC28">
        <f t="shared" si="110"/>
        <v>23.000000000000004</v>
      </c>
      <c r="CE28" s="562">
        <f t="shared" si="44"/>
        <v>-50</v>
      </c>
      <c r="CF28">
        <f t="shared" si="45"/>
        <v>-50</v>
      </c>
      <c r="CG28" s="173">
        <f t="shared" si="46"/>
        <v>0.33662112677489858</v>
      </c>
      <c r="CH28" s="173">
        <f t="shared" si="47"/>
        <v>8.3768603879327538E-2</v>
      </c>
      <c r="CI28" s="170">
        <v>23</v>
      </c>
      <c r="CJ28" s="217">
        <f t="shared" si="133"/>
        <v>0.13800000000000001</v>
      </c>
      <c r="CK28" s="217">
        <f t="shared" si="111"/>
        <v>0.115</v>
      </c>
      <c r="CL28" s="217">
        <f t="shared" si="48"/>
        <v>23.46</v>
      </c>
      <c r="CM28" s="217">
        <f t="shared" si="134"/>
        <v>1.3800000000000001</v>
      </c>
      <c r="CN28" s="541">
        <f t="shared" si="112"/>
        <v>12.5</v>
      </c>
      <c r="CO28" s="443">
        <f t="shared" si="49"/>
        <v>8.5350000000000001</v>
      </c>
      <c r="CP28" s="443">
        <f t="shared" si="50"/>
        <v>21.035</v>
      </c>
      <c r="CQ28" s="443"/>
      <c r="CR28" s="217">
        <f t="shared" si="113"/>
        <v>0.40546967895362668</v>
      </c>
      <c r="CS28" s="172">
        <f t="shared" si="114"/>
        <v>159.55982736601052</v>
      </c>
      <c r="CT28" s="172">
        <f t="shared" si="51"/>
        <v>9.3858721980006177</v>
      </c>
      <c r="CU28" s="217">
        <f t="shared" si="52"/>
        <v>0.93858721980006188</v>
      </c>
      <c r="CV28" s="217">
        <f t="shared" si="53"/>
        <v>13.296652280500878</v>
      </c>
      <c r="CW28" s="443">
        <f t="shared" si="54"/>
        <v>170</v>
      </c>
      <c r="CX28" s="217">
        <f t="shared" si="55"/>
        <v>9.8019659824046901</v>
      </c>
      <c r="CY28" s="217">
        <f t="shared" si="56"/>
        <v>0.39207863929618764</v>
      </c>
      <c r="CZ28" s="217">
        <f t="shared" si="57"/>
        <v>0.57422179158785525</v>
      </c>
      <c r="DA28" s="197">
        <f t="shared" si="58"/>
        <v>350</v>
      </c>
      <c r="DB28" s="443">
        <f t="shared" si="115"/>
        <v>350</v>
      </c>
      <c r="DD28" s="217">
        <f t="shared" si="59"/>
        <v>28.98230839756868</v>
      </c>
      <c r="DE28" s="173">
        <f t="shared" si="60"/>
        <v>1.6978505212401103</v>
      </c>
      <c r="DF28" s="173">
        <f t="shared" si="61"/>
        <v>0.40664636548103333</v>
      </c>
      <c r="DG28" s="173"/>
      <c r="DH28" s="173">
        <f t="shared" si="62"/>
        <v>0.78109744190587771</v>
      </c>
      <c r="DI28" s="545">
        <f t="shared" si="63"/>
        <v>561.20135294117665</v>
      </c>
      <c r="DJ28" s="528">
        <f t="shared" si="64"/>
        <v>8.6065366284073561E-2</v>
      </c>
      <c r="DL28" s="173">
        <f t="shared" si="65"/>
        <v>16.848908400419131</v>
      </c>
      <c r="DM28" s="173">
        <f t="shared" si="66"/>
        <v>16.848908400419131</v>
      </c>
      <c r="DN28" s="173">
        <f t="shared" si="67"/>
        <v>3.8041296793228119</v>
      </c>
      <c r="DP28" s="545">
        <f t="shared" si="68"/>
        <v>138</v>
      </c>
      <c r="DQ28" s="460">
        <f t="shared" si="69"/>
        <v>350</v>
      </c>
      <c r="DS28">
        <f t="shared" si="116"/>
        <v>138</v>
      </c>
      <c r="DT28" s="460">
        <f t="shared" si="70"/>
        <v>350</v>
      </c>
      <c r="DU28" s="460"/>
      <c r="DV28" s="5">
        <f t="shared" si="117"/>
        <v>2.8571428571428572</v>
      </c>
      <c r="DW28" s="5">
        <f t="shared" si="71"/>
        <v>0.6739563360167653</v>
      </c>
      <c r="DX28" s="5">
        <f t="shared" si="118"/>
        <v>2.1831865211260917</v>
      </c>
      <c r="DY28" s="173">
        <f t="shared" si="119"/>
        <v>0.23588471760586785</v>
      </c>
      <c r="EA28" s="5">
        <f t="shared" si="72"/>
        <v>5.470939668841978E-2</v>
      </c>
      <c r="EB28" s="5">
        <f t="shared" si="73"/>
        <v>0.64587482201606683</v>
      </c>
      <c r="EC28" s="5">
        <f t="shared" si="74"/>
        <v>6.5558471405591181</v>
      </c>
      <c r="ED28" s="5"/>
      <c r="EE28" s="173">
        <f t="shared" si="120"/>
        <v>4.7245564711277677</v>
      </c>
      <c r="EF28" s="173">
        <f t="shared" si="75"/>
        <v>0.40154757302114052</v>
      </c>
      <c r="EG28" s="173">
        <f t="shared" si="76"/>
        <v>0.31748110567257382</v>
      </c>
      <c r="EH28" s="173"/>
      <c r="EI28" s="528">
        <f t="shared" si="77"/>
        <v>0.89285735395501065</v>
      </c>
      <c r="EJ28" s="528">
        <f t="shared" si="78"/>
        <v>3.4112615864521079</v>
      </c>
      <c r="EK28" s="528">
        <f t="shared" si="79"/>
        <v>6.9999999999999993E-2</v>
      </c>
      <c r="EL28" s="528">
        <f t="shared" si="80"/>
        <v>3.0972985749999998E-2</v>
      </c>
      <c r="EM28">
        <f t="shared" si="81"/>
        <v>5.6249999999999998E-3</v>
      </c>
      <c r="EN28" s="460">
        <f t="shared" si="121"/>
        <v>75.625</v>
      </c>
      <c r="EO28">
        <f t="shared" si="82"/>
        <v>5.9043555675579462</v>
      </c>
      <c r="EP28" s="460">
        <f t="shared" si="122"/>
        <v>5904.3555675579464</v>
      </c>
      <c r="EQ28" s="173">
        <f t="shared" si="83"/>
        <v>0.119784</v>
      </c>
      <c r="ER28" s="173">
        <f t="shared" si="84"/>
        <v>9.9820000000000006E-2</v>
      </c>
      <c r="ES28" s="528"/>
      <c r="EU28" s="460">
        <f t="shared" si="123"/>
        <v>219.60400000000001</v>
      </c>
      <c r="EV28" s="528">
        <f t="shared" si="85"/>
        <v>0.66964301546625793</v>
      </c>
      <c r="EW28" s="528">
        <f t="shared" si="124"/>
        <v>4.8372136019750453E-3</v>
      </c>
      <c r="EX28" s="528">
        <f t="shared" si="86"/>
        <v>5.0397126229539989E-4</v>
      </c>
      <c r="EY28" s="528">
        <f t="shared" si="87"/>
        <v>133.52713732766031</v>
      </c>
      <c r="EZ28" s="528">
        <f t="shared" si="88"/>
        <v>142.03376132045619</v>
      </c>
      <c r="FA28" s="625">
        <f t="shared" si="89"/>
        <v>2.4840000000000009</v>
      </c>
      <c r="FB28" s="460">
        <f t="shared" si="125"/>
        <v>144517.76132045619</v>
      </c>
      <c r="FC28" s="173">
        <f t="shared" si="126"/>
        <v>150.64172088801413</v>
      </c>
      <c r="FD28" s="5">
        <f t="shared" si="127"/>
        <v>24.84</v>
      </c>
      <c r="FE28" s="173">
        <f t="shared" si="128"/>
        <v>0.14155320493951593</v>
      </c>
      <c r="FF28" s="5">
        <f t="shared" si="129"/>
        <v>14.155320493951592</v>
      </c>
      <c r="FG28">
        <f t="shared" si="130"/>
        <v>23.000000000000004</v>
      </c>
      <c r="FI28" s="562">
        <f t="shared" si="90"/>
        <v>-50</v>
      </c>
      <c r="FJ28">
        <f t="shared" si="91"/>
        <v>-50</v>
      </c>
      <c r="FL28">
        <f t="shared" si="92"/>
        <v>0.33662112677489858</v>
      </c>
    </row>
    <row r="29" spans="5:168">
      <c r="E29" s="170">
        <v>24</v>
      </c>
      <c r="F29" s="217">
        <f t="shared" si="131"/>
        <v>0.14399999999999999</v>
      </c>
      <c r="G29" s="217">
        <f t="shared" si="93"/>
        <v>0.12</v>
      </c>
      <c r="H29" s="217">
        <f t="shared" si="0"/>
        <v>24.479999999999997</v>
      </c>
      <c r="I29" s="217">
        <f t="shared" si="132"/>
        <v>1.44</v>
      </c>
      <c r="J29" s="541">
        <f t="shared" si="1"/>
        <v>11.767648314893226</v>
      </c>
      <c r="K29" s="443">
        <f t="shared" si="2"/>
        <v>8.5397122473041716</v>
      </c>
      <c r="L29" s="172">
        <f t="shared" si="3"/>
        <v>20.307360562197395</v>
      </c>
      <c r="M29" s="443"/>
      <c r="N29" s="217">
        <f t="shared" si="4"/>
        <v>0.42052300303373924</v>
      </c>
      <c r="O29" s="172">
        <f t="shared" si="94"/>
        <v>155.78821432667587</v>
      </c>
      <c r="P29" s="172">
        <f t="shared" si="5"/>
        <v>9.1640126074515198</v>
      </c>
      <c r="Q29" s="217">
        <f t="shared" si="6"/>
        <v>0.91640126074515216</v>
      </c>
      <c r="R29" s="217">
        <f t="shared" si="7"/>
        <v>12.982351193889656</v>
      </c>
      <c r="S29" s="443">
        <f t="shared" si="8"/>
        <v>170</v>
      </c>
      <c r="T29" s="217">
        <f t="shared" si="9"/>
        <v>10.475760358725353</v>
      </c>
      <c r="U29" s="217">
        <f t="shared" si="10"/>
        <v>0.44510849060075791</v>
      </c>
      <c r="V29" s="217">
        <f t="shared" si="11"/>
        <v>0.61335558244555344</v>
      </c>
      <c r="W29" s="197">
        <f t="shared" si="12"/>
        <v>350</v>
      </c>
      <c r="X29" s="443">
        <f t="shared" si="95"/>
        <v>350</v>
      </c>
      <c r="Z29" s="217">
        <f t="shared" si="13"/>
        <v>28.277524617278971</v>
      </c>
      <c r="AA29" s="173">
        <f t="shared" si="14"/>
        <v>1.6556485627607453</v>
      </c>
      <c r="AB29" s="173">
        <f t="shared" si="15"/>
        <v>0.38689579971753563</v>
      </c>
      <c r="AC29" s="173"/>
      <c r="AD29" s="173">
        <f t="shared" si="16"/>
        <v>0.78066642921969753</v>
      </c>
      <c r="AE29" s="545">
        <f t="shared" si="17"/>
        <v>585.92472736797549</v>
      </c>
      <c r="AF29" s="528">
        <f t="shared" si="18"/>
        <v>8.6017875071429648E-2</v>
      </c>
      <c r="AH29" s="173">
        <f t="shared" si="19"/>
        <v>17.211291974415268</v>
      </c>
      <c r="AI29" s="173">
        <f t="shared" si="20"/>
        <v>17.211291974415268</v>
      </c>
      <c r="AJ29" s="173">
        <f t="shared" si="21"/>
        <v>4.0725619563569877</v>
      </c>
      <c r="AL29" s="545">
        <f t="shared" si="22"/>
        <v>144</v>
      </c>
      <c r="AM29" s="460">
        <f t="shared" si="23"/>
        <v>350</v>
      </c>
      <c r="AO29">
        <f t="shared" si="96"/>
        <v>144</v>
      </c>
      <c r="AP29" s="460">
        <f t="shared" si="24"/>
        <v>350</v>
      </c>
      <c r="AQ29" s="460"/>
      <c r="AR29" s="5">
        <f t="shared" si="97"/>
        <v>2.8571428571428572</v>
      </c>
      <c r="AS29" s="5">
        <f t="shared" si="25"/>
        <v>0.73129700658340213</v>
      </c>
      <c r="AT29" s="5">
        <f t="shared" si="98"/>
        <v>2.1258458505594549</v>
      </c>
      <c r="AU29" s="173">
        <f t="shared" si="99"/>
        <v>0.25595395230419071</v>
      </c>
      <c r="AW29" s="5">
        <f t="shared" si="26"/>
        <v>6.1945158204711706E-2</v>
      </c>
      <c r="AX29" s="5">
        <f t="shared" si="27"/>
        <v>0.73129700658340213</v>
      </c>
      <c r="AY29" s="5">
        <f t="shared" si="28"/>
        <v>7.0757663763057677</v>
      </c>
      <c r="AZ29" s="5"/>
      <c r="BA29" s="173">
        <f t="shared" si="100"/>
        <v>5.0272879913052897</v>
      </c>
      <c r="BB29" s="173">
        <f t="shared" si="29"/>
        <v>0.40476147735398682</v>
      </c>
      <c r="BC29" s="173">
        <f t="shared" si="30"/>
        <v>0.32002215926042404</v>
      </c>
      <c r="BD29" s="173"/>
      <c r="BE29" s="528">
        <f t="shared" si="31"/>
        <v>1.0109449819008949</v>
      </c>
      <c r="BF29" s="528">
        <f t="shared" si="32"/>
        <v>2.7524378059424279</v>
      </c>
      <c r="BG29" s="528">
        <f t="shared" si="33"/>
        <v>0.16474707640850517</v>
      </c>
      <c r="BH29" s="528">
        <f t="shared" si="34"/>
        <v>2.8867222510216308E-2</v>
      </c>
      <c r="BI29">
        <f t="shared" si="35"/>
        <v>5.2954417417019513E-3</v>
      </c>
      <c r="BJ29" s="460">
        <f t="shared" si="101"/>
        <v>170.04251815020712</v>
      </c>
      <c r="BK29">
        <f t="shared" si="36"/>
        <v>5.3503658579270672</v>
      </c>
      <c r="BL29" s="460">
        <f t="shared" si="102"/>
        <v>5350.3658579270668</v>
      </c>
      <c r="BM29" s="173">
        <f t="shared" si="37"/>
        <v>0.12499199999999998</v>
      </c>
      <c r="BN29" s="173">
        <f t="shared" si="38"/>
        <v>0.10415999999999999</v>
      </c>
      <c r="BO29" s="528"/>
      <c r="BQ29" s="460">
        <f t="shared" si="103"/>
        <v>229.15199999999996</v>
      </c>
      <c r="BR29" s="528">
        <f t="shared" si="39"/>
        <v>0.75820873642567121</v>
      </c>
      <c r="BS29" s="528">
        <f t="shared" si="104"/>
        <v>4.91495560649346E-3</v>
      </c>
      <c r="BT29" s="528">
        <f t="shared" si="40"/>
        <v>5.1207091208852102E-4</v>
      </c>
      <c r="BU29" s="528">
        <f t="shared" si="41"/>
        <v>140.82306596327518</v>
      </c>
      <c r="BV29" s="528">
        <f t="shared" si="42"/>
        <v>150.99434910782398</v>
      </c>
      <c r="BW29" s="625">
        <f t="shared" si="43"/>
        <v>2.5919999999999996</v>
      </c>
      <c r="BX29" s="460">
        <f t="shared" si="105"/>
        <v>153586.349107824</v>
      </c>
      <c r="BY29" s="173">
        <f t="shared" si="106"/>
        <v>159.16586696575106</v>
      </c>
      <c r="BZ29" s="5">
        <f t="shared" si="107"/>
        <v>25.919999999999998</v>
      </c>
      <c r="CA29" s="173">
        <f t="shared" si="108"/>
        <v>0.14004310769334066</v>
      </c>
      <c r="CB29" s="5">
        <f t="shared" si="109"/>
        <v>14.004310769334067</v>
      </c>
      <c r="CC29">
        <f t="shared" si="110"/>
        <v>24</v>
      </c>
      <c r="CE29" s="562">
        <f t="shared" si="44"/>
        <v>-50</v>
      </c>
      <c r="CF29">
        <f t="shared" si="45"/>
        <v>-50</v>
      </c>
      <c r="CG29" s="173">
        <f t="shared" si="46"/>
        <v>0.34386111907020123</v>
      </c>
      <c r="CH29" s="173">
        <f t="shared" si="47"/>
        <v>8.5570285349784253E-2</v>
      </c>
      <c r="CI29" s="170">
        <v>24</v>
      </c>
      <c r="CJ29" s="217">
        <f t="shared" si="133"/>
        <v>0.14399999999999999</v>
      </c>
      <c r="CK29" s="217">
        <f t="shared" si="111"/>
        <v>0.12</v>
      </c>
      <c r="CL29" s="217">
        <f t="shared" si="48"/>
        <v>24.479999999999997</v>
      </c>
      <c r="CM29" s="217">
        <f t="shared" si="134"/>
        <v>1.44</v>
      </c>
      <c r="CN29" s="541">
        <f t="shared" si="112"/>
        <v>12.5</v>
      </c>
      <c r="CO29" s="443">
        <f t="shared" si="49"/>
        <v>8.5350000000000001</v>
      </c>
      <c r="CP29" s="443">
        <f t="shared" si="50"/>
        <v>21.035</v>
      </c>
      <c r="CQ29" s="443"/>
      <c r="CR29" s="217">
        <f t="shared" si="113"/>
        <v>0.40546967895362668</v>
      </c>
      <c r="CS29" s="172">
        <f t="shared" si="114"/>
        <v>159.55982736601052</v>
      </c>
      <c r="CT29" s="172">
        <f t="shared" si="51"/>
        <v>9.3858721980006177</v>
      </c>
      <c r="CU29" s="217">
        <f t="shared" si="52"/>
        <v>0.93858721980006188</v>
      </c>
      <c r="CV29" s="217">
        <f t="shared" si="53"/>
        <v>13.296652280500878</v>
      </c>
      <c r="CW29" s="443">
        <f t="shared" si="54"/>
        <v>170</v>
      </c>
      <c r="CX29" s="217">
        <f t="shared" si="55"/>
        <v>10.228138416422285</v>
      </c>
      <c r="CY29" s="217">
        <f t="shared" si="56"/>
        <v>0.40912553665689139</v>
      </c>
      <c r="CZ29" s="217">
        <f t="shared" si="57"/>
        <v>0.59918795643950107</v>
      </c>
      <c r="DA29" s="197">
        <f t="shared" si="58"/>
        <v>350</v>
      </c>
      <c r="DB29" s="443">
        <f t="shared" si="115"/>
        <v>350</v>
      </c>
      <c r="DD29" s="217">
        <f t="shared" si="59"/>
        <v>28.98230839756868</v>
      </c>
      <c r="DE29" s="173">
        <f t="shared" si="60"/>
        <v>1.6978505212401103</v>
      </c>
      <c r="DF29" s="173">
        <f t="shared" si="61"/>
        <v>0.40664636548103333</v>
      </c>
      <c r="DG29" s="173"/>
      <c r="DH29" s="173">
        <f t="shared" si="62"/>
        <v>0.78109744190587771</v>
      </c>
      <c r="DI29" s="545">
        <f t="shared" si="63"/>
        <v>585.60141176470586</v>
      </c>
      <c r="DJ29" s="528">
        <f t="shared" si="64"/>
        <v>8.6065366284073561E-2</v>
      </c>
      <c r="DL29" s="173">
        <f t="shared" si="65"/>
        <v>17.211291974415268</v>
      </c>
      <c r="DM29" s="173">
        <f t="shared" si="66"/>
        <v>17.211291974415268</v>
      </c>
      <c r="DN29" s="173">
        <f t="shared" si="67"/>
        <v>4.0725619563569877</v>
      </c>
      <c r="DP29" s="545">
        <f t="shared" si="68"/>
        <v>144</v>
      </c>
      <c r="DQ29" s="460">
        <f t="shared" si="69"/>
        <v>350</v>
      </c>
      <c r="DS29">
        <f t="shared" si="116"/>
        <v>144</v>
      </c>
      <c r="DT29" s="460">
        <f t="shared" si="70"/>
        <v>350</v>
      </c>
      <c r="DU29" s="460"/>
      <c r="DV29" s="5">
        <f t="shared" si="117"/>
        <v>2.8571428571428572</v>
      </c>
      <c r="DW29" s="5">
        <f t="shared" si="71"/>
        <v>0.68845167897661053</v>
      </c>
      <c r="DX29" s="5">
        <f t="shared" si="118"/>
        <v>2.1686911781662466</v>
      </c>
      <c r="DY29" s="173">
        <f t="shared" si="119"/>
        <v>0.24095808764181367</v>
      </c>
      <c r="EA29" s="5">
        <f t="shared" si="72"/>
        <v>5.8315906925077592E-2</v>
      </c>
      <c r="EB29" s="5">
        <f t="shared" si="73"/>
        <v>0.68845167897661053</v>
      </c>
      <c r="EC29" s="5">
        <f t="shared" si="74"/>
        <v>6.7954636853132424</v>
      </c>
      <c r="ED29" s="5"/>
      <c r="EE29" s="173">
        <f t="shared" si="120"/>
        <v>4.8777956112809457</v>
      </c>
      <c r="EF29" s="173">
        <f t="shared" si="75"/>
        <v>0.40882000945486846</v>
      </c>
      <c r="EG29" s="173">
        <f t="shared" si="76"/>
        <v>0.32323101257038467</v>
      </c>
      <c r="EH29" s="173"/>
      <c r="EI29" s="528">
        <f t="shared" si="77"/>
        <v>0.95171560101726627</v>
      </c>
      <c r="EJ29" s="528">
        <f t="shared" si="78"/>
        <v>3.4846304443125673</v>
      </c>
      <c r="EK29" s="528">
        <f t="shared" si="79"/>
        <v>6.9999999999999993E-2</v>
      </c>
      <c r="EL29" s="528">
        <f t="shared" si="80"/>
        <v>3.0972985749999998E-2</v>
      </c>
      <c r="EM29">
        <f t="shared" si="81"/>
        <v>5.6249999999999998E-3</v>
      </c>
      <c r="EN29" s="460">
        <f t="shared" si="121"/>
        <v>75.625</v>
      </c>
      <c r="EO29">
        <f t="shared" si="82"/>
        <v>6.2024532850516492</v>
      </c>
      <c r="EP29" s="460">
        <f t="shared" si="122"/>
        <v>6202.4532850516489</v>
      </c>
      <c r="EQ29" s="173">
        <f t="shared" si="83"/>
        <v>0.12499199999999998</v>
      </c>
      <c r="ER29" s="173">
        <f t="shared" si="84"/>
        <v>0.10415999999999999</v>
      </c>
      <c r="ES29" s="528"/>
      <c r="EU29" s="460">
        <f t="shared" si="123"/>
        <v>229.15199999999996</v>
      </c>
      <c r="EV29" s="528">
        <f t="shared" si="85"/>
        <v>0.7137867007629497</v>
      </c>
      <c r="EW29" s="528">
        <f t="shared" si="124"/>
        <v>5.0140140039203621E-3</v>
      </c>
      <c r="EX29" s="528">
        <f t="shared" si="86"/>
        <v>5.2239143743638083E-4</v>
      </c>
      <c r="EY29" s="528">
        <f t="shared" si="87"/>
        <v>140.82306596327518</v>
      </c>
      <c r="EZ29" s="528">
        <f t="shared" si="88"/>
        <v>150.36808569293979</v>
      </c>
      <c r="FA29" s="625">
        <f t="shared" si="89"/>
        <v>2.5919999999999996</v>
      </c>
      <c r="FB29" s="460">
        <f t="shared" si="125"/>
        <v>152960.08569293979</v>
      </c>
      <c r="FC29" s="173">
        <f t="shared" si="126"/>
        <v>159.39169097799146</v>
      </c>
      <c r="FD29" s="5">
        <f t="shared" si="127"/>
        <v>25.919999999999998</v>
      </c>
      <c r="FE29" s="173">
        <f t="shared" si="128"/>
        <v>0.13987244875488394</v>
      </c>
      <c r="FF29" s="5">
        <f t="shared" si="129"/>
        <v>13.987244875488395</v>
      </c>
      <c r="FG29">
        <f t="shared" si="130"/>
        <v>24</v>
      </c>
      <c r="FI29" s="562">
        <f t="shared" si="90"/>
        <v>-50</v>
      </c>
      <c r="FJ29">
        <f t="shared" si="91"/>
        <v>-50</v>
      </c>
      <c r="FL29">
        <f t="shared" si="92"/>
        <v>0.34386111907020128</v>
      </c>
    </row>
    <row r="30" spans="5:168">
      <c r="E30" s="170">
        <v>25</v>
      </c>
      <c r="F30" s="217">
        <f t="shared" si="131"/>
        <v>0.15</v>
      </c>
      <c r="G30" s="217">
        <f t="shared" si="93"/>
        <v>0.125</v>
      </c>
      <c r="H30" s="217">
        <f t="shared" si="0"/>
        <v>25.5</v>
      </c>
      <c r="I30" s="217">
        <f t="shared" si="132"/>
        <v>1.5</v>
      </c>
      <c r="J30" s="541">
        <f t="shared" si="1"/>
        <v>11.752546691342074</v>
      </c>
      <c r="K30" s="443">
        <f t="shared" si="2"/>
        <v>8.5398094172654275</v>
      </c>
      <c r="L30" s="172">
        <f t="shared" si="3"/>
        <v>20.2923561086075</v>
      </c>
      <c r="M30" s="443"/>
      <c r="N30" s="217">
        <f t="shared" si="4"/>
        <v>0.42083873215900536</v>
      </c>
      <c r="O30" s="172">
        <f t="shared" si="94"/>
        <v>155.70510451260466</v>
      </c>
      <c r="P30" s="172">
        <f t="shared" si="5"/>
        <v>9.1591237948590969</v>
      </c>
      <c r="Q30" s="217">
        <f t="shared" si="6"/>
        <v>0.91591237948590976</v>
      </c>
      <c r="R30" s="217">
        <f t="shared" si="7"/>
        <v>12.975425376050389</v>
      </c>
      <c r="S30" s="443">
        <f t="shared" si="8"/>
        <v>170</v>
      </c>
      <c r="T30" s="217">
        <f t="shared" si="9"/>
        <v>10.918074942510197</v>
      </c>
      <c r="U30" s="217">
        <f t="shared" si="10"/>
        <v>0.46449825851589172</v>
      </c>
      <c r="V30" s="217">
        <f t="shared" si="11"/>
        <v>0.63924581972734029</v>
      </c>
      <c r="W30" s="197">
        <f t="shared" si="12"/>
        <v>350</v>
      </c>
      <c r="X30" s="443">
        <f t="shared" si="95"/>
        <v>350</v>
      </c>
      <c r="Z30" s="217">
        <f t="shared" si="13"/>
        <v>28.262439138422351</v>
      </c>
      <c r="AA30" s="173">
        <f t="shared" si="14"/>
        <v>1.6547464795456992</v>
      </c>
      <c r="AB30" s="173">
        <f t="shared" si="15"/>
        <v>0.38647871030929148</v>
      </c>
      <c r="AC30" s="173"/>
      <c r="AD30" s="173">
        <f t="shared" si="16"/>
        <v>0.78065754643051877</v>
      </c>
      <c r="AE30" s="545">
        <f t="shared" si="17"/>
        <v>610.34520246926422</v>
      </c>
      <c r="AF30" s="528">
        <f t="shared" si="18"/>
        <v>8.6016896319659017E-2</v>
      </c>
      <c r="AH30" s="173">
        <f t="shared" si="19"/>
        <v>17.566201313073599</v>
      </c>
      <c r="AI30" s="173">
        <f t="shared" si="20"/>
        <v>17.566201313073599</v>
      </c>
      <c r="AJ30" s="173">
        <f t="shared" si="21"/>
        <v>4.3354577627705666</v>
      </c>
      <c r="AL30" s="545">
        <f t="shared" si="22"/>
        <v>150</v>
      </c>
      <c r="AM30" s="460">
        <f t="shared" si="23"/>
        <v>350</v>
      </c>
      <c r="AO30">
        <f t="shared" si="96"/>
        <v>150</v>
      </c>
      <c r="AP30" s="460">
        <f t="shared" si="24"/>
        <v>350</v>
      </c>
      <c r="AQ30" s="460"/>
      <c r="AR30" s="5">
        <f t="shared" si="97"/>
        <v>2.8571428571428572</v>
      </c>
      <c r="AS30" s="5">
        <f t="shared" si="25"/>
        <v>0.74733595085456472</v>
      </c>
      <c r="AT30" s="5">
        <f t="shared" si="98"/>
        <v>2.1098069062882923</v>
      </c>
      <c r="AU30" s="173">
        <f t="shared" si="99"/>
        <v>0.26156758279909764</v>
      </c>
      <c r="AW30" s="5">
        <f t="shared" si="26"/>
        <v>6.5941407428343951E-2</v>
      </c>
      <c r="AX30" s="5">
        <f t="shared" si="27"/>
        <v>0.77847494880683821</v>
      </c>
      <c r="AY30" s="5">
        <f t="shared" si="28"/>
        <v>7.3243803268593908</v>
      </c>
      <c r="AZ30" s="5"/>
      <c r="BA30" s="173">
        <f t="shared" si="100"/>
        <v>5.1869156760799893</v>
      </c>
      <c r="BB30" s="173">
        <f t="shared" si="29"/>
        <v>0.411546607296224</v>
      </c>
      <c r="BC30" s="173">
        <f t="shared" si="30"/>
        <v>0.32538678029395751</v>
      </c>
      <c r="BD30" s="173"/>
      <c r="BE30" s="528">
        <f t="shared" si="31"/>
        <v>1.0761637692305734</v>
      </c>
      <c r="BF30" s="528">
        <f t="shared" si="32"/>
        <v>2.807119448597978</v>
      </c>
      <c r="BG30" s="528">
        <f t="shared" si="33"/>
        <v>0.16453565367878906</v>
      </c>
      <c r="BH30" s="528">
        <f t="shared" si="34"/>
        <v>2.8824580150697807E-2</v>
      </c>
      <c r="BI30">
        <f t="shared" si="35"/>
        <v>5.288646011103933E-3</v>
      </c>
      <c r="BJ30" s="460">
        <f t="shared" si="101"/>
        <v>169.824299689893</v>
      </c>
      <c r="BK30">
        <f t="shared" si="36"/>
        <v>5.6464494403107315</v>
      </c>
      <c r="BL30" s="460">
        <f t="shared" si="102"/>
        <v>5646.4494403107319</v>
      </c>
      <c r="BM30" s="173">
        <f t="shared" si="37"/>
        <v>0.13019999999999998</v>
      </c>
      <c r="BN30" s="173">
        <f t="shared" si="38"/>
        <v>0.1085</v>
      </c>
      <c r="BO30" s="528"/>
      <c r="BQ30" s="460">
        <f t="shared" si="103"/>
        <v>238.69999999999996</v>
      </c>
      <c r="BR30" s="528">
        <f t="shared" si="39"/>
        <v>0.80712282692292991</v>
      </c>
      <c r="BS30" s="528">
        <f t="shared" si="104"/>
        <v>5.0811182993109718E-3</v>
      </c>
      <c r="BT30" s="528">
        <f t="shared" si="40"/>
        <v>5.2938278395034085E-4</v>
      </c>
      <c r="BU30" s="528">
        <f t="shared" si="41"/>
        <v>148.19541051817541</v>
      </c>
      <c r="BV30" s="528">
        <f t="shared" si="42"/>
        <v>159.57880062157588</v>
      </c>
      <c r="BW30" s="625">
        <f t="shared" si="43"/>
        <v>2.7000000000000006</v>
      </c>
      <c r="BX30" s="460">
        <f t="shared" si="105"/>
        <v>162278.80062157588</v>
      </c>
      <c r="BY30" s="173">
        <f t="shared" si="106"/>
        <v>168.1639500618866</v>
      </c>
      <c r="BZ30" s="5">
        <f t="shared" si="107"/>
        <v>27</v>
      </c>
      <c r="CA30" s="173">
        <f t="shared" si="108"/>
        <v>0.13834522201174082</v>
      </c>
      <c r="CB30" s="5">
        <f t="shared" si="109"/>
        <v>13.834522201174082</v>
      </c>
      <c r="CC30">
        <f t="shared" si="110"/>
        <v>25</v>
      </c>
      <c r="CE30" s="562">
        <f t="shared" si="44"/>
        <v>-50</v>
      </c>
      <c r="CF30">
        <f t="shared" si="45"/>
        <v>-50</v>
      </c>
      <c r="CG30" s="173">
        <f t="shared" si="46"/>
        <v>0.35095178504350122</v>
      </c>
      <c r="CH30" s="173">
        <f t="shared" si="47"/>
        <v>8.7334806771385901E-2</v>
      </c>
      <c r="CI30" s="170">
        <v>25</v>
      </c>
      <c r="CJ30" s="217">
        <f t="shared" si="133"/>
        <v>0.15</v>
      </c>
      <c r="CK30" s="217">
        <f t="shared" si="111"/>
        <v>0.125</v>
      </c>
      <c r="CL30" s="217">
        <f t="shared" si="48"/>
        <v>25.5</v>
      </c>
      <c r="CM30" s="217">
        <f t="shared" si="134"/>
        <v>1.5</v>
      </c>
      <c r="CN30" s="541">
        <f t="shared" si="112"/>
        <v>12.5</v>
      </c>
      <c r="CO30" s="443">
        <f t="shared" si="49"/>
        <v>8.5350000000000001</v>
      </c>
      <c r="CP30" s="443">
        <f t="shared" si="50"/>
        <v>21.035</v>
      </c>
      <c r="CQ30" s="443"/>
      <c r="CR30" s="217">
        <f t="shared" si="113"/>
        <v>0.40546967895362668</v>
      </c>
      <c r="CS30" s="172">
        <f t="shared" si="114"/>
        <v>159.55982736601052</v>
      </c>
      <c r="CT30" s="172">
        <f t="shared" si="51"/>
        <v>9.3858721980006177</v>
      </c>
      <c r="CU30" s="217">
        <f t="shared" si="52"/>
        <v>0.93858721980006188</v>
      </c>
      <c r="CV30" s="217">
        <f t="shared" si="53"/>
        <v>13.296652280500878</v>
      </c>
      <c r="CW30" s="443">
        <f t="shared" si="54"/>
        <v>170</v>
      </c>
      <c r="CX30" s="217">
        <f t="shared" si="55"/>
        <v>10.654310850439881</v>
      </c>
      <c r="CY30" s="217">
        <f t="shared" si="56"/>
        <v>0.42617243401759525</v>
      </c>
      <c r="CZ30" s="217">
        <f t="shared" si="57"/>
        <v>0.62415412129114711</v>
      </c>
      <c r="DA30" s="197">
        <f t="shared" si="58"/>
        <v>350</v>
      </c>
      <c r="DB30" s="443">
        <f t="shared" si="115"/>
        <v>350</v>
      </c>
      <c r="DD30" s="217">
        <f t="shared" si="59"/>
        <v>28.98230839756868</v>
      </c>
      <c r="DE30" s="173">
        <f t="shared" si="60"/>
        <v>1.6978505212401103</v>
      </c>
      <c r="DF30" s="173">
        <f t="shared" si="61"/>
        <v>0.40664636548103333</v>
      </c>
      <c r="DG30" s="173"/>
      <c r="DH30" s="173">
        <f t="shared" si="62"/>
        <v>0.78109744190587771</v>
      </c>
      <c r="DI30" s="545">
        <f t="shared" si="63"/>
        <v>610.00147058823529</v>
      </c>
      <c r="DJ30" s="528">
        <f t="shared" si="64"/>
        <v>8.6065366284073561E-2</v>
      </c>
      <c r="DL30" s="173">
        <f t="shared" si="65"/>
        <v>17.566201313073599</v>
      </c>
      <c r="DM30" s="173">
        <f t="shared" si="66"/>
        <v>17.566201313073599</v>
      </c>
      <c r="DN30" s="173">
        <f t="shared" si="67"/>
        <v>4.3354577627705666</v>
      </c>
      <c r="DP30" s="545">
        <f t="shared" si="68"/>
        <v>150</v>
      </c>
      <c r="DQ30" s="460">
        <f t="shared" si="69"/>
        <v>350</v>
      </c>
      <c r="DS30">
        <f t="shared" si="116"/>
        <v>150</v>
      </c>
      <c r="DT30" s="460">
        <f t="shared" si="70"/>
        <v>350</v>
      </c>
      <c r="DU30" s="460"/>
      <c r="DV30" s="5">
        <f t="shared" si="117"/>
        <v>2.8571428571428572</v>
      </c>
      <c r="DW30" s="5">
        <f t="shared" si="71"/>
        <v>0.70264805252294382</v>
      </c>
      <c r="DX30" s="5">
        <f t="shared" si="118"/>
        <v>2.1544948046199135</v>
      </c>
      <c r="DY30" s="173">
        <f t="shared" si="119"/>
        <v>0.24592681838303032</v>
      </c>
      <c r="EA30" s="5">
        <f t="shared" si="72"/>
        <v>6.1998357575553865E-2</v>
      </c>
      <c r="EB30" s="5">
        <f t="shared" si="73"/>
        <v>0.73192505471139979</v>
      </c>
      <c r="EC30" s="5">
        <f t="shared" si="74"/>
        <v>7.0322710422793975</v>
      </c>
      <c r="ED30" s="5"/>
      <c r="EE30" s="173">
        <f t="shared" si="120"/>
        <v>5.0294462807376705</v>
      </c>
      <c r="EF30" s="173">
        <f t="shared" si="75"/>
        <v>0.41588226116132221</v>
      </c>
      <c r="EG30" s="173">
        <f t="shared" si="76"/>
        <v>0.3288147382132362</v>
      </c>
      <c r="EH30" s="173"/>
      <c r="EI30" s="528">
        <f t="shared" si="77"/>
        <v>1.0118131956330394</v>
      </c>
      <c r="EJ30" s="528">
        <f t="shared" si="78"/>
        <v>3.5564860544723431</v>
      </c>
      <c r="EK30" s="528">
        <f t="shared" si="79"/>
        <v>6.9999999999999993E-2</v>
      </c>
      <c r="EL30" s="528">
        <f t="shared" si="80"/>
        <v>3.0972985749999998E-2</v>
      </c>
      <c r="EM30">
        <f t="shared" si="81"/>
        <v>5.6249999999999998E-3</v>
      </c>
      <c r="EN30" s="460">
        <f t="shared" si="121"/>
        <v>75.625</v>
      </c>
      <c r="EO30">
        <f t="shared" si="82"/>
        <v>6.514127427981018</v>
      </c>
      <c r="EP30" s="460">
        <f t="shared" si="122"/>
        <v>6514.1274279810177</v>
      </c>
      <c r="EQ30" s="173">
        <f t="shared" si="83"/>
        <v>0.13019999999999998</v>
      </c>
      <c r="ER30" s="173">
        <f t="shared" si="84"/>
        <v>0.1085</v>
      </c>
      <c r="ES30" s="528"/>
      <c r="EU30" s="460">
        <f t="shared" si="123"/>
        <v>238.69999999999996</v>
      </c>
      <c r="EV30" s="528">
        <f t="shared" si="85"/>
        <v>0.7588598967247796</v>
      </c>
      <c r="EW30" s="528">
        <f t="shared" si="124"/>
        <v>5.1887416544596256E-3</v>
      </c>
      <c r="EX30" s="528">
        <f t="shared" si="86"/>
        <v>5.4059566033119537E-4</v>
      </c>
      <c r="EY30" s="528">
        <f t="shared" si="87"/>
        <v>148.19541051817541</v>
      </c>
      <c r="EZ30" s="528">
        <f t="shared" si="88"/>
        <v>158.86054623774658</v>
      </c>
      <c r="FA30" s="625">
        <f t="shared" si="89"/>
        <v>2.7000000000000006</v>
      </c>
      <c r="FB30" s="460">
        <f t="shared" si="125"/>
        <v>161560.54623774657</v>
      </c>
      <c r="FC30" s="173">
        <f t="shared" si="126"/>
        <v>168.3133736657276</v>
      </c>
      <c r="FD30" s="5">
        <f t="shared" si="127"/>
        <v>27</v>
      </c>
      <c r="FE30" s="173">
        <f t="shared" si="128"/>
        <v>0.13823938163194913</v>
      </c>
      <c r="FF30" s="5">
        <f t="shared" si="129"/>
        <v>13.823938163194912</v>
      </c>
      <c r="FG30">
        <f t="shared" si="130"/>
        <v>25</v>
      </c>
      <c r="FI30" s="562">
        <f t="shared" si="90"/>
        <v>-50</v>
      </c>
      <c r="FJ30">
        <f t="shared" si="91"/>
        <v>-50</v>
      </c>
      <c r="FL30">
        <f t="shared" si="92"/>
        <v>0.35095178504350127</v>
      </c>
    </row>
    <row r="31" spans="5:168">
      <c r="E31" s="170">
        <v>26</v>
      </c>
      <c r="F31" s="217">
        <f t="shared" si="131"/>
        <v>0.156</v>
      </c>
      <c r="G31" s="217">
        <f t="shared" si="93"/>
        <v>0.13</v>
      </c>
      <c r="H31" s="217">
        <f t="shared" si="0"/>
        <v>26.52</v>
      </c>
      <c r="I31" s="217">
        <f t="shared" si="132"/>
        <v>1.56</v>
      </c>
      <c r="J31" s="541">
        <f t="shared" si="1"/>
        <v>11.737744198730748</v>
      </c>
      <c r="K31" s="443">
        <f t="shared" si="2"/>
        <v>8.5399046624970829</v>
      </c>
      <c r="L31" s="172">
        <f t="shared" si="3"/>
        <v>20.277648861227831</v>
      </c>
      <c r="M31" s="443"/>
      <c r="N31" s="217">
        <f t="shared" si="4"/>
        <v>0.42114866082063046</v>
      </c>
      <c r="O31" s="172">
        <f t="shared" si="94"/>
        <v>155.62351714066639</v>
      </c>
      <c r="P31" s="172">
        <f t="shared" si="5"/>
        <v>9.1543245376862572</v>
      </c>
      <c r="Q31" s="217">
        <f t="shared" si="6"/>
        <v>0.91543245376862581</v>
      </c>
      <c r="R31" s="217">
        <f t="shared" si="7"/>
        <v>12.968626428388866</v>
      </c>
      <c r="S31" s="443">
        <f t="shared" si="8"/>
        <v>170</v>
      </c>
      <c r="T31" s="217">
        <f t="shared" si="9"/>
        <v>11.360750820211345</v>
      </c>
      <c r="U31" s="217">
        <f t="shared" si="10"/>
        <v>0.48394097826053456</v>
      </c>
      <c r="V31" s="217">
        <f t="shared" si="11"/>
        <v>0.6651567710177132</v>
      </c>
      <c r="W31" s="197">
        <f t="shared" si="12"/>
        <v>350</v>
      </c>
      <c r="X31" s="443">
        <f t="shared" si="95"/>
        <v>350</v>
      </c>
      <c r="Z31" s="217">
        <f t="shared" si="13"/>
        <v>28.247630002003309</v>
      </c>
      <c r="AA31" s="173">
        <f t="shared" si="14"/>
        <v>1.6538609690839132</v>
      </c>
      <c r="AB31" s="173">
        <f t="shared" si="15"/>
        <v>0.38606949130576418</v>
      </c>
      <c r="AC31" s="173"/>
      <c r="AD31" s="173">
        <f t="shared" si="16"/>
        <v>0.7806488397866167</v>
      </c>
      <c r="AE31" s="545">
        <f t="shared" si="17"/>
        <v>634.76609009007723</v>
      </c>
      <c r="AF31" s="528">
        <f t="shared" si="18"/>
        <v>8.6015936976488336E-2</v>
      </c>
      <c r="AH31" s="173">
        <f t="shared" si="19"/>
        <v>17.914080655012295</v>
      </c>
      <c r="AI31" s="173">
        <f t="shared" si="20"/>
        <v>17.914080655012295</v>
      </c>
      <c r="AJ31" s="173">
        <f t="shared" si="21"/>
        <v>4.5931461642066385</v>
      </c>
      <c r="AL31" s="545">
        <f t="shared" si="22"/>
        <v>156</v>
      </c>
      <c r="AM31" s="460">
        <f t="shared" si="23"/>
        <v>350</v>
      </c>
      <c r="AO31">
        <f t="shared" si="96"/>
        <v>156</v>
      </c>
      <c r="AP31" s="460">
        <f t="shared" si="24"/>
        <v>350</v>
      </c>
      <c r="AQ31" s="460"/>
      <c r="AR31" s="5">
        <f t="shared" si="97"/>
        <v>2.8571428571428572</v>
      </c>
      <c r="AS31" s="5">
        <f t="shared" si="25"/>
        <v>0.76309725070296808</v>
      </c>
      <c r="AT31" s="5">
        <f t="shared" si="98"/>
        <v>2.0940456064398889</v>
      </c>
      <c r="AU31" s="173">
        <f t="shared" si="99"/>
        <v>0.26708403774603884</v>
      </c>
      <c r="AW31" s="5">
        <f t="shared" si="26"/>
        <v>7.0025394770390006E-2</v>
      </c>
      <c r="AX31" s="5">
        <f t="shared" si="27"/>
        <v>0.82668868826154873</v>
      </c>
      <c r="AY31" s="5">
        <f t="shared" si="28"/>
        <v>7.5699846297609366</v>
      </c>
      <c r="AZ31" s="5"/>
      <c r="BA31" s="173">
        <f t="shared" si="100"/>
        <v>5.3451249813562942</v>
      </c>
      <c r="BB31" s="173">
        <f t="shared" si="29"/>
        <v>0.41812622611398803</v>
      </c>
      <c r="BC31" s="173">
        <f t="shared" si="30"/>
        <v>0.33058891522768757</v>
      </c>
      <c r="BD31" s="173"/>
      <c r="BE31" s="528">
        <f t="shared" si="31"/>
        <v>1.1428144426527651</v>
      </c>
      <c r="BF31" s="528">
        <f t="shared" si="32"/>
        <v>2.860636567903172</v>
      </c>
      <c r="BG31" s="528">
        <f t="shared" si="33"/>
        <v>0.16432841878223048</v>
      </c>
      <c r="BH31" s="528">
        <f t="shared" si="34"/>
        <v>2.8782813033747804E-2</v>
      </c>
      <c r="BI31">
        <f t="shared" si="35"/>
        <v>5.281984889428837E-3</v>
      </c>
      <c r="BJ31" s="460">
        <f t="shared" si="101"/>
        <v>169.6104036716593</v>
      </c>
      <c r="BK31">
        <f t="shared" si="36"/>
        <v>5.9588039052334922</v>
      </c>
      <c r="BL31" s="460">
        <f t="shared" si="102"/>
        <v>5958.8039052334925</v>
      </c>
      <c r="BM31" s="173">
        <f t="shared" si="37"/>
        <v>0.135408</v>
      </c>
      <c r="BN31" s="173">
        <f t="shared" si="38"/>
        <v>0.11284</v>
      </c>
      <c r="BO31" s="528"/>
      <c r="BQ31" s="460">
        <f t="shared" si="103"/>
        <v>248.24799999999999</v>
      </c>
      <c r="BR31" s="528">
        <f t="shared" si="39"/>
        <v>0.85711083198957372</v>
      </c>
      <c r="BS31" s="528">
        <f t="shared" si="104"/>
        <v>5.2448862289297751E-3</v>
      </c>
      <c r="BT31" s="528">
        <f t="shared" si="40"/>
        <v>5.4644515435709601E-4</v>
      </c>
      <c r="BU31" s="528">
        <f t="shared" si="41"/>
        <v>155.64186575257025</v>
      </c>
      <c r="BV31" s="528">
        <f t="shared" si="42"/>
        <v>168.33220214698895</v>
      </c>
      <c r="BW31" s="625">
        <f t="shared" si="43"/>
        <v>2.8080000000000007</v>
      </c>
      <c r="BX31" s="460">
        <f t="shared" si="105"/>
        <v>171140.20214698894</v>
      </c>
      <c r="BY31" s="173">
        <f t="shared" si="106"/>
        <v>177.34725405222244</v>
      </c>
      <c r="BZ31" s="5">
        <f t="shared" si="107"/>
        <v>28.08</v>
      </c>
      <c r="CA31" s="173">
        <f t="shared" si="108"/>
        <v>0.13669072358267356</v>
      </c>
      <c r="CB31" s="5">
        <f t="shared" si="109"/>
        <v>13.669072358267357</v>
      </c>
      <c r="CC31">
        <f t="shared" si="110"/>
        <v>26</v>
      </c>
      <c r="CE31" s="562">
        <f t="shared" si="44"/>
        <v>-50</v>
      </c>
      <c r="CF31">
        <f t="shared" si="45"/>
        <v>-50</v>
      </c>
      <c r="CG31" s="173">
        <f t="shared" si="46"/>
        <v>0.35790200005340667</v>
      </c>
      <c r="CH31" s="173">
        <f t="shared" si="47"/>
        <v>8.9064376788630398E-2</v>
      </c>
      <c r="CI31" s="170">
        <v>26</v>
      </c>
      <c r="CJ31" s="217">
        <f t="shared" si="133"/>
        <v>0.156</v>
      </c>
      <c r="CK31" s="217">
        <f t="shared" si="111"/>
        <v>0.13</v>
      </c>
      <c r="CL31" s="217">
        <f t="shared" si="48"/>
        <v>26.52</v>
      </c>
      <c r="CM31" s="217">
        <f t="shared" si="134"/>
        <v>1.56</v>
      </c>
      <c r="CN31" s="541">
        <f t="shared" si="112"/>
        <v>12.5</v>
      </c>
      <c r="CO31" s="443">
        <f t="shared" si="49"/>
        <v>8.5350000000000001</v>
      </c>
      <c r="CP31" s="443">
        <f t="shared" si="50"/>
        <v>21.035</v>
      </c>
      <c r="CQ31" s="443"/>
      <c r="CR31" s="217">
        <f t="shared" si="113"/>
        <v>0.40546967895362668</v>
      </c>
      <c r="CS31" s="172">
        <f t="shared" si="114"/>
        <v>159.55982736601052</v>
      </c>
      <c r="CT31" s="172">
        <f t="shared" si="51"/>
        <v>9.3858721980006177</v>
      </c>
      <c r="CU31" s="217">
        <f t="shared" si="52"/>
        <v>0.93858721980006188</v>
      </c>
      <c r="CV31" s="217">
        <f t="shared" si="53"/>
        <v>13.296652280500878</v>
      </c>
      <c r="CW31" s="443">
        <f t="shared" si="54"/>
        <v>170</v>
      </c>
      <c r="CX31" s="217">
        <f t="shared" si="55"/>
        <v>11.080483284457475</v>
      </c>
      <c r="CY31" s="217">
        <f t="shared" si="56"/>
        <v>0.44321933137829905</v>
      </c>
      <c r="CZ31" s="217">
        <f t="shared" si="57"/>
        <v>0.64912028614279293</v>
      </c>
      <c r="DA31" s="197">
        <f t="shared" si="58"/>
        <v>350</v>
      </c>
      <c r="DB31" s="443">
        <f t="shared" si="115"/>
        <v>350</v>
      </c>
      <c r="DD31" s="217">
        <f t="shared" si="59"/>
        <v>28.98230839756868</v>
      </c>
      <c r="DE31" s="173">
        <f t="shared" si="60"/>
        <v>1.6978505212401103</v>
      </c>
      <c r="DF31" s="173">
        <f t="shared" si="61"/>
        <v>0.40664636548103333</v>
      </c>
      <c r="DG31" s="173"/>
      <c r="DH31" s="173">
        <f t="shared" si="62"/>
        <v>0.78109744190587771</v>
      </c>
      <c r="DI31" s="545">
        <f t="shared" si="63"/>
        <v>634.40152941176473</v>
      </c>
      <c r="DJ31" s="528">
        <f t="shared" si="64"/>
        <v>8.6065366284073561E-2</v>
      </c>
      <c r="DL31" s="173">
        <f t="shared" si="65"/>
        <v>17.914080655012295</v>
      </c>
      <c r="DM31" s="173">
        <f t="shared" si="66"/>
        <v>17.914080655012295</v>
      </c>
      <c r="DN31" s="173">
        <f t="shared" si="67"/>
        <v>4.5931461642066385</v>
      </c>
      <c r="DP31" s="545">
        <f t="shared" si="68"/>
        <v>156</v>
      </c>
      <c r="DQ31" s="460">
        <f t="shared" si="69"/>
        <v>350</v>
      </c>
      <c r="DS31">
        <f t="shared" si="116"/>
        <v>156</v>
      </c>
      <c r="DT31" s="460">
        <f t="shared" si="70"/>
        <v>350</v>
      </c>
      <c r="DU31" s="460"/>
      <c r="DV31" s="5">
        <f t="shared" si="117"/>
        <v>2.8571428571428572</v>
      </c>
      <c r="DW31" s="5">
        <f t="shared" si="71"/>
        <v>0.71656322620049173</v>
      </c>
      <c r="DX31" s="5">
        <f t="shared" si="118"/>
        <v>2.1405796309423657</v>
      </c>
      <c r="DY31" s="173">
        <f t="shared" si="119"/>
        <v>0.25079712917017211</v>
      </c>
      <c r="EA31" s="5">
        <f t="shared" si="72"/>
        <v>6.5755213698398068E-2</v>
      </c>
      <c r="EB31" s="5">
        <f t="shared" si="73"/>
        <v>0.77627682838386602</v>
      </c>
      <c r="EC31" s="5">
        <f t="shared" si="74"/>
        <v>7.2663259920117174</v>
      </c>
      <c r="ED31" s="5"/>
      <c r="EE31" s="173">
        <f t="shared" si="120"/>
        <v>5.1795875500802584</v>
      </c>
      <c r="EF31" s="173">
        <f t="shared" si="75"/>
        <v>0.42274651384200196</v>
      </c>
      <c r="EG31" s="173">
        <f t="shared" si="76"/>
        <v>0.33424191715067036</v>
      </c>
      <c r="EH31" s="173"/>
      <c r="EI31" s="528">
        <f t="shared" si="77"/>
        <v>1.0731250875578566</v>
      </c>
      <c r="EJ31" s="528">
        <f t="shared" si="78"/>
        <v>3.6269183583150175</v>
      </c>
      <c r="EK31" s="528">
        <f t="shared" si="79"/>
        <v>6.9999999999999993E-2</v>
      </c>
      <c r="EL31" s="528">
        <f t="shared" si="80"/>
        <v>3.0972985749999998E-2</v>
      </c>
      <c r="EM31">
        <f t="shared" si="81"/>
        <v>5.6249999999999998E-3</v>
      </c>
      <c r="EN31" s="460">
        <f t="shared" si="121"/>
        <v>75.625</v>
      </c>
      <c r="EO31">
        <f t="shared" si="82"/>
        <v>6.8405515617554</v>
      </c>
      <c r="EP31" s="460">
        <f t="shared" si="122"/>
        <v>6840.5515617554001</v>
      </c>
      <c r="EQ31" s="173">
        <f t="shared" si="83"/>
        <v>0.135408</v>
      </c>
      <c r="ER31" s="173">
        <f t="shared" si="84"/>
        <v>0.11284</v>
      </c>
      <c r="ES31" s="528"/>
      <c r="EU31" s="460">
        <f t="shared" si="123"/>
        <v>248.24799999999999</v>
      </c>
      <c r="EV31" s="528">
        <f t="shared" si="85"/>
        <v>0.80484381566839236</v>
      </c>
      <c r="EW31" s="528">
        <f t="shared" si="124"/>
        <v>5.3614384489669787E-3</v>
      </c>
      <c r="EX31" s="528">
        <f t="shared" si="86"/>
        <v>5.5858829590277803E-4</v>
      </c>
      <c r="EY31" s="528">
        <f t="shared" si="87"/>
        <v>155.64186575257025</v>
      </c>
      <c r="EZ31" s="528">
        <f t="shared" si="88"/>
        <v>167.51224246536094</v>
      </c>
      <c r="FA31" s="625">
        <f t="shared" si="89"/>
        <v>2.8080000000000007</v>
      </c>
      <c r="FB31" s="460">
        <f t="shared" si="125"/>
        <v>170320.24246536093</v>
      </c>
      <c r="FC31" s="173">
        <f t="shared" si="126"/>
        <v>177.40904202711633</v>
      </c>
      <c r="FD31" s="5">
        <f t="shared" si="127"/>
        <v>28.08</v>
      </c>
      <c r="FE31" s="173">
        <f t="shared" si="128"/>
        <v>0.13664962239832992</v>
      </c>
      <c r="FF31" s="5">
        <f t="shared" si="129"/>
        <v>13.664962239832992</v>
      </c>
      <c r="FG31">
        <f t="shared" si="130"/>
        <v>26</v>
      </c>
      <c r="FI31" s="562">
        <f t="shared" si="90"/>
        <v>-50</v>
      </c>
      <c r="FJ31">
        <f t="shared" si="91"/>
        <v>-50</v>
      </c>
      <c r="FL31">
        <f t="shared" si="92"/>
        <v>0.35790200005340667</v>
      </c>
    </row>
    <row r="32" spans="5:168">
      <c r="E32" s="170">
        <v>27</v>
      </c>
      <c r="F32" s="217">
        <f t="shared" si="131"/>
        <v>0.16200000000000001</v>
      </c>
      <c r="G32" s="217">
        <f t="shared" si="93"/>
        <v>0.13500000000000001</v>
      </c>
      <c r="H32" s="217">
        <f t="shared" si="0"/>
        <v>27.54</v>
      </c>
      <c r="I32" s="217">
        <f t="shared" si="132"/>
        <v>1.62</v>
      </c>
      <c r="J32" s="541">
        <f t="shared" si="1"/>
        <v>11.723223735871407</v>
      </c>
      <c r="K32" s="443">
        <f t="shared" si="2"/>
        <v>8.5399980930351109</v>
      </c>
      <c r="L32" s="172">
        <f t="shared" si="3"/>
        <v>20.263221828906516</v>
      </c>
      <c r="M32" s="443"/>
      <c r="N32" s="217">
        <f t="shared" si="4"/>
        <v>0.42145312157873971</v>
      </c>
      <c r="O32" s="172">
        <f t="shared" si="94"/>
        <v>155.54336491413454</v>
      </c>
      <c r="P32" s="172">
        <f t="shared" si="5"/>
        <v>9.1496097008314425</v>
      </c>
      <c r="Q32" s="217">
        <f t="shared" si="6"/>
        <v>0.91496097008314436</v>
      </c>
      <c r="R32" s="217">
        <f t="shared" si="7"/>
        <v>12.961947076177879</v>
      </c>
      <c r="S32" s="443">
        <f t="shared" si="8"/>
        <v>170</v>
      </c>
      <c r="T32" s="217">
        <f t="shared" si="9"/>
        <v>11.803782186488876</v>
      </c>
      <c r="U32" s="217">
        <f t="shared" si="10"/>
        <v>0.50343584889414716</v>
      </c>
      <c r="V32" s="217">
        <f t="shared" si="11"/>
        <v>0.69108810434721168</v>
      </c>
      <c r="W32" s="197">
        <f t="shared" si="12"/>
        <v>350</v>
      </c>
      <c r="X32" s="443">
        <f t="shared" si="95"/>
        <v>350</v>
      </c>
      <c r="Z32" s="217">
        <f t="shared" si="13"/>
        <v>28.233081362565596</v>
      </c>
      <c r="AA32" s="173">
        <f t="shared" si="14"/>
        <v>1.6529910812036008</v>
      </c>
      <c r="AB32" s="173">
        <f t="shared" si="15"/>
        <v>0.38566769241519216</v>
      </c>
      <c r="AC32" s="173"/>
      <c r="AD32" s="173">
        <f t="shared" si="16"/>
        <v>0.78064029921783473</v>
      </c>
      <c r="AE32" s="545">
        <f t="shared" si="17"/>
        <v>659.18738221651006</v>
      </c>
      <c r="AF32" s="528">
        <f t="shared" si="18"/>
        <v>8.6014995932335511E-2</v>
      </c>
      <c r="AH32" s="173">
        <f t="shared" si="19"/>
        <v>18.255331902135957</v>
      </c>
      <c r="AI32" s="173">
        <f t="shared" si="20"/>
        <v>18.255331902135957</v>
      </c>
      <c r="AJ32" s="173">
        <f t="shared" si="21"/>
        <v>4.8459248657797209</v>
      </c>
      <c r="AL32" s="545">
        <f t="shared" si="22"/>
        <v>162</v>
      </c>
      <c r="AM32" s="460">
        <f t="shared" si="23"/>
        <v>350</v>
      </c>
      <c r="AO32">
        <f t="shared" si="96"/>
        <v>162</v>
      </c>
      <c r="AP32" s="460">
        <f t="shared" si="24"/>
        <v>350</v>
      </c>
      <c r="AQ32" s="460"/>
      <c r="AR32" s="5">
        <f t="shared" si="97"/>
        <v>2.8571428571428572</v>
      </c>
      <c r="AS32" s="5">
        <f t="shared" si="25"/>
        <v>0.77859692493444543</v>
      </c>
      <c r="AT32" s="5">
        <f t="shared" si="98"/>
        <v>2.0785459322084119</v>
      </c>
      <c r="AU32" s="173">
        <f t="shared" si="99"/>
        <v>0.27250892372705587</v>
      </c>
      <c r="AW32" s="5">
        <f t="shared" si="26"/>
        <v>7.419570696434126E-2</v>
      </c>
      <c r="AX32" s="5">
        <f t="shared" si="27"/>
        <v>0.87592154055125127</v>
      </c>
      <c r="AY32" s="5">
        <f t="shared" si="28"/>
        <v>7.8126162240324657</v>
      </c>
      <c r="AZ32" s="5"/>
      <c r="BA32" s="173">
        <f t="shared" si="100"/>
        <v>5.5019858634361496</v>
      </c>
      <c r="BB32" s="173">
        <f t="shared" si="29"/>
        <v>0.42451140423134603</v>
      </c>
      <c r="BC32" s="173">
        <f t="shared" si="30"/>
        <v>0.33563731682394987</v>
      </c>
      <c r="BD32" s="173"/>
      <c r="BE32" s="528">
        <f t="shared" si="31"/>
        <v>1.2108739376580493</v>
      </c>
      <c r="BF32" s="528">
        <f t="shared" si="32"/>
        <v>2.9130557391596965</v>
      </c>
      <c r="BG32" s="528">
        <f t="shared" si="33"/>
        <v>0.16412513230219972</v>
      </c>
      <c r="BH32" s="528">
        <f t="shared" si="34"/>
        <v>2.8741871122123151E-2</v>
      </c>
      <c r="BI32">
        <f t="shared" si="35"/>
        <v>5.2754506811421333E-3</v>
      </c>
      <c r="BJ32" s="460">
        <f t="shared" si="101"/>
        <v>169.40058298334185</v>
      </c>
      <c r="BK32">
        <f t="shared" si="36"/>
        <v>6.2889659562845459</v>
      </c>
      <c r="BL32" s="460">
        <f t="shared" si="102"/>
        <v>6288.9659562845463</v>
      </c>
      <c r="BM32" s="173">
        <f t="shared" si="37"/>
        <v>0.14061599999999999</v>
      </c>
      <c r="BN32" s="173">
        <f t="shared" si="38"/>
        <v>0.11718000000000001</v>
      </c>
      <c r="BO32" s="528"/>
      <c r="BQ32" s="460">
        <f t="shared" si="103"/>
        <v>257.79600000000005</v>
      </c>
      <c r="BR32" s="528">
        <f t="shared" si="39"/>
        <v>0.90815545324353697</v>
      </c>
      <c r="BS32" s="528">
        <f t="shared" si="104"/>
        <v>5.406297969674078E-3</v>
      </c>
      <c r="BT32" s="528">
        <f t="shared" si="40"/>
        <v>5.6326204222390246E-4</v>
      </c>
      <c r="BU32" s="528">
        <f t="shared" si="41"/>
        <v>163.1602824611733</v>
      </c>
      <c r="BV32" s="528">
        <f t="shared" si="42"/>
        <v>177.25657067936072</v>
      </c>
      <c r="BW32" s="625">
        <f t="shared" si="43"/>
        <v>2.9160000000000004</v>
      </c>
      <c r="BX32" s="460">
        <f t="shared" si="105"/>
        <v>180172.57067936071</v>
      </c>
      <c r="BY32" s="173">
        <f t="shared" si="106"/>
        <v>186.71933263564526</v>
      </c>
      <c r="BZ32" s="5">
        <f t="shared" si="107"/>
        <v>29.16</v>
      </c>
      <c r="CA32" s="173">
        <f t="shared" si="108"/>
        <v>0.13507545925767422</v>
      </c>
      <c r="CB32" s="5">
        <f t="shared" si="109"/>
        <v>13.507545925767422</v>
      </c>
      <c r="CC32">
        <f t="shared" si="110"/>
        <v>27</v>
      </c>
      <c r="CE32" s="562">
        <f t="shared" si="44"/>
        <v>-50</v>
      </c>
      <c r="CF32">
        <f t="shared" si="45"/>
        <v>-50</v>
      </c>
      <c r="CG32" s="173">
        <f t="shared" si="46"/>
        <v>0.36471979362140122</v>
      </c>
      <c r="CH32" s="173">
        <f t="shared" si="47"/>
        <v>9.0760993558350489E-2</v>
      </c>
      <c r="CI32" s="170">
        <v>27</v>
      </c>
      <c r="CJ32" s="217">
        <f t="shared" si="133"/>
        <v>0.16200000000000001</v>
      </c>
      <c r="CK32" s="217">
        <f t="shared" si="111"/>
        <v>0.13500000000000001</v>
      </c>
      <c r="CL32" s="217">
        <f t="shared" si="48"/>
        <v>27.54</v>
      </c>
      <c r="CM32" s="217">
        <f t="shared" si="134"/>
        <v>1.62</v>
      </c>
      <c r="CN32" s="541">
        <f t="shared" si="112"/>
        <v>12.5</v>
      </c>
      <c r="CO32" s="443">
        <f t="shared" si="49"/>
        <v>8.5350000000000001</v>
      </c>
      <c r="CP32" s="443">
        <f t="shared" si="50"/>
        <v>21.035</v>
      </c>
      <c r="CQ32" s="443"/>
      <c r="CR32" s="217">
        <f t="shared" si="113"/>
        <v>0.40546967895362668</v>
      </c>
      <c r="CS32" s="172">
        <f t="shared" si="114"/>
        <v>159.55982736601052</v>
      </c>
      <c r="CT32" s="172">
        <f t="shared" si="51"/>
        <v>9.3858721980006177</v>
      </c>
      <c r="CU32" s="217">
        <f t="shared" si="52"/>
        <v>0.93858721980006188</v>
      </c>
      <c r="CV32" s="217">
        <f t="shared" si="53"/>
        <v>13.296652280500878</v>
      </c>
      <c r="CW32" s="443">
        <f t="shared" si="54"/>
        <v>170</v>
      </c>
      <c r="CX32" s="217">
        <f t="shared" si="55"/>
        <v>11.506655718475072</v>
      </c>
      <c r="CY32" s="217">
        <f t="shared" si="56"/>
        <v>0.46026622873900291</v>
      </c>
      <c r="CZ32" s="217">
        <f t="shared" si="57"/>
        <v>0.67408645099443898</v>
      </c>
      <c r="DA32" s="197">
        <f t="shared" si="58"/>
        <v>350</v>
      </c>
      <c r="DB32" s="443">
        <f t="shared" si="115"/>
        <v>350</v>
      </c>
      <c r="DD32" s="217">
        <f t="shared" si="59"/>
        <v>28.98230839756868</v>
      </c>
      <c r="DE32" s="173">
        <f t="shared" si="60"/>
        <v>1.6978505212401103</v>
      </c>
      <c r="DF32" s="173">
        <f t="shared" si="61"/>
        <v>0.40664636548103333</v>
      </c>
      <c r="DG32" s="173"/>
      <c r="DH32" s="173">
        <f t="shared" si="62"/>
        <v>0.78109744190587771</v>
      </c>
      <c r="DI32" s="545">
        <f t="shared" si="63"/>
        <v>658.80158823529416</v>
      </c>
      <c r="DJ32" s="528">
        <f t="shared" si="64"/>
        <v>8.6065366284073561E-2</v>
      </c>
      <c r="DL32" s="173">
        <f t="shared" si="65"/>
        <v>18.255331902135957</v>
      </c>
      <c r="DM32" s="173">
        <f t="shared" si="66"/>
        <v>18.255331902135957</v>
      </c>
      <c r="DN32" s="173">
        <f t="shared" si="67"/>
        <v>4.8459248657797209</v>
      </c>
      <c r="DP32" s="545">
        <f t="shared" si="68"/>
        <v>162</v>
      </c>
      <c r="DQ32" s="460">
        <f t="shared" si="69"/>
        <v>350</v>
      </c>
      <c r="DS32">
        <f t="shared" si="116"/>
        <v>162</v>
      </c>
      <c r="DT32" s="460">
        <f t="shared" si="70"/>
        <v>350</v>
      </c>
      <c r="DU32" s="460"/>
      <c r="DV32" s="5">
        <f t="shared" si="117"/>
        <v>2.8571428571428572</v>
      </c>
      <c r="DW32" s="5">
        <f t="shared" si="71"/>
        <v>0.73021327608543829</v>
      </c>
      <c r="DX32" s="5">
        <f t="shared" si="118"/>
        <v>2.1269295810574187</v>
      </c>
      <c r="DY32" s="173">
        <f t="shared" si="119"/>
        <v>0.25557464662990337</v>
      </c>
      <c r="EA32" s="5">
        <f t="shared" si="72"/>
        <v>6.9585029838730009E-2</v>
      </c>
      <c r="EB32" s="5">
        <f t="shared" si="73"/>
        <v>0.82148993559611816</v>
      </c>
      <c r="EC32" s="5">
        <f t="shared" si="74"/>
        <v>7.4976820047771273</v>
      </c>
      <c r="ED32" s="5"/>
      <c r="EE32" s="173">
        <f t="shared" si="120"/>
        <v>5.3282916750307354</v>
      </c>
      <c r="EF32" s="173">
        <f t="shared" si="75"/>
        <v>0.4294237937954512</v>
      </c>
      <c r="EG32" s="173">
        <f t="shared" si="76"/>
        <v>0.33952126725745035</v>
      </c>
      <c r="EH32" s="173"/>
      <c r="EI32" s="528">
        <f t="shared" si="77"/>
        <v>1.1356276869680737</v>
      </c>
      <c r="EJ32" s="528">
        <f t="shared" si="78"/>
        <v>3.6960087256537633</v>
      </c>
      <c r="EK32" s="528">
        <f t="shared" si="79"/>
        <v>6.9999999999999993E-2</v>
      </c>
      <c r="EL32" s="528">
        <f t="shared" si="80"/>
        <v>3.0972985749999998E-2</v>
      </c>
      <c r="EM32">
        <f t="shared" si="81"/>
        <v>5.6249999999999998E-3</v>
      </c>
      <c r="EN32" s="460">
        <f t="shared" si="121"/>
        <v>75.625</v>
      </c>
      <c r="EO32">
        <f t="shared" si="82"/>
        <v>7.183010741468177</v>
      </c>
      <c r="EP32" s="460">
        <f t="shared" si="122"/>
        <v>7183.010741468177</v>
      </c>
      <c r="EQ32" s="173">
        <f t="shared" si="83"/>
        <v>0.14061599999999999</v>
      </c>
      <c r="ER32" s="173">
        <f t="shared" si="84"/>
        <v>0.11718000000000001</v>
      </c>
      <c r="ES32" s="528"/>
      <c r="EU32" s="460">
        <f t="shared" si="123"/>
        <v>257.79600000000005</v>
      </c>
      <c r="EV32" s="528">
        <f t="shared" si="85"/>
        <v>0.85172076522605522</v>
      </c>
      <c r="EW32" s="528">
        <f t="shared" si="124"/>
        <v>5.5321438403303459E-3</v>
      </c>
      <c r="EX32" s="528">
        <f t="shared" si="86"/>
        <v>5.7637345460052523E-4</v>
      </c>
      <c r="EY32" s="528">
        <f t="shared" si="87"/>
        <v>163.1602824611733</v>
      </c>
      <c r="EZ32" s="528">
        <f t="shared" si="88"/>
        <v>176.32449604623676</v>
      </c>
      <c r="FA32" s="625">
        <f t="shared" si="89"/>
        <v>2.9160000000000004</v>
      </c>
      <c r="FB32" s="460">
        <f t="shared" si="125"/>
        <v>179240.49604623675</v>
      </c>
      <c r="FC32" s="173">
        <f t="shared" si="126"/>
        <v>186.68130278770494</v>
      </c>
      <c r="FD32" s="5">
        <f t="shared" si="127"/>
        <v>29.16</v>
      </c>
      <c r="FE32" s="173">
        <f t="shared" si="128"/>
        <v>0.13509925868396425</v>
      </c>
      <c r="FF32" s="5">
        <f t="shared" si="129"/>
        <v>13.509925868396424</v>
      </c>
      <c r="FG32">
        <f t="shared" si="130"/>
        <v>27</v>
      </c>
      <c r="FI32" s="562">
        <f t="shared" si="90"/>
        <v>-50</v>
      </c>
      <c r="FJ32">
        <f t="shared" si="91"/>
        <v>-50</v>
      </c>
      <c r="FL32">
        <f t="shared" si="92"/>
        <v>0.36471979362140128</v>
      </c>
    </row>
    <row r="33" spans="5:168">
      <c r="E33" s="170">
        <v>28</v>
      </c>
      <c r="F33" s="217">
        <f t="shared" si="131"/>
        <v>0.16800000000000001</v>
      </c>
      <c r="G33" s="217">
        <f t="shared" si="93"/>
        <v>0.14000000000000001</v>
      </c>
      <c r="H33" s="217">
        <f t="shared" si="0"/>
        <v>28.560000000000002</v>
      </c>
      <c r="I33" s="217">
        <f t="shared" si="132"/>
        <v>1.6800000000000002</v>
      </c>
      <c r="J33" s="541">
        <f t="shared" si="1"/>
        <v>11.70896977146349</v>
      </c>
      <c r="K33" s="443">
        <f t="shared" si="2"/>
        <v>8.5400898088141854</v>
      </c>
      <c r="L33" s="172">
        <f t="shared" si="3"/>
        <v>20.249059580277674</v>
      </c>
      <c r="M33" s="443"/>
      <c r="N33" s="217">
        <f t="shared" si="4"/>
        <v>0.42175241644960759</v>
      </c>
      <c r="O33" s="172">
        <f t="shared" si="94"/>
        <v>155.46456855417097</v>
      </c>
      <c r="P33" s="172">
        <f t="shared" si="5"/>
        <v>9.1449746208335867</v>
      </c>
      <c r="Q33" s="217">
        <f t="shared" si="6"/>
        <v>0.91449746208335858</v>
      </c>
      <c r="R33" s="217">
        <f t="shared" si="7"/>
        <v>12.95538071284758</v>
      </c>
      <c r="S33" s="443">
        <f t="shared" si="8"/>
        <v>170</v>
      </c>
      <c r="T33" s="217">
        <f t="shared" si="9"/>
        <v>12.247163567282916</v>
      </c>
      <c r="U33" s="217">
        <f t="shared" si="10"/>
        <v>0.52298211569095876</v>
      </c>
      <c r="V33" s="217">
        <f t="shared" si="11"/>
        <v>0.71703950669480532</v>
      </c>
      <c r="W33" s="197">
        <f t="shared" si="12"/>
        <v>350</v>
      </c>
      <c r="X33" s="443">
        <f t="shared" si="95"/>
        <v>350</v>
      </c>
      <c r="Z33" s="217">
        <f t="shared" si="13"/>
        <v>28.21877883000078</v>
      </c>
      <c r="AA33" s="173">
        <f t="shared" si="14"/>
        <v>1.6521359530011215</v>
      </c>
      <c r="AB33" s="173">
        <f t="shared" si="15"/>
        <v>0.38527290468923014</v>
      </c>
      <c r="AC33" s="173"/>
      <c r="AD33" s="173">
        <f t="shared" si="16"/>
        <v>0.7806319155784559</v>
      </c>
      <c r="AE33" s="545">
        <f t="shared" si="17"/>
        <v>683.60907128437316</v>
      </c>
      <c r="AF33" s="528">
        <f t="shared" si="18"/>
        <v>8.6014072179477999E-2</v>
      </c>
      <c r="AH33" s="173">
        <f t="shared" si="19"/>
        <v>18.590320061795602</v>
      </c>
      <c r="AI33" s="173">
        <f t="shared" si="20"/>
        <v>18.590320061795602</v>
      </c>
      <c r="AJ33" s="173">
        <f t="shared" si="21"/>
        <v>5.0940642433053833</v>
      </c>
      <c r="AL33" s="545">
        <f t="shared" si="22"/>
        <v>168</v>
      </c>
      <c r="AM33" s="460">
        <f t="shared" si="23"/>
        <v>350</v>
      </c>
      <c r="AO33">
        <f t="shared" si="96"/>
        <v>168</v>
      </c>
      <c r="AP33" s="460">
        <f t="shared" si="24"/>
        <v>350</v>
      </c>
      <c r="AQ33" s="460"/>
      <c r="AR33" s="5">
        <f t="shared" si="97"/>
        <v>2.8571428571428572</v>
      </c>
      <c r="AS33" s="5">
        <f t="shared" si="25"/>
        <v>0.79384951984003715</v>
      </c>
      <c r="AT33" s="5">
        <f t="shared" si="98"/>
        <v>2.0632933373028202</v>
      </c>
      <c r="AU33" s="173">
        <f t="shared" si="99"/>
        <v>0.27784733194401301</v>
      </c>
      <c r="AW33" s="5">
        <f t="shared" si="26"/>
        <v>7.8451011372427215E-2</v>
      </c>
      <c r="AX33" s="5">
        <f t="shared" si="27"/>
        <v>0.92615777314671011</v>
      </c>
      <c r="AY33" s="5">
        <f t="shared" si="28"/>
        <v>8.0523098258545769</v>
      </c>
      <c r="AZ33" s="5"/>
      <c r="BA33" s="173">
        <f t="shared" si="100"/>
        <v>5.6575624291695013</v>
      </c>
      <c r="BB33" s="173">
        <f t="shared" si="29"/>
        <v>0.43071219683803835</v>
      </c>
      <c r="BC33" s="173">
        <f t="shared" si="30"/>
        <v>0.34053993515633701</v>
      </c>
      <c r="BD33" s="173"/>
      <c r="BE33" s="528">
        <f t="shared" si="31"/>
        <v>1.2803205055980125</v>
      </c>
      <c r="BF33" s="528">
        <f t="shared" si="32"/>
        <v>2.9644374260633777</v>
      </c>
      <c r="BG33" s="528">
        <f t="shared" si="33"/>
        <v>0.16392557680048886</v>
      </c>
      <c r="BH33" s="528">
        <f t="shared" si="34"/>
        <v>2.8701708971994453E-2</v>
      </c>
      <c r="BI33">
        <f t="shared" si="35"/>
        <v>5.2690363971585703E-3</v>
      </c>
      <c r="BJ33" s="460">
        <f t="shared" si="101"/>
        <v>169.19461319764741</v>
      </c>
      <c r="BK33">
        <f t="shared" si="36"/>
        <v>6.638651540226574</v>
      </c>
      <c r="BL33" s="460">
        <f t="shared" si="102"/>
        <v>6638.6515402265741</v>
      </c>
      <c r="BM33" s="173">
        <f t="shared" si="37"/>
        <v>0.14582399999999998</v>
      </c>
      <c r="BN33" s="173">
        <f t="shared" si="38"/>
        <v>0.12152</v>
      </c>
      <c r="BO33" s="528"/>
      <c r="BQ33" s="460">
        <f t="shared" si="103"/>
        <v>267.34399999999999</v>
      </c>
      <c r="BR33" s="528">
        <f t="shared" si="39"/>
        <v>0.96024037919850924</v>
      </c>
      <c r="BS33" s="528">
        <f t="shared" si="104"/>
        <v>5.5653898951514725E-3</v>
      </c>
      <c r="BT33" s="528">
        <f t="shared" si="40"/>
        <v>5.7983723718141116E-4</v>
      </c>
      <c r="BU33" s="528">
        <f t="shared" si="41"/>
        <v>170.7486514904424</v>
      </c>
      <c r="BV33" s="528">
        <f t="shared" si="42"/>
        <v>186.35416853440466</v>
      </c>
      <c r="BW33" s="625">
        <f t="shared" si="43"/>
        <v>3.0240000000000005</v>
      </c>
      <c r="BX33" s="460">
        <f t="shared" si="105"/>
        <v>189378.16853440466</v>
      </c>
      <c r="BY33" s="173">
        <f t="shared" si="106"/>
        <v>196.28416407463124</v>
      </c>
      <c r="BZ33" s="5">
        <f t="shared" si="107"/>
        <v>30.240000000000002</v>
      </c>
      <c r="CA33" s="173">
        <f t="shared" si="108"/>
        <v>0.13349569183284593</v>
      </c>
      <c r="CB33" s="5">
        <f t="shared" si="109"/>
        <v>13.349569183284594</v>
      </c>
      <c r="CC33">
        <f t="shared" si="110"/>
        <v>28.000000000000004</v>
      </c>
      <c r="CE33" s="562">
        <f t="shared" si="44"/>
        <v>-50</v>
      </c>
      <c r="CF33">
        <f t="shared" si="45"/>
        <v>-50</v>
      </c>
      <c r="CG33" s="173">
        <f t="shared" si="46"/>
        <v>0.37141245815972074</v>
      </c>
      <c r="CH33" s="173">
        <f t="shared" si="47"/>
        <v>9.2426471806786772E-2</v>
      </c>
      <c r="CI33" s="170">
        <v>28</v>
      </c>
      <c r="CJ33" s="217">
        <f t="shared" si="133"/>
        <v>0.16800000000000001</v>
      </c>
      <c r="CK33" s="217">
        <f t="shared" si="111"/>
        <v>0.14000000000000001</v>
      </c>
      <c r="CL33" s="217">
        <f t="shared" si="48"/>
        <v>28.560000000000002</v>
      </c>
      <c r="CM33" s="217">
        <f t="shared" si="134"/>
        <v>1.6800000000000002</v>
      </c>
      <c r="CN33" s="541">
        <f t="shared" si="112"/>
        <v>12.5</v>
      </c>
      <c r="CO33" s="443">
        <f t="shared" si="49"/>
        <v>8.5350000000000001</v>
      </c>
      <c r="CP33" s="443">
        <f t="shared" si="50"/>
        <v>21.035</v>
      </c>
      <c r="CQ33" s="443"/>
      <c r="CR33" s="217">
        <f t="shared" si="113"/>
        <v>0.40546967895362668</v>
      </c>
      <c r="CS33" s="172">
        <f t="shared" si="114"/>
        <v>159.55982736601052</v>
      </c>
      <c r="CT33" s="172">
        <f t="shared" si="51"/>
        <v>9.3858721980006177</v>
      </c>
      <c r="CU33" s="217">
        <f t="shared" si="52"/>
        <v>0.93858721980006188</v>
      </c>
      <c r="CV33" s="217">
        <f t="shared" si="53"/>
        <v>13.296652280500878</v>
      </c>
      <c r="CW33" s="443">
        <f t="shared" si="54"/>
        <v>170</v>
      </c>
      <c r="CX33" s="217">
        <f t="shared" si="55"/>
        <v>11.932828152492668</v>
      </c>
      <c r="CY33" s="217">
        <f t="shared" si="56"/>
        <v>0.47731312609970672</v>
      </c>
      <c r="CZ33" s="217">
        <f t="shared" si="57"/>
        <v>0.69905261584608491</v>
      </c>
      <c r="DA33" s="197">
        <f t="shared" si="58"/>
        <v>350</v>
      </c>
      <c r="DB33" s="443">
        <f t="shared" si="115"/>
        <v>350</v>
      </c>
      <c r="DD33" s="217">
        <f t="shared" si="59"/>
        <v>28.98230839756868</v>
      </c>
      <c r="DE33" s="173">
        <f t="shared" si="60"/>
        <v>1.6978505212401103</v>
      </c>
      <c r="DF33" s="173">
        <f t="shared" si="61"/>
        <v>0.40664636548103333</v>
      </c>
      <c r="DG33" s="173"/>
      <c r="DH33" s="173">
        <f t="shared" si="62"/>
        <v>0.78109744190587771</v>
      </c>
      <c r="DI33" s="545">
        <f t="shared" si="63"/>
        <v>683.20164705882371</v>
      </c>
      <c r="DJ33" s="528">
        <f t="shared" si="64"/>
        <v>8.6065366284073561E-2</v>
      </c>
      <c r="DL33" s="173">
        <f t="shared" si="65"/>
        <v>18.590320061795602</v>
      </c>
      <c r="DM33" s="173">
        <f t="shared" si="66"/>
        <v>18.590320061795602</v>
      </c>
      <c r="DN33" s="173">
        <f t="shared" si="67"/>
        <v>5.0940642433053833</v>
      </c>
      <c r="DP33" s="545">
        <f t="shared" si="68"/>
        <v>168</v>
      </c>
      <c r="DQ33" s="460">
        <f t="shared" si="69"/>
        <v>350</v>
      </c>
      <c r="DS33">
        <f t="shared" si="116"/>
        <v>168</v>
      </c>
      <c r="DT33" s="460">
        <f t="shared" si="70"/>
        <v>350</v>
      </c>
      <c r="DU33" s="460"/>
      <c r="DV33" s="5">
        <f t="shared" si="117"/>
        <v>2.8571428571428572</v>
      </c>
      <c r="DW33" s="5">
        <f t="shared" si="71"/>
        <v>0.74361280247182404</v>
      </c>
      <c r="DX33" s="5">
        <f t="shared" si="118"/>
        <v>2.1135300546710329</v>
      </c>
      <c r="DY33" s="173">
        <f t="shared" si="119"/>
        <v>0.26026448086513843</v>
      </c>
      <c r="EA33" s="5">
        <f t="shared" si="72"/>
        <v>7.3486441656039084E-2</v>
      </c>
      <c r="EB33" s="5">
        <f t="shared" si="73"/>
        <v>0.86754826955046149</v>
      </c>
      <c r="EC33" s="5">
        <f t="shared" si="74"/>
        <v>7.7263895502598015</v>
      </c>
      <c r="ED33" s="5"/>
      <c r="EE33" s="173">
        <f t="shared" si="120"/>
        <v>5.4756249137120365</v>
      </c>
      <c r="EF33" s="173">
        <f t="shared" si="75"/>
        <v>0.43592411677056825</v>
      </c>
      <c r="EG33" s="173">
        <f t="shared" si="76"/>
        <v>0.3446607074235109</v>
      </c>
      <c r="EH33" s="173"/>
      <c r="EI33" s="528">
        <f t="shared" si="77"/>
        <v>1.1992987278265579</v>
      </c>
      <c r="EJ33" s="528">
        <f t="shared" si="78"/>
        <v>3.7638310565612536</v>
      </c>
      <c r="EK33" s="528">
        <f t="shared" si="79"/>
        <v>6.9999999999999993E-2</v>
      </c>
      <c r="EL33" s="528">
        <f t="shared" si="80"/>
        <v>3.0972985749999998E-2</v>
      </c>
      <c r="EM33">
        <f t="shared" si="81"/>
        <v>5.6249999999999998E-3</v>
      </c>
      <c r="EN33" s="460">
        <f t="shared" si="121"/>
        <v>75.625</v>
      </c>
      <c r="EO33">
        <f t="shared" si="82"/>
        <v>7.5429185436056629</v>
      </c>
      <c r="EP33" s="460">
        <f t="shared" si="122"/>
        <v>7542.9185436056632</v>
      </c>
      <c r="EQ33" s="173">
        <f t="shared" si="83"/>
        <v>0.14582399999999998</v>
      </c>
      <c r="ER33" s="173">
        <f t="shared" si="84"/>
        <v>0.12152</v>
      </c>
      <c r="ES33" s="528"/>
      <c r="EU33" s="460">
        <f t="shared" si="123"/>
        <v>267.34399999999999</v>
      </c>
      <c r="EV33" s="528">
        <f t="shared" si="85"/>
        <v>0.89947404586991841</v>
      </c>
      <c r="EW33" s="528">
        <f t="shared" si="124"/>
        <v>5.7008950674660008E-3</v>
      </c>
      <c r="EX33" s="528">
        <f t="shared" si="86"/>
        <v>5.9395501620837488E-4</v>
      </c>
      <c r="EY33" s="528">
        <f t="shared" si="87"/>
        <v>170.7486514904424</v>
      </c>
      <c r="EZ33" s="528">
        <f t="shared" si="88"/>
        <v>185.29883889997814</v>
      </c>
      <c r="FA33" s="625">
        <f t="shared" si="89"/>
        <v>3.0240000000000005</v>
      </c>
      <c r="FB33" s="460">
        <f t="shared" si="125"/>
        <v>188322.83889997815</v>
      </c>
      <c r="FC33" s="173">
        <f t="shared" si="126"/>
        <v>196.1331014435838</v>
      </c>
      <c r="FD33" s="5">
        <f t="shared" si="127"/>
        <v>30.240000000000002</v>
      </c>
      <c r="FE33" s="173">
        <f t="shared" si="128"/>
        <v>0.13358477578457503</v>
      </c>
      <c r="FF33" s="5">
        <f t="shared" si="129"/>
        <v>13.358477578457503</v>
      </c>
      <c r="FG33">
        <f t="shared" si="130"/>
        <v>28.000000000000004</v>
      </c>
      <c r="FI33" s="562">
        <f t="shared" si="90"/>
        <v>-50</v>
      </c>
      <c r="FJ33">
        <f t="shared" si="91"/>
        <v>-50</v>
      </c>
      <c r="FL33">
        <f t="shared" si="92"/>
        <v>0.37141245815972074</v>
      </c>
    </row>
    <row r="34" spans="5:168">
      <c r="E34" s="170">
        <v>29</v>
      </c>
      <c r="F34" s="217">
        <f t="shared" si="131"/>
        <v>0.17399999999999999</v>
      </c>
      <c r="G34" s="217">
        <f t="shared" si="93"/>
        <v>0.14499999999999999</v>
      </c>
      <c r="H34" s="217">
        <f t="shared" si="0"/>
        <v>29.58</v>
      </c>
      <c r="I34" s="217">
        <f t="shared" si="132"/>
        <v>1.7399999999999998</v>
      </c>
      <c r="J34" s="541">
        <f t="shared" si="1"/>
        <v>11.694968149447819</v>
      </c>
      <c r="K34" s="443">
        <f t="shared" si="2"/>
        <v>8.5401799009201209</v>
      </c>
      <c r="L34" s="172">
        <f t="shared" si="3"/>
        <v>20.23514805036794</v>
      </c>
      <c r="M34" s="443"/>
      <c r="N34" s="217">
        <f t="shared" si="4"/>
        <v>0.4220468206935028</v>
      </c>
      <c r="O34" s="172">
        <f t="shared" si="94"/>
        <v>155.38705580549242</v>
      </c>
      <c r="P34" s="172">
        <f t="shared" si="5"/>
        <v>9.1404150473819072</v>
      </c>
      <c r="Q34" s="217">
        <f t="shared" si="6"/>
        <v>0.91404150473819068</v>
      </c>
      <c r="R34" s="217">
        <f t="shared" si="7"/>
        <v>12.948921317124368</v>
      </c>
      <c r="S34" s="443">
        <f t="shared" si="8"/>
        <v>170</v>
      </c>
      <c r="T34" s="217">
        <f t="shared" si="9"/>
        <v>12.690889789870749</v>
      </c>
      <c r="U34" s="217">
        <f t="shared" si="10"/>
        <v>0.54257906595795014</v>
      </c>
      <c r="V34" s="217">
        <f t="shared" si="11"/>
        <v>0.74301068227517253</v>
      </c>
      <c r="W34" s="197">
        <f t="shared" si="12"/>
        <v>350</v>
      </c>
      <c r="X34" s="443">
        <f t="shared" si="95"/>
        <v>350</v>
      </c>
      <c r="Z34" s="217">
        <f t="shared" si="13"/>
        <v>28.204709289064173</v>
      </c>
      <c r="AA34" s="173">
        <f t="shared" si="14"/>
        <v>1.6512947980185633</v>
      </c>
      <c r="AB34" s="173">
        <f t="shared" si="15"/>
        <v>0.38488475539654476</v>
      </c>
      <c r="AC34" s="173"/>
      <c r="AD34" s="173">
        <f t="shared" si="16"/>
        <v>0.78062368053258435</v>
      </c>
      <c r="AE34" s="545">
        <f t="shared" si="17"/>
        <v>708.03115013863624</v>
      </c>
      <c r="AF34" s="528">
        <f t="shared" si="18"/>
        <v>8.6013164799423655E-2</v>
      </c>
      <c r="AH34" s="173">
        <f t="shared" si="19"/>
        <v>18.919377821240769</v>
      </c>
      <c r="AI34" s="173">
        <f t="shared" si="20"/>
        <v>18.919377821240769</v>
      </c>
      <c r="AJ34" s="173">
        <f t="shared" si="21"/>
        <v>5.3378107317832857</v>
      </c>
      <c r="AL34" s="545">
        <f t="shared" si="22"/>
        <v>174</v>
      </c>
      <c r="AM34" s="460">
        <f t="shared" si="23"/>
        <v>350</v>
      </c>
      <c r="AO34">
        <f t="shared" si="96"/>
        <v>174</v>
      </c>
      <c r="AP34" s="460">
        <f t="shared" si="24"/>
        <v>350</v>
      </c>
      <c r="AQ34" s="460"/>
      <c r="AR34" s="5">
        <f t="shared" si="97"/>
        <v>2.8571428571428572</v>
      </c>
      <c r="AS34" s="5">
        <f t="shared" si="25"/>
        <v>0.80886829187876197</v>
      </c>
      <c r="AT34" s="5">
        <f t="shared" si="98"/>
        <v>2.0482745652640952</v>
      </c>
      <c r="AU34" s="173">
        <f t="shared" si="99"/>
        <v>0.2831039021575667</v>
      </c>
      <c r="AW34" s="5">
        <f t="shared" si="26"/>
        <v>8.2790048698179158E-2</v>
      </c>
      <c r="AX34" s="5">
        <f t="shared" si="27"/>
        <v>0.97738251935350395</v>
      </c>
      <c r="AY34" s="5">
        <f t="shared" si="28"/>
        <v>8.2890981305832945</v>
      </c>
      <c r="AZ34" s="5"/>
      <c r="BA34" s="173">
        <f t="shared" si="100"/>
        <v>5.8119136150546051</v>
      </c>
      <c r="BB34" s="173">
        <f t="shared" si="29"/>
        <v>0.43673776942079173</v>
      </c>
      <c r="BC34" s="173">
        <f t="shared" si="30"/>
        <v>0.34530401686025541</v>
      </c>
      <c r="BD34" s="173"/>
      <c r="BE34" s="528">
        <f t="shared" si="31"/>
        <v>1.3511335947542835</v>
      </c>
      <c r="BF34" s="528">
        <f t="shared" si="32"/>
        <v>3.0148367384650299</v>
      </c>
      <c r="BG34" s="528">
        <f t="shared" si="33"/>
        <v>0.16372955409226944</v>
      </c>
      <c r="BH34" s="528">
        <f t="shared" si="34"/>
        <v>2.8662285163421657E-2</v>
      </c>
      <c r="BI34">
        <f t="shared" si="35"/>
        <v>5.2627356672515181E-3</v>
      </c>
      <c r="BJ34" s="460">
        <f t="shared" si="101"/>
        <v>168.99228975952096</v>
      </c>
      <c r="BK34">
        <f t="shared" si="36"/>
        <v>7.0097855241379623</v>
      </c>
      <c r="BL34" s="460">
        <f t="shared" si="102"/>
        <v>7009.7855241379621</v>
      </c>
      <c r="BM34" s="173">
        <f t="shared" si="37"/>
        <v>0.15103199999999997</v>
      </c>
      <c r="BN34" s="173">
        <f t="shared" si="38"/>
        <v>0.12586</v>
      </c>
      <c r="BO34" s="528"/>
      <c r="BQ34" s="460">
        <f t="shared" si="103"/>
        <v>276.892</v>
      </c>
      <c r="BR34" s="528">
        <f t="shared" si="39"/>
        <v>1.0133501960657125</v>
      </c>
      <c r="BS34" s="528">
        <f t="shared" si="104"/>
        <v>5.7221963771594596E-3</v>
      </c>
      <c r="BT34" s="528">
        <f t="shared" si="40"/>
        <v>5.9617432029913779E-4</v>
      </c>
      <c r="BU34" s="528">
        <f t="shared" si="41"/>
        <v>178.40508990862335</v>
      </c>
      <c r="BV34" s="528">
        <f t="shared" si="42"/>
        <v>195.62749557391552</v>
      </c>
      <c r="BW34" s="625">
        <f t="shared" si="43"/>
        <v>3.1319999999999992</v>
      </c>
      <c r="BX34" s="460">
        <f t="shared" si="105"/>
        <v>198759.49557391554</v>
      </c>
      <c r="BY34" s="173">
        <f t="shared" si="106"/>
        <v>206.04617309805349</v>
      </c>
      <c r="BZ34" s="5">
        <f t="shared" si="107"/>
        <v>31.319999999999997</v>
      </c>
      <c r="CA34" s="173">
        <f t="shared" si="108"/>
        <v>0.13194803451232301</v>
      </c>
      <c r="CB34" s="5">
        <f t="shared" si="109"/>
        <v>13.194803451232302</v>
      </c>
      <c r="CC34">
        <f t="shared" si="110"/>
        <v>28.999999999999996</v>
      </c>
      <c r="CE34" s="562">
        <f t="shared" si="44"/>
        <v>-50</v>
      </c>
      <c r="CF34">
        <f t="shared" si="45"/>
        <v>-50</v>
      </c>
      <c r="CG34" s="173">
        <f t="shared" si="46"/>
        <v>0.37798664036345925</v>
      </c>
      <c r="CH34" s="173">
        <f t="shared" si="47"/>
        <v>9.4062465572631898E-2</v>
      </c>
      <c r="CI34" s="170">
        <v>29</v>
      </c>
      <c r="CJ34" s="217">
        <f t="shared" si="133"/>
        <v>0.17399999999999999</v>
      </c>
      <c r="CK34" s="217">
        <f t="shared" si="111"/>
        <v>0.14499999999999999</v>
      </c>
      <c r="CL34" s="217">
        <f t="shared" si="48"/>
        <v>29.58</v>
      </c>
      <c r="CM34" s="217">
        <f t="shared" si="134"/>
        <v>1.7399999999999998</v>
      </c>
      <c r="CN34" s="541">
        <f t="shared" si="112"/>
        <v>12.5</v>
      </c>
      <c r="CO34" s="443">
        <f t="shared" si="49"/>
        <v>8.5350000000000001</v>
      </c>
      <c r="CP34" s="443">
        <f t="shared" si="50"/>
        <v>21.035</v>
      </c>
      <c r="CQ34" s="443"/>
      <c r="CR34" s="217">
        <f t="shared" si="113"/>
        <v>0.40546967895362668</v>
      </c>
      <c r="CS34" s="172">
        <f t="shared" si="114"/>
        <v>159.55982736601052</v>
      </c>
      <c r="CT34" s="172">
        <f t="shared" si="51"/>
        <v>9.3858721980006177</v>
      </c>
      <c r="CU34" s="217">
        <f t="shared" si="52"/>
        <v>0.93858721980006188</v>
      </c>
      <c r="CV34" s="217">
        <f t="shared" si="53"/>
        <v>13.296652280500878</v>
      </c>
      <c r="CW34" s="443">
        <f t="shared" si="54"/>
        <v>170</v>
      </c>
      <c r="CX34" s="217">
        <f t="shared" si="55"/>
        <v>12.359000586510261</v>
      </c>
      <c r="CY34" s="217">
        <f t="shared" si="56"/>
        <v>0.49436002346041041</v>
      </c>
      <c r="CZ34" s="217">
        <f t="shared" si="57"/>
        <v>0.72401878069773051</v>
      </c>
      <c r="DA34" s="197">
        <f t="shared" si="58"/>
        <v>350</v>
      </c>
      <c r="DB34" s="443">
        <f t="shared" si="115"/>
        <v>350</v>
      </c>
      <c r="DD34" s="217">
        <f t="shared" si="59"/>
        <v>28.98230839756868</v>
      </c>
      <c r="DE34" s="173">
        <f t="shared" si="60"/>
        <v>1.6978505212401103</v>
      </c>
      <c r="DF34" s="173">
        <f t="shared" si="61"/>
        <v>0.40664636548103333</v>
      </c>
      <c r="DG34" s="173"/>
      <c r="DH34" s="173">
        <f t="shared" si="62"/>
        <v>0.78109744190587771</v>
      </c>
      <c r="DI34" s="545">
        <f t="shared" si="63"/>
        <v>707.60170588235292</v>
      </c>
      <c r="DJ34" s="528">
        <f t="shared" si="64"/>
        <v>8.6065366284073561E-2</v>
      </c>
      <c r="DL34" s="173">
        <f t="shared" si="65"/>
        <v>18.919377821240769</v>
      </c>
      <c r="DM34" s="173">
        <f t="shared" si="66"/>
        <v>18.919377821240769</v>
      </c>
      <c r="DN34" s="173">
        <f t="shared" si="67"/>
        <v>5.3378107317832857</v>
      </c>
      <c r="DP34" s="545">
        <f t="shared" si="68"/>
        <v>174</v>
      </c>
      <c r="DQ34" s="460">
        <f t="shared" si="69"/>
        <v>350</v>
      </c>
      <c r="DS34">
        <f t="shared" si="116"/>
        <v>174</v>
      </c>
      <c r="DT34" s="460">
        <f t="shared" si="70"/>
        <v>350</v>
      </c>
      <c r="DU34" s="460"/>
      <c r="DV34" s="5">
        <f t="shared" si="117"/>
        <v>2.8571428571428572</v>
      </c>
      <c r="DW34" s="5">
        <f t="shared" si="71"/>
        <v>0.75677511284963073</v>
      </c>
      <c r="DX34" s="5">
        <f t="shared" si="118"/>
        <v>2.1003677442932265</v>
      </c>
      <c r="DY34" s="173">
        <f t="shared" si="119"/>
        <v>0.26487128949737077</v>
      </c>
      <c r="EA34" s="5">
        <f t="shared" si="72"/>
        <v>7.7458158609315153E-2</v>
      </c>
      <c r="EB34" s="5">
        <f t="shared" si="73"/>
        <v>0.91443659469330374</v>
      </c>
      <c r="EC34" s="5">
        <f t="shared" si="74"/>
        <v>7.9524963681527865</v>
      </c>
      <c r="ED34" s="5"/>
      <c r="EE34" s="173">
        <f t="shared" si="120"/>
        <v>5.6216482202820712</v>
      </c>
      <c r="EF34" s="173">
        <f t="shared" si="75"/>
        <v>0.44225661310201053</v>
      </c>
      <c r="EG34" s="173">
        <f t="shared" si="76"/>
        <v>0.34966745649149233</v>
      </c>
      <c r="EH34" s="173"/>
      <c r="EI34" s="528">
        <f t="shared" si="77"/>
        <v>1.2641171485040232</v>
      </c>
      <c r="EJ34" s="528">
        <f t="shared" si="78"/>
        <v>3.8304527075218213</v>
      </c>
      <c r="EK34" s="528">
        <f t="shared" si="79"/>
        <v>6.9999999999999993E-2</v>
      </c>
      <c r="EL34" s="528">
        <f t="shared" si="80"/>
        <v>3.0972985749999998E-2</v>
      </c>
      <c r="EM34">
        <f t="shared" si="81"/>
        <v>5.6249999999999998E-3</v>
      </c>
      <c r="EN34" s="460">
        <f t="shared" si="121"/>
        <v>75.625</v>
      </c>
      <c r="EO34">
        <f t="shared" si="82"/>
        <v>7.9218366565667226</v>
      </c>
      <c r="EP34" s="460">
        <f t="shared" si="122"/>
        <v>7921.8366565667229</v>
      </c>
      <c r="EQ34" s="173">
        <f t="shared" si="83"/>
        <v>0.15103199999999997</v>
      </c>
      <c r="ER34" s="173">
        <f t="shared" si="84"/>
        <v>0.12586</v>
      </c>
      <c r="ES34" s="528"/>
      <c r="EU34" s="460">
        <f t="shared" si="123"/>
        <v>276.892</v>
      </c>
      <c r="EV34" s="528">
        <f t="shared" si="85"/>
        <v>0.94808786137801737</v>
      </c>
      <c r="EW34" s="528">
        <f t="shared" si="124"/>
        <v>5.8677273549738434E-3</v>
      </c>
      <c r="EX34" s="528">
        <f t="shared" si="86"/>
        <v>6.1133665064614848E-4</v>
      </c>
      <c r="EY34" s="528">
        <f t="shared" si="87"/>
        <v>178.40508990862335</v>
      </c>
      <c r="EZ34" s="528">
        <f t="shared" si="88"/>
        <v>194.43700350546024</v>
      </c>
      <c r="FA34" s="625">
        <f t="shared" si="89"/>
        <v>3.1319999999999992</v>
      </c>
      <c r="FB34" s="460">
        <f t="shared" si="125"/>
        <v>197569.00350546025</v>
      </c>
      <c r="FC34" s="173">
        <f t="shared" si="126"/>
        <v>205.76773216202696</v>
      </c>
      <c r="FD34" s="5">
        <f t="shared" si="127"/>
        <v>31.319999999999997</v>
      </c>
      <c r="FE34" s="173">
        <f t="shared" si="128"/>
        <v>0.13210299712427023</v>
      </c>
      <c r="FF34" s="5">
        <f t="shared" si="129"/>
        <v>13.210299712427023</v>
      </c>
      <c r="FG34">
        <f t="shared" si="130"/>
        <v>28.999999999999996</v>
      </c>
      <c r="FI34" s="562">
        <f t="shared" si="90"/>
        <v>-50</v>
      </c>
      <c r="FJ34">
        <f t="shared" si="91"/>
        <v>-50</v>
      </c>
      <c r="FL34">
        <f t="shared" si="92"/>
        <v>0.3779866403634593</v>
      </c>
    </row>
    <row r="35" spans="5:168">
      <c r="E35" s="170">
        <v>30</v>
      </c>
      <c r="F35" s="217">
        <f t="shared" si="131"/>
        <v>0.18</v>
      </c>
      <c r="G35" s="217">
        <f t="shared" si="93"/>
        <v>0.15</v>
      </c>
      <c r="H35" s="217">
        <f t="shared" si="0"/>
        <v>30.599999999999998</v>
      </c>
      <c r="I35" s="217">
        <f t="shared" si="132"/>
        <v>1.7999999999999998</v>
      </c>
      <c r="J35" s="541">
        <f t="shared" si="1"/>
        <v>11.681205924332366</v>
      </c>
      <c r="K35" s="443">
        <f t="shared" si="2"/>
        <v>8.5402684526494586</v>
      </c>
      <c r="L35" s="172">
        <f t="shared" si="3"/>
        <v>20.221474376981824</v>
      </c>
      <c r="M35" s="443"/>
      <c r="N35" s="217">
        <f t="shared" si="4"/>
        <v>0.42233658601921115</v>
      </c>
      <c r="O35" s="172">
        <f t="shared" si="94"/>
        <v>155.310760595164</v>
      </c>
      <c r="P35" s="172">
        <f t="shared" si="5"/>
        <v>9.1359270938331765</v>
      </c>
      <c r="Q35" s="217">
        <f t="shared" si="6"/>
        <v>0.9135927093833176</v>
      </c>
      <c r="R35" s="217">
        <f t="shared" si="7"/>
        <v>12.942563382930333</v>
      </c>
      <c r="S35" s="443">
        <f t="shared" si="8"/>
        <v>170</v>
      </c>
      <c r="T35" s="217">
        <f t="shared" si="9"/>
        <v>13.134955956577297</v>
      </c>
      <c r="U35" s="217">
        <f t="shared" si="10"/>
        <v>0.56222602536338806</v>
      </c>
      <c r="V35" s="217">
        <f t="shared" si="11"/>
        <v>0.76900135103495615</v>
      </c>
      <c r="W35" s="197">
        <f t="shared" si="12"/>
        <v>350</v>
      </c>
      <c r="X35" s="443">
        <f t="shared" si="95"/>
        <v>350</v>
      </c>
      <c r="Z35" s="217">
        <f t="shared" si="13"/>
        <v>28.190860746685228</v>
      </c>
      <c r="AA35" s="173">
        <f t="shared" si="14"/>
        <v>1.6504668970879679</v>
      </c>
      <c r="AB35" s="173">
        <f t="shared" si="15"/>
        <v>0.38450290368580881</v>
      </c>
      <c r="AC35" s="173"/>
      <c r="AD35" s="173">
        <f t="shared" si="16"/>
        <v>0.78061558645717488</v>
      </c>
      <c r="AE35" s="545">
        <f t="shared" si="17"/>
        <v>732.45361199781803</v>
      </c>
      <c r="AF35" s="528">
        <f t="shared" si="18"/>
        <v>8.6012272952225771E-2</v>
      </c>
      <c r="AH35" s="173">
        <f t="shared" si="19"/>
        <v>19.242809417694556</v>
      </c>
      <c r="AI35" s="173">
        <f t="shared" si="20"/>
        <v>19.242809417694556</v>
      </c>
      <c r="AJ35" s="173">
        <f t="shared" si="21"/>
        <v>5.5773896921194233</v>
      </c>
      <c r="AL35" s="545">
        <f t="shared" si="22"/>
        <v>180</v>
      </c>
      <c r="AM35" s="460">
        <f t="shared" si="23"/>
        <v>350</v>
      </c>
      <c r="AO35">
        <f t="shared" si="96"/>
        <v>180</v>
      </c>
      <c r="AP35" s="460">
        <f t="shared" si="24"/>
        <v>350</v>
      </c>
      <c r="AQ35" s="460"/>
      <c r="AR35" s="5">
        <f t="shared" si="97"/>
        <v>2.8571428571428572</v>
      </c>
      <c r="AS35" s="5">
        <f t="shared" si="25"/>
        <v>0.82366536222133979</v>
      </c>
      <c r="AT35" s="5">
        <f t="shared" si="98"/>
        <v>2.0334774949215175</v>
      </c>
      <c r="AU35" s="173">
        <f t="shared" si="99"/>
        <v>0.28828287677746894</v>
      </c>
      <c r="AW35" s="5">
        <f t="shared" si="26"/>
        <v>8.7211626588141855E-2</v>
      </c>
      <c r="AX35" s="5">
        <f t="shared" si="27"/>
        <v>1.0295817027766747</v>
      </c>
      <c r="AY35" s="5">
        <f t="shared" si="28"/>
        <v>8.5230119900525363</v>
      </c>
      <c r="AZ35" s="5"/>
      <c r="BA35" s="173">
        <f t="shared" si="100"/>
        <v>5.9650937669044133</v>
      </c>
      <c r="BB35" s="173">
        <f t="shared" si="29"/>
        <v>0.44259650398992784</v>
      </c>
      <c r="BC35" s="173">
        <f t="shared" si="30"/>
        <v>0.34993618912033658</v>
      </c>
      <c r="BD35" s="173"/>
      <c r="BE35" s="528">
        <f t="shared" si="31"/>
        <v>1.4232937459184754</v>
      </c>
      <c r="BF35" s="528">
        <f t="shared" si="32"/>
        <v>3.064304073450808</v>
      </c>
      <c r="BG35" s="528">
        <f t="shared" si="33"/>
        <v>0.16353688294065313</v>
      </c>
      <c r="BH35" s="528">
        <f t="shared" si="34"/>
        <v>2.8623561818525274E-2</v>
      </c>
      <c r="BI35">
        <f t="shared" si="35"/>
        <v>5.2565426659495641E-3</v>
      </c>
      <c r="BJ35" s="460">
        <f t="shared" si="101"/>
        <v>168.79342560660271</v>
      </c>
      <c r="BK35">
        <f t="shared" si="36"/>
        <v>7.4045369796662559</v>
      </c>
      <c r="BL35" s="460">
        <f t="shared" si="102"/>
        <v>7404.5369796662562</v>
      </c>
      <c r="BM35" s="173">
        <f t="shared" si="37"/>
        <v>0.15623999999999999</v>
      </c>
      <c r="BN35" s="173">
        <f t="shared" si="38"/>
        <v>0.13019999999999998</v>
      </c>
      <c r="BO35" s="528"/>
      <c r="BQ35" s="460">
        <f t="shared" si="103"/>
        <v>286.44</v>
      </c>
      <c r="BR35" s="528">
        <f t="shared" si="39"/>
        <v>1.0674703094388565</v>
      </c>
      <c r="BS35" s="528">
        <f t="shared" si="104"/>
        <v>5.8767499603231861E-3</v>
      </c>
      <c r="BT35" s="528">
        <f t="shared" si="40"/>
        <v>6.1227668228031995E-4</v>
      </c>
      <c r="BU35" s="528">
        <f t="shared" si="41"/>
        <v>186.12782897395272</v>
      </c>
      <c r="BV35" s="528">
        <f t="shared" si="42"/>
        <v>205.07928343745803</v>
      </c>
      <c r="BW35" s="625">
        <f t="shared" si="43"/>
        <v>3.24</v>
      </c>
      <c r="BX35" s="460">
        <f t="shared" si="105"/>
        <v>208319.28343745804</v>
      </c>
      <c r="BY35" s="173">
        <f t="shared" si="106"/>
        <v>216.0102604171243</v>
      </c>
      <c r="BZ35" s="5">
        <f t="shared" si="107"/>
        <v>32.4</v>
      </c>
      <c r="CA35" s="173">
        <f t="shared" si="108"/>
        <v>0.13042939508857132</v>
      </c>
      <c r="CB35" s="5">
        <f t="shared" si="109"/>
        <v>13.042939508857131</v>
      </c>
      <c r="CC35">
        <f t="shared" si="110"/>
        <v>30</v>
      </c>
      <c r="CE35" s="562">
        <f t="shared" si="44"/>
        <v>-50</v>
      </c>
      <c r="CF35">
        <f t="shared" si="45"/>
        <v>-50</v>
      </c>
      <c r="CG35" s="173">
        <f t="shared" si="46"/>
        <v>0.38444841853005962</v>
      </c>
      <c r="CH35" s="173">
        <f t="shared" si="47"/>
        <v>9.5670487448085956E-2</v>
      </c>
      <c r="CI35" s="170">
        <v>30</v>
      </c>
      <c r="CJ35" s="217">
        <f t="shared" si="133"/>
        <v>0.18</v>
      </c>
      <c r="CK35" s="217">
        <f t="shared" si="111"/>
        <v>0.15</v>
      </c>
      <c r="CL35" s="217">
        <f t="shared" si="48"/>
        <v>30.599999999999998</v>
      </c>
      <c r="CM35" s="217">
        <f t="shared" si="134"/>
        <v>1.7999999999999998</v>
      </c>
      <c r="CN35" s="541">
        <f t="shared" si="112"/>
        <v>12.5</v>
      </c>
      <c r="CO35" s="443">
        <f t="shared" si="49"/>
        <v>8.5350000000000001</v>
      </c>
      <c r="CP35" s="443">
        <f t="shared" si="50"/>
        <v>21.035</v>
      </c>
      <c r="CQ35" s="443"/>
      <c r="CR35" s="217">
        <f t="shared" si="113"/>
        <v>0.40546967895362668</v>
      </c>
      <c r="CS35" s="172">
        <f t="shared" si="114"/>
        <v>159.55982736601052</v>
      </c>
      <c r="CT35" s="172">
        <f t="shared" si="51"/>
        <v>9.3858721980006177</v>
      </c>
      <c r="CU35" s="217">
        <f t="shared" si="52"/>
        <v>0.93858721980006188</v>
      </c>
      <c r="CV35" s="217">
        <f t="shared" si="53"/>
        <v>13.296652280500878</v>
      </c>
      <c r="CW35" s="443">
        <f t="shared" si="54"/>
        <v>170</v>
      </c>
      <c r="CX35" s="217">
        <f t="shared" si="55"/>
        <v>12.785173020527857</v>
      </c>
      <c r="CY35" s="217">
        <f t="shared" si="56"/>
        <v>0.51140692082111427</v>
      </c>
      <c r="CZ35" s="217">
        <f t="shared" si="57"/>
        <v>0.74898494554937656</v>
      </c>
      <c r="DA35" s="197">
        <f t="shared" si="58"/>
        <v>350</v>
      </c>
      <c r="DB35" s="443">
        <f t="shared" si="115"/>
        <v>350</v>
      </c>
      <c r="DD35" s="217">
        <f t="shared" si="59"/>
        <v>28.98230839756868</v>
      </c>
      <c r="DE35" s="173">
        <f t="shared" si="60"/>
        <v>1.6978505212401103</v>
      </c>
      <c r="DF35" s="173">
        <f t="shared" si="61"/>
        <v>0.40664636548103333</v>
      </c>
      <c r="DG35" s="173"/>
      <c r="DH35" s="173">
        <f t="shared" si="62"/>
        <v>0.78109744190587771</v>
      </c>
      <c r="DI35" s="545">
        <f t="shared" si="63"/>
        <v>732.00176470588247</v>
      </c>
      <c r="DJ35" s="528">
        <f t="shared" si="64"/>
        <v>8.6065366284073561E-2</v>
      </c>
      <c r="DL35" s="173">
        <f t="shared" si="65"/>
        <v>19.242809417694556</v>
      </c>
      <c r="DM35" s="173">
        <f t="shared" si="66"/>
        <v>19.242809417694556</v>
      </c>
      <c r="DN35" s="173">
        <f t="shared" si="67"/>
        <v>5.5773896921194233</v>
      </c>
      <c r="DP35" s="545">
        <f t="shared" si="68"/>
        <v>180</v>
      </c>
      <c r="DQ35" s="460">
        <f t="shared" si="69"/>
        <v>350</v>
      </c>
      <c r="DS35">
        <f t="shared" si="116"/>
        <v>180</v>
      </c>
      <c r="DT35" s="460">
        <f t="shared" si="70"/>
        <v>350</v>
      </c>
      <c r="DU35" s="460"/>
      <c r="DV35" s="5">
        <f t="shared" si="117"/>
        <v>2.8571428571428572</v>
      </c>
      <c r="DW35" s="5">
        <f t="shared" si="71"/>
        <v>0.76971237670778225</v>
      </c>
      <c r="DX35" s="5">
        <f t="shared" si="118"/>
        <v>2.0874304804350752</v>
      </c>
      <c r="DY35" s="173">
        <f t="shared" si="119"/>
        <v>0.2693993318477238</v>
      </c>
      <c r="EA35" s="5">
        <f t="shared" si="72"/>
        <v>8.1498957533765182E-2</v>
      </c>
      <c r="EB35" s="5">
        <f t="shared" si="73"/>
        <v>0.96214047088472765</v>
      </c>
      <c r="EC35" s="5">
        <f t="shared" si="74"/>
        <v>8.1760477057681022</v>
      </c>
      <c r="ED35" s="5"/>
      <c r="EE35" s="173">
        <f t="shared" si="120"/>
        <v>5.7664178372518409</v>
      </c>
      <c r="EF35" s="173">
        <f t="shared" si="75"/>
        <v>0.44842963359027938</v>
      </c>
      <c r="EG35" s="173">
        <f t="shared" si="76"/>
        <v>0.35454811697017452</v>
      </c>
      <c r="EH35" s="173"/>
      <c r="EI35" s="528">
        <f t="shared" si="77"/>
        <v>1.3300629869510479</v>
      </c>
      <c r="EJ35" s="528">
        <f t="shared" si="78"/>
        <v>3.8959352749740983</v>
      </c>
      <c r="EK35" s="528">
        <f t="shared" si="79"/>
        <v>6.9999999999999993E-2</v>
      </c>
      <c r="EL35" s="528">
        <f t="shared" si="80"/>
        <v>3.0972985749999998E-2</v>
      </c>
      <c r="EM35">
        <f t="shared" si="81"/>
        <v>5.6249999999999998E-3</v>
      </c>
      <c r="EN35" s="460">
        <f t="shared" si="121"/>
        <v>75.625</v>
      </c>
      <c r="EO35">
        <f t="shared" si="82"/>
        <v>8.3214976069677409</v>
      </c>
      <c r="EP35" s="460">
        <f t="shared" si="122"/>
        <v>8321.4976069677414</v>
      </c>
      <c r="EQ35" s="173">
        <f t="shared" si="83"/>
        <v>0.15623999999999999</v>
      </c>
      <c r="ER35" s="173">
        <f t="shared" si="84"/>
        <v>0.13019999999999998</v>
      </c>
      <c r="ES35" s="528"/>
      <c r="EU35" s="460">
        <f t="shared" si="123"/>
        <v>286.44</v>
      </c>
      <c r="EV35" s="528">
        <f t="shared" si="85"/>
        <v>0.99754724021328589</v>
      </c>
      <c r="EW35" s="528">
        <f t="shared" si="124"/>
        <v>6.0326740884573665E-3</v>
      </c>
      <c r="EX35" s="528">
        <f t="shared" si="86"/>
        <v>6.2852183623548271E-4</v>
      </c>
      <c r="EY35" s="528">
        <f t="shared" si="87"/>
        <v>186.12782897395272</v>
      </c>
      <c r="EZ35" s="528">
        <f t="shared" si="88"/>
        <v>203.74091509255723</v>
      </c>
      <c r="FA35" s="625">
        <f t="shared" si="89"/>
        <v>3.24</v>
      </c>
      <c r="FB35" s="460">
        <f t="shared" si="125"/>
        <v>206980.91509255723</v>
      </c>
      <c r="FC35" s="173">
        <f t="shared" si="126"/>
        <v>215.58885269952498</v>
      </c>
      <c r="FD35" s="5">
        <f t="shared" si="127"/>
        <v>32.4</v>
      </c>
      <c r="FE35" s="173">
        <f t="shared" si="128"/>
        <v>0.13065103389650087</v>
      </c>
      <c r="FF35" s="5">
        <f t="shared" si="129"/>
        <v>13.065103389650087</v>
      </c>
      <c r="FG35">
        <f t="shared" si="130"/>
        <v>30</v>
      </c>
      <c r="FI35" s="562">
        <f t="shared" si="90"/>
        <v>-50</v>
      </c>
      <c r="FJ35">
        <f t="shared" si="91"/>
        <v>-50</v>
      </c>
      <c r="FL35">
        <f t="shared" si="92"/>
        <v>0.38444841853005968</v>
      </c>
    </row>
    <row r="36" spans="5:168">
      <c r="E36" s="170">
        <v>31</v>
      </c>
      <c r="F36" s="217">
        <f t="shared" si="131"/>
        <v>0.186</v>
      </c>
      <c r="G36" s="217">
        <f t="shared" si="93"/>
        <v>0.155</v>
      </c>
      <c r="H36" s="217">
        <f t="shared" si="0"/>
        <v>31.62</v>
      </c>
      <c r="I36" s="217">
        <f t="shared" si="132"/>
        <v>1.8599999999999999</v>
      </c>
      <c r="J36" s="541">
        <f t="shared" si="1"/>
        <v>11.667671221035002</v>
      </c>
      <c r="K36" s="443">
        <f t="shared" si="2"/>
        <v>8.5403555404112836</v>
      </c>
      <c r="L36" s="172">
        <f t="shared" si="3"/>
        <v>20.208026761446284</v>
      </c>
      <c r="M36" s="443"/>
      <c r="N36" s="217">
        <f t="shared" si="4"/>
        <v>0.42262194331140385</v>
      </c>
      <c r="O36" s="172">
        <f t="shared" si="94"/>
        <v>155.23562231664815</v>
      </c>
      <c r="P36" s="172">
        <f t="shared" si="5"/>
        <v>9.1315071950969493</v>
      </c>
      <c r="Q36" s="217">
        <f t="shared" si="6"/>
        <v>0.91315071950969495</v>
      </c>
      <c r="R36" s="217">
        <f t="shared" si="7"/>
        <v>12.936301859720679</v>
      </c>
      <c r="S36" s="443">
        <f t="shared" si="8"/>
        <v>170</v>
      </c>
      <c r="T36" s="217">
        <f t="shared" si="9"/>
        <v>13.579357421585376</v>
      </c>
      <c r="U36" s="217">
        <f t="shared" si="10"/>
        <v>0.58192235469850651</v>
      </c>
      <c r="V36" s="217">
        <f t="shared" si="11"/>
        <v>0.79501124732632766</v>
      </c>
      <c r="W36" s="197">
        <f t="shared" si="12"/>
        <v>350</v>
      </c>
      <c r="X36" s="443">
        <f t="shared" si="95"/>
        <v>350</v>
      </c>
      <c r="Z36" s="217">
        <f t="shared" si="13"/>
        <v>28.177222202013446</v>
      </c>
      <c r="AA36" s="173">
        <f t="shared" si="14"/>
        <v>1.6496515905388465</v>
      </c>
      <c r="AB36" s="173">
        <f t="shared" si="15"/>
        <v>0.3841270368944194</v>
      </c>
      <c r="AC36" s="173"/>
      <c r="AD36" s="173">
        <f t="shared" si="16"/>
        <v>0.78060762635950109</v>
      </c>
      <c r="AE36" s="545">
        <f t="shared" si="17"/>
        <v>756.87645042256713</v>
      </c>
      <c r="AF36" s="528">
        <f t="shared" si="18"/>
        <v>8.601139586738947E-2</v>
      </c>
      <c r="AH36" s="173">
        <f t="shared" si="19"/>
        <v>19.560893932245826</v>
      </c>
      <c r="AI36" s="173">
        <f t="shared" si="20"/>
        <v>19.560893932245826</v>
      </c>
      <c r="AJ36" s="173">
        <f t="shared" si="21"/>
        <v>5.8130078510462901</v>
      </c>
      <c r="AL36" s="545">
        <f t="shared" si="22"/>
        <v>186</v>
      </c>
      <c r="AM36" s="460">
        <f t="shared" si="23"/>
        <v>350</v>
      </c>
      <c r="AO36">
        <f t="shared" si="96"/>
        <v>186</v>
      </c>
      <c r="AP36" s="460">
        <f t="shared" si="24"/>
        <v>350</v>
      </c>
      <c r="AQ36" s="460"/>
      <c r="AR36" s="5">
        <f t="shared" si="97"/>
        <v>2.8571428571428572</v>
      </c>
      <c r="AS36" s="5">
        <f t="shared" si="25"/>
        <v>0.83825184827716803</v>
      </c>
      <c r="AT36" s="5">
        <f t="shared" si="98"/>
        <v>2.0188910088656891</v>
      </c>
      <c r="AU36" s="173">
        <f t="shared" si="99"/>
        <v>0.29338814689700882</v>
      </c>
      <c r="AW36" s="5">
        <f t="shared" si="26"/>
        <v>9.171461398797251E-2</v>
      </c>
      <c r="AX36" s="5">
        <f t="shared" si="27"/>
        <v>1.0827419706913421</v>
      </c>
      <c r="AY36" s="5">
        <f t="shared" si="28"/>
        <v>8.7540805689134302</v>
      </c>
      <c r="AZ36" s="5"/>
      <c r="BA36" s="173">
        <f t="shared" si="100"/>
        <v>6.1171531374564099</v>
      </c>
      <c r="BB36" s="173">
        <f t="shared" si="29"/>
        <v>0.44829608951162969</v>
      </c>
      <c r="BC36" s="173">
        <f t="shared" si="30"/>
        <v>0.35444253117014907</v>
      </c>
      <c r="BD36" s="173"/>
      <c r="BE36" s="528">
        <f t="shared" si="31"/>
        <v>1.4967825002837121</v>
      </c>
      <c r="BF36" s="528">
        <f t="shared" si="32"/>
        <v>3.1128856609775073</v>
      </c>
      <c r="BG36" s="528">
        <f t="shared" si="33"/>
        <v>0.16334739709449003</v>
      </c>
      <c r="BH36" s="528">
        <f t="shared" si="34"/>
        <v>2.8585504191393045E-2</v>
      </c>
      <c r="BI36">
        <f t="shared" si="35"/>
        <v>5.250452049465751E-3</v>
      </c>
      <c r="BJ36" s="460">
        <f t="shared" si="101"/>
        <v>168.59784914395578</v>
      </c>
      <c r="BK36">
        <f t="shared" si="36"/>
        <v>7.8253614424982647</v>
      </c>
      <c r="BL36" s="460">
        <f t="shared" si="102"/>
        <v>7825.3614424982643</v>
      </c>
      <c r="BM36" s="173">
        <f t="shared" si="37"/>
        <v>0.16144799999999998</v>
      </c>
      <c r="BN36" s="173">
        <f t="shared" si="38"/>
        <v>0.13453999999999999</v>
      </c>
      <c r="BO36" s="528"/>
      <c r="BQ36" s="460">
        <f t="shared" si="103"/>
        <v>295.988</v>
      </c>
      <c r="BR36" s="528">
        <f t="shared" si="39"/>
        <v>1.1225868752127839</v>
      </c>
      <c r="BS36" s="528">
        <f t="shared" si="104"/>
        <v>6.0290815161425726E-3</v>
      </c>
      <c r="BT36" s="528">
        <f t="shared" si="40"/>
        <v>6.2814753951151046E-4</v>
      </c>
      <c r="BU36" s="528">
        <f t="shared" si="41"/>
        <v>193.91520361474042</v>
      </c>
      <c r="BV36" s="528">
        <f t="shared" si="42"/>
        <v>214.71249151667246</v>
      </c>
      <c r="BW36" s="625">
        <f t="shared" si="43"/>
        <v>3.3480000000000016</v>
      </c>
      <c r="BX36" s="460">
        <f t="shared" si="105"/>
        <v>218060.49151667248</v>
      </c>
      <c r="BY36" s="173">
        <f t="shared" si="106"/>
        <v>226.18184095917073</v>
      </c>
      <c r="BZ36" s="5">
        <f t="shared" si="107"/>
        <v>33.480000000000004</v>
      </c>
      <c r="CA36" s="173">
        <f t="shared" si="108"/>
        <v>0.12893692764530776</v>
      </c>
      <c r="CB36" s="5">
        <f t="shared" si="109"/>
        <v>12.893692764530776</v>
      </c>
      <c r="CC36">
        <f t="shared" si="110"/>
        <v>31</v>
      </c>
      <c r="CE36" s="562">
        <f t="shared" si="44"/>
        <v>-50</v>
      </c>
      <c r="CF36">
        <f t="shared" si="45"/>
        <v>-50</v>
      </c>
      <c r="CG36" s="173">
        <f t="shared" si="46"/>
        <v>0.39080336836735768</v>
      </c>
      <c r="CH36" s="173">
        <f t="shared" si="47"/>
        <v>9.7251924955273697E-2</v>
      </c>
      <c r="CI36" s="170">
        <v>31</v>
      </c>
      <c r="CJ36" s="217">
        <f t="shared" si="133"/>
        <v>0.186</v>
      </c>
      <c r="CK36" s="217">
        <f t="shared" si="111"/>
        <v>0.155</v>
      </c>
      <c r="CL36" s="217">
        <f t="shared" si="48"/>
        <v>31.62</v>
      </c>
      <c r="CM36" s="217">
        <f t="shared" si="134"/>
        <v>1.8599999999999999</v>
      </c>
      <c r="CN36" s="541">
        <f t="shared" si="112"/>
        <v>12.5</v>
      </c>
      <c r="CO36" s="443">
        <f t="shared" si="49"/>
        <v>8.5350000000000001</v>
      </c>
      <c r="CP36" s="443">
        <f t="shared" si="50"/>
        <v>21.035</v>
      </c>
      <c r="CQ36" s="443"/>
      <c r="CR36" s="217">
        <f t="shared" si="113"/>
        <v>0.40546967895362668</v>
      </c>
      <c r="CS36" s="172">
        <f t="shared" si="114"/>
        <v>159.55982736601052</v>
      </c>
      <c r="CT36" s="172">
        <f t="shared" si="51"/>
        <v>9.3858721980006177</v>
      </c>
      <c r="CU36" s="217">
        <f t="shared" si="52"/>
        <v>0.93858721980006188</v>
      </c>
      <c r="CV36" s="217">
        <f t="shared" si="53"/>
        <v>13.296652280500878</v>
      </c>
      <c r="CW36" s="443">
        <f t="shared" si="54"/>
        <v>170</v>
      </c>
      <c r="CX36" s="217">
        <f t="shared" si="55"/>
        <v>13.211345454545453</v>
      </c>
      <c r="CY36" s="217">
        <f t="shared" si="56"/>
        <v>0.52845381818181814</v>
      </c>
      <c r="CZ36" s="217">
        <f t="shared" si="57"/>
        <v>0.77395111040102249</v>
      </c>
      <c r="DA36" s="197">
        <f t="shared" si="58"/>
        <v>350</v>
      </c>
      <c r="DB36" s="443">
        <f t="shared" si="115"/>
        <v>350</v>
      </c>
      <c r="DD36" s="217">
        <f t="shared" si="59"/>
        <v>28.98230839756868</v>
      </c>
      <c r="DE36" s="173">
        <f t="shared" si="60"/>
        <v>1.6978505212401103</v>
      </c>
      <c r="DF36" s="173">
        <f t="shared" si="61"/>
        <v>0.40664636548103333</v>
      </c>
      <c r="DG36" s="173"/>
      <c r="DH36" s="173">
        <f t="shared" si="62"/>
        <v>0.78109744190587771</v>
      </c>
      <c r="DI36" s="545">
        <f t="shared" si="63"/>
        <v>756.40182352941179</v>
      </c>
      <c r="DJ36" s="528">
        <f t="shared" si="64"/>
        <v>8.6065366284073561E-2</v>
      </c>
      <c r="DL36" s="173">
        <f t="shared" si="65"/>
        <v>19.560893932245826</v>
      </c>
      <c r="DM36" s="173">
        <f t="shared" si="66"/>
        <v>19.560893932245826</v>
      </c>
      <c r="DN36" s="173">
        <f t="shared" si="67"/>
        <v>5.8130078510462901</v>
      </c>
      <c r="DP36" s="545">
        <f t="shared" si="68"/>
        <v>186</v>
      </c>
      <c r="DQ36" s="460">
        <f t="shared" si="69"/>
        <v>350</v>
      </c>
      <c r="DS36">
        <f t="shared" si="116"/>
        <v>186</v>
      </c>
      <c r="DT36" s="460">
        <f t="shared" si="70"/>
        <v>350</v>
      </c>
      <c r="DU36" s="460"/>
      <c r="DV36" s="5">
        <f t="shared" si="117"/>
        <v>2.8571428571428572</v>
      </c>
      <c r="DW36" s="5">
        <f t="shared" si="71"/>
        <v>0.78243575728983294</v>
      </c>
      <c r="DX36" s="5">
        <f t="shared" si="118"/>
        <v>2.0747070998530242</v>
      </c>
      <c r="DY36" s="173">
        <f t="shared" si="119"/>
        <v>0.27385251505144154</v>
      </c>
      <c r="EA36" s="5">
        <f t="shared" si="72"/>
        <v>8.5607676974064073E-2</v>
      </c>
      <c r="EB36" s="5">
        <f t="shared" si="73"/>
        <v>1.0106461864993677</v>
      </c>
      <c r="EC36" s="5">
        <f t="shared" si="74"/>
        <v>8.3970865276611359</v>
      </c>
      <c r="ED36" s="5"/>
      <c r="EE36" s="173">
        <f t="shared" si="120"/>
        <v>5.9099858041638447</v>
      </c>
      <c r="EF36" s="173">
        <f t="shared" si="75"/>
        <v>0.45445083962934196</v>
      </c>
      <c r="EG36" s="173">
        <f t="shared" si="76"/>
        <v>0.3593087462933241</v>
      </c>
      <c r="EH36" s="173"/>
      <c r="EI36" s="528">
        <f t="shared" si="77"/>
        <v>1.3971172882167266</v>
      </c>
      <c r="EJ36" s="528">
        <f t="shared" si="78"/>
        <v>3.9603352621986132</v>
      </c>
      <c r="EK36" s="528">
        <f t="shared" si="79"/>
        <v>6.9999999999999993E-2</v>
      </c>
      <c r="EL36" s="528">
        <f t="shared" si="80"/>
        <v>3.0972985749999998E-2</v>
      </c>
      <c r="EM36">
        <f t="shared" si="81"/>
        <v>5.6249999999999998E-3</v>
      </c>
      <c r="EN36" s="460">
        <f t="shared" si="121"/>
        <v>75.625</v>
      </c>
      <c r="EO36">
        <f t="shared" si="82"/>
        <v>8.7438313223943496</v>
      </c>
      <c r="EP36" s="460">
        <f t="shared" si="122"/>
        <v>8743.8313223943496</v>
      </c>
      <c r="EQ36" s="173">
        <f t="shared" si="83"/>
        <v>0.16144799999999998</v>
      </c>
      <c r="ER36" s="173">
        <f t="shared" si="84"/>
        <v>0.13453999999999999</v>
      </c>
      <c r="ES36" s="528"/>
      <c r="EU36" s="460">
        <f t="shared" si="123"/>
        <v>295.988</v>
      </c>
      <c r="EV36" s="528">
        <f t="shared" si="85"/>
        <v>1.047837966162545</v>
      </c>
      <c r="EW36" s="528">
        <f t="shared" si="124"/>
        <v>6.1957669691944167E-3</v>
      </c>
      <c r="EX36" s="528">
        <f t="shared" si="86"/>
        <v>6.4551387581440181E-4</v>
      </c>
      <c r="EY36" s="528">
        <f t="shared" si="87"/>
        <v>193.91520361474042</v>
      </c>
      <c r="EZ36" s="528">
        <f t="shared" si="88"/>
        <v>213.21268544394835</v>
      </c>
      <c r="FA36" s="625">
        <f t="shared" si="89"/>
        <v>3.3480000000000016</v>
      </c>
      <c r="FB36" s="460">
        <f t="shared" si="125"/>
        <v>216560.68544394837</v>
      </c>
      <c r="FC36" s="173">
        <f t="shared" si="126"/>
        <v>225.60050476634271</v>
      </c>
      <c r="FD36" s="5">
        <f t="shared" si="127"/>
        <v>33.480000000000004</v>
      </c>
      <c r="FE36" s="173">
        <f t="shared" si="128"/>
        <v>0.1292262419752295</v>
      </c>
      <c r="FF36" s="5">
        <f t="shared" si="129"/>
        <v>12.92262419752295</v>
      </c>
      <c r="FG36">
        <f t="shared" si="130"/>
        <v>31</v>
      </c>
      <c r="FI36" s="562">
        <f t="shared" si="90"/>
        <v>-50</v>
      </c>
      <c r="FJ36">
        <f t="shared" si="91"/>
        <v>-50</v>
      </c>
      <c r="FL36">
        <f t="shared" si="92"/>
        <v>0.39080336836735768</v>
      </c>
    </row>
    <row r="37" spans="5:168">
      <c r="E37" s="170">
        <v>32</v>
      </c>
      <c r="F37" s="217">
        <f t="shared" si="131"/>
        <v>0.192</v>
      </c>
      <c r="G37" s="217">
        <f t="shared" si="93"/>
        <v>0.16</v>
      </c>
      <c r="H37" s="217">
        <f t="shared" ref="H37:H68" si="135">F37*Vout</f>
        <v>32.64</v>
      </c>
      <c r="I37" s="217">
        <f t="shared" si="132"/>
        <v>1.92</v>
      </c>
      <c r="J37" s="541">
        <f t="shared" ref="J37:J68" si="136">Vin-(F37/CG37/Nps+G37/CH37/(Nps/Nsec1sec2))*(Rdcr_pri+RON/1000)</f>
        <v>11.654353114924255</v>
      </c>
      <c r="K37" s="443">
        <f t="shared" ref="K37:K68" si="137">MAX((S37+Vfwd2+Rdcr_sec*F37/CG37)*Nps,(Vout2+Vfwd22+Rdcr_sec2*G37/CH37)*Nps/Nsec1sec2)</f>
        <v>8.5404412344991023</v>
      </c>
      <c r="L37" s="172">
        <f t="shared" ref="L37:L68" si="138">MAX((Vout+Vfwd2+F37/CG37*Rdcr_sec)*Nps+J37, (Vout2+Vfwd22+G37/CH37*Rdcr_sec2)*Nps/Nsec1sec2+J37)</f>
        <v>20.194794349423358</v>
      </c>
      <c r="M37" s="443"/>
      <c r="N37" s="217">
        <f t="shared" ref="N37:N68" si="139">MAX((Vout+Vfwd2+F37/CG37*Rdcr_sec)*Nps/((Vout+Vfwd2+F37/CG37*Rdcr_sec)*Nps+J37), (Vout2+Vfwd22+G37/CH37*Rdcr_sec2)*Nps/Nsec1sec2/((Vout2+Vfwd22+G37/CH37*Rdcr_sec2)*Nps/Nsec1sec2+J37))</f>
        <v>0.42290310496491718</v>
      </c>
      <c r="O37" s="172">
        <f t="shared" si="94"/>
        <v>155.1615852170433</v>
      </c>
      <c r="P37" s="172">
        <f t="shared" ref="P37:P68" si="140">N37*J37*Isw_max*0.5*Efficiency*(Pout2/Pout_total)</f>
        <v>9.1271520715907819</v>
      </c>
      <c r="Q37" s="217">
        <f t="shared" si="6"/>
        <v>0.91271520715907817</v>
      </c>
      <c r="R37" s="217">
        <f t="shared" ref="R37:R68" si="141">O37/Vout2</f>
        <v>12.930132101420275</v>
      </c>
      <c r="S37" s="443">
        <f t="shared" ref="S37:S68" si="142">MIN(Vout,O37/F37)</f>
        <v>170</v>
      </c>
      <c r="T37" s="217">
        <f t="shared" ref="T37:T68" si="143">MIN(2*(Vout*F37+Vout2*G37)/(Efficiency*J37*N37), Isw_max)</f>
        <v>14.024089770391077</v>
      </c>
      <c r="U37" s="217">
        <f t="shared" si="10"/>
        <v>0.60166744700880048</v>
      </c>
      <c r="V37" s="217">
        <f t="shared" si="11"/>
        <v>0.82104011873185101</v>
      </c>
      <c r="W37" s="197">
        <f t="shared" si="12"/>
        <v>350</v>
      </c>
      <c r="X37" s="443">
        <f t="shared" si="95"/>
        <v>350</v>
      </c>
      <c r="Z37" s="217">
        <f t="shared" si="13"/>
        <v>28.163783535194412</v>
      </c>
      <c r="AA37" s="173">
        <f t="shared" si="14"/>
        <v>1.648848271528808</v>
      </c>
      <c r="AB37" s="173">
        <f t="shared" ref="AB37:AB68" si="144">0.5*AA37*Z37*Nps*W37/1000*(Pout/Pout_total)</f>
        <v>0.38375686738918752</v>
      </c>
      <c r="AC37" s="173"/>
      <c r="AD37" s="173">
        <f t="shared" si="16"/>
        <v>0.78059979380651601</v>
      </c>
      <c r="AE37" s="545">
        <f t="shared" ref="AE37:AE68" si="145">MAX(10, F37/(0.5*AD37/1000000*Isw_min*Nps)/1000*Pout_total/Pout)</f>
        <v>781.2996592878236</v>
      </c>
      <c r="AF37" s="528">
        <f t="shared" ref="AF37:AF68" si="146">0.5*AD37/1000000*Isw_min*Nps*W37*1000*(Pout/Pout_total)</f>
        <v>8.6010532836088338E-2</v>
      </c>
      <c r="AH37" s="173">
        <f t="shared" ref="AH37:AH68" si="147">SQRT((H37+I37)/(0.5*L*Fsw_DCM))</f>
        <v>19.873888109059802</v>
      </c>
      <c r="AI37" s="173">
        <f t="shared" ref="AI37:AI68" si="148">MAX(IF(F37&gt;AB37,T37,AH37),Isw_min)</f>
        <v>19.873888109059802</v>
      </c>
      <c r="AJ37" s="173">
        <f t="shared" ref="AJ37:AJ68" si="149">IF(F37&gt;AF37, (AI37-Isw_min)/1.08*0.8+1.2, AE37*0.2/350+1)</f>
        <v>6.0448553894270143</v>
      </c>
      <c r="AL37" s="545">
        <f t="shared" ref="AL37:AL68" si="150">F37*1000</f>
        <v>192</v>
      </c>
      <c r="AM37" s="460">
        <f t="shared" ref="AM37:AM68" si="151">IF(F37&gt;AF37, X37, AE37)</f>
        <v>350</v>
      </c>
      <c r="AO37">
        <f t="shared" si="96"/>
        <v>192</v>
      </c>
      <c r="AP37" s="460">
        <f t="shared" si="24"/>
        <v>350</v>
      </c>
      <c r="AQ37" s="460"/>
      <c r="AR37" s="5">
        <f t="shared" si="97"/>
        <v>2.8571428571428572</v>
      </c>
      <c r="AS37" s="5">
        <f t="shared" si="25"/>
        <v>0.85263797626012494</v>
      </c>
      <c r="AT37" s="5">
        <f t="shared" si="98"/>
        <v>2.0045048808827324</v>
      </c>
      <c r="AU37" s="173">
        <f t="shared" si="99"/>
        <v>0.2984232916910437</v>
      </c>
      <c r="AW37" s="5">
        <f t="shared" ref="AW37:AW68" si="152">F37*AS37/Vout_ripple*1000</f>
        <v>9.6297936142320004E-2</v>
      </c>
      <c r="AX37" s="5">
        <f t="shared" ref="AX37:AX68" si="153">G37*AS37/Vout_ripple2*1000</f>
        <v>1.1368506350134999</v>
      </c>
      <c r="AY37" s="5">
        <f t="shared" si="28"/>
        <v>8.9823314830889416</v>
      </c>
      <c r="AZ37" s="5"/>
      <c r="BA37" s="173">
        <f t="shared" si="100"/>
        <v>6.2681383158053041</v>
      </c>
      <c r="BB37" s="173">
        <f t="shared" ref="BB37:BB68" si="154">AI37*Npri_sec1*SQRT((1-AU37)/3)*(Pout/Pout_total)</f>
        <v>0.45384359932572355</v>
      </c>
      <c r="BC37" s="173">
        <f t="shared" ref="BC37:BC68" si="155">AI37*Npri_sec2*SQRT((1-AU37)/3)*(Pout2/Pout_total)</f>
        <v>0.35882863550208899</v>
      </c>
      <c r="BD37" s="173"/>
      <c r="BE37" s="528">
        <f t="shared" si="31"/>
        <v>1.571582317842662</v>
      </c>
      <c r="BF37" s="528">
        <f t="shared" ref="BF37:BF68" si="156">0.5*L37*AI37*AM37*1000*Tfall</f>
        <v>3.1606240308765643</v>
      </c>
      <c r="BG37" s="528">
        <f t="shared" ref="BG37:BG68" si="157">Qg*Vdd*AM37*1000*0+Qg*J37*AM37*1000</f>
        <v>0.16316094360893957</v>
      </c>
      <c r="BH37" s="528">
        <f t="shared" si="34"/>
        <v>2.8548080317085112E-2</v>
      </c>
      <c r="BI37">
        <f t="shared" si="35"/>
        <v>5.2444589017159151E-3</v>
      </c>
      <c r="BJ37" s="460">
        <f t="shared" si="101"/>
        <v>168.40540251065548</v>
      </c>
      <c r="BK37">
        <f t="shared" ref="BK37:BK68" si="158">(BF37+BG37*0+BH37+BI37*0+BE37*(1+RdsonTC*(Ta-25)))/(1-BE37*RdsonTC*ThetaJA)</f>
        <v>8.275051889036023</v>
      </c>
      <c r="BL37" s="460">
        <f t="shared" si="102"/>
        <v>8275.0518890360236</v>
      </c>
      <c r="BM37" s="173">
        <f t="shared" ref="BM37:BM68" si="159">Vfwd2*F37*(1+Diode_TC/1000*(Ta-25))</f>
        <v>0.166656</v>
      </c>
      <c r="BN37" s="173">
        <f t="shared" ref="BN37:BN68" si="160">Vfwd22*G37*(1+Diode_TC/1000*(Ta-25))</f>
        <v>0.13887999999999998</v>
      </c>
      <c r="BO37" s="528"/>
      <c r="BQ37" s="460">
        <f t="shared" si="103"/>
        <v>305.536</v>
      </c>
      <c r="BR37" s="528">
        <f t="shared" si="39"/>
        <v>1.1786867383819966</v>
      </c>
      <c r="BS37" s="528">
        <f t="shared" si="104"/>
        <v>6.1792203794678365E-3</v>
      </c>
      <c r="BT37" s="528">
        <f t="shared" ref="BT37:BT68" si="161">Rdcr_sec2*BC37^2</f>
        <v>6.4378994828145518E-4</v>
      </c>
      <c r="BU37" s="528">
        <f t="shared" si="41"/>
        <v>201.76564318845161</v>
      </c>
      <c r="BV37" s="528">
        <f t="shared" ref="BV37:BV68" si="162">(BU37+(BR37+BS37+BT37)*(1+Ltc*(Ta-25)))/(1-(BR37+BS37+BT37)*Ltc*ThetaCa)</f>
        <v>224.53030446254039</v>
      </c>
      <c r="BW37" s="625">
        <f t="shared" ref="BW37:BW68" si="163">0.5*Lleak*0.000000001*AI37^2*AM37*1000</f>
        <v>3.4560000000000004</v>
      </c>
      <c r="BX37" s="460">
        <f t="shared" si="105"/>
        <v>227986.30446254037</v>
      </c>
      <c r="BY37" s="173">
        <f t="shared" si="106"/>
        <v>236.5668923515764</v>
      </c>
      <c r="BZ37" s="5">
        <f t="shared" si="107"/>
        <v>34.56</v>
      </c>
      <c r="CA37" s="173">
        <f t="shared" si="108"/>
        <v>0.12746798998892836</v>
      </c>
      <c r="CB37" s="5">
        <f t="shared" si="109"/>
        <v>12.746798998892835</v>
      </c>
      <c r="CC37">
        <f t="shared" si="110"/>
        <v>32</v>
      </c>
      <c r="CE37" s="562">
        <f t="shared" ref="CE37:CE68" si="164">IF(ABS(F37-Ioutmax_Vinnom)&lt;Iout/200, AM37, -50)</f>
        <v>-50</v>
      </c>
      <c r="CF37">
        <f t="shared" ref="CF37:CF68" si="165">IF(ABS(F37-Ioutmax_Vinnom)&lt;Iout/200, (O37+P37)*CA37, -50)</f>
        <v>-50</v>
      </c>
      <c r="CG37" s="173">
        <f t="shared" ref="CG37:CG68" si="166">MIN(SQRT(2*DT37*1000*Ls1_*(CL37+CJ37*Vfwd1))/(CW37+Vfwd1), 1-DY37)</f>
        <v>0.39705661931805325</v>
      </c>
      <c r="CH37" s="173">
        <f t="shared" ref="CH37:CH68" si="167">MIN(SQRT(2*DT37*1000*Ls2_*(CM37+CK37*Vfwd22))/(Vout2+Vfwd22), 1-DY37)</f>
        <v>9.8808054562662034E-2</v>
      </c>
      <c r="CI37" s="170">
        <v>32</v>
      </c>
      <c r="CJ37" s="217">
        <f t="shared" si="133"/>
        <v>0.192</v>
      </c>
      <c r="CK37" s="217">
        <f t="shared" si="111"/>
        <v>0.16</v>
      </c>
      <c r="CL37" s="217">
        <f t="shared" si="48"/>
        <v>32.64</v>
      </c>
      <c r="CM37" s="217">
        <f t="shared" si="134"/>
        <v>1.92</v>
      </c>
      <c r="CN37" s="541">
        <f t="shared" si="112"/>
        <v>12.5</v>
      </c>
      <c r="CO37" s="443">
        <f t="shared" ref="CO37:CO68" si="168">(CW37+Vfwd2)*Nps</f>
        <v>8.5350000000000001</v>
      </c>
      <c r="CP37" s="443">
        <f t="shared" ref="CP37:CP68" si="169">(Vout+Vfwd2)*Nps+CN37</f>
        <v>21.035</v>
      </c>
      <c r="CQ37" s="443"/>
      <c r="CR37" s="217">
        <f t="shared" si="113"/>
        <v>0.40546967895362668</v>
      </c>
      <c r="CS37" s="172">
        <f t="shared" si="114"/>
        <v>159.55982736601052</v>
      </c>
      <c r="CT37" s="172">
        <f t="shared" si="51"/>
        <v>9.3858721980006177</v>
      </c>
      <c r="CU37" s="217">
        <f t="shared" si="52"/>
        <v>0.93858721980006188</v>
      </c>
      <c r="CV37" s="217">
        <f t="shared" si="53"/>
        <v>13.296652280500878</v>
      </c>
      <c r="CW37" s="443">
        <f t="shared" si="54"/>
        <v>170</v>
      </c>
      <c r="CX37" s="217">
        <f t="shared" si="55"/>
        <v>13.637517888563048</v>
      </c>
      <c r="CY37" s="217">
        <f t="shared" si="56"/>
        <v>0.54550071554252189</v>
      </c>
      <c r="CZ37" s="217">
        <f t="shared" si="57"/>
        <v>0.7989172752526682</v>
      </c>
      <c r="DA37" s="197">
        <f t="shared" si="58"/>
        <v>350</v>
      </c>
      <c r="DB37" s="443">
        <f t="shared" si="115"/>
        <v>350</v>
      </c>
      <c r="DD37" s="217">
        <f t="shared" si="59"/>
        <v>28.98230839756868</v>
      </c>
      <c r="DE37" s="173">
        <f t="shared" si="60"/>
        <v>1.6978505212401103</v>
      </c>
      <c r="DF37" s="173">
        <f t="shared" si="61"/>
        <v>0.40664636548103333</v>
      </c>
      <c r="DG37" s="173"/>
      <c r="DH37" s="173">
        <f t="shared" si="62"/>
        <v>0.78109744190587771</v>
      </c>
      <c r="DI37" s="545">
        <f t="shared" si="63"/>
        <v>780.80188235294133</v>
      </c>
      <c r="DJ37" s="528">
        <f t="shared" si="64"/>
        <v>8.6065366284073561E-2</v>
      </c>
      <c r="DL37" s="173">
        <f t="shared" si="65"/>
        <v>19.873888109059802</v>
      </c>
      <c r="DM37" s="173">
        <f t="shared" si="66"/>
        <v>19.873888109059802</v>
      </c>
      <c r="DN37" s="173">
        <f t="shared" si="67"/>
        <v>6.0448553894270143</v>
      </c>
      <c r="DP37" s="545">
        <f t="shared" si="68"/>
        <v>192</v>
      </c>
      <c r="DQ37" s="460">
        <f t="shared" si="69"/>
        <v>350</v>
      </c>
      <c r="DS37">
        <f t="shared" si="116"/>
        <v>192</v>
      </c>
      <c r="DT37" s="460">
        <f t="shared" si="70"/>
        <v>350</v>
      </c>
      <c r="DU37" s="460"/>
      <c r="DV37" s="5">
        <f t="shared" si="117"/>
        <v>2.8571428571428572</v>
      </c>
      <c r="DW37" s="5">
        <f t="shared" si="71"/>
        <v>0.79495552436239203</v>
      </c>
      <c r="DX37" s="5">
        <f t="shared" si="118"/>
        <v>2.0621873327804652</v>
      </c>
      <c r="DY37" s="173">
        <f t="shared" si="119"/>
        <v>0.27823443352683719</v>
      </c>
      <c r="EA37" s="5">
        <f t="shared" si="72"/>
        <v>8.9783212163281917E-2</v>
      </c>
      <c r="EB37" s="5">
        <f t="shared" si="73"/>
        <v>1.0599406991498559</v>
      </c>
      <c r="EC37" s="5">
        <f t="shared" si="74"/>
        <v>8.615653701370162</v>
      </c>
      <c r="ED37" s="5"/>
      <c r="EE37" s="173">
        <f t="shared" si="120"/>
        <v>6.05240039675326</v>
      </c>
      <c r="EF37" s="173">
        <f t="shared" si="75"/>
        <v>0.46032728035549453</v>
      </c>
      <c r="EG37" s="173">
        <f t="shared" si="76"/>
        <v>0.36395491781696576</v>
      </c>
      <c r="EH37" s="173"/>
      <c r="EI37" s="528">
        <f t="shared" si="77"/>
        <v>1.4652620225047608</v>
      </c>
      <c r="EJ37" s="528">
        <f t="shared" si="78"/>
        <v>4.0237046501004521</v>
      </c>
      <c r="EK37" s="528">
        <f t="shared" si="79"/>
        <v>6.9999999999999993E-2</v>
      </c>
      <c r="EL37" s="528">
        <f t="shared" si="80"/>
        <v>3.0972985749999998E-2</v>
      </c>
      <c r="EM37">
        <f t="shared" si="81"/>
        <v>5.6249999999999998E-3</v>
      </c>
      <c r="EN37" s="460">
        <f t="shared" si="121"/>
        <v>75.625</v>
      </c>
      <c r="EO37">
        <f t="shared" si="82"/>
        <v>9.1909963923750659</v>
      </c>
      <c r="EP37" s="460">
        <f t="shared" si="122"/>
        <v>9190.9963923750656</v>
      </c>
      <c r="EQ37" s="173">
        <f t="shared" si="83"/>
        <v>0.166656</v>
      </c>
      <c r="ER37" s="173">
        <f t="shared" ref="ER37:ER68" si="170">Vfwd22*CK37*(1+Diode_TC/1000*(Ta-25))</f>
        <v>0.13887999999999998</v>
      </c>
      <c r="ES37" s="528"/>
      <c r="EU37" s="460">
        <f t="shared" si="123"/>
        <v>305.536</v>
      </c>
      <c r="EV37" s="528">
        <f t="shared" si="85"/>
        <v>1.0989465168785706</v>
      </c>
      <c r="EW37" s="528">
        <f t="shared" si="124"/>
        <v>6.3570361511845813E-3</v>
      </c>
      <c r="EX37" s="528">
        <f t="shared" si="86"/>
        <v>6.6231591101577152E-4</v>
      </c>
      <c r="EY37" s="528">
        <f t="shared" si="87"/>
        <v>201.76564318845161</v>
      </c>
      <c r="EZ37" s="528">
        <f t="shared" si="88"/>
        <v>222.85460808850263</v>
      </c>
      <c r="FA37" s="625">
        <f t="shared" si="89"/>
        <v>3.4560000000000004</v>
      </c>
      <c r="FB37" s="460">
        <f t="shared" si="125"/>
        <v>226310.60808850263</v>
      </c>
      <c r="FC37" s="173">
        <f t="shared" si="126"/>
        <v>235.80714048087768</v>
      </c>
      <c r="FD37" s="5">
        <f t="shared" si="127"/>
        <v>34.56</v>
      </c>
      <c r="FE37" s="173">
        <f t="shared" si="128"/>
        <v>0.12782618456714542</v>
      </c>
      <c r="FF37" s="5">
        <f t="shared" si="129"/>
        <v>12.782618456714543</v>
      </c>
      <c r="FG37">
        <f t="shared" si="130"/>
        <v>32</v>
      </c>
      <c r="FI37" s="562">
        <f t="shared" si="90"/>
        <v>-50</v>
      </c>
      <c r="FJ37">
        <f t="shared" si="91"/>
        <v>-50</v>
      </c>
      <c r="FL37">
        <f t="shared" si="92"/>
        <v>0.39705661931805331</v>
      </c>
    </row>
    <row r="38" spans="5:168">
      <c r="E38" s="170">
        <v>33</v>
      </c>
      <c r="F38" s="217">
        <f t="shared" si="131"/>
        <v>0.19800000000000001</v>
      </c>
      <c r="G38" s="217">
        <f t="shared" ref="G38:G69" si="171">IF(PLOT_TYPE=1, E38/100*Iout2, min_I*EXP(Q38*rr/100))</f>
        <v>0.16500000000000001</v>
      </c>
      <c r="H38" s="217">
        <f t="shared" si="135"/>
        <v>33.660000000000004</v>
      </c>
      <c r="I38" s="217">
        <f t="shared" si="132"/>
        <v>1.98</v>
      </c>
      <c r="J38" s="541">
        <f t="shared" si="136"/>
        <v>11.641241528610484</v>
      </c>
      <c r="K38" s="443">
        <f t="shared" si="137"/>
        <v>8.5405255997549165</v>
      </c>
      <c r="L38" s="172">
        <f t="shared" si="138"/>
        <v>20.181767128365401</v>
      </c>
      <c r="M38" s="443"/>
      <c r="N38" s="217">
        <f t="shared" si="139"/>
        <v>0.42318026689304322</v>
      </c>
      <c r="O38" s="172">
        <f t="shared" ref="O38:O69" si="172">N38*J38*Isw_max*0.5*Efficiency*Pout/(Pout+Pout2)</f>
        <v>155.08859786989626</v>
      </c>
      <c r="P38" s="172">
        <f t="shared" si="140"/>
        <v>9.1228586982291908</v>
      </c>
      <c r="Q38" s="217">
        <f t="shared" si="6"/>
        <v>0.91228586982291915</v>
      </c>
      <c r="R38" s="217">
        <f t="shared" si="141"/>
        <v>12.924049822491355</v>
      </c>
      <c r="S38" s="443">
        <f t="shared" si="142"/>
        <v>170</v>
      </c>
      <c r="T38" s="217">
        <f t="shared" si="143"/>
        <v>14.469148801528856</v>
      </c>
      <c r="U38" s="217">
        <f t="shared" si="10"/>
        <v>0.62146072504243943</v>
      </c>
      <c r="V38" s="217">
        <f t="shared" si="11"/>
        <v>0.84708772501917629</v>
      </c>
      <c r="W38" s="197">
        <f t="shared" si="12"/>
        <v>350</v>
      </c>
      <c r="X38" s="443">
        <f t="shared" si="95"/>
        <v>350</v>
      </c>
      <c r="Z38" s="217">
        <f t="shared" si="13"/>
        <v>28.150535411678646</v>
      </c>
      <c r="AA38" s="173">
        <f t="shared" si="14"/>
        <v>1.6480563803055908</v>
      </c>
      <c r="AB38" s="173">
        <f t="shared" si="144"/>
        <v>0.38339212984819582</v>
      </c>
      <c r="AC38" s="173"/>
      <c r="AD38" s="173">
        <f t="shared" si="16"/>
        <v>0.78059208286407766</v>
      </c>
      <c r="AE38" s="545">
        <f t="shared" si="145"/>
        <v>805.72323275805502</v>
      </c>
      <c r="AF38" s="528">
        <f t="shared" si="146"/>
        <v>8.6009683204467807E-2</v>
      </c>
      <c r="AH38" s="173">
        <f t="shared" si="147"/>
        <v>20.182028780929972</v>
      </c>
      <c r="AI38" s="173">
        <f t="shared" si="148"/>
        <v>20.182028780929972</v>
      </c>
      <c r="AJ38" s="173">
        <f t="shared" si="149"/>
        <v>6.2731077389604728</v>
      </c>
      <c r="AL38" s="545">
        <f t="shared" si="150"/>
        <v>198</v>
      </c>
      <c r="AM38" s="460">
        <f t="shared" si="151"/>
        <v>350</v>
      </c>
      <c r="AO38">
        <f t="shared" si="96"/>
        <v>198</v>
      </c>
      <c r="AP38" s="460">
        <f t="shared" si="24"/>
        <v>350</v>
      </c>
      <c r="AQ38" s="460"/>
      <c r="AR38" s="5">
        <f t="shared" si="97"/>
        <v>2.8571428571428572</v>
      </c>
      <c r="AS38" s="5">
        <f t="shared" si="25"/>
        <v>0.8668331780304076</v>
      </c>
      <c r="AT38" s="5">
        <f t="shared" si="98"/>
        <v>1.9903096791124497</v>
      </c>
      <c r="AU38" s="173">
        <f t="shared" si="99"/>
        <v>0.30339161231064266</v>
      </c>
      <c r="AW38" s="5">
        <f t="shared" si="152"/>
        <v>0.10096057014707102</v>
      </c>
      <c r="AX38" s="5">
        <f t="shared" si="153"/>
        <v>1.1918956197918105</v>
      </c>
      <c r="AY38" s="5">
        <f t="shared" si="28"/>
        <v>9.2077909228874564</v>
      </c>
      <c r="AZ38" s="5"/>
      <c r="BA38" s="173">
        <f t="shared" si="100"/>
        <v>6.4180925998309624</v>
      </c>
      <c r="BB38" s="173">
        <f t="shared" si="154"/>
        <v>0.45924555776833526</v>
      </c>
      <c r="BC38" s="173">
        <f t="shared" si="155"/>
        <v>0.36309966054217141</v>
      </c>
      <c r="BD38" s="173"/>
      <c r="BE38" s="528">
        <f t="shared" si="31"/>
        <v>1.6476765048001987</v>
      </c>
      <c r="BF38" s="528">
        <f t="shared" si="156"/>
        <v>3.2075584146482385</v>
      </c>
      <c r="BG38" s="528">
        <f t="shared" si="157"/>
        <v>0.16297738140054677</v>
      </c>
      <c r="BH38" s="528">
        <f t="shared" si="34"/>
        <v>2.8511260709649919E-2</v>
      </c>
      <c r="BI38">
        <f t="shared" si="35"/>
        <v>5.2385586878747181E-3</v>
      </c>
      <c r="BJ38" s="460">
        <f t="shared" si="101"/>
        <v>168.21594008842146</v>
      </c>
      <c r="BK38">
        <f t="shared" si="158"/>
        <v>8.7568006703384427</v>
      </c>
      <c r="BL38" s="460">
        <f t="shared" si="102"/>
        <v>8756.8006703384435</v>
      </c>
      <c r="BM38" s="173">
        <f t="shared" si="159"/>
        <v>0.17186399999999999</v>
      </c>
      <c r="BN38" s="173">
        <f t="shared" si="160"/>
        <v>0.14321999999999999</v>
      </c>
      <c r="BO38" s="528"/>
      <c r="BQ38" s="460">
        <f t="shared" si="103"/>
        <v>315.084</v>
      </c>
      <c r="BR38" s="528">
        <f t="shared" si="39"/>
        <v>1.2357573786001488</v>
      </c>
      <c r="BS38" s="528">
        <f t="shared" si="104"/>
        <v>6.3271944698984799E-3</v>
      </c>
      <c r="BT38" s="528">
        <f t="shared" si="161"/>
        <v>6.5920681742920057E-4</v>
      </c>
      <c r="BU38" s="528">
        <f t="shared" si="41"/>
        <v>209.67766332897276</v>
      </c>
      <c r="BV38" s="528">
        <f t="shared" si="162"/>
        <v>234.53613105858796</v>
      </c>
      <c r="BW38" s="625">
        <f t="shared" si="163"/>
        <v>3.5640000000000005</v>
      </c>
      <c r="BX38" s="460">
        <f t="shared" si="105"/>
        <v>238100.13105858795</v>
      </c>
      <c r="BY38" s="173">
        <f t="shared" si="106"/>
        <v>247.1720157289264</v>
      </c>
      <c r="BZ38" s="5">
        <f t="shared" si="107"/>
        <v>35.64</v>
      </c>
      <c r="CA38" s="173">
        <f t="shared" si="108"/>
        <v>0.1260201052919927</v>
      </c>
      <c r="CB38" s="5">
        <f t="shared" si="109"/>
        <v>12.602010529199269</v>
      </c>
      <c r="CC38">
        <f t="shared" ref="CC38:CC69" si="173">F38/Iout*100</f>
        <v>33</v>
      </c>
      <c r="CE38" s="562">
        <f t="shared" si="164"/>
        <v>-50</v>
      </c>
      <c r="CF38">
        <f t="shared" si="165"/>
        <v>-50</v>
      </c>
      <c r="CG38" s="173">
        <f t="shared" si="166"/>
        <v>0.4032129030193482</v>
      </c>
      <c r="CH38" s="173">
        <f t="shared" si="167"/>
        <v>0.10034005374430398</v>
      </c>
      <c r="CI38" s="170">
        <v>33</v>
      </c>
      <c r="CJ38" s="217">
        <f t="shared" si="133"/>
        <v>0.19800000000000001</v>
      </c>
      <c r="CK38" s="217">
        <f t="shared" si="111"/>
        <v>0.16500000000000001</v>
      </c>
      <c r="CL38" s="217">
        <f t="shared" si="48"/>
        <v>33.660000000000004</v>
      </c>
      <c r="CM38" s="217">
        <f t="shared" si="134"/>
        <v>1.98</v>
      </c>
      <c r="CN38" s="541">
        <f t="shared" si="112"/>
        <v>12.5</v>
      </c>
      <c r="CO38" s="443">
        <f t="shared" si="168"/>
        <v>8.5350000000000001</v>
      </c>
      <c r="CP38" s="443">
        <f t="shared" si="169"/>
        <v>21.035</v>
      </c>
      <c r="CQ38" s="443"/>
      <c r="CR38" s="217">
        <f t="shared" si="113"/>
        <v>0.40546967895362668</v>
      </c>
      <c r="CS38" s="172">
        <f t="shared" si="114"/>
        <v>159.55982736601052</v>
      </c>
      <c r="CT38" s="172">
        <f t="shared" si="51"/>
        <v>9.3858721980006177</v>
      </c>
      <c r="CU38" s="217">
        <f t="shared" si="52"/>
        <v>0.93858721980006188</v>
      </c>
      <c r="CV38" s="217">
        <f t="shared" si="53"/>
        <v>13.296652280500878</v>
      </c>
      <c r="CW38" s="443">
        <f t="shared" si="54"/>
        <v>170</v>
      </c>
      <c r="CX38" s="217">
        <f t="shared" si="55"/>
        <v>14.063690322580642</v>
      </c>
      <c r="CY38" s="217">
        <f t="shared" si="56"/>
        <v>0.56254761290322564</v>
      </c>
      <c r="CZ38" s="217">
        <f t="shared" si="57"/>
        <v>0.82388344010431402</v>
      </c>
      <c r="DA38" s="197">
        <f t="shared" si="58"/>
        <v>350</v>
      </c>
      <c r="DB38" s="443">
        <f t="shared" si="115"/>
        <v>350</v>
      </c>
      <c r="DD38" s="217">
        <f t="shared" si="59"/>
        <v>28.98230839756868</v>
      </c>
      <c r="DE38" s="173">
        <f t="shared" si="60"/>
        <v>1.6978505212401103</v>
      </c>
      <c r="DF38" s="173">
        <f t="shared" si="61"/>
        <v>0.40664636548103333</v>
      </c>
      <c r="DG38" s="173"/>
      <c r="DH38" s="173">
        <f t="shared" si="62"/>
        <v>0.78109744190587771</v>
      </c>
      <c r="DI38" s="545">
        <f t="shared" si="63"/>
        <v>805.20194117647077</v>
      </c>
      <c r="DJ38" s="528">
        <f t="shared" si="64"/>
        <v>8.6065366284073561E-2</v>
      </c>
      <c r="DL38" s="173">
        <f t="shared" si="65"/>
        <v>20.182028780929972</v>
      </c>
      <c r="DM38" s="173">
        <f t="shared" si="66"/>
        <v>20.182028780929972</v>
      </c>
      <c r="DN38" s="173">
        <f t="shared" si="67"/>
        <v>6.2731077389604728</v>
      </c>
      <c r="DP38" s="545">
        <f t="shared" si="68"/>
        <v>198</v>
      </c>
      <c r="DQ38" s="460">
        <f t="shared" si="69"/>
        <v>350</v>
      </c>
      <c r="DS38">
        <f t="shared" si="116"/>
        <v>198</v>
      </c>
      <c r="DT38" s="460">
        <f t="shared" si="70"/>
        <v>350</v>
      </c>
      <c r="DU38" s="460"/>
      <c r="DV38" s="5">
        <f t="shared" si="117"/>
        <v>2.8571428571428572</v>
      </c>
      <c r="DW38" s="5">
        <f t="shared" si="71"/>
        <v>0.8072811512371989</v>
      </c>
      <c r="DX38" s="5">
        <f t="shared" si="118"/>
        <v>2.0498617059056583</v>
      </c>
      <c r="DY38" s="173">
        <f t="shared" si="119"/>
        <v>0.28254840293301958</v>
      </c>
      <c r="EA38" s="5">
        <f t="shared" si="72"/>
        <v>9.4024510555861987E-2</v>
      </c>
      <c r="EB38" s="5">
        <f t="shared" si="73"/>
        <v>1.1100115829511488</v>
      </c>
      <c r="EC38" s="5">
        <f t="shared" si="74"/>
        <v>8.8317881626604109</v>
      </c>
      <c r="ED38" s="5"/>
      <c r="EE38" s="173">
        <f t="shared" si="120"/>
        <v>6.1937065079636833</v>
      </c>
      <c r="EF38" s="173">
        <f t="shared" si="75"/>
        <v>0.46606545903174335</v>
      </c>
      <c r="EG38" s="173">
        <f t="shared" si="76"/>
        <v>0.36849177330578314</v>
      </c>
      <c r="EH38" s="173"/>
      <c r="EI38" s="528">
        <f t="shared" si="77"/>
        <v>1.5344800122716675</v>
      </c>
      <c r="EJ38" s="528">
        <f t="shared" si="78"/>
        <v>4.086091388291047</v>
      </c>
      <c r="EK38" s="528">
        <f t="shared" si="79"/>
        <v>6.9999999999999993E-2</v>
      </c>
      <c r="EL38" s="528">
        <f t="shared" si="80"/>
        <v>3.0972985749999998E-2</v>
      </c>
      <c r="EM38">
        <f t="shared" si="81"/>
        <v>5.6249999999999998E-3</v>
      </c>
      <c r="EN38" s="460">
        <f t="shared" si="121"/>
        <v>75.625</v>
      </c>
      <c r="EO38">
        <f t="shared" si="82"/>
        <v>9.6654170988008445</v>
      </c>
      <c r="EP38" s="460">
        <f t="shared" si="122"/>
        <v>9665.4170988008445</v>
      </c>
      <c r="EQ38" s="173">
        <f t="shared" si="83"/>
        <v>0.17186399999999999</v>
      </c>
      <c r="ER38" s="173">
        <f t="shared" si="170"/>
        <v>0.14321999999999999</v>
      </c>
      <c r="ES38" s="528"/>
      <c r="EU38" s="460">
        <f t="shared" si="123"/>
        <v>315.084</v>
      </c>
      <c r="EV38" s="528">
        <f t="shared" si="85"/>
        <v>1.1508600092037504</v>
      </c>
      <c r="EW38" s="528">
        <f t="shared" si="124"/>
        <v>6.5165103630740887E-3</v>
      </c>
      <c r="EX38" s="528">
        <f t="shared" si="86"/>
        <v>6.7893093497020348E-4</v>
      </c>
      <c r="EY38" s="528">
        <f t="shared" si="87"/>
        <v>209.67766332897276</v>
      </c>
      <c r="EZ38" s="528">
        <f t="shared" si="88"/>
        <v>232.66915470960308</v>
      </c>
      <c r="FA38" s="625">
        <f t="shared" si="89"/>
        <v>3.5640000000000005</v>
      </c>
      <c r="FB38" s="460">
        <f t="shared" si="125"/>
        <v>236233.15470960308</v>
      </c>
      <c r="FC38" s="173">
        <f t="shared" si="126"/>
        <v>246.2136558084039</v>
      </c>
      <c r="FD38" s="5">
        <f t="shared" si="127"/>
        <v>35.64</v>
      </c>
      <c r="FE38" s="173">
        <f t="shared" si="128"/>
        <v>0.12644859935479091</v>
      </c>
      <c r="FF38" s="5">
        <f t="shared" si="129"/>
        <v>12.644859935479092</v>
      </c>
      <c r="FG38">
        <f t="shared" si="130"/>
        <v>33</v>
      </c>
      <c r="FI38" s="562">
        <f t="shared" si="90"/>
        <v>-50</v>
      </c>
      <c r="FJ38">
        <f t="shared" si="91"/>
        <v>-50</v>
      </c>
      <c r="FL38">
        <f t="shared" si="92"/>
        <v>0.4032129030193482</v>
      </c>
    </row>
    <row r="39" spans="5:168">
      <c r="E39" s="170">
        <v>34</v>
      </c>
      <c r="F39" s="217">
        <f t="shared" si="131"/>
        <v>0.20400000000000001</v>
      </c>
      <c r="G39" s="217">
        <f t="shared" si="171"/>
        <v>0.17</v>
      </c>
      <c r="H39" s="217">
        <f t="shared" si="135"/>
        <v>34.68</v>
      </c>
      <c r="I39" s="217">
        <f t="shared" si="132"/>
        <v>2.04</v>
      </c>
      <c r="J39" s="541">
        <f t="shared" si="136"/>
        <v>11.628327142714536</v>
      </c>
      <c r="K39" s="443">
        <f t="shared" si="137"/>
        <v>8.5406086961433871</v>
      </c>
      <c r="L39" s="172">
        <f t="shared" si="138"/>
        <v>20.168935838857923</v>
      </c>
      <c r="M39" s="443"/>
      <c r="N39" s="217">
        <f t="shared" si="139"/>
        <v>0.42345361026380279</v>
      </c>
      <c r="O39" s="172">
        <f t="shared" si="172"/>
        <v>155.01661271942163</v>
      </c>
      <c r="P39" s="172">
        <f t="shared" si="140"/>
        <v>9.1186242776130388</v>
      </c>
      <c r="Q39" s="217">
        <f t="shared" si="6"/>
        <v>0.91186242776130366</v>
      </c>
      <c r="R39" s="217">
        <f t="shared" si="141"/>
        <v>12.918051059951802</v>
      </c>
      <c r="S39" s="443">
        <f t="shared" si="142"/>
        <v>170</v>
      </c>
      <c r="T39" s="217">
        <f t="shared" si="143"/>
        <v>14.914530510253725</v>
      </c>
      <c r="U39" s="217">
        <f t="shared" si="10"/>
        <v>0.64130163897212356</v>
      </c>
      <c r="V39" s="217">
        <f t="shared" si="11"/>
        <v>0.87315383720767803</v>
      </c>
      <c r="W39" s="197">
        <f t="shared" si="12"/>
        <v>350</v>
      </c>
      <c r="X39" s="443">
        <f t="shared" si="95"/>
        <v>350</v>
      </c>
      <c r="Z39" s="217">
        <f t="shared" si="13"/>
        <v>28.137469199491662</v>
      </c>
      <c r="AA39" s="173">
        <f t="shared" si="14"/>
        <v>1.6472753992462776</v>
      </c>
      <c r="AB39" s="173">
        <f t="shared" si="144"/>
        <v>0.38303257891078646</v>
      </c>
      <c r="AC39" s="173"/>
      <c r="AD39" s="173">
        <f t="shared" si="16"/>
        <v>0.7805844880444035</v>
      </c>
      <c r="AE39" s="545">
        <f t="shared" si="145"/>
        <v>830.14716526513712</v>
      </c>
      <c r="AF39" s="528">
        <f t="shared" si="146"/>
        <v>8.6008846367855593E-2</v>
      </c>
      <c r="AH39" s="173">
        <f t="shared" si="147"/>
        <v>20.485534966340101</v>
      </c>
      <c r="AI39" s="173">
        <f t="shared" si="148"/>
        <v>20.485534966340101</v>
      </c>
      <c r="AJ39" s="173">
        <f t="shared" si="149"/>
        <v>6.4979271355605679</v>
      </c>
      <c r="AL39" s="545">
        <f t="shared" si="150"/>
        <v>204.00000000000003</v>
      </c>
      <c r="AM39" s="460">
        <f t="shared" si="151"/>
        <v>350</v>
      </c>
      <c r="AO39">
        <f t="shared" si="96"/>
        <v>204.00000000000003</v>
      </c>
      <c r="AP39" s="460">
        <f t="shared" si="24"/>
        <v>350</v>
      </c>
      <c r="AQ39" s="460"/>
      <c r="AR39" s="5">
        <f t="shared" si="97"/>
        <v>2.8571428571428572</v>
      </c>
      <c r="AS39" s="5">
        <f t="shared" si="25"/>
        <v>0.88084617481607608</v>
      </c>
      <c r="AT39" s="5">
        <f t="shared" si="98"/>
        <v>1.9762966823267811</v>
      </c>
      <c r="AU39" s="173">
        <f t="shared" si="99"/>
        <v>0.30829616118562664</v>
      </c>
      <c r="AW39" s="5">
        <f t="shared" si="152"/>
        <v>0.10570154097792914</v>
      </c>
      <c r="AX39" s="5">
        <f t="shared" si="153"/>
        <v>1.2478654143227745</v>
      </c>
      <c r="AY39" s="5">
        <f t="shared" si="28"/>
        <v>9.4304837628905105</v>
      </c>
      <c r="AZ39" s="5"/>
      <c r="BA39" s="173">
        <f t="shared" si="100"/>
        <v>6.5670563206809094</v>
      </c>
      <c r="BB39" s="173">
        <f t="shared" si="154"/>
        <v>0.46450799778478818</v>
      </c>
      <c r="BC39" s="173">
        <f t="shared" si="155"/>
        <v>0.36726037620131241</v>
      </c>
      <c r="BD39" s="173"/>
      <c r="BE39" s="528">
        <f t="shared" si="31"/>
        <v>1.7250491487598032</v>
      </c>
      <c r="BF39" s="528">
        <f t="shared" si="156"/>
        <v>3.2537250928412527</v>
      </c>
      <c r="BG39" s="528">
        <f t="shared" si="157"/>
        <v>0.16279657999800351</v>
      </c>
      <c r="BH39" s="528">
        <f t="shared" si="34"/>
        <v>2.8475018101037728E-2</v>
      </c>
      <c r="BI39">
        <f t="shared" si="35"/>
        <v>5.2327472142215409E-3</v>
      </c>
      <c r="BJ39" s="460">
        <f t="shared" si="101"/>
        <v>168.02932721222504</v>
      </c>
      <c r="BK39">
        <f t="shared" si="158"/>
        <v>9.2742753117776182</v>
      </c>
      <c r="BL39" s="460">
        <f t="shared" si="102"/>
        <v>9274.2753117776174</v>
      </c>
      <c r="BM39" s="173">
        <f t="shared" si="159"/>
        <v>0.17707200000000001</v>
      </c>
      <c r="BN39" s="173">
        <f t="shared" si="160"/>
        <v>0.14756</v>
      </c>
      <c r="BO39" s="528"/>
      <c r="BQ39" s="460">
        <f t="shared" si="103"/>
        <v>324.63200000000001</v>
      </c>
      <c r="BR39" s="528">
        <f t="shared" si="39"/>
        <v>1.2937868615698525</v>
      </c>
      <c r="BS39" s="528">
        <f t="shared" si="104"/>
        <v>6.4730304001809832E-3</v>
      </c>
      <c r="BT39" s="528">
        <f t="shared" si="161"/>
        <v>6.7440091963764752E-4</v>
      </c>
      <c r="BU39" s="528">
        <f t="shared" si="41"/>
        <v>217.64985872466013</v>
      </c>
      <c r="BV39" s="528">
        <f t="shared" si="162"/>
        <v>244.73360432718107</v>
      </c>
      <c r="BW39" s="625">
        <f t="shared" si="163"/>
        <v>3.6720000000000002</v>
      </c>
      <c r="BX39" s="460">
        <f t="shared" si="105"/>
        <v>248405.60432718106</v>
      </c>
      <c r="BY39" s="173">
        <f t="shared" si="106"/>
        <v>258.00451163895872</v>
      </c>
      <c r="BZ39" s="5">
        <f t="shared" si="107"/>
        <v>36.72</v>
      </c>
      <c r="CA39" s="173">
        <f t="shared" si="108"/>
        <v>0.12459092661075462</v>
      </c>
      <c r="CB39" s="5">
        <f t="shared" si="109"/>
        <v>12.459092661075461</v>
      </c>
      <c r="CC39">
        <f t="shared" si="173"/>
        <v>34</v>
      </c>
      <c r="CE39" s="562">
        <f t="shared" si="164"/>
        <v>-50</v>
      </c>
      <c r="CF39">
        <f t="shared" si="165"/>
        <v>-50</v>
      </c>
      <c r="CG39" s="173">
        <f t="shared" si="166"/>
        <v>0.40927659519974879</v>
      </c>
      <c r="CH39" s="173">
        <f t="shared" si="167"/>
        <v>0.10184901140591214</v>
      </c>
      <c r="CI39" s="170">
        <v>34</v>
      </c>
      <c r="CJ39" s="217">
        <f t="shared" si="133"/>
        <v>0.20400000000000001</v>
      </c>
      <c r="CK39" s="217">
        <f t="shared" si="111"/>
        <v>0.17</v>
      </c>
      <c r="CL39" s="217">
        <f t="shared" si="48"/>
        <v>34.68</v>
      </c>
      <c r="CM39" s="217">
        <f t="shared" si="134"/>
        <v>2.04</v>
      </c>
      <c r="CN39" s="541">
        <f t="shared" si="112"/>
        <v>12.5</v>
      </c>
      <c r="CO39" s="443">
        <f t="shared" si="168"/>
        <v>8.5350000000000001</v>
      </c>
      <c r="CP39" s="443">
        <f t="shared" si="169"/>
        <v>21.035</v>
      </c>
      <c r="CQ39" s="443"/>
      <c r="CR39" s="217">
        <f t="shared" si="113"/>
        <v>0.40546967895362668</v>
      </c>
      <c r="CS39" s="172">
        <f t="shared" si="114"/>
        <v>159.55982736601052</v>
      </c>
      <c r="CT39" s="172">
        <f t="shared" si="51"/>
        <v>9.3858721980006177</v>
      </c>
      <c r="CU39" s="217">
        <f t="shared" si="52"/>
        <v>0.93858721980006188</v>
      </c>
      <c r="CV39" s="217">
        <f t="shared" si="53"/>
        <v>13.296652280500878</v>
      </c>
      <c r="CW39" s="443">
        <f t="shared" si="54"/>
        <v>170</v>
      </c>
      <c r="CX39" s="217">
        <f t="shared" si="55"/>
        <v>14.489862756598237</v>
      </c>
      <c r="CY39" s="217">
        <f t="shared" si="56"/>
        <v>0.5795945102639295</v>
      </c>
      <c r="CZ39" s="217">
        <f t="shared" si="57"/>
        <v>0.84884960495595985</v>
      </c>
      <c r="DA39" s="197">
        <f t="shared" si="58"/>
        <v>350</v>
      </c>
      <c r="DB39" s="443">
        <f t="shared" si="115"/>
        <v>350</v>
      </c>
      <c r="DD39" s="217">
        <f t="shared" si="59"/>
        <v>28.98230839756868</v>
      </c>
      <c r="DE39" s="173">
        <f t="shared" si="60"/>
        <v>1.6978505212401103</v>
      </c>
      <c r="DF39" s="173">
        <f t="shared" si="61"/>
        <v>0.40664636548103333</v>
      </c>
      <c r="DG39" s="173"/>
      <c r="DH39" s="173">
        <f t="shared" si="62"/>
        <v>0.78109744190587771</v>
      </c>
      <c r="DI39" s="545">
        <f t="shared" si="63"/>
        <v>829.60200000000009</v>
      </c>
      <c r="DJ39" s="528">
        <f t="shared" si="64"/>
        <v>8.6065366284073561E-2</v>
      </c>
      <c r="DL39" s="173">
        <f t="shared" si="65"/>
        <v>20.485534966340101</v>
      </c>
      <c r="DM39" s="173">
        <f t="shared" si="66"/>
        <v>20.485534966340101</v>
      </c>
      <c r="DN39" s="173">
        <f t="shared" si="67"/>
        <v>6.4979271355605679</v>
      </c>
      <c r="DP39" s="545">
        <f t="shared" si="68"/>
        <v>204.00000000000003</v>
      </c>
      <c r="DQ39" s="460">
        <f t="shared" si="69"/>
        <v>350</v>
      </c>
      <c r="DS39">
        <f t="shared" si="116"/>
        <v>204.00000000000003</v>
      </c>
      <c r="DT39" s="460">
        <f t="shared" si="70"/>
        <v>350</v>
      </c>
      <c r="DU39" s="460"/>
      <c r="DV39" s="5">
        <f t="shared" si="117"/>
        <v>2.8571428571428572</v>
      </c>
      <c r="DW39" s="5">
        <f t="shared" si="71"/>
        <v>0.81942139865360408</v>
      </c>
      <c r="DX39" s="5">
        <f t="shared" si="118"/>
        <v>2.0377214584892531</v>
      </c>
      <c r="DY39" s="173">
        <f t="shared" si="119"/>
        <v>0.28679748952876144</v>
      </c>
      <c r="EA39" s="5">
        <f t="shared" si="72"/>
        <v>9.8330567838432498E-2</v>
      </c>
      <c r="EB39" s="5">
        <f t="shared" si="73"/>
        <v>1.1608469814259392</v>
      </c>
      <c r="EC39" s="5">
        <f t="shared" si="74"/>
        <v>9.0455270630921341</v>
      </c>
      <c r="ED39" s="5"/>
      <c r="EE39" s="173">
        <f t="shared" si="120"/>
        <v>6.3339459800412303</v>
      </c>
      <c r="EF39" s="173">
        <f t="shared" si="75"/>
        <v>0.47167139044884721</v>
      </c>
      <c r="EG39" s="173">
        <f t="shared" si="76"/>
        <v>0.37292406831689778</v>
      </c>
      <c r="EH39" s="173"/>
      <c r="EI39" s="528">
        <f t="shared" si="77"/>
        <v>1.6047548671232184</v>
      </c>
      <c r="EJ39" s="528">
        <f t="shared" si="78"/>
        <v>4.1475398196632787</v>
      </c>
      <c r="EK39" s="528">
        <f t="shared" si="79"/>
        <v>6.9999999999999993E-2</v>
      </c>
      <c r="EL39" s="528">
        <f t="shared" si="80"/>
        <v>3.0972985749999998E-2</v>
      </c>
      <c r="EM39">
        <f t="shared" si="81"/>
        <v>5.6249999999999998E-3</v>
      </c>
      <c r="EN39" s="460">
        <f t="shared" si="121"/>
        <v>75.625</v>
      </c>
      <c r="EO39">
        <f t="shared" si="82"/>
        <v>10.169827559889731</v>
      </c>
      <c r="EP39" s="460">
        <f t="shared" si="122"/>
        <v>10169.827559889731</v>
      </c>
      <c r="EQ39" s="173">
        <f t="shared" si="83"/>
        <v>0.17707200000000001</v>
      </c>
      <c r="ER39" s="173">
        <f t="shared" si="170"/>
        <v>0.14756</v>
      </c>
      <c r="ES39" s="528"/>
      <c r="EU39" s="460">
        <f t="shared" si="123"/>
        <v>324.63200000000001</v>
      </c>
      <c r="EV39" s="528">
        <f t="shared" si="85"/>
        <v>1.2035661503424138</v>
      </c>
      <c r="EW39" s="528">
        <f t="shared" si="124"/>
        <v>6.6742170170384658E-3</v>
      </c>
      <c r="EX39" s="528">
        <f t="shared" si="86"/>
        <v>6.9536180365013117E-4</v>
      </c>
      <c r="EY39" s="528">
        <f t="shared" si="87"/>
        <v>217.64985872466013</v>
      </c>
      <c r="EZ39" s="528">
        <f t="shared" si="88"/>
        <v>242.65897262512431</v>
      </c>
      <c r="FA39" s="625">
        <f t="shared" si="89"/>
        <v>3.6720000000000002</v>
      </c>
      <c r="FB39" s="460">
        <f t="shared" si="125"/>
        <v>246330.9726251243</v>
      </c>
      <c r="FC39" s="173">
        <f t="shared" si="126"/>
        <v>256.82543218501405</v>
      </c>
      <c r="FD39" s="5">
        <f t="shared" si="127"/>
        <v>36.72</v>
      </c>
      <c r="FE39" s="173">
        <f t="shared" si="128"/>
        <v>0.12509136908271268</v>
      </c>
      <c r="FF39" s="5">
        <f t="shared" si="129"/>
        <v>12.509136908271268</v>
      </c>
      <c r="FG39">
        <f t="shared" si="130"/>
        <v>34</v>
      </c>
      <c r="FI39" s="562">
        <f t="shared" si="90"/>
        <v>-50</v>
      </c>
      <c r="FJ39">
        <f t="shared" si="91"/>
        <v>-50</v>
      </c>
      <c r="FL39">
        <f t="shared" si="92"/>
        <v>0.4092765951997489</v>
      </c>
    </row>
    <row r="40" spans="5:168">
      <c r="E40" s="170">
        <v>35</v>
      </c>
      <c r="F40" s="217">
        <f t="shared" ref="F40:F71" si="174">IF(PLOT_TYPE=1, E40/100*Iout_max, min_I*EXP(O40*rr/100))</f>
        <v>0.21</v>
      </c>
      <c r="G40" s="217">
        <f t="shared" si="171"/>
        <v>0.17499999999999999</v>
      </c>
      <c r="H40" s="217">
        <f t="shared" si="135"/>
        <v>35.699999999999996</v>
      </c>
      <c r="I40" s="217">
        <f t="shared" ref="I40:I71" si="175">Vout2*G40</f>
        <v>2.0999999999999996</v>
      </c>
      <c r="J40" s="541">
        <f t="shared" si="136"/>
        <v>11.615601318367586</v>
      </c>
      <c r="K40" s="443">
        <f t="shared" si="137"/>
        <v>8.5406905792504961</v>
      </c>
      <c r="L40" s="172">
        <f t="shared" si="138"/>
        <v>20.156291897618082</v>
      </c>
      <c r="M40" s="443"/>
      <c r="N40" s="217">
        <f t="shared" si="139"/>
        <v>0.42372330300791933</v>
      </c>
      <c r="O40" s="172">
        <f t="shared" si="172"/>
        <v>154.94558568465104</v>
      </c>
      <c r="P40" s="172">
        <f t="shared" si="140"/>
        <v>9.1144462167441773</v>
      </c>
      <c r="Q40" s="217">
        <f t="shared" si="6"/>
        <v>0.91144462167441787</v>
      </c>
      <c r="R40" s="217">
        <f t="shared" si="141"/>
        <v>12.912132140387586</v>
      </c>
      <c r="S40" s="443">
        <f t="shared" si="142"/>
        <v>170</v>
      </c>
      <c r="T40" s="217">
        <f t="shared" si="143"/>
        <v>15.360231073919286</v>
      </c>
      <c r="U40" s="217">
        <f t="shared" si="10"/>
        <v>0.66118966435385351</v>
      </c>
      <c r="V40" s="217">
        <f t="shared" si="11"/>
        <v>0.89923823673209635</v>
      </c>
      <c r="W40" s="197">
        <f t="shared" si="12"/>
        <v>350</v>
      </c>
      <c r="X40" s="443">
        <f t="shared" si="95"/>
        <v>350</v>
      </c>
      <c r="Z40" s="217">
        <f t="shared" si="13"/>
        <v>28.124576897382038</v>
      </c>
      <c r="AA40" s="173">
        <f t="shared" si="14"/>
        <v>1.6465048485488023</v>
      </c>
      <c r="AB40" s="173">
        <f t="shared" si="144"/>
        <v>0.38267798713651768</v>
      </c>
      <c r="AC40" s="173"/>
      <c r="AD40" s="173">
        <f t="shared" si="16"/>
        <v>0.78057700426043453</v>
      </c>
      <c r="AE40" s="545">
        <f t="shared" si="145"/>
        <v>854.57145148853465</v>
      </c>
      <c r="AF40" s="528">
        <f t="shared" si="146"/>
        <v>8.6008021765733064E-2</v>
      </c>
      <c r="AH40" s="173">
        <f t="shared" si="147"/>
        <v>20.784609690826528</v>
      </c>
      <c r="AI40" s="173">
        <f t="shared" si="148"/>
        <v>20.784609690826528</v>
      </c>
      <c r="AJ40" s="173">
        <f t="shared" si="149"/>
        <v>6.7194639685134776</v>
      </c>
      <c r="AL40" s="545">
        <f t="shared" si="150"/>
        <v>210</v>
      </c>
      <c r="AM40" s="460">
        <f t="shared" si="151"/>
        <v>350</v>
      </c>
      <c r="AO40">
        <f t="shared" si="96"/>
        <v>210</v>
      </c>
      <c r="AP40" s="460">
        <f t="shared" si="24"/>
        <v>350</v>
      </c>
      <c r="AQ40" s="460"/>
      <c r="AR40" s="5">
        <f t="shared" si="97"/>
        <v>2.8571428571428572</v>
      </c>
      <c r="AS40" s="5">
        <f t="shared" si="25"/>
        <v>0.89468504992333531</v>
      </c>
      <c r="AT40" s="5">
        <f t="shared" si="98"/>
        <v>1.962457807219522</v>
      </c>
      <c r="AU40" s="173">
        <f t="shared" si="99"/>
        <v>0.31313976747316735</v>
      </c>
      <c r="AW40" s="5">
        <f t="shared" si="152"/>
        <v>0.11051991793170612</v>
      </c>
      <c r="AX40" s="5">
        <f t="shared" si="153"/>
        <v>1.3047490311381973</v>
      </c>
      <c r="AY40" s="5">
        <f t="shared" si="28"/>
        <v>9.6504336603843246</v>
      </c>
      <c r="AZ40" s="5"/>
      <c r="BA40" s="173">
        <f t="shared" si="100"/>
        <v>6.7150671267036559</v>
      </c>
      <c r="BB40" s="173">
        <f t="shared" si="154"/>
        <v>0.46963651097921194</v>
      </c>
      <c r="BC40" s="173">
        <f t="shared" si="155"/>
        <v>0.3713152034467414</v>
      </c>
      <c r="BD40" s="173"/>
      <c r="BE40" s="528">
        <f t="shared" si="31"/>
        <v>1.8036850606454438</v>
      </c>
      <c r="BF40" s="528">
        <f t="shared" si="156"/>
        <v>3.2991576967625931</v>
      </c>
      <c r="BG40" s="528">
        <f t="shared" si="157"/>
        <v>0.16261841845714622</v>
      </c>
      <c r="BH40" s="528">
        <f t="shared" si="34"/>
        <v>2.8439327214338908E-2</v>
      </c>
      <c r="BI40">
        <f t="shared" si="35"/>
        <v>5.227020593265414E-3</v>
      </c>
      <c r="BJ40" s="460">
        <f t="shared" si="101"/>
        <v>167.84543905041164</v>
      </c>
      <c r="BK40">
        <f t="shared" si="158"/>
        <v>9.831711991700276</v>
      </c>
      <c r="BL40" s="460">
        <f t="shared" si="102"/>
        <v>9831.7119917002765</v>
      </c>
      <c r="BM40" s="173">
        <f t="shared" si="159"/>
        <v>0.18228</v>
      </c>
      <c r="BN40" s="173">
        <f t="shared" si="160"/>
        <v>0.15189999999999998</v>
      </c>
      <c r="BO40" s="528"/>
      <c r="BQ40" s="460">
        <f t="shared" si="103"/>
        <v>334.17999999999995</v>
      </c>
      <c r="BR40" s="528">
        <f t="shared" si="39"/>
        <v>1.3527637954840828</v>
      </c>
      <c r="BS40" s="528">
        <f t="shared" si="104"/>
        <v>6.6167535733418241E-3</v>
      </c>
      <c r="BT40" s="528">
        <f t="shared" si="161"/>
        <v>6.8937490155347475E-4</v>
      </c>
      <c r="BU40" s="528">
        <f t="shared" si="41"/>
        <v>225.68089669652699</v>
      </c>
      <c r="BV40" s="528">
        <f t="shared" si="162"/>
        <v>255.12658276379346</v>
      </c>
      <c r="BW40" s="625">
        <f t="shared" si="163"/>
        <v>3.7800000000000002</v>
      </c>
      <c r="BX40" s="460">
        <f t="shared" si="105"/>
        <v>258906.58276379344</v>
      </c>
      <c r="BY40" s="173">
        <f t="shared" si="106"/>
        <v>269.07247475549372</v>
      </c>
      <c r="BZ40" s="5">
        <f t="shared" si="107"/>
        <v>37.799999999999997</v>
      </c>
      <c r="CA40" s="173">
        <f t="shared" si="108"/>
        <v>0.1231782030308122</v>
      </c>
      <c r="CB40" s="5">
        <f t="shared" si="109"/>
        <v>12.31782030308122</v>
      </c>
      <c r="CC40">
        <f t="shared" si="173"/>
        <v>35</v>
      </c>
      <c r="CE40" s="562">
        <f t="shared" si="164"/>
        <v>-50</v>
      </c>
      <c r="CF40">
        <f t="shared" si="165"/>
        <v>-50</v>
      </c>
      <c r="CG40" s="173">
        <f t="shared" si="166"/>
        <v>0.41525175206771597</v>
      </c>
      <c r="CH40" s="173">
        <f t="shared" si="167"/>
        <v>0.1033359369402215</v>
      </c>
      <c r="CI40" s="170">
        <v>35</v>
      </c>
      <c r="CJ40" s="217">
        <f t="shared" si="133"/>
        <v>0.21</v>
      </c>
      <c r="CK40" s="217">
        <f t="shared" si="111"/>
        <v>0.17499999999999999</v>
      </c>
      <c r="CL40" s="217">
        <f t="shared" si="48"/>
        <v>35.699999999999996</v>
      </c>
      <c r="CM40" s="217">
        <f t="shared" si="134"/>
        <v>2.0999999999999996</v>
      </c>
      <c r="CN40" s="541">
        <f t="shared" si="112"/>
        <v>12.5</v>
      </c>
      <c r="CO40" s="443">
        <f t="shared" si="168"/>
        <v>8.5350000000000001</v>
      </c>
      <c r="CP40" s="443">
        <f t="shared" si="169"/>
        <v>21.035</v>
      </c>
      <c r="CQ40" s="443"/>
      <c r="CR40" s="217">
        <f t="shared" si="113"/>
        <v>0.40546967895362668</v>
      </c>
      <c r="CS40" s="172">
        <f t="shared" si="114"/>
        <v>159.55982736601052</v>
      </c>
      <c r="CT40" s="172">
        <f t="shared" si="51"/>
        <v>9.3858721980006177</v>
      </c>
      <c r="CU40" s="217">
        <f t="shared" si="52"/>
        <v>0.93858721980006188</v>
      </c>
      <c r="CV40" s="217">
        <f t="shared" si="53"/>
        <v>13.296652280500878</v>
      </c>
      <c r="CW40" s="443">
        <f t="shared" si="54"/>
        <v>170</v>
      </c>
      <c r="CX40" s="217">
        <f t="shared" si="55"/>
        <v>14.916035190615831</v>
      </c>
      <c r="CY40" s="217">
        <f t="shared" si="56"/>
        <v>0.59664140762463325</v>
      </c>
      <c r="CZ40" s="217">
        <f t="shared" si="57"/>
        <v>0.87381576980760567</v>
      </c>
      <c r="DA40" s="197">
        <f t="shared" si="58"/>
        <v>350</v>
      </c>
      <c r="DB40" s="443">
        <f t="shared" si="115"/>
        <v>350</v>
      </c>
      <c r="DD40" s="217">
        <f t="shared" si="59"/>
        <v>28.98230839756868</v>
      </c>
      <c r="DE40" s="173">
        <f t="shared" si="60"/>
        <v>1.6978505212401103</v>
      </c>
      <c r="DF40" s="173">
        <f t="shared" si="61"/>
        <v>0.40664636548103333</v>
      </c>
      <c r="DG40" s="173"/>
      <c r="DH40" s="173">
        <f t="shared" si="62"/>
        <v>0.78109744190587771</v>
      </c>
      <c r="DI40" s="545">
        <f t="shared" si="63"/>
        <v>854.00205882352952</v>
      </c>
      <c r="DJ40" s="528">
        <f t="shared" si="64"/>
        <v>8.6065366284073561E-2</v>
      </c>
      <c r="DL40" s="173">
        <f t="shared" si="65"/>
        <v>20.784609690826528</v>
      </c>
      <c r="DM40" s="173">
        <f t="shared" si="66"/>
        <v>20.784609690826528</v>
      </c>
      <c r="DN40" s="173">
        <f t="shared" si="67"/>
        <v>6.7194639685134776</v>
      </c>
      <c r="DP40" s="545">
        <f t="shared" si="68"/>
        <v>210</v>
      </c>
      <c r="DQ40" s="460">
        <f t="shared" si="69"/>
        <v>350</v>
      </c>
      <c r="DS40">
        <f t="shared" si="116"/>
        <v>210</v>
      </c>
      <c r="DT40" s="460">
        <f t="shared" si="70"/>
        <v>350</v>
      </c>
      <c r="DU40" s="460"/>
      <c r="DV40" s="5">
        <f t="shared" si="117"/>
        <v>2.8571428571428572</v>
      </c>
      <c r="DW40" s="5">
        <f t="shared" si="71"/>
        <v>0.83138438763306111</v>
      </c>
      <c r="DX40" s="5">
        <f t="shared" si="118"/>
        <v>2.0257584695097961</v>
      </c>
      <c r="DY40" s="173">
        <f t="shared" si="119"/>
        <v>0.2909845356715714</v>
      </c>
      <c r="EA40" s="5">
        <f t="shared" si="72"/>
        <v>0.10270042435467225</v>
      </c>
      <c r="EB40" s="5">
        <f t="shared" si="73"/>
        <v>1.2124355652982137</v>
      </c>
      <c r="EC40" s="5">
        <f t="shared" si="74"/>
        <v>9.2569059022719635</v>
      </c>
      <c r="ED40" s="5"/>
      <c r="EE40" s="173">
        <f t="shared" si="120"/>
        <v>6.4731578952398712</v>
      </c>
      <c r="EF40" s="173">
        <f t="shared" si="75"/>
        <v>0.47715065078595686</v>
      </c>
      <c r="EG40" s="173">
        <f t="shared" si="76"/>
        <v>0.37725621162187506</v>
      </c>
      <c r="EH40" s="173"/>
      <c r="EI40" s="528">
        <f t="shared" si="77"/>
        <v>1.6760709254682513</v>
      </c>
      <c r="EJ40" s="528">
        <f t="shared" si="78"/>
        <v>4.2080910491479093</v>
      </c>
      <c r="EK40" s="528">
        <f t="shared" si="79"/>
        <v>6.9999999999999993E-2</v>
      </c>
      <c r="EL40" s="528">
        <f t="shared" si="80"/>
        <v>3.0972985749999998E-2</v>
      </c>
      <c r="EM40">
        <f t="shared" si="81"/>
        <v>5.6249999999999998E-3</v>
      </c>
      <c r="EN40" s="460">
        <f t="shared" si="121"/>
        <v>75.625</v>
      </c>
      <c r="EO40">
        <f t="shared" si="82"/>
        <v>10.707324688980426</v>
      </c>
      <c r="EP40" s="460">
        <f t="shared" si="122"/>
        <v>10707.324688980427</v>
      </c>
      <c r="EQ40" s="173">
        <f t="shared" si="83"/>
        <v>0.18228</v>
      </c>
      <c r="ER40" s="173">
        <f t="shared" si="170"/>
        <v>0.15189999999999998</v>
      </c>
      <c r="ES40" s="528"/>
      <c r="EU40" s="460">
        <f t="shared" si="123"/>
        <v>334.17999999999995</v>
      </c>
      <c r="EV40" s="528">
        <f t="shared" si="85"/>
        <v>1.2570531941011884</v>
      </c>
      <c r="EW40" s="528">
        <f t="shared" si="124"/>
        <v>6.8301823063638646E-3</v>
      </c>
      <c r="EX40" s="528">
        <f t="shared" si="86"/>
        <v>7.1161124603644492E-4</v>
      </c>
      <c r="EY40" s="528">
        <f t="shared" si="87"/>
        <v>225.68089669652699</v>
      </c>
      <c r="EZ40" s="528">
        <f t="shared" si="88"/>
        <v>252.82688322260864</v>
      </c>
      <c r="FA40" s="625">
        <f t="shared" si="89"/>
        <v>3.7800000000000002</v>
      </c>
      <c r="FB40" s="460">
        <f t="shared" si="125"/>
        <v>256606.88322260865</v>
      </c>
      <c r="FC40" s="173">
        <f t="shared" si="126"/>
        <v>267.64838791158905</v>
      </c>
      <c r="FD40" s="5">
        <f t="shared" si="127"/>
        <v>37.799999999999997</v>
      </c>
      <c r="FE40" s="173">
        <f t="shared" si="128"/>
        <v>0.12375249467985756</v>
      </c>
      <c r="FF40" s="5">
        <f t="shared" si="129"/>
        <v>12.375249467985757</v>
      </c>
      <c r="FG40">
        <f t="shared" si="130"/>
        <v>35</v>
      </c>
      <c r="FI40" s="562">
        <f t="shared" si="90"/>
        <v>-50</v>
      </c>
      <c r="FJ40">
        <f t="shared" si="91"/>
        <v>-50</v>
      </c>
      <c r="FL40">
        <f t="shared" si="92"/>
        <v>0.41525175206771603</v>
      </c>
    </row>
    <row r="41" spans="5:168">
      <c r="E41" s="170">
        <v>36</v>
      </c>
      <c r="F41" s="217">
        <f t="shared" si="174"/>
        <v>0.216</v>
      </c>
      <c r="G41" s="217">
        <f t="shared" si="171"/>
        <v>0.18</v>
      </c>
      <c r="H41" s="217">
        <f t="shared" si="135"/>
        <v>36.72</v>
      </c>
      <c r="I41" s="217">
        <f t="shared" si="175"/>
        <v>2.16</v>
      </c>
      <c r="J41" s="541">
        <f t="shared" si="136"/>
        <v>11.603056029610489</v>
      </c>
      <c r="K41" s="443">
        <f t="shared" si="137"/>
        <v>8.5407713007185126</v>
      </c>
      <c r="L41" s="172">
        <f t="shared" si="138"/>
        <v>20.143827330329003</v>
      </c>
      <c r="M41" s="443"/>
      <c r="N41" s="217">
        <f t="shared" si="139"/>
        <v>0.42398950113414313</v>
      </c>
      <c r="O41" s="172">
        <f t="shared" si="172"/>
        <v>154.87547581415384</v>
      </c>
      <c r="P41" s="172">
        <f t="shared" si="140"/>
        <v>9.110322106714932</v>
      </c>
      <c r="Q41" s="217">
        <f t="shared" si="6"/>
        <v>0.9110322106714932</v>
      </c>
      <c r="R41" s="217">
        <f t="shared" si="141"/>
        <v>12.906289651179486</v>
      </c>
      <c r="S41" s="443">
        <f t="shared" si="142"/>
        <v>170</v>
      </c>
      <c r="T41" s="217">
        <f t="shared" si="143"/>
        <v>15.806246838831541</v>
      </c>
      <c r="U41" s="217">
        <f t="shared" si="10"/>
        <v>0.68112430029186677</v>
      </c>
      <c r="V41" s="217">
        <f t="shared" si="11"/>
        <v>0.92534071469059254</v>
      </c>
      <c r="W41" s="197">
        <f t="shared" si="12"/>
        <v>350</v>
      </c>
      <c r="X41" s="443">
        <f t="shared" si="95"/>
        <v>350</v>
      </c>
      <c r="Z41" s="217">
        <f t="shared" si="13"/>
        <v>28.111851072148937</v>
      </c>
      <c r="AA41" s="173">
        <f t="shared" si="14"/>
        <v>1.6457442824738766</v>
      </c>
      <c r="AB41" s="173">
        <f t="shared" si="144"/>
        <v>0.38232814322484737</v>
      </c>
      <c r="AC41" s="173"/>
      <c r="AD41" s="173">
        <f t="shared" si="16"/>
        <v>0.7805696267860277</v>
      </c>
      <c r="AE41" s="545">
        <f t="shared" si="145"/>
        <v>878.99608633747698</v>
      </c>
      <c r="AF41" s="528">
        <f t="shared" si="146"/>
        <v>8.6007208877349361E-2</v>
      </c>
      <c r="AH41" s="173">
        <f t="shared" si="147"/>
        <v>21.079441575688314</v>
      </c>
      <c r="AI41" s="173">
        <f t="shared" si="148"/>
        <v>21.079441575688314</v>
      </c>
      <c r="AJ41" s="173">
        <f t="shared" si="149"/>
        <v>6.9378579572999852</v>
      </c>
      <c r="AL41" s="545">
        <f t="shared" si="150"/>
        <v>216</v>
      </c>
      <c r="AM41" s="460">
        <f t="shared" si="151"/>
        <v>350</v>
      </c>
      <c r="AO41">
        <f t="shared" si="96"/>
        <v>216</v>
      </c>
      <c r="AP41" s="460">
        <f t="shared" si="24"/>
        <v>350</v>
      </c>
      <c r="AQ41" s="460"/>
      <c r="AR41" s="5">
        <f t="shared" si="97"/>
        <v>2.8571428571428572</v>
      </c>
      <c r="AS41" s="5">
        <f t="shared" si="25"/>
        <v>0.90835731215528492</v>
      </c>
      <c r="AT41" s="5">
        <f t="shared" si="98"/>
        <v>1.9487855449875724</v>
      </c>
      <c r="AU41" s="173">
        <f t="shared" si="99"/>
        <v>0.31792505925434972</v>
      </c>
      <c r="AW41" s="5">
        <f t="shared" si="152"/>
        <v>0.11541481142678915</v>
      </c>
      <c r="AX41" s="5">
        <f t="shared" si="153"/>
        <v>1.3625359682329272</v>
      </c>
      <c r="AY41" s="5">
        <f t="shared" si="28"/>
        <v>9.8676631438237923</v>
      </c>
      <c r="AZ41" s="5"/>
      <c r="BA41" s="173">
        <f t="shared" si="100"/>
        <v>6.8621602329098925</v>
      </c>
      <c r="BB41" s="173">
        <f t="shared" si="154"/>
        <v>0.47463629128055873</v>
      </c>
      <c r="BC41" s="173">
        <f t="shared" si="155"/>
        <v>0.37526824882626847</v>
      </c>
      <c r="BD41" s="173"/>
      <c r="BE41" s="528">
        <f t="shared" si="31"/>
        <v>1.8835697224851982</v>
      </c>
      <c r="BF41" s="528">
        <f t="shared" si="156"/>
        <v>3.3438874716483369</v>
      </c>
      <c r="BG41" s="528">
        <f t="shared" si="157"/>
        <v>0.16244278441454682</v>
      </c>
      <c r="BH41" s="528">
        <f t="shared" si="34"/>
        <v>2.8404164565987683E-2</v>
      </c>
      <c r="BI41">
        <f t="shared" si="35"/>
        <v>5.2213752133247202E-3</v>
      </c>
      <c r="BJ41" s="460">
        <f t="shared" si="101"/>
        <v>167.66415962787153</v>
      </c>
      <c r="BK41">
        <f t="shared" si="158"/>
        <v>10.434031749528922</v>
      </c>
      <c r="BL41" s="460">
        <f t="shared" si="102"/>
        <v>10434.031749528922</v>
      </c>
      <c r="BM41" s="173">
        <f t="shared" si="159"/>
        <v>0.18748799999999999</v>
      </c>
      <c r="BN41" s="173">
        <f t="shared" si="160"/>
        <v>0.15623999999999999</v>
      </c>
      <c r="BO41" s="528"/>
      <c r="BQ41" s="460">
        <f t="shared" si="103"/>
        <v>343.72799999999995</v>
      </c>
      <c r="BR41" s="528">
        <f t="shared" si="39"/>
        <v>1.4126772918638986</v>
      </c>
      <c r="BS41" s="528">
        <f t="shared" si="104"/>
        <v>6.7583882700169018E-3</v>
      </c>
      <c r="BT41" s="528">
        <f t="shared" si="161"/>
        <v>7.0413129288567078E-4</v>
      </c>
      <c r="BU41" s="528">
        <f t="shared" si="41"/>
        <v>233.76951146748385</v>
      </c>
      <c r="BV41" s="528">
        <f t="shared" si="162"/>
        <v>265.71915261683387</v>
      </c>
      <c r="BW41" s="625">
        <f t="shared" si="163"/>
        <v>3.8879999999999995</v>
      </c>
      <c r="BX41" s="460">
        <f t="shared" si="105"/>
        <v>269607.15261683386</v>
      </c>
      <c r="BY41" s="173">
        <f t="shared" si="106"/>
        <v>280.38491236636276</v>
      </c>
      <c r="BZ41" s="5">
        <f t="shared" si="107"/>
        <v>38.879999999999995</v>
      </c>
      <c r="CA41" s="173">
        <f t="shared" si="108"/>
        <v>0.12177974620457017</v>
      </c>
      <c r="CB41" s="5">
        <f t="shared" si="109"/>
        <v>12.177974620457018</v>
      </c>
      <c r="CC41">
        <f t="shared" si="173"/>
        <v>36</v>
      </c>
      <c r="CE41" s="562">
        <f t="shared" si="164"/>
        <v>-50</v>
      </c>
      <c r="CF41">
        <f t="shared" si="165"/>
        <v>-50</v>
      </c>
      <c r="CG41" s="173">
        <f t="shared" si="166"/>
        <v>0.42114214205220146</v>
      </c>
      <c r="CH41" s="173">
        <f t="shared" si="167"/>
        <v>0.10480176812566308</v>
      </c>
      <c r="CI41" s="170">
        <v>36</v>
      </c>
      <c r="CJ41" s="217">
        <f t="shared" si="133"/>
        <v>0.216</v>
      </c>
      <c r="CK41" s="217">
        <f t="shared" si="111"/>
        <v>0.18</v>
      </c>
      <c r="CL41" s="217">
        <f t="shared" si="48"/>
        <v>36.72</v>
      </c>
      <c r="CM41" s="217">
        <f t="shared" si="134"/>
        <v>2.16</v>
      </c>
      <c r="CN41" s="541">
        <f t="shared" si="112"/>
        <v>12.5</v>
      </c>
      <c r="CO41" s="443">
        <f t="shared" si="168"/>
        <v>8.5350000000000001</v>
      </c>
      <c r="CP41" s="443">
        <f t="shared" si="169"/>
        <v>21.035</v>
      </c>
      <c r="CQ41" s="443"/>
      <c r="CR41" s="217">
        <f t="shared" si="113"/>
        <v>0.40546967895362668</v>
      </c>
      <c r="CS41" s="172">
        <f t="shared" si="114"/>
        <v>159.55982736601052</v>
      </c>
      <c r="CT41" s="172">
        <f t="shared" si="51"/>
        <v>9.3858721980006177</v>
      </c>
      <c r="CU41" s="217">
        <f t="shared" si="52"/>
        <v>0.93858721980006188</v>
      </c>
      <c r="CV41" s="217">
        <f t="shared" si="53"/>
        <v>13.296652280500878</v>
      </c>
      <c r="CW41" s="443">
        <f t="shared" si="54"/>
        <v>170</v>
      </c>
      <c r="CX41" s="217">
        <f t="shared" si="55"/>
        <v>15.342207624633428</v>
      </c>
      <c r="CY41" s="217">
        <f t="shared" si="56"/>
        <v>0.61368830498533711</v>
      </c>
      <c r="CZ41" s="217">
        <f t="shared" si="57"/>
        <v>0.89878193465925171</v>
      </c>
      <c r="DA41" s="197">
        <f t="shared" si="58"/>
        <v>350</v>
      </c>
      <c r="DB41" s="443">
        <f t="shared" si="115"/>
        <v>350</v>
      </c>
      <c r="DD41" s="217">
        <f t="shared" si="59"/>
        <v>28.98230839756868</v>
      </c>
      <c r="DE41" s="173">
        <f t="shared" si="60"/>
        <v>1.6978505212401103</v>
      </c>
      <c r="DF41" s="173">
        <f t="shared" si="61"/>
        <v>0.40664636548103333</v>
      </c>
      <c r="DG41" s="173"/>
      <c r="DH41" s="173">
        <f t="shared" si="62"/>
        <v>0.78109744190587771</v>
      </c>
      <c r="DI41" s="545">
        <f t="shared" si="63"/>
        <v>878.40211764705884</v>
      </c>
      <c r="DJ41" s="528">
        <f t="shared" si="64"/>
        <v>8.6065366284073561E-2</v>
      </c>
      <c r="DL41" s="173">
        <f t="shared" si="65"/>
        <v>21.079441575688314</v>
      </c>
      <c r="DM41" s="173">
        <f t="shared" si="66"/>
        <v>21.079441575688314</v>
      </c>
      <c r="DN41" s="173">
        <f t="shared" si="67"/>
        <v>6.9378579572999852</v>
      </c>
      <c r="DP41" s="545">
        <f t="shared" si="68"/>
        <v>216</v>
      </c>
      <c r="DQ41" s="460">
        <f t="shared" si="69"/>
        <v>350</v>
      </c>
      <c r="DS41">
        <f t="shared" si="116"/>
        <v>216</v>
      </c>
      <c r="DT41" s="460">
        <f t="shared" si="70"/>
        <v>350</v>
      </c>
      <c r="DU41" s="460"/>
      <c r="DV41" s="5">
        <f t="shared" si="117"/>
        <v>2.8571428571428572</v>
      </c>
      <c r="DW41" s="5">
        <f t="shared" si="71"/>
        <v>0.8431776630275325</v>
      </c>
      <c r="DX41" s="5">
        <f t="shared" si="118"/>
        <v>2.0139651941153245</v>
      </c>
      <c r="DY41" s="173">
        <f t="shared" si="119"/>
        <v>0.29511218205963635</v>
      </c>
      <c r="EA41" s="5">
        <f t="shared" si="72"/>
        <v>0.10713316189055706</v>
      </c>
      <c r="EB41" s="5">
        <f t="shared" si="73"/>
        <v>1.2647664945412986</v>
      </c>
      <c r="EC41" s="5">
        <f t="shared" si="74"/>
        <v>9.4659586467730836</v>
      </c>
      <c r="ED41" s="5"/>
      <c r="EE41" s="173">
        <f t="shared" si="120"/>
        <v>6.6113788313291559</v>
      </c>
      <c r="EF41" s="173">
        <f t="shared" si="75"/>
        <v>0.48250842110758185</v>
      </c>
      <c r="EG41" s="173">
        <f t="shared" si="76"/>
        <v>0.38149229959733305</v>
      </c>
      <c r="EH41" s="173"/>
      <c r="EI41" s="528">
        <f t="shared" si="77"/>
        <v>1.7484132020538912</v>
      </c>
      <c r="EJ41" s="528">
        <f t="shared" si="78"/>
        <v>4.2677832653668117</v>
      </c>
      <c r="EK41" s="528">
        <f t="shared" si="79"/>
        <v>6.9999999999999993E-2</v>
      </c>
      <c r="EL41" s="528">
        <f t="shared" si="80"/>
        <v>3.0972985749999998E-2</v>
      </c>
      <c r="EM41">
        <f t="shared" si="81"/>
        <v>5.6249999999999998E-3</v>
      </c>
      <c r="EN41" s="460">
        <f t="shared" si="121"/>
        <v>75.625</v>
      </c>
      <c r="EO41">
        <f t="shared" si="82"/>
        <v>11.281432139968437</v>
      </c>
      <c r="EP41" s="460">
        <f t="shared" si="122"/>
        <v>11281.432139968438</v>
      </c>
      <c r="EQ41" s="173">
        <f t="shared" si="83"/>
        <v>0.18748799999999999</v>
      </c>
      <c r="ER41" s="173">
        <f t="shared" si="170"/>
        <v>0.15623999999999999</v>
      </c>
      <c r="ES41" s="528"/>
      <c r="EU41" s="460">
        <f t="shared" si="123"/>
        <v>343.72799999999995</v>
      </c>
      <c r="EV41" s="528">
        <f t="shared" si="85"/>
        <v>1.3113099015404184</v>
      </c>
      <c r="EW41" s="528">
        <f t="shared" si="124"/>
        <v>6.9844312931919466E-3</v>
      </c>
      <c r="EX41" s="528">
        <f t="shared" si="86"/>
        <v>7.2768187326030661E-4</v>
      </c>
      <c r="EY41" s="528">
        <f t="shared" si="87"/>
        <v>233.76951146748385</v>
      </c>
      <c r="EZ41" s="528">
        <f t="shared" si="88"/>
        <v>263.1758812549312</v>
      </c>
      <c r="FA41" s="625">
        <f t="shared" si="89"/>
        <v>3.8879999999999995</v>
      </c>
      <c r="FB41" s="460">
        <f t="shared" si="125"/>
        <v>267063.88125493116</v>
      </c>
      <c r="FC41" s="173">
        <f t="shared" si="126"/>
        <v>278.68904139489962</v>
      </c>
      <c r="FD41" s="5">
        <f t="shared" si="127"/>
        <v>38.879999999999995</v>
      </c>
      <c r="FE41" s="173">
        <f t="shared" si="128"/>
        <v>0.12243007010136234</v>
      </c>
      <c r="FF41" s="5">
        <f t="shared" si="129"/>
        <v>12.243007010136234</v>
      </c>
      <c r="FG41">
        <f t="shared" si="130"/>
        <v>36</v>
      </c>
      <c r="FI41" s="562">
        <f t="shared" si="90"/>
        <v>-50</v>
      </c>
      <c r="FJ41">
        <f t="shared" si="91"/>
        <v>-50</v>
      </c>
      <c r="FL41">
        <f t="shared" si="92"/>
        <v>0.42114214205220152</v>
      </c>
    </row>
    <row r="42" spans="5:168">
      <c r="E42" s="170">
        <v>37</v>
      </c>
      <c r="F42" s="217">
        <f t="shared" si="174"/>
        <v>0.222</v>
      </c>
      <c r="G42" s="217">
        <f t="shared" si="171"/>
        <v>0.185</v>
      </c>
      <c r="H42" s="217">
        <f t="shared" si="135"/>
        <v>37.74</v>
      </c>
      <c r="I42" s="217">
        <f t="shared" si="175"/>
        <v>2.2199999999999998</v>
      </c>
      <c r="J42" s="541">
        <f t="shared" si="136"/>
        <v>11.590683804189627</v>
      </c>
      <c r="K42" s="443">
        <f t="shared" si="137"/>
        <v>8.5408509086269415</v>
      </c>
      <c r="L42" s="172">
        <f t="shared" si="138"/>
        <v>20.131534712816567</v>
      </c>
      <c r="M42" s="443"/>
      <c r="N42" s="217">
        <f t="shared" si="139"/>
        <v>0.42425234988117833</v>
      </c>
      <c r="O42" s="172">
        <f t="shared" si="172"/>
        <v>154.80624498365148</v>
      </c>
      <c r="P42" s="172">
        <f t="shared" si="140"/>
        <v>9.1062497049206748</v>
      </c>
      <c r="Q42" s="217">
        <f t="shared" si="6"/>
        <v>0.91062497049206759</v>
      </c>
      <c r="R42" s="217">
        <f t="shared" si="141"/>
        <v>12.900520415304291</v>
      </c>
      <c r="S42" s="443">
        <f t="shared" si="142"/>
        <v>170</v>
      </c>
      <c r="T42" s="217">
        <f t="shared" si="143"/>
        <v>16.25257430839244</v>
      </c>
      <c r="U42" s="217">
        <f t="shared" si="10"/>
        <v>0.70110506778373582</v>
      </c>
      <c r="V42" s="217">
        <f t="shared" si="11"/>
        <v>0.95146107116657663</v>
      </c>
      <c r="W42" s="197">
        <f t="shared" si="12"/>
        <v>350</v>
      </c>
      <c r="X42" s="443">
        <f t="shared" si="95"/>
        <v>350</v>
      </c>
      <c r="Z42" s="217">
        <f t="shared" si="13"/>
        <v>28.099284803755229</v>
      </c>
      <c r="AA42" s="173">
        <f t="shared" si="14"/>
        <v>1.6449932860537764</v>
      </c>
      <c r="AB42" s="173">
        <f t="shared" si="144"/>
        <v>0.3819828504559542</v>
      </c>
      <c r="AC42" s="173"/>
      <c r="AD42" s="173">
        <f t="shared" si="16"/>
        <v>0.78056235122109441</v>
      </c>
      <c r="AE42" s="545">
        <f t="shared" si="145"/>
        <v>903.42106493488029</v>
      </c>
      <c r="AF42" s="528">
        <f t="shared" si="146"/>
        <v>8.6006407217879874E-2</v>
      </c>
      <c r="AH42" s="173">
        <f t="shared" si="147"/>
        <v>21.370206229367895</v>
      </c>
      <c r="AI42" s="173">
        <f t="shared" si="148"/>
        <v>21.370206229367895</v>
      </c>
      <c r="AJ42" s="173">
        <f t="shared" si="149"/>
        <v>7.1532391822478232</v>
      </c>
      <c r="AL42" s="545">
        <f t="shared" si="150"/>
        <v>222</v>
      </c>
      <c r="AM42" s="460">
        <f t="shared" si="151"/>
        <v>350</v>
      </c>
      <c r="AO42">
        <f t="shared" si="96"/>
        <v>222</v>
      </c>
      <c r="AP42" s="460">
        <f t="shared" si="24"/>
        <v>350</v>
      </c>
      <c r="AQ42" s="460"/>
      <c r="AR42" s="5">
        <f t="shared" si="97"/>
        <v>2.8571428571428572</v>
      </c>
      <c r="AS42" s="5">
        <f t="shared" si="25"/>
        <v>0.92186995135020888</v>
      </c>
      <c r="AT42" s="5">
        <f t="shared" si="98"/>
        <v>1.9352729057926483</v>
      </c>
      <c r="AU42" s="173">
        <f t="shared" si="99"/>
        <v>0.3226544829725731</v>
      </c>
      <c r="AW42" s="5">
        <f t="shared" si="152"/>
        <v>0.12038537011749786</v>
      </c>
      <c r="AX42" s="5">
        <f t="shared" si="153"/>
        <v>1.4212161749982386</v>
      </c>
      <c r="AY42" s="5">
        <f t="shared" si="28"/>
        <v>10.082193692588064</v>
      </c>
      <c r="AZ42" s="5"/>
      <c r="BA42" s="173">
        <f t="shared" si="100"/>
        <v>7.0083686409847994</v>
      </c>
      <c r="BB42" s="173">
        <f t="shared" si="154"/>
        <v>0.47951217319318729</v>
      </c>
      <c r="BC42" s="173">
        <f t="shared" si="155"/>
        <v>0.37912333471087112</v>
      </c>
      <c r="BD42" s="173"/>
      <c r="BE42" s="528">
        <f t="shared" si="31"/>
        <v>1.9646892403175651</v>
      </c>
      <c r="BF42" s="528">
        <f t="shared" si="156"/>
        <v>3.3879435071467281</v>
      </c>
      <c r="BG42" s="528">
        <f t="shared" si="157"/>
        <v>0.16226957325865479</v>
      </c>
      <c r="BH42" s="528">
        <f t="shared" si="34"/>
        <v>2.836950829253369E-2</v>
      </c>
      <c r="BI42">
        <f t="shared" si="35"/>
        <v>5.2158077118853322E-3</v>
      </c>
      <c r="BJ42" s="460">
        <f t="shared" si="101"/>
        <v>167.48538097054015</v>
      </c>
      <c r="BK42">
        <f t="shared" si="158"/>
        <v>11.086986183834563</v>
      </c>
      <c r="BL42" s="460">
        <f t="shared" si="102"/>
        <v>11086.986183834562</v>
      </c>
      <c r="BM42" s="173">
        <f t="shared" si="159"/>
        <v>0.19269599999999998</v>
      </c>
      <c r="BN42" s="173">
        <f t="shared" si="160"/>
        <v>0.16058</v>
      </c>
      <c r="BO42" s="528"/>
      <c r="BQ42" s="460">
        <f t="shared" si="103"/>
        <v>353.27599999999995</v>
      </c>
      <c r="BR42" s="528">
        <f t="shared" si="39"/>
        <v>1.4735169302381737</v>
      </c>
      <c r="BS42" s="528">
        <f t="shared" si="104"/>
        <v>6.8979577272135972E-3</v>
      </c>
      <c r="BT42" s="528">
        <f t="shared" si="161"/>
        <v>7.1867251461145605E-4</v>
      </c>
      <c r="BU42" s="528">
        <f t="shared" si="41"/>
        <v>241.91449903105124</v>
      </c>
      <c r="BV42" s="528">
        <f t="shared" si="162"/>
        <v>276.51563114946947</v>
      </c>
      <c r="BW42" s="625">
        <f t="shared" si="163"/>
        <v>3.9960000000000013</v>
      </c>
      <c r="BX42" s="460">
        <f t="shared" si="105"/>
        <v>280511.63114946947</v>
      </c>
      <c r="BY42" s="173">
        <f t="shared" si="106"/>
        <v>291.95189333330404</v>
      </c>
      <c r="BZ42" s="5">
        <f t="shared" si="107"/>
        <v>39.96</v>
      </c>
      <c r="CA42" s="173">
        <f t="shared" si="108"/>
        <v>0.1203933959662976</v>
      </c>
      <c r="CB42" s="5">
        <f t="shared" si="109"/>
        <v>12.039339596629759</v>
      </c>
      <c r="CC42">
        <f t="shared" si="173"/>
        <v>37</v>
      </c>
      <c r="CE42" s="562">
        <f t="shared" si="164"/>
        <v>-50</v>
      </c>
      <c r="CF42">
        <f t="shared" si="165"/>
        <v>-50</v>
      </c>
      <c r="CG42" s="173">
        <f t="shared" si="166"/>
        <v>0.42695127360077689</v>
      </c>
      <c r="CH42" s="173">
        <f t="shared" si="167"/>
        <v>0.10624737804396427</v>
      </c>
      <c r="CI42" s="170">
        <v>37</v>
      </c>
      <c r="CJ42" s="217">
        <f t="shared" si="133"/>
        <v>0.222</v>
      </c>
      <c r="CK42" s="217">
        <f t="shared" si="111"/>
        <v>0.185</v>
      </c>
      <c r="CL42" s="217">
        <f t="shared" si="48"/>
        <v>37.74</v>
      </c>
      <c r="CM42" s="217">
        <f t="shared" si="134"/>
        <v>2.2199999999999998</v>
      </c>
      <c r="CN42" s="541">
        <f t="shared" si="112"/>
        <v>12.5</v>
      </c>
      <c r="CO42" s="443">
        <f t="shared" si="168"/>
        <v>8.5350000000000001</v>
      </c>
      <c r="CP42" s="443">
        <f t="shared" si="169"/>
        <v>21.035</v>
      </c>
      <c r="CQ42" s="443"/>
      <c r="CR42" s="217">
        <f t="shared" si="113"/>
        <v>0.40546967895362668</v>
      </c>
      <c r="CS42" s="172">
        <f t="shared" si="114"/>
        <v>159.55982736601052</v>
      </c>
      <c r="CT42" s="172">
        <f t="shared" si="51"/>
        <v>9.3858721980006177</v>
      </c>
      <c r="CU42" s="217">
        <f t="shared" si="52"/>
        <v>0.93858721980006188</v>
      </c>
      <c r="CV42" s="217">
        <f t="shared" si="53"/>
        <v>13.296652280500878</v>
      </c>
      <c r="CW42" s="443">
        <f t="shared" si="54"/>
        <v>170</v>
      </c>
      <c r="CX42" s="217">
        <f t="shared" si="55"/>
        <v>15.768380058651024</v>
      </c>
      <c r="CY42" s="217">
        <f t="shared" si="56"/>
        <v>0.63073520234604086</v>
      </c>
      <c r="CZ42" s="217">
        <f t="shared" si="57"/>
        <v>0.92374809951089765</v>
      </c>
      <c r="DA42" s="197">
        <f t="shared" si="58"/>
        <v>350</v>
      </c>
      <c r="DB42" s="443">
        <f t="shared" si="115"/>
        <v>350</v>
      </c>
      <c r="DD42" s="217">
        <f t="shared" si="59"/>
        <v>28.98230839756868</v>
      </c>
      <c r="DE42" s="173">
        <f t="shared" si="60"/>
        <v>1.6978505212401103</v>
      </c>
      <c r="DF42" s="173">
        <f t="shared" si="61"/>
        <v>0.40664636548103333</v>
      </c>
      <c r="DG42" s="173"/>
      <c r="DH42" s="173">
        <f t="shared" si="62"/>
        <v>0.78109744190587771</v>
      </c>
      <c r="DI42" s="545">
        <f t="shared" si="63"/>
        <v>902.80217647058828</v>
      </c>
      <c r="DJ42" s="528">
        <f t="shared" si="64"/>
        <v>8.6065366284073561E-2</v>
      </c>
      <c r="DL42" s="173">
        <f t="shared" si="65"/>
        <v>21.370206229367895</v>
      </c>
      <c r="DM42" s="173">
        <f t="shared" si="66"/>
        <v>21.370206229367895</v>
      </c>
      <c r="DN42" s="173">
        <f t="shared" si="67"/>
        <v>7.1532391822478232</v>
      </c>
      <c r="DP42" s="545">
        <f t="shared" si="68"/>
        <v>222</v>
      </c>
      <c r="DQ42" s="460">
        <f t="shared" si="69"/>
        <v>350</v>
      </c>
      <c r="DS42">
        <f t="shared" si="116"/>
        <v>222</v>
      </c>
      <c r="DT42" s="460">
        <f t="shared" si="70"/>
        <v>350</v>
      </c>
      <c r="DU42" s="460"/>
      <c r="DV42" s="5">
        <f t="shared" si="117"/>
        <v>2.8571428571428572</v>
      </c>
      <c r="DW42" s="5">
        <f t="shared" si="71"/>
        <v>0.85480824917471565</v>
      </c>
      <c r="DX42" s="5">
        <f t="shared" si="118"/>
        <v>2.0023346079681414</v>
      </c>
      <c r="DY42" s="173">
        <f t="shared" si="119"/>
        <v>0.29918288721115049</v>
      </c>
      <c r="EA42" s="5">
        <f t="shared" si="72"/>
        <v>0.11162790077458051</v>
      </c>
      <c r="EB42" s="5">
        <f t="shared" si="73"/>
        <v>1.3178293841443534</v>
      </c>
      <c r="EC42" s="5">
        <f t="shared" si="74"/>
        <v>9.6727178374038605</v>
      </c>
      <c r="ED42" s="5"/>
      <c r="EE42" s="173">
        <f t="shared" si="120"/>
        <v>6.7486430870234111</v>
      </c>
      <c r="EF42" s="173">
        <f t="shared" si="75"/>
        <v>0.48774952546253281</v>
      </c>
      <c r="EG42" s="173">
        <f t="shared" si="76"/>
        <v>0.38563614634763482</v>
      </c>
      <c r="EH42" s="173"/>
      <c r="EI42" s="528">
        <f t="shared" si="77"/>
        <v>1.821767340641155</v>
      </c>
      <c r="EJ42" s="528">
        <f t="shared" si="78"/>
        <v>4.3266520223345051</v>
      </c>
      <c r="EK42" s="528">
        <f t="shared" si="79"/>
        <v>6.9999999999999993E-2</v>
      </c>
      <c r="EL42" s="528">
        <f t="shared" si="80"/>
        <v>3.0972985749999998E-2</v>
      </c>
      <c r="EM42">
        <f t="shared" si="81"/>
        <v>5.6249999999999998E-3</v>
      </c>
      <c r="EN42" s="460">
        <f t="shared" si="121"/>
        <v>75.625</v>
      </c>
      <c r="EO42">
        <f t="shared" si="82"/>
        <v>11.896178035762157</v>
      </c>
      <c r="EP42" s="460">
        <f t="shared" si="122"/>
        <v>11896.178035762157</v>
      </c>
      <c r="EQ42" s="173">
        <f t="shared" si="83"/>
        <v>0.19269599999999998</v>
      </c>
      <c r="ER42" s="173">
        <f t="shared" si="170"/>
        <v>0.16058</v>
      </c>
      <c r="ES42" s="528"/>
      <c r="EU42" s="460">
        <f t="shared" si="123"/>
        <v>353.27599999999995</v>
      </c>
      <c r="EV42" s="528">
        <f t="shared" si="85"/>
        <v>1.3663255054808661</v>
      </c>
      <c r="EW42" s="528">
        <f t="shared" si="124"/>
        <v>7.1369879876677774E-3</v>
      </c>
      <c r="EX42" s="528">
        <f t="shared" si="86"/>
        <v>7.4357618684927219E-4</v>
      </c>
      <c r="EY42" s="528">
        <f t="shared" si="87"/>
        <v>241.91449903105124</v>
      </c>
      <c r="EZ42" s="528">
        <f t="shared" si="88"/>
        <v>273.7091349195494</v>
      </c>
      <c r="FA42" s="625">
        <f t="shared" si="89"/>
        <v>3.9960000000000013</v>
      </c>
      <c r="FB42" s="460">
        <f t="shared" si="125"/>
        <v>277705.1349195494</v>
      </c>
      <c r="FC42" s="173">
        <f t="shared" si="126"/>
        <v>289.95458895531152</v>
      </c>
      <c r="FD42" s="5">
        <f t="shared" si="127"/>
        <v>39.96</v>
      </c>
      <c r="FE42" s="173">
        <f t="shared" si="128"/>
        <v>0.12112225811697212</v>
      </c>
      <c r="FF42" s="5">
        <f t="shared" si="129"/>
        <v>12.112225811697213</v>
      </c>
      <c r="FG42">
        <f t="shared" si="130"/>
        <v>37</v>
      </c>
      <c r="FI42" s="562">
        <f t="shared" si="90"/>
        <v>-50</v>
      </c>
      <c r="FJ42">
        <f t="shared" si="91"/>
        <v>-50</v>
      </c>
      <c r="FL42">
        <f t="shared" si="92"/>
        <v>0.42695127360077695</v>
      </c>
    </row>
    <row r="43" spans="5:168">
      <c r="E43" s="170">
        <v>38</v>
      </c>
      <c r="F43" s="217">
        <f t="shared" si="174"/>
        <v>0.22799999999999998</v>
      </c>
      <c r="G43" s="217">
        <f t="shared" si="171"/>
        <v>0.19</v>
      </c>
      <c r="H43" s="217">
        <f t="shared" si="135"/>
        <v>38.76</v>
      </c>
      <c r="I43" s="217">
        <f t="shared" si="175"/>
        <v>2.2800000000000002</v>
      </c>
      <c r="J43" s="541">
        <f t="shared" si="136"/>
        <v>11.578477671508718</v>
      </c>
      <c r="K43" s="443">
        <f t="shared" si="137"/>
        <v>8.5409294478274251</v>
      </c>
      <c r="L43" s="172">
        <f t="shared" si="138"/>
        <v>20.119407119336145</v>
      </c>
      <c r="M43" s="443"/>
      <c r="N43" s="217">
        <f t="shared" si="139"/>
        <v>0.42451198473035517</v>
      </c>
      <c r="O43" s="172">
        <f t="shared" si="172"/>
        <v>154.7378576301862</v>
      </c>
      <c r="P43" s="172">
        <f t="shared" si="140"/>
        <v>9.1022269194227174</v>
      </c>
      <c r="Q43" s="217">
        <f t="shared" si="6"/>
        <v>0.91022269194227179</v>
      </c>
      <c r="R43" s="217">
        <f t="shared" si="141"/>
        <v>12.894821469182183</v>
      </c>
      <c r="S43" s="443">
        <f t="shared" si="142"/>
        <v>170</v>
      </c>
      <c r="T43" s="217">
        <f t="shared" si="143"/>
        <v>16.699210132374965</v>
      </c>
      <c r="U43" s="217">
        <f t="shared" si="10"/>
        <v>0.72113150822352434</v>
      </c>
      <c r="V43" s="217">
        <f t="shared" si="11"/>
        <v>0.97759911461525884</v>
      </c>
      <c r="W43" s="197">
        <f t="shared" si="12"/>
        <v>350</v>
      </c>
      <c r="X43" s="443">
        <f t="shared" si="95"/>
        <v>350</v>
      </c>
      <c r="Z43" s="217">
        <f t="shared" si="13"/>
        <v>28.086871637075816</v>
      </c>
      <c r="AA43" s="173">
        <f t="shared" si="14"/>
        <v>1.6442514721989849</v>
      </c>
      <c r="AB43" s="173">
        <f t="shared" si="144"/>
        <v>0.38164192532002589</v>
      </c>
      <c r="AC43" s="173"/>
      <c r="AD43" s="173">
        <f t="shared" si="16"/>
        <v>0.78055517346094938</v>
      </c>
      <c r="AE43" s="545">
        <f t="shared" si="145"/>
        <v>927.84638260280519</v>
      </c>
      <c r="AF43" s="528">
        <f t="shared" si="146"/>
        <v>8.6005616335049051E-2</v>
      </c>
      <c r="AH43" s="173">
        <f t="shared" si="147"/>
        <v>21.657067470656582</v>
      </c>
      <c r="AI43" s="173">
        <f t="shared" si="148"/>
        <v>21.657067470656582</v>
      </c>
      <c r="AJ43" s="173">
        <f t="shared" si="149"/>
        <v>7.3657289906098136</v>
      </c>
      <c r="AL43" s="545">
        <f t="shared" si="150"/>
        <v>227.99999999999997</v>
      </c>
      <c r="AM43" s="460">
        <f t="shared" si="151"/>
        <v>350</v>
      </c>
      <c r="AO43">
        <f t="shared" si="96"/>
        <v>227.99999999999997</v>
      </c>
      <c r="AP43" s="460">
        <f t="shared" si="24"/>
        <v>350</v>
      </c>
      <c r="AQ43" s="460"/>
      <c r="AR43" s="5">
        <f t="shared" si="97"/>
        <v>2.8571428571428572</v>
      </c>
      <c r="AS43" s="5">
        <f t="shared" si="25"/>
        <v>0.93522948720401966</v>
      </c>
      <c r="AT43" s="5">
        <f t="shared" si="98"/>
        <v>1.9219133699388375</v>
      </c>
      <c r="AU43" s="173">
        <f t="shared" si="99"/>
        <v>0.32733032052140687</v>
      </c>
      <c r="AW43" s="5">
        <f t="shared" si="152"/>
        <v>0.1254307782838332</v>
      </c>
      <c r="AX43" s="5">
        <f t="shared" si="153"/>
        <v>1.4807800214063644</v>
      </c>
      <c r="AY43" s="5">
        <f t="shared" si="28"/>
        <v>10.294045809097815</v>
      </c>
      <c r="AZ43" s="5"/>
      <c r="BA43" s="173">
        <f t="shared" si="100"/>
        <v>7.1537233340271111</v>
      </c>
      <c r="BB43" s="173">
        <f t="shared" si="154"/>
        <v>0.48426866543122205</v>
      </c>
      <c r="BC43" s="173">
        <f t="shared" si="155"/>
        <v>0.38288402588749243</v>
      </c>
      <c r="BD43" s="173"/>
      <c r="BE43" s="528">
        <f t="shared" si="31"/>
        <v>2.0470303015921587</v>
      </c>
      <c r="BF43" s="528">
        <f t="shared" si="156"/>
        <v>3.4313529399429359</v>
      </c>
      <c r="BG43" s="528">
        <f t="shared" si="157"/>
        <v>0.16209868740112207</v>
      </c>
      <c r="BH43" s="528">
        <f t="shared" si="34"/>
        <v>2.8335337998351581E-2</v>
      </c>
      <c r="BI43">
        <f t="shared" si="35"/>
        <v>5.2103149521789231E-3</v>
      </c>
      <c r="BJ43" s="460">
        <f t="shared" si="101"/>
        <v>167.309002353301</v>
      </c>
      <c r="BK43">
        <f t="shared" si="158"/>
        <v>11.797341793189707</v>
      </c>
      <c r="BL43" s="460">
        <f t="shared" si="102"/>
        <v>11797.341793189707</v>
      </c>
      <c r="BM43" s="173">
        <f t="shared" si="159"/>
        <v>0.19790399999999994</v>
      </c>
      <c r="BN43" s="173">
        <f t="shared" si="160"/>
        <v>0.16491999999999998</v>
      </c>
      <c r="BO43" s="528"/>
      <c r="BQ43" s="460">
        <f t="shared" si="103"/>
        <v>362.8239999999999</v>
      </c>
      <c r="BR43" s="528">
        <f t="shared" si="39"/>
        <v>1.535272726194119</v>
      </c>
      <c r="BS43" s="528">
        <f t="shared" si="104"/>
        <v>7.0354842095561058E-3</v>
      </c>
      <c r="BT43" s="528">
        <f t="shared" si="161"/>
        <v>7.3300088639906985E-4</v>
      </c>
      <c r="BU43" s="528">
        <f t="shared" si="41"/>
        <v>250.11471254225887</v>
      </c>
      <c r="BV43" s="528">
        <f t="shared" si="162"/>
        <v>287.52057083571043</v>
      </c>
      <c r="BW43" s="625">
        <f t="shared" si="163"/>
        <v>4.104000000000001</v>
      </c>
      <c r="BX43" s="460">
        <f t="shared" si="105"/>
        <v>291624.57083571039</v>
      </c>
      <c r="BY43" s="173">
        <f t="shared" si="106"/>
        <v>303.78473662890013</v>
      </c>
      <c r="BZ43" s="5">
        <f t="shared" si="107"/>
        <v>41.04</v>
      </c>
      <c r="CA43" s="173">
        <f t="shared" si="108"/>
        <v>0.11901698352971464</v>
      </c>
      <c r="CB43" s="5">
        <f t="shared" si="109"/>
        <v>11.901698352971463</v>
      </c>
      <c r="CC43">
        <f t="shared" si="173"/>
        <v>38</v>
      </c>
      <c r="CE43" s="562">
        <f t="shared" si="164"/>
        <v>-50</v>
      </c>
      <c r="CF43">
        <f t="shared" si="165"/>
        <v>-50</v>
      </c>
      <c r="CG43" s="173">
        <f t="shared" si="166"/>
        <v>0.43268241961782344</v>
      </c>
      <c r="CH43" s="173">
        <f t="shared" si="167"/>
        <v>0.10767358116162422</v>
      </c>
      <c r="CI43" s="170">
        <v>38</v>
      </c>
      <c r="CJ43" s="217">
        <f t="shared" si="133"/>
        <v>0.22799999999999998</v>
      </c>
      <c r="CK43" s="217">
        <f t="shared" si="111"/>
        <v>0.19</v>
      </c>
      <c r="CL43" s="217">
        <f t="shared" si="48"/>
        <v>38.76</v>
      </c>
      <c r="CM43" s="217">
        <f t="shared" si="134"/>
        <v>2.2800000000000002</v>
      </c>
      <c r="CN43" s="541">
        <f t="shared" si="112"/>
        <v>12.5</v>
      </c>
      <c r="CO43" s="443">
        <f t="shared" si="168"/>
        <v>8.5350000000000001</v>
      </c>
      <c r="CP43" s="443">
        <f t="shared" si="169"/>
        <v>21.035</v>
      </c>
      <c r="CQ43" s="443"/>
      <c r="CR43" s="217">
        <f t="shared" si="113"/>
        <v>0.40546967895362668</v>
      </c>
      <c r="CS43" s="172">
        <f t="shared" si="114"/>
        <v>159.55982736601052</v>
      </c>
      <c r="CT43" s="172">
        <f t="shared" si="51"/>
        <v>9.3858721980006177</v>
      </c>
      <c r="CU43" s="217">
        <f t="shared" si="52"/>
        <v>0.93858721980006188</v>
      </c>
      <c r="CV43" s="217">
        <f t="shared" si="53"/>
        <v>13.296652280500878</v>
      </c>
      <c r="CW43" s="443">
        <f t="shared" si="54"/>
        <v>170</v>
      </c>
      <c r="CX43" s="217">
        <f t="shared" si="55"/>
        <v>16.19455249266862</v>
      </c>
      <c r="CY43" s="217">
        <f t="shared" si="56"/>
        <v>0.64778209970674483</v>
      </c>
      <c r="CZ43" s="217">
        <f t="shared" si="57"/>
        <v>0.94871426436254369</v>
      </c>
      <c r="DA43" s="197">
        <f t="shared" si="58"/>
        <v>350</v>
      </c>
      <c r="DB43" s="443">
        <f t="shared" si="115"/>
        <v>350</v>
      </c>
      <c r="DD43" s="217">
        <f t="shared" si="59"/>
        <v>28.98230839756868</v>
      </c>
      <c r="DE43" s="173">
        <f t="shared" si="60"/>
        <v>1.6978505212401103</v>
      </c>
      <c r="DF43" s="173">
        <f t="shared" si="61"/>
        <v>0.40664636548103333</v>
      </c>
      <c r="DG43" s="173"/>
      <c r="DH43" s="173">
        <f t="shared" si="62"/>
        <v>0.78109744190587771</v>
      </c>
      <c r="DI43" s="545">
        <f t="shared" si="63"/>
        <v>927.2022352941176</v>
      </c>
      <c r="DJ43" s="528">
        <f t="shared" si="64"/>
        <v>8.6065366284073561E-2</v>
      </c>
      <c r="DL43" s="173">
        <f t="shared" si="65"/>
        <v>21.657067470656582</v>
      </c>
      <c r="DM43" s="173">
        <f t="shared" si="66"/>
        <v>21.657067470656582</v>
      </c>
      <c r="DN43" s="173">
        <f t="shared" si="67"/>
        <v>7.3657289906098136</v>
      </c>
      <c r="DP43" s="545">
        <f t="shared" si="68"/>
        <v>227.99999999999997</v>
      </c>
      <c r="DQ43" s="460">
        <f t="shared" si="69"/>
        <v>350</v>
      </c>
      <c r="DS43">
        <f t="shared" si="116"/>
        <v>227.99999999999997</v>
      </c>
      <c r="DT43" s="460">
        <f t="shared" si="70"/>
        <v>350</v>
      </c>
      <c r="DU43" s="460"/>
      <c r="DV43" s="5">
        <f t="shared" si="117"/>
        <v>2.8571428571428572</v>
      </c>
      <c r="DW43" s="5">
        <f t="shared" si="71"/>
        <v>0.8662826988262633</v>
      </c>
      <c r="DX43" s="5">
        <f t="shared" si="118"/>
        <v>1.9908601583165939</v>
      </c>
      <c r="DY43" s="173">
        <f t="shared" si="119"/>
        <v>0.30319894458919217</v>
      </c>
      <c r="EA43" s="5">
        <f t="shared" si="72"/>
        <v>0.11618379725434588</v>
      </c>
      <c r="EB43" s="5">
        <f t="shared" si="73"/>
        <v>1.3716142731415835</v>
      </c>
      <c r="EC43" s="5">
        <f t="shared" si="74"/>
        <v>9.8772146862529517</v>
      </c>
      <c r="ED43" s="5"/>
      <c r="EE43" s="173">
        <f t="shared" si="120"/>
        <v>6.884982881588968</v>
      </c>
      <c r="EF43" s="173">
        <f t="shared" si="75"/>
        <v>0.49287846438191635</v>
      </c>
      <c r="EG43" s="173">
        <f t="shared" si="76"/>
        <v>0.38969131018987085</v>
      </c>
      <c r="EH43" s="173"/>
      <c r="EI43" s="528">
        <f t="shared" si="77"/>
        <v>1.8961195711909253</v>
      </c>
      <c r="EJ43" s="528">
        <f t="shared" si="78"/>
        <v>4.3847304871106392</v>
      </c>
      <c r="EK43" s="528">
        <f t="shared" si="79"/>
        <v>6.9999999999999993E-2</v>
      </c>
      <c r="EL43" s="528">
        <f t="shared" si="80"/>
        <v>3.0972985749999998E-2</v>
      </c>
      <c r="EM43">
        <f t="shared" si="81"/>
        <v>5.6249999999999998E-3</v>
      </c>
      <c r="EN43" s="460">
        <f t="shared" si="121"/>
        <v>75.625</v>
      </c>
      <c r="EO43">
        <f t="shared" si="82"/>
        <v>12.556190112284886</v>
      </c>
      <c r="EP43" s="460">
        <f t="shared" si="122"/>
        <v>12556.190112284887</v>
      </c>
      <c r="EQ43" s="173">
        <f t="shared" si="83"/>
        <v>0.19790399999999994</v>
      </c>
      <c r="ER43" s="173">
        <f t="shared" si="170"/>
        <v>0.16491999999999998</v>
      </c>
      <c r="ES43" s="528"/>
      <c r="EU43" s="460">
        <f t="shared" si="123"/>
        <v>362.8239999999999</v>
      </c>
      <c r="EV43" s="528">
        <f t="shared" si="85"/>
        <v>1.4220896783931938</v>
      </c>
      <c r="EW43" s="528">
        <f t="shared" si="124"/>
        <v>7.2878754195442787E-3</v>
      </c>
      <c r="EX43" s="528">
        <f t="shared" si="86"/>
        <v>7.5929658618749082E-4</v>
      </c>
      <c r="EY43" s="528">
        <f t="shared" si="87"/>
        <v>250.11471254225887</v>
      </c>
      <c r="EZ43" s="528">
        <f t="shared" si="88"/>
        <v>284.42998665912916</v>
      </c>
      <c r="FA43" s="625">
        <f t="shared" si="89"/>
        <v>4.104000000000001</v>
      </c>
      <c r="FB43" s="460">
        <f t="shared" si="125"/>
        <v>288533.98665912915</v>
      </c>
      <c r="FC43" s="173">
        <f t="shared" si="126"/>
        <v>301.45300077141405</v>
      </c>
      <c r="FD43" s="5">
        <f t="shared" si="127"/>
        <v>41.04</v>
      </c>
      <c r="FE43" s="173">
        <f t="shared" si="128"/>
        <v>0.11982726627278092</v>
      </c>
      <c r="FF43" s="5">
        <f t="shared" si="129"/>
        <v>11.982726627278092</v>
      </c>
      <c r="FG43">
        <f t="shared" si="130"/>
        <v>38</v>
      </c>
      <c r="FI43" s="562">
        <f t="shared" si="90"/>
        <v>-50</v>
      </c>
      <c r="FJ43">
        <f t="shared" si="91"/>
        <v>-50</v>
      </c>
      <c r="FL43">
        <f t="shared" si="92"/>
        <v>0.43268241961782344</v>
      </c>
    </row>
    <row r="44" spans="5:168">
      <c r="E44" s="170">
        <v>39</v>
      </c>
      <c r="F44" s="217">
        <f t="shared" si="174"/>
        <v>0.23399999999999999</v>
      </c>
      <c r="G44" s="217">
        <f t="shared" si="171"/>
        <v>0.19500000000000001</v>
      </c>
      <c r="H44" s="217">
        <f t="shared" si="135"/>
        <v>39.78</v>
      </c>
      <c r="I44" s="217">
        <f t="shared" si="175"/>
        <v>2.34</v>
      </c>
      <c r="J44" s="541">
        <f t="shared" si="136"/>
        <v>11.566431116706999</v>
      </c>
      <c r="K44" s="443">
        <f t="shared" si="137"/>
        <v>8.5410069602392102</v>
      </c>
      <c r="L44" s="172">
        <f t="shared" si="138"/>
        <v>20.10743807694621</v>
      </c>
      <c r="M44" s="443"/>
      <c r="N44" s="217">
        <f t="shared" si="139"/>
        <v>0.42476853229908662</v>
      </c>
      <c r="O44" s="172">
        <f t="shared" si="172"/>
        <v>154.67028051758521</v>
      </c>
      <c r="P44" s="172">
        <f t="shared" si="140"/>
        <v>9.0982517951520698</v>
      </c>
      <c r="Q44" s="217">
        <f t="shared" si="6"/>
        <v>0.90982517951520714</v>
      </c>
      <c r="R44" s="217">
        <f t="shared" si="141"/>
        <v>12.889190043132102</v>
      </c>
      <c r="S44" s="443">
        <f t="shared" si="142"/>
        <v>170</v>
      </c>
      <c r="T44" s="217">
        <f t="shared" si="143"/>
        <v>17.146151097194668</v>
      </c>
      <c r="U44" s="217">
        <f t="shared" si="10"/>
        <v>0.74120318204411839</v>
      </c>
      <c r="V44" s="217">
        <f t="shared" si="11"/>
        <v>1.0037546613071986</v>
      </c>
      <c r="W44" s="197">
        <f t="shared" si="12"/>
        <v>350</v>
      </c>
      <c r="X44" s="443">
        <f t="shared" si="95"/>
        <v>350</v>
      </c>
      <c r="Z44" s="217">
        <f t="shared" si="13"/>
        <v>28.074605539326388</v>
      </c>
      <c r="AA44" s="173">
        <f t="shared" si="14"/>
        <v>1.6435184791454667</v>
      </c>
      <c r="AB44" s="173">
        <f t="shared" si="144"/>
        <v>0.38130519630789644</v>
      </c>
      <c r="AC44" s="173"/>
      <c r="AD44" s="173">
        <f t="shared" si="16"/>
        <v>0.78054808966927147</v>
      </c>
      <c r="AE44" s="545">
        <f t="shared" si="145"/>
        <v>952.2720348492586</v>
      </c>
      <c r="AF44" s="528">
        <f t="shared" si="146"/>
        <v>8.6004835806151217E-2</v>
      </c>
      <c r="AH44" s="173">
        <f t="shared" si="147"/>
        <v>21.940178407921589</v>
      </c>
      <c r="AI44" s="173">
        <f t="shared" si="148"/>
        <v>21.940178407921589</v>
      </c>
      <c r="AJ44" s="173">
        <f t="shared" si="149"/>
        <v>7.5754407959912999</v>
      </c>
      <c r="AL44" s="545">
        <f t="shared" si="150"/>
        <v>234</v>
      </c>
      <c r="AM44" s="460">
        <f t="shared" si="151"/>
        <v>350</v>
      </c>
      <c r="AO44">
        <f t="shared" si="96"/>
        <v>234</v>
      </c>
      <c r="AP44" s="460">
        <f t="shared" si="24"/>
        <v>350</v>
      </c>
      <c r="AQ44" s="460"/>
      <c r="AR44" s="5">
        <f t="shared" si="97"/>
        <v>2.8571428571428572</v>
      </c>
      <c r="AS44" s="5">
        <f t="shared" si="25"/>
        <v>0.94844201234339032</v>
      </c>
      <c r="AT44" s="5">
        <f t="shared" si="98"/>
        <v>1.9087008447994669</v>
      </c>
      <c r="AU44" s="173">
        <f t="shared" si="99"/>
        <v>0.33195470432018659</v>
      </c>
      <c r="AW44" s="5">
        <f t="shared" si="152"/>
        <v>0.13055025346373725</v>
      </c>
      <c r="AX44" s="5">
        <f t="shared" si="153"/>
        <v>1.5412182700580093</v>
      </c>
      <c r="AY44" s="5">
        <f t="shared" si="28"/>
        <v>10.503239084207994</v>
      </c>
      <c r="AZ44" s="5"/>
      <c r="BA44" s="173">
        <f t="shared" si="100"/>
        <v>7.298253449504533</v>
      </c>
      <c r="BB44" s="173">
        <f t="shared" si="154"/>
        <v>0.48890998060009644</v>
      </c>
      <c r="BC44" s="173">
        <f t="shared" si="155"/>
        <v>0.38655365302657002</v>
      </c>
      <c r="BD44" s="173"/>
      <c r="BE44" s="528">
        <f t="shared" si="31"/>
        <v>2.1305801365281924</v>
      </c>
      <c r="BF44" s="528">
        <f t="shared" si="156"/>
        <v>3.4741411325336804</v>
      </c>
      <c r="BG44" s="528">
        <f t="shared" si="157"/>
        <v>0.16193003563389799</v>
      </c>
      <c r="BH44" s="528">
        <f t="shared" si="34"/>
        <v>2.8301634621275842E-2</v>
      </c>
      <c r="BI44">
        <f t="shared" si="35"/>
        <v>5.2048940025181496E-3</v>
      </c>
      <c r="BJ44" s="460">
        <f t="shared" si="101"/>
        <v>167.13492963641613</v>
      </c>
      <c r="BK44">
        <f t="shared" si="158"/>
        <v>12.573115502979329</v>
      </c>
      <c r="BL44" s="460">
        <f t="shared" si="102"/>
        <v>12573.115502979328</v>
      </c>
      <c r="BM44" s="173">
        <f t="shared" si="159"/>
        <v>0.20311199999999996</v>
      </c>
      <c r="BN44" s="173">
        <f t="shared" si="160"/>
        <v>0.16925999999999997</v>
      </c>
      <c r="BO44" s="528"/>
      <c r="BQ44" s="460">
        <f t="shared" si="103"/>
        <v>372.3719999999999</v>
      </c>
      <c r="BR44" s="528">
        <f t="shared" si="39"/>
        <v>1.5979351023961443</v>
      </c>
      <c r="BS44" s="528">
        <f t="shared" si="104"/>
        <v>7.1709890739115999E-3</v>
      </c>
      <c r="BT44" s="528">
        <f t="shared" si="161"/>
        <v>7.4711863334092935E-4</v>
      </c>
      <c r="BU44" s="528">
        <f t="shared" si="41"/>
        <v>258.36905816519129</v>
      </c>
      <c r="BV44" s="528">
        <f t="shared" si="162"/>
        <v>298.73876445650336</v>
      </c>
      <c r="BW44" s="625">
        <f t="shared" si="163"/>
        <v>4.2120000000000024</v>
      </c>
      <c r="BX44" s="460">
        <f t="shared" si="105"/>
        <v>302950.76445650333</v>
      </c>
      <c r="BY44" s="173">
        <f t="shared" si="106"/>
        <v>315.8962519594827</v>
      </c>
      <c r="BZ44" s="5">
        <f t="shared" si="107"/>
        <v>42.120000000000005</v>
      </c>
      <c r="CA44" s="173">
        <f t="shared" si="108"/>
        <v>0.11764829046019619</v>
      </c>
      <c r="CB44" s="5">
        <f t="shared" si="109"/>
        <v>11.764829046019619</v>
      </c>
      <c r="CC44">
        <f t="shared" si="173"/>
        <v>39</v>
      </c>
      <c r="CE44" s="562">
        <f t="shared" si="164"/>
        <v>-50</v>
      </c>
      <c r="CF44">
        <f t="shared" si="165"/>
        <v>-50</v>
      </c>
      <c r="CG44" s="173">
        <f t="shared" si="166"/>
        <v>0.43833863902620207</v>
      </c>
      <c r="CH44" s="173">
        <f t="shared" si="167"/>
        <v>0.10908113869556314</v>
      </c>
      <c r="CI44" s="170">
        <v>39</v>
      </c>
      <c r="CJ44" s="217">
        <f t="shared" si="133"/>
        <v>0.23399999999999999</v>
      </c>
      <c r="CK44" s="217">
        <f t="shared" si="111"/>
        <v>0.19500000000000001</v>
      </c>
      <c r="CL44" s="217">
        <f t="shared" si="48"/>
        <v>39.78</v>
      </c>
      <c r="CM44" s="217">
        <f t="shared" si="134"/>
        <v>2.34</v>
      </c>
      <c r="CN44" s="541">
        <f t="shared" si="112"/>
        <v>12.5</v>
      </c>
      <c r="CO44" s="443">
        <f t="shared" si="168"/>
        <v>8.5350000000000001</v>
      </c>
      <c r="CP44" s="443">
        <f t="shared" si="169"/>
        <v>21.035</v>
      </c>
      <c r="CQ44" s="443"/>
      <c r="CR44" s="217">
        <f t="shared" si="113"/>
        <v>0.40546967895362668</v>
      </c>
      <c r="CS44" s="172">
        <f t="shared" si="114"/>
        <v>159.55982736601052</v>
      </c>
      <c r="CT44" s="172">
        <f t="shared" si="51"/>
        <v>9.3858721980006177</v>
      </c>
      <c r="CU44" s="217">
        <f t="shared" si="52"/>
        <v>0.93858721980006188</v>
      </c>
      <c r="CV44" s="217">
        <f t="shared" si="53"/>
        <v>13.296652280500878</v>
      </c>
      <c r="CW44" s="443">
        <f t="shared" si="54"/>
        <v>170</v>
      </c>
      <c r="CX44" s="217">
        <f t="shared" si="55"/>
        <v>16.620724926686215</v>
      </c>
      <c r="CY44" s="217">
        <f t="shared" si="56"/>
        <v>0.66482899706744858</v>
      </c>
      <c r="CZ44" s="217">
        <f t="shared" si="57"/>
        <v>0.97368042921418962</v>
      </c>
      <c r="DA44" s="197">
        <f t="shared" si="58"/>
        <v>350</v>
      </c>
      <c r="DB44" s="443">
        <f t="shared" si="115"/>
        <v>350</v>
      </c>
      <c r="DD44" s="217">
        <f t="shared" si="59"/>
        <v>28.98230839756868</v>
      </c>
      <c r="DE44" s="173">
        <f t="shared" si="60"/>
        <v>1.6978505212401103</v>
      </c>
      <c r="DF44" s="173">
        <f t="shared" si="61"/>
        <v>0.40664636548103333</v>
      </c>
      <c r="DG44" s="173"/>
      <c r="DH44" s="173">
        <f t="shared" si="62"/>
        <v>0.78109744190587771</v>
      </c>
      <c r="DI44" s="545">
        <f t="shared" si="63"/>
        <v>951.60229411764703</v>
      </c>
      <c r="DJ44" s="528">
        <f t="shared" si="64"/>
        <v>8.6065366284073561E-2</v>
      </c>
      <c r="DL44" s="173">
        <f t="shared" si="65"/>
        <v>21.940178407921589</v>
      </c>
      <c r="DM44" s="173">
        <f t="shared" si="66"/>
        <v>21.940178407921589</v>
      </c>
      <c r="DN44" s="173">
        <f t="shared" si="67"/>
        <v>7.5754407959912999</v>
      </c>
      <c r="DP44" s="545">
        <f t="shared" si="68"/>
        <v>234</v>
      </c>
      <c r="DQ44" s="460">
        <f t="shared" si="69"/>
        <v>350</v>
      </c>
      <c r="DS44">
        <f t="shared" si="116"/>
        <v>234</v>
      </c>
      <c r="DT44" s="460">
        <f t="shared" si="70"/>
        <v>350</v>
      </c>
      <c r="DU44" s="460"/>
      <c r="DV44" s="5">
        <f t="shared" si="117"/>
        <v>2.8571428571428572</v>
      </c>
      <c r="DW44" s="5">
        <f t="shared" si="71"/>
        <v>0.87760713631686349</v>
      </c>
      <c r="DX44" s="5">
        <f t="shared" si="118"/>
        <v>1.9795357208259938</v>
      </c>
      <c r="DY44" s="173">
        <f t="shared" si="119"/>
        <v>0.3071624977109022</v>
      </c>
      <c r="EA44" s="5">
        <f t="shared" si="72"/>
        <v>0.1208000411165565</v>
      </c>
      <c r="EB44" s="5">
        <f t="shared" si="73"/>
        <v>1.4261115965149034</v>
      </c>
      <c r="EC44" s="5">
        <f t="shared" si="74"/>
        <v>10.079479164730628</v>
      </c>
      <c r="ED44" s="5"/>
      <c r="EE44" s="173">
        <f t="shared" si="120"/>
        <v>7.0204285321876938</v>
      </c>
      <c r="EF44" s="173">
        <f t="shared" si="75"/>
        <v>0.49789944443777207</v>
      </c>
      <c r="EG44" s="173">
        <f t="shared" si="76"/>
        <v>0.39366111702421347</v>
      </c>
      <c r="EH44" s="173"/>
      <c r="EI44" s="528">
        <f t="shared" si="77"/>
        <v>1.9714566710222021</v>
      </c>
      <c r="EJ44" s="528">
        <f t="shared" si="78"/>
        <v>4.4420496583023201</v>
      </c>
      <c r="EK44" s="528">
        <f t="shared" si="79"/>
        <v>6.9999999999999993E-2</v>
      </c>
      <c r="EL44" s="528">
        <f t="shared" si="80"/>
        <v>3.0972985749999998E-2</v>
      </c>
      <c r="EM44">
        <f t="shared" si="81"/>
        <v>5.6249999999999998E-3</v>
      </c>
      <c r="EN44" s="460">
        <f t="shared" si="121"/>
        <v>75.625</v>
      </c>
      <c r="EO44">
        <f t="shared" si="82"/>
        <v>13.266813040563015</v>
      </c>
      <c r="EP44" s="460">
        <f t="shared" si="122"/>
        <v>13266.813040563015</v>
      </c>
      <c r="EQ44" s="173">
        <f t="shared" si="83"/>
        <v>0.20311199999999996</v>
      </c>
      <c r="ER44" s="173">
        <f t="shared" si="170"/>
        <v>0.16925999999999997</v>
      </c>
      <c r="ES44" s="528"/>
      <c r="EU44" s="460">
        <f t="shared" si="123"/>
        <v>372.3719999999999</v>
      </c>
      <c r="EV44" s="528">
        <f t="shared" si="85"/>
        <v>1.4785925032666516</v>
      </c>
      <c r="EW44" s="528">
        <f t="shared" si="124"/>
        <v>7.4371157031432626E-3</v>
      </c>
      <c r="EX44" s="528">
        <f t="shared" si="86"/>
        <v>7.7484537528375755E-4</v>
      </c>
      <c r="EY44" s="528">
        <f t="shared" si="87"/>
        <v>258.36905816519129</v>
      </c>
      <c r="EZ44" s="528">
        <f t="shared" si="88"/>
        <v>295.3419546335889</v>
      </c>
      <c r="FA44" s="625">
        <f t="shared" si="89"/>
        <v>4.2120000000000024</v>
      </c>
      <c r="FB44" s="460">
        <f t="shared" si="125"/>
        <v>299553.9546335889</v>
      </c>
      <c r="FC44" s="173">
        <f t="shared" si="126"/>
        <v>313.19313967415189</v>
      </c>
      <c r="FD44" s="5">
        <f t="shared" si="127"/>
        <v>42.120000000000005</v>
      </c>
      <c r="FE44" s="173">
        <f t="shared" si="128"/>
        <v>0.11854332220482226</v>
      </c>
      <c r="FF44" s="5">
        <f t="shared" si="129"/>
        <v>11.854332220482226</v>
      </c>
      <c r="FG44">
        <f t="shared" si="130"/>
        <v>39</v>
      </c>
      <c r="FI44" s="562">
        <f t="shared" si="90"/>
        <v>-50</v>
      </c>
      <c r="FJ44">
        <f t="shared" si="91"/>
        <v>-50</v>
      </c>
      <c r="FL44">
        <f t="shared" si="92"/>
        <v>0.43833863902620201</v>
      </c>
    </row>
    <row r="45" spans="5:168">
      <c r="E45" s="170">
        <v>40</v>
      </c>
      <c r="F45" s="217">
        <f t="shared" si="174"/>
        <v>0.24</v>
      </c>
      <c r="G45" s="217">
        <f t="shared" si="171"/>
        <v>0.2</v>
      </c>
      <c r="H45" s="217">
        <f t="shared" si="135"/>
        <v>40.799999999999997</v>
      </c>
      <c r="I45" s="217">
        <f t="shared" si="175"/>
        <v>2.4000000000000004</v>
      </c>
      <c r="J45" s="541">
        <f t="shared" si="136"/>
        <v>11.554538040004841</v>
      </c>
      <c r="K45" s="443">
        <f t="shared" si="137"/>
        <v>8.5410834851107555</v>
      </c>
      <c r="L45" s="172">
        <f t="shared" si="138"/>
        <v>20.095621525115597</v>
      </c>
      <c r="M45" s="443"/>
      <c r="N45" s="217">
        <f t="shared" si="139"/>
        <v>0.42502211113182398</v>
      </c>
      <c r="O45" s="172">
        <f t="shared" si="172"/>
        <v>154.60348252883156</v>
      </c>
      <c r="P45" s="172">
        <f t="shared" si="140"/>
        <v>9.0943225016959719</v>
      </c>
      <c r="Q45" s="217">
        <f t="shared" si="6"/>
        <v>0.90943225016959739</v>
      </c>
      <c r="R45" s="217">
        <f t="shared" si="141"/>
        <v>12.883623544069296</v>
      </c>
      <c r="S45" s="443">
        <f t="shared" si="142"/>
        <v>170</v>
      </c>
      <c r="T45" s="217">
        <f t="shared" si="143"/>
        <v>17.593394117061724</v>
      </c>
      <c r="U45" s="217">
        <f t="shared" si="10"/>
        <v>0.76131966748254132</v>
      </c>
      <c r="V45" s="217">
        <f t="shared" si="11"/>
        <v>1.0299275348222159</v>
      </c>
      <c r="W45" s="197">
        <f t="shared" si="12"/>
        <v>350</v>
      </c>
      <c r="X45" s="443">
        <f t="shared" si="95"/>
        <v>350</v>
      </c>
      <c r="Z45" s="217">
        <f t="shared" si="13"/>
        <v>28.062480862376145</v>
      </c>
      <c r="AA45" s="173">
        <f t="shared" si="14"/>
        <v>1.6427939681947885</v>
      </c>
      <c r="AB45" s="173">
        <f t="shared" si="144"/>
        <v>0.38097250284040918</v>
      </c>
      <c r="AC45" s="173"/>
      <c r="AD45" s="173">
        <f t="shared" si="16"/>
        <v>0.7805410962541619</v>
      </c>
      <c r="AE45" s="545">
        <f t="shared" si="145"/>
        <v>976.69801735619433</v>
      </c>
      <c r="AF45" s="528">
        <f t="shared" si="146"/>
        <v>8.6004065235412291E-2</v>
      </c>
      <c r="AH45" s="173">
        <f t="shared" si="147"/>
        <v>22.219682394541234</v>
      </c>
      <c r="AI45" s="173">
        <f t="shared" si="148"/>
        <v>22.219682394541234</v>
      </c>
      <c r="AJ45" s="173">
        <f t="shared" si="149"/>
        <v>7.7824807860799261</v>
      </c>
      <c r="AL45" s="545">
        <f t="shared" si="150"/>
        <v>240</v>
      </c>
      <c r="AM45" s="460">
        <f t="shared" si="151"/>
        <v>350</v>
      </c>
      <c r="AO45">
        <f t="shared" si="96"/>
        <v>240</v>
      </c>
      <c r="AP45" s="460">
        <f t="shared" si="24"/>
        <v>350</v>
      </c>
      <c r="AQ45" s="460"/>
      <c r="AR45" s="5">
        <f t="shared" si="97"/>
        <v>2.8571428571428572</v>
      </c>
      <c r="AS45" s="5">
        <f t="shared" si="25"/>
        <v>0.96151323045589809</v>
      </c>
      <c r="AT45" s="5">
        <f t="shared" si="98"/>
        <v>1.8956296266869592</v>
      </c>
      <c r="AU45" s="173">
        <f t="shared" si="99"/>
        <v>0.33652963065956432</v>
      </c>
      <c r="AW45" s="5">
        <f t="shared" si="152"/>
        <v>0.1357430442996562</v>
      </c>
      <c r="AX45" s="5">
        <f t="shared" si="153"/>
        <v>1.6025220507598303</v>
      </c>
      <c r="AY45" s="5">
        <f t="shared" si="28"/>
        <v>10.709792256659778</v>
      </c>
      <c r="AZ45" s="5"/>
      <c r="BA45" s="173">
        <f t="shared" si="100"/>
        <v>7.4419864333563339</v>
      </c>
      <c r="BB45" s="173">
        <f t="shared" si="154"/>
        <v>0.49344006147883462</v>
      </c>
      <c r="BC45" s="173">
        <f t="shared" si="155"/>
        <v>0.3901353334619595</v>
      </c>
      <c r="BD45" s="173"/>
      <c r="BE45" s="528">
        <f t="shared" si="31"/>
        <v>2.2153264829703891</v>
      </c>
      <c r="BF45" s="528">
        <f t="shared" si="156"/>
        <v>3.5163318314956773</v>
      </c>
      <c r="BG45" s="528">
        <f t="shared" si="157"/>
        <v>0.16176353256006779</v>
      </c>
      <c r="BH45" s="528">
        <f t="shared" si="34"/>
        <v>2.8268380313648252E-2</v>
      </c>
      <c r="BI45">
        <f t="shared" si="35"/>
        <v>5.199542118002178E-3</v>
      </c>
      <c r="BJ45" s="460">
        <f t="shared" si="101"/>
        <v>166.96307467806994</v>
      </c>
      <c r="BK45">
        <f t="shared" si="158"/>
        <v>13.423878794586766</v>
      </c>
      <c r="BL45" s="460">
        <f t="shared" si="102"/>
        <v>13423.878794586766</v>
      </c>
      <c r="BM45" s="173">
        <f t="shared" si="159"/>
        <v>0.20831999999999998</v>
      </c>
      <c r="BN45" s="173">
        <f t="shared" si="160"/>
        <v>0.17359999999999998</v>
      </c>
      <c r="BO45" s="528"/>
      <c r="BQ45" s="460">
        <f t="shared" si="103"/>
        <v>381.9199999999999</v>
      </c>
      <c r="BR45" s="528">
        <f t="shared" si="39"/>
        <v>1.6614948622277919</v>
      </c>
      <c r="BS45" s="528">
        <f t="shared" si="104"/>
        <v>7.3044928281670828E-3</v>
      </c>
      <c r="BT45" s="528">
        <f t="shared" si="161"/>
        <v>7.6102789207737167E-4</v>
      </c>
      <c r="BU45" s="528">
        <f t="shared" si="41"/>
        <v>266.67649132133914</v>
      </c>
      <c r="BV45" s="528">
        <f t="shared" si="162"/>
        <v>310.17525107321927</v>
      </c>
      <c r="BW45" s="625">
        <f t="shared" si="163"/>
        <v>4.32</v>
      </c>
      <c r="BX45" s="460">
        <f t="shared" si="105"/>
        <v>314495.25107321929</v>
      </c>
      <c r="BY45" s="173">
        <f t="shared" si="106"/>
        <v>328.30104986780606</v>
      </c>
      <c r="BZ45" s="5">
        <f t="shared" si="107"/>
        <v>43.199999999999996</v>
      </c>
      <c r="CA45" s="173">
        <f t="shared" si="108"/>
        <v>0.11628500112011035</v>
      </c>
      <c r="CB45" s="5">
        <f t="shared" si="109"/>
        <v>11.628500112011036</v>
      </c>
      <c r="CC45">
        <f t="shared" si="173"/>
        <v>40</v>
      </c>
      <c r="CE45" s="562">
        <f t="shared" si="164"/>
        <v>-50</v>
      </c>
      <c r="CF45">
        <f t="shared" si="165"/>
        <v>-50</v>
      </c>
      <c r="CG45" s="173">
        <f t="shared" si="166"/>
        <v>0.44392279585571165</v>
      </c>
      <c r="CH45" s="173">
        <f t="shared" si="167"/>
        <v>0.11047076336331031</v>
      </c>
      <c r="CI45" s="170">
        <v>40</v>
      </c>
      <c r="CJ45" s="217">
        <f t="shared" si="133"/>
        <v>0.24</v>
      </c>
      <c r="CK45" s="217">
        <f t="shared" si="111"/>
        <v>0.2</v>
      </c>
      <c r="CL45" s="217">
        <f t="shared" si="48"/>
        <v>40.799999999999997</v>
      </c>
      <c r="CM45" s="217">
        <f t="shared" si="134"/>
        <v>2.4000000000000004</v>
      </c>
      <c r="CN45" s="541">
        <f t="shared" si="112"/>
        <v>12.5</v>
      </c>
      <c r="CO45" s="443">
        <f t="shared" si="168"/>
        <v>8.5350000000000001</v>
      </c>
      <c r="CP45" s="443">
        <f t="shared" si="169"/>
        <v>21.035</v>
      </c>
      <c r="CQ45" s="443"/>
      <c r="CR45" s="217">
        <f t="shared" si="113"/>
        <v>0.40546967895362668</v>
      </c>
      <c r="CS45" s="172">
        <f t="shared" si="114"/>
        <v>159.55982736601052</v>
      </c>
      <c r="CT45" s="172">
        <f t="shared" si="51"/>
        <v>9.3858721980006177</v>
      </c>
      <c r="CU45" s="217">
        <f t="shared" si="52"/>
        <v>0.93858721980006188</v>
      </c>
      <c r="CV45" s="217">
        <f t="shared" si="53"/>
        <v>13.296652280500878</v>
      </c>
      <c r="CW45" s="443">
        <f t="shared" si="54"/>
        <v>170</v>
      </c>
      <c r="CX45" s="217">
        <f t="shared" si="55"/>
        <v>17.046897360703809</v>
      </c>
      <c r="CY45" s="217">
        <f t="shared" si="56"/>
        <v>0.68187589442815244</v>
      </c>
      <c r="CZ45" s="217">
        <f t="shared" si="57"/>
        <v>0.99864659406583534</v>
      </c>
      <c r="DA45" s="197">
        <f t="shared" si="58"/>
        <v>350</v>
      </c>
      <c r="DB45" s="443">
        <f t="shared" si="115"/>
        <v>350</v>
      </c>
      <c r="DD45" s="217">
        <f t="shared" si="59"/>
        <v>28.98230839756868</v>
      </c>
      <c r="DE45" s="173">
        <f t="shared" si="60"/>
        <v>1.6978505212401103</v>
      </c>
      <c r="DF45" s="173">
        <f t="shared" si="61"/>
        <v>0.40664636548103333</v>
      </c>
      <c r="DG45" s="173"/>
      <c r="DH45" s="173">
        <f t="shared" si="62"/>
        <v>0.78109744190587771</v>
      </c>
      <c r="DI45" s="545">
        <f t="shared" si="63"/>
        <v>976.00235294117635</v>
      </c>
      <c r="DJ45" s="528">
        <f t="shared" si="64"/>
        <v>8.6065366284073561E-2</v>
      </c>
      <c r="DL45" s="173">
        <f t="shared" si="65"/>
        <v>22.219682394541234</v>
      </c>
      <c r="DM45" s="173">
        <f t="shared" si="66"/>
        <v>22.219682394541234</v>
      </c>
      <c r="DN45" s="173">
        <f t="shared" si="67"/>
        <v>7.7824807860799261</v>
      </c>
      <c r="DP45" s="545">
        <f t="shared" si="68"/>
        <v>240</v>
      </c>
      <c r="DQ45" s="460">
        <f t="shared" si="69"/>
        <v>350</v>
      </c>
      <c r="DS45">
        <f t="shared" si="116"/>
        <v>240</v>
      </c>
      <c r="DT45" s="460">
        <f t="shared" si="70"/>
        <v>350</v>
      </c>
      <c r="DU45" s="460"/>
      <c r="DV45" s="5">
        <f t="shared" si="117"/>
        <v>2.8571428571428572</v>
      </c>
      <c r="DW45" s="5">
        <f t="shared" si="71"/>
        <v>0.88878729578164928</v>
      </c>
      <c r="DX45" s="5">
        <f t="shared" si="118"/>
        <v>1.968355561361208</v>
      </c>
      <c r="DY45" s="173">
        <f t="shared" si="119"/>
        <v>0.31107555352357724</v>
      </c>
      <c r="EA45" s="5">
        <f t="shared" si="72"/>
        <v>0.12547585352211518</v>
      </c>
      <c r="EB45" s="5">
        <f t="shared" si="73"/>
        <v>1.4813121596360821</v>
      </c>
      <c r="EC45" s="5">
        <f t="shared" si="74"/>
        <v>10.279540083652773</v>
      </c>
      <c r="ED45" s="5"/>
      <c r="EE45" s="173">
        <f t="shared" si="120"/>
        <v>7.1550086119461085</v>
      </c>
      <c r="EF45" s="173">
        <f t="shared" si="75"/>
        <v>0.50281640441434772</v>
      </c>
      <c r="EG45" s="173">
        <f t="shared" si="76"/>
        <v>0.39754868102607299</v>
      </c>
      <c r="EH45" s="173"/>
      <c r="EI45" s="528">
        <f t="shared" si="77"/>
        <v>2.0477659294809194</v>
      </c>
      <c r="EJ45" s="528">
        <f t="shared" si="78"/>
        <v>4.4986385595033083</v>
      </c>
      <c r="EK45" s="528">
        <f t="shared" si="79"/>
        <v>6.9999999999999993E-2</v>
      </c>
      <c r="EL45" s="528">
        <f t="shared" si="80"/>
        <v>3.0972985749999998E-2</v>
      </c>
      <c r="EM45">
        <f t="shared" si="81"/>
        <v>5.6249999999999998E-3</v>
      </c>
      <c r="EN45" s="460">
        <f t="shared" si="121"/>
        <v>75.625</v>
      </c>
      <c r="EO45">
        <f t="shared" si="82"/>
        <v>14.034254232343724</v>
      </c>
      <c r="EP45" s="460">
        <f t="shared" si="122"/>
        <v>14034.254232343723</v>
      </c>
      <c r="EQ45" s="173">
        <f t="shared" si="83"/>
        <v>0.20831999999999998</v>
      </c>
      <c r="ER45" s="173">
        <f t="shared" si="170"/>
        <v>0.17359999999999998</v>
      </c>
      <c r="ES45" s="528"/>
      <c r="EU45" s="460">
        <f t="shared" si="123"/>
        <v>381.9199999999999</v>
      </c>
      <c r="EV45" s="528">
        <f t="shared" si="85"/>
        <v>1.5358244471106892</v>
      </c>
      <c r="EW45" s="528">
        <f t="shared" si="124"/>
        <v>7.5847300964451865E-3</v>
      </c>
      <c r="EX45" s="528">
        <f t="shared" si="86"/>
        <v>7.9022476892785158E-4</v>
      </c>
      <c r="EY45" s="528">
        <f t="shared" si="87"/>
        <v>266.67649132133914</v>
      </c>
      <c r="EZ45" s="528">
        <f t="shared" si="88"/>
        <v>306.44873482390051</v>
      </c>
      <c r="FA45" s="625">
        <f t="shared" si="89"/>
        <v>4.32</v>
      </c>
      <c r="FB45" s="460">
        <f t="shared" si="125"/>
        <v>310768.73482390051</v>
      </c>
      <c r="FC45" s="173">
        <f t="shared" si="126"/>
        <v>325.18490905624424</v>
      </c>
      <c r="FD45" s="5">
        <f t="shared" si="127"/>
        <v>43.199999999999996</v>
      </c>
      <c r="FE45" s="173">
        <f t="shared" si="128"/>
        <v>0.11726864737937544</v>
      </c>
      <c r="FF45" s="5">
        <f t="shared" si="129"/>
        <v>11.726864737937543</v>
      </c>
      <c r="FG45">
        <f t="shared" si="130"/>
        <v>40</v>
      </c>
      <c r="FI45" s="562">
        <f t="shared" si="90"/>
        <v>-50</v>
      </c>
      <c r="FJ45">
        <f t="shared" si="91"/>
        <v>-50</v>
      </c>
      <c r="FL45">
        <f t="shared" si="92"/>
        <v>0.4439227958557117</v>
      </c>
    </row>
    <row r="46" spans="5:168">
      <c r="E46" s="170">
        <v>41</v>
      </c>
      <c r="F46" s="217">
        <f t="shared" si="174"/>
        <v>0.24599999999999997</v>
      </c>
      <c r="G46" s="217">
        <f t="shared" si="171"/>
        <v>0.20499999999999999</v>
      </c>
      <c r="H46" s="217">
        <f t="shared" si="135"/>
        <v>41.819999999999993</v>
      </c>
      <c r="I46" s="217">
        <f t="shared" si="175"/>
        <v>2.46</v>
      </c>
      <c r="J46" s="541">
        <f t="shared" si="136"/>
        <v>11.542792720596612</v>
      </c>
      <c r="K46" s="443">
        <f t="shared" si="137"/>
        <v>8.5411590592520366</v>
      </c>
      <c r="L46" s="172">
        <f t="shared" si="138"/>
        <v>20.083951779848647</v>
      </c>
      <c r="M46" s="443"/>
      <c r="N46" s="217">
        <f t="shared" si="139"/>
        <v>0.42527283240252844</v>
      </c>
      <c r="O46" s="172">
        <f t="shared" si="172"/>
        <v>154.53743448166284</v>
      </c>
      <c r="P46" s="172">
        <f t="shared" si="140"/>
        <v>9.0904373224507555</v>
      </c>
      <c r="Q46" s="217">
        <f t="shared" si="6"/>
        <v>0.90904373224507551</v>
      </c>
      <c r="R46" s="217">
        <f t="shared" si="141"/>
        <v>12.87811954013857</v>
      </c>
      <c r="S46" s="443">
        <f t="shared" si="142"/>
        <v>170</v>
      </c>
      <c r="T46" s="217">
        <f t="shared" si="143"/>
        <v>18.040936225913722</v>
      </c>
      <c r="U46" s="217">
        <f t="shared" si="10"/>
        <v>0.78148055945429984</v>
      </c>
      <c r="V46" s="217">
        <f t="shared" si="11"/>
        <v>1.0561175655879655</v>
      </c>
      <c r="W46" s="197">
        <f t="shared" si="12"/>
        <v>350</v>
      </c>
      <c r="X46" s="443">
        <f t="shared" si="95"/>
        <v>350</v>
      </c>
      <c r="Z46" s="217">
        <f t="shared" si="13"/>
        <v>28.050492309276621</v>
      </c>
      <c r="AA46" s="173">
        <f t="shared" si="14"/>
        <v>1.6420776217070618</v>
      </c>
      <c r="AB46" s="173">
        <f t="shared" si="144"/>
        <v>0.3806436943175398</v>
      </c>
      <c r="AC46" s="173"/>
      <c r="AD46" s="173">
        <f t="shared" si="16"/>
        <v>0.7805341898468845</v>
      </c>
      <c r="AE46" s="545">
        <f t="shared" si="145"/>
        <v>1001.1243259685651</v>
      </c>
      <c r="AF46" s="528">
        <f t="shared" si="146"/>
        <v>8.6003304251647469E-2</v>
      </c>
      <c r="AH46" s="173">
        <f t="shared" si="147"/>
        <v>22.495713877473257</v>
      </c>
      <c r="AI46" s="173">
        <f t="shared" si="148"/>
        <v>22.495713877473257</v>
      </c>
      <c r="AJ46" s="173">
        <f t="shared" si="149"/>
        <v>7.9869485512147582</v>
      </c>
      <c r="AL46" s="545">
        <f t="shared" si="150"/>
        <v>245.99999999999997</v>
      </c>
      <c r="AM46" s="460">
        <f t="shared" si="151"/>
        <v>350</v>
      </c>
      <c r="AO46">
        <f t="shared" si="96"/>
        <v>245.99999999999997</v>
      </c>
      <c r="AP46" s="460">
        <f t="shared" si="24"/>
        <v>350</v>
      </c>
      <c r="AQ46" s="460"/>
      <c r="AR46" s="5">
        <f t="shared" si="97"/>
        <v>2.8571428571428572</v>
      </c>
      <c r="AS46" s="5">
        <f t="shared" si="25"/>
        <v>0.97444849015319235</v>
      </c>
      <c r="AT46" s="5">
        <f t="shared" si="98"/>
        <v>1.8826943669896647</v>
      </c>
      <c r="AU46" s="173">
        <f t="shared" si="99"/>
        <v>0.34105697155361731</v>
      </c>
      <c r="AW46" s="5">
        <f t="shared" si="152"/>
        <v>0.14100842857510901</v>
      </c>
      <c r="AX46" s="5">
        <f t="shared" si="153"/>
        <v>1.6646828373450369</v>
      </c>
      <c r="AY46" s="5">
        <f t="shared" si="28"/>
        <v>10.913723267266743</v>
      </c>
      <c r="AZ46" s="5"/>
      <c r="BA46" s="173">
        <f t="shared" si="100"/>
        <v>7.5849481777164751</v>
      </c>
      <c r="BB46" s="173">
        <f t="shared" si="154"/>
        <v>0.49786260436724838</v>
      </c>
      <c r="BC46" s="173">
        <f t="shared" si="155"/>
        <v>0.39363198965025153</v>
      </c>
      <c r="BD46" s="173"/>
      <c r="BE46" s="528">
        <f t="shared" si="31"/>
        <v>2.3012575543457792</v>
      </c>
      <c r="BF46" s="528">
        <f t="shared" si="156"/>
        <v>3.5579473080515038</v>
      </c>
      <c r="BG46" s="528">
        <f t="shared" si="157"/>
        <v>0.16159909808835257</v>
      </c>
      <c r="BH46" s="528">
        <f t="shared" si="34"/>
        <v>2.8235558336669995E-2</v>
      </c>
      <c r="BI46">
        <f t="shared" si="35"/>
        <v>5.1942567242684754E-3</v>
      </c>
      <c r="BJ46" s="460">
        <f t="shared" si="101"/>
        <v>166.79335481262106</v>
      </c>
      <c r="BK46">
        <f t="shared" si="158"/>
        <v>14.361154966594142</v>
      </c>
      <c r="BL46" s="460">
        <f t="shared" si="102"/>
        <v>14361.154966594142</v>
      </c>
      <c r="BM46" s="173">
        <f t="shared" si="159"/>
        <v>0.21352799999999997</v>
      </c>
      <c r="BN46" s="173">
        <f t="shared" si="160"/>
        <v>0.17793999999999999</v>
      </c>
      <c r="BO46" s="528"/>
      <c r="BQ46" s="460">
        <f t="shared" si="103"/>
        <v>391.4679999999999</v>
      </c>
      <c r="BR46" s="528">
        <f t="shared" si="39"/>
        <v>1.7259431657593343</v>
      </c>
      <c r="BS46" s="528">
        <f t="shared" si="104"/>
        <v>7.4360151848201781E-3</v>
      </c>
      <c r="BT46" s="528">
        <f t="shared" si="161"/>
        <v>7.7473071638007858E-4</v>
      </c>
      <c r="BU46" s="528">
        <f t="shared" si="41"/>
        <v>275.03601329097876</v>
      </c>
      <c r="BV46" s="528">
        <f t="shared" si="162"/>
        <v>321.83532286614656</v>
      </c>
      <c r="BW46" s="625">
        <f t="shared" si="163"/>
        <v>4.4280000000000008</v>
      </c>
      <c r="BX46" s="460">
        <f t="shared" si="105"/>
        <v>326263.32286614657</v>
      </c>
      <c r="BY46" s="173">
        <f t="shared" si="106"/>
        <v>341.01594583274067</v>
      </c>
      <c r="BZ46" s="5">
        <f t="shared" si="107"/>
        <v>44.279999999999994</v>
      </c>
      <c r="CA46" s="173">
        <f t="shared" si="108"/>
        <v>0.11492464553266339</v>
      </c>
      <c r="CB46" s="5">
        <f t="shared" si="109"/>
        <v>11.492464553266339</v>
      </c>
      <c r="CC46">
        <f t="shared" si="173"/>
        <v>41</v>
      </c>
      <c r="CE46" s="562">
        <f t="shared" si="164"/>
        <v>-50</v>
      </c>
      <c r="CF46">
        <f t="shared" si="165"/>
        <v>-50</v>
      </c>
      <c r="CG46" s="173">
        <f t="shared" si="166"/>
        <v>0.44943757619647318</v>
      </c>
      <c r="CH46" s="173">
        <f t="shared" si="167"/>
        <v>0.11184312360187511</v>
      </c>
      <c r="CI46" s="170">
        <v>41</v>
      </c>
      <c r="CJ46" s="217">
        <f t="shared" si="133"/>
        <v>0.24599999999999997</v>
      </c>
      <c r="CK46" s="217">
        <f t="shared" si="111"/>
        <v>0.20499999999999999</v>
      </c>
      <c r="CL46" s="217">
        <f t="shared" si="48"/>
        <v>41.819999999999993</v>
      </c>
      <c r="CM46" s="217">
        <f t="shared" si="134"/>
        <v>2.46</v>
      </c>
      <c r="CN46" s="541">
        <f t="shared" si="112"/>
        <v>12.5</v>
      </c>
      <c r="CO46" s="443">
        <f t="shared" si="168"/>
        <v>8.5350000000000001</v>
      </c>
      <c r="CP46" s="443">
        <f t="shared" si="169"/>
        <v>21.035</v>
      </c>
      <c r="CQ46" s="443"/>
      <c r="CR46" s="217">
        <f t="shared" si="113"/>
        <v>0.40546967895362668</v>
      </c>
      <c r="CS46" s="172">
        <f t="shared" si="114"/>
        <v>159.55982736601052</v>
      </c>
      <c r="CT46" s="172">
        <f t="shared" si="51"/>
        <v>9.3858721980006177</v>
      </c>
      <c r="CU46" s="217">
        <f t="shared" si="52"/>
        <v>0.93858721980006188</v>
      </c>
      <c r="CV46" s="217">
        <f t="shared" si="53"/>
        <v>13.296652280500878</v>
      </c>
      <c r="CW46" s="443">
        <f t="shared" si="54"/>
        <v>170</v>
      </c>
      <c r="CX46" s="217">
        <f t="shared" si="55"/>
        <v>17.473069794721404</v>
      </c>
      <c r="CY46" s="217">
        <f t="shared" si="56"/>
        <v>0.69892279178885619</v>
      </c>
      <c r="CZ46" s="217">
        <f t="shared" si="57"/>
        <v>1.0236127589174813</v>
      </c>
      <c r="DA46" s="197">
        <f t="shared" si="58"/>
        <v>350</v>
      </c>
      <c r="DB46" s="443">
        <f t="shared" si="115"/>
        <v>350</v>
      </c>
      <c r="DD46" s="217">
        <f t="shared" si="59"/>
        <v>28.98230839756868</v>
      </c>
      <c r="DE46" s="173">
        <f t="shared" si="60"/>
        <v>1.6978505212401103</v>
      </c>
      <c r="DF46" s="173">
        <f t="shared" si="61"/>
        <v>0.40664636548103333</v>
      </c>
      <c r="DG46" s="173"/>
      <c r="DH46" s="173">
        <f t="shared" si="62"/>
        <v>0.78109744190587771</v>
      </c>
      <c r="DI46" s="545">
        <f t="shared" si="63"/>
        <v>1000.4024117647058</v>
      </c>
      <c r="DJ46" s="528">
        <f t="shared" si="64"/>
        <v>8.6065366284073561E-2</v>
      </c>
      <c r="DL46" s="173">
        <f t="shared" si="65"/>
        <v>22.495713877473257</v>
      </c>
      <c r="DM46" s="173">
        <f t="shared" si="66"/>
        <v>22.495713877473257</v>
      </c>
      <c r="DN46" s="173">
        <f t="shared" si="67"/>
        <v>7.9869485512147582</v>
      </c>
      <c r="DP46" s="545">
        <f t="shared" si="68"/>
        <v>245.99999999999997</v>
      </c>
      <c r="DQ46" s="460">
        <f t="shared" si="69"/>
        <v>350</v>
      </c>
      <c r="DS46">
        <f t="shared" si="116"/>
        <v>245.99999999999997</v>
      </c>
      <c r="DT46" s="460">
        <f t="shared" si="70"/>
        <v>350</v>
      </c>
      <c r="DU46" s="460"/>
      <c r="DV46" s="5">
        <f t="shared" si="117"/>
        <v>2.8571428571428572</v>
      </c>
      <c r="DW46" s="5">
        <f t="shared" si="71"/>
        <v>0.89982855509893023</v>
      </c>
      <c r="DX46" s="5">
        <f t="shared" si="118"/>
        <v>1.957314302043927</v>
      </c>
      <c r="DY46" s="173">
        <f t="shared" si="119"/>
        <v>0.31493999428462555</v>
      </c>
      <c r="EA46" s="5">
        <f t="shared" si="72"/>
        <v>0.13021048503196284</v>
      </c>
      <c r="EB46" s="5">
        <f t="shared" si="73"/>
        <v>1.5372071149606723</v>
      </c>
      <c r="EC46" s="5">
        <f t="shared" si="74"/>
        <v>10.477425166269057</v>
      </c>
      <c r="ED46" s="5"/>
      <c r="EE46" s="173">
        <f t="shared" si="120"/>
        <v>7.2887500912735952</v>
      </c>
      <c r="EF46" s="173">
        <f t="shared" si="75"/>
        <v>0.50763303855484787</v>
      </c>
      <c r="EG46" s="173">
        <f t="shared" si="76"/>
        <v>0.40135692302599596</v>
      </c>
      <c r="EH46" s="173"/>
      <c r="EI46" s="528">
        <f t="shared" si="77"/>
        <v>2.1250351157216336</v>
      </c>
      <c r="EJ46" s="528">
        <f t="shared" si="78"/>
        <v>4.5545244110967555</v>
      </c>
      <c r="EK46" s="528">
        <f t="shared" si="79"/>
        <v>6.9999999999999993E-2</v>
      </c>
      <c r="EL46" s="528">
        <f t="shared" si="80"/>
        <v>3.0972985749999998E-2</v>
      </c>
      <c r="EM46">
        <f t="shared" si="81"/>
        <v>5.6249999999999998E-3</v>
      </c>
      <c r="EN46" s="460">
        <f t="shared" si="121"/>
        <v>75.625</v>
      </c>
      <c r="EO46">
        <f t="shared" si="82"/>
        <v>14.865766564873915</v>
      </c>
      <c r="EP46" s="460">
        <f t="shared" si="122"/>
        <v>14865.766564873915</v>
      </c>
      <c r="EQ46" s="173">
        <f t="shared" si="83"/>
        <v>0.21352799999999997</v>
      </c>
      <c r="ER46" s="173">
        <f t="shared" si="170"/>
        <v>0.17793999999999999</v>
      </c>
      <c r="ES46" s="528"/>
      <c r="EU46" s="460">
        <f t="shared" si="123"/>
        <v>391.4679999999999</v>
      </c>
      <c r="EV46" s="528">
        <f t="shared" si="85"/>
        <v>1.5937763367912252</v>
      </c>
      <c r="EW46" s="528">
        <f t="shared" si="124"/>
        <v>7.7307390549728296E-3</v>
      </c>
      <c r="EX46" s="528">
        <f t="shared" si="86"/>
        <v>8.0543689830447635E-4</v>
      </c>
      <c r="EY46" s="528">
        <f t="shared" si="87"/>
        <v>275.03601329097876</v>
      </c>
      <c r="EZ46" s="528">
        <f t="shared" si="88"/>
        <v>317.75420373674632</v>
      </c>
      <c r="FA46" s="625">
        <f t="shared" si="89"/>
        <v>4.4280000000000008</v>
      </c>
      <c r="FB46" s="460">
        <f t="shared" si="125"/>
        <v>322182.20373674633</v>
      </c>
      <c r="FC46" s="173">
        <f t="shared" si="126"/>
        <v>337.43943830162021</v>
      </c>
      <c r="FD46" s="5">
        <f t="shared" si="127"/>
        <v>44.279999999999994</v>
      </c>
      <c r="FE46" s="173">
        <f t="shared" si="128"/>
        <v>0.11600142816151694</v>
      </c>
      <c r="FF46" s="5">
        <f t="shared" si="129"/>
        <v>11.600142816151694</v>
      </c>
      <c r="FG46">
        <f t="shared" si="130"/>
        <v>41</v>
      </c>
      <c r="FI46" s="562">
        <f t="shared" si="90"/>
        <v>-50</v>
      </c>
      <c r="FJ46">
        <f t="shared" si="91"/>
        <v>-50</v>
      </c>
      <c r="FL46">
        <f t="shared" si="92"/>
        <v>0.44943757619647323</v>
      </c>
    </row>
    <row r="47" spans="5:168">
      <c r="E47" s="170">
        <v>42</v>
      </c>
      <c r="F47" s="217">
        <f t="shared" si="174"/>
        <v>0.252</v>
      </c>
      <c r="G47" s="217">
        <f t="shared" si="171"/>
        <v>0.21</v>
      </c>
      <c r="H47" s="217">
        <f t="shared" si="135"/>
        <v>42.84</v>
      </c>
      <c r="I47" s="217">
        <f t="shared" si="175"/>
        <v>2.52</v>
      </c>
      <c r="J47" s="541">
        <f t="shared" si="136"/>
        <v>11.531189784484194</v>
      </c>
      <c r="K47" s="443">
        <f t="shared" si="137"/>
        <v>8.5412337172415356</v>
      </c>
      <c r="L47" s="172">
        <f t="shared" si="138"/>
        <v>20.07242350172573</v>
      </c>
      <c r="M47" s="443"/>
      <c r="N47" s="217">
        <f t="shared" si="139"/>
        <v>0.42552080054046298</v>
      </c>
      <c r="O47" s="172">
        <f t="shared" si="172"/>
        <v>154.47210896429871</v>
      </c>
      <c r="P47" s="172">
        <f t="shared" si="140"/>
        <v>9.0865946449587476</v>
      </c>
      <c r="Q47" s="217">
        <f t="shared" si="6"/>
        <v>0.90865946449587476</v>
      </c>
      <c r="R47" s="217">
        <f t="shared" si="141"/>
        <v>12.872675747024893</v>
      </c>
      <c r="S47" s="443">
        <f t="shared" si="142"/>
        <v>170</v>
      </c>
      <c r="T47" s="217">
        <f t="shared" si="143"/>
        <v>18.488774570042764</v>
      </c>
      <c r="U47" s="217">
        <f t="shared" si="10"/>
        <v>0.80168546852469436</v>
      </c>
      <c r="V47" s="217">
        <f t="shared" si="11"/>
        <v>1.0823245904582195</v>
      </c>
      <c r="W47" s="197">
        <f t="shared" si="12"/>
        <v>350</v>
      </c>
      <c r="X47" s="443">
        <f t="shared" si="95"/>
        <v>350</v>
      </c>
      <c r="Z47" s="217">
        <f t="shared" si="13"/>
        <v>28.03863490444413</v>
      </c>
      <c r="AA47" s="173">
        <f t="shared" si="14"/>
        <v>1.6413691413129627</v>
      </c>
      <c r="AB47" s="173">
        <f t="shared" si="144"/>
        <v>0.38031862927130006</v>
      </c>
      <c r="AC47" s="173"/>
      <c r="AD47" s="173">
        <f t="shared" si="16"/>
        <v>0.7805273672829226</v>
      </c>
      <c r="AE47" s="545">
        <f t="shared" si="145"/>
        <v>1025.5509566843189</v>
      </c>
      <c r="AF47" s="528">
        <f t="shared" si="146"/>
        <v>8.600255250617389E-2</v>
      </c>
      <c r="AH47" s="173">
        <f t="shared" si="147"/>
        <v>22.768399153212332</v>
      </c>
      <c r="AI47" s="173">
        <f t="shared" si="148"/>
        <v>22.768399153212332</v>
      </c>
      <c r="AJ47" s="173">
        <f t="shared" si="149"/>
        <v>8.1889376443548123</v>
      </c>
      <c r="AL47" s="545">
        <f t="shared" si="150"/>
        <v>252</v>
      </c>
      <c r="AM47" s="460">
        <f t="shared" si="151"/>
        <v>350</v>
      </c>
      <c r="AO47">
        <f t="shared" si="96"/>
        <v>252</v>
      </c>
      <c r="AP47" s="460">
        <f t="shared" si="24"/>
        <v>350</v>
      </c>
      <c r="AQ47" s="460"/>
      <c r="AR47" s="5">
        <f t="shared" si="97"/>
        <v>2.8571428571428572</v>
      </c>
      <c r="AS47" s="5">
        <f t="shared" si="25"/>
        <v>0.98725281513657737</v>
      </c>
      <c r="AT47" s="5">
        <f t="shared" si="98"/>
        <v>1.8698900420062798</v>
      </c>
      <c r="AU47" s="173">
        <f t="shared" si="99"/>
        <v>0.34553848529780207</v>
      </c>
      <c r="AW47" s="5">
        <f t="shared" si="152"/>
        <v>0.14634571142024558</v>
      </c>
      <c r="AX47" s="5">
        <f t="shared" si="153"/>
        <v>1.7276924264890103</v>
      </c>
      <c r="AY47" s="5">
        <f t="shared" si="28"/>
        <v>11.115049308418929</v>
      </c>
      <c r="AZ47" s="5"/>
      <c r="BA47" s="173">
        <f t="shared" si="100"/>
        <v>7.727163144353832</v>
      </c>
      <c r="BB47" s="173">
        <f t="shared" si="154"/>
        <v>0.50218107988909777</v>
      </c>
      <c r="BC47" s="173">
        <f t="shared" si="155"/>
        <v>0.3970463656186613</v>
      </c>
      <c r="BD47" s="173"/>
      <c r="BE47" s="528">
        <f t="shared" si="31"/>
        <v>2.3883620103784078</v>
      </c>
      <c r="BF47" s="528">
        <f t="shared" si="156"/>
        <v>3.5990084832944391</v>
      </c>
      <c r="BG47" s="528">
        <f t="shared" si="157"/>
        <v>0.1614366569827787</v>
      </c>
      <c r="BH47" s="528">
        <f t="shared" si="34"/>
        <v>2.8203152966284204E-2</v>
      </c>
      <c r="BI47">
        <f t="shared" si="35"/>
        <v>5.1890354030178871E-3</v>
      </c>
      <c r="BJ47" s="460">
        <f t="shared" si="101"/>
        <v>166.62569238579658</v>
      </c>
      <c r="BK47">
        <f t="shared" si="158"/>
        <v>15.398944616133086</v>
      </c>
      <c r="BL47" s="460">
        <f t="shared" si="102"/>
        <v>15398.944616133085</v>
      </c>
      <c r="BM47" s="173">
        <f t="shared" si="159"/>
        <v>0.21873600000000001</v>
      </c>
      <c r="BN47" s="173">
        <f t="shared" si="160"/>
        <v>0.18228</v>
      </c>
      <c r="BO47" s="528"/>
      <c r="BQ47" s="460">
        <f t="shared" si="103"/>
        <v>401.01600000000002</v>
      </c>
      <c r="BR47" s="528">
        <f t="shared" si="39"/>
        <v>1.7912715077838059</v>
      </c>
      <c r="BS47" s="528">
        <f t="shared" si="104"/>
        <v>7.565575109957411E-3</v>
      </c>
      <c r="BT47" s="528">
        <f t="shared" si="161"/>
        <v>7.8822908225493831E-4</v>
      </c>
      <c r="BU47" s="528">
        <f t="shared" si="41"/>
        <v>283.44666812652571</v>
      </c>
      <c r="BV47" s="528">
        <f t="shared" si="162"/>
        <v>333.72453283471384</v>
      </c>
      <c r="BW47" s="625">
        <f t="shared" si="163"/>
        <v>4.5360000000000014</v>
      </c>
      <c r="BX47" s="460">
        <f t="shared" si="105"/>
        <v>338260.53283471387</v>
      </c>
      <c r="BY47" s="173">
        <f t="shared" si="106"/>
        <v>354.06049345084693</v>
      </c>
      <c r="BZ47" s="5">
        <f t="shared" si="107"/>
        <v>45.360000000000007</v>
      </c>
      <c r="CA47" s="173">
        <f t="shared" si="108"/>
        <v>0.11356452846999962</v>
      </c>
      <c r="CB47" s="5">
        <f t="shared" si="109"/>
        <v>11.356452846999963</v>
      </c>
      <c r="CC47">
        <f t="shared" si="173"/>
        <v>42.000000000000007</v>
      </c>
      <c r="CE47" s="562">
        <f t="shared" si="164"/>
        <v>-50</v>
      </c>
      <c r="CF47">
        <f t="shared" si="165"/>
        <v>-50</v>
      </c>
      <c r="CG47" s="173">
        <f t="shared" si="166"/>
        <v>0.45488550330206118</v>
      </c>
      <c r="CH47" s="173">
        <f t="shared" si="167"/>
        <v>0.11319884732618139</v>
      </c>
      <c r="CI47" s="170">
        <v>42</v>
      </c>
      <c r="CJ47" s="217">
        <f t="shared" si="133"/>
        <v>0.252</v>
      </c>
      <c r="CK47" s="217">
        <f t="shared" si="111"/>
        <v>0.21</v>
      </c>
      <c r="CL47" s="217">
        <f t="shared" si="48"/>
        <v>42.84</v>
      </c>
      <c r="CM47" s="217">
        <f t="shared" si="134"/>
        <v>2.52</v>
      </c>
      <c r="CN47" s="541">
        <f t="shared" si="112"/>
        <v>12.5</v>
      </c>
      <c r="CO47" s="443">
        <f t="shared" si="168"/>
        <v>8.5350000000000001</v>
      </c>
      <c r="CP47" s="443">
        <f t="shared" si="169"/>
        <v>21.035</v>
      </c>
      <c r="CQ47" s="443"/>
      <c r="CR47" s="217">
        <f t="shared" si="113"/>
        <v>0.40546967895362668</v>
      </c>
      <c r="CS47" s="172">
        <f t="shared" si="114"/>
        <v>159.55982736601052</v>
      </c>
      <c r="CT47" s="172">
        <f t="shared" si="51"/>
        <v>9.3858721980006177</v>
      </c>
      <c r="CU47" s="217">
        <f t="shared" si="52"/>
        <v>0.93858721980006188</v>
      </c>
      <c r="CV47" s="217">
        <f t="shared" si="53"/>
        <v>13.296652280500878</v>
      </c>
      <c r="CW47" s="443">
        <f t="shared" si="54"/>
        <v>170</v>
      </c>
      <c r="CX47" s="217">
        <f t="shared" si="55"/>
        <v>17.899242228739002</v>
      </c>
      <c r="CY47" s="217">
        <f t="shared" si="56"/>
        <v>0.71596968914956016</v>
      </c>
      <c r="CZ47" s="217">
        <f t="shared" si="57"/>
        <v>1.0485789237691272</v>
      </c>
      <c r="DA47" s="197">
        <f t="shared" si="58"/>
        <v>350</v>
      </c>
      <c r="DB47" s="443">
        <f t="shared" si="115"/>
        <v>350</v>
      </c>
      <c r="DD47" s="217">
        <f t="shared" si="59"/>
        <v>28.98230839756868</v>
      </c>
      <c r="DE47" s="173">
        <f t="shared" si="60"/>
        <v>1.6978505212401103</v>
      </c>
      <c r="DF47" s="173">
        <f t="shared" si="61"/>
        <v>0.40664636548103333</v>
      </c>
      <c r="DG47" s="173"/>
      <c r="DH47" s="173">
        <f t="shared" si="62"/>
        <v>0.78109744190587771</v>
      </c>
      <c r="DI47" s="545">
        <f t="shared" si="63"/>
        <v>1024.8024705882353</v>
      </c>
      <c r="DJ47" s="528">
        <f t="shared" si="64"/>
        <v>8.6065366284073561E-2</v>
      </c>
      <c r="DL47" s="173">
        <f t="shared" si="65"/>
        <v>22.768399153212332</v>
      </c>
      <c r="DM47" s="173">
        <f t="shared" si="66"/>
        <v>22.768399153212332</v>
      </c>
      <c r="DN47" s="173">
        <f t="shared" si="67"/>
        <v>8.1889376443548123</v>
      </c>
      <c r="DP47" s="545">
        <f t="shared" si="68"/>
        <v>252</v>
      </c>
      <c r="DQ47" s="460">
        <f t="shared" si="69"/>
        <v>350</v>
      </c>
      <c r="DS47">
        <f t="shared" si="116"/>
        <v>252</v>
      </c>
      <c r="DT47" s="460">
        <f t="shared" si="70"/>
        <v>350</v>
      </c>
      <c r="DU47" s="460"/>
      <c r="DV47" s="5">
        <f t="shared" si="117"/>
        <v>2.8571428571428572</v>
      </c>
      <c r="DW47" s="5">
        <f t="shared" si="71"/>
        <v>0.91073596612849328</v>
      </c>
      <c r="DX47" s="5">
        <f t="shared" si="118"/>
        <v>1.9464068910143639</v>
      </c>
      <c r="DY47" s="173">
        <f t="shared" si="119"/>
        <v>0.31875758814497263</v>
      </c>
      <c r="EA47" s="5">
        <f t="shared" si="72"/>
        <v>0.13500321380257665</v>
      </c>
      <c r="EB47" s="5">
        <f t="shared" si="73"/>
        <v>1.5937879407248632</v>
      </c>
      <c r="EC47" s="5">
        <f t="shared" si="74"/>
        <v>10.673161115015088</v>
      </c>
      <c r="ED47" s="5"/>
      <c r="EE47" s="173">
        <f t="shared" si="120"/>
        <v>7.4216784645692693</v>
      </c>
      <c r="EF47" s="173">
        <f t="shared" si="75"/>
        <v>0.51235281727354365</v>
      </c>
      <c r="EG47" s="173">
        <f t="shared" si="76"/>
        <v>0.40508858688556693</v>
      </c>
      <c r="EH47" s="173"/>
      <c r="EI47" s="528">
        <f t="shared" si="77"/>
        <v>2.2032524492580507</v>
      </c>
      <c r="EJ47" s="528">
        <f t="shared" si="78"/>
        <v>4.6097327833077815</v>
      </c>
      <c r="EK47" s="528">
        <f t="shared" si="79"/>
        <v>6.9999999999999993E-2</v>
      </c>
      <c r="EL47" s="528">
        <f t="shared" si="80"/>
        <v>3.0972985749999998E-2</v>
      </c>
      <c r="EM47">
        <f t="shared" si="81"/>
        <v>5.6249999999999998E-3</v>
      </c>
      <c r="EN47" s="460">
        <f t="shared" si="121"/>
        <v>75.625</v>
      </c>
      <c r="EO47">
        <f t="shared" si="82"/>
        <v>15.769879437015922</v>
      </c>
      <c r="EP47" s="460">
        <f t="shared" si="122"/>
        <v>15769.879437015921</v>
      </c>
      <c r="EQ47" s="173">
        <f t="shared" si="83"/>
        <v>0.21873600000000001</v>
      </c>
      <c r="ER47" s="173">
        <f t="shared" si="170"/>
        <v>0.18228</v>
      </c>
      <c r="ES47" s="528"/>
      <c r="EU47" s="460">
        <f t="shared" si="123"/>
        <v>401.01600000000002</v>
      </c>
      <c r="EV47" s="528">
        <f t="shared" si="85"/>
        <v>1.652439336943538</v>
      </c>
      <c r="EW47" s="528">
        <f t="shared" si="124"/>
        <v>7.8751622810441166E-3</v>
      </c>
      <c r="EX47" s="528">
        <f t="shared" si="86"/>
        <v>8.2048381612472758E-4</v>
      </c>
      <c r="EY47" s="528">
        <f t="shared" si="87"/>
        <v>283.44666812652571</v>
      </c>
      <c r="EZ47" s="528">
        <f t="shared" si="88"/>
        <v>329.26242168664754</v>
      </c>
      <c r="FA47" s="625">
        <f t="shared" si="89"/>
        <v>4.5360000000000014</v>
      </c>
      <c r="FB47" s="460">
        <f t="shared" si="125"/>
        <v>333798.42168664752</v>
      </c>
      <c r="FC47" s="173">
        <f t="shared" si="126"/>
        <v>349.96931712366347</v>
      </c>
      <c r="FD47" s="5">
        <f t="shared" si="127"/>
        <v>45.360000000000007</v>
      </c>
      <c r="FE47" s="173">
        <f t="shared" si="128"/>
        <v>0.11473978284745041</v>
      </c>
      <c r="FF47" s="5">
        <f t="shared" si="129"/>
        <v>11.473978284745041</v>
      </c>
      <c r="FG47">
        <f t="shared" si="130"/>
        <v>42.000000000000007</v>
      </c>
      <c r="FI47" s="562">
        <f t="shared" si="90"/>
        <v>-50</v>
      </c>
      <c r="FJ47">
        <f t="shared" si="91"/>
        <v>-50</v>
      </c>
      <c r="FL47">
        <f t="shared" si="92"/>
        <v>0.45488550330206112</v>
      </c>
    </row>
    <row r="48" spans="5:168">
      <c r="E48" s="170">
        <v>43</v>
      </c>
      <c r="F48" s="217">
        <f t="shared" si="174"/>
        <v>0.25800000000000001</v>
      </c>
      <c r="G48" s="217">
        <f t="shared" si="171"/>
        <v>0.215</v>
      </c>
      <c r="H48" s="217">
        <f t="shared" si="135"/>
        <v>43.86</v>
      </c>
      <c r="I48" s="217">
        <f t="shared" si="175"/>
        <v>2.58</v>
      </c>
      <c r="J48" s="541">
        <f t="shared" si="136"/>
        <v>11.519724175737904</v>
      </c>
      <c r="K48" s="443">
        <f t="shared" si="137"/>
        <v>8.5413074916111515</v>
      </c>
      <c r="L48" s="172">
        <f t="shared" si="138"/>
        <v>20.061031667349056</v>
      </c>
      <c r="M48" s="443"/>
      <c r="N48" s="217">
        <f t="shared" si="139"/>
        <v>0.42576611378929313</v>
      </c>
      <c r="O48" s="172">
        <f t="shared" si="172"/>
        <v>154.4074801886749</v>
      </c>
      <c r="P48" s="172">
        <f t="shared" si="140"/>
        <v>9.0827929522749926</v>
      </c>
      <c r="Q48" s="217">
        <f t="shared" si="6"/>
        <v>0.90827929522749939</v>
      </c>
      <c r="R48" s="217">
        <f t="shared" si="141"/>
        <v>12.867290015722908</v>
      </c>
      <c r="S48" s="443">
        <f t="shared" si="142"/>
        <v>170</v>
      </c>
      <c r="T48" s="217">
        <f t="shared" si="143"/>
        <v>18.936906401341965</v>
      </c>
      <c r="U48" s="217">
        <f t="shared" si="10"/>
        <v>0.82193401996662585</v>
      </c>
      <c r="V48" s="217">
        <f t="shared" si="11"/>
        <v>1.1085484523265818</v>
      </c>
      <c r="W48" s="197">
        <f t="shared" si="12"/>
        <v>350</v>
      </c>
      <c r="X48" s="443">
        <f t="shared" si="95"/>
        <v>350</v>
      </c>
      <c r="Z48" s="217">
        <f t="shared" si="13"/>
        <v>28.02690396701998</v>
      </c>
      <c r="AA48" s="173">
        <f t="shared" si="14"/>
        <v>1.6406682463163054</v>
      </c>
      <c r="AB48" s="173">
        <f t="shared" si="144"/>
        <v>0.37999717460890936</v>
      </c>
      <c r="AC48" s="173"/>
      <c r="AD48" s="173">
        <f t="shared" si="16"/>
        <v>0.78052062558505664</v>
      </c>
      <c r="AE48" s="545">
        <f t="shared" si="145"/>
        <v>1049.9779056452342</v>
      </c>
      <c r="AF48" s="528">
        <f t="shared" si="146"/>
        <v>8.6001809670946061E-2</v>
      </c>
      <c r="AH48" s="173">
        <f t="shared" si="147"/>
        <v>23.037857043198638</v>
      </c>
      <c r="AI48" s="173">
        <f t="shared" si="148"/>
        <v>23.037857043198638</v>
      </c>
      <c r="AJ48" s="173">
        <f t="shared" si="149"/>
        <v>8.3885360813817051</v>
      </c>
      <c r="AL48" s="545">
        <f t="shared" si="150"/>
        <v>258</v>
      </c>
      <c r="AM48" s="460">
        <f t="shared" si="151"/>
        <v>350</v>
      </c>
      <c r="AO48">
        <f t="shared" si="96"/>
        <v>258</v>
      </c>
      <c r="AP48" s="460">
        <f t="shared" si="24"/>
        <v>350</v>
      </c>
      <c r="AQ48" s="460"/>
      <c r="AR48" s="5">
        <f t="shared" si="97"/>
        <v>2.8571428571428572</v>
      </c>
      <c r="AS48" s="5">
        <f t="shared" si="25"/>
        <v>0.99993093114674914</v>
      </c>
      <c r="AT48" s="5">
        <f t="shared" si="98"/>
        <v>1.8572119259961082</v>
      </c>
      <c r="AU48" s="173">
        <f t="shared" si="99"/>
        <v>0.34997582590136217</v>
      </c>
      <c r="AW48" s="5">
        <f t="shared" si="152"/>
        <v>0.15175422366815369</v>
      </c>
      <c r="AX48" s="5">
        <f t="shared" si="153"/>
        <v>1.7915429183045921</v>
      </c>
      <c r="AY48" s="5">
        <f t="shared" si="28"/>
        <v>11.313786869411254</v>
      </c>
      <c r="AZ48" s="5"/>
      <c r="BA48" s="173">
        <f t="shared" si="100"/>
        <v>7.8686544756144112</v>
      </c>
      <c r="BB48" s="173">
        <f t="shared" si="154"/>
        <v>0.50639875158211956</v>
      </c>
      <c r="BC48" s="173">
        <f t="shared" si="155"/>
        <v>0.400381041663121</v>
      </c>
      <c r="BD48" s="173"/>
      <c r="BE48" s="528">
        <f t="shared" si="31"/>
        <v>2.4766289302642681</v>
      </c>
      <c r="BF48" s="528">
        <f t="shared" si="156"/>
        <v>3.6395350400703128</v>
      </c>
      <c r="BG48" s="528">
        <f t="shared" si="157"/>
        <v>0.16127613846033068</v>
      </c>
      <c r="BH48" s="528">
        <f t="shared" si="34"/>
        <v>2.8171149409086715E-2</v>
      </c>
      <c r="BI48">
        <f t="shared" si="35"/>
        <v>5.1838758790820564E-3</v>
      </c>
      <c r="BJ48" s="460">
        <f t="shared" si="101"/>
        <v>166.46001433941274</v>
      </c>
      <c r="BK48">
        <f t="shared" si="158"/>
        <v>16.554430391625083</v>
      </c>
      <c r="BL48" s="460">
        <f t="shared" si="102"/>
        <v>16554.430391625083</v>
      </c>
      <c r="BM48" s="173">
        <f t="shared" si="159"/>
        <v>0.22394399999999998</v>
      </c>
      <c r="BN48" s="173">
        <f t="shared" si="160"/>
        <v>0.18661999999999998</v>
      </c>
      <c r="BO48" s="528"/>
      <c r="BQ48" s="460">
        <f t="shared" si="103"/>
        <v>410.56399999999991</v>
      </c>
      <c r="BR48" s="528">
        <f t="shared" si="39"/>
        <v>1.8574716976982011</v>
      </c>
      <c r="BS48" s="528">
        <f t="shared" si="104"/>
        <v>7.6931908681178761E-3</v>
      </c>
      <c r="BT48" s="528">
        <f t="shared" si="161"/>
        <v>8.0152489261622916E-4</v>
      </c>
      <c r="BU48" s="528">
        <f t="shared" si="41"/>
        <v>291.90753984245282</v>
      </c>
      <c r="BV48" s="528">
        <f t="shared" si="162"/>
        <v>345.84870336445334</v>
      </c>
      <c r="BW48" s="625">
        <f t="shared" si="163"/>
        <v>4.6440000000000001</v>
      </c>
      <c r="BX48" s="460">
        <f t="shared" si="105"/>
        <v>350492.70336445334</v>
      </c>
      <c r="BY48" s="173">
        <f t="shared" si="106"/>
        <v>367.45769775607846</v>
      </c>
      <c r="BZ48" s="5">
        <f t="shared" si="107"/>
        <v>46.44</v>
      </c>
      <c r="CA48" s="173">
        <f t="shared" si="108"/>
        <v>0.11220163883919063</v>
      </c>
      <c r="CB48" s="5">
        <f t="shared" si="109"/>
        <v>11.220163883919062</v>
      </c>
      <c r="CC48">
        <f t="shared" si="173"/>
        <v>43.000000000000007</v>
      </c>
      <c r="CE48" s="562">
        <f t="shared" si="164"/>
        <v>-50</v>
      </c>
      <c r="CF48">
        <f t="shared" si="165"/>
        <v>-50</v>
      </c>
      <c r="CG48" s="173">
        <f t="shared" si="166"/>
        <v>0.46026895108336197</v>
      </c>
      <c r="CH48" s="173">
        <f t="shared" si="167"/>
        <v>0.11453852528703141</v>
      </c>
      <c r="CI48" s="170">
        <v>43</v>
      </c>
      <c r="CJ48" s="217">
        <f t="shared" si="133"/>
        <v>0.25800000000000001</v>
      </c>
      <c r="CK48" s="217">
        <f t="shared" si="111"/>
        <v>0.215</v>
      </c>
      <c r="CL48" s="217">
        <f t="shared" si="48"/>
        <v>43.86</v>
      </c>
      <c r="CM48" s="217">
        <f t="shared" si="134"/>
        <v>2.58</v>
      </c>
      <c r="CN48" s="541">
        <f t="shared" si="112"/>
        <v>12.5</v>
      </c>
      <c r="CO48" s="443">
        <f t="shared" si="168"/>
        <v>8.5350000000000001</v>
      </c>
      <c r="CP48" s="443">
        <f t="shared" si="169"/>
        <v>21.035</v>
      </c>
      <c r="CQ48" s="443"/>
      <c r="CR48" s="217">
        <f t="shared" si="113"/>
        <v>0.40546967895362668</v>
      </c>
      <c r="CS48" s="172">
        <f t="shared" si="114"/>
        <v>159.55982736601052</v>
      </c>
      <c r="CT48" s="172">
        <f t="shared" si="51"/>
        <v>9.3858721980006177</v>
      </c>
      <c r="CU48" s="217">
        <f t="shared" si="52"/>
        <v>0.93858721980006188</v>
      </c>
      <c r="CV48" s="217">
        <f t="shared" si="53"/>
        <v>13.296652280500878</v>
      </c>
      <c r="CW48" s="443">
        <f t="shared" si="54"/>
        <v>170</v>
      </c>
      <c r="CX48" s="217">
        <f t="shared" si="55"/>
        <v>18.325414662756593</v>
      </c>
      <c r="CY48" s="217">
        <f t="shared" si="56"/>
        <v>0.73301658651026369</v>
      </c>
      <c r="CZ48" s="217">
        <f t="shared" si="57"/>
        <v>1.0735450886207729</v>
      </c>
      <c r="DA48" s="197">
        <f t="shared" si="58"/>
        <v>350</v>
      </c>
      <c r="DB48" s="443">
        <f t="shared" si="115"/>
        <v>350</v>
      </c>
      <c r="DD48" s="217">
        <f t="shared" si="59"/>
        <v>28.98230839756868</v>
      </c>
      <c r="DE48" s="173">
        <f t="shared" si="60"/>
        <v>1.6978505212401103</v>
      </c>
      <c r="DF48" s="173">
        <f t="shared" si="61"/>
        <v>0.40664636548103333</v>
      </c>
      <c r="DG48" s="173"/>
      <c r="DH48" s="173">
        <f t="shared" si="62"/>
        <v>0.78109744190587771</v>
      </c>
      <c r="DI48" s="545">
        <f t="shared" si="63"/>
        <v>1049.2025294117648</v>
      </c>
      <c r="DJ48" s="528">
        <f t="shared" si="64"/>
        <v>8.6065366284073561E-2</v>
      </c>
      <c r="DL48" s="173">
        <f t="shared" si="65"/>
        <v>23.037857043198638</v>
      </c>
      <c r="DM48" s="173">
        <f t="shared" si="66"/>
        <v>23.037857043198638</v>
      </c>
      <c r="DN48" s="173">
        <f t="shared" si="67"/>
        <v>8.3885360813817051</v>
      </c>
      <c r="DP48" s="545">
        <f t="shared" si="68"/>
        <v>258</v>
      </c>
      <c r="DQ48" s="460">
        <f t="shared" si="69"/>
        <v>350</v>
      </c>
      <c r="DS48">
        <f t="shared" si="116"/>
        <v>258</v>
      </c>
      <c r="DT48" s="460">
        <f t="shared" si="70"/>
        <v>350</v>
      </c>
      <c r="DU48" s="460"/>
      <c r="DV48" s="5">
        <f t="shared" si="117"/>
        <v>2.8571428571428572</v>
      </c>
      <c r="DW48" s="5">
        <f t="shared" si="71"/>
        <v>0.92151428172794558</v>
      </c>
      <c r="DX48" s="5">
        <f t="shared" si="118"/>
        <v>1.9356285754149116</v>
      </c>
      <c r="DY48" s="173">
        <f t="shared" si="119"/>
        <v>0.32252999860478093</v>
      </c>
      <c r="EA48" s="5">
        <f t="shared" si="72"/>
        <v>0.13985334393282939</v>
      </c>
      <c r="EB48" s="5">
        <f t="shared" si="73"/>
        <v>1.6510464214292357</v>
      </c>
      <c r="EC48" s="5">
        <f t="shared" si="74"/>
        <v>10.866773672665348</v>
      </c>
      <c r="ED48" s="5"/>
      <c r="EE48" s="173">
        <f t="shared" si="120"/>
        <v>7.5538178641395888</v>
      </c>
      <c r="EF48" s="173">
        <f t="shared" si="75"/>
        <v>0.51697900566314747</v>
      </c>
      <c r="EG48" s="173">
        <f t="shared" si="76"/>
        <v>0.40874625413014953</v>
      </c>
      <c r="EH48" s="173"/>
      <c r="EI48" s="528">
        <f t="shared" si="77"/>
        <v>2.2824065729837755</v>
      </c>
      <c r="EJ48" s="528">
        <f t="shared" si="78"/>
        <v>4.6642877329479528</v>
      </c>
      <c r="EK48" s="528">
        <f t="shared" si="79"/>
        <v>6.9999999999999993E-2</v>
      </c>
      <c r="EL48" s="528">
        <f t="shared" si="80"/>
        <v>3.0972985749999998E-2</v>
      </c>
      <c r="EM48">
        <f t="shared" si="81"/>
        <v>5.6249999999999998E-3</v>
      </c>
      <c r="EN48" s="460">
        <f t="shared" si="121"/>
        <v>75.625</v>
      </c>
      <c r="EO48">
        <f t="shared" si="82"/>
        <v>16.756693782436255</v>
      </c>
      <c r="EP48" s="460">
        <f t="shared" si="122"/>
        <v>16756.693782436254</v>
      </c>
      <c r="EQ48" s="173">
        <f t="shared" si="83"/>
        <v>0.22394399999999998</v>
      </c>
      <c r="ER48" s="173">
        <f t="shared" si="170"/>
        <v>0.18661999999999998</v>
      </c>
      <c r="ES48" s="528"/>
      <c r="EU48" s="460">
        <f t="shared" si="123"/>
        <v>410.56399999999991</v>
      </c>
      <c r="EV48" s="528">
        <f t="shared" si="85"/>
        <v>1.7118049297378315</v>
      </c>
      <c r="EW48" s="528">
        <f t="shared" si="124"/>
        <v>8.0180187688937005E-3</v>
      </c>
      <c r="EX48" s="528">
        <f t="shared" si="86"/>
        <v>8.3536750132714391E-4</v>
      </c>
      <c r="EY48" s="528">
        <f t="shared" si="87"/>
        <v>291.90753984245282</v>
      </c>
      <c r="EZ48" s="528">
        <f t="shared" si="88"/>
        <v>340.97763663871734</v>
      </c>
      <c r="FA48" s="625">
        <f t="shared" si="89"/>
        <v>4.6440000000000001</v>
      </c>
      <c r="FB48" s="460">
        <f t="shared" si="125"/>
        <v>345621.63663871738</v>
      </c>
      <c r="FC48" s="173">
        <f t="shared" si="126"/>
        <v>362.7888944211536</v>
      </c>
      <c r="FD48" s="5">
        <f t="shared" si="127"/>
        <v>46.44</v>
      </c>
      <c r="FE48" s="173">
        <f t="shared" si="128"/>
        <v>0.11348172290152797</v>
      </c>
      <c r="FF48" s="5">
        <f t="shared" si="129"/>
        <v>11.348172290152798</v>
      </c>
      <c r="FG48">
        <f t="shared" si="130"/>
        <v>43.000000000000007</v>
      </c>
      <c r="FI48" s="562">
        <f t="shared" si="90"/>
        <v>-50</v>
      </c>
      <c r="FJ48">
        <f t="shared" si="91"/>
        <v>-50</v>
      </c>
      <c r="FL48">
        <f t="shared" si="92"/>
        <v>0.46026895108336202</v>
      </c>
    </row>
    <row r="49" spans="5:168">
      <c r="E49" s="170">
        <v>44</v>
      </c>
      <c r="F49" s="217">
        <f t="shared" si="174"/>
        <v>0.26400000000000001</v>
      </c>
      <c r="G49" s="217">
        <f t="shared" si="171"/>
        <v>0.22</v>
      </c>
      <c r="H49" s="217">
        <f t="shared" si="135"/>
        <v>44.88</v>
      </c>
      <c r="I49" s="217">
        <f t="shared" si="175"/>
        <v>2.64</v>
      </c>
      <c r="J49" s="541">
        <f t="shared" si="136"/>
        <v>11.508391130748784</v>
      </c>
      <c r="K49" s="443">
        <f t="shared" si="137"/>
        <v>8.541380413011872</v>
      </c>
      <c r="L49" s="172">
        <f t="shared" si="138"/>
        <v>20.049771543760656</v>
      </c>
      <c r="M49" s="443"/>
      <c r="N49" s="217">
        <f t="shared" si="139"/>
        <v>0.42600886470798155</v>
      </c>
      <c r="O49" s="172">
        <f t="shared" si="172"/>
        <v>154.34352385895704</v>
      </c>
      <c r="P49" s="172">
        <f t="shared" si="140"/>
        <v>9.0790308152327661</v>
      </c>
      <c r="Q49" s="217">
        <f t="shared" si="6"/>
        <v>0.9079030815232767</v>
      </c>
      <c r="R49" s="217">
        <f t="shared" si="141"/>
        <v>12.861960321579753</v>
      </c>
      <c r="S49" s="443">
        <f t="shared" si="142"/>
        <v>170</v>
      </c>
      <c r="T49" s="217">
        <f t="shared" si="143"/>
        <v>19.385329071106117</v>
      </c>
      <c r="U49" s="217">
        <f t="shared" si="10"/>
        <v>0.84222585289577423</v>
      </c>
      <c r="V49" s="217">
        <f t="shared" si="11"/>
        <v>1.1347889997719021</v>
      </c>
      <c r="W49" s="197">
        <f t="shared" si="12"/>
        <v>350</v>
      </c>
      <c r="X49" s="443">
        <f t="shared" si="95"/>
        <v>350</v>
      </c>
      <c r="Z49" s="217">
        <f t="shared" si="13"/>
        <v>28.015295087003967</v>
      </c>
      <c r="AA49" s="173">
        <f t="shared" si="14"/>
        <v>1.6399746722629096</v>
      </c>
      <c r="AB49" s="173">
        <f t="shared" si="144"/>
        <v>0.37967920493474344</v>
      </c>
      <c r="AC49" s="173"/>
      <c r="AD49" s="173">
        <f t="shared" si="16"/>
        <v>0.780513961948202</v>
      </c>
      <c r="AE49" s="545">
        <f t="shared" si="145"/>
        <v>1074.4051691285051</v>
      </c>
      <c r="AF49" s="528">
        <f t="shared" si="146"/>
        <v>8.6001075436885219E-2</v>
      </c>
      <c r="AH49" s="173">
        <f t="shared" si="147"/>
        <v>23.304199498925389</v>
      </c>
      <c r="AI49" s="173">
        <f t="shared" si="148"/>
        <v>23.304199498925389</v>
      </c>
      <c r="AJ49" s="173">
        <f t="shared" si="149"/>
        <v>8.5858267893274469</v>
      </c>
      <c r="AL49" s="545">
        <f t="shared" si="150"/>
        <v>264</v>
      </c>
      <c r="AM49" s="460">
        <f t="shared" si="151"/>
        <v>350</v>
      </c>
      <c r="AO49">
        <f t="shared" si="96"/>
        <v>264</v>
      </c>
      <c r="AP49" s="460">
        <f t="shared" si="24"/>
        <v>350</v>
      </c>
      <c r="AQ49" s="460"/>
      <c r="AR49" s="5">
        <f t="shared" si="97"/>
        <v>2.8571428571428572</v>
      </c>
      <c r="AS49" s="5">
        <f t="shared" si="25"/>
        <v>1.0124872901069499</v>
      </c>
      <c r="AT49" s="5">
        <f t="shared" si="98"/>
        <v>1.8446555670359073</v>
      </c>
      <c r="AU49" s="173">
        <f t="shared" si="99"/>
        <v>0.35437055153743247</v>
      </c>
      <c r="AW49" s="5">
        <f t="shared" si="152"/>
        <v>0.1572333203460205</v>
      </c>
      <c r="AX49" s="5">
        <f t="shared" si="153"/>
        <v>1.8562266985294082</v>
      </c>
      <c r="AY49" s="5">
        <f t="shared" si="28"/>
        <v>11.509951778037628</v>
      </c>
      <c r="AZ49" s="5"/>
      <c r="BA49" s="173">
        <f t="shared" si="100"/>
        <v>8.0094440943910925</v>
      </c>
      <c r="BB49" s="173">
        <f t="shared" si="154"/>
        <v>0.51051869255611648</v>
      </c>
      <c r="BC49" s="173">
        <f t="shared" si="155"/>
        <v>0.40363844751889344</v>
      </c>
      <c r="BD49" s="173"/>
      <c r="BE49" s="528">
        <f t="shared" si="31"/>
        <v>2.566047788047054</v>
      </c>
      <c r="BF49" s="528">
        <f t="shared" si="156"/>
        <v>3.6795455232139447</v>
      </c>
      <c r="BG49" s="528">
        <f t="shared" si="157"/>
        <v>0.161117475830483</v>
      </c>
      <c r="BH49" s="528">
        <f t="shared" si="34"/>
        <v>2.8139533726989619E-2</v>
      </c>
      <c r="BI49">
        <f t="shared" si="35"/>
        <v>5.1787760088369524E-3</v>
      </c>
      <c r="BJ49" s="460">
        <f t="shared" si="101"/>
        <v>166.29625183931995</v>
      </c>
      <c r="BK49">
        <f t="shared" si="158"/>
        <v>17.848936694865273</v>
      </c>
      <c r="BL49" s="460">
        <f t="shared" si="102"/>
        <v>17848.936694865271</v>
      </c>
      <c r="BM49" s="173">
        <f t="shared" si="159"/>
        <v>0.22915199999999999</v>
      </c>
      <c r="BN49" s="173">
        <f t="shared" si="160"/>
        <v>0.19095999999999999</v>
      </c>
      <c r="BO49" s="528"/>
      <c r="BQ49" s="460">
        <f t="shared" si="103"/>
        <v>420.11199999999997</v>
      </c>
      <c r="BR49" s="528">
        <f t="shared" si="39"/>
        <v>1.9245358410352904</v>
      </c>
      <c r="BS49" s="528">
        <f t="shared" si="104"/>
        <v>7.8188800634761968E-3</v>
      </c>
      <c r="BT49" s="528">
        <f t="shared" si="161"/>
        <v>8.1461998157731253E-4</v>
      </c>
      <c r="BU49" s="528">
        <f t="shared" si="41"/>
        <v>300.41774985111215</v>
      </c>
      <c r="BV49" s="528">
        <f t="shared" si="162"/>
        <v>358.21393567337071</v>
      </c>
      <c r="BW49" s="625">
        <f t="shared" si="163"/>
        <v>4.7520000000000007</v>
      </c>
      <c r="BX49" s="460">
        <f t="shared" si="105"/>
        <v>362965.93567337072</v>
      </c>
      <c r="BY49" s="173">
        <f t="shared" si="106"/>
        <v>381.23498436823598</v>
      </c>
      <c r="BZ49" s="5">
        <f t="shared" si="107"/>
        <v>47.52</v>
      </c>
      <c r="CA49" s="173">
        <f t="shared" si="108"/>
        <v>0.1108325307751699</v>
      </c>
      <c r="CB49" s="5">
        <f t="shared" si="109"/>
        <v>11.083253077516989</v>
      </c>
      <c r="CC49">
        <f t="shared" si="173"/>
        <v>44.000000000000007</v>
      </c>
      <c r="CE49" s="562">
        <f t="shared" si="164"/>
        <v>-50</v>
      </c>
      <c r="CF49">
        <f t="shared" si="165"/>
        <v>-50</v>
      </c>
      <c r="CG49" s="173">
        <f t="shared" si="166"/>
        <v>0.46559015619790228</v>
      </c>
      <c r="CH49" s="173">
        <f t="shared" si="167"/>
        <v>0.11586271407955084</v>
      </c>
      <c r="CI49" s="170">
        <v>44</v>
      </c>
      <c r="CJ49" s="217">
        <f t="shared" si="133"/>
        <v>0.26400000000000001</v>
      </c>
      <c r="CK49" s="217">
        <f t="shared" si="111"/>
        <v>0.22</v>
      </c>
      <c r="CL49" s="217">
        <f t="shared" si="48"/>
        <v>44.88</v>
      </c>
      <c r="CM49" s="217">
        <f t="shared" si="134"/>
        <v>2.64</v>
      </c>
      <c r="CN49" s="541">
        <f t="shared" si="112"/>
        <v>12.5</v>
      </c>
      <c r="CO49" s="443">
        <f t="shared" si="168"/>
        <v>8.5350000000000001</v>
      </c>
      <c r="CP49" s="443">
        <f t="shared" si="169"/>
        <v>21.035</v>
      </c>
      <c r="CQ49" s="443"/>
      <c r="CR49" s="217">
        <f t="shared" si="113"/>
        <v>0.40546967895362668</v>
      </c>
      <c r="CS49" s="172">
        <f t="shared" si="114"/>
        <v>159.55982736601052</v>
      </c>
      <c r="CT49" s="172">
        <f t="shared" si="51"/>
        <v>9.3858721980006177</v>
      </c>
      <c r="CU49" s="217">
        <f t="shared" si="52"/>
        <v>0.93858721980006188</v>
      </c>
      <c r="CV49" s="217">
        <f t="shared" si="53"/>
        <v>13.296652280500878</v>
      </c>
      <c r="CW49" s="443">
        <f t="shared" si="54"/>
        <v>170</v>
      </c>
      <c r="CX49" s="217">
        <f t="shared" si="55"/>
        <v>18.751587096774191</v>
      </c>
      <c r="CY49" s="217">
        <f t="shared" si="56"/>
        <v>0.75006348387096766</v>
      </c>
      <c r="CZ49" s="217">
        <f t="shared" si="57"/>
        <v>1.0985112534724188</v>
      </c>
      <c r="DA49" s="197">
        <f t="shared" si="58"/>
        <v>350</v>
      </c>
      <c r="DB49" s="443">
        <f t="shared" si="115"/>
        <v>350</v>
      </c>
      <c r="DD49" s="217">
        <f t="shared" si="59"/>
        <v>28.98230839756868</v>
      </c>
      <c r="DE49" s="173">
        <f t="shared" si="60"/>
        <v>1.6978505212401103</v>
      </c>
      <c r="DF49" s="173">
        <f t="shared" si="61"/>
        <v>0.40664636548103333</v>
      </c>
      <c r="DG49" s="173"/>
      <c r="DH49" s="173">
        <f t="shared" si="62"/>
        <v>0.78109744190587771</v>
      </c>
      <c r="DI49" s="545">
        <f t="shared" si="63"/>
        <v>1073.6025882352942</v>
      </c>
      <c r="DJ49" s="528">
        <f t="shared" si="64"/>
        <v>8.6065366284073561E-2</v>
      </c>
      <c r="DL49" s="173">
        <f t="shared" si="65"/>
        <v>23.304199498925389</v>
      </c>
      <c r="DM49" s="173">
        <f t="shared" si="66"/>
        <v>23.304199498925389</v>
      </c>
      <c r="DN49" s="173">
        <f t="shared" si="67"/>
        <v>8.5858267893274469</v>
      </c>
      <c r="DP49" s="545">
        <f t="shared" si="68"/>
        <v>264</v>
      </c>
      <c r="DQ49" s="460">
        <f t="shared" si="69"/>
        <v>350</v>
      </c>
      <c r="DS49">
        <f t="shared" si="116"/>
        <v>264</v>
      </c>
      <c r="DT49" s="460">
        <f t="shared" si="70"/>
        <v>350</v>
      </c>
      <c r="DU49" s="460"/>
      <c r="DV49" s="5">
        <f t="shared" si="117"/>
        <v>2.8571428571428572</v>
      </c>
      <c r="DW49" s="5">
        <f t="shared" si="71"/>
        <v>0.93216797995701561</v>
      </c>
      <c r="DX49" s="5">
        <f t="shared" si="118"/>
        <v>1.9249748771858415</v>
      </c>
      <c r="DY49" s="173">
        <f t="shared" si="119"/>
        <v>0.32625879298495547</v>
      </c>
      <c r="EA49" s="5">
        <f t="shared" si="72"/>
        <v>0.14476020394626596</v>
      </c>
      <c r="EB49" s="5">
        <f t="shared" si="73"/>
        <v>1.7089746299211952</v>
      </c>
      <c r="EC49" s="5">
        <f t="shared" si="74"/>
        <v>11.058287678476873</v>
      </c>
      <c r="ED49" s="5"/>
      <c r="EE49" s="173">
        <f t="shared" si="120"/>
        <v>7.6851911628844025</v>
      </c>
      <c r="EF49" s="173">
        <f t="shared" si="75"/>
        <v>0.52151468007776436</v>
      </c>
      <c r="EG49" s="173">
        <f t="shared" si="76"/>
        <v>0.41233235706009436</v>
      </c>
      <c r="EH49" s="173"/>
      <c r="EI49" s="528">
        <f t="shared" si="77"/>
        <v>2.3624865284030605</v>
      </c>
      <c r="EJ49" s="528">
        <f t="shared" si="78"/>
        <v>4.7182119259264947</v>
      </c>
      <c r="EK49" s="528">
        <f t="shared" si="79"/>
        <v>6.9999999999999993E-2</v>
      </c>
      <c r="EL49" s="528">
        <f t="shared" si="80"/>
        <v>3.0972985749999998E-2</v>
      </c>
      <c r="EM49">
        <f t="shared" si="81"/>
        <v>5.6249999999999998E-3</v>
      </c>
      <c r="EN49" s="460">
        <f t="shared" si="121"/>
        <v>75.625</v>
      </c>
      <c r="EO49">
        <f t="shared" si="82"/>
        <v>17.838262714841704</v>
      </c>
      <c r="EP49" s="460">
        <f t="shared" si="122"/>
        <v>17838.262714841705</v>
      </c>
      <c r="EQ49" s="173">
        <f t="shared" si="83"/>
        <v>0.22915199999999999</v>
      </c>
      <c r="ER49" s="173">
        <f t="shared" si="170"/>
        <v>0.19095999999999999</v>
      </c>
      <c r="ES49" s="528"/>
      <c r="EU49" s="460">
        <f t="shared" si="123"/>
        <v>420.11199999999997</v>
      </c>
      <c r="EV49" s="528">
        <f t="shared" si="85"/>
        <v>1.7718648963022954</v>
      </c>
      <c r="EW49" s="528">
        <f t="shared" si="124"/>
        <v>8.1593268460983873E-3</v>
      </c>
      <c r="EX49" s="528">
        <f t="shared" si="86"/>
        <v>8.5008986339366575E-4</v>
      </c>
      <c r="EY49" s="528">
        <f t="shared" si="87"/>
        <v>300.41774985111215</v>
      </c>
      <c r="EZ49" s="528">
        <f t="shared" si="88"/>
        <v>352.9042886009351</v>
      </c>
      <c r="FA49" s="625">
        <f t="shared" si="89"/>
        <v>4.7520000000000007</v>
      </c>
      <c r="FB49" s="460">
        <f t="shared" si="125"/>
        <v>357656.28860093514</v>
      </c>
      <c r="FC49" s="173">
        <f t="shared" si="126"/>
        <v>375.91466331577681</v>
      </c>
      <c r="FD49" s="5">
        <f t="shared" si="127"/>
        <v>47.52</v>
      </c>
      <c r="FE49" s="173">
        <f t="shared" si="128"/>
        <v>0.11222510605977934</v>
      </c>
      <c r="FF49" s="5">
        <f t="shared" si="129"/>
        <v>11.222510605977934</v>
      </c>
      <c r="FG49">
        <f t="shared" si="130"/>
        <v>44.000000000000007</v>
      </c>
      <c r="FI49" s="562">
        <f t="shared" si="90"/>
        <v>-50</v>
      </c>
      <c r="FJ49">
        <f t="shared" si="91"/>
        <v>-50</v>
      </c>
      <c r="FL49">
        <f t="shared" si="92"/>
        <v>0.46559015619790234</v>
      </c>
    </row>
    <row r="50" spans="5:168">
      <c r="E50" s="170">
        <v>45</v>
      </c>
      <c r="F50" s="217">
        <f t="shared" si="174"/>
        <v>0.27</v>
      </c>
      <c r="G50" s="217">
        <f t="shared" si="171"/>
        <v>0.22500000000000001</v>
      </c>
      <c r="H50" s="217">
        <f t="shared" si="135"/>
        <v>45.900000000000006</v>
      </c>
      <c r="I50" s="217">
        <f t="shared" si="175"/>
        <v>2.7</v>
      </c>
      <c r="J50" s="541">
        <f t="shared" si="136"/>
        <v>11.497186155100248</v>
      </c>
      <c r="K50" s="443">
        <f t="shared" si="137"/>
        <v>8.5414525103625927</v>
      </c>
      <c r="L50" s="172">
        <f t="shared" si="138"/>
        <v>20.038638665462841</v>
      </c>
      <c r="M50" s="443"/>
      <c r="N50" s="217">
        <f t="shared" si="139"/>
        <v>0.42624914062071628</v>
      </c>
      <c r="O50" s="172">
        <f t="shared" si="172"/>
        <v>154.2802170534332</v>
      </c>
      <c r="P50" s="172">
        <f t="shared" si="140"/>
        <v>9.0753068854960706</v>
      </c>
      <c r="Q50" s="217">
        <f t="shared" si="6"/>
        <v>0.90753068854960706</v>
      </c>
      <c r="R50" s="217">
        <f t="shared" si="141"/>
        <v>12.856684754452766</v>
      </c>
      <c r="S50" s="443">
        <f t="shared" si="142"/>
        <v>170</v>
      </c>
      <c r="T50" s="217">
        <f t="shared" si="143"/>
        <v>19.834040024329266</v>
      </c>
      <c r="U50" s="217">
        <f t="shared" si="10"/>
        <v>0.86256061947517126</v>
      </c>
      <c r="V50" s="217">
        <f t="shared" si="11"/>
        <v>1.1610460867321084</v>
      </c>
      <c r="W50" s="197">
        <f t="shared" si="12"/>
        <v>350</v>
      </c>
      <c r="X50" s="443">
        <f t="shared" si="95"/>
        <v>350</v>
      </c>
      <c r="Z50" s="217">
        <f t="shared" si="13"/>
        <v>28.003804103816449</v>
      </c>
      <c r="AA50" s="173">
        <f t="shared" si="14"/>
        <v>1.6392881696550967</v>
      </c>
      <c r="AB50" s="173">
        <f t="shared" si="144"/>
        <v>0.37936460194127031</v>
      </c>
      <c r="AC50" s="173"/>
      <c r="AD50" s="173">
        <f t="shared" si="16"/>
        <v>0.78050737372579038</v>
      </c>
      <c r="AE50" s="545">
        <f t="shared" si="145"/>
        <v>1098.8327435389992</v>
      </c>
      <c r="AF50" s="528">
        <f t="shared" si="146"/>
        <v>8.6000349512378782E-2</v>
      </c>
      <c r="AH50" s="173">
        <f t="shared" si="147"/>
        <v>23.567532145487181</v>
      </c>
      <c r="AI50" s="173">
        <f t="shared" si="148"/>
        <v>23.567532145487181</v>
      </c>
      <c r="AJ50" s="173">
        <f t="shared" si="149"/>
        <v>8.7808880090028492</v>
      </c>
      <c r="AL50" s="545">
        <f t="shared" si="150"/>
        <v>270</v>
      </c>
      <c r="AM50" s="460">
        <f t="shared" si="151"/>
        <v>350</v>
      </c>
      <c r="AO50">
        <f t="shared" si="96"/>
        <v>270</v>
      </c>
      <c r="AP50" s="460">
        <f t="shared" si="24"/>
        <v>350</v>
      </c>
      <c r="AQ50" s="460"/>
      <c r="AR50" s="5">
        <f t="shared" si="97"/>
        <v>2.8571428571428572</v>
      </c>
      <c r="AS50" s="5">
        <f t="shared" si="25"/>
        <v>1.0249260918086651</v>
      </c>
      <c r="AT50" s="5">
        <f t="shared" si="98"/>
        <v>1.8322167653341921</v>
      </c>
      <c r="AU50" s="173">
        <f t="shared" si="99"/>
        <v>0.35872413213303278</v>
      </c>
      <c r="AW50" s="5">
        <f t="shared" si="152"/>
        <v>0.16278237928725861</v>
      </c>
      <c r="AX50" s="5">
        <f t="shared" si="153"/>
        <v>1.9217364221412472</v>
      </c>
      <c r="AY50" s="5">
        <f t="shared" si="28"/>
        <v>11.703559238836194</v>
      </c>
      <c r="AZ50" s="5"/>
      <c r="BA50" s="173">
        <f t="shared" si="100"/>
        <v>8.1495527944299813</v>
      </c>
      <c r="BB50" s="173">
        <f t="shared" si="154"/>
        <v>0.51454380045899972</v>
      </c>
      <c r="BC50" s="173">
        <f t="shared" si="155"/>
        <v>0.40682087419338231</v>
      </c>
      <c r="BD50" s="173"/>
      <c r="BE50" s="528">
        <f t="shared" si="31"/>
        <v>2.656608429968061</v>
      </c>
      <c r="BF50" s="528">
        <f t="shared" si="156"/>
        <v>3.719057429588271</v>
      </c>
      <c r="BG50" s="528">
        <f t="shared" si="157"/>
        <v>0.16096060617140348</v>
      </c>
      <c r="BH50" s="528">
        <f t="shared" si="34"/>
        <v>2.8108292769548768E-2</v>
      </c>
      <c r="BI50">
        <f t="shared" si="35"/>
        <v>5.173733769795112E-3</v>
      </c>
      <c r="BJ50" s="460">
        <f t="shared" si="101"/>
        <v>166.13433994119859</v>
      </c>
      <c r="BK50">
        <f t="shared" si="158"/>
        <v>19.309258860224034</v>
      </c>
      <c r="BL50" s="460">
        <f t="shared" si="102"/>
        <v>19309.258860224036</v>
      </c>
      <c r="BM50" s="173">
        <f t="shared" si="159"/>
        <v>0.23436000000000001</v>
      </c>
      <c r="BN50" s="173">
        <f t="shared" si="160"/>
        <v>0.1953</v>
      </c>
      <c r="BO50" s="528"/>
      <c r="BQ50" s="460">
        <f t="shared" si="103"/>
        <v>429.66</v>
      </c>
      <c r="BR50" s="528">
        <f t="shared" si="39"/>
        <v>1.9924563224760456</v>
      </c>
      <c r="BS50" s="528">
        <f t="shared" si="104"/>
        <v>7.9426596777237273E-3</v>
      </c>
      <c r="BT50" s="528">
        <f t="shared" si="161"/>
        <v>8.2751611839733895E-4</v>
      </c>
      <c r="BU50" s="528">
        <f t="shared" si="41"/>
        <v>308.97645461782099</v>
      </c>
      <c r="BV50" s="528">
        <f t="shared" si="162"/>
        <v>370.82662015760741</v>
      </c>
      <c r="BW50" s="625">
        <f t="shared" si="163"/>
        <v>4.8600000000000021</v>
      </c>
      <c r="BX50" s="460">
        <f t="shared" si="105"/>
        <v>375686.62015760742</v>
      </c>
      <c r="BY50" s="173">
        <f t="shared" si="106"/>
        <v>395.42553901783145</v>
      </c>
      <c r="BZ50" s="5">
        <f t="shared" si="107"/>
        <v>48.600000000000009</v>
      </c>
      <c r="CA50" s="173">
        <f t="shared" si="108"/>
        <v>0.10945316367950696</v>
      </c>
      <c r="CB50" s="5">
        <f t="shared" si="109"/>
        <v>10.945316367950696</v>
      </c>
      <c r="CC50">
        <f t="shared" si="173"/>
        <v>45.000000000000007</v>
      </c>
      <c r="CE50" s="562">
        <f t="shared" si="164"/>
        <v>-50</v>
      </c>
      <c r="CF50">
        <f t="shared" si="165"/>
        <v>-50</v>
      </c>
      <c r="CG50" s="173">
        <f t="shared" si="166"/>
        <v>0.47085122890929776</v>
      </c>
      <c r="CH50" s="173">
        <f t="shared" si="167"/>
        <v>0.1171719388455767</v>
      </c>
      <c r="CI50" s="170">
        <v>45</v>
      </c>
      <c r="CJ50" s="217">
        <f t="shared" si="133"/>
        <v>0.27</v>
      </c>
      <c r="CK50" s="217">
        <f t="shared" si="111"/>
        <v>0.22500000000000001</v>
      </c>
      <c r="CL50" s="217">
        <f t="shared" si="48"/>
        <v>45.900000000000006</v>
      </c>
      <c r="CM50" s="217">
        <f t="shared" si="134"/>
        <v>2.7</v>
      </c>
      <c r="CN50" s="541">
        <f t="shared" si="112"/>
        <v>12.5</v>
      </c>
      <c r="CO50" s="443">
        <f t="shared" si="168"/>
        <v>8.5350000000000001</v>
      </c>
      <c r="CP50" s="443">
        <f t="shared" si="169"/>
        <v>21.035</v>
      </c>
      <c r="CQ50" s="443"/>
      <c r="CR50" s="217">
        <f t="shared" si="113"/>
        <v>0.40546967895362668</v>
      </c>
      <c r="CS50" s="172">
        <f t="shared" si="114"/>
        <v>159.55982736601052</v>
      </c>
      <c r="CT50" s="172">
        <f t="shared" si="51"/>
        <v>9.3858721980006177</v>
      </c>
      <c r="CU50" s="217">
        <f t="shared" si="52"/>
        <v>0.93858721980006188</v>
      </c>
      <c r="CV50" s="217">
        <f t="shared" si="53"/>
        <v>13.296652280500878</v>
      </c>
      <c r="CW50" s="443">
        <f t="shared" si="54"/>
        <v>170</v>
      </c>
      <c r="CX50" s="217">
        <f t="shared" si="55"/>
        <v>19.177759530791789</v>
      </c>
      <c r="CY50" s="217">
        <f t="shared" si="56"/>
        <v>0.76711038123167152</v>
      </c>
      <c r="CZ50" s="217">
        <f t="shared" si="57"/>
        <v>1.123477418324065</v>
      </c>
      <c r="DA50" s="197">
        <f t="shared" si="58"/>
        <v>350</v>
      </c>
      <c r="DB50" s="443">
        <f t="shared" si="115"/>
        <v>350</v>
      </c>
      <c r="DD50" s="217">
        <f t="shared" si="59"/>
        <v>28.98230839756868</v>
      </c>
      <c r="DE50" s="173">
        <f t="shared" si="60"/>
        <v>1.6978505212401103</v>
      </c>
      <c r="DF50" s="173">
        <f t="shared" si="61"/>
        <v>0.40664636548103333</v>
      </c>
      <c r="DG50" s="173"/>
      <c r="DH50" s="173">
        <f t="shared" si="62"/>
        <v>0.78109744190587771</v>
      </c>
      <c r="DI50" s="545">
        <f t="shared" si="63"/>
        <v>1098.0026470588236</v>
      </c>
      <c r="DJ50" s="528">
        <f t="shared" si="64"/>
        <v>8.6065366284073561E-2</v>
      </c>
      <c r="DL50" s="173">
        <f t="shared" si="65"/>
        <v>23.567532145487181</v>
      </c>
      <c r="DM50" s="173">
        <f t="shared" si="66"/>
        <v>23.567532145487181</v>
      </c>
      <c r="DN50" s="173">
        <f t="shared" si="67"/>
        <v>8.7808880090028492</v>
      </c>
      <c r="DP50" s="545">
        <f t="shared" si="68"/>
        <v>270</v>
      </c>
      <c r="DQ50" s="460">
        <f t="shared" si="69"/>
        <v>350</v>
      </c>
      <c r="DS50">
        <f t="shared" si="116"/>
        <v>270</v>
      </c>
      <c r="DT50" s="460">
        <f t="shared" si="70"/>
        <v>350</v>
      </c>
      <c r="DU50" s="460"/>
      <c r="DV50" s="5">
        <f t="shared" si="117"/>
        <v>2.8571428571428572</v>
      </c>
      <c r="DW50" s="5">
        <f t="shared" si="71"/>
        <v>0.9427012858194872</v>
      </c>
      <c r="DX50" s="5">
        <f t="shared" si="118"/>
        <v>1.91444157132337</v>
      </c>
      <c r="DY50" s="173">
        <f t="shared" si="119"/>
        <v>0.32994545003682052</v>
      </c>
      <c r="EA50" s="5">
        <f t="shared" si="72"/>
        <v>0.14972314539485973</v>
      </c>
      <c r="EB50" s="5">
        <f t="shared" si="73"/>
        <v>1.7675649109115386</v>
      </c>
      <c r="EC50" s="5">
        <f t="shared" si="74"/>
        <v>11.247727119839066</v>
      </c>
      <c r="ED50" s="5"/>
      <c r="EE50" s="173">
        <f t="shared" si="120"/>
        <v>7.8158200670884685</v>
      </c>
      <c r="EF50" s="173">
        <f t="shared" si="75"/>
        <v>0.52596274303055635</v>
      </c>
      <c r="EG50" s="173">
        <f t="shared" si="76"/>
        <v>0.41584919052948577</v>
      </c>
      <c r="EH50" s="173"/>
      <c r="EI50" s="528">
        <f t="shared" si="77"/>
        <v>2.4434817328441119</v>
      </c>
      <c r="EJ50" s="528">
        <f t="shared" si="78"/>
        <v>4.7715267472981076</v>
      </c>
      <c r="EK50" s="528">
        <f t="shared" si="79"/>
        <v>6.9999999999999993E-2</v>
      </c>
      <c r="EL50" s="528">
        <f t="shared" si="80"/>
        <v>3.0972985749999998E-2</v>
      </c>
      <c r="EM50">
        <f t="shared" si="81"/>
        <v>5.6249999999999998E-3</v>
      </c>
      <c r="EN50" s="460">
        <f t="shared" si="121"/>
        <v>75.625</v>
      </c>
      <c r="EO50">
        <f t="shared" si="82"/>
        <v>19.02908829877407</v>
      </c>
      <c r="EP50" s="460">
        <f t="shared" si="122"/>
        <v>19029.08829877407</v>
      </c>
      <c r="EQ50" s="173">
        <f t="shared" si="83"/>
        <v>0.23436000000000001</v>
      </c>
      <c r="ER50" s="173">
        <f t="shared" si="170"/>
        <v>0.1953</v>
      </c>
      <c r="ES50" s="528"/>
      <c r="EU50" s="460">
        <f t="shared" si="123"/>
        <v>429.66</v>
      </c>
      <c r="EV50" s="528">
        <f t="shared" si="85"/>
        <v>1.8326112996330837</v>
      </c>
      <c r="EW50" s="528">
        <f t="shared" si="124"/>
        <v>8.299104211686812E-3</v>
      </c>
      <c r="EX50" s="528">
        <f t="shared" si="86"/>
        <v>8.6465274632014288E-4</v>
      </c>
      <c r="EY50" s="528">
        <f t="shared" si="87"/>
        <v>308.97645461782099</v>
      </c>
      <c r="EZ50" s="528">
        <f t="shared" si="88"/>
        <v>365.04701455996036</v>
      </c>
      <c r="FA50" s="625">
        <f t="shared" si="89"/>
        <v>4.8600000000000021</v>
      </c>
      <c r="FB50" s="460">
        <f t="shared" si="125"/>
        <v>369907.0145599604</v>
      </c>
      <c r="FC50" s="173">
        <f t="shared" si="126"/>
        <v>389.36576285873446</v>
      </c>
      <c r="FD50" s="5">
        <f t="shared" si="127"/>
        <v>48.600000000000009</v>
      </c>
      <c r="FE50" s="173">
        <f t="shared" si="128"/>
        <v>0.11096757811106779</v>
      </c>
      <c r="FF50" s="5">
        <f t="shared" si="129"/>
        <v>11.096757811106778</v>
      </c>
      <c r="FG50">
        <f t="shared" si="130"/>
        <v>45.000000000000007</v>
      </c>
      <c r="FI50" s="562">
        <f t="shared" si="90"/>
        <v>-50</v>
      </c>
      <c r="FJ50">
        <f t="shared" si="91"/>
        <v>-50</v>
      </c>
      <c r="FL50">
        <f t="shared" si="92"/>
        <v>0.4708512289092977</v>
      </c>
    </row>
    <row r="51" spans="5:168">
      <c r="E51" s="170">
        <v>46</v>
      </c>
      <c r="F51" s="217">
        <f t="shared" si="174"/>
        <v>0.27600000000000002</v>
      </c>
      <c r="G51" s="217">
        <f t="shared" si="171"/>
        <v>0.23</v>
      </c>
      <c r="H51" s="217">
        <f t="shared" si="135"/>
        <v>46.92</v>
      </c>
      <c r="I51" s="217">
        <f t="shared" si="175"/>
        <v>2.7600000000000002</v>
      </c>
      <c r="J51" s="541">
        <f t="shared" si="136"/>
        <v>11.486105002740633</v>
      </c>
      <c r="K51" s="443">
        <f t="shared" si="137"/>
        <v>8.5415238109841329</v>
      </c>
      <c r="L51" s="172">
        <f t="shared" si="138"/>
        <v>20.027628813724768</v>
      </c>
      <c r="M51" s="443"/>
      <c r="N51" s="217">
        <f t="shared" si="139"/>
        <v>0.42648702402206984</v>
      </c>
      <c r="O51" s="172">
        <f t="shared" si="172"/>
        <v>154.21753811815856</v>
      </c>
      <c r="P51" s="172">
        <f t="shared" si="140"/>
        <v>9.0716198893034452</v>
      </c>
      <c r="Q51" s="217">
        <f t="shared" si="6"/>
        <v>0.9071619889303445</v>
      </c>
      <c r="R51" s="217">
        <f t="shared" si="141"/>
        <v>12.851461509846546</v>
      </c>
      <c r="S51" s="443">
        <f t="shared" si="142"/>
        <v>170</v>
      </c>
      <c r="T51" s="217">
        <f t="shared" si="143"/>
        <v>20.283036794449313</v>
      </c>
      <c r="U51" s="217">
        <f t="shared" si="10"/>
        <v>0.88293798418217895</v>
      </c>
      <c r="V51" s="217">
        <f t="shared" si="11"/>
        <v>1.1873195722036132</v>
      </c>
      <c r="W51" s="197">
        <f t="shared" si="12"/>
        <v>350</v>
      </c>
      <c r="X51" s="443">
        <f t="shared" si="95"/>
        <v>350</v>
      </c>
      <c r="Z51" s="217">
        <f t="shared" si="13"/>
        <v>27.992427086993494</v>
      </c>
      <c r="AA51" s="173">
        <f t="shared" si="14"/>
        <v>1.638608502794086</v>
      </c>
      <c r="AB51" s="173">
        <f t="shared" si="144"/>
        <v>0.37905325386057853</v>
      </c>
      <c r="AC51" s="173"/>
      <c r="AD51" s="173">
        <f t="shared" si="16"/>
        <v>0.78050085841750405</v>
      </c>
      <c r="AE51" s="545">
        <f t="shared" si="145"/>
        <v>1123.260625402125</v>
      </c>
      <c r="AF51" s="528">
        <f t="shared" si="146"/>
        <v>8.5999631621928696E-2</v>
      </c>
      <c r="AH51" s="173">
        <f t="shared" si="147"/>
        <v>23.827954771054703</v>
      </c>
      <c r="AI51" s="173">
        <f t="shared" si="148"/>
        <v>23.827954771054703</v>
      </c>
      <c r="AJ51" s="173">
        <f t="shared" si="149"/>
        <v>8.9737936575713828</v>
      </c>
      <c r="AL51" s="545">
        <f t="shared" si="150"/>
        <v>276</v>
      </c>
      <c r="AM51" s="460">
        <f t="shared" si="151"/>
        <v>350</v>
      </c>
      <c r="AO51">
        <f t="shared" si="96"/>
        <v>276</v>
      </c>
      <c r="AP51" s="460">
        <f t="shared" si="24"/>
        <v>350</v>
      </c>
      <c r="AQ51" s="460"/>
      <c r="AR51" s="5">
        <f t="shared" si="97"/>
        <v>2.8571428571428572</v>
      </c>
      <c r="AS51" s="5">
        <f t="shared" si="25"/>
        <v>1.0372513034387745</v>
      </c>
      <c r="AT51" s="5">
        <f t="shared" si="98"/>
        <v>1.8198915537040827</v>
      </c>
      <c r="AU51" s="173">
        <f t="shared" si="99"/>
        <v>0.36303795620357104</v>
      </c>
      <c r="AW51" s="5">
        <f t="shared" si="152"/>
        <v>0.16840079985241282</v>
      </c>
      <c r="AX51" s="5">
        <f t="shared" si="153"/>
        <v>1.9880649982576508</v>
      </c>
      <c r="AY51" s="5">
        <f t="shared" si="28"/>
        <v>11.894623868323867</v>
      </c>
      <c r="AZ51" s="5"/>
      <c r="BA51" s="173">
        <f t="shared" si="100"/>
        <v>8.2890003221006339</v>
      </c>
      <c r="BB51" s="173">
        <f t="shared" si="154"/>
        <v>0.51847681095624365</v>
      </c>
      <c r="BC51" s="173">
        <f t="shared" si="155"/>
        <v>0.40993048462357939</v>
      </c>
      <c r="BD51" s="173"/>
      <c r="BE51" s="528">
        <f t="shared" si="31"/>
        <v>2.7483010535913763</v>
      </c>
      <c r="BF51" s="528">
        <f t="shared" si="156"/>
        <v>3.7580872891661321</v>
      </c>
      <c r="BG51" s="528">
        <f t="shared" si="157"/>
        <v>0.16080547003836884</v>
      </c>
      <c r="BH51" s="528">
        <f t="shared" si="34"/>
        <v>2.8077414113023696E-2</v>
      </c>
      <c r="BI51">
        <f t="shared" si="35"/>
        <v>5.1687472512332846E-3</v>
      </c>
      <c r="BJ51" s="460">
        <f t="shared" si="101"/>
        <v>165.97421728960214</v>
      </c>
      <c r="BK51">
        <f t="shared" si="158"/>
        <v>20.969539164613391</v>
      </c>
      <c r="BL51" s="460">
        <f t="shared" si="102"/>
        <v>20969.53916461339</v>
      </c>
      <c r="BM51" s="173">
        <f t="shared" si="159"/>
        <v>0.239568</v>
      </c>
      <c r="BN51" s="173">
        <f t="shared" si="160"/>
        <v>0.19964000000000001</v>
      </c>
      <c r="BO51" s="528"/>
      <c r="BQ51" s="460">
        <f t="shared" si="103"/>
        <v>439.20800000000003</v>
      </c>
      <c r="BR51" s="528">
        <f t="shared" si="39"/>
        <v>2.0612257901935322</v>
      </c>
      <c r="BS51" s="528">
        <f t="shared" si="104"/>
        <v>8.0645461049806931E-3</v>
      </c>
      <c r="BT51" s="528">
        <f t="shared" si="161"/>
        <v>8.4021501111861325E-4</v>
      </c>
      <c r="BU51" s="528">
        <f t="shared" si="41"/>
        <v>317.58284351199831</v>
      </c>
      <c r="BV51" s="528">
        <f t="shared" si="162"/>
        <v>383.69344766321836</v>
      </c>
      <c r="BW51" s="625">
        <f t="shared" si="163"/>
        <v>4.9680000000000009</v>
      </c>
      <c r="BX51" s="460">
        <f t="shared" si="105"/>
        <v>388661.44766321837</v>
      </c>
      <c r="BY51" s="173">
        <f t="shared" si="106"/>
        <v>410.07019482783176</v>
      </c>
      <c r="BZ51" s="5">
        <f t="shared" si="107"/>
        <v>49.68</v>
      </c>
      <c r="CA51" s="173">
        <f t="shared" si="108"/>
        <v>0.10805868177740365</v>
      </c>
      <c r="CB51" s="5">
        <f t="shared" si="109"/>
        <v>10.805868177740365</v>
      </c>
      <c r="CC51">
        <f t="shared" si="173"/>
        <v>46.000000000000007</v>
      </c>
      <c r="CE51" s="562">
        <f t="shared" si="164"/>
        <v>-50</v>
      </c>
      <c r="CF51">
        <f t="shared" si="165"/>
        <v>-50</v>
      </c>
      <c r="CG51" s="173">
        <f t="shared" si="166"/>
        <v>0.47605416286637448</v>
      </c>
      <c r="CH51" s="173">
        <f t="shared" si="167"/>
        <v>0.11846669570720446</v>
      </c>
      <c r="CI51" s="170">
        <v>46</v>
      </c>
      <c r="CJ51" s="217">
        <f t="shared" si="133"/>
        <v>0.27600000000000002</v>
      </c>
      <c r="CK51" s="217">
        <f t="shared" si="111"/>
        <v>0.23</v>
      </c>
      <c r="CL51" s="217">
        <f t="shared" si="48"/>
        <v>46.92</v>
      </c>
      <c r="CM51" s="217">
        <f t="shared" si="134"/>
        <v>2.7600000000000002</v>
      </c>
      <c r="CN51" s="541">
        <f t="shared" si="112"/>
        <v>12.5</v>
      </c>
      <c r="CO51" s="443">
        <f t="shared" si="168"/>
        <v>8.5350000000000001</v>
      </c>
      <c r="CP51" s="443">
        <f t="shared" si="169"/>
        <v>21.035</v>
      </c>
      <c r="CQ51" s="443"/>
      <c r="CR51" s="217">
        <f t="shared" si="113"/>
        <v>0.40546967895362668</v>
      </c>
      <c r="CS51" s="172">
        <f t="shared" si="114"/>
        <v>159.55982736601052</v>
      </c>
      <c r="CT51" s="172">
        <f t="shared" si="51"/>
        <v>9.3858721980006177</v>
      </c>
      <c r="CU51" s="217">
        <f t="shared" si="52"/>
        <v>0.93858721980006188</v>
      </c>
      <c r="CV51" s="217">
        <f t="shared" si="53"/>
        <v>13.296652280500878</v>
      </c>
      <c r="CW51" s="443">
        <f t="shared" si="54"/>
        <v>170</v>
      </c>
      <c r="CX51" s="217">
        <f t="shared" si="55"/>
        <v>19.60393196480938</v>
      </c>
      <c r="CY51" s="217">
        <f t="shared" si="56"/>
        <v>0.78415727859237527</v>
      </c>
      <c r="CZ51" s="217">
        <f t="shared" si="57"/>
        <v>1.1484435831757105</v>
      </c>
      <c r="DA51" s="197">
        <f t="shared" si="58"/>
        <v>350</v>
      </c>
      <c r="DB51" s="443">
        <f t="shared" si="115"/>
        <v>350</v>
      </c>
      <c r="DD51" s="217">
        <f t="shared" si="59"/>
        <v>28.98230839756868</v>
      </c>
      <c r="DE51" s="173">
        <f t="shared" si="60"/>
        <v>1.6978505212401103</v>
      </c>
      <c r="DF51" s="173">
        <f t="shared" si="61"/>
        <v>0.40664636548103333</v>
      </c>
      <c r="DG51" s="173"/>
      <c r="DH51" s="173">
        <f t="shared" si="62"/>
        <v>0.78109744190587771</v>
      </c>
      <c r="DI51" s="545">
        <f t="shared" si="63"/>
        <v>1122.4027058823533</v>
      </c>
      <c r="DJ51" s="528">
        <f t="shared" si="64"/>
        <v>8.6065366284073561E-2</v>
      </c>
      <c r="DL51" s="173">
        <f t="shared" si="65"/>
        <v>23.827954771054703</v>
      </c>
      <c r="DM51" s="173">
        <f t="shared" si="66"/>
        <v>23.827954771054703</v>
      </c>
      <c r="DN51" s="173">
        <f t="shared" si="67"/>
        <v>8.9737936575713828</v>
      </c>
      <c r="DP51" s="545">
        <f t="shared" si="68"/>
        <v>276</v>
      </c>
      <c r="DQ51" s="460">
        <f t="shared" si="69"/>
        <v>350</v>
      </c>
      <c r="DS51">
        <f t="shared" si="116"/>
        <v>276</v>
      </c>
      <c r="DT51" s="460">
        <f t="shared" si="70"/>
        <v>350</v>
      </c>
      <c r="DU51" s="460"/>
      <c r="DV51" s="5">
        <f t="shared" si="117"/>
        <v>2.8571428571428572</v>
      </c>
      <c r="DW51" s="5">
        <f t="shared" si="71"/>
        <v>0.95311819084218807</v>
      </c>
      <c r="DX51" s="5">
        <f t="shared" si="118"/>
        <v>1.904024666300669</v>
      </c>
      <c r="DY51" s="173">
        <f t="shared" si="119"/>
        <v>0.33359136679476581</v>
      </c>
      <c r="EA51" s="5">
        <f t="shared" si="72"/>
        <v>0.15474154157202585</v>
      </c>
      <c r="EB51" s="5">
        <f t="shared" si="73"/>
        <v>1.8268098657808605</v>
      </c>
      <c r="EC51" s="5">
        <f t="shared" si="74"/>
        <v>11.435115179881906</v>
      </c>
      <c r="ED51" s="5"/>
      <c r="EE51" s="173">
        <f t="shared" si="120"/>
        <v>7.9457252004701582</v>
      </c>
      <c r="EF51" s="173">
        <f t="shared" si="75"/>
        <v>0.53032593661090566</v>
      </c>
      <c r="EG51" s="173">
        <f t="shared" si="76"/>
        <v>0.4192989225543382</v>
      </c>
      <c r="EH51" s="173"/>
      <c r="EI51" s="528">
        <f t="shared" si="77"/>
        <v>2.5253819584554615</v>
      </c>
      <c r="EJ51" s="528">
        <f t="shared" si="78"/>
        <v>4.8242524003629308</v>
      </c>
      <c r="EK51" s="528">
        <f t="shared" si="79"/>
        <v>6.9999999999999993E-2</v>
      </c>
      <c r="EL51" s="528">
        <f t="shared" si="80"/>
        <v>3.0972985749999998E-2</v>
      </c>
      <c r="EM51">
        <f t="shared" si="81"/>
        <v>5.6249999999999998E-3</v>
      </c>
      <c r="EN51" s="460">
        <f t="shared" si="121"/>
        <v>75.625</v>
      </c>
      <c r="EO51">
        <f t="shared" si="82"/>
        <v>20.346778011274989</v>
      </c>
      <c r="EP51" s="460">
        <f t="shared" si="122"/>
        <v>20346.77801127499</v>
      </c>
      <c r="EQ51" s="173">
        <f t="shared" si="83"/>
        <v>0.239568</v>
      </c>
      <c r="ER51" s="173">
        <f t="shared" si="170"/>
        <v>0.19964000000000001</v>
      </c>
      <c r="ES51" s="528"/>
      <c r="EU51" s="460">
        <f t="shared" si="123"/>
        <v>439.20800000000003</v>
      </c>
      <c r="EV51" s="528">
        <f t="shared" si="85"/>
        <v>1.894036468841596</v>
      </c>
      <c r="EW51" s="528">
        <f t="shared" si="124"/>
        <v>8.4373679712670298E-3</v>
      </c>
      <c r="EX51" s="528">
        <f t="shared" si="86"/>
        <v>8.7905793227614456E-4</v>
      </c>
      <c r="EY51" s="528">
        <f t="shared" si="87"/>
        <v>317.58284351199831</v>
      </c>
      <c r="EZ51" s="528">
        <f t="shared" si="88"/>
        <v>377.41065395914598</v>
      </c>
      <c r="FA51" s="625">
        <f t="shared" si="89"/>
        <v>4.9680000000000009</v>
      </c>
      <c r="FB51" s="460">
        <f t="shared" si="125"/>
        <v>382378.653959146</v>
      </c>
      <c r="FC51" s="173">
        <f t="shared" si="126"/>
        <v>403.16463997042098</v>
      </c>
      <c r="FD51" s="5">
        <f t="shared" si="127"/>
        <v>49.68</v>
      </c>
      <c r="FE51" s="173">
        <f t="shared" si="128"/>
        <v>0.1097064989070976</v>
      </c>
      <c r="FF51" s="5">
        <f t="shared" si="129"/>
        <v>10.97064989070976</v>
      </c>
      <c r="FG51">
        <f t="shared" si="130"/>
        <v>46.000000000000007</v>
      </c>
      <c r="FI51" s="562">
        <f t="shared" si="90"/>
        <v>-50</v>
      </c>
      <c r="FJ51">
        <f t="shared" si="91"/>
        <v>-50</v>
      </c>
      <c r="FL51">
        <f t="shared" si="92"/>
        <v>0.47605416286637459</v>
      </c>
    </row>
    <row r="52" spans="5:168">
      <c r="E52" s="170">
        <v>47</v>
      </c>
      <c r="F52" s="217">
        <f t="shared" si="174"/>
        <v>0.28199999999999997</v>
      </c>
      <c r="G52" s="217">
        <f t="shared" si="171"/>
        <v>0.23499999999999999</v>
      </c>
      <c r="H52" s="217">
        <f t="shared" si="135"/>
        <v>47.94</v>
      </c>
      <c r="I52" s="217">
        <f t="shared" si="175"/>
        <v>2.82</v>
      </c>
      <c r="J52" s="541">
        <f t="shared" si="136"/>
        <v>11.475143657182862</v>
      </c>
      <c r="K52" s="443">
        <f t="shared" si="137"/>
        <v>8.5415943407201951</v>
      </c>
      <c r="L52" s="172">
        <f t="shared" si="138"/>
        <v>20.016737997903057</v>
      </c>
      <c r="M52" s="443"/>
      <c r="N52" s="217">
        <f t="shared" si="139"/>
        <v>0.42672259294271664</v>
      </c>
      <c r="O52" s="172">
        <f t="shared" si="172"/>
        <v>154.15546657095382</v>
      </c>
      <c r="P52" s="172">
        <f t="shared" si="140"/>
        <v>9.0679686218208122</v>
      </c>
      <c r="Q52" s="217">
        <f t="shared" si="6"/>
        <v>0.90679686218208133</v>
      </c>
      <c r="R52" s="217">
        <f t="shared" si="141"/>
        <v>12.846288880912818</v>
      </c>
      <c r="S52" s="443">
        <f t="shared" si="142"/>
        <v>170</v>
      </c>
      <c r="T52" s="217">
        <f t="shared" si="143"/>
        <v>20.732316998495559</v>
      </c>
      <c r="U52" s="217">
        <f t="shared" si="10"/>
        <v>0.90335762313172319</v>
      </c>
      <c r="V52" s="217">
        <f t="shared" si="11"/>
        <v>1.213609319963765</v>
      </c>
      <c r="W52" s="197">
        <f t="shared" si="12"/>
        <v>350</v>
      </c>
      <c r="X52" s="443">
        <f t="shared" si="95"/>
        <v>350</v>
      </c>
      <c r="Z52" s="217">
        <f t="shared" si="13"/>
        <v>27.981160318761368</v>
      </c>
      <c r="AA52" s="173">
        <f t="shared" si="14"/>
        <v>1.6379354487350952</v>
      </c>
      <c r="AB52" s="173">
        <f t="shared" si="144"/>
        <v>0.37874505496929484</v>
      </c>
      <c r="AC52" s="173"/>
      <c r="AD52" s="173">
        <f t="shared" si="16"/>
        <v>0.78049441365820693</v>
      </c>
      <c r="AE52" s="545">
        <f t="shared" si="145"/>
        <v>1147.6888113572393</v>
      </c>
      <c r="AF52" s="528">
        <f t="shared" si="146"/>
        <v>8.5998921504932047E-2</v>
      </c>
      <c r="AH52" s="173">
        <f t="shared" si="147"/>
        <v>24.085561768708775</v>
      </c>
      <c r="AI52" s="173">
        <f t="shared" si="148"/>
        <v>24.085561768708775</v>
      </c>
      <c r="AJ52" s="173">
        <f t="shared" si="149"/>
        <v>9.1646136558336586</v>
      </c>
      <c r="AL52" s="545">
        <f t="shared" si="150"/>
        <v>282</v>
      </c>
      <c r="AM52" s="460">
        <f t="shared" si="151"/>
        <v>350</v>
      </c>
      <c r="AO52">
        <f t="shared" si="96"/>
        <v>282</v>
      </c>
      <c r="AP52" s="460">
        <f t="shared" si="24"/>
        <v>350</v>
      </c>
      <c r="AQ52" s="460"/>
      <c r="AR52" s="5">
        <f t="shared" si="97"/>
        <v>2.8571428571428572</v>
      </c>
      <c r="AS52" s="5">
        <f t="shared" si="25"/>
        <v>1.0494666772050574</v>
      </c>
      <c r="AT52" s="5">
        <f t="shared" si="98"/>
        <v>1.8076761799377998</v>
      </c>
      <c r="AU52" s="173">
        <f t="shared" si="99"/>
        <v>0.36731333702177005</v>
      </c>
      <c r="AW52" s="5">
        <f t="shared" si="152"/>
        <v>0.17408800174813302</v>
      </c>
      <c r="AX52" s="5">
        <f t="shared" si="153"/>
        <v>2.0552055761932371</v>
      </c>
      <c r="AY52" s="5">
        <f t="shared" si="28"/>
        <v>12.083159727517428</v>
      </c>
      <c r="AZ52" s="5"/>
      <c r="BA52" s="173">
        <f t="shared" si="100"/>
        <v>8.4278054506044615</v>
      </c>
      <c r="BB52" s="173">
        <f t="shared" si="154"/>
        <v>0.52232030990034306</v>
      </c>
      <c r="BC52" s="173">
        <f t="shared" si="155"/>
        <v>0.41296932329777009</v>
      </c>
      <c r="BD52" s="173"/>
      <c r="BE52" s="528">
        <f t="shared" si="31"/>
        <v>2.8411161885295311</v>
      </c>
      <c r="BF52" s="528">
        <f t="shared" si="156"/>
        <v>3.7966507382203636</v>
      </c>
      <c r="BG52" s="528">
        <f t="shared" si="157"/>
        <v>0.16065201120056008</v>
      </c>
      <c r="BH52" s="528">
        <f t="shared" si="34"/>
        <v>2.8046886005368726E-2</v>
      </c>
      <c r="BI52">
        <f t="shared" si="35"/>
        <v>5.163814645732288E-3</v>
      </c>
      <c r="BJ52" s="460">
        <f t="shared" si="101"/>
        <v>165.81582584629237</v>
      </c>
      <c r="BK52">
        <f t="shared" si="158"/>
        <v>22.873971474846385</v>
      </c>
      <c r="BL52" s="460">
        <f t="shared" si="102"/>
        <v>22873.971474846385</v>
      </c>
      <c r="BM52" s="173">
        <f t="shared" si="159"/>
        <v>0.24477599999999997</v>
      </c>
      <c r="BN52" s="173">
        <f t="shared" si="160"/>
        <v>0.20397999999999997</v>
      </c>
      <c r="BO52" s="528"/>
      <c r="BQ52" s="460">
        <f t="shared" si="103"/>
        <v>448.75599999999991</v>
      </c>
      <c r="BR52" s="528">
        <f t="shared" si="39"/>
        <v>2.1308371413971479</v>
      </c>
      <c r="BS52" s="528">
        <f t="shared" si="104"/>
        <v>8.1845551840317114E-3</v>
      </c>
      <c r="BT52" s="528">
        <f t="shared" si="161"/>
        <v>8.5271830992509083E-4</v>
      </c>
      <c r="BU52" s="528">
        <f t="shared" si="41"/>
        <v>326.23613683402874</v>
      </c>
      <c r="BV52" s="528">
        <f t="shared" si="162"/>
        <v>396.82142171763638</v>
      </c>
      <c r="BW52" s="625">
        <f t="shared" si="163"/>
        <v>5.0760000000000005</v>
      </c>
      <c r="BX52" s="460">
        <f t="shared" si="105"/>
        <v>401897.4217176364</v>
      </c>
      <c r="BY52" s="173">
        <f t="shared" si="106"/>
        <v>425.22014919248278</v>
      </c>
      <c r="BZ52" s="5">
        <f t="shared" si="107"/>
        <v>50.76</v>
      </c>
      <c r="CA52" s="173">
        <f t="shared" si="108"/>
        <v>0.10664310283972166</v>
      </c>
      <c r="CB52" s="5">
        <f t="shared" si="109"/>
        <v>10.664310283972165</v>
      </c>
      <c r="CC52">
        <f t="shared" si="173"/>
        <v>47</v>
      </c>
      <c r="CE52" s="562">
        <f t="shared" si="164"/>
        <v>-50</v>
      </c>
      <c r="CF52">
        <f t="shared" si="165"/>
        <v>-50</v>
      </c>
      <c r="CG52" s="173">
        <f t="shared" si="166"/>
        <v>0.48120084393048757</v>
      </c>
      <c r="CH52" s="173">
        <f t="shared" si="167"/>
        <v>0.11974745396347758</v>
      </c>
      <c r="CI52" s="170">
        <v>47</v>
      </c>
      <c r="CJ52" s="217">
        <f t="shared" si="133"/>
        <v>0.28199999999999997</v>
      </c>
      <c r="CK52" s="217">
        <f t="shared" si="111"/>
        <v>0.23499999999999999</v>
      </c>
      <c r="CL52" s="217">
        <f t="shared" si="48"/>
        <v>47.94</v>
      </c>
      <c r="CM52" s="217">
        <f t="shared" si="134"/>
        <v>2.82</v>
      </c>
      <c r="CN52" s="541">
        <f t="shared" si="112"/>
        <v>12.5</v>
      </c>
      <c r="CO52" s="443">
        <f t="shared" si="168"/>
        <v>8.5350000000000001</v>
      </c>
      <c r="CP52" s="443">
        <f t="shared" si="169"/>
        <v>21.035</v>
      </c>
      <c r="CQ52" s="443"/>
      <c r="CR52" s="217">
        <f t="shared" si="113"/>
        <v>0.40546967895362668</v>
      </c>
      <c r="CS52" s="172">
        <f t="shared" si="114"/>
        <v>159.55982736601052</v>
      </c>
      <c r="CT52" s="172">
        <f t="shared" si="51"/>
        <v>9.3858721980006177</v>
      </c>
      <c r="CU52" s="217">
        <f t="shared" si="52"/>
        <v>0.93858721980006188</v>
      </c>
      <c r="CV52" s="217">
        <f t="shared" si="53"/>
        <v>13.296652280500878</v>
      </c>
      <c r="CW52" s="443">
        <f t="shared" si="54"/>
        <v>170</v>
      </c>
      <c r="CX52" s="217">
        <f t="shared" si="55"/>
        <v>20.030104398826975</v>
      </c>
      <c r="CY52" s="217">
        <f t="shared" si="56"/>
        <v>0.80120417595307902</v>
      </c>
      <c r="CZ52" s="217">
        <f t="shared" si="57"/>
        <v>1.1734097480273564</v>
      </c>
      <c r="DA52" s="197">
        <f t="shared" si="58"/>
        <v>350</v>
      </c>
      <c r="DB52" s="443">
        <f t="shared" si="115"/>
        <v>350</v>
      </c>
      <c r="DD52" s="217">
        <f t="shared" si="59"/>
        <v>28.98230839756868</v>
      </c>
      <c r="DE52" s="173">
        <f t="shared" si="60"/>
        <v>1.6978505212401103</v>
      </c>
      <c r="DF52" s="173">
        <f t="shared" si="61"/>
        <v>0.40664636548103333</v>
      </c>
      <c r="DG52" s="173"/>
      <c r="DH52" s="173">
        <f t="shared" si="62"/>
        <v>0.78109744190587771</v>
      </c>
      <c r="DI52" s="545">
        <f t="shared" si="63"/>
        <v>1146.8027647058823</v>
      </c>
      <c r="DJ52" s="528">
        <f t="shared" si="64"/>
        <v>8.6065366284073561E-2</v>
      </c>
      <c r="DL52" s="173">
        <f t="shared" si="65"/>
        <v>24.085561768708775</v>
      </c>
      <c r="DM52" s="173">
        <f t="shared" si="66"/>
        <v>24.085561768708775</v>
      </c>
      <c r="DN52" s="173">
        <f t="shared" si="67"/>
        <v>9.1646136558336586</v>
      </c>
      <c r="DP52" s="545">
        <f t="shared" si="68"/>
        <v>282</v>
      </c>
      <c r="DQ52" s="460">
        <f t="shared" si="69"/>
        <v>350</v>
      </c>
      <c r="DS52">
        <f t="shared" si="116"/>
        <v>282</v>
      </c>
      <c r="DT52" s="460">
        <f t="shared" si="70"/>
        <v>350</v>
      </c>
      <c r="DU52" s="460"/>
      <c r="DV52" s="5">
        <f t="shared" si="117"/>
        <v>2.8571428571428572</v>
      </c>
      <c r="DW52" s="5">
        <f t="shared" si="71"/>
        <v>0.96342247074835097</v>
      </c>
      <c r="DX52" s="5">
        <f t="shared" si="118"/>
        <v>1.8937203863945062</v>
      </c>
      <c r="DY52" s="173">
        <f t="shared" si="119"/>
        <v>0.33719786476192282</v>
      </c>
      <c r="EA52" s="5">
        <f t="shared" si="72"/>
        <v>0.1598147863241382</v>
      </c>
      <c r="EB52" s="5">
        <f t="shared" si="73"/>
        <v>1.8867023385488537</v>
      </c>
      <c r="EC52" s="5">
        <f t="shared" si="74"/>
        <v>11.620474281440336</v>
      </c>
      <c r="ED52" s="5"/>
      <c r="EE52" s="173">
        <f t="shared" si="120"/>
        <v>8.0749261804829153</v>
      </c>
      <c r="EF52" s="173">
        <f t="shared" si="75"/>
        <v>0.5346068545970809</v>
      </c>
      <c r="EG52" s="173">
        <f t="shared" si="76"/>
        <v>0.42268360388940107</v>
      </c>
      <c r="EH52" s="173"/>
      <c r="EI52" s="528">
        <f t="shared" si="77"/>
        <v>2.6081773128099361</v>
      </c>
      <c r="EJ52" s="528">
        <f t="shared" si="78"/>
        <v>4.8764079961210944</v>
      </c>
      <c r="EK52" s="528">
        <f t="shared" si="79"/>
        <v>6.9999999999999993E-2</v>
      </c>
      <c r="EL52" s="528">
        <f t="shared" si="80"/>
        <v>3.0972985749999998E-2</v>
      </c>
      <c r="EM52">
        <f t="shared" si="81"/>
        <v>5.6249999999999998E-3</v>
      </c>
      <c r="EN52" s="460">
        <f t="shared" si="121"/>
        <v>75.625</v>
      </c>
      <c r="EO52">
        <f t="shared" si="82"/>
        <v>21.812924193049724</v>
      </c>
      <c r="EP52" s="460">
        <f t="shared" si="122"/>
        <v>21812.924193049723</v>
      </c>
      <c r="EQ52" s="173">
        <f t="shared" si="83"/>
        <v>0.24477599999999997</v>
      </c>
      <c r="ER52" s="173">
        <f t="shared" si="170"/>
        <v>0.20397999999999997</v>
      </c>
      <c r="ES52" s="528"/>
      <c r="EU52" s="460">
        <f t="shared" si="123"/>
        <v>448.75599999999991</v>
      </c>
      <c r="EV52" s="528">
        <f t="shared" si="85"/>
        <v>1.956132984607452</v>
      </c>
      <c r="EW52" s="528">
        <f t="shared" si="124"/>
        <v>8.5741346694655322E-3</v>
      </c>
      <c r="EX52" s="528">
        <f t="shared" si="86"/>
        <v>8.9330714498466054E-4</v>
      </c>
      <c r="EY52" s="528">
        <f t="shared" si="87"/>
        <v>326.23613683402874</v>
      </c>
      <c r="EZ52" s="528">
        <f t="shared" si="88"/>
        <v>390.00025472163099</v>
      </c>
      <c r="FA52" s="625">
        <f t="shared" si="89"/>
        <v>5.0760000000000005</v>
      </c>
      <c r="FB52" s="460">
        <f t="shared" si="125"/>
        <v>395076.254721631</v>
      </c>
      <c r="FC52" s="173">
        <f t="shared" si="126"/>
        <v>417.33793491468077</v>
      </c>
      <c r="FD52" s="5">
        <f t="shared" si="127"/>
        <v>50.76</v>
      </c>
      <c r="FE52" s="173">
        <f t="shared" si="128"/>
        <v>0.10843884626248547</v>
      </c>
      <c r="FF52" s="5">
        <f t="shared" si="129"/>
        <v>10.843884626248547</v>
      </c>
      <c r="FG52">
        <f t="shared" si="130"/>
        <v>47</v>
      </c>
      <c r="FI52" s="562">
        <f t="shared" si="90"/>
        <v>-50</v>
      </c>
      <c r="FJ52">
        <f t="shared" si="91"/>
        <v>-50</v>
      </c>
      <c r="FL52">
        <f t="shared" si="92"/>
        <v>0.48120084393048751</v>
      </c>
    </row>
    <row r="53" spans="5:168">
      <c r="E53" s="170">
        <v>48</v>
      </c>
      <c r="F53" s="217">
        <f t="shared" si="174"/>
        <v>0.28799999999999998</v>
      </c>
      <c r="G53" s="217">
        <f t="shared" si="171"/>
        <v>0.24</v>
      </c>
      <c r="H53" s="217">
        <f t="shared" si="135"/>
        <v>48.959999999999994</v>
      </c>
      <c r="I53" s="217">
        <f t="shared" si="175"/>
        <v>2.88</v>
      </c>
      <c r="J53" s="541">
        <f t="shared" si="136"/>
        <v>11.464298314495208</v>
      </c>
      <c r="K53" s="443">
        <f t="shared" si="137"/>
        <v>8.5416641240468163</v>
      </c>
      <c r="L53" s="172">
        <f t="shared" si="138"/>
        <v>20.005962438542024</v>
      </c>
      <c r="M53" s="443"/>
      <c r="N53" s="217">
        <f t="shared" si="139"/>
        <v>0.42695592128030146</v>
      </c>
      <c r="O53" s="172">
        <f t="shared" si="172"/>
        <v>154.09398301455118</v>
      </c>
      <c r="P53" s="172">
        <f t="shared" si="140"/>
        <v>9.0643519420324221</v>
      </c>
      <c r="Q53" s="217">
        <f t="shared" si="6"/>
        <v>0.90643519420324226</v>
      </c>
      <c r="R53" s="217">
        <f t="shared" si="141"/>
        <v>12.841165251212599</v>
      </c>
      <c r="S53" s="443">
        <f t="shared" si="142"/>
        <v>170</v>
      </c>
      <c r="T53" s="217">
        <f t="shared" si="143"/>
        <v>21.181878332600295</v>
      </c>
      <c r="U53" s="217">
        <f t="shared" si="10"/>
        <v>0.9238192234503525</v>
      </c>
      <c r="V53" s="217">
        <f t="shared" si="11"/>
        <v>1.2399151983141241</v>
      </c>
      <c r="W53" s="197">
        <f t="shared" si="12"/>
        <v>350</v>
      </c>
      <c r="X53" s="443">
        <f t="shared" si="95"/>
        <v>350</v>
      </c>
      <c r="Z53" s="217">
        <f t="shared" si="13"/>
        <v>27.970000278271474</v>
      </c>
      <c r="AA53" s="173">
        <f t="shared" si="14"/>
        <v>1.6372687963419956</v>
      </c>
      <c r="AB53" s="173">
        <f t="shared" si="144"/>
        <v>0.37843990514066717</v>
      </c>
      <c r="AC53" s="173"/>
      <c r="AD53" s="173">
        <f t="shared" si="16"/>
        <v>0.78048803720792703</v>
      </c>
      <c r="AE53" s="545">
        <f t="shared" si="145"/>
        <v>1172.1172981515538</v>
      </c>
      <c r="AF53" s="528">
        <f t="shared" si="146"/>
        <v>8.5998218914577138E-2</v>
      </c>
      <c r="AH53" s="173">
        <f t="shared" si="147"/>
        <v>24.340442536181275</v>
      </c>
      <c r="AI53" s="173">
        <f t="shared" si="148"/>
        <v>24.340442536181275</v>
      </c>
      <c r="AJ53" s="173">
        <f t="shared" si="149"/>
        <v>9.3534142243318072</v>
      </c>
      <c r="AL53" s="545">
        <f t="shared" si="150"/>
        <v>288</v>
      </c>
      <c r="AM53" s="460">
        <f t="shared" si="151"/>
        <v>350</v>
      </c>
      <c r="AO53">
        <f t="shared" si="96"/>
        <v>288</v>
      </c>
      <c r="AP53" s="460">
        <f t="shared" si="24"/>
        <v>350</v>
      </c>
      <c r="AQ53" s="460"/>
      <c r="AR53" s="5">
        <f t="shared" si="97"/>
        <v>2.8571428571428572</v>
      </c>
      <c r="AS53" s="5">
        <f t="shared" si="25"/>
        <v>1.0615757662815593</v>
      </c>
      <c r="AT53" s="5">
        <f t="shared" si="98"/>
        <v>1.795567090861298</v>
      </c>
      <c r="AU53" s="173">
        <f t="shared" si="99"/>
        <v>0.3715515181985457</v>
      </c>
      <c r="AW53" s="5">
        <f t="shared" si="152"/>
        <v>0.17984342393475827</v>
      </c>
      <c r="AX53" s="5">
        <f t="shared" si="153"/>
        <v>2.1231515325631185</v>
      </c>
      <c r="AY53" s="5">
        <f t="shared" si="28"/>
        <v>12.269180352003428</v>
      </c>
      <c r="AZ53" s="5"/>
      <c r="BA53" s="173">
        <f t="shared" si="100"/>
        <v>8.5659860474659517</v>
      </c>
      <c r="BB53" s="173">
        <f t="shared" si="154"/>
        <v>0.52607674434257967</v>
      </c>
      <c r="BC53" s="173">
        <f t="shared" si="155"/>
        <v>0.41593932496191927</v>
      </c>
      <c r="BD53" s="173"/>
      <c r="BE53" s="528">
        <f t="shared" si="31"/>
        <v>2.9350446786152542</v>
      </c>
      <c r="BF53" s="528">
        <f t="shared" si="156"/>
        <v>3.8347625855411231</v>
      </c>
      <c r="BG53" s="528">
        <f t="shared" si="157"/>
        <v>0.16050017640293293</v>
      </c>
      <c r="BH53" s="528">
        <f t="shared" si="34"/>
        <v>2.8016697316464806E-2</v>
      </c>
      <c r="BI53">
        <f t="shared" si="35"/>
        <v>5.1589342415228438E-3</v>
      </c>
      <c r="BJ53" s="460">
        <f t="shared" si="101"/>
        <v>165.65911064445575</v>
      </c>
      <c r="BK53">
        <f t="shared" si="158"/>
        <v>25.080795500222798</v>
      </c>
      <c r="BL53" s="460">
        <f t="shared" si="102"/>
        <v>25080.795500222797</v>
      </c>
      <c r="BM53" s="173">
        <f t="shared" si="159"/>
        <v>0.24998399999999996</v>
      </c>
      <c r="BN53" s="173">
        <f t="shared" si="160"/>
        <v>0.20831999999999998</v>
      </c>
      <c r="BO53" s="528"/>
      <c r="BQ53" s="460">
        <f t="shared" si="103"/>
        <v>458.30399999999992</v>
      </c>
      <c r="BR53" s="528">
        <f t="shared" si="39"/>
        <v>2.2012835089614406</v>
      </c>
      <c r="BS53" s="528">
        <f t="shared" si="104"/>
        <v>8.3027022281426388E-3</v>
      </c>
      <c r="BT53" s="528">
        <f t="shared" si="161"/>
        <v>8.6502761024888537E-4</v>
      </c>
      <c r="BU53" s="528">
        <f t="shared" si="41"/>
        <v>334.93558400004895</v>
      </c>
      <c r="BV53" s="528">
        <f t="shared" si="162"/>
        <v>410.2178717611402</v>
      </c>
      <c r="BW53" s="625">
        <f t="shared" si="163"/>
        <v>5.1839999999999993</v>
      </c>
      <c r="BX53" s="460">
        <f t="shared" si="105"/>
        <v>415401.87176114024</v>
      </c>
      <c r="BY53" s="173">
        <f t="shared" si="106"/>
        <v>440.94097126136302</v>
      </c>
      <c r="BZ53" s="5">
        <f t="shared" si="107"/>
        <v>51.839999999999996</v>
      </c>
      <c r="CA53" s="173">
        <f t="shared" si="108"/>
        <v>0.10519886729251342</v>
      </c>
      <c r="CB53" s="5">
        <f t="shared" si="109"/>
        <v>10.519886729251342</v>
      </c>
      <c r="CC53">
        <f t="shared" si="173"/>
        <v>48</v>
      </c>
      <c r="CE53" s="562">
        <f t="shared" si="164"/>
        <v>-50</v>
      </c>
      <c r="CF53">
        <f t="shared" si="165"/>
        <v>-50</v>
      </c>
      <c r="CG53" s="173">
        <f t="shared" si="166"/>
        <v>0.48629305816186824</v>
      </c>
      <c r="CH53" s="173">
        <f t="shared" si="167"/>
        <v>0.12101465807780065</v>
      </c>
      <c r="CI53" s="170">
        <v>48</v>
      </c>
      <c r="CJ53" s="217">
        <f t="shared" si="133"/>
        <v>0.28799999999999998</v>
      </c>
      <c r="CK53" s="217">
        <f t="shared" si="111"/>
        <v>0.24</v>
      </c>
      <c r="CL53" s="217">
        <f t="shared" si="48"/>
        <v>48.959999999999994</v>
      </c>
      <c r="CM53" s="217">
        <f t="shared" si="134"/>
        <v>2.88</v>
      </c>
      <c r="CN53" s="541">
        <f t="shared" si="112"/>
        <v>12.5</v>
      </c>
      <c r="CO53" s="443">
        <f t="shared" si="168"/>
        <v>8.5350000000000001</v>
      </c>
      <c r="CP53" s="443">
        <f t="shared" si="169"/>
        <v>21.035</v>
      </c>
      <c r="CQ53" s="443"/>
      <c r="CR53" s="217">
        <f t="shared" si="113"/>
        <v>0.40546967895362668</v>
      </c>
      <c r="CS53" s="172">
        <f t="shared" si="114"/>
        <v>159.55982736601052</v>
      </c>
      <c r="CT53" s="172">
        <f t="shared" si="51"/>
        <v>9.3858721980006177</v>
      </c>
      <c r="CU53" s="217">
        <f t="shared" si="52"/>
        <v>0.93858721980006188</v>
      </c>
      <c r="CV53" s="217">
        <f t="shared" si="53"/>
        <v>13.296652280500878</v>
      </c>
      <c r="CW53" s="443">
        <f t="shared" si="54"/>
        <v>170</v>
      </c>
      <c r="CX53" s="217">
        <f t="shared" si="55"/>
        <v>20.456276832844569</v>
      </c>
      <c r="CY53" s="217">
        <f t="shared" si="56"/>
        <v>0.81825107331378277</v>
      </c>
      <c r="CZ53" s="217">
        <f t="shared" si="57"/>
        <v>1.1983759128790021</v>
      </c>
      <c r="DA53" s="197">
        <f t="shared" si="58"/>
        <v>350</v>
      </c>
      <c r="DB53" s="443">
        <f t="shared" si="115"/>
        <v>350</v>
      </c>
      <c r="DD53" s="217">
        <f t="shared" si="59"/>
        <v>28.98230839756868</v>
      </c>
      <c r="DE53" s="173">
        <f t="shared" si="60"/>
        <v>1.6978505212401103</v>
      </c>
      <c r="DF53" s="173">
        <f t="shared" si="61"/>
        <v>0.40664636548103333</v>
      </c>
      <c r="DG53" s="173"/>
      <c r="DH53" s="173">
        <f t="shared" si="62"/>
        <v>0.78109744190587771</v>
      </c>
      <c r="DI53" s="545">
        <f t="shared" si="63"/>
        <v>1171.2028235294117</v>
      </c>
      <c r="DJ53" s="528">
        <f t="shared" si="64"/>
        <v>8.6065366284073561E-2</v>
      </c>
      <c r="DL53" s="173">
        <f t="shared" si="65"/>
        <v>24.340442536181275</v>
      </c>
      <c r="DM53" s="173">
        <f t="shared" si="66"/>
        <v>24.340442536181275</v>
      </c>
      <c r="DN53" s="173">
        <f t="shared" si="67"/>
        <v>9.3534142243318072</v>
      </c>
      <c r="DP53" s="545">
        <f t="shared" si="68"/>
        <v>288</v>
      </c>
      <c r="DQ53" s="460">
        <f t="shared" si="69"/>
        <v>350</v>
      </c>
      <c r="DS53">
        <f t="shared" si="116"/>
        <v>288</v>
      </c>
      <c r="DT53" s="460">
        <f t="shared" si="70"/>
        <v>350</v>
      </c>
      <c r="DU53" s="460"/>
      <c r="DV53" s="5">
        <f t="shared" si="117"/>
        <v>2.8571428571428572</v>
      </c>
      <c r="DW53" s="5">
        <f t="shared" si="71"/>
        <v>0.97361770144725102</v>
      </c>
      <c r="DX53" s="5">
        <f t="shared" si="118"/>
        <v>1.8835251556956063</v>
      </c>
      <c r="DY53" s="173">
        <f t="shared" si="119"/>
        <v>0.34076619550653786</v>
      </c>
      <c r="EA53" s="5">
        <f t="shared" si="72"/>
        <v>0.16494229295106366</v>
      </c>
      <c r="EB53" s="5">
        <f t="shared" si="73"/>
        <v>1.9472354028945018</v>
      </c>
      <c r="EC53" s="5">
        <f t="shared" si="74"/>
        <v>11.80382612772568</v>
      </c>
      <c r="ED53" s="5"/>
      <c r="EE53" s="173">
        <f t="shared" si="120"/>
        <v>8.2034416877328979</v>
      </c>
      <c r="EF53" s="173">
        <f t="shared" si="75"/>
        <v>0.53880795341619581</v>
      </c>
      <c r="EG53" s="173">
        <f t="shared" si="76"/>
        <v>0.42600517669358329</v>
      </c>
      <c r="EH53" s="173"/>
      <c r="EI53" s="528">
        <f t="shared" si="77"/>
        <v>2.6918582209613588</v>
      </c>
      <c r="EJ53" s="528">
        <f t="shared" si="78"/>
        <v>4.9280116342050171</v>
      </c>
      <c r="EK53" s="528">
        <f t="shared" si="79"/>
        <v>6.9999999999999993E-2</v>
      </c>
      <c r="EL53" s="528">
        <f t="shared" si="80"/>
        <v>3.0972985749999998E-2</v>
      </c>
      <c r="EM53">
        <f t="shared" si="81"/>
        <v>5.6249999999999998E-3</v>
      </c>
      <c r="EN53" s="460">
        <f t="shared" si="121"/>
        <v>75.625</v>
      </c>
      <c r="EO53">
        <f t="shared" si="82"/>
        <v>23.454300180841667</v>
      </c>
      <c r="EP53" s="460">
        <f t="shared" si="122"/>
        <v>23454.300180841667</v>
      </c>
      <c r="EQ53" s="173">
        <f t="shared" si="83"/>
        <v>0.24998399999999996</v>
      </c>
      <c r="ER53" s="173">
        <f t="shared" si="170"/>
        <v>0.20831999999999998</v>
      </c>
      <c r="ES53" s="528"/>
      <c r="EU53" s="460">
        <f t="shared" si="123"/>
        <v>458.30399999999992</v>
      </c>
      <c r="EV53" s="528">
        <f t="shared" si="85"/>
        <v>2.018893665721019</v>
      </c>
      <c r="EW53" s="528">
        <f t="shared" si="124"/>
        <v>8.7094203199364825E-3</v>
      </c>
      <c r="EX53" s="528">
        <f t="shared" si="86"/>
        <v>9.0740205284865554E-4</v>
      </c>
      <c r="EY53" s="528">
        <f t="shared" si="87"/>
        <v>334.93558400004895</v>
      </c>
      <c r="EZ53" s="528">
        <f t="shared" si="88"/>
        <v>402.82107982536763</v>
      </c>
      <c r="FA53" s="625">
        <f t="shared" si="89"/>
        <v>5.1839999999999993</v>
      </c>
      <c r="FB53" s="460">
        <f t="shared" si="125"/>
        <v>408005.07982536766</v>
      </c>
      <c r="FC53" s="173">
        <f t="shared" si="126"/>
        <v>431.9176840062093</v>
      </c>
      <c r="FD53" s="5">
        <f t="shared" si="127"/>
        <v>51.839999999999996</v>
      </c>
      <c r="FE53" s="173">
        <f t="shared" si="128"/>
        <v>0.10716108852409381</v>
      </c>
      <c r="FF53" s="5">
        <f t="shared" si="129"/>
        <v>10.716108852409381</v>
      </c>
      <c r="FG53">
        <f t="shared" si="130"/>
        <v>48</v>
      </c>
      <c r="FI53" s="562">
        <f t="shared" si="90"/>
        <v>-50</v>
      </c>
      <c r="FJ53">
        <f t="shared" si="91"/>
        <v>-50</v>
      </c>
      <c r="FL53">
        <f t="shared" si="92"/>
        <v>0.4862930581618683</v>
      </c>
    </row>
    <row r="54" spans="5:168">
      <c r="E54" s="170">
        <v>49</v>
      </c>
      <c r="F54" s="217">
        <f t="shared" si="174"/>
        <v>0.29399999999999998</v>
      </c>
      <c r="G54" s="217">
        <f t="shared" si="171"/>
        <v>0.245</v>
      </c>
      <c r="H54" s="217">
        <f t="shared" si="135"/>
        <v>49.98</v>
      </c>
      <c r="I54" s="217">
        <f t="shared" si="175"/>
        <v>2.94</v>
      </c>
      <c r="J54" s="541">
        <f t="shared" si="136"/>
        <v>11.453565367878904</v>
      </c>
      <c r="K54" s="443">
        <f t="shared" si="137"/>
        <v>8.5417331841715978</v>
      </c>
      <c r="L54" s="172">
        <f t="shared" si="138"/>
        <v>19.9952985520505</v>
      </c>
      <c r="M54" s="443"/>
      <c r="N54" s="217">
        <f t="shared" si="139"/>
        <v>0.42718707909943415</v>
      </c>
      <c r="O54" s="172">
        <f t="shared" si="172"/>
        <v>154.03306905784558</v>
      </c>
      <c r="P54" s="172">
        <f t="shared" si="140"/>
        <v>9.0607687681085629</v>
      </c>
      <c r="Q54" s="217">
        <f t="shared" si="6"/>
        <v>0.90607687681085636</v>
      </c>
      <c r="R54" s="217">
        <f t="shared" si="141"/>
        <v>12.836089088153798</v>
      </c>
      <c r="S54" s="443">
        <f t="shared" si="142"/>
        <v>170</v>
      </c>
      <c r="T54" s="217">
        <f t="shared" si="143"/>
        <v>21.631718567840132</v>
      </c>
      <c r="U54" s="217">
        <f t="shared" si="10"/>
        <v>0.94432248269632613</v>
      </c>
      <c r="V54" s="217">
        <f t="shared" si="11"/>
        <v>1.2662370798425988</v>
      </c>
      <c r="W54" s="197">
        <f t="shared" si="12"/>
        <v>350</v>
      </c>
      <c r="X54" s="443">
        <f t="shared" si="95"/>
        <v>350</v>
      </c>
      <c r="Z54" s="217">
        <f t="shared" si="13"/>
        <v>27.958943627306425</v>
      </c>
      <c r="AA54" s="173">
        <f t="shared" si="14"/>
        <v>1.6366083454301881</v>
      </c>
      <c r="AB54" s="173">
        <f t="shared" si="144"/>
        <v>0.37813770943844183</v>
      </c>
      <c r="AC54" s="173"/>
      <c r="AD54" s="173">
        <f t="shared" si="16"/>
        <v>0.78048172694277618</v>
      </c>
      <c r="AE54" s="545">
        <f t="shared" si="145"/>
        <v>1196.5460826344847</v>
      </c>
      <c r="AF54" s="528">
        <f t="shared" si="146"/>
        <v>8.5997523616842944E-2</v>
      </c>
      <c r="AH54" s="173">
        <f t="shared" si="147"/>
        <v>24.592681838303037</v>
      </c>
      <c r="AI54" s="173">
        <f t="shared" si="148"/>
        <v>24.592681838303037</v>
      </c>
      <c r="AJ54" s="173">
        <f t="shared" si="149"/>
        <v>9.5402581518294074</v>
      </c>
      <c r="AL54" s="545">
        <f t="shared" si="150"/>
        <v>294</v>
      </c>
      <c r="AM54" s="460">
        <f t="shared" si="151"/>
        <v>350</v>
      </c>
      <c r="AO54">
        <f t="shared" si="96"/>
        <v>294</v>
      </c>
      <c r="AP54" s="460">
        <f t="shared" si="24"/>
        <v>350</v>
      </c>
      <c r="AQ54" s="460"/>
      <c r="AR54" s="5">
        <f t="shared" si="97"/>
        <v>2.8571428571428572</v>
      </c>
      <c r="AS54" s="5">
        <f t="shared" si="25"/>
        <v>1.0735819392654926</v>
      </c>
      <c r="AT54" s="5">
        <f t="shared" si="98"/>
        <v>1.7835609178773646</v>
      </c>
      <c r="AU54" s="173">
        <f t="shared" si="99"/>
        <v>0.37575367874292243</v>
      </c>
      <c r="AW54" s="5">
        <f t="shared" si="152"/>
        <v>0.1856665236141499</v>
      </c>
      <c r="AX54" s="5">
        <f t="shared" si="153"/>
        <v>2.1918964593337145</v>
      </c>
      <c r="AY54" s="5">
        <f t="shared" si="28"/>
        <v>12.452698779788816</v>
      </c>
      <c r="AZ54" s="5"/>
      <c r="BA54" s="173">
        <f t="shared" si="100"/>
        <v>8.7035591360415978</v>
      </c>
      <c r="BB54" s="173">
        <f t="shared" si="154"/>
        <v>0.52974843251890547</v>
      </c>
      <c r="BC54" s="173">
        <f t="shared" si="155"/>
        <v>0.41884232251494746</v>
      </c>
      <c r="BD54" s="173"/>
      <c r="BE54" s="528">
        <f t="shared" si="31"/>
        <v>3.0300776653829269</v>
      </c>
      <c r="BF54" s="528">
        <f t="shared" si="156"/>
        <v>3.8724368724756175</v>
      </c>
      <c r="BG54" s="528">
        <f t="shared" si="157"/>
        <v>0.16034991515030467</v>
      </c>
      <c r="BH54" s="528">
        <f t="shared" si="34"/>
        <v>2.7986837492994295E-2</v>
      </c>
      <c r="BI54">
        <f t="shared" si="35"/>
        <v>5.1541044155455065E-3</v>
      </c>
      <c r="BJ54" s="460">
        <f t="shared" si="101"/>
        <v>165.50401956585017</v>
      </c>
      <c r="BK54">
        <f t="shared" si="158"/>
        <v>27.668359983909205</v>
      </c>
      <c r="BL54" s="460">
        <f t="shared" si="102"/>
        <v>27668.359983909206</v>
      </c>
      <c r="BM54" s="173">
        <f t="shared" si="159"/>
        <v>0.25519199999999997</v>
      </c>
      <c r="BN54" s="173">
        <f t="shared" si="160"/>
        <v>0.21265999999999999</v>
      </c>
      <c r="BO54" s="528"/>
      <c r="BQ54" s="460">
        <f t="shared" si="103"/>
        <v>467.85199999999992</v>
      </c>
      <c r="BR54" s="528">
        <f t="shared" si="39"/>
        <v>2.2725582490371949</v>
      </c>
      <c r="BS54" s="528">
        <f t="shared" si="104"/>
        <v>8.4190020526871204E-3</v>
      </c>
      <c r="BT54" s="528">
        <f t="shared" si="161"/>
        <v>8.7714445564857633E-4</v>
      </c>
      <c r="BU54" s="528">
        <f t="shared" si="41"/>
        <v>343.6804618689726</v>
      </c>
      <c r="BV54" s="528">
        <f t="shared" si="162"/>
        <v>423.89046742541098</v>
      </c>
      <c r="BW54" s="625">
        <f t="shared" si="163"/>
        <v>5.2920000000000007</v>
      </c>
      <c r="BX54" s="460">
        <f t="shared" si="105"/>
        <v>429182.46742541093</v>
      </c>
      <c r="BY54" s="173">
        <f t="shared" si="106"/>
        <v>457.31867940932017</v>
      </c>
      <c r="BZ54" s="5">
        <f t="shared" si="107"/>
        <v>52.919999999999995</v>
      </c>
      <c r="CA54" s="173">
        <f t="shared" si="108"/>
        <v>0.10371616683639712</v>
      </c>
      <c r="CB54" s="5">
        <f t="shared" si="109"/>
        <v>10.371616683639711</v>
      </c>
      <c r="CC54">
        <f t="shared" si="173"/>
        <v>49</v>
      </c>
      <c r="CE54" s="562">
        <f t="shared" si="164"/>
        <v>-50</v>
      </c>
      <c r="CF54">
        <f t="shared" si="165"/>
        <v>-50</v>
      </c>
      <c r="CG54" s="173">
        <f t="shared" si="166"/>
        <v>0.49133249906090176</v>
      </c>
      <c r="CH54" s="173">
        <f t="shared" si="167"/>
        <v>0.12226872947994026</v>
      </c>
      <c r="CI54" s="170">
        <v>49</v>
      </c>
      <c r="CJ54" s="217">
        <f t="shared" si="133"/>
        <v>0.29399999999999998</v>
      </c>
      <c r="CK54" s="217">
        <f t="shared" si="111"/>
        <v>0.245</v>
      </c>
      <c r="CL54" s="217">
        <f t="shared" si="48"/>
        <v>49.98</v>
      </c>
      <c r="CM54" s="217">
        <f t="shared" si="134"/>
        <v>2.94</v>
      </c>
      <c r="CN54" s="541">
        <f t="shared" si="112"/>
        <v>12.5</v>
      </c>
      <c r="CO54" s="443">
        <f t="shared" si="168"/>
        <v>8.5350000000000001</v>
      </c>
      <c r="CP54" s="443">
        <f t="shared" si="169"/>
        <v>21.035</v>
      </c>
      <c r="CQ54" s="443"/>
      <c r="CR54" s="217">
        <f t="shared" si="113"/>
        <v>0.40546967895362668</v>
      </c>
      <c r="CS54" s="172">
        <f t="shared" si="114"/>
        <v>159.55982736601052</v>
      </c>
      <c r="CT54" s="172">
        <f t="shared" si="51"/>
        <v>9.3858721980006177</v>
      </c>
      <c r="CU54" s="217">
        <f t="shared" si="52"/>
        <v>0.93858721980006188</v>
      </c>
      <c r="CV54" s="217">
        <f t="shared" si="53"/>
        <v>13.296652280500878</v>
      </c>
      <c r="CW54" s="443">
        <f t="shared" si="54"/>
        <v>170</v>
      </c>
      <c r="CX54" s="217">
        <f t="shared" si="55"/>
        <v>20.882449266862164</v>
      </c>
      <c r="CY54" s="217">
        <f t="shared" si="56"/>
        <v>0.83529797067448652</v>
      </c>
      <c r="CZ54" s="217">
        <f t="shared" si="57"/>
        <v>1.2233420777306481</v>
      </c>
      <c r="DA54" s="197">
        <f t="shared" si="58"/>
        <v>350</v>
      </c>
      <c r="DB54" s="443">
        <f t="shared" si="115"/>
        <v>350</v>
      </c>
      <c r="DD54" s="217">
        <f t="shared" si="59"/>
        <v>28.98230839756868</v>
      </c>
      <c r="DE54" s="173">
        <f t="shared" si="60"/>
        <v>1.6978505212401103</v>
      </c>
      <c r="DF54" s="173">
        <f t="shared" si="61"/>
        <v>0.40664636548103333</v>
      </c>
      <c r="DG54" s="173"/>
      <c r="DH54" s="173">
        <f t="shared" si="62"/>
        <v>0.78109744190587771</v>
      </c>
      <c r="DI54" s="545">
        <f t="shared" si="63"/>
        <v>1195.6028823529412</v>
      </c>
      <c r="DJ54" s="528">
        <f t="shared" si="64"/>
        <v>8.6065366284073561E-2</v>
      </c>
      <c r="DL54" s="173">
        <f t="shared" si="65"/>
        <v>24.592681838303037</v>
      </c>
      <c r="DM54" s="173">
        <f t="shared" si="66"/>
        <v>24.592681838303037</v>
      </c>
      <c r="DN54" s="173">
        <f t="shared" si="67"/>
        <v>9.5402581518294074</v>
      </c>
      <c r="DP54" s="545">
        <f t="shared" si="68"/>
        <v>294</v>
      </c>
      <c r="DQ54" s="460">
        <f t="shared" si="69"/>
        <v>350</v>
      </c>
      <c r="DS54">
        <f t="shared" si="116"/>
        <v>294</v>
      </c>
      <c r="DT54" s="460">
        <f t="shared" si="70"/>
        <v>350</v>
      </c>
      <c r="DU54" s="460"/>
      <c r="DV54" s="5">
        <f t="shared" si="117"/>
        <v>2.8571428571428572</v>
      </c>
      <c r="DW54" s="5">
        <f t="shared" si="71"/>
        <v>0.9837072735321214</v>
      </c>
      <c r="DX54" s="5">
        <f t="shared" si="118"/>
        <v>1.8734355836107359</v>
      </c>
      <c r="DY54" s="173">
        <f t="shared" si="119"/>
        <v>0.34429754573624249</v>
      </c>
      <c r="EA54" s="5">
        <f t="shared" si="72"/>
        <v>0.17012349318731981</v>
      </c>
      <c r="EB54" s="5">
        <f t="shared" si="73"/>
        <v>2.0084023501280814</v>
      </c>
      <c r="EC54" s="5">
        <f t="shared" si="74"/>
        <v>11.985191740014667</v>
      </c>
      <c r="ED54" s="5"/>
      <c r="EE54" s="173">
        <f t="shared" si="120"/>
        <v>8.3312895292641524</v>
      </c>
      <c r="EF54" s="173">
        <f t="shared" si="75"/>
        <v>0.54293156208281423</v>
      </c>
      <c r="EG54" s="173">
        <f t="shared" si="76"/>
        <v>0.42926548238784806</v>
      </c>
      <c r="EH54" s="173"/>
      <c r="EI54" s="528">
        <f t="shared" si="77"/>
        <v>2.7764154088170603</v>
      </c>
      <c r="EJ54" s="528">
        <f t="shared" si="78"/>
        <v>4.9790804762612799</v>
      </c>
      <c r="EK54" s="528">
        <f t="shared" si="79"/>
        <v>6.9999999999999993E-2</v>
      </c>
      <c r="EL54" s="528">
        <f t="shared" si="80"/>
        <v>3.0972985749999998E-2</v>
      </c>
      <c r="EM54">
        <f t="shared" si="81"/>
        <v>5.6249999999999998E-3</v>
      </c>
      <c r="EN54" s="460">
        <f t="shared" si="121"/>
        <v>75.625</v>
      </c>
      <c r="EO54">
        <f t="shared" si="82"/>
        <v>25.304514672142695</v>
      </c>
      <c r="EP54" s="460">
        <f t="shared" si="122"/>
        <v>25304.514672142694</v>
      </c>
      <c r="EQ54" s="173">
        <f t="shared" si="83"/>
        <v>0.25519199999999997</v>
      </c>
      <c r="ER54" s="173">
        <f t="shared" si="170"/>
        <v>0.21265999999999999</v>
      </c>
      <c r="ES54" s="528"/>
      <c r="EU54" s="460">
        <f t="shared" si="123"/>
        <v>467.85199999999992</v>
      </c>
      <c r="EV54" s="528">
        <f t="shared" si="85"/>
        <v>2.0823115566127952</v>
      </c>
      <c r="EW54" s="528">
        <f t="shared" si="124"/>
        <v>8.8432404331705433E-3</v>
      </c>
      <c r="EX54" s="528">
        <f t="shared" si="86"/>
        <v>9.2134427184835941E-4</v>
      </c>
      <c r="EY54" s="528">
        <f t="shared" si="87"/>
        <v>343.6804618689726</v>
      </c>
      <c r="EZ54" s="528">
        <f t="shared" si="88"/>
        <v>415.87861444065504</v>
      </c>
      <c r="FA54" s="625">
        <f t="shared" si="89"/>
        <v>5.2920000000000007</v>
      </c>
      <c r="FB54" s="460">
        <f t="shared" si="125"/>
        <v>421170.61444065499</v>
      </c>
      <c r="FC54" s="173">
        <f t="shared" si="126"/>
        <v>446.94298111279772</v>
      </c>
      <c r="FD54" s="5">
        <f t="shared" si="127"/>
        <v>52.919999999999995</v>
      </c>
      <c r="FE54" s="173">
        <f t="shared" si="128"/>
        <v>0.10586901210845659</v>
      </c>
      <c r="FF54" s="5">
        <f t="shared" si="129"/>
        <v>10.586901210845658</v>
      </c>
      <c r="FG54">
        <f t="shared" si="130"/>
        <v>49</v>
      </c>
      <c r="FI54" s="562">
        <f t="shared" si="90"/>
        <v>-50</v>
      </c>
      <c r="FJ54">
        <f t="shared" si="91"/>
        <v>-50</v>
      </c>
      <c r="FL54">
        <f t="shared" si="92"/>
        <v>0.49133249906090176</v>
      </c>
    </row>
    <row r="55" spans="5:168">
      <c r="E55" s="170">
        <v>50</v>
      </c>
      <c r="F55" s="217">
        <f t="shared" si="174"/>
        <v>0.3</v>
      </c>
      <c r="G55" s="217">
        <f t="shared" si="171"/>
        <v>0.25</v>
      </c>
      <c r="H55" s="217">
        <f t="shared" si="135"/>
        <v>51</v>
      </c>
      <c r="I55" s="217">
        <f t="shared" si="175"/>
        <v>3</v>
      </c>
      <c r="J55" s="541">
        <f t="shared" si="136"/>
        <v>11.442941393655319</v>
      </c>
      <c r="K55" s="443">
        <f t="shared" si="137"/>
        <v>8.5418015431238778</v>
      </c>
      <c r="L55" s="172">
        <f t="shared" si="138"/>
        <v>19.984742936779199</v>
      </c>
      <c r="M55" s="443"/>
      <c r="N55" s="217">
        <f t="shared" si="139"/>
        <v>0.42741613290425945</v>
      </c>
      <c r="O55" s="172">
        <f t="shared" si="172"/>
        <v>153.97270724434441</v>
      </c>
      <c r="P55" s="172">
        <f t="shared" si="140"/>
        <v>9.0572180731967293</v>
      </c>
      <c r="Q55" s="217">
        <f t="shared" si="6"/>
        <v>0.905721807319673</v>
      </c>
      <c r="R55" s="217">
        <f t="shared" si="141"/>
        <v>12.8310589370287</v>
      </c>
      <c r="S55" s="443">
        <f t="shared" si="142"/>
        <v>170</v>
      </c>
      <c r="T55" s="217">
        <f t="shared" si="143"/>
        <v>22.081835546376588</v>
      </c>
      <c r="U55" s="217">
        <f t="shared" si="10"/>
        <v>0.96486710832147293</v>
      </c>
      <c r="V55" s="217">
        <f t="shared" si="11"/>
        <v>1.2925748412026965</v>
      </c>
      <c r="W55" s="197">
        <f t="shared" si="12"/>
        <v>350</v>
      </c>
      <c r="X55" s="443">
        <f t="shared" si="95"/>
        <v>350</v>
      </c>
      <c r="Z55" s="217">
        <f t="shared" si="13"/>
        <v>27.947987197292772</v>
      </c>
      <c r="AA55" s="173">
        <f t="shared" si="14"/>
        <v>1.6359539059878305</v>
      </c>
      <c r="AB55" s="173">
        <f t="shared" si="144"/>
        <v>0.37783837774785906</v>
      </c>
      <c r="AC55" s="173"/>
      <c r="AD55" s="173">
        <f t="shared" si="16"/>
        <v>0.78047548084669693</v>
      </c>
      <c r="AE55" s="545">
        <f t="shared" si="145"/>
        <v>1220.9751617524132</v>
      </c>
      <c r="AF55" s="528">
        <f t="shared" si="146"/>
        <v>8.5996835389589757E-2</v>
      </c>
      <c r="AH55" s="173">
        <f t="shared" si="147"/>
        <v>24.842360136324753</v>
      </c>
      <c r="AI55" s="173">
        <f t="shared" si="148"/>
        <v>24.842360136324753</v>
      </c>
      <c r="AJ55" s="173">
        <f t="shared" si="149"/>
        <v>9.7252050392529021</v>
      </c>
      <c r="AL55" s="545">
        <f t="shared" si="150"/>
        <v>300</v>
      </c>
      <c r="AM55" s="460">
        <f t="shared" si="151"/>
        <v>350</v>
      </c>
      <c r="AO55">
        <f t="shared" si="96"/>
        <v>300</v>
      </c>
      <c r="AP55" s="460">
        <f t="shared" si="24"/>
        <v>350</v>
      </c>
      <c r="AQ55" s="460"/>
      <c r="AR55" s="5">
        <f t="shared" si="97"/>
        <v>2.8571428571428572</v>
      </c>
      <c r="AS55" s="5">
        <f t="shared" si="25"/>
        <v>1.0854883933120074</v>
      </c>
      <c r="AT55" s="5">
        <f t="shared" si="98"/>
        <v>1.7716544638308498</v>
      </c>
      <c r="AU55" s="173">
        <f t="shared" si="99"/>
        <v>0.3799209376592026</v>
      </c>
      <c r="AW55" s="5">
        <f t="shared" si="152"/>
        <v>0.19155677529035425</v>
      </c>
      <c r="AX55" s="5">
        <f t="shared" si="153"/>
        <v>2.2614341527333486</v>
      </c>
      <c r="AY55" s="5">
        <f t="shared" si="28"/>
        <v>12.633727577138018</v>
      </c>
      <c r="AZ55" s="5"/>
      <c r="BA55" s="173">
        <f t="shared" si="100"/>
        <v>8.8405409516875473</v>
      </c>
      <c r="BB55" s="173">
        <f t="shared" si="154"/>
        <v>0.53333757292435546</v>
      </c>
      <c r="BC55" s="173">
        <f t="shared" si="155"/>
        <v>0.42168005418336019</v>
      </c>
      <c r="BD55" s="173"/>
      <c r="BE55" s="528">
        <f t="shared" si="31"/>
        <v>3.1262065727385822</v>
      </c>
      <c r="BF55" s="528">
        <f t="shared" si="156"/>
        <v>3.9096869274803128</v>
      </c>
      <c r="BG55" s="528">
        <f t="shared" si="157"/>
        <v>0.16020117951117449</v>
      </c>
      <c r="BH55" s="528">
        <f t="shared" si="34"/>
        <v>2.7957296517440222E-2</v>
      </c>
      <c r="BI55">
        <f t="shared" si="35"/>
        <v>5.1493236271448932E-3</v>
      </c>
      <c r="BJ55" s="460">
        <f t="shared" si="101"/>
        <v>165.3505031383194</v>
      </c>
      <c r="BK55">
        <f t="shared" si="158"/>
        <v>30.744623268769015</v>
      </c>
      <c r="BL55" s="460">
        <f t="shared" si="102"/>
        <v>30744.623268769014</v>
      </c>
      <c r="BM55" s="173">
        <f t="shared" si="159"/>
        <v>0.26039999999999996</v>
      </c>
      <c r="BN55" s="173">
        <f t="shared" si="160"/>
        <v>0.217</v>
      </c>
      <c r="BO55" s="528"/>
      <c r="BQ55" s="460">
        <f t="shared" si="103"/>
        <v>477.39999999999992</v>
      </c>
      <c r="BR55" s="528">
        <f t="shared" si="39"/>
        <v>2.3446549295539367</v>
      </c>
      <c r="BS55" s="528">
        <f t="shared" si="104"/>
        <v>8.5334690007852661E-3</v>
      </c>
      <c r="BT55" s="528">
        <f t="shared" si="161"/>
        <v>8.8907034048040792E-4</v>
      </c>
      <c r="BU55" s="528">
        <f t="shared" si="41"/>
        <v>352.47007319792641</v>
      </c>
      <c r="BV55" s="528">
        <f t="shared" si="162"/>
        <v>437.84723391321057</v>
      </c>
      <c r="BW55" s="625">
        <f t="shared" si="163"/>
        <v>5.4000000000000012</v>
      </c>
      <c r="BX55" s="460">
        <f t="shared" si="105"/>
        <v>443247.23391321057</v>
      </c>
      <c r="BY55" s="173">
        <f t="shared" si="106"/>
        <v>474.46925718197957</v>
      </c>
      <c r="BZ55" s="5">
        <f t="shared" si="107"/>
        <v>54</v>
      </c>
      <c r="CA55" s="173">
        <f t="shared" si="108"/>
        <v>0.10218191364233885</v>
      </c>
      <c r="CB55" s="5">
        <f t="shared" si="109"/>
        <v>10.218191364233885</v>
      </c>
      <c r="CC55">
        <f t="shared" si="173"/>
        <v>50</v>
      </c>
      <c r="CE55" s="562">
        <f t="shared" si="164"/>
        <v>-50</v>
      </c>
      <c r="CF55">
        <f t="shared" si="165"/>
        <v>-50</v>
      </c>
      <c r="CG55" s="173">
        <f t="shared" si="166"/>
        <v>0.49632077414756659</v>
      </c>
      <c r="CH55" s="173">
        <f t="shared" si="167"/>
        <v>0.12351006820332755</v>
      </c>
      <c r="CI55" s="170">
        <v>50</v>
      </c>
      <c r="CJ55" s="217">
        <f t="shared" si="133"/>
        <v>0.3</v>
      </c>
      <c r="CK55" s="217">
        <f t="shared" si="111"/>
        <v>0.25</v>
      </c>
      <c r="CL55" s="217">
        <f t="shared" si="48"/>
        <v>51</v>
      </c>
      <c r="CM55" s="217">
        <f t="shared" si="134"/>
        <v>3</v>
      </c>
      <c r="CN55" s="541">
        <f t="shared" si="112"/>
        <v>12.5</v>
      </c>
      <c r="CO55" s="443">
        <f t="shared" si="168"/>
        <v>8.5350000000000001</v>
      </c>
      <c r="CP55" s="443">
        <f t="shared" si="169"/>
        <v>21.035</v>
      </c>
      <c r="CQ55" s="443"/>
      <c r="CR55" s="217">
        <f t="shared" si="113"/>
        <v>0.40546967895362668</v>
      </c>
      <c r="CS55" s="172">
        <f t="shared" si="114"/>
        <v>159.55982736601052</v>
      </c>
      <c r="CT55" s="172">
        <f t="shared" si="51"/>
        <v>9.3858721980006177</v>
      </c>
      <c r="CU55" s="217">
        <f t="shared" si="52"/>
        <v>0.93858721980006188</v>
      </c>
      <c r="CV55" s="217">
        <f t="shared" si="53"/>
        <v>13.296652280500878</v>
      </c>
      <c r="CW55" s="443">
        <f t="shared" si="54"/>
        <v>170</v>
      </c>
      <c r="CX55" s="217">
        <f t="shared" si="55"/>
        <v>21.308621700879762</v>
      </c>
      <c r="CY55" s="217">
        <f t="shared" si="56"/>
        <v>0.85234486803519049</v>
      </c>
      <c r="CZ55" s="217">
        <f t="shared" si="57"/>
        <v>1.2483082425822942</v>
      </c>
      <c r="DA55" s="197">
        <f t="shared" si="58"/>
        <v>350</v>
      </c>
      <c r="DB55" s="443">
        <f t="shared" si="115"/>
        <v>350</v>
      </c>
      <c r="DD55" s="217">
        <f t="shared" si="59"/>
        <v>28.98230839756868</v>
      </c>
      <c r="DE55" s="173">
        <f t="shared" si="60"/>
        <v>1.6978505212401103</v>
      </c>
      <c r="DF55" s="173">
        <f t="shared" si="61"/>
        <v>0.40664636548103333</v>
      </c>
      <c r="DG55" s="173"/>
      <c r="DH55" s="173">
        <f t="shared" si="62"/>
        <v>0.78109744190587771</v>
      </c>
      <c r="DI55" s="545">
        <f t="shared" si="63"/>
        <v>1220.0029411764706</v>
      </c>
      <c r="DJ55" s="528">
        <f t="shared" si="64"/>
        <v>8.6065366284073561E-2</v>
      </c>
      <c r="DL55" s="173">
        <f t="shared" si="65"/>
        <v>24.842360136324753</v>
      </c>
      <c r="DM55" s="173">
        <f t="shared" si="66"/>
        <v>24.842360136324753</v>
      </c>
      <c r="DN55" s="173">
        <f t="shared" si="67"/>
        <v>9.7252050392529021</v>
      </c>
      <c r="DP55" s="545">
        <f t="shared" si="68"/>
        <v>300</v>
      </c>
      <c r="DQ55" s="460">
        <f t="shared" si="69"/>
        <v>350</v>
      </c>
      <c r="DS55">
        <f t="shared" si="116"/>
        <v>300</v>
      </c>
      <c r="DT55" s="460">
        <f t="shared" si="70"/>
        <v>350</v>
      </c>
      <c r="DU55" s="460"/>
      <c r="DV55" s="5">
        <f t="shared" si="117"/>
        <v>2.8571428571428572</v>
      </c>
      <c r="DW55" s="5">
        <f t="shared" si="71"/>
        <v>0.99369440545299004</v>
      </c>
      <c r="DX55" s="5">
        <f t="shared" si="118"/>
        <v>1.8634484516898673</v>
      </c>
      <c r="DY55" s="173">
        <f t="shared" si="119"/>
        <v>0.34779304190854649</v>
      </c>
      <c r="EA55" s="5">
        <f t="shared" si="72"/>
        <v>0.17535783625640999</v>
      </c>
      <c r="EB55" s="5">
        <f t="shared" si="73"/>
        <v>2.0701966780270626</v>
      </c>
      <c r="EC55" s="5">
        <f t="shared" si="74"/>
        <v>12.164591492631454</v>
      </c>
      <c r="ED55" s="5"/>
      <c r="EE55" s="173">
        <f t="shared" si="120"/>
        <v>8.4584866963668688</v>
      </c>
      <c r="EF55" s="173">
        <f t="shared" si="75"/>
        <v>0.54697989123020474</v>
      </c>
      <c r="EG55" s="173">
        <f t="shared" si="76"/>
        <v>0.43246626879571998</v>
      </c>
      <c r="EH55" s="173"/>
      <c r="EI55" s="528">
        <f t="shared" si="77"/>
        <v>2.8618398877046123</v>
      </c>
      <c r="EJ55" s="528">
        <f t="shared" si="78"/>
        <v>5.029630812625566</v>
      </c>
      <c r="EK55" s="528">
        <f t="shared" si="79"/>
        <v>6.9999999999999993E-2</v>
      </c>
      <c r="EL55" s="528">
        <f t="shared" si="80"/>
        <v>3.0972985749999998E-2</v>
      </c>
      <c r="EM55">
        <f t="shared" si="81"/>
        <v>5.6249999999999998E-3</v>
      </c>
      <c r="EN55" s="460">
        <f t="shared" si="121"/>
        <v>75.625</v>
      </c>
      <c r="EO55">
        <f t="shared" si="82"/>
        <v>27.406343112576089</v>
      </c>
      <c r="EP55" s="460">
        <f t="shared" si="122"/>
        <v>27406.343112576087</v>
      </c>
      <c r="EQ55" s="173">
        <f t="shared" si="83"/>
        <v>0.26039999999999996</v>
      </c>
      <c r="ER55" s="173">
        <f t="shared" si="170"/>
        <v>0.217</v>
      </c>
      <c r="ES55" s="528"/>
      <c r="EU55" s="460">
        <f t="shared" si="123"/>
        <v>477.39999999999992</v>
      </c>
      <c r="EV55" s="528">
        <f t="shared" si="85"/>
        <v>2.1463799157784589</v>
      </c>
      <c r="EW55" s="528">
        <f t="shared" si="124"/>
        <v>8.9756100423061969E-3</v>
      </c>
      <c r="EX55" s="528">
        <f t="shared" si="86"/>
        <v>9.351353682304596E-4</v>
      </c>
      <c r="EY55" s="528">
        <f t="shared" si="87"/>
        <v>352.47007319792641</v>
      </c>
      <c r="EZ55" s="528">
        <f t="shared" si="88"/>
        <v>429.1785736443365</v>
      </c>
      <c r="FA55" s="625">
        <f t="shared" si="89"/>
        <v>5.4000000000000012</v>
      </c>
      <c r="FB55" s="460">
        <f t="shared" si="125"/>
        <v>434578.57364433649</v>
      </c>
      <c r="FC55" s="173">
        <f t="shared" si="126"/>
        <v>462.46231675691257</v>
      </c>
      <c r="FD55" s="5">
        <f t="shared" si="127"/>
        <v>54</v>
      </c>
      <c r="FE55" s="173">
        <f t="shared" si="128"/>
        <v>0.10455748318500577</v>
      </c>
      <c r="FF55" s="5">
        <f t="shared" si="129"/>
        <v>10.455748318500577</v>
      </c>
      <c r="FG55">
        <f t="shared" si="130"/>
        <v>50</v>
      </c>
      <c r="FI55" s="562">
        <f t="shared" si="90"/>
        <v>-50</v>
      </c>
      <c r="FJ55">
        <f t="shared" si="91"/>
        <v>-50</v>
      </c>
      <c r="FL55">
        <f t="shared" si="92"/>
        <v>0.49632077414756665</v>
      </c>
    </row>
    <row r="56" spans="5:168">
      <c r="E56" s="170">
        <v>51</v>
      </c>
      <c r="F56" s="217">
        <f t="shared" si="174"/>
        <v>0.30599999999999999</v>
      </c>
      <c r="G56" s="217">
        <f t="shared" si="171"/>
        <v>0.255</v>
      </c>
      <c r="H56" s="217">
        <f t="shared" si="135"/>
        <v>52.019999999999996</v>
      </c>
      <c r="I56" s="217">
        <f t="shared" si="175"/>
        <v>3.06</v>
      </c>
      <c r="J56" s="541">
        <f t="shared" si="136"/>
        <v>11.432423138508376</v>
      </c>
      <c r="K56" s="443">
        <f t="shared" si="137"/>
        <v>8.5418692218368086</v>
      </c>
      <c r="L56" s="172">
        <f t="shared" si="138"/>
        <v>19.974292360345185</v>
      </c>
      <c r="M56" s="443"/>
      <c r="N56" s="217">
        <f t="shared" si="139"/>
        <v>0.42764314588660562</v>
      </c>
      <c r="O56" s="172">
        <f t="shared" si="172"/>
        <v>153.91288098702822</v>
      </c>
      <c r="P56" s="172">
        <f t="shared" si="140"/>
        <v>9.0536988815898951</v>
      </c>
      <c r="Q56" s="217">
        <f t="shared" si="6"/>
        <v>0.90536988815898956</v>
      </c>
      <c r="R56" s="217">
        <f t="shared" si="141"/>
        <v>12.826073415585684</v>
      </c>
      <c r="S56" s="443">
        <f t="shared" si="142"/>
        <v>170</v>
      </c>
      <c r="T56" s="217">
        <f t="shared" si="143"/>
        <v>22.53222717786878</v>
      </c>
      <c r="U56" s="217">
        <f t="shared" si="10"/>
        <v>0.98545281717103372</v>
      </c>
      <c r="V56" s="217">
        <f t="shared" si="11"/>
        <v>1.3189283629083437</v>
      </c>
      <c r="W56" s="197">
        <f t="shared" si="12"/>
        <v>350</v>
      </c>
      <c r="X56" s="443">
        <f t="shared" si="95"/>
        <v>350</v>
      </c>
      <c r="Z56" s="217">
        <f t="shared" si="13"/>
        <v>27.937127977477392</v>
      </c>
      <c r="AA56" s="173">
        <f t="shared" si="14"/>
        <v>1.6353052974668409</v>
      </c>
      <c r="AB56" s="173">
        <f t="shared" si="144"/>
        <v>0.37754182443970596</v>
      </c>
      <c r="AC56" s="173"/>
      <c r="AD56" s="173">
        <f t="shared" si="16"/>
        <v>0.78046929700395185</v>
      </c>
      <c r="AE56" s="545">
        <f t="shared" si="145"/>
        <v>1245.4045325438067</v>
      </c>
      <c r="AF56" s="528">
        <f t="shared" si="146"/>
        <v>8.5996154021731719E-2</v>
      </c>
      <c r="AH56" s="173">
        <f t="shared" si="147"/>
        <v>25.089553887738106</v>
      </c>
      <c r="AI56" s="173">
        <f t="shared" si="148"/>
        <v>25.089553887738106</v>
      </c>
      <c r="AJ56" s="173">
        <f t="shared" si="149"/>
        <v>9.9083115217813109</v>
      </c>
      <c r="AL56" s="545">
        <f t="shared" si="150"/>
        <v>306</v>
      </c>
      <c r="AM56" s="460">
        <f t="shared" si="151"/>
        <v>350</v>
      </c>
      <c r="AO56">
        <f t="shared" si="96"/>
        <v>306</v>
      </c>
      <c r="AP56" s="460">
        <f t="shared" si="24"/>
        <v>350</v>
      </c>
      <c r="AQ56" s="460"/>
      <c r="AR56" s="5">
        <f t="shared" si="97"/>
        <v>2.8571428571428572</v>
      </c>
      <c r="AS56" s="5">
        <f t="shared" si="25"/>
        <v>1.0972981660916556</v>
      </c>
      <c r="AT56" s="5">
        <f t="shared" si="98"/>
        <v>1.7598446910512016</v>
      </c>
      <c r="AU56" s="173">
        <f t="shared" si="99"/>
        <v>0.38405435813207944</v>
      </c>
      <c r="AW56" s="5">
        <f t="shared" si="152"/>
        <v>0.19751366989649802</v>
      </c>
      <c r="AX56" s="5">
        <f t="shared" si="153"/>
        <v>2.3317586029447681</v>
      </c>
      <c r="AY56" s="5">
        <f t="shared" si="28"/>
        <v>12.812278862579319</v>
      </c>
      <c r="AZ56" s="5"/>
      <c r="BA56" s="173">
        <f t="shared" si="100"/>
        <v>8.9769469931470116</v>
      </c>
      <c r="BB56" s="173">
        <f t="shared" si="154"/>
        <v>0.53684625257561891</v>
      </c>
      <c r="BC56" s="173">
        <f t="shared" si="155"/>
        <v>0.42445417005399788</v>
      </c>
      <c r="BD56" s="173"/>
      <c r="BE56" s="528">
        <f t="shared" si="31"/>
        <v>3.2234230927108469</v>
      </c>
      <c r="BF56" s="528">
        <f t="shared" si="156"/>
        <v>3.9465254157864891</v>
      </c>
      <c r="BG56" s="528">
        <f t="shared" si="157"/>
        <v>0.16005392393911724</v>
      </c>
      <c r="BH56" s="528">
        <f t="shared" si="34"/>
        <v>2.7928064870758083E-2</v>
      </c>
      <c r="BI56">
        <f t="shared" si="35"/>
        <v>5.1445904123287693E-3</v>
      </c>
      <c r="BJ56" s="460">
        <f t="shared" si="101"/>
        <v>165.19851435144599</v>
      </c>
      <c r="BK56">
        <f t="shared" si="158"/>
        <v>34.462602019292504</v>
      </c>
      <c r="BL56" s="460">
        <f t="shared" si="102"/>
        <v>34462.602019292506</v>
      </c>
      <c r="BM56" s="173">
        <f t="shared" si="159"/>
        <v>0.26560799999999996</v>
      </c>
      <c r="BN56" s="173">
        <f t="shared" si="160"/>
        <v>0.22133999999999998</v>
      </c>
      <c r="BO56" s="528"/>
      <c r="BQ56" s="460">
        <f t="shared" si="103"/>
        <v>486.94799999999992</v>
      </c>
      <c r="BR56" s="528">
        <f t="shared" si="39"/>
        <v>2.4175673195331351</v>
      </c>
      <c r="BS56" s="528">
        <f t="shared" si="104"/>
        <v>8.646116967134557E-3</v>
      </c>
      <c r="BT56" s="528">
        <f t="shared" si="161"/>
        <v>9.0080671238114071E-4</v>
      </c>
      <c r="BU56" s="528">
        <f t="shared" si="41"/>
        <v>361.30374521386602</v>
      </c>
      <c r="BV56" s="528">
        <f t="shared" si="162"/>
        <v>452.09656854040901</v>
      </c>
      <c r="BW56" s="625">
        <f t="shared" si="163"/>
        <v>5.5080000000000009</v>
      </c>
      <c r="BX56" s="460">
        <f t="shared" si="105"/>
        <v>457604.56854040897</v>
      </c>
      <c r="BY56" s="173">
        <f t="shared" si="106"/>
        <v>492.55411855970152</v>
      </c>
      <c r="BZ56" s="5">
        <f t="shared" si="107"/>
        <v>55.08</v>
      </c>
      <c r="CA56" s="173">
        <f t="shared" si="108"/>
        <v>0.10057810157055679</v>
      </c>
      <c r="CB56" s="5">
        <f t="shared" si="109"/>
        <v>10.057810157055679</v>
      </c>
      <c r="CC56">
        <f t="shared" si="173"/>
        <v>51</v>
      </c>
      <c r="CE56" s="562">
        <f t="shared" si="164"/>
        <v>-50</v>
      </c>
      <c r="CF56">
        <f t="shared" si="165"/>
        <v>-50</v>
      </c>
      <c r="CG56" s="173">
        <f t="shared" si="166"/>
        <v>0.50125941095150384</v>
      </c>
      <c r="CH56" s="173">
        <f t="shared" si="167"/>
        <v>0.12473905437569438</v>
      </c>
      <c r="CI56" s="170">
        <v>51</v>
      </c>
      <c r="CJ56" s="217">
        <f t="shared" si="133"/>
        <v>0.30599999999999999</v>
      </c>
      <c r="CK56" s="217">
        <f t="shared" si="111"/>
        <v>0.255</v>
      </c>
      <c r="CL56" s="217">
        <f t="shared" si="48"/>
        <v>52.019999999999996</v>
      </c>
      <c r="CM56" s="217">
        <f t="shared" si="134"/>
        <v>3.06</v>
      </c>
      <c r="CN56" s="541">
        <f t="shared" si="112"/>
        <v>12.5</v>
      </c>
      <c r="CO56" s="443">
        <f t="shared" si="168"/>
        <v>8.5350000000000001</v>
      </c>
      <c r="CP56" s="443">
        <f t="shared" si="169"/>
        <v>21.035</v>
      </c>
      <c r="CQ56" s="443"/>
      <c r="CR56" s="217">
        <f t="shared" si="113"/>
        <v>0.40546967895362668</v>
      </c>
      <c r="CS56" s="172">
        <f t="shared" si="114"/>
        <v>159.55982736601052</v>
      </c>
      <c r="CT56" s="172">
        <f t="shared" si="51"/>
        <v>9.3858721980006177</v>
      </c>
      <c r="CU56" s="217">
        <f t="shared" si="52"/>
        <v>0.93858721980006188</v>
      </c>
      <c r="CV56" s="217">
        <f t="shared" si="53"/>
        <v>13.296652280500878</v>
      </c>
      <c r="CW56" s="443">
        <f t="shared" si="54"/>
        <v>170</v>
      </c>
      <c r="CX56" s="217">
        <f t="shared" si="55"/>
        <v>21.734794134897356</v>
      </c>
      <c r="CY56" s="217">
        <f t="shared" si="56"/>
        <v>0.86939176539589424</v>
      </c>
      <c r="CZ56" s="217">
        <f t="shared" si="57"/>
        <v>1.2732744074339399</v>
      </c>
      <c r="DA56" s="197">
        <f t="shared" si="58"/>
        <v>350</v>
      </c>
      <c r="DB56" s="443">
        <f t="shared" si="115"/>
        <v>350</v>
      </c>
      <c r="DD56" s="217">
        <f t="shared" si="59"/>
        <v>28.98230839756868</v>
      </c>
      <c r="DE56" s="173">
        <f t="shared" si="60"/>
        <v>1.6978505212401103</v>
      </c>
      <c r="DF56" s="173">
        <f t="shared" si="61"/>
        <v>0.40664636548103333</v>
      </c>
      <c r="DG56" s="173"/>
      <c r="DH56" s="173">
        <f t="shared" si="62"/>
        <v>0.78109744190587771</v>
      </c>
      <c r="DI56" s="545">
        <f t="shared" si="63"/>
        <v>1244.4030000000002</v>
      </c>
      <c r="DJ56" s="528">
        <f t="shared" si="64"/>
        <v>8.6065366284073561E-2</v>
      </c>
      <c r="DL56" s="173">
        <f t="shared" si="65"/>
        <v>25.089553887738106</v>
      </c>
      <c r="DM56" s="173">
        <f t="shared" si="66"/>
        <v>25.089553887738106</v>
      </c>
      <c r="DN56" s="173">
        <f t="shared" si="67"/>
        <v>9.9083115217813109</v>
      </c>
      <c r="DP56" s="545">
        <f t="shared" si="68"/>
        <v>306</v>
      </c>
      <c r="DQ56" s="460">
        <f t="shared" si="69"/>
        <v>350</v>
      </c>
      <c r="DS56">
        <f t="shared" si="116"/>
        <v>306</v>
      </c>
      <c r="DT56" s="460">
        <f t="shared" si="70"/>
        <v>350</v>
      </c>
      <c r="DU56" s="460"/>
      <c r="DV56" s="5">
        <f t="shared" si="117"/>
        <v>2.8571428571428572</v>
      </c>
      <c r="DW56" s="5">
        <f t="shared" si="71"/>
        <v>1.0035821555095241</v>
      </c>
      <c r="DX56" s="5">
        <f t="shared" si="118"/>
        <v>1.8535607016333331</v>
      </c>
      <c r="DY56" s="173">
        <f t="shared" si="119"/>
        <v>0.35125375442833345</v>
      </c>
      <c r="EA56" s="5">
        <f t="shared" si="72"/>
        <v>0.18064478799171432</v>
      </c>
      <c r="EB56" s="5">
        <f t="shared" si="73"/>
        <v>2.1326120804577391</v>
      </c>
      <c r="EC56" s="5">
        <f t="shared" si="74"/>
        <v>12.342045145467647</v>
      </c>
      <c r="ED56" s="5"/>
      <c r="EE56" s="173">
        <f t="shared" si="120"/>
        <v>8.5850494174826668</v>
      </c>
      <c r="EF56" s="173">
        <f t="shared" si="75"/>
        <v>0.55095504133351825</v>
      </c>
      <c r="EG56" s="173">
        <f t="shared" si="76"/>
        <v>0.43560919664488917</v>
      </c>
      <c r="EH56" s="173"/>
      <c r="EI56" s="528">
        <f t="shared" si="77"/>
        <v>2.9481229400247795</v>
      </c>
      <c r="EJ56" s="528">
        <f t="shared" si="78"/>
        <v>5.0796781230249959</v>
      </c>
      <c r="EK56" s="528">
        <f t="shared" si="79"/>
        <v>6.9999999999999993E-2</v>
      </c>
      <c r="EL56" s="528">
        <f t="shared" si="80"/>
        <v>3.0972985749999998E-2</v>
      </c>
      <c r="EM56">
        <f t="shared" si="81"/>
        <v>5.6249999999999998E-3</v>
      </c>
      <c r="EN56" s="460">
        <f t="shared" si="121"/>
        <v>75.625</v>
      </c>
      <c r="EO56">
        <f t="shared" si="82"/>
        <v>29.815083021681723</v>
      </c>
      <c r="EP56" s="460">
        <f t="shared" si="122"/>
        <v>29815.083021681723</v>
      </c>
      <c r="EQ56" s="173">
        <f t="shared" si="83"/>
        <v>0.26560799999999996</v>
      </c>
      <c r="ER56" s="173">
        <f t="shared" si="170"/>
        <v>0.22133999999999998</v>
      </c>
      <c r="ES56" s="528"/>
      <c r="EU56" s="460">
        <f t="shared" si="123"/>
        <v>486.94799999999992</v>
      </c>
      <c r="EV56" s="528">
        <f t="shared" si="85"/>
        <v>2.2110922050185842</v>
      </c>
      <c r="EW56" s="528">
        <f t="shared" si="124"/>
        <v>9.1065437271245636E-3</v>
      </c>
      <c r="EX56" s="528">
        <f t="shared" si="86"/>
        <v>9.4877686100802868E-4</v>
      </c>
      <c r="EY56" s="528">
        <f t="shared" si="87"/>
        <v>361.30374521386602</v>
      </c>
      <c r="EZ56" s="528">
        <f t="shared" si="88"/>
        <v>442.72691072831452</v>
      </c>
      <c r="FA56" s="625">
        <f t="shared" si="89"/>
        <v>5.5080000000000009</v>
      </c>
      <c r="FB56" s="460">
        <f t="shared" si="125"/>
        <v>448234.91072831448</v>
      </c>
      <c r="FC56" s="173">
        <f t="shared" si="126"/>
        <v>478.53694174999623</v>
      </c>
      <c r="FD56" s="5">
        <f t="shared" si="127"/>
        <v>55.08</v>
      </c>
      <c r="FE56" s="173">
        <f t="shared" si="128"/>
        <v>0.10322011107699315</v>
      </c>
      <c r="FF56" s="5">
        <f t="shared" si="129"/>
        <v>10.322011107699316</v>
      </c>
      <c r="FG56">
        <f t="shared" si="130"/>
        <v>51</v>
      </c>
      <c r="FI56" s="562">
        <f t="shared" si="90"/>
        <v>-50</v>
      </c>
      <c r="FJ56">
        <f t="shared" si="91"/>
        <v>-50</v>
      </c>
      <c r="FL56">
        <f t="shared" si="92"/>
        <v>0.50125941095150384</v>
      </c>
    </row>
    <row r="57" spans="5:168">
      <c r="E57" s="170">
        <v>52</v>
      </c>
      <c r="F57" s="217">
        <f t="shared" si="174"/>
        <v>0.312</v>
      </c>
      <c r="G57" s="217">
        <f t="shared" si="171"/>
        <v>0.26</v>
      </c>
      <c r="H57" s="217">
        <f t="shared" si="135"/>
        <v>53.04</v>
      </c>
      <c r="I57" s="217">
        <f t="shared" si="175"/>
        <v>3.12</v>
      </c>
      <c r="J57" s="541">
        <f t="shared" si="136"/>
        <v>11.422007507847455</v>
      </c>
      <c r="K57" s="443">
        <f t="shared" si="137"/>
        <v>8.5419362402222383</v>
      </c>
      <c r="L57" s="172">
        <f t="shared" si="138"/>
        <v>19.963943748069696</v>
      </c>
      <c r="M57" s="443"/>
      <c r="N57" s="217">
        <f t="shared" si="139"/>
        <v>0.42786817815233297</v>
      </c>
      <c r="O57" s="172">
        <f t="shared" si="172"/>
        <v>153.85357450893392</v>
      </c>
      <c r="P57" s="172">
        <f t="shared" si="140"/>
        <v>9.0502102652314065</v>
      </c>
      <c r="Q57" s="217">
        <f t="shared" si="6"/>
        <v>0.90502102652314065</v>
      </c>
      <c r="R57" s="217">
        <f t="shared" si="141"/>
        <v>12.821131209077826</v>
      </c>
      <c r="S57" s="443">
        <f t="shared" si="142"/>
        <v>170</v>
      </c>
      <c r="T57" s="217">
        <f t="shared" si="143"/>
        <v>22.982891436134118</v>
      </c>
      <c r="U57" s="217">
        <f t="shared" si="10"/>
        <v>1.0060793350181125</v>
      </c>
      <c r="V57" s="217">
        <f t="shared" si="11"/>
        <v>1.3452975291428868</v>
      </c>
      <c r="W57" s="197">
        <f t="shared" si="12"/>
        <v>350</v>
      </c>
      <c r="X57" s="443">
        <f t="shared" si="95"/>
        <v>350</v>
      </c>
      <c r="Z57" s="217">
        <f t="shared" si="13"/>
        <v>27.926363104142631</v>
      </c>
      <c r="AA57" s="173">
        <f t="shared" si="14"/>
        <v>1.6346623481361915</v>
      </c>
      <c r="AB57" s="173">
        <f t="shared" si="144"/>
        <v>0.37724796806388067</v>
      </c>
      <c r="AC57" s="173"/>
      <c r="AD57" s="173">
        <f t="shared" si="16"/>
        <v>0.78046317359226947</v>
      </c>
      <c r="AE57" s="545">
        <f t="shared" si="145"/>
        <v>1269.8341921346848</v>
      </c>
      <c r="AF57" s="528">
        <f t="shared" si="146"/>
        <v>8.599547931248154E-2</v>
      </c>
      <c r="AH57" s="173">
        <f t="shared" si="147"/>
        <v>25.334335819763886</v>
      </c>
      <c r="AI57" s="173">
        <f t="shared" si="148"/>
        <v>25.334335819763886</v>
      </c>
      <c r="AJ57" s="173">
        <f t="shared" si="149"/>
        <v>10.089631471430039</v>
      </c>
      <c r="AL57" s="545">
        <f t="shared" si="150"/>
        <v>312</v>
      </c>
      <c r="AM57" s="460">
        <f t="shared" si="151"/>
        <v>350</v>
      </c>
      <c r="AO57">
        <f t="shared" si="96"/>
        <v>312</v>
      </c>
      <c r="AP57" s="460">
        <f t="shared" si="24"/>
        <v>350</v>
      </c>
      <c r="AQ57" s="460"/>
      <c r="AR57" s="5">
        <f t="shared" si="97"/>
        <v>2.8571428571428572</v>
      </c>
      <c r="AS57" s="5">
        <f t="shared" si="25"/>
        <v>1.1090141466969798</v>
      </c>
      <c r="AT57" s="5">
        <f t="shared" si="98"/>
        <v>1.7481287104458774</v>
      </c>
      <c r="AU57" s="173">
        <f t="shared" si="99"/>
        <v>0.38815495134394296</v>
      </c>
      <c r="AW57" s="5">
        <f t="shared" si="152"/>
        <v>0.20353671398203393</v>
      </c>
      <c r="AX57" s="5">
        <f t="shared" si="153"/>
        <v>2.4028639845101232</v>
      </c>
      <c r="AY57" s="5">
        <f t="shared" si="28"/>
        <v>12.988364329243641</v>
      </c>
      <c r="AZ57" s="5"/>
      <c r="BA57" s="173">
        <f t="shared" si="100"/>
        <v>9.1127920696496663</v>
      </c>
      <c r="BB57" s="173">
        <f t="shared" si="154"/>
        <v>0.54027645454876616</v>
      </c>
      <c r="BC57" s="173">
        <f t="shared" si="155"/>
        <v>0.42716623803369336</v>
      </c>
      <c r="BD57" s="173"/>
      <c r="BE57" s="528">
        <f t="shared" si="31"/>
        <v>3.3217191721867936</v>
      </c>
      <c r="BF57" s="528">
        <f t="shared" si="156"/>
        <v>3.9829643847037275</v>
      </c>
      <c r="BG57" s="528">
        <f t="shared" si="157"/>
        <v>0.15990810510986436</v>
      </c>
      <c r="BH57" s="528">
        <f t="shared" si="34"/>
        <v>2.789913349832638E-2</v>
      </c>
      <c r="BI57">
        <f t="shared" si="35"/>
        <v>5.1399033785313551E-3</v>
      </c>
      <c r="BJ57" s="460">
        <f t="shared" si="101"/>
        <v>165.04800848839571</v>
      </c>
      <c r="BK57">
        <f t="shared" si="158"/>
        <v>39.046619027280059</v>
      </c>
      <c r="BL57" s="460">
        <f t="shared" si="102"/>
        <v>39046.61902728006</v>
      </c>
      <c r="BM57" s="173">
        <f t="shared" si="159"/>
        <v>0.270816</v>
      </c>
      <c r="BN57" s="173">
        <f t="shared" si="160"/>
        <v>0.22567999999999999</v>
      </c>
      <c r="BO57" s="528"/>
      <c r="BQ57" s="460">
        <f t="shared" si="103"/>
        <v>496.49599999999998</v>
      </c>
      <c r="BR57" s="528">
        <f t="shared" si="39"/>
        <v>2.491289379140095</v>
      </c>
      <c r="BS57" s="528">
        <f t="shared" si="104"/>
        <v>8.75695942019355E-3</v>
      </c>
      <c r="BT57" s="528">
        <f t="shared" si="161"/>
        <v>9.1235497457928987E-4</v>
      </c>
      <c r="BU57" s="528">
        <f t="shared" si="41"/>
        <v>370.18082829051002</v>
      </c>
      <c r="BV57" s="528">
        <f t="shared" si="162"/>
        <v>466.64725850909622</v>
      </c>
      <c r="BW57" s="625">
        <f t="shared" si="163"/>
        <v>5.6160000000000014</v>
      </c>
      <c r="BX57" s="460">
        <f t="shared" si="105"/>
        <v>472263.25850909622</v>
      </c>
      <c r="BY57" s="173">
        <f t="shared" si="106"/>
        <v>511.80637353637627</v>
      </c>
      <c r="BZ57" s="5">
        <f t="shared" si="107"/>
        <v>56.16</v>
      </c>
      <c r="CA57" s="173">
        <f t="shared" si="108"/>
        <v>9.8879093229281012E-2</v>
      </c>
      <c r="CB57" s="5">
        <f t="shared" si="109"/>
        <v>9.8879093229281008</v>
      </c>
      <c r="CC57">
        <f t="shared" si="173"/>
        <v>52</v>
      </c>
      <c r="CE57" s="562">
        <f t="shared" si="164"/>
        <v>-50</v>
      </c>
      <c r="CF57">
        <f t="shared" si="165"/>
        <v>-50</v>
      </c>
      <c r="CG57" s="173">
        <f t="shared" si="166"/>
        <v>0.50614986247598381</v>
      </c>
      <c r="CH57" s="173">
        <f t="shared" si="167"/>
        <v>0.12595604957878859</v>
      </c>
      <c r="CI57" s="170">
        <v>52</v>
      </c>
      <c r="CJ57" s="217">
        <f t="shared" si="133"/>
        <v>0.312</v>
      </c>
      <c r="CK57" s="217">
        <f t="shared" si="111"/>
        <v>0.26</v>
      </c>
      <c r="CL57" s="217">
        <f t="shared" si="48"/>
        <v>53.04</v>
      </c>
      <c r="CM57" s="217">
        <f t="shared" si="134"/>
        <v>3.12</v>
      </c>
      <c r="CN57" s="541">
        <f t="shared" si="112"/>
        <v>12.5</v>
      </c>
      <c r="CO57" s="443">
        <f t="shared" si="168"/>
        <v>8.5350000000000001</v>
      </c>
      <c r="CP57" s="443">
        <f t="shared" si="169"/>
        <v>21.035</v>
      </c>
      <c r="CQ57" s="443"/>
      <c r="CR57" s="217">
        <f t="shared" si="113"/>
        <v>0.40546967895362668</v>
      </c>
      <c r="CS57" s="172">
        <f t="shared" si="114"/>
        <v>159.55982736601052</v>
      </c>
      <c r="CT57" s="172">
        <f t="shared" si="51"/>
        <v>9.3858721980006177</v>
      </c>
      <c r="CU57" s="217">
        <f t="shared" si="52"/>
        <v>0.93858721980006188</v>
      </c>
      <c r="CV57" s="217">
        <f t="shared" si="53"/>
        <v>13.296652280500878</v>
      </c>
      <c r="CW57" s="443">
        <f t="shared" si="54"/>
        <v>170</v>
      </c>
      <c r="CX57" s="217">
        <f t="shared" si="55"/>
        <v>22.160966568914951</v>
      </c>
      <c r="CY57" s="217">
        <f t="shared" si="56"/>
        <v>0.88643866275659811</v>
      </c>
      <c r="CZ57" s="217">
        <f t="shared" si="57"/>
        <v>1.2982405722855859</v>
      </c>
      <c r="DA57" s="197">
        <f t="shared" si="58"/>
        <v>350</v>
      </c>
      <c r="DB57" s="443">
        <f t="shared" si="115"/>
        <v>350</v>
      </c>
      <c r="DD57" s="217">
        <f t="shared" si="59"/>
        <v>28.98230839756868</v>
      </c>
      <c r="DE57" s="173">
        <f t="shared" si="60"/>
        <v>1.6978505212401103</v>
      </c>
      <c r="DF57" s="173">
        <f t="shared" si="61"/>
        <v>0.40664636548103333</v>
      </c>
      <c r="DG57" s="173"/>
      <c r="DH57" s="173">
        <f t="shared" si="62"/>
        <v>0.78109744190587771</v>
      </c>
      <c r="DI57" s="545">
        <f t="shared" si="63"/>
        <v>1268.8030588235295</v>
      </c>
      <c r="DJ57" s="528">
        <f t="shared" si="64"/>
        <v>8.6065366284073561E-2</v>
      </c>
      <c r="DL57" s="173">
        <f t="shared" si="65"/>
        <v>25.334335819763886</v>
      </c>
      <c r="DM57" s="173">
        <f t="shared" si="66"/>
        <v>25.334335819763886</v>
      </c>
      <c r="DN57" s="173">
        <f t="shared" si="67"/>
        <v>10.089631471430039</v>
      </c>
      <c r="DP57" s="545">
        <f t="shared" si="68"/>
        <v>312</v>
      </c>
      <c r="DQ57" s="460">
        <f t="shared" si="69"/>
        <v>350</v>
      </c>
      <c r="DS57">
        <f t="shared" si="116"/>
        <v>312</v>
      </c>
      <c r="DT57" s="460">
        <f t="shared" si="70"/>
        <v>350</v>
      </c>
      <c r="DU57" s="460"/>
      <c r="DV57" s="5">
        <f t="shared" si="117"/>
        <v>2.8571428571428572</v>
      </c>
      <c r="DW57" s="5">
        <f t="shared" si="71"/>
        <v>1.0133734327905555</v>
      </c>
      <c r="DX57" s="5">
        <f t="shared" si="118"/>
        <v>1.8437694243523017</v>
      </c>
      <c r="DY57" s="173">
        <f t="shared" si="119"/>
        <v>0.35468070147669439</v>
      </c>
      <c r="EA57" s="5">
        <f t="shared" si="72"/>
        <v>0.18598383001803134</v>
      </c>
      <c r="EB57" s="5">
        <f t="shared" si="73"/>
        <v>2.1956424377128703</v>
      </c>
      <c r="EC57" s="5">
        <f t="shared" si="74"/>
        <v>12.517571874258698</v>
      </c>
      <c r="ED57" s="5"/>
      <c r="EE57" s="173">
        <f t="shared" si="120"/>
        <v>8.7109932067105174</v>
      </c>
      <c r="EF57" s="173">
        <f t="shared" si="75"/>
        <v>0.55485901021156714</v>
      </c>
      <c r="EG57" s="173">
        <f t="shared" si="76"/>
        <v>0.43869584549844609</v>
      </c>
      <c r="EH57" s="173"/>
      <c r="EI57" s="528">
        <f t="shared" si="77"/>
        <v>3.0352561058942711</v>
      </c>
      <c r="EJ57" s="528">
        <f t="shared" si="78"/>
        <v>5.1292371319490586</v>
      </c>
      <c r="EK57" s="528">
        <f t="shared" si="79"/>
        <v>6.9999999999999993E-2</v>
      </c>
      <c r="EL57" s="528">
        <f t="shared" si="80"/>
        <v>3.0972985749999998E-2</v>
      </c>
      <c r="EM57">
        <f t="shared" si="81"/>
        <v>5.6249999999999998E-3</v>
      </c>
      <c r="EN57" s="460">
        <f t="shared" si="121"/>
        <v>75.625</v>
      </c>
      <c r="EO57">
        <f t="shared" si="82"/>
        <v>32.603499375783727</v>
      </c>
      <c r="EP57" s="460">
        <f t="shared" si="122"/>
        <v>32603.499375783726</v>
      </c>
      <c r="EQ57" s="173">
        <f t="shared" si="83"/>
        <v>0.270816</v>
      </c>
      <c r="ER57" s="173">
        <f t="shared" si="170"/>
        <v>0.22567999999999999</v>
      </c>
      <c r="ES57" s="528"/>
      <c r="EU57" s="460">
        <f t="shared" si="123"/>
        <v>496.49599999999998</v>
      </c>
      <c r="EV57" s="528">
        <f t="shared" si="85"/>
        <v>2.2764420794207032</v>
      </c>
      <c r="EW57" s="528">
        <f t="shared" si="124"/>
        <v>9.2360556363887993E-3</v>
      </c>
      <c r="EX57" s="528">
        <f t="shared" si="86"/>
        <v>9.6227022428798249E-4</v>
      </c>
      <c r="EY57" s="528">
        <f t="shared" si="87"/>
        <v>370.18082829051002</v>
      </c>
      <c r="EZ57" s="528">
        <f t="shared" si="88"/>
        <v>456.52982612345738</v>
      </c>
      <c r="FA57" s="625">
        <f t="shared" si="89"/>
        <v>5.6160000000000014</v>
      </c>
      <c r="FB57" s="460">
        <f t="shared" si="125"/>
        <v>462145.82612345734</v>
      </c>
      <c r="FC57" s="173">
        <f t="shared" si="126"/>
        <v>495.24582149924112</v>
      </c>
      <c r="FD57" s="5">
        <f t="shared" si="127"/>
        <v>56.16</v>
      </c>
      <c r="FE57" s="173">
        <f t="shared" si="128"/>
        <v>0.10184876149349338</v>
      </c>
      <c r="FF57" s="5">
        <f t="shared" si="129"/>
        <v>10.184876149349337</v>
      </c>
      <c r="FG57">
        <f t="shared" si="130"/>
        <v>52</v>
      </c>
      <c r="FI57" s="562">
        <f t="shared" si="90"/>
        <v>-50</v>
      </c>
      <c r="FJ57">
        <f t="shared" si="91"/>
        <v>-50</v>
      </c>
      <c r="FL57">
        <f t="shared" si="92"/>
        <v>0.50614986247598392</v>
      </c>
    </row>
    <row r="58" spans="5:168">
      <c r="E58" s="170">
        <v>53</v>
      </c>
      <c r="F58" s="217">
        <f t="shared" si="174"/>
        <v>0.318</v>
      </c>
      <c r="G58" s="217">
        <f t="shared" si="171"/>
        <v>0.26500000000000001</v>
      </c>
      <c r="H58" s="217">
        <f t="shared" si="135"/>
        <v>54.06</v>
      </c>
      <c r="I58" s="217">
        <f t="shared" si="175"/>
        <v>3.18</v>
      </c>
      <c r="J58" s="541">
        <f t="shared" si="136"/>
        <v>11.411691555172798</v>
      </c>
      <c r="K58" s="443">
        <f t="shared" si="137"/>
        <v>8.5420026172391417</v>
      </c>
      <c r="L58" s="172">
        <f t="shared" si="138"/>
        <v>19.953694172411939</v>
      </c>
      <c r="M58" s="443"/>
      <c r="N58" s="217">
        <f t="shared" si="139"/>
        <v>0.42809128692817944</v>
      </c>
      <c r="O58" s="172">
        <f t="shared" si="172"/>
        <v>153.79477278885764</v>
      </c>
      <c r="P58" s="172">
        <f t="shared" si="140"/>
        <v>9.0467513405210376</v>
      </c>
      <c r="Q58" s="217">
        <f t="shared" si="6"/>
        <v>0.90467513405210376</v>
      </c>
      <c r="R58" s="217">
        <f t="shared" si="141"/>
        <v>12.816231065738137</v>
      </c>
      <c r="S58" s="443">
        <f t="shared" si="142"/>
        <v>170</v>
      </c>
      <c r="T58" s="217">
        <f t="shared" si="143"/>
        <v>23.433826356035347</v>
      </c>
      <c r="U58" s="217">
        <f t="shared" si="10"/>
        <v>1.0267463961297238</v>
      </c>
      <c r="V58" s="217">
        <f t="shared" si="11"/>
        <v>1.3716822275810414</v>
      </c>
      <c r="W58" s="197">
        <f t="shared" si="12"/>
        <v>350</v>
      </c>
      <c r="X58" s="443">
        <f t="shared" si="95"/>
        <v>350</v>
      </c>
      <c r="Z58" s="217">
        <f t="shared" si="13"/>
        <v>27.915689850750631</v>
      </c>
      <c r="AA58" s="173">
        <f t="shared" si="14"/>
        <v>1.6340248944909157</v>
      </c>
      <c r="AB58" s="173">
        <f t="shared" si="144"/>
        <v>0.37695673106935118</v>
      </c>
      <c r="AC58" s="173"/>
      <c r="AD58" s="173">
        <f t="shared" si="16"/>
        <v>0.78045710887658315</v>
      </c>
      <c r="AE58" s="545">
        <f t="shared" si="145"/>
        <v>1294.2641377343871</v>
      </c>
      <c r="AF58" s="528">
        <f t="shared" si="146"/>
        <v>8.5994811070660551E-2</v>
      </c>
      <c r="AH58" s="173">
        <f t="shared" si="147"/>
        <v>25.576775179279906</v>
      </c>
      <c r="AI58" s="173">
        <f t="shared" si="148"/>
        <v>25.576775179279906</v>
      </c>
      <c r="AJ58" s="173">
        <f t="shared" si="149"/>
        <v>10.269216182182646</v>
      </c>
      <c r="AL58" s="545">
        <f t="shared" si="150"/>
        <v>318</v>
      </c>
      <c r="AM58" s="460">
        <f t="shared" si="151"/>
        <v>350</v>
      </c>
      <c r="AO58">
        <f t="shared" si="96"/>
        <v>318</v>
      </c>
      <c r="AP58" s="460">
        <f t="shared" si="24"/>
        <v>350</v>
      </c>
      <c r="AQ58" s="460"/>
      <c r="AR58" s="5">
        <f t="shared" si="97"/>
        <v>2.8571428571428572</v>
      </c>
      <c r="AS58" s="5">
        <f t="shared" si="25"/>
        <v>1.1206390856089263</v>
      </c>
      <c r="AT58" s="5">
        <f t="shared" si="98"/>
        <v>1.7365037715339309</v>
      </c>
      <c r="AU58" s="173">
        <f t="shared" si="99"/>
        <v>0.39222367996312418</v>
      </c>
      <c r="AW58" s="5">
        <f t="shared" si="152"/>
        <v>0.20962542895508152</v>
      </c>
      <c r="AX58" s="5">
        <f t="shared" si="153"/>
        <v>2.4747446473863794</v>
      </c>
      <c r="AY58" s="5">
        <f t="shared" si="28"/>
        <v>13.161995265681236</v>
      </c>
      <c r="AZ58" s="5"/>
      <c r="BA58" s="173">
        <f t="shared" si="100"/>
        <v>9.2480903441560987</v>
      </c>
      <c r="BB58" s="173">
        <f t="shared" si="154"/>
        <v>0.54363006486831156</v>
      </c>
      <c r="BC58" s="173">
        <f t="shared" si="155"/>
        <v>0.4298177492960667</v>
      </c>
      <c r="BD58" s="173"/>
      <c r="BE58" s="528">
        <f t="shared" si="31"/>
        <v>3.4210870005469309</v>
      </c>
      <c r="BF58" s="528">
        <f t="shared" si="156"/>
        <v>4.0190153050206163</v>
      </c>
      <c r="BG58" s="528">
        <f t="shared" si="157"/>
        <v>0.15976368177241917</v>
      </c>
      <c r="BH58" s="528">
        <f t="shared" si="34"/>
        <v>2.7870493778830236E-2</v>
      </c>
      <c r="BI58">
        <f t="shared" si="35"/>
        <v>5.1352611998277588E-3</v>
      </c>
      <c r="BJ58" s="460">
        <f t="shared" si="101"/>
        <v>164.89894297224694</v>
      </c>
      <c r="BK58">
        <f t="shared" si="158"/>
        <v>44.839318491820059</v>
      </c>
      <c r="BL58" s="460">
        <f t="shared" si="102"/>
        <v>44839.318491820057</v>
      </c>
      <c r="BM58" s="173">
        <f t="shared" si="159"/>
        <v>0.27602399999999999</v>
      </c>
      <c r="BN58" s="173">
        <f t="shared" si="160"/>
        <v>0.23002</v>
      </c>
      <c r="BO58" s="528"/>
      <c r="BQ58" s="460">
        <f t="shared" si="103"/>
        <v>506.04399999999993</v>
      </c>
      <c r="BR58" s="528">
        <f t="shared" si="39"/>
        <v>2.5658152504101981</v>
      </c>
      <c r="BS58" s="528">
        <f t="shared" si="104"/>
        <v>8.866009422861738E-3</v>
      </c>
      <c r="BT58" s="528">
        <f t="shared" si="161"/>
        <v>9.2371648804968215E-4</v>
      </c>
      <c r="BU58" s="528">
        <f t="shared" si="41"/>
        <v>379.10069472095375</v>
      </c>
      <c r="BV58" s="528">
        <f t="shared" si="162"/>
        <v>481.50849998849418</v>
      </c>
      <c r="BW58" s="625">
        <f t="shared" si="163"/>
        <v>5.724000000000002</v>
      </c>
      <c r="BX58" s="460">
        <f t="shared" si="105"/>
        <v>487232.49998849415</v>
      </c>
      <c r="BY58" s="173">
        <f t="shared" si="106"/>
        <v>532.57786248031425</v>
      </c>
      <c r="BZ58" s="5">
        <f t="shared" si="107"/>
        <v>57.24</v>
      </c>
      <c r="CA58" s="173">
        <f t="shared" si="108"/>
        <v>9.704690827655367E-2</v>
      </c>
      <c r="CB58" s="5">
        <f t="shared" si="109"/>
        <v>9.7046908276553676</v>
      </c>
      <c r="CC58">
        <f t="shared" si="173"/>
        <v>53</v>
      </c>
      <c r="CE58" s="562">
        <f t="shared" si="164"/>
        <v>-50</v>
      </c>
      <c r="CF58">
        <f t="shared" si="165"/>
        <v>-50</v>
      </c>
      <c r="CG58" s="173">
        <f t="shared" si="166"/>
        <v>0.51099351219116884</v>
      </c>
      <c r="CH58" s="173">
        <f t="shared" si="167"/>
        <v>0.12716139809095395</v>
      </c>
      <c r="CI58" s="170">
        <v>53</v>
      </c>
      <c r="CJ58" s="217">
        <f t="shared" si="133"/>
        <v>0.318</v>
      </c>
      <c r="CK58" s="217">
        <f t="shared" si="111"/>
        <v>0.26500000000000001</v>
      </c>
      <c r="CL58" s="217">
        <f t="shared" si="48"/>
        <v>54.06</v>
      </c>
      <c r="CM58" s="217">
        <f t="shared" si="134"/>
        <v>3.18</v>
      </c>
      <c r="CN58" s="541">
        <f t="shared" si="112"/>
        <v>12.5</v>
      </c>
      <c r="CO58" s="443">
        <f t="shared" si="168"/>
        <v>8.5350000000000001</v>
      </c>
      <c r="CP58" s="443">
        <f t="shared" si="169"/>
        <v>21.035</v>
      </c>
      <c r="CQ58" s="443"/>
      <c r="CR58" s="217">
        <f t="shared" si="113"/>
        <v>0.40546967895362668</v>
      </c>
      <c r="CS58" s="172">
        <f t="shared" si="114"/>
        <v>159.55982736601052</v>
      </c>
      <c r="CT58" s="172">
        <f t="shared" si="51"/>
        <v>9.3858721980006177</v>
      </c>
      <c r="CU58" s="217">
        <f t="shared" si="52"/>
        <v>0.93858721980006188</v>
      </c>
      <c r="CV58" s="217">
        <f t="shared" si="53"/>
        <v>13.296652280500878</v>
      </c>
      <c r="CW58" s="443">
        <f t="shared" si="54"/>
        <v>170</v>
      </c>
      <c r="CX58" s="217">
        <f t="shared" si="55"/>
        <v>22.587139002932549</v>
      </c>
      <c r="CY58" s="217">
        <f t="shared" si="56"/>
        <v>0.90348556011730197</v>
      </c>
      <c r="CZ58" s="217">
        <f t="shared" si="57"/>
        <v>1.3232067371372318</v>
      </c>
      <c r="DA58" s="197">
        <f t="shared" si="58"/>
        <v>350</v>
      </c>
      <c r="DB58" s="443">
        <f t="shared" si="115"/>
        <v>350</v>
      </c>
      <c r="DD58" s="217">
        <f t="shared" si="59"/>
        <v>28.98230839756868</v>
      </c>
      <c r="DE58" s="173">
        <f t="shared" si="60"/>
        <v>1.6978505212401103</v>
      </c>
      <c r="DF58" s="173">
        <f t="shared" si="61"/>
        <v>0.40664636548103333</v>
      </c>
      <c r="DG58" s="173"/>
      <c r="DH58" s="173">
        <f t="shared" si="62"/>
        <v>0.78109744190587771</v>
      </c>
      <c r="DI58" s="545">
        <f t="shared" si="63"/>
        <v>1293.2031176470587</v>
      </c>
      <c r="DJ58" s="528">
        <f t="shared" si="64"/>
        <v>8.6065366284073561E-2</v>
      </c>
      <c r="DL58" s="173">
        <f t="shared" si="65"/>
        <v>25.576775179279906</v>
      </c>
      <c r="DM58" s="173">
        <f t="shared" si="66"/>
        <v>25.576775179279906</v>
      </c>
      <c r="DN58" s="173">
        <f t="shared" si="67"/>
        <v>10.269216182182646</v>
      </c>
      <c r="DP58" s="545">
        <f t="shared" si="68"/>
        <v>318</v>
      </c>
      <c r="DQ58" s="460">
        <f t="shared" si="69"/>
        <v>350</v>
      </c>
      <c r="DS58">
        <f t="shared" si="116"/>
        <v>318</v>
      </c>
      <c r="DT58" s="460">
        <f t="shared" si="70"/>
        <v>350</v>
      </c>
      <c r="DU58" s="460"/>
      <c r="DV58" s="5">
        <f t="shared" si="117"/>
        <v>2.8571428571428572</v>
      </c>
      <c r="DW58" s="5">
        <f t="shared" si="71"/>
        <v>1.0230710071711961</v>
      </c>
      <c r="DX58" s="5">
        <f t="shared" si="118"/>
        <v>1.8340718499716611</v>
      </c>
      <c r="DY58" s="173">
        <f t="shared" si="119"/>
        <v>0.35807485250991866</v>
      </c>
      <c r="EA58" s="5">
        <f t="shared" si="72"/>
        <v>0.19137445898849434</v>
      </c>
      <c r="EB58" s="5">
        <f t="shared" si="73"/>
        <v>2.2592818075030583</v>
      </c>
      <c r="EC58" s="5">
        <f t="shared" si="74"/>
        <v>12.691190298811902</v>
      </c>
      <c r="ED58" s="5"/>
      <c r="EE58" s="173">
        <f t="shared" si="120"/>
        <v>8.836332908356594</v>
      </c>
      <c r="EF58" s="173">
        <f t="shared" si="75"/>
        <v>0.55869369988309869</v>
      </c>
      <c r="EG58" s="173">
        <f t="shared" si="76"/>
        <v>0.44172771917575249</v>
      </c>
      <c r="EH58" s="173"/>
      <c r="EI58" s="528">
        <f t="shared" si="77"/>
        <v>3.123231170692228</v>
      </c>
      <c r="EJ58" s="528">
        <f t="shared" si="78"/>
        <v>5.1783218592504703</v>
      </c>
      <c r="EK58" s="528">
        <f t="shared" si="79"/>
        <v>6.9999999999999993E-2</v>
      </c>
      <c r="EL58" s="528">
        <f t="shared" si="80"/>
        <v>3.0972985749999998E-2</v>
      </c>
      <c r="EM58">
        <f t="shared" si="81"/>
        <v>5.6249999999999998E-3</v>
      </c>
      <c r="EN58" s="460">
        <f t="shared" si="121"/>
        <v>75.625</v>
      </c>
      <c r="EO58">
        <f t="shared" si="82"/>
        <v>35.869314551799022</v>
      </c>
      <c r="EP58" s="460">
        <f t="shared" si="122"/>
        <v>35869.31455179902</v>
      </c>
      <c r="EQ58" s="173">
        <f t="shared" si="83"/>
        <v>0.27602399999999999</v>
      </c>
      <c r="ER58" s="173">
        <f t="shared" si="170"/>
        <v>0.23002</v>
      </c>
      <c r="ES58" s="528"/>
      <c r="EU58" s="460">
        <f t="shared" si="123"/>
        <v>506.04399999999993</v>
      </c>
      <c r="EV58" s="528">
        <f t="shared" si="85"/>
        <v>2.3424233780191708</v>
      </c>
      <c r="EW58" s="528">
        <f t="shared" si="124"/>
        <v>9.3641595086719782E-3</v>
      </c>
      <c r="EX58" s="528">
        <f t="shared" si="86"/>
        <v>9.7561688944106236E-4</v>
      </c>
      <c r="EY58" s="528">
        <f t="shared" si="87"/>
        <v>379.10069472095375</v>
      </c>
      <c r="EZ58" s="528">
        <f t="shared" si="88"/>
        <v>470.59377696344359</v>
      </c>
      <c r="FA58" s="625">
        <f t="shared" si="89"/>
        <v>5.724000000000002</v>
      </c>
      <c r="FB58" s="460">
        <f t="shared" si="125"/>
        <v>476317.77696344355</v>
      </c>
      <c r="FC58" s="173">
        <f t="shared" si="126"/>
        <v>512.6931355152426</v>
      </c>
      <c r="FD58" s="5">
        <f t="shared" si="127"/>
        <v>57.24</v>
      </c>
      <c r="FE58" s="173">
        <f t="shared" si="128"/>
        <v>0.10043283401701628</v>
      </c>
      <c r="FF58" s="5">
        <f t="shared" si="129"/>
        <v>10.043283401701627</v>
      </c>
      <c r="FG58">
        <f t="shared" si="130"/>
        <v>53</v>
      </c>
      <c r="FI58" s="562">
        <f t="shared" si="90"/>
        <v>-50</v>
      </c>
      <c r="FJ58">
        <f t="shared" si="91"/>
        <v>-50</v>
      </c>
      <c r="FL58">
        <f t="shared" si="92"/>
        <v>0.51099351219116884</v>
      </c>
    </row>
    <row r="59" spans="5:168">
      <c r="E59" s="170">
        <v>54</v>
      </c>
      <c r="F59" s="217">
        <f t="shared" si="174"/>
        <v>0.32400000000000001</v>
      </c>
      <c r="G59" s="217">
        <f t="shared" si="171"/>
        <v>0.27</v>
      </c>
      <c r="H59" s="217">
        <f t="shared" si="135"/>
        <v>55.08</v>
      </c>
      <c r="I59" s="217">
        <f t="shared" si="175"/>
        <v>3.24</v>
      </c>
      <c r="J59" s="541">
        <f t="shared" si="136"/>
        <v>11.401472472339837</v>
      </c>
      <c r="K59" s="443">
        <f t="shared" si="137"/>
        <v>8.5420683709562564</v>
      </c>
      <c r="L59" s="172">
        <f t="shared" si="138"/>
        <v>19.943540843296091</v>
      </c>
      <c r="M59" s="443"/>
      <c r="N59" s="217">
        <f t="shared" si="139"/>
        <v>0.42831252675111725</v>
      </c>
      <c r="O59" s="172">
        <f t="shared" si="172"/>
        <v>153.73646151164834</v>
      </c>
      <c r="P59" s="172">
        <f t="shared" si="140"/>
        <v>9.0433212653910786</v>
      </c>
      <c r="Q59" s="217">
        <f t="shared" si="6"/>
        <v>0.90433212653910788</v>
      </c>
      <c r="R59" s="217">
        <f t="shared" si="141"/>
        <v>12.811371792637361</v>
      </c>
      <c r="S59" s="443">
        <f t="shared" si="142"/>
        <v>170</v>
      </c>
      <c r="T59" s="217">
        <f t="shared" si="143"/>
        <v>23.885030030574619</v>
      </c>
      <c r="U59" s="217">
        <f t="shared" si="10"/>
        <v>1.047453742861727</v>
      </c>
      <c r="V59" s="217">
        <f t="shared" si="11"/>
        <v>1.3980823492226842</v>
      </c>
      <c r="W59" s="197">
        <f t="shared" si="12"/>
        <v>350</v>
      </c>
      <c r="X59" s="443">
        <f t="shared" si="95"/>
        <v>350</v>
      </c>
      <c r="Z59" s="217">
        <f t="shared" si="13"/>
        <v>27.905105618921045</v>
      </c>
      <c r="AA59" s="173">
        <f t="shared" si="14"/>
        <v>1.6333927807110937</v>
      </c>
      <c r="AB59" s="173">
        <f t="shared" si="144"/>
        <v>0.37666803954779299</v>
      </c>
      <c r="AC59" s="173"/>
      <c r="AD59" s="173">
        <f t="shared" si="16"/>
        <v>0.78045110120329741</v>
      </c>
      <c r="AE59" s="545">
        <f t="shared" si="145"/>
        <v>1318.6943666316233</v>
      </c>
      <c r="AF59" s="528">
        <f t="shared" si="146"/>
        <v>8.5994149114067026E-2</v>
      </c>
      <c r="AH59" s="173">
        <f t="shared" si="147"/>
        <v>25.816937961622902</v>
      </c>
      <c r="AI59" s="173">
        <f t="shared" si="148"/>
        <v>25.816937961622902</v>
      </c>
      <c r="AJ59" s="173">
        <f t="shared" si="149"/>
        <v>10.447114539473754</v>
      </c>
      <c r="AL59" s="545">
        <f t="shared" si="150"/>
        <v>324</v>
      </c>
      <c r="AM59" s="460">
        <f t="shared" si="151"/>
        <v>350</v>
      </c>
      <c r="AO59">
        <f t="shared" si="96"/>
        <v>324</v>
      </c>
      <c r="AP59" s="460">
        <f t="shared" si="24"/>
        <v>350</v>
      </c>
      <c r="AQ59" s="460"/>
      <c r="AR59" s="5">
        <f t="shared" si="97"/>
        <v>2.8571428571428572</v>
      </c>
      <c r="AS59" s="5">
        <f t="shared" si="25"/>
        <v>1.1321756038202619</v>
      </c>
      <c r="AT59" s="5">
        <f t="shared" si="98"/>
        <v>1.7249672533225953</v>
      </c>
      <c r="AU59" s="173">
        <f t="shared" si="99"/>
        <v>0.39626146133709167</v>
      </c>
      <c r="AW59" s="5">
        <f t="shared" si="152"/>
        <v>0.21577935037515583</v>
      </c>
      <c r="AX59" s="5">
        <f t="shared" si="153"/>
        <v>2.5473951085955897</v>
      </c>
      <c r="AY59" s="5">
        <f t="shared" si="28"/>
        <v>13.333182575286804</v>
      </c>
      <c r="AZ59" s="5"/>
      <c r="BA59" s="173">
        <f t="shared" si="100"/>
        <v>9.3828553731294146</v>
      </c>
      <c r="BB59" s="173">
        <f t="shared" si="154"/>
        <v>0.54690887881450423</v>
      </c>
      <c r="BC59" s="173">
        <f t="shared" si="155"/>
        <v>0.43241012326834588</v>
      </c>
      <c r="BD59" s="173"/>
      <c r="BE59" s="528">
        <f t="shared" si="31"/>
        <v>3.521518998122541</v>
      </c>
      <c r="BF59" s="528">
        <f t="shared" si="156"/>
        <v>4.0546891089059329</v>
      </c>
      <c r="BG59" s="528">
        <f t="shared" si="157"/>
        <v>0.15962061461275773</v>
      </c>
      <c r="BH59" s="528">
        <f t="shared" si="34"/>
        <v>2.7842137495775358E-2</v>
      </c>
      <c r="BI59">
        <f t="shared" si="35"/>
        <v>5.1306626125529262E-3</v>
      </c>
      <c r="BJ59" s="460">
        <f t="shared" si="101"/>
        <v>164.75127722531067</v>
      </c>
      <c r="BK59">
        <f t="shared" si="158"/>
        <v>52.391530654193311</v>
      </c>
      <c r="BL59" s="460">
        <f t="shared" si="102"/>
        <v>52391.53065419331</v>
      </c>
      <c r="BM59" s="173">
        <f t="shared" si="159"/>
        <v>0.28123199999999998</v>
      </c>
      <c r="BN59" s="173">
        <f t="shared" si="160"/>
        <v>0.23436000000000001</v>
      </c>
      <c r="BO59" s="528"/>
      <c r="BQ59" s="460">
        <f t="shared" si="103"/>
        <v>515.5920000000001</v>
      </c>
      <c r="BR59" s="528">
        <f t="shared" si="39"/>
        <v>2.6411392485919056</v>
      </c>
      <c r="BS59" s="528">
        <f t="shared" si="104"/>
        <v>8.9732796517841412E-3</v>
      </c>
      <c r="BT59" s="528">
        <f t="shared" si="161"/>
        <v>9.3489257352473041E-4</v>
      </c>
      <c r="BU59" s="528">
        <f t="shared" si="41"/>
        <v>388.0627375773621</v>
      </c>
      <c r="BV59" s="528">
        <f t="shared" si="162"/>
        <v>496.68991858884505</v>
      </c>
      <c r="BW59" s="625">
        <f t="shared" si="163"/>
        <v>5.8320000000000007</v>
      </c>
      <c r="BX59" s="460">
        <f t="shared" si="105"/>
        <v>502521.91858884506</v>
      </c>
      <c r="BY59" s="173">
        <f t="shared" si="106"/>
        <v>555.42904124303834</v>
      </c>
      <c r="BZ59" s="5">
        <f t="shared" si="107"/>
        <v>58.32</v>
      </c>
      <c r="CA59" s="173">
        <f t="shared" si="108"/>
        <v>9.5022551696184024E-2</v>
      </c>
      <c r="CB59" s="5">
        <f t="shared" si="109"/>
        <v>9.5022551696184028</v>
      </c>
      <c r="CC59">
        <f t="shared" si="173"/>
        <v>54</v>
      </c>
      <c r="CE59" s="562">
        <f t="shared" si="164"/>
        <v>-50</v>
      </c>
      <c r="CF59">
        <f t="shared" si="165"/>
        <v>-50</v>
      </c>
      <c r="CG59" s="173">
        <f t="shared" si="166"/>
        <v>0.51579167860530184</v>
      </c>
      <c r="CH59" s="173">
        <f t="shared" si="167"/>
        <v>0.12835542802467637</v>
      </c>
      <c r="CI59" s="170">
        <v>54</v>
      </c>
      <c r="CJ59" s="217">
        <f t="shared" si="133"/>
        <v>0.32400000000000001</v>
      </c>
      <c r="CK59" s="217">
        <f t="shared" si="111"/>
        <v>0.27</v>
      </c>
      <c r="CL59" s="217">
        <f t="shared" si="48"/>
        <v>55.08</v>
      </c>
      <c r="CM59" s="217">
        <f t="shared" si="134"/>
        <v>3.24</v>
      </c>
      <c r="CN59" s="541">
        <f t="shared" si="112"/>
        <v>12.5</v>
      </c>
      <c r="CO59" s="443">
        <f t="shared" si="168"/>
        <v>8.5350000000000001</v>
      </c>
      <c r="CP59" s="443">
        <f t="shared" si="169"/>
        <v>21.035</v>
      </c>
      <c r="CQ59" s="443"/>
      <c r="CR59" s="217">
        <f t="shared" si="113"/>
        <v>0.40546967895362668</v>
      </c>
      <c r="CS59" s="172">
        <f t="shared" si="114"/>
        <v>159.55982736601052</v>
      </c>
      <c r="CT59" s="172">
        <f t="shared" si="51"/>
        <v>9.3858721980006177</v>
      </c>
      <c r="CU59" s="217">
        <f t="shared" si="52"/>
        <v>0.93858721980006188</v>
      </c>
      <c r="CV59" s="217">
        <f t="shared" si="53"/>
        <v>13.296652280500878</v>
      </c>
      <c r="CW59" s="443">
        <f t="shared" si="54"/>
        <v>170</v>
      </c>
      <c r="CX59" s="217">
        <f t="shared" si="55"/>
        <v>23.013311436950143</v>
      </c>
      <c r="CY59" s="217">
        <f t="shared" si="56"/>
        <v>0.92053245747800583</v>
      </c>
      <c r="CZ59" s="217">
        <f t="shared" si="57"/>
        <v>1.348172901988878</v>
      </c>
      <c r="DA59" s="197">
        <f t="shared" si="58"/>
        <v>350</v>
      </c>
      <c r="DB59" s="443">
        <f t="shared" si="115"/>
        <v>350</v>
      </c>
      <c r="DD59" s="217">
        <f t="shared" si="59"/>
        <v>28.98230839756868</v>
      </c>
      <c r="DE59" s="173">
        <f t="shared" si="60"/>
        <v>1.6978505212401103</v>
      </c>
      <c r="DF59" s="173">
        <f t="shared" si="61"/>
        <v>0.40664636548103333</v>
      </c>
      <c r="DG59" s="173"/>
      <c r="DH59" s="173">
        <f t="shared" si="62"/>
        <v>0.78109744190587771</v>
      </c>
      <c r="DI59" s="545">
        <f t="shared" si="63"/>
        <v>1317.6031764705883</v>
      </c>
      <c r="DJ59" s="528">
        <f t="shared" si="64"/>
        <v>8.6065366284073561E-2</v>
      </c>
      <c r="DL59" s="173">
        <f t="shared" si="65"/>
        <v>25.816937961622902</v>
      </c>
      <c r="DM59" s="173">
        <f t="shared" si="66"/>
        <v>25.816937961622902</v>
      </c>
      <c r="DN59" s="173">
        <f t="shared" si="67"/>
        <v>10.447114539473754</v>
      </c>
      <c r="DP59" s="545">
        <f t="shared" si="68"/>
        <v>324</v>
      </c>
      <c r="DQ59" s="460">
        <f t="shared" si="69"/>
        <v>350</v>
      </c>
      <c r="DS59">
        <f t="shared" si="116"/>
        <v>324</v>
      </c>
      <c r="DT59" s="460">
        <f t="shared" si="70"/>
        <v>350</v>
      </c>
      <c r="DU59" s="460"/>
      <c r="DV59" s="5">
        <f t="shared" si="117"/>
        <v>2.8571428571428572</v>
      </c>
      <c r="DW59" s="5">
        <f t="shared" si="71"/>
        <v>1.032677518464916</v>
      </c>
      <c r="DX59" s="5">
        <f t="shared" si="118"/>
        <v>1.8244653386779413</v>
      </c>
      <c r="DY59" s="173">
        <f t="shared" si="119"/>
        <v>0.36143713146272055</v>
      </c>
      <c r="EA59" s="5">
        <f t="shared" si="72"/>
        <v>0.1968161858721369</v>
      </c>
      <c r="EB59" s="5">
        <f t="shared" si="73"/>
        <v>2.3235244165460611</v>
      </c>
      <c r="EC59" s="5">
        <f t="shared" si="74"/>
        <v>12.862918509360767</v>
      </c>
      <c r="ED59" s="5"/>
      <c r="EE59" s="173">
        <f t="shared" si="120"/>
        <v>8.96108273791911</v>
      </c>
      <c r="EF59" s="173">
        <f t="shared" si="75"/>
        <v>0.56246092284420524</v>
      </c>
      <c r="EG59" s="173">
        <f t="shared" si="76"/>
        <v>0.44470625071563613</v>
      </c>
      <c r="EH59" s="173"/>
      <c r="EI59" s="528">
        <f t="shared" si="77"/>
        <v>3.2120401534332741</v>
      </c>
      <c r="EJ59" s="528">
        <f t="shared" si="78"/>
        <v>5.2269456664688514</v>
      </c>
      <c r="EK59" s="528">
        <f t="shared" si="79"/>
        <v>6.9999999999999993E-2</v>
      </c>
      <c r="EL59" s="528">
        <f t="shared" si="80"/>
        <v>3.0972985749999998E-2</v>
      </c>
      <c r="EM59">
        <f t="shared" si="81"/>
        <v>5.6249999999999998E-3</v>
      </c>
      <c r="EN59" s="460">
        <f t="shared" si="121"/>
        <v>75.625</v>
      </c>
      <c r="EO59">
        <f t="shared" si="82"/>
        <v>39.746913596443122</v>
      </c>
      <c r="EP59" s="460">
        <f t="shared" si="122"/>
        <v>39746.913596443119</v>
      </c>
      <c r="EQ59" s="173">
        <f t="shared" si="83"/>
        <v>0.28123199999999998</v>
      </c>
      <c r="ER59" s="173">
        <f t="shared" si="170"/>
        <v>0.23436000000000001</v>
      </c>
      <c r="ES59" s="528"/>
      <c r="EU59" s="460">
        <f t="shared" si="123"/>
        <v>515.5920000000001</v>
      </c>
      <c r="EV59" s="528">
        <f t="shared" si="85"/>
        <v>2.4090301150749553</v>
      </c>
      <c r="EW59" s="528">
        <f t="shared" si="124"/>
        <v>9.4908686918026494E-3</v>
      </c>
      <c r="EX59" s="528">
        <f t="shared" si="86"/>
        <v>9.8881824712779114E-4</v>
      </c>
      <c r="EY59" s="528">
        <f t="shared" si="87"/>
        <v>388.0627375773621</v>
      </c>
      <c r="EZ59" s="528">
        <f t="shared" si="88"/>
        <v>484.92548731656183</v>
      </c>
      <c r="FA59" s="625">
        <f t="shared" si="89"/>
        <v>5.8320000000000007</v>
      </c>
      <c r="FB59" s="460">
        <f t="shared" si="125"/>
        <v>490757.4873165618</v>
      </c>
      <c r="FC59" s="173">
        <f t="shared" si="126"/>
        <v>531.0199929130049</v>
      </c>
      <c r="FD59" s="5">
        <f t="shared" si="127"/>
        <v>58.32</v>
      </c>
      <c r="FE59" s="173">
        <f t="shared" si="128"/>
        <v>9.8958157771941446E-2</v>
      </c>
      <c r="FF59" s="5">
        <f t="shared" si="129"/>
        <v>9.8958157771941444</v>
      </c>
      <c r="FG59">
        <f t="shared" si="130"/>
        <v>54</v>
      </c>
      <c r="FI59" s="562">
        <f t="shared" si="90"/>
        <v>-50</v>
      </c>
      <c r="FJ59">
        <f t="shared" si="91"/>
        <v>-50</v>
      </c>
      <c r="FL59">
        <f t="shared" si="92"/>
        <v>0.51579167860530195</v>
      </c>
    </row>
    <row r="60" spans="5:168">
      <c r="E60" s="170">
        <v>55</v>
      </c>
      <c r="F60" s="217">
        <f t="shared" si="174"/>
        <v>0.33</v>
      </c>
      <c r="G60" s="217">
        <f t="shared" si="171"/>
        <v>0.27500000000000002</v>
      </c>
      <c r="H60" s="217">
        <f t="shared" si="135"/>
        <v>56.1</v>
      </c>
      <c r="I60" s="217">
        <f t="shared" si="175"/>
        <v>3.3000000000000003</v>
      </c>
      <c r="J60" s="541">
        <f t="shared" si="136"/>
        <v>11.391347580631288</v>
      </c>
      <c r="K60" s="443">
        <f t="shared" si="137"/>
        <v>8.5421335186095355</v>
      </c>
      <c r="L60" s="172">
        <f t="shared" si="138"/>
        <v>19.933481099240822</v>
      </c>
      <c r="M60" s="443"/>
      <c r="N60" s="217">
        <f t="shared" si="139"/>
        <v>0.42853194964199542</v>
      </c>
      <c r="O60" s="172">
        <f t="shared" si="172"/>
        <v>153.6786270226267</v>
      </c>
      <c r="P60" s="172">
        <f t="shared" si="140"/>
        <v>9.0399192366250993</v>
      </c>
      <c r="Q60" s="217">
        <f t="shared" si="6"/>
        <v>0.90399192366251002</v>
      </c>
      <c r="R60" s="217">
        <f t="shared" si="141"/>
        <v>12.806552251885558</v>
      </c>
      <c r="S60" s="443">
        <f t="shared" si="142"/>
        <v>170</v>
      </c>
      <c r="T60" s="217">
        <f t="shared" si="143"/>
        <v>24.336500608177253</v>
      </c>
      <c r="U60" s="217">
        <f t="shared" si="10"/>
        <v>1.068201125280235</v>
      </c>
      <c r="V60" s="217">
        <f t="shared" si="11"/>
        <v>1.4244977882374916</v>
      </c>
      <c r="W60" s="197">
        <f t="shared" si="12"/>
        <v>350</v>
      </c>
      <c r="X60" s="443">
        <f t="shared" si="95"/>
        <v>350</v>
      </c>
      <c r="Z60" s="217">
        <f t="shared" si="13"/>
        <v>27.894607930157452</v>
      </c>
      <c r="AA60" s="173">
        <f t="shared" si="14"/>
        <v>1.6327658581657278</v>
      </c>
      <c r="AB60" s="173">
        <f t="shared" si="144"/>
        <v>0.37638182299849487</v>
      </c>
      <c r="AC60" s="173"/>
      <c r="AD60" s="173">
        <f t="shared" si="16"/>
        <v>0.78044514899503092</v>
      </c>
      <c r="AE60" s="545">
        <f t="shared" si="145"/>
        <v>1343.1248761907814</v>
      </c>
      <c r="AF60" s="528">
        <f t="shared" si="146"/>
        <v>8.5993493268896937E-2</v>
      </c>
      <c r="AH60" s="173">
        <f t="shared" si="147"/>
        <v>26.054887120406853</v>
      </c>
      <c r="AI60" s="173">
        <f t="shared" si="148"/>
        <v>26.054887120406853</v>
      </c>
      <c r="AJ60" s="173">
        <f t="shared" si="149"/>
        <v>10.623373175610014</v>
      </c>
      <c r="AL60" s="545">
        <f t="shared" si="150"/>
        <v>330</v>
      </c>
      <c r="AM60" s="460">
        <f t="shared" si="151"/>
        <v>350</v>
      </c>
      <c r="AO60">
        <f t="shared" si="96"/>
        <v>330</v>
      </c>
      <c r="AP60">
        <f t="shared" si="24"/>
        <v>350</v>
      </c>
      <c r="AR60" s="5">
        <f t="shared" si="97"/>
        <v>2.8571428571428572</v>
      </c>
      <c r="AS60" s="5">
        <f t="shared" si="25"/>
        <v>1.1436262012015148</v>
      </c>
      <c r="AT60" s="5">
        <f t="shared" si="98"/>
        <v>1.7135166559413424</v>
      </c>
      <c r="AU60" s="173">
        <f t="shared" si="99"/>
        <v>0.40026917042053017</v>
      </c>
      <c r="AW60" s="5">
        <f t="shared" si="152"/>
        <v>0.22199802729205875</v>
      </c>
      <c r="AX60" s="5">
        <f t="shared" si="153"/>
        <v>2.6208100444201379</v>
      </c>
      <c r="AY60" s="5">
        <f t="shared" si="28"/>
        <v>13.501936794450028</v>
      </c>
      <c r="AZ60" s="5"/>
      <c r="BA60" s="173">
        <f t="shared" si="100"/>
        <v>9.5171001431717617</v>
      </c>
      <c r="BB60" s="173">
        <f t="shared" si="154"/>
        <v>0.55011460670772594</v>
      </c>
      <c r="BC60" s="173">
        <f t="shared" si="155"/>
        <v>0.43494471220476527</v>
      </c>
      <c r="BD60" s="173"/>
      <c r="BE60" s="528">
        <f t="shared" si="31"/>
        <v>3.6230078054063988</v>
      </c>
      <c r="BF60" s="528">
        <f t="shared" si="156"/>
        <v>4.08999622466518</v>
      </c>
      <c r="BG60" s="528">
        <f t="shared" si="157"/>
        <v>0.15947886612883805</v>
      </c>
      <c r="BH60" s="528">
        <f t="shared" si="34"/>
        <v>2.7814056811365381E-2</v>
      </c>
      <c r="BI60">
        <f t="shared" si="35"/>
        <v>5.1261064112840798E-3</v>
      </c>
      <c r="BJ60" s="460">
        <f t="shared" si="101"/>
        <v>164.60497254012213</v>
      </c>
      <c r="BK60">
        <f t="shared" si="158"/>
        <v>62.648707387631866</v>
      </c>
      <c r="BL60" s="460">
        <f t="shared" si="102"/>
        <v>62648.707387631868</v>
      </c>
      <c r="BM60" s="173">
        <f t="shared" si="159"/>
        <v>0.28643999999999997</v>
      </c>
      <c r="BN60" s="173">
        <f t="shared" si="160"/>
        <v>0.2387</v>
      </c>
      <c r="BO60" s="528"/>
      <c r="BQ60" s="460">
        <f t="shared" si="103"/>
        <v>525.14</v>
      </c>
      <c r="BR60" s="528">
        <f t="shared" si="39"/>
        <v>2.7172558540547991</v>
      </c>
      <c r="BS60" s="528">
        <f t="shared" si="104"/>
        <v>9.0787824153958797E-3</v>
      </c>
      <c r="BT60" s="528">
        <f t="shared" si="161"/>
        <v>9.4588451337443056E-4</v>
      </c>
      <c r="BU60" s="528">
        <f t="shared" si="41"/>
        <v>397.06636965005214</v>
      </c>
      <c r="BV60" s="528">
        <f t="shared" si="162"/>
        <v>512.20159132252945</v>
      </c>
      <c r="BW60" s="625">
        <f t="shared" si="163"/>
        <v>5.9400000000000013</v>
      </c>
      <c r="BX60" s="460">
        <f t="shared" si="105"/>
        <v>518141.59132252948</v>
      </c>
      <c r="BY60" s="173">
        <f t="shared" si="106"/>
        <v>581.3154387101614</v>
      </c>
      <c r="BZ60" s="5">
        <f t="shared" si="107"/>
        <v>59.4</v>
      </c>
      <c r="CA60" s="173">
        <f t="shared" si="108"/>
        <v>9.270886326631908E-2</v>
      </c>
      <c r="CB60" s="5">
        <f t="shared" si="109"/>
        <v>9.2708863266319081</v>
      </c>
      <c r="CC60">
        <f t="shared" si="173"/>
        <v>55.000000000000007</v>
      </c>
      <c r="CE60" s="562">
        <f t="shared" si="164"/>
        <v>-50</v>
      </c>
      <c r="CF60">
        <f t="shared" si="165"/>
        <v>-50</v>
      </c>
      <c r="CG60" s="173">
        <f t="shared" si="166"/>
        <v>0.52054561945662736</v>
      </c>
      <c r="CH60" s="173">
        <f t="shared" si="167"/>
        <v>0.12953845236974884</v>
      </c>
      <c r="CI60" s="170">
        <v>55</v>
      </c>
      <c r="CJ60" s="217">
        <f t="shared" si="133"/>
        <v>0.33</v>
      </c>
      <c r="CK60" s="217">
        <f t="shared" si="111"/>
        <v>0.27500000000000002</v>
      </c>
      <c r="CL60" s="217">
        <f t="shared" si="48"/>
        <v>56.1</v>
      </c>
      <c r="CM60" s="217">
        <f t="shared" si="134"/>
        <v>3.3000000000000003</v>
      </c>
      <c r="CN60" s="541">
        <f t="shared" si="112"/>
        <v>12.5</v>
      </c>
      <c r="CO60" s="443">
        <f t="shared" si="168"/>
        <v>8.5350000000000001</v>
      </c>
      <c r="CP60" s="443">
        <f t="shared" si="169"/>
        <v>21.035</v>
      </c>
      <c r="CQ60" s="443"/>
      <c r="CR60" s="217">
        <f t="shared" si="113"/>
        <v>0.40546967895362668</v>
      </c>
      <c r="CS60" s="172">
        <f t="shared" si="114"/>
        <v>159.55982736601052</v>
      </c>
      <c r="CT60" s="172">
        <f t="shared" si="51"/>
        <v>9.3858721980006177</v>
      </c>
      <c r="CU60" s="217">
        <f t="shared" si="52"/>
        <v>0.93858721980006188</v>
      </c>
      <c r="CV60" s="217">
        <f t="shared" si="53"/>
        <v>13.296652280500878</v>
      </c>
      <c r="CW60" s="443">
        <f t="shared" si="54"/>
        <v>170</v>
      </c>
      <c r="CX60" s="217">
        <f t="shared" si="55"/>
        <v>23.439483870967738</v>
      </c>
      <c r="CY60" s="217">
        <f t="shared" si="56"/>
        <v>0.93757935483870958</v>
      </c>
      <c r="CZ60" s="217">
        <f t="shared" si="57"/>
        <v>1.3731390668405237</v>
      </c>
      <c r="DA60" s="197">
        <f t="shared" si="58"/>
        <v>350</v>
      </c>
      <c r="DB60" s="443">
        <f t="shared" si="115"/>
        <v>350</v>
      </c>
      <c r="DD60" s="217">
        <f t="shared" si="59"/>
        <v>28.98230839756868</v>
      </c>
      <c r="DE60" s="173">
        <f t="shared" si="60"/>
        <v>1.6978505212401103</v>
      </c>
      <c r="DF60" s="173">
        <f t="shared" si="61"/>
        <v>0.40664636548103333</v>
      </c>
      <c r="DG60" s="173"/>
      <c r="DH60" s="173">
        <f t="shared" si="62"/>
        <v>0.78109744190587771</v>
      </c>
      <c r="DI60" s="545">
        <f t="shared" si="63"/>
        <v>1342.0032352941178</v>
      </c>
      <c r="DJ60" s="528">
        <f t="shared" si="64"/>
        <v>8.6065366284073561E-2</v>
      </c>
      <c r="DL60" s="173">
        <f t="shared" si="65"/>
        <v>26.054887120406853</v>
      </c>
      <c r="DM60" s="173">
        <f t="shared" si="66"/>
        <v>26.054887120406853</v>
      </c>
      <c r="DN60" s="173">
        <f t="shared" si="67"/>
        <v>10.623373175610014</v>
      </c>
      <c r="DP60" s="545">
        <f t="shared" si="68"/>
        <v>330</v>
      </c>
      <c r="DQ60" s="460">
        <f t="shared" si="69"/>
        <v>350</v>
      </c>
      <c r="DS60">
        <f t="shared" si="116"/>
        <v>330</v>
      </c>
      <c r="DT60">
        <f t="shared" si="70"/>
        <v>350</v>
      </c>
      <c r="DV60" s="5">
        <f t="shared" si="117"/>
        <v>2.8571428571428572</v>
      </c>
      <c r="DW60" s="5">
        <f t="shared" si="71"/>
        <v>1.042195484816274</v>
      </c>
      <c r="DX60" s="5">
        <f t="shared" si="118"/>
        <v>1.8149473723265832</v>
      </c>
      <c r="DY60" s="173">
        <f t="shared" si="119"/>
        <v>0.3647684196856959</v>
      </c>
      <c r="EA60" s="5">
        <f t="shared" si="72"/>
        <v>0.20230853528786497</v>
      </c>
      <c r="EB60" s="5">
        <f t="shared" si="73"/>
        <v>2.3883646527039617</v>
      </c>
      <c r="EC60" s="5">
        <f t="shared" si="74"/>
        <v>13.032774091202731</v>
      </c>
      <c r="ED60" s="5"/>
      <c r="EE60" s="173">
        <f t="shared" si="120"/>
        <v>9.0852563198541016</v>
      </c>
      <c r="EF60" s="173">
        <f t="shared" si="75"/>
        <v>0.56616240782551897</v>
      </c>
      <c r="EG60" s="173">
        <f t="shared" si="76"/>
        <v>0.44763280692828206</v>
      </c>
      <c r="EH60" s="173"/>
      <c r="EI60" s="528">
        <f t="shared" si="77"/>
        <v>3.3016752958979563</v>
      </c>
      <c r="EJ60" s="528">
        <f t="shared" si="78"/>
        <v>5.2751212993109231</v>
      </c>
      <c r="EK60" s="528">
        <f t="shared" si="79"/>
        <v>6.9999999999999993E-2</v>
      </c>
      <c r="EL60" s="528">
        <f t="shared" si="80"/>
        <v>3.0972985749999998E-2</v>
      </c>
      <c r="EM60">
        <f t="shared" si="81"/>
        <v>5.6249999999999998E-3</v>
      </c>
      <c r="EN60" s="460">
        <f t="shared" si="121"/>
        <v>75.625</v>
      </c>
      <c r="EO60">
        <f t="shared" si="82"/>
        <v>44.426319103075542</v>
      </c>
      <c r="EP60" s="460">
        <f t="shared" si="122"/>
        <v>44426.319103075541</v>
      </c>
      <c r="EQ60" s="173">
        <f t="shared" si="83"/>
        <v>0.28643999999999997</v>
      </c>
      <c r="ER60" s="173">
        <f t="shared" si="170"/>
        <v>0.2387</v>
      </c>
      <c r="ES60" s="528"/>
      <c r="EU60" s="460">
        <f t="shared" si="123"/>
        <v>525.14</v>
      </c>
      <c r="EV60" s="528">
        <f t="shared" si="85"/>
        <v>2.4762564719234668</v>
      </c>
      <c r="EW60" s="528">
        <f t="shared" si="124"/>
        <v>9.6161961610436789E-3</v>
      </c>
      <c r="EX60" s="528">
        <f t="shared" si="86"/>
        <v>1.0018756491924632E-3</v>
      </c>
      <c r="EY60" s="528">
        <f t="shared" si="87"/>
        <v>397.06636965005214</v>
      </c>
      <c r="EZ60" s="528">
        <f t="shared" si="88"/>
        <v>499.53195911705154</v>
      </c>
      <c r="FA60" s="625">
        <f t="shared" si="89"/>
        <v>5.9400000000000013</v>
      </c>
      <c r="FB60" s="460">
        <f t="shared" si="125"/>
        <v>505471.95911705156</v>
      </c>
      <c r="FC60" s="173">
        <f t="shared" si="126"/>
        <v>550.42341822012713</v>
      </c>
      <c r="FD60" s="5">
        <f t="shared" si="127"/>
        <v>59.4</v>
      </c>
      <c r="FE60" s="173">
        <f t="shared" si="128"/>
        <v>9.7405245888012887E-2</v>
      </c>
      <c r="FF60" s="5">
        <f t="shared" si="129"/>
        <v>9.7405245888012892</v>
      </c>
      <c r="FG60">
        <f t="shared" si="130"/>
        <v>55.000000000000007</v>
      </c>
      <c r="FI60" s="562">
        <f t="shared" si="90"/>
        <v>-50</v>
      </c>
      <c r="FJ60">
        <f t="shared" si="91"/>
        <v>-50</v>
      </c>
      <c r="FL60">
        <f t="shared" si="92"/>
        <v>0.52054561945662736</v>
      </c>
    </row>
    <row r="61" spans="5:168">
      <c r="E61" s="170">
        <v>56</v>
      </c>
      <c r="F61" s="217">
        <f t="shared" si="174"/>
        <v>0.33600000000000002</v>
      </c>
      <c r="G61" s="217">
        <f t="shared" si="171"/>
        <v>0.28000000000000003</v>
      </c>
      <c r="H61" s="217">
        <f t="shared" si="135"/>
        <v>57.120000000000005</v>
      </c>
      <c r="I61" s="217">
        <f t="shared" si="175"/>
        <v>3.3600000000000003</v>
      </c>
      <c r="J61" s="541">
        <f t="shared" si="136"/>
        <v>11.38131432255658</v>
      </c>
      <c r="K61" s="443">
        <f t="shared" si="137"/>
        <v>8.5421980766549055</v>
      </c>
      <c r="L61" s="172">
        <f t="shared" si="138"/>
        <v>19.923512399211486</v>
      </c>
      <c r="M61" s="443"/>
      <c r="N61" s="217">
        <f t="shared" si="139"/>
        <v>0.42874960526503253</v>
      </c>
      <c r="O61" s="172">
        <f t="shared" si="172"/>
        <v>153.62125628571798</v>
      </c>
      <c r="P61" s="172">
        <f t="shared" si="140"/>
        <v>9.0365444873951759</v>
      </c>
      <c r="Q61" s="217">
        <f t="shared" si="6"/>
        <v>0.9036544487395175</v>
      </c>
      <c r="R61" s="217">
        <f t="shared" si="141"/>
        <v>12.801771357143165</v>
      </c>
      <c r="S61" s="443">
        <f t="shared" si="142"/>
        <v>170</v>
      </c>
      <c r="T61" s="217">
        <f t="shared" si="143"/>
        <v>24.788236290149555</v>
      </c>
      <c r="U61" s="217">
        <f t="shared" si="10"/>
        <v>1.0889883008073087</v>
      </c>
      <c r="V61" s="217">
        <f t="shared" si="11"/>
        <v>1.4509284418195403</v>
      </c>
      <c r="W61" s="197">
        <f t="shared" si="12"/>
        <v>350</v>
      </c>
      <c r="X61" s="443">
        <f t="shared" si="95"/>
        <v>350</v>
      </c>
      <c r="Z61" s="217">
        <f t="shared" si="13"/>
        <v>27.884194418247972</v>
      </c>
      <c r="AA61" s="173">
        <f t="shared" si="14"/>
        <v>1.6321439849570498</v>
      </c>
      <c r="AB61" s="173">
        <f t="shared" si="144"/>
        <v>0.37609801411242011</v>
      </c>
      <c r="AC61" s="173"/>
      <c r="AD61" s="173">
        <f t="shared" si="16"/>
        <v>0.78043925074578813</v>
      </c>
      <c r="AE61" s="545">
        <f t="shared" si="145"/>
        <v>1367.5556638484697</v>
      </c>
      <c r="AF61" s="528">
        <f t="shared" si="146"/>
        <v>8.5992843369211841E-2</v>
      </c>
      <c r="AH61" s="173">
        <f t="shared" si="147"/>
        <v>26.290682760247975</v>
      </c>
      <c r="AI61" s="173">
        <f t="shared" si="148"/>
        <v>26.290682760247975</v>
      </c>
      <c r="AJ61" s="173">
        <f t="shared" si="149"/>
        <v>10.798036612529362</v>
      </c>
      <c r="AL61" s="545">
        <f t="shared" si="150"/>
        <v>336</v>
      </c>
      <c r="AM61" s="460">
        <f t="shared" si="151"/>
        <v>350</v>
      </c>
      <c r="AO61">
        <f t="shared" si="96"/>
        <v>336</v>
      </c>
      <c r="AP61">
        <f t="shared" si="24"/>
        <v>350</v>
      </c>
      <c r="AR61" s="5">
        <f t="shared" si="97"/>
        <v>2.8571428571428572</v>
      </c>
      <c r="AS61" s="5">
        <f t="shared" si="25"/>
        <v>1.1549932641849008</v>
      </c>
      <c r="AT61" s="5">
        <f t="shared" si="98"/>
        <v>1.7021495929579564</v>
      </c>
      <c r="AU61" s="173">
        <f t="shared" si="99"/>
        <v>0.40424764246471528</v>
      </c>
      <c r="AW61" s="5">
        <f t="shared" si="152"/>
        <v>0.22828102162713335</v>
      </c>
      <c r="AX61" s="5">
        <f t="shared" si="153"/>
        <v>2.6949842830981026</v>
      </c>
      <c r="AY61" s="5">
        <f t="shared" si="28"/>
        <v>13.668268109536715</v>
      </c>
      <c r="AZ61" s="5"/>
      <c r="BA61" s="173">
        <f t="shared" si="100"/>
        <v>9.6508371048251771</v>
      </c>
      <c r="BB61" s="173">
        <f t="shared" si="154"/>
        <v>0.55324887922195642</v>
      </c>
      <c r="BC61" s="173">
        <f t="shared" si="155"/>
        <v>0.43742280538762357</v>
      </c>
      <c r="BD61" s="173"/>
      <c r="BE61" s="528">
        <f t="shared" si="31"/>
        <v>3.7255462729548161</v>
      </c>
      <c r="BF61" s="528">
        <f t="shared" si="156"/>
        <v>4.1249466086655975</v>
      </c>
      <c r="BG61" s="528">
        <f t="shared" si="157"/>
        <v>0.15933840051579212</v>
      </c>
      <c r="BH61" s="528">
        <f t="shared" si="34"/>
        <v>2.7786244242507366E-2</v>
      </c>
      <c r="BI61">
        <f t="shared" si="35"/>
        <v>5.1215914451504608E-3</v>
      </c>
      <c r="BJ61" s="460">
        <f t="shared" si="101"/>
        <v>164.45999196094257</v>
      </c>
      <c r="BK61">
        <f t="shared" si="158"/>
        <v>77.381418988977728</v>
      </c>
      <c r="BL61" s="460">
        <f t="shared" si="102"/>
        <v>77381.418988977734</v>
      </c>
      <c r="BM61" s="173">
        <f t="shared" si="159"/>
        <v>0.29164799999999996</v>
      </c>
      <c r="BN61" s="173">
        <f t="shared" si="160"/>
        <v>0.24304000000000001</v>
      </c>
      <c r="BO61" s="528"/>
      <c r="BQ61" s="460">
        <f t="shared" si="103"/>
        <v>534.68799999999999</v>
      </c>
      <c r="BR61" s="528">
        <f t="shared" si="39"/>
        <v>2.7941597047161122</v>
      </c>
      <c r="BS61" s="528">
        <f t="shared" si="104"/>
        <v>9.182529670810527E-3</v>
      </c>
      <c r="BT61" s="528">
        <f t="shared" si="161"/>
        <v>9.5669355336589412E-4</v>
      </c>
      <c r="BU61" s="528">
        <f t="shared" si="41"/>
        <v>406.11102245910797</v>
      </c>
      <c r="BV61" s="528">
        <f t="shared" si="162"/>
        <v>528.05407015650542</v>
      </c>
      <c r="BW61" s="625">
        <f t="shared" si="163"/>
        <v>6.0480000000000009</v>
      </c>
      <c r="BX61" s="460">
        <f t="shared" si="105"/>
        <v>534102.07015650545</v>
      </c>
      <c r="BY61" s="173">
        <f t="shared" si="106"/>
        <v>612.01817714548315</v>
      </c>
      <c r="BZ61" s="5">
        <f t="shared" si="107"/>
        <v>60.480000000000004</v>
      </c>
      <c r="CA61" s="173">
        <f t="shared" si="108"/>
        <v>8.9933329271933801E-2</v>
      </c>
      <c r="CB61" s="5">
        <f t="shared" si="109"/>
        <v>8.9933329271933804</v>
      </c>
      <c r="CC61">
        <f t="shared" si="173"/>
        <v>56.000000000000007</v>
      </c>
      <c r="CE61" s="562">
        <f t="shared" si="164"/>
        <v>-50</v>
      </c>
      <c r="CF61">
        <f t="shared" si="165"/>
        <v>-50</v>
      </c>
      <c r="CG61" s="173">
        <f t="shared" si="166"/>
        <v>0.5252565355638068</v>
      </c>
      <c r="CH61" s="173">
        <f t="shared" si="167"/>
        <v>0.13071076995145237</v>
      </c>
      <c r="CI61" s="170">
        <v>56</v>
      </c>
      <c r="CJ61" s="217">
        <f t="shared" si="133"/>
        <v>0.33600000000000002</v>
      </c>
      <c r="CK61" s="217">
        <f t="shared" si="111"/>
        <v>0.28000000000000003</v>
      </c>
      <c r="CL61" s="217">
        <f t="shared" si="48"/>
        <v>57.120000000000005</v>
      </c>
      <c r="CM61" s="217">
        <f t="shared" si="134"/>
        <v>3.3600000000000003</v>
      </c>
      <c r="CN61" s="541">
        <f t="shared" si="112"/>
        <v>12.5</v>
      </c>
      <c r="CO61" s="443">
        <f t="shared" si="168"/>
        <v>8.5350000000000001</v>
      </c>
      <c r="CP61" s="443">
        <f t="shared" si="169"/>
        <v>21.035</v>
      </c>
      <c r="CQ61" s="443"/>
      <c r="CR61" s="217">
        <f t="shared" si="113"/>
        <v>0.40546967895362668</v>
      </c>
      <c r="CS61" s="172">
        <f t="shared" si="114"/>
        <v>159.55982736601052</v>
      </c>
      <c r="CT61" s="172">
        <f t="shared" si="51"/>
        <v>9.3858721980006177</v>
      </c>
      <c r="CU61" s="217">
        <f t="shared" si="52"/>
        <v>0.93858721980006188</v>
      </c>
      <c r="CV61" s="217">
        <f t="shared" si="53"/>
        <v>13.296652280500878</v>
      </c>
      <c r="CW61" s="443">
        <f t="shared" si="54"/>
        <v>170</v>
      </c>
      <c r="CX61" s="217">
        <f t="shared" si="55"/>
        <v>23.865656304985336</v>
      </c>
      <c r="CY61" s="217">
        <f t="shared" si="56"/>
        <v>0.95462625219941344</v>
      </c>
      <c r="CZ61" s="217">
        <f t="shared" si="57"/>
        <v>1.3981052316921698</v>
      </c>
      <c r="DA61" s="197">
        <f t="shared" si="58"/>
        <v>350</v>
      </c>
      <c r="DB61" s="443">
        <f t="shared" si="115"/>
        <v>350</v>
      </c>
      <c r="DD61" s="217">
        <f t="shared" si="59"/>
        <v>28.98230839756868</v>
      </c>
      <c r="DE61" s="173">
        <f t="shared" si="60"/>
        <v>1.6978505212401103</v>
      </c>
      <c r="DF61" s="173">
        <f t="shared" si="61"/>
        <v>0.40664636548103333</v>
      </c>
      <c r="DG61" s="173"/>
      <c r="DH61" s="173">
        <f t="shared" si="62"/>
        <v>0.78109744190587771</v>
      </c>
      <c r="DI61" s="545">
        <f t="shared" si="63"/>
        <v>1366.4032941176474</v>
      </c>
      <c r="DJ61" s="528">
        <f t="shared" si="64"/>
        <v>8.6065366284073561E-2</v>
      </c>
      <c r="DL61" s="173">
        <f t="shared" si="65"/>
        <v>26.290682760247975</v>
      </c>
      <c r="DM61" s="173">
        <f t="shared" si="66"/>
        <v>26.290682760247975</v>
      </c>
      <c r="DN61" s="173">
        <f t="shared" si="67"/>
        <v>10.798036612529362</v>
      </c>
      <c r="DP61" s="545">
        <f t="shared" si="68"/>
        <v>336</v>
      </c>
      <c r="DQ61" s="460">
        <f t="shared" si="69"/>
        <v>350</v>
      </c>
      <c r="DS61">
        <f t="shared" si="116"/>
        <v>336</v>
      </c>
      <c r="DT61">
        <f t="shared" si="70"/>
        <v>350</v>
      </c>
      <c r="DV61" s="5">
        <f t="shared" si="117"/>
        <v>2.8571428571428572</v>
      </c>
      <c r="DW61" s="5">
        <f t="shared" si="71"/>
        <v>1.051627310409919</v>
      </c>
      <c r="DX61" s="5">
        <f t="shared" si="118"/>
        <v>1.8055155467329382</v>
      </c>
      <c r="DY61" s="173">
        <f t="shared" si="119"/>
        <v>0.36806955864347163</v>
      </c>
      <c r="EA61" s="5">
        <f t="shared" si="72"/>
        <v>0.2078510448810193</v>
      </c>
      <c r="EB61" s="5">
        <f t="shared" si="73"/>
        <v>2.4537970576231443</v>
      </c>
      <c r="EC61" s="5">
        <f t="shared" si="74"/>
        <v>13.200774147761337</v>
      </c>
      <c r="ED61" s="5"/>
      <c r="EE61" s="173">
        <f t="shared" si="120"/>
        <v>9.2088667224287626</v>
      </c>
      <c r="EF61" s="173">
        <f t="shared" si="75"/>
        <v>0.56979980508094907</v>
      </c>
      <c r="EG61" s="173">
        <f t="shared" si="76"/>
        <v>0.4505086925767392</v>
      </c>
      <c r="EH61" s="173"/>
      <c r="EI61" s="528">
        <f t="shared" si="77"/>
        <v>3.3921290524582344</v>
      </c>
      <c r="EJ61" s="528">
        <f t="shared" si="78"/>
        <v>5.3228609266699802</v>
      </c>
      <c r="EK61" s="528">
        <f t="shared" si="79"/>
        <v>6.9999999999999993E-2</v>
      </c>
      <c r="EL61" s="528">
        <f t="shared" si="80"/>
        <v>3.0972985749999998E-2</v>
      </c>
      <c r="EM61">
        <f t="shared" si="81"/>
        <v>5.6249999999999998E-3</v>
      </c>
      <c r="EN61" s="460">
        <f t="shared" si="121"/>
        <v>75.625</v>
      </c>
      <c r="EO61">
        <f t="shared" si="82"/>
        <v>50.185311172668847</v>
      </c>
      <c r="EP61" s="460">
        <f t="shared" si="122"/>
        <v>50185.311172668844</v>
      </c>
      <c r="EQ61" s="173">
        <f t="shared" si="83"/>
        <v>0.29164799999999996</v>
      </c>
      <c r="ER61" s="173">
        <f t="shared" si="170"/>
        <v>0.24304000000000001</v>
      </c>
      <c r="ES61" s="528"/>
      <c r="EU61" s="460">
        <f t="shared" si="123"/>
        <v>534.68799999999999</v>
      </c>
      <c r="EV61" s="528">
        <f t="shared" si="85"/>
        <v>2.5440967893436759</v>
      </c>
      <c r="EW61" s="528">
        <f t="shared" si="124"/>
        <v>9.7401545361086254E-3</v>
      </c>
      <c r="EX61" s="528">
        <f t="shared" si="86"/>
        <v>1.0147904104360146E-3</v>
      </c>
      <c r="EY61" s="528">
        <f t="shared" si="87"/>
        <v>406.11102245910797</v>
      </c>
      <c r="EZ61" s="528">
        <f t="shared" si="88"/>
        <v>514.42048383129088</v>
      </c>
      <c r="FA61" s="625">
        <f t="shared" si="89"/>
        <v>6.0480000000000009</v>
      </c>
      <c r="FB61" s="460">
        <f t="shared" si="125"/>
        <v>520468.48383129085</v>
      </c>
      <c r="FC61" s="173">
        <f t="shared" si="126"/>
        <v>571.18848300395973</v>
      </c>
      <c r="FD61" s="5">
        <f t="shared" si="127"/>
        <v>60.480000000000004</v>
      </c>
      <c r="FE61" s="173">
        <f t="shared" si="128"/>
        <v>9.5746426531179124E-2</v>
      </c>
      <c r="FF61" s="5">
        <f t="shared" si="129"/>
        <v>9.5746426531179125</v>
      </c>
      <c r="FG61">
        <f t="shared" si="130"/>
        <v>56.000000000000007</v>
      </c>
      <c r="FI61" s="562">
        <f t="shared" si="90"/>
        <v>-50</v>
      </c>
      <c r="FJ61">
        <f t="shared" si="91"/>
        <v>-50</v>
      </c>
      <c r="FL61">
        <f t="shared" si="92"/>
        <v>0.5252565355638068</v>
      </c>
    </row>
    <row r="62" spans="5:168">
      <c r="E62" s="170">
        <v>57</v>
      </c>
      <c r="F62" s="217">
        <f t="shared" si="174"/>
        <v>0.34199999999999997</v>
      </c>
      <c r="G62" s="217">
        <f t="shared" si="171"/>
        <v>0.28499999999999998</v>
      </c>
      <c r="H62" s="217">
        <f t="shared" si="135"/>
        <v>58.139999999999993</v>
      </c>
      <c r="I62" s="217">
        <f t="shared" si="175"/>
        <v>3.42</v>
      </c>
      <c r="J62" s="541">
        <f t="shared" si="136"/>
        <v>11.371370254307468</v>
      </c>
      <c r="K62" s="443">
        <f t="shared" si="137"/>
        <v>8.5422620608168209</v>
      </c>
      <c r="L62" s="172">
        <f t="shared" si="138"/>
        <v>19.913632315124289</v>
      </c>
      <c r="M62" s="443"/>
      <c r="N62" s="217">
        <f t="shared" si="139"/>
        <v>0.42896554107454432</v>
      </c>
      <c r="O62" s="172">
        <f t="shared" si="172"/>
        <v>153.56433684493646</v>
      </c>
      <c r="P62" s="172">
        <f t="shared" si="140"/>
        <v>9.0331962849962633</v>
      </c>
      <c r="Q62" s="217">
        <f t="shared" si="6"/>
        <v>0.90331962849962621</v>
      </c>
      <c r="R62" s="217">
        <f t="shared" si="141"/>
        <v>12.797028070411372</v>
      </c>
      <c r="S62" s="443">
        <f t="shared" si="142"/>
        <v>170</v>
      </c>
      <c r="T62" s="217">
        <f t="shared" si="143"/>
        <v>25.240235328296567</v>
      </c>
      <c r="U62" s="217">
        <f t="shared" si="10"/>
        <v>1.1098150338889712</v>
      </c>
      <c r="V62" s="217">
        <f t="shared" si="11"/>
        <v>1.4773742100510474</v>
      </c>
      <c r="W62" s="197">
        <f t="shared" si="12"/>
        <v>350</v>
      </c>
      <c r="X62" s="443">
        <f t="shared" si="95"/>
        <v>350</v>
      </c>
      <c r="Z62" s="217">
        <f t="shared" si="13"/>
        <v>27.873862822274184</v>
      </c>
      <c r="AA62" s="173">
        <f t="shared" si="14"/>
        <v>1.6315270255013021</v>
      </c>
      <c r="AB62" s="173">
        <f t="shared" si="144"/>
        <v>0.37581654857354879</v>
      </c>
      <c r="AC62" s="173"/>
      <c r="AD62" s="173">
        <f t="shared" si="16"/>
        <v>0.78043340501651526</v>
      </c>
      <c r="AE62" s="545">
        <f t="shared" si="145"/>
        <v>1391.9867271102796</v>
      </c>
      <c r="AF62" s="528">
        <f t="shared" si="146"/>
        <v>8.5992199256449367E-2</v>
      </c>
      <c r="AH62" s="173">
        <f t="shared" si="147"/>
        <v>26.524382314068259</v>
      </c>
      <c r="AI62" s="173">
        <f t="shared" si="148"/>
        <v>26.524382314068259</v>
      </c>
      <c r="AJ62" s="173">
        <f t="shared" si="149"/>
        <v>10.971147393136981</v>
      </c>
      <c r="AL62" s="545">
        <f t="shared" si="150"/>
        <v>341.99999999999994</v>
      </c>
      <c r="AM62" s="460">
        <f t="shared" si="151"/>
        <v>350</v>
      </c>
      <c r="AO62">
        <f t="shared" si="96"/>
        <v>341.99999999999994</v>
      </c>
      <c r="AP62">
        <f t="shared" si="24"/>
        <v>350</v>
      </c>
      <c r="AR62" s="5">
        <f t="shared" si="97"/>
        <v>2.8571428571428572</v>
      </c>
      <c r="AS62" s="5">
        <f t="shared" si="25"/>
        <v>1.1662790728329699</v>
      </c>
      <c r="AT62" s="5">
        <f t="shared" si="98"/>
        <v>1.6908637843098873</v>
      </c>
      <c r="AU62" s="173">
        <f t="shared" si="99"/>
        <v>0.40819767549153946</v>
      </c>
      <c r="AW62" s="5">
        <f t="shared" si="152"/>
        <v>0.23462790759345631</v>
      </c>
      <c r="AX62" s="5">
        <f t="shared" si="153"/>
        <v>2.7699127979783031</v>
      </c>
      <c r="AY62" s="5">
        <f t="shared" si="28"/>
        <v>13.83218637279542</v>
      </c>
      <c r="AZ62" s="5"/>
      <c r="BA62" s="173">
        <f t="shared" si="100"/>
        <v>9.7840782038028564</v>
      </c>
      <c r="BB62" s="173">
        <f t="shared" si="154"/>
        <v>0.55631325227326112</v>
      </c>
      <c r="BC62" s="173">
        <f t="shared" si="155"/>
        <v>0.43984563299233742</v>
      </c>
      <c r="BD62" s="173"/>
      <c r="BE62" s="528">
        <f t="shared" si="31"/>
        <v>3.829127451925205</v>
      </c>
      <c r="BF62" s="528">
        <f t="shared" si="156"/>
        <v>4.1595497747066092</v>
      </c>
      <c r="BG62" s="528">
        <f t="shared" si="157"/>
        <v>0.15919918356030455</v>
      </c>
      <c r="BH62" s="528">
        <f t="shared" si="34"/>
        <v>2.775869263873736E-2</v>
      </c>
      <c r="BI62">
        <f t="shared" si="35"/>
        <v>5.1171166144383601E-3</v>
      </c>
      <c r="BJ62" s="460">
        <f t="shared" si="101"/>
        <v>164.31630017474291</v>
      </c>
      <c r="BK62">
        <f t="shared" si="158"/>
        <v>100.33668313575974</v>
      </c>
      <c r="BL62" s="460">
        <f t="shared" si="102"/>
        <v>100336.68313575974</v>
      </c>
      <c r="BM62" s="173">
        <f t="shared" si="159"/>
        <v>0.29685599999999995</v>
      </c>
      <c r="BN62" s="173">
        <f t="shared" si="160"/>
        <v>0.24737999999999999</v>
      </c>
      <c r="BO62" s="528"/>
      <c r="BQ62" s="460">
        <f t="shared" si="103"/>
        <v>544.23599999999999</v>
      </c>
      <c r="BR62" s="528">
        <f t="shared" si="39"/>
        <v>2.8718455889439038</v>
      </c>
      <c r="BS62" s="528">
        <f t="shared" si="104"/>
        <v>9.2845330396455917E-3</v>
      </c>
      <c r="BT62" s="528">
        <f t="shared" si="161"/>
        <v>9.6732090431214993E-4</v>
      </c>
      <c r="BU62" s="528">
        <f t="shared" si="41"/>
        <v>415.1961453323421</v>
      </c>
      <c r="BV62" s="528">
        <f t="shared" si="162"/>
        <v>544.2584072707408</v>
      </c>
      <c r="BW62" s="625">
        <f t="shared" si="163"/>
        <v>6.1559999999999997</v>
      </c>
      <c r="BX62" s="460">
        <f t="shared" si="105"/>
        <v>550414.40727074072</v>
      </c>
      <c r="BY62" s="173">
        <f t="shared" si="106"/>
        <v>651.29532640650052</v>
      </c>
      <c r="BZ62" s="5">
        <f t="shared" si="107"/>
        <v>61.559999999999995</v>
      </c>
      <c r="CA62" s="173">
        <f t="shared" si="108"/>
        <v>8.6356933475300796E-2</v>
      </c>
      <c r="CB62" s="5">
        <f t="shared" si="109"/>
        <v>8.6356933475300792</v>
      </c>
      <c r="CC62">
        <f t="shared" si="173"/>
        <v>56.999999999999993</v>
      </c>
      <c r="CE62" s="562">
        <f t="shared" si="164"/>
        <v>-50</v>
      </c>
      <c r="CF62">
        <f t="shared" si="165"/>
        <v>-50</v>
      </c>
      <c r="CG62" s="173">
        <f t="shared" si="166"/>
        <v>0.52992557436823273</v>
      </c>
      <c r="CH62" s="173">
        <f t="shared" si="167"/>
        <v>0.13187266631206526</v>
      </c>
      <c r="CI62" s="170">
        <v>57</v>
      </c>
      <c r="CJ62" s="217">
        <f t="shared" si="133"/>
        <v>0.34199999999999997</v>
      </c>
      <c r="CK62" s="217">
        <f t="shared" si="111"/>
        <v>0.28499999999999998</v>
      </c>
      <c r="CL62" s="217">
        <f t="shared" si="48"/>
        <v>58.139999999999993</v>
      </c>
      <c r="CM62" s="217">
        <f t="shared" si="134"/>
        <v>3.42</v>
      </c>
      <c r="CN62" s="541">
        <f t="shared" si="112"/>
        <v>12.5</v>
      </c>
      <c r="CO62" s="443">
        <f t="shared" si="168"/>
        <v>8.5350000000000001</v>
      </c>
      <c r="CP62" s="443">
        <f t="shared" si="169"/>
        <v>21.035</v>
      </c>
      <c r="CQ62" s="443"/>
      <c r="CR62" s="217">
        <f t="shared" si="113"/>
        <v>0.40546967895362668</v>
      </c>
      <c r="CS62" s="172">
        <f t="shared" si="114"/>
        <v>159.55982736601052</v>
      </c>
      <c r="CT62" s="172">
        <f t="shared" si="51"/>
        <v>9.3858721980006177</v>
      </c>
      <c r="CU62" s="217">
        <f t="shared" si="52"/>
        <v>0.93858721980006188</v>
      </c>
      <c r="CV62" s="217">
        <f t="shared" si="53"/>
        <v>13.296652280500878</v>
      </c>
      <c r="CW62" s="443">
        <f t="shared" si="54"/>
        <v>170</v>
      </c>
      <c r="CX62" s="217">
        <f t="shared" si="55"/>
        <v>24.291828739002927</v>
      </c>
      <c r="CY62" s="217">
        <f t="shared" si="56"/>
        <v>0.97167314956011708</v>
      </c>
      <c r="CZ62" s="217">
        <f t="shared" si="57"/>
        <v>1.4230713965438153</v>
      </c>
      <c r="DA62" s="197">
        <f t="shared" si="58"/>
        <v>350</v>
      </c>
      <c r="DB62" s="443">
        <f t="shared" si="115"/>
        <v>350</v>
      </c>
      <c r="DD62" s="217">
        <f t="shared" si="59"/>
        <v>28.98230839756868</v>
      </c>
      <c r="DE62" s="173">
        <f t="shared" si="60"/>
        <v>1.6978505212401103</v>
      </c>
      <c r="DF62" s="173">
        <f t="shared" si="61"/>
        <v>0.40664636548103333</v>
      </c>
      <c r="DG62" s="173"/>
      <c r="DH62" s="173">
        <f t="shared" si="62"/>
        <v>0.78109744190587771</v>
      </c>
      <c r="DI62" s="545">
        <f t="shared" si="63"/>
        <v>1390.8033529411762</v>
      </c>
      <c r="DJ62" s="528">
        <f t="shared" si="64"/>
        <v>8.6065366284073561E-2</v>
      </c>
      <c r="DL62" s="173">
        <f t="shared" si="65"/>
        <v>26.524382314068259</v>
      </c>
      <c r="DM62" s="173">
        <f t="shared" si="66"/>
        <v>26.524382314068259</v>
      </c>
      <c r="DN62" s="173">
        <f t="shared" si="67"/>
        <v>10.971147393136981</v>
      </c>
      <c r="DP62" s="545">
        <f t="shared" si="68"/>
        <v>341.99999999999994</v>
      </c>
      <c r="DQ62" s="460">
        <f t="shared" si="69"/>
        <v>350</v>
      </c>
      <c r="DS62">
        <f t="shared" si="116"/>
        <v>341.99999999999994</v>
      </c>
      <c r="DT62">
        <f t="shared" si="70"/>
        <v>350</v>
      </c>
      <c r="DV62" s="5">
        <f t="shared" si="117"/>
        <v>2.8571428571428572</v>
      </c>
      <c r="DW62" s="5">
        <f t="shared" si="71"/>
        <v>1.0609752925627303</v>
      </c>
      <c r="DX62" s="5">
        <f t="shared" si="118"/>
        <v>1.7961675645801269</v>
      </c>
      <c r="DY62" s="173">
        <f t="shared" si="119"/>
        <v>0.37134135239695559</v>
      </c>
      <c r="EA62" s="5">
        <f t="shared" si="72"/>
        <v>0.21344326473909042</v>
      </c>
      <c r="EB62" s="5">
        <f t="shared" si="73"/>
        <v>2.5198163198364845</v>
      </c>
      <c r="EC62" s="5">
        <f t="shared" si="74"/>
        <v>13.366935322200138</v>
      </c>
      <c r="ED62" s="5"/>
      <c r="EE62" s="173">
        <f t="shared" si="120"/>
        <v>9.3319264899349097</v>
      </c>
      <c r="EF62" s="173">
        <f t="shared" si="75"/>
        <v>0.57337469125373508</v>
      </c>
      <c r="EG62" s="173">
        <f t="shared" si="76"/>
        <v>0.45333515422423598</v>
      </c>
      <c r="EH62" s="173"/>
      <c r="EI62" s="528">
        <f t="shared" si="77"/>
        <v>3.4833940805419554</v>
      </c>
      <c r="EJ62" s="528">
        <f t="shared" si="78"/>
        <v>5.3701761765230982</v>
      </c>
      <c r="EK62" s="528">
        <f t="shared" si="79"/>
        <v>6.9999999999999993E-2</v>
      </c>
      <c r="EL62" s="528">
        <f t="shared" si="80"/>
        <v>3.0972985749999998E-2</v>
      </c>
      <c r="EM62">
        <f t="shared" si="81"/>
        <v>5.6249999999999998E-3</v>
      </c>
      <c r="EN62" s="460">
        <f t="shared" si="121"/>
        <v>75.625</v>
      </c>
      <c r="EO62">
        <f t="shared" si="82"/>
        <v>57.446703432743135</v>
      </c>
      <c r="EP62" s="460">
        <f t="shared" si="122"/>
        <v>57446.703432743132</v>
      </c>
      <c r="EQ62" s="173">
        <f t="shared" si="83"/>
        <v>0.29685599999999995</v>
      </c>
      <c r="ER62" s="173">
        <f t="shared" si="170"/>
        <v>0.24737999999999999</v>
      </c>
      <c r="ES62" s="528"/>
      <c r="EU62" s="460">
        <f t="shared" si="123"/>
        <v>544.23599999999999</v>
      </c>
      <c r="EV62" s="528">
        <f t="shared" si="85"/>
        <v>2.6125455604064665</v>
      </c>
      <c r="EW62" s="528">
        <f t="shared" si="124"/>
        <v>9.8627560971094805E-3</v>
      </c>
      <c r="EX62" s="528">
        <f t="shared" si="86"/>
        <v>1.0275638102775592E-3</v>
      </c>
      <c r="EY62" s="528">
        <f t="shared" si="87"/>
        <v>415.1961453323421</v>
      </c>
      <c r="EZ62" s="528">
        <f t="shared" si="88"/>
        <v>529.59865489795027</v>
      </c>
      <c r="FA62" s="625">
        <f t="shared" si="89"/>
        <v>6.1559999999999997</v>
      </c>
      <c r="FB62" s="460">
        <f t="shared" si="125"/>
        <v>535754.65489795024</v>
      </c>
      <c r="FC62" s="173">
        <f t="shared" si="126"/>
        <v>593.74559433069339</v>
      </c>
      <c r="FD62" s="5">
        <f t="shared" si="127"/>
        <v>61.559999999999995</v>
      </c>
      <c r="FE62" s="173">
        <f t="shared" si="128"/>
        <v>9.3940904110356743E-2</v>
      </c>
      <c r="FF62" s="5">
        <f t="shared" si="129"/>
        <v>9.3940904110356751</v>
      </c>
      <c r="FG62">
        <f t="shared" si="130"/>
        <v>56.999999999999993</v>
      </c>
      <c r="FI62" s="562">
        <f t="shared" si="90"/>
        <v>-50</v>
      </c>
      <c r="FJ62">
        <f t="shared" si="91"/>
        <v>-50</v>
      </c>
      <c r="FL62">
        <f t="shared" si="92"/>
        <v>0.52992557436823273</v>
      </c>
    </row>
    <row r="63" spans="5:168">
      <c r="E63" s="170">
        <v>58</v>
      </c>
      <c r="F63" s="217">
        <f t="shared" si="174"/>
        <v>0.34799999999999998</v>
      </c>
      <c r="G63" s="217">
        <f t="shared" si="171"/>
        <v>0.28999999999999998</v>
      </c>
      <c r="H63" s="217">
        <f t="shared" si="135"/>
        <v>59.16</v>
      </c>
      <c r="I63" s="217">
        <f t="shared" si="175"/>
        <v>3.4799999999999995</v>
      </c>
      <c r="J63" s="541">
        <f t="shared" si="136"/>
        <v>11.361513038806795</v>
      </c>
      <c r="K63" s="443">
        <f t="shared" si="137"/>
        <v>8.5423254861329827</v>
      </c>
      <c r="L63" s="172">
        <f t="shared" si="138"/>
        <v>19.903838524939779</v>
      </c>
      <c r="M63" s="443"/>
      <c r="N63" s="217">
        <f t="shared" si="139"/>
        <v>0.4291798024501321</v>
      </c>
      <c r="O63" s="172">
        <f t="shared" si="172"/>
        <v>153.50785678889801</v>
      </c>
      <c r="P63" s="172">
        <f t="shared" si="140"/>
        <v>9.0298739287587058</v>
      </c>
      <c r="Q63" s="217">
        <f t="shared" si="6"/>
        <v>0.9029873928758706</v>
      </c>
      <c r="R63" s="217">
        <f t="shared" si="141"/>
        <v>12.792321399074835</v>
      </c>
      <c r="S63" s="443">
        <f t="shared" si="142"/>
        <v>170</v>
      </c>
      <c r="T63" s="217">
        <f t="shared" si="143"/>
        <v>25.692496022687212</v>
      </c>
      <c r="U63" s="217">
        <f t="shared" si="10"/>
        <v>1.1306810956837787</v>
      </c>
      <c r="V63" s="217">
        <f t="shared" si="11"/>
        <v>1.5038349957745478</v>
      </c>
      <c r="W63" s="197">
        <f t="shared" si="12"/>
        <v>350</v>
      </c>
      <c r="X63" s="443">
        <f t="shared" si="95"/>
        <v>350</v>
      </c>
      <c r="Z63" s="217">
        <f t="shared" si="13"/>
        <v>27.863610980169714</v>
      </c>
      <c r="AA63" s="173">
        <f t="shared" si="14"/>
        <v>1.6309148501424797</v>
      </c>
      <c r="AB63" s="173">
        <f t="shared" si="144"/>
        <v>0.37553736487583816</v>
      </c>
      <c r="AC63" s="173"/>
      <c r="AD63" s="173">
        <f t="shared" si="16"/>
        <v>0.7804276104310085</v>
      </c>
      <c r="AE63" s="545">
        <f t="shared" si="145"/>
        <v>1416.4180635477435</v>
      </c>
      <c r="AF63" s="528">
        <f t="shared" si="146"/>
        <v>8.5991560778972242E-2</v>
      </c>
      <c r="AH63" s="173">
        <f t="shared" si="147"/>
        <v>26.756040706459434</v>
      </c>
      <c r="AI63" s="173">
        <f t="shared" si="148"/>
        <v>26.756040706459434</v>
      </c>
      <c r="AJ63" s="173">
        <f t="shared" si="149"/>
        <v>11.14274620231563</v>
      </c>
      <c r="AL63" s="545">
        <f t="shared" si="150"/>
        <v>348</v>
      </c>
      <c r="AM63" s="460">
        <f t="shared" si="151"/>
        <v>350</v>
      </c>
      <c r="AO63">
        <f t="shared" si="96"/>
        <v>348</v>
      </c>
      <c r="AP63">
        <f t="shared" si="24"/>
        <v>350</v>
      </c>
      <c r="AR63" s="5">
        <f t="shared" si="97"/>
        <v>2.8571428571428572</v>
      </c>
      <c r="AS63" s="5">
        <f t="shared" si="25"/>
        <v>1.1774858073511218</v>
      </c>
      <c r="AT63" s="5">
        <f t="shared" si="98"/>
        <v>1.6796570497917354</v>
      </c>
      <c r="AU63" s="173">
        <f t="shared" si="99"/>
        <v>0.41212003257289265</v>
      </c>
      <c r="AW63" s="5">
        <f t="shared" si="152"/>
        <v>0.2410382711518767</v>
      </c>
      <c r="AX63" s="5">
        <f t="shared" si="153"/>
        <v>2.8455907010985442</v>
      </c>
      <c r="AY63" s="5">
        <f t="shared" si="28"/>
        <v>13.993701117275119</v>
      </c>
      <c r="AZ63" s="5"/>
      <c r="BA63" s="173">
        <f t="shared" si="100"/>
        <v>9.9168349098876156</v>
      </c>
      <c r="BB63" s="173">
        <f t="shared" si="154"/>
        <v>0.55930921152405166</v>
      </c>
      <c r="BC63" s="173">
        <f t="shared" si="155"/>
        <v>0.44221436964870592</v>
      </c>
      <c r="BD63" s="173"/>
      <c r="BE63" s="528">
        <f t="shared" si="31"/>
        <v>3.9337445851986286</v>
      </c>
      <c r="BF63" s="528">
        <f t="shared" si="156"/>
        <v>4.1938148210811628</v>
      </c>
      <c r="BG63" s="528">
        <f t="shared" si="157"/>
        <v>0.15906118254329513</v>
      </c>
      <c r="BH63" s="528">
        <f t="shared" si="34"/>
        <v>2.7731395161881386E-2</v>
      </c>
      <c r="BI63">
        <f t="shared" si="35"/>
        <v>5.1126808674630576E-3</v>
      </c>
      <c r="BJ63" s="460">
        <f t="shared" si="101"/>
        <v>164.17386341075817</v>
      </c>
      <c r="BK63">
        <f t="shared" si="158"/>
        <v>141.06335001656359</v>
      </c>
      <c r="BL63" s="460">
        <f t="shared" si="102"/>
        <v>141063.35001656358</v>
      </c>
      <c r="BM63" s="173">
        <f t="shared" si="159"/>
        <v>0.30206399999999994</v>
      </c>
      <c r="BN63" s="173">
        <f t="shared" si="160"/>
        <v>0.25172</v>
      </c>
      <c r="BO63" s="528"/>
      <c r="BQ63" s="460">
        <f t="shared" si="103"/>
        <v>553.78399999999999</v>
      </c>
      <c r="BR63" s="528">
        <f t="shared" si="39"/>
        <v>2.9503084388989711</v>
      </c>
      <c r="BS63" s="528">
        <f t="shared" si="104"/>
        <v>9.3848038228696914E-3</v>
      </c>
      <c r="BT63" s="528">
        <f t="shared" si="161"/>
        <v>9.7776774361901168E-4</v>
      </c>
      <c r="BU63" s="528">
        <f t="shared" si="41"/>
        <v>424.32120454406993</v>
      </c>
      <c r="BV63" s="528">
        <f t="shared" si="162"/>
        <v>560.82618214891136</v>
      </c>
      <c r="BW63" s="625">
        <f t="shared" si="163"/>
        <v>6.2640000000000002</v>
      </c>
      <c r="BX63" s="460">
        <f t="shared" si="105"/>
        <v>567090.18214891141</v>
      </c>
      <c r="BY63" s="173">
        <f t="shared" si="106"/>
        <v>708.70731616547494</v>
      </c>
      <c r="BZ63" s="5">
        <f t="shared" si="107"/>
        <v>62.639999999999993</v>
      </c>
      <c r="CA63" s="173">
        <f t="shared" si="108"/>
        <v>8.1208553769780686E-2</v>
      </c>
      <c r="CB63" s="5">
        <f t="shared" si="109"/>
        <v>8.1208553769780689</v>
      </c>
      <c r="CC63">
        <f t="shared" si="173"/>
        <v>57.999999999999993</v>
      </c>
      <c r="CE63" s="562">
        <f t="shared" si="164"/>
        <v>-50</v>
      </c>
      <c r="CF63">
        <f t="shared" si="165"/>
        <v>-50</v>
      </c>
      <c r="CG63" s="173">
        <f t="shared" si="166"/>
        <v>0.53455383319784566</v>
      </c>
      <c r="CH63" s="173">
        <f t="shared" si="167"/>
        <v>0.13302441452306837</v>
      </c>
      <c r="CI63" s="170">
        <v>58</v>
      </c>
      <c r="CJ63" s="217">
        <f t="shared" si="133"/>
        <v>0.34799999999999998</v>
      </c>
      <c r="CK63" s="217">
        <f t="shared" si="111"/>
        <v>0.28999999999999998</v>
      </c>
      <c r="CL63" s="217">
        <f t="shared" si="48"/>
        <v>59.16</v>
      </c>
      <c r="CM63" s="217">
        <f t="shared" si="134"/>
        <v>3.4799999999999995</v>
      </c>
      <c r="CN63" s="541">
        <f t="shared" si="112"/>
        <v>12.5</v>
      </c>
      <c r="CO63" s="443">
        <f t="shared" si="168"/>
        <v>8.5350000000000001</v>
      </c>
      <c r="CP63" s="443">
        <f t="shared" si="169"/>
        <v>21.035</v>
      </c>
      <c r="CQ63" s="443"/>
      <c r="CR63" s="217">
        <f t="shared" si="113"/>
        <v>0.40546967895362668</v>
      </c>
      <c r="CS63" s="172">
        <f t="shared" si="114"/>
        <v>159.55982736601052</v>
      </c>
      <c r="CT63" s="172">
        <f t="shared" si="51"/>
        <v>9.3858721980006177</v>
      </c>
      <c r="CU63" s="217">
        <f t="shared" si="52"/>
        <v>0.93858721980006188</v>
      </c>
      <c r="CV63" s="217">
        <f t="shared" si="53"/>
        <v>13.296652280500878</v>
      </c>
      <c r="CW63" s="443">
        <f t="shared" si="54"/>
        <v>170</v>
      </c>
      <c r="CX63" s="217">
        <f t="shared" si="55"/>
        <v>24.718001173020522</v>
      </c>
      <c r="CY63" s="217">
        <f t="shared" si="56"/>
        <v>0.98872004692082083</v>
      </c>
      <c r="CZ63" s="217">
        <f t="shared" si="57"/>
        <v>1.448037561395461</v>
      </c>
      <c r="DA63" s="197">
        <f t="shared" si="58"/>
        <v>350</v>
      </c>
      <c r="DB63" s="443">
        <f t="shared" si="115"/>
        <v>350</v>
      </c>
      <c r="DD63" s="217">
        <f t="shared" si="59"/>
        <v>28.98230839756868</v>
      </c>
      <c r="DE63" s="173">
        <f t="shared" si="60"/>
        <v>1.6978505212401103</v>
      </c>
      <c r="DF63" s="173">
        <f t="shared" si="61"/>
        <v>0.40664636548103333</v>
      </c>
      <c r="DG63" s="173"/>
      <c r="DH63" s="173">
        <f t="shared" si="62"/>
        <v>0.78109744190587771</v>
      </c>
      <c r="DI63" s="545">
        <f t="shared" si="63"/>
        <v>1415.2034117647058</v>
      </c>
      <c r="DJ63" s="528">
        <f t="shared" si="64"/>
        <v>8.6065366284073561E-2</v>
      </c>
      <c r="DL63" s="173">
        <f t="shared" si="65"/>
        <v>26.756040706459434</v>
      </c>
      <c r="DM63" s="173">
        <f t="shared" si="66"/>
        <v>26.756040706459434</v>
      </c>
      <c r="DN63" s="173">
        <f t="shared" si="67"/>
        <v>11.14274620231563</v>
      </c>
      <c r="DP63" s="545">
        <f t="shared" si="68"/>
        <v>348</v>
      </c>
      <c r="DQ63" s="460">
        <f t="shared" si="69"/>
        <v>350</v>
      </c>
      <c r="DS63">
        <f t="shared" si="116"/>
        <v>348</v>
      </c>
      <c r="DT63">
        <f t="shared" si="70"/>
        <v>350</v>
      </c>
      <c r="DV63" s="5">
        <f t="shared" si="117"/>
        <v>2.8571428571428572</v>
      </c>
      <c r="DW63" s="5">
        <f t="shared" si="71"/>
        <v>1.0702416282583773</v>
      </c>
      <c r="DX63" s="5">
        <f t="shared" si="118"/>
        <v>1.7869012288844799</v>
      </c>
      <c r="DY63" s="173">
        <f t="shared" si="119"/>
        <v>0.37458456989043204</v>
      </c>
      <c r="EA63" s="5">
        <f t="shared" si="72"/>
        <v>0.21908475684347958</v>
      </c>
      <c r="EB63" s="5">
        <f t="shared" si="73"/>
        <v>2.5864172682910782</v>
      </c>
      <c r="EC63" s="5">
        <f t="shared" si="74"/>
        <v>13.531273817703147</v>
      </c>
      <c r="ED63" s="5"/>
      <c r="EE63" s="173">
        <f t="shared" si="120"/>
        <v>9.4544476725052355</v>
      </c>
      <c r="EF63" s="173">
        <f t="shared" si="75"/>
        <v>0.57688857386039905</v>
      </c>
      <c r="EG63" s="173">
        <f t="shared" si="76"/>
        <v>0.4561133837793892</v>
      </c>
      <c r="EH63" s="173"/>
      <c r="EI63" s="528">
        <f t="shared" si="77"/>
        <v>3.5754632316855868</v>
      </c>
      <c r="EJ63" s="528">
        <f t="shared" si="78"/>
        <v>5.4170781690061016</v>
      </c>
      <c r="EK63" s="528">
        <f t="shared" si="79"/>
        <v>6.9999999999999993E-2</v>
      </c>
      <c r="EL63" s="528">
        <f t="shared" si="80"/>
        <v>3.0972985749999998E-2</v>
      </c>
      <c r="EM63">
        <f t="shared" si="81"/>
        <v>5.6249999999999998E-3</v>
      </c>
      <c r="EN63" s="460">
        <f t="shared" si="121"/>
        <v>75.625</v>
      </c>
      <c r="EO63">
        <f t="shared" si="82"/>
        <v>66.887211601280114</v>
      </c>
      <c r="EP63" s="460">
        <f t="shared" si="122"/>
        <v>66887.211601280113</v>
      </c>
      <c r="EQ63" s="173">
        <f t="shared" si="83"/>
        <v>0.30206399999999994</v>
      </c>
      <c r="ER63" s="173">
        <f t="shared" si="170"/>
        <v>0.25172</v>
      </c>
      <c r="ES63" s="528"/>
      <c r="EU63" s="460">
        <f t="shared" si="123"/>
        <v>553.78399999999999</v>
      </c>
      <c r="EV63" s="528">
        <f t="shared" si="85"/>
        <v>2.68159742376419</v>
      </c>
      <c r="EW63" s="528">
        <f t="shared" si="124"/>
        <v>9.9840127995205526E-3</v>
      </c>
      <c r="EX63" s="528">
        <f t="shared" si="86"/>
        <v>1.040197094313422E-3</v>
      </c>
      <c r="EY63" s="528">
        <f t="shared" si="87"/>
        <v>424.32120454406993</v>
      </c>
      <c r="EZ63" s="528">
        <f t="shared" si="88"/>
        <v>545.07438098530997</v>
      </c>
      <c r="FA63" s="625">
        <f t="shared" si="89"/>
        <v>6.2640000000000002</v>
      </c>
      <c r="FB63" s="460">
        <f t="shared" si="125"/>
        <v>551338.38098530995</v>
      </c>
      <c r="FC63" s="173">
        <f t="shared" si="126"/>
        <v>618.77937658659005</v>
      </c>
      <c r="FD63" s="5">
        <f t="shared" si="127"/>
        <v>62.639999999999993</v>
      </c>
      <c r="FE63" s="173">
        <f t="shared" si="128"/>
        <v>9.1925768700297797E-2</v>
      </c>
      <c r="FF63" s="5">
        <f t="shared" si="129"/>
        <v>9.1925768700297805</v>
      </c>
      <c r="FG63">
        <f t="shared" si="130"/>
        <v>57.999999999999993</v>
      </c>
      <c r="FI63" s="562">
        <f t="shared" si="90"/>
        <v>-50</v>
      </c>
      <c r="FJ63">
        <f t="shared" si="91"/>
        <v>-50</v>
      </c>
      <c r="FL63">
        <f t="shared" si="92"/>
        <v>0.53455383319784566</v>
      </c>
    </row>
    <row r="64" spans="5:168">
      <c r="E64" s="170">
        <v>59</v>
      </c>
      <c r="F64" s="217">
        <f t="shared" si="174"/>
        <v>0.35399999999999998</v>
      </c>
      <c r="G64" s="217">
        <f t="shared" si="171"/>
        <v>0.29499999999999998</v>
      </c>
      <c r="H64" s="217">
        <f t="shared" si="135"/>
        <v>60.18</v>
      </c>
      <c r="I64" s="217">
        <f t="shared" si="175"/>
        <v>3.54</v>
      </c>
      <c r="J64" s="541">
        <f t="shared" si="136"/>
        <v>11.351740439294371</v>
      </c>
      <c r="K64" s="443">
        <f t="shared" si="137"/>
        <v>8.5423883669956115</v>
      </c>
      <c r="L64" s="172">
        <f t="shared" si="138"/>
        <v>19.894128806289984</v>
      </c>
      <c r="M64" s="443"/>
      <c r="N64" s="217">
        <f t="shared" si="139"/>
        <v>0.42939243282142314</v>
      </c>
      <c r="O64" s="172">
        <f t="shared" si="172"/>
        <v>153.45180471807592</v>
      </c>
      <c r="P64" s="172">
        <f t="shared" si="140"/>
        <v>9.0265767481221122</v>
      </c>
      <c r="Q64" s="217">
        <f t="shared" si="6"/>
        <v>0.90265767481221126</v>
      </c>
      <c r="R64" s="217">
        <f t="shared" si="141"/>
        <v>12.787650393172994</v>
      </c>
      <c r="S64" s="443">
        <f t="shared" si="142"/>
        <v>170</v>
      </c>
      <c r="T64" s="217">
        <f t="shared" si="143"/>
        <v>26.145016719555109</v>
      </c>
      <c r="U64" s="217">
        <f t="shared" si="10"/>
        <v>1.1515862637703285</v>
      </c>
      <c r="V64" s="217">
        <f t="shared" si="11"/>
        <v>1.5303107044728288</v>
      </c>
      <c r="W64" s="197">
        <f t="shared" si="12"/>
        <v>350</v>
      </c>
      <c r="X64" s="443">
        <f t="shared" si="95"/>
        <v>346.9936680663547</v>
      </c>
      <c r="Z64" s="217">
        <f t="shared" si="13"/>
        <v>27.853436822776807</v>
      </c>
      <c r="AA64" s="173">
        <f t="shared" si="14"/>
        <v>1.6303073347959336</v>
      </c>
      <c r="AB64" s="173">
        <f t="shared" si="144"/>
        <v>0.37526040415432871</v>
      </c>
      <c r="AC64" s="173"/>
      <c r="AD64" s="173">
        <f t="shared" si="16"/>
        <v>0.78042186567213601</v>
      </c>
      <c r="AE64" s="545">
        <f t="shared" si="145"/>
        <v>1440.8496707954832</v>
      </c>
      <c r="AF64" s="528">
        <f t="shared" si="146"/>
        <v>8.5990927791652016E-2</v>
      </c>
      <c r="AH64" s="173">
        <f t="shared" si="147"/>
        <v>26.985710504423846</v>
      </c>
      <c r="AI64" s="173">
        <f t="shared" si="148"/>
        <v>26.985710504423846</v>
      </c>
      <c r="AJ64" s="173">
        <f t="shared" si="149"/>
        <v>11.312871978585564</v>
      </c>
      <c r="AL64" s="545">
        <f t="shared" si="150"/>
        <v>354</v>
      </c>
      <c r="AM64" s="460">
        <f t="shared" si="151"/>
        <v>346.9936680663547</v>
      </c>
      <c r="AO64">
        <f t="shared" si="96"/>
        <v>354</v>
      </c>
      <c r="AP64">
        <f t="shared" si="24"/>
        <v>346.9936680663547</v>
      </c>
      <c r="AR64" s="5">
        <f t="shared" si="97"/>
        <v>2.881896968243157</v>
      </c>
      <c r="AS64" s="5">
        <f t="shared" si="25"/>
        <v>1.1886155540965349</v>
      </c>
      <c r="AT64" s="5">
        <f t="shared" si="98"/>
        <v>1.6932814141466221</v>
      </c>
      <c r="AU64" s="173">
        <f t="shared" si="99"/>
        <v>0.41244207103667929</v>
      </c>
      <c r="AW64" s="5">
        <f t="shared" si="152"/>
        <v>0.2475117095001019</v>
      </c>
      <c r="AX64" s="5">
        <f t="shared" si="153"/>
        <v>2.9220132371539811</v>
      </c>
      <c r="AY64" s="5">
        <f t="shared" si="28"/>
        <v>14.362791474774482</v>
      </c>
      <c r="AZ64" s="5"/>
      <c r="BA64" s="173">
        <f t="shared" si="100"/>
        <v>10.005866615609104</v>
      </c>
      <c r="BB64" s="173">
        <f t="shared" si="154"/>
        <v>0.56395570710781784</v>
      </c>
      <c r="BC64" s="173">
        <f t="shared" si="155"/>
        <v>0.44588809265078516</v>
      </c>
      <c r="BD64" s="173"/>
      <c r="BE64" s="528">
        <f t="shared" si="31"/>
        <v>4.0046946691744321</v>
      </c>
      <c r="BF64" s="528">
        <f t="shared" si="156"/>
        <v>4.1914361092546484</v>
      </c>
      <c r="BG64" s="528">
        <f t="shared" si="157"/>
        <v>0.15755928215871706</v>
      </c>
      <c r="BH64" s="528">
        <f t="shared" si="34"/>
        <v>2.7466378244780036E-2</v>
      </c>
      <c r="BI64">
        <f t="shared" si="35"/>
        <v>5.1082831976824667E-3</v>
      </c>
      <c r="BJ64" s="460">
        <f t="shared" si="101"/>
        <v>162.66756535639954</v>
      </c>
      <c r="BK64">
        <f t="shared" si="158"/>
        <v>191.91402970763366</v>
      </c>
      <c r="BL64" s="460">
        <f t="shared" si="102"/>
        <v>191914.02970763366</v>
      </c>
      <c r="BM64" s="173">
        <f t="shared" si="159"/>
        <v>0.30727199999999993</v>
      </c>
      <c r="BN64" s="173">
        <f t="shared" si="160"/>
        <v>0.25606000000000001</v>
      </c>
      <c r="BO64" s="528"/>
      <c r="BQ64" s="460">
        <f t="shared" si="103"/>
        <v>563.33199999999999</v>
      </c>
      <c r="BR64" s="528">
        <f t="shared" si="39"/>
        <v>3.0035210018808236</v>
      </c>
      <c r="BS64" s="528">
        <f t="shared" si="104"/>
        <v>9.5413811873843631E-3</v>
      </c>
      <c r="BT64" s="528">
        <f t="shared" si="161"/>
        <v>9.940809558387758E-4</v>
      </c>
      <c r="BU64" s="528">
        <f t="shared" si="41"/>
        <v>424.2369791295788</v>
      </c>
      <c r="BV64" s="528">
        <f t="shared" si="162"/>
        <v>563.95867148303773</v>
      </c>
      <c r="BW64" s="625">
        <f t="shared" si="163"/>
        <v>6.3172675797680355</v>
      </c>
      <c r="BX64" s="460">
        <f t="shared" si="105"/>
        <v>570275.93906280573</v>
      </c>
      <c r="BY64" s="173">
        <f t="shared" si="106"/>
        <v>762.75330077043941</v>
      </c>
      <c r="BZ64" s="5">
        <f t="shared" si="107"/>
        <v>63.72</v>
      </c>
      <c r="CA64" s="173">
        <f t="shared" si="108"/>
        <v>7.7098679341002466E-2</v>
      </c>
      <c r="CB64" s="5">
        <f t="shared" si="109"/>
        <v>7.709867934100247</v>
      </c>
      <c r="CC64">
        <f t="shared" si="173"/>
        <v>59</v>
      </c>
      <c r="CE64" s="562">
        <f t="shared" si="164"/>
        <v>-50</v>
      </c>
      <c r="CF64">
        <f t="shared" si="165"/>
        <v>-50</v>
      </c>
      <c r="CG64" s="173">
        <f t="shared" si="166"/>
        <v>0.53914236227875745</v>
      </c>
      <c r="CH64" s="173">
        <f t="shared" si="167"/>
        <v>0.13416627593459146</v>
      </c>
      <c r="CI64" s="170">
        <v>59</v>
      </c>
      <c r="CJ64" s="217">
        <f t="shared" si="133"/>
        <v>0.35399999999999998</v>
      </c>
      <c r="CK64" s="217">
        <f t="shared" si="111"/>
        <v>0.29499999999999998</v>
      </c>
      <c r="CL64" s="217">
        <f t="shared" si="48"/>
        <v>60.18</v>
      </c>
      <c r="CM64" s="217">
        <f t="shared" si="134"/>
        <v>3.54</v>
      </c>
      <c r="CN64" s="541">
        <f t="shared" si="112"/>
        <v>12.5</v>
      </c>
      <c r="CO64" s="443">
        <f t="shared" si="168"/>
        <v>8.5350000000000001</v>
      </c>
      <c r="CP64" s="443">
        <f t="shared" si="169"/>
        <v>21.035</v>
      </c>
      <c r="CQ64" s="443"/>
      <c r="CR64" s="217">
        <f t="shared" si="113"/>
        <v>0.40546967895362668</v>
      </c>
      <c r="CS64" s="172">
        <f t="shared" si="114"/>
        <v>159.55982736601052</v>
      </c>
      <c r="CT64" s="172">
        <f t="shared" si="51"/>
        <v>9.3858721980006177</v>
      </c>
      <c r="CU64" s="217">
        <f t="shared" si="52"/>
        <v>0.93858721980006188</v>
      </c>
      <c r="CV64" s="217">
        <f t="shared" si="53"/>
        <v>13.296652280500878</v>
      </c>
      <c r="CW64" s="443">
        <f t="shared" si="54"/>
        <v>170</v>
      </c>
      <c r="CX64" s="217">
        <f t="shared" si="55"/>
        <v>25.14417360703812</v>
      </c>
      <c r="CY64" s="217">
        <f t="shared" si="56"/>
        <v>1.0057669442815249</v>
      </c>
      <c r="CZ64" s="217">
        <f t="shared" si="57"/>
        <v>1.4730037262471072</v>
      </c>
      <c r="DA64" s="197">
        <f t="shared" si="58"/>
        <v>350</v>
      </c>
      <c r="DB64" s="443">
        <f t="shared" si="115"/>
        <v>350</v>
      </c>
      <c r="DD64" s="217">
        <f t="shared" si="59"/>
        <v>28.98230839756868</v>
      </c>
      <c r="DE64" s="173">
        <f t="shared" si="60"/>
        <v>1.6978505212401103</v>
      </c>
      <c r="DF64" s="173">
        <f t="shared" si="61"/>
        <v>0.40664636548103333</v>
      </c>
      <c r="DG64" s="173"/>
      <c r="DH64" s="173">
        <f t="shared" si="62"/>
        <v>0.78109744190587771</v>
      </c>
      <c r="DI64" s="545">
        <f t="shared" si="63"/>
        <v>1439.6034705882353</v>
      </c>
      <c r="DJ64" s="528">
        <f t="shared" si="64"/>
        <v>8.6065366284073561E-2</v>
      </c>
      <c r="DL64" s="173">
        <f t="shared" si="65"/>
        <v>26.985710504423846</v>
      </c>
      <c r="DM64" s="173">
        <f t="shared" si="66"/>
        <v>26.985710504423846</v>
      </c>
      <c r="DN64" s="173">
        <f t="shared" si="67"/>
        <v>11.312871978585564</v>
      </c>
      <c r="DP64" s="545">
        <f t="shared" si="68"/>
        <v>354</v>
      </c>
      <c r="DQ64" s="460">
        <f t="shared" si="69"/>
        <v>350</v>
      </c>
      <c r="DS64">
        <f t="shared" si="116"/>
        <v>354</v>
      </c>
      <c r="DT64">
        <f t="shared" si="70"/>
        <v>350</v>
      </c>
      <c r="DV64" s="5">
        <f t="shared" si="117"/>
        <v>2.8571428571428572</v>
      </c>
      <c r="DW64" s="5">
        <f t="shared" si="71"/>
        <v>1.0794284201769537</v>
      </c>
      <c r="DX64" s="5">
        <f t="shared" si="118"/>
        <v>1.7777144369659035</v>
      </c>
      <c r="DY64" s="173">
        <f t="shared" si="119"/>
        <v>0.37779994706193382</v>
      </c>
      <c r="EA64" s="5">
        <f t="shared" si="72"/>
        <v>0.22477509455449504</v>
      </c>
      <c r="EB64" s="5">
        <f t="shared" si="73"/>
        <v>2.6535948662683442</v>
      </c>
      <c r="EC64" s="5">
        <f t="shared" si="74"/>
        <v>13.693805416525834</v>
      </c>
      <c r="ED64" s="5"/>
      <c r="EE64" s="173">
        <f t="shared" si="120"/>
        <v>9.5764418537489178</v>
      </c>
      <c r="EF64" s="173">
        <f t="shared" si="75"/>
        <v>0.58034289542864825</v>
      </c>
      <c r="EG64" s="173">
        <f t="shared" si="76"/>
        <v>0.45884452176781038</v>
      </c>
      <c r="EH64" s="173"/>
      <c r="EI64" s="528">
        <f t="shared" si="77"/>
        <v>3.6683295431293601</v>
      </c>
      <c r="EJ64" s="528">
        <f t="shared" si="78"/>
        <v>5.4635775469328483</v>
      </c>
      <c r="EK64" s="528">
        <f t="shared" si="79"/>
        <v>6.9999999999999993E-2</v>
      </c>
      <c r="EL64" s="528">
        <f t="shared" si="80"/>
        <v>3.0972985749999998E-2</v>
      </c>
      <c r="EM64">
        <f t="shared" si="81"/>
        <v>5.6249999999999998E-3</v>
      </c>
      <c r="EN64" s="460">
        <f t="shared" si="121"/>
        <v>75.625</v>
      </c>
      <c r="EO64">
        <f t="shared" si="82"/>
        <v>79.661710794890936</v>
      </c>
      <c r="EP64" s="460">
        <f t="shared" si="122"/>
        <v>79661.71079489094</v>
      </c>
      <c r="EQ64" s="173">
        <f t="shared" si="83"/>
        <v>0.30727199999999993</v>
      </c>
      <c r="ER64" s="173">
        <f t="shared" si="170"/>
        <v>0.25606000000000001</v>
      </c>
      <c r="ES64" s="528"/>
      <c r="EU64" s="460">
        <f t="shared" si="123"/>
        <v>563.33199999999999</v>
      </c>
      <c r="EV64" s="528">
        <f t="shared" si="85"/>
        <v>2.7512471573470201</v>
      </c>
      <c r="EW64" s="528">
        <f t="shared" si="124"/>
        <v>1.0103936288235209E-2</v>
      </c>
      <c r="EX64" s="528">
        <f t="shared" si="86"/>
        <v>1.0526914757816531E-3</v>
      </c>
      <c r="EY64" s="528">
        <f t="shared" si="87"/>
        <v>433.48568250970703</v>
      </c>
      <c r="EZ64" s="528">
        <f t="shared" si="88"/>
        <v>560.85590011321233</v>
      </c>
      <c r="FA64" s="625">
        <f t="shared" si="89"/>
        <v>6.3720000000000008</v>
      </c>
      <c r="FB64" s="460">
        <f t="shared" si="125"/>
        <v>567227.90011321229</v>
      </c>
      <c r="FC64" s="173">
        <f t="shared" si="126"/>
        <v>647.45294290810318</v>
      </c>
      <c r="FD64" s="5">
        <f t="shared" si="127"/>
        <v>63.72</v>
      </c>
      <c r="FE64" s="173">
        <f t="shared" si="128"/>
        <v>8.9598459327541957E-2</v>
      </c>
      <c r="FF64" s="5">
        <f t="shared" si="129"/>
        <v>8.9598459327541953</v>
      </c>
      <c r="FG64">
        <f t="shared" si="130"/>
        <v>59</v>
      </c>
      <c r="FI64" s="562">
        <f t="shared" si="90"/>
        <v>-50</v>
      </c>
      <c r="FJ64">
        <f t="shared" si="91"/>
        <v>-50</v>
      </c>
      <c r="FL64">
        <f t="shared" si="92"/>
        <v>0.53914236227875756</v>
      </c>
    </row>
    <row r="65" spans="5:168">
      <c r="E65" s="170">
        <v>60</v>
      </c>
      <c r="F65" s="217">
        <f t="shared" si="174"/>
        <v>0.36</v>
      </c>
      <c r="G65" s="217">
        <f t="shared" si="171"/>
        <v>0.3</v>
      </c>
      <c r="H65" s="217">
        <f t="shared" si="135"/>
        <v>61.199999999999996</v>
      </c>
      <c r="I65" s="217">
        <f t="shared" si="175"/>
        <v>3.5999999999999996</v>
      </c>
      <c r="J65" s="541">
        <f t="shared" si="136"/>
        <v>11.342050313400089</v>
      </c>
      <c r="K65" s="443">
        <f t="shared" si="137"/>
        <v>8.5424507171895847</v>
      </c>
      <c r="L65" s="172">
        <f t="shared" si="138"/>
        <v>19.884501030589675</v>
      </c>
      <c r="M65" s="443"/>
      <c r="N65" s="217">
        <f t="shared" si="139"/>
        <v>0.42960347378333275</v>
      </c>
      <c r="O65" s="172">
        <f t="shared" si="172"/>
        <v>153.39616971454495</v>
      </c>
      <c r="P65" s="172">
        <f t="shared" si="140"/>
        <v>9.0233041008555848</v>
      </c>
      <c r="Q65" s="217">
        <f t="shared" si="6"/>
        <v>0.90233041008555859</v>
      </c>
      <c r="R65" s="217">
        <f t="shared" si="141"/>
        <v>12.783014142878747</v>
      </c>
      <c r="S65" s="443">
        <f t="shared" si="142"/>
        <v>170</v>
      </c>
      <c r="T65" s="217">
        <f t="shared" si="143"/>
        <v>26.597795809324804</v>
      </c>
      <c r="U65" s="217">
        <f t="shared" si="10"/>
        <v>1.1725303218722625</v>
      </c>
      <c r="V65" s="217">
        <f t="shared" si="11"/>
        <v>1.5568012441560399</v>
      </c>
      <c r="W65" s="197">
        <f t="shared" si="12"/>
        <v>350</v>
      </c>
      <c r="X65" s="443">
        <f t="shared" si="95"/>
        <v>341.37480768550802</v>
      </c>
      <c r="Z65" s="217">
        <f t="shared" si="13"/>
        <v>27.843338368354381</v>
      </c>
      <c r="AA65" s="173">
        <f t="shared" si="14"/>
        <v>1.6297043606190491</v>
      </c>
      <c r="AB65" s="173">
        <f t="shared" si="144"/>
        <v>0.37498561002908049</v>
      </c>
      <c r="AC65" s="173"/>
      <c r="AD65" s="173">
        <f t="shared" si="16"/>
        <v>0.78041616947834846</v>
      </c>
      <c r="AE65" s="545">
        <f t="shared" si="145"/>
        <v>1465.2815465485194</v>
      </c>
      <c r="AF65" s="528">
        <f t="shared" si="146"/>
        <v>8.5990300155484686E-2</v>
      </c>
      <c r="AH65" s="173">
        <f t="shared" si="147"/>
        <v>27.213442056664359</v>
      </c>
      <c r="AI65" s="173">
        <f t="shared" si="148"/>
        <v>27.213442056664359</v>
      </c>
      <c r="AJ65" s="173">
        <f t="shared" si="149"/>
        <v>11.48156201728224</v>
      </c>
      <c r="AL65" s="545">
        <f t="shared" si="150"/>
        <v>360</v>
      </c>
      <c r="AM65" s="460">
        <f t="shared" si="151"/>
        <v>341.37480768550802</v>
      </c>
      <c r="AO65">
        <f t="shared" si="96"/>
        <v>360</v>
      </c>
      <c r="AP65">
        <f t="shared" si="24"/>
        <v>341.37480768550802</v>
      </c>
      <c r="AR65" s="5">
        <f t="shared" si="97"/>
        <v>2.9293315660283032</v>
      </c>
      <c r="AS65" s="5">
        <f t="shared" si="25"/>
        <v>1.1996703111302982</v>
      </c>
      <c r="AT65" s="5">
        <f t="shared" si="98"/>
        <v>1.729661254898005</v>
      </c>
      <c r="AU65" s="173">
        <f t="shared" si="99"/>
        <v>0.40953722174811907</v>
      </c>
      <c r="AW65" s="5">
        <f t="shared" si="152"/>
        <v>0.25404783059229841</v>
      </c>
      <c r="AX65" s="5">
        <f t="shared" si="153"/>
        <v>2.9991757778257453</v>
      </c>
      <c r="AY65" s="5">
        <f t="shared" si="28"/>
        <v>14.932787758798071</v>
      </c>
      <c r="AZ65" s="5"/>
      <c r="BA65" s="173">
        <f t="shared" si="100"/>
        <v>10.054709764801409</v>
      </c>
      <c r="BB65" s="173">
        <f t="shared" si="154"/>
        <v>0.57011902335396869</v>
      </c>
      <c r="BC65" s="173">
        <f t="shared" si="155"/>
        <v>0.45076108053044212</v>
      </c>
      <c r="BD65" s="173"/>
      <c r="BE65" s="528">
        <f t="shared" si="31"/>
        <v>4.0438875381757127</v>
      </c>
      <c r="BF65" s="528">
        <f t="shared" si="156"/>
        <v>4.1563504675213494</v>
      </c>
      <c r="BG65" s="528">
        <f t="shared" si="157"/>
        <v>0.15487560977985243</v>
      </c>
      <c r="BH65" s="528">
        <f t="shared" si="34"/>
        <v>2.6995467895879807E-2</v>
      </c>
      <c r="BI65">
        <f t="shared" si="35"/>
        <v>5.1039226410300393E-3</v>
      </c>
      <c r="BJ65" s="460">
        <f t="shared" si="101"/>
        <v>159.97953242088246</v>
      </c>
      <c r="BK65">
        <f t="shared" si="158"/>
        <v>237.89969263460276</v>
      </c>
      <c r="BL65" s="460">
        <f t="shared" si="102"/>
        <v>237899.69263460275</v>
      </c>
      <c r="BM65" s="173">
        <f t="shared" si="159"/>
        <v>0.31247999999999998</v>
      </c>
      <c r="BN65" s="173">
        <f t="shared" si="160"/>
        <v>0.26039999999999996</v>
      </c>
      <c r="BO65" s="528"/>
      <c r="BQ65" s="460">
        <f t="shared" si="103"/>
        <v>572.88</v>
      </c>
      <c r="BR65" s="528">
        <f t="shared" si="39"/>
        <v>3.0329156536317843</v>
      </c>
      <c r="BS65" s="528">
        <f t="shared" si="104"/>
        <v>9.7510710237024931E-3</v>
      </c>
      <c r="BT65" s="528">
        <f t="shared" si="161"/>
        <v>1.0159277586048586E-3</v>
      </c>
      <c r="BU65" s="528">
        <f t="shared" si="41"/>
        <v>415.9176653353199</v>
      </c>
      <c r="BV65" s="528">
        <f t="shared" si="162"/>
        <v>554.77705590572214</v>
      </c>
      <c r="BW65" s="625">
        <f t="shared" si="163"/>
        <v>6.3203107251488344</v>
      </c>
      <c r="BX65" s="460">
        <f t="shared" si="105"/>
        <v>561097.36663087097</v>
      </c>
      <c r="BY65" s="173">
        <f t="shared" si="106"/>
        <v>799.56993926547375</v>
      </c>
      <c r="BZ65" s="5">
        <f t="shared" si="107"/>
        <v>64.8</v>
      </c>
      <c r="CA65" s="173">
        <f t="shared" si="108"/>
        <v>7.4967900960398848E-2</v>
      </c>
      <c r="CB65" s="5">
        <f t="shared" si="109"/>
        <v>7.4967900960398843</v>
      </c>
      <c r="CC65">
        <f t="shared" si="173"/>
        <v>60</v>
      </c>
      <c r="CE65" s="562">
        <f t="shared" si="164"/>
        <v>-50</v>
      </c>
      <c r="CF65">
        <f t="shared" si="165"/>
        <v>-50</v>
      </c>
      <c r="CG65" s="173">
        <f t="shared" si="166"/>
        <v>0.54369216751809823</v>
      </c>
      <c r="CH65" s="173">
        <f t="shared" si="167"/>
        <v>0.13529850086792813</v>
      </c>
      <c r="CI65" s="170">
        <v>60</v>
      </c>
      <c r="CJ65" s="217">
        <f t="shared" si="133"/>
        <v>0.36</v>
      </c>
      <c r="CK65" s="217">
        <f t="shared" si="111"/>
        <v>0.3</v>
      </c>
      <c r="CL65" s="217">
        <f t="shared" si="48"/>
        <v>61.199999999999996</v>
      </c>
      <c r="CM65" s="217">
        <f t="shared" si="134"/>
        <v>3.5999999999999996</v>
      </c>
      <c r="CN65" s="541">
        <f t="shared" si="112"/>
        <v>12.5</v>
      </c>
      <c r="CO65" s="443">
        <f t="shared" si="168"/>
        <v>8.5350000000000001</v>
      </c>
      <c r="CP65" s="443">
        <f t="shared" si="169"/>
        <v>21.035</v>
      </c>
      <c r="CQ65" s="443"/>
      <c r="CR65" s="217">
        <f t="shared" si="113"/>
        <v>0.40546967895362668</v>
      </c>
      <c r="CS65" s="172">
        <f t="shared" si="114"/>
        <v>159.55982736601052</v>
      </c>
      <c r="CT65" s="172">
        <f t="shared" si="51"/>
        <v>9.3858721980006177</v>
      </c>
      <c r="CU65" s="217">
        <f t="shared" si="52"/>
        <v>0.93858721980006188</v>
      </c>
      <c r="CV65" s="217">
        <f t="shared" si="53"/>
        <v>13.296652280500878</v>
      </c>
      <c r="CW65" s="443">
        <f t="shared" si="54"/>
        <v>170</v>
      </c>
      <c r="CX65" s="217">
        <f t="shared" si="55"/>
        <v>25.570346041055714</v>
      </c>
      <c r="CY65" s="217">
        <f t="shared" si="56"/>
        <v>1.0228138416422285</v>
      </c>
      <c r="CZ65" s="217">
        <f t="shared" si="57"/>
        <v>1.4979698910987531</v>
      </c>
      <c r="DA65" s="197">
        <f t="shared" si="58"/>
        <v>350</v>
      </c>
      <c r="DB65" s="443">
        <f t="shared" si="115"/>
        <v>350</v>
      </c>
      <c r="DD65" s="217">
        <f t="shared" si="59"/>
        <v>28.98230839756868</v>
      </c>
      <c r="DE65" s="173">
        <f t="shared" si="60"/>
        <v>1.6978505212401103</v>
      </c>
      <c r="DF65" s="173">
        <f t="shared" si="61"/>
        <v>0.40664636548103333</v>
      </c>
      <c r="DG65" s="173"/>
      <c r="DH65" s="173">
        <f t="shared" si="62"/>
        <v>0.78109744190587771</v>
      </c>
      <c r="DI65" s="545">
        <f t="shared" si="63"/>
        <v>1464.0035294117649</v>
      </c>
      <c r="DJ65" s="528">
        <f t="shared" si="64"/>
        <v>8.6065366284073561E-2</v>
      </c>
      <c r="DL65" s="173">
        <f t="shared" si="65"/>
        <v>27.213442056664359</v>
      </c>
      <c r="DM65" s="173">
        <f t="shared" si="66"/>
        <v>27.213442056664359</v>
      </c>
      <c r="DN65" s="173">
        <f t="shared" si="67"/>
        <v>11.48156201728224</v>
      </c>
      <c r="DP65" s="545">
        <f t="shared" si="68"/>
        <v>360</v>
      </c>
      <c r="DQ65" s="460">
        <f t="shared" si="69"/>
        <v>350</v>
      </c>
      <c r="DS65">
        <f t="shared" si="116"/>
        <v>360</v>
      </c>
      <c r="DT65">
        <f t="shared" si="70"/>
        <v>350</v>
      </c>
      <c r="DV65" s="5">
        <f t="shared" si="117"/>
        <v>2.8571428571428572</v>
      </c>
      <c r="DW65" s="5">
        <f t="shared" si="71"/>
        <v>1.0885376822665744</v>
      </c>
      <c r="DX65" s="5">
        <f t="shared" si="118"/>
        <v>1.7686051748762828</v>
      </c>
      <c r="DY65" s="173">
        <f t="shared" si="119"/>
        <v>0.38098818879330104</v>
      </c>
      <c r="EA65" s="5">
        <f t="shared" si="72"/>
        <v>0.23051386212703928</v>
      </c>
      <c r="EB65" s="5">
        <f t="shared" si="73"/>
        <v>2.7213442056664356</v>
      </c>
      <c r="EC65" s="5">
        <f t="shared" si="74"/>
        <v>13.854545497910848</v>
      </c>
      <c r="ED65" s="5"/>
      <c r="EE65" s="173">
        <f t="shared" si="120"/>
        <v>9.6979201764003005</v>
      </c>
      <c r="EF65" s="173">
        <f t="shared" si="75"/>
        <v>0.58373903732132781</v>
      </c>
      <c r="EG65" s="173">
        <f t="shared" si="76"/>
        <v>0.4615296603554917</v>
      </c>
      <c r="EH65" s="173"/>
      <c r="EI65" s="528">
        <f t="shared" si="77"/>
        <v>3.7619862299132816</v>
      </c>
      <c r="EJ65" s="528">
        <f t="shared" si="78"/>
        <v>5.5096845039961222</v>
      </c>
      <c r="EK65" s="528">
        <f t="shared" si="79"/>
        <v>6.9999999999999993E-2</v>
      </c>
      <c r="EL65" s="528">
        <f t="shared" si="80"/>
        <v>3.0972985749999998E-2</v>
      </c>
      <c r="EM65">
        <f t="shared" si="81"/>
        <v>5.6249999999999998E-3</v>
      </c>
      <c r="EN65" s="460">
        <f t="shared" si="121"/>
        <v>75.625</v>
      </c>
      <c r="EO65">
        <f t="shared" si="82"/>
        <v>97.916176558491529</v>
      </c>
      <c r="EP65" s="460">
        <f t="shared" si="122"/>
        <v>97916.176558491527</v>
      </c>
      <c r="EQ65" s="173">
        <f t="shared" si="83"/>
        <v>0.31247999999999998</v>
      </c>
      <c r="ER65" s="173">
        <f t="shared" si="170"/>
        <v>0.26039999999999996</v>
      </c>
      <c r="ES65" s="528"/>
      <c r="EU65" s="460">
        <f t="shared" si="123"/>
        <v>572.88</v>
      </c>
      <c r="EV65" s="528">
        <f t="shared" si="85"/>
        <v>2.8214896724349607</v>
      </c>
      <c r="EW65" s="528">
        <f t="shared" si="124"/>
        <v>1.0222537910784917E-2</v>
      </c>
      <c r="EX65" s="528">
        <f t="shared" si="86"/>
        <v>1.0650481369392777E-3</v>
      </c>
      <c r="EY65" s="528">
        <f t="shared" si="87"/>
        <v>442.68907703166855</v>
      </c>
      <c r="EZ65" s="528">
        <f t="shared" si="88"/>
        <v>576.95179469164907</v>
      </c>
      <c r="FA65" s="625">
        <f t="shared" si="89"/>
        <v>6.48</v>
      </c>
      <c r="FB65" s="460">
        <f t="shared" si="125"/>
        <v>583431.79469164903</v>
      </c>
      <c r="FC65" s="173">
        <f t="shared" si="126"/>
        <v>681.92085125014057</v>
      </c>
      <c r="FD65" s="5">
        <f t="shared" si="127"/>
        <v>64.8</v>
      </c>
      <c r="FE65" s="173">
        <f t="shared" si="128"/>
        <v>8.6779416821578678E-2</v>
      </c>
      <c r="FF65" s="5">
        <f t="shared" si="129"/>
        <v>8.6779416821578685</v>
      </c>
      <c r="FG65">
        <f t="shared" si="130"/>
        <v>60</v>
      </c>
      <c r="FI65" s="562">
        <f t="shared" si="90"/>
        <v>-50</v>
      </c>
      <c r="FJ65">
        <f t="shared" si="91"/>
        <v>-50</v>
      </c>
      <c r="FL65">
        <f t="shared" si="92"/>
        <v>0.54369216751809823</v>
      </c>
    </row>
    <row r="66" spans="5:168">
      <c r="E66" s="170">
        <v>61</v>
      </c>
      <c r="F66" s="217">
        <f t="shared" si="174"/>
        <v>0.36599999999999999</v>
      </c>
      <c r="G66" s="217">
        <f t="shared" si="171"/>
        <v>0.30499999999999999</v>
      </c>
      <c r="H66" s="217">
        <f t="shared" si="135"/>
        <v>62.22</v>
      </c>
      <c r="I66" s="217">
        <f t="shared" si="175"/>
        <v>3.66</v>
      </c>
      <c r="J66" s="541">
        <f t="shared" si="136"/>
        <v>11.332440607659816</v>
      </c>
      <c r="K66" s="443">
        <f t="shared" si="137"/>
        <v>8.5425125499277197</v>
      </c>
      <c r="L66" s="172">
        <f t="shared" si="138"/>
        <v>19.874953157587534</v>
      </c>
      <c r="M66" s="443"/>
      <c r="N66" s="217">
        <f t="shared" si="139"/>
        <v>0.42981296520271289</v>
      </c>
      <c r="O66" s="172">
        <f t="shared" si="172"/>
        <v>153.34094131398575</v>
      </c>
      <c r="P66" s="172">
        <f t="shared" si="140"/>
        <v>9.0200553714109244</v>
      </c>
      <c r="Q66" s="217">
        <f t="shared" si="6"/>
        <v>0.90200553714109266</v>
      </c>
      <c r="R66" s="217">
        <f t="shared" si="141"/>
        <v>12.778411776165479</v>
      </c>
      <c r="S66" s="443">
        <f t="shared" si="142"/>
        <v>170</v>
      </c>
      <c r="T66" s="217">
        <f t="shared" si="143"/>
        <v>27.050831724753959</v>
      </c>
      <c r="U66" s="217">
        <f t="shared" si="10"/>
        <v>1.1935130595994377</v>
      </c>
      <c r="V66" s="217">
        <f t="shared" si="11"/>
        <v>1.5833065252554321</v>
      </c>
      <c r="W66" s="197">
        <f t="shared" si="12"/>
        <v>350</v>
      </c>
      <c r="X66" s="443">
        <f t="shared" si="95"/>
        <v>335.92899115810985</v>
      </c>
      <c r="Z66" s="217">
        <f t="shared" si="13"/>
        <v>27.833313717496566</v>
      </c>
      <c r="AA66" s="173">
        <f t="shared" si="14"/>
        <v>1.6291058137065346</v>
      </c>
      <c r="AB66" s="173">
        <f t="shared" si="144"/>
        <v>0.37471292846076992</v>
      </c>
      <c r="AC66" s="173"/>
      <c r="AD66" s="173">
        <f t="shared" si="16"/>
        <v>0.78041052064044969</v>
      </c>
      <c r="AE66" s="545">
        <f t="shared" si="145"/>
        <v>1489.7136885597481</v>
      </c>
      <c r="AF66" s="528">
        <f t="shared" si="146"/>
        <v>8.5989677737234746E-2</v>
      </c>
      <c r="AH66" s="173">
        <f t="shared" si="147"/>
        <v>27.439283622468821</v>
      </c>
      <c r="AI66" s="173">
        <f t="shared" si="148"/>
        <v>27.439283622468821</v>
      </c>
      <c r="AJ66" s="173">
        <f t="shared" si="149"/>
        <v>11.648852066026286</v>
      </c>
      <c r="AL66" s="545">
        <f t="shared" si="150"/>
        <v>366</v>
      </c>
      <c r="AM66" s="460">
        <f t="shared" si="151"/>
        <v>335.92899115810985</v>
      </c>
      <c r="AO66">
        <f t="shared" si="96"/>
        <v>366</v>
      </c>
      <c r="AP66">
        <f t="shared" si="24"/>
        <v>335.92899115810985</v>
      </c>
      <c r="AR66" s="5">
        <f t="shared" si="97"/>
        <v>2.9768195848548706</v>
      </c>
      <c r="AS66" s="5">
        <f t="shared" si="25"/>
        <v>1.2106519933544622</v>
      </c>
      <c r="AT66" s="5">
        <f t="shared" si="98"/>
        <v>1.7661675915004085</v>
      </c>
      <c r="AU66" s="173">
        <f t="shared" si="99"/>
        <v>0.40669310277111914</v>
      </c>
      <c r="AW66" s="5">
        <f t="shared" si="152"/>
        <v>0.26064625268690184</v>
      </c>
      <c r="AX66" s="5">
        <f t="shared" si="153"/>
        <v>3.0770738164425917</v>
      </c>
      <c r="AY66" s="5">
        <f t="shared" si="28"/>
        <v>15.515238257697536</v>
      </c>
      <c r="AZ66" s="5"/>
      <c r="BA66" s="173">
        <f t="shared" si="100"/>
        <v>10.102888151049411</v>
      </c>
      <c r="BB66" s="173">
        <f t="shared" si="154"/>
        <v>0.57623317842053579</v>
      </c>
      <c r="BC66" s="173">
        <f t="shared" si="155"/>
        <v>0.45559519942744542</v>
      </c>
      <c r="BD66" s="173"/>
      <c r="BE66" s="528">
        <f t="shared" si="31"/>
        <v>4.0827339597045835</v>
      </c>
      <c r="BF66" s="528">
        <f t="shared" si="156"/>
        <v>4.1220085313872232</v>
      </c>
      <c r="BG66" s="528">
        <f t="shared" si="157"/>
        <v>0.15227581362761436</v>
      </c>
      <c r="BH66" s="528">
        <f t="shared" si="34"/>
        <v>2.6539314980726786E-2</v>
      </c>
      <c r="BI66">
        <f t="shared" si="35"/>
        <v>5.0995982734469173E-3</v>
      </c>
      <c r="BJ66" s="460">
        <f t="shared" si="101"/>
        <v>157.37541190106128</v>
      </c>
      <c r="BK66">
        <f t="shared" si="158"/>
        <v>311.71905030941235</v>
      </c>
      <c r="BL66" s="460">
        <f t="shared" si="102"/>
        <v>311719.05030941236</v>
      </c>
      <c r="BM66" s="173">
        <f t="shared" si="159"/>
        <v>0.31768799999999997</v>
      </c>
      <c r="BN66" s="173">
        <f t="shared" si="160"/>
        <v>0.26473999999999998</v>
      </c>
      <c r="BO66" s="528"/>
      <c r="BQ66" s="460">
        <f t="shared" si="103"/>
        <v>582.428</v>
      </c>
      <c r="BR66" s="528">
        <f t="shared" si="39"/>
        <v>3.0620504697784376</v>
      </c>
      <c r="BS66" s="528">
        <f t="shared" si="104"/>
        <v>9.9613402773789904E-3</v>
      </c>
      <c r="BT66" s="528">
        <f t="shared" si="161"/>
        <v>1.0378349287066687E-3</v>
      </c>
      <c r="BU66" s="528">
        <f t="shared" si="41"/>
        <v>407.86894583494825</v>
      </c>
      <c r="BV66" s="528">
        <f t="shared" si="162"/>
        <v>545.88110668221134</v>
      </c>
      <c r="BW66" s="625">
        <f t="shared" si="163"/>
        <v>6.3231434107132225</v>
      </c>
      <c r="BX66" s="460">
        <f t="shared" si="105"/>
        <v>552204.25009292457</v>
      </c>
      <c r="BY66" s="173">
        <f t="shared" si="106"/>
        <v>864.5057284023369</v>
      </c>
      <c r="BZ66" s="5">
        <f t="shared" si="107"/>
        <v>65.88</v>
      </c>
      <c r="CA66" s="173">
        <f t="shared" si="108"/>
        <v>7.0809340673281249E-2</v>
      </c>
      <c r="CB66" s="5">
        <f t="shared" si="109"/>
        <v>7.0809340673281245</v>
      </c>
      <c r="CC66">
        <f t="shared" si="173"/>
        <v>61</v>
      </c>
      <c r="CE66" s="562">
        <f t="shared" si="164"/>
        <v>-50</v>
      </c>
      <c r="CF66">
        <f t="shared" si="165"/>
        <v>-50</v>
      </c>
      <c r="CG66" s="173">
        <f t="shared" si="166"/>
        <v>0.54820421307897349</v>
      </c>
      <c r="CH66" s="173">
        <f t="shared" si="167"/>
        <v>0.13642132925631739</v>
      </c>
      <c r="CI66" s="170">
        <v>61</v>
      </c>
      <c r="CJ66" s="217">
        <f t="shared" si="133"/>
        <v>0.36599999999999999</v>
      </c>
      <c r="CK66" s="217">
        <f t="shared" si="111"/>
        <v>0.30499999999999999</v>
      </c>
      <c r="CL66" s="217">
        <f t="shared" si="48"/>
        <v>62.22</v>
      </c>
      <c r="CM66" s="217">
        <f t="shared" si="134"/>
        <v>3.66</v>
      </c>
      <c r="CN66" s="541">
        <f t="shared" si="112"/>
        <v>12.5</v>
      </c>
      <c r="CO66" s="443">
        <f t="shared" si="168"/>
        <v>8.5350000000000001</v>
      </c>
      <c r="CP66" s="443">
        <f t="shared" si="169"/>
        <v>21.035</v>
      </c>
      <c r="CQ66" s="443"/>
      <c r="CR66" s="217">
        <f t="shared" si="113"/>
        <v>0.40546967895362668</v>
      </c>
      <c r="CS66" s="172">
        <f t="shared" si="114"/>
        <v>159.55982736601052</v>
      </c>
      <c r="CT66" s="172">
        <f t="shared" si="51"/>
        <v>9.3858721980006177</v>
      </c>
      <c r="CU66" s="217">
        <f t="shared" si="52"/>
        <v>0.93858721980006188</v>
      </c>
      <c r="CV66" s="217">
        <f t="shared" si="53"/>
        <v>13.296652280500878</v>
      </c>
      <c r="CW66" s="443">
        <f t="shared" si="54"/>
        <v>170</v>
      </c>
      <c r="CX66" s="217">
        <f t="shared" si="55"/>
        <v>25.996518475073309</v>
      </c>
      <c r="CY66" s="217">
        <f t="shared" si="56"/>
        <v>1.0398607390029322</v>
      </c>
      <c r="CZ66" s="217">
        <f t="shared" si="57"/>
        <v>1.5229360559503986</v>
      </c>
      <c r="DA66" s="197">
        <f t="shared" si="58"/>
        <v>350</v>
      </c>
      <c r="DB66" s="443">
        <f t="shared" si="115"/>
        <v>350</v>
      </c>
      <c r="DD66" s="217">
        <f t="shared" si="59"/>
        <v>28.98230839756868</v>
      </c>
      <c r="DE66" s="173">
        <f t="shared" si="60"/>
        <v>1.6978505212401103</v>
      </c>
      <c r="DF66" s="173">
        <f t="shared" si="61"/>
        <v>0.40664636548103333</v>
      </c>
      <c r="DG66" s="173"/>
      <c r="DH66" s="173">
        <f t="shared" si="62"/>
        <v>0.78109744190587771</v>
      </c>
      <c r="DI66" s="545">
        <f t="shared" si="63"/>
        <v>1488.4035882352941</v>
      </c>
      <c r="DJ66" s="528">
        <f t="shared" si="64"/>
        <v>8.6065366284073561E-2</v>
      </c>
      <c r="DL66" s="173">
        <f t="shared" si="65"/>
        <v>27.439283622468821</v>
      </c>
      <c r="DM66" s="173">
        <f t="shared" si="66"/>
        <v>27.439283622468821</v>
      </c>
      <c r="DN66" s="173">
        <f t="shared" si="67"/>
        <v>11.648852066026286</v>
      </c>
      <c r="DP66" s="545">
        <f t="shared" si="68"/>
        <v>366</v>
      </c>
      <c r="DQ66" s="460">
        <f t="shared" si="69"/>
        <v>350</v>
      </c>
      <c r="DS66">
        <f t="shared" si="116"/>
        <v>366</v>
      </c>
      <c r="DT66">
        <f t="shared" si="70"/>
        <v>350</v>
      </c>
      <c r="DV66" s="5">
        <f t="shared" si="117"/>
        <v>2.8571428571428572</v>
      </c>
      <c r="DW66" s="5">
        <f t="shared" si="71"/>
        <v>1.0975713448987527</v>
      </c>
      <c r="DX66" s="5">
        <f t="shared" si="118"/>
        <v>1.7595715122441045</v>
      </c>
      <c r="DY66" s="173">
        <f t="shared" si="119"/>
        <v>0.38414997071456347</v>
      </c>
      <c r="EA66" s="5">
        <f t="shared" si="72"/>
        <v>0.23630065425467262</v>
      </c>
      <c r="EB66" s="5">
        <f t="shared" si="73"/>
        <v>2.789660501617663</v>
      </c>
      <c r="EC66" s="5">
        <f t="shared" si="74"/>
        <v>14.013509054954005</v>
      </c>
      <c r="ED66" s="5"/>
      <c r="EE66" s="173">
        <f t="shared" si="120"/>
        <v>9.8188933661541746</v>
      </c>
      <c r="EF66" s="173">
        <f t="shared" si="75"/>
        <v>0.58707832327506271</v>
      </c>
      <c r="EG66" s="173">
        <f t="shared" si="76"/>
        <v>0.4641698461466105</v>
      </c>
      <c r="EH66" s="173"/>
      <c r="EI66" s="528">
        <f t="shared" si="77"/>
        <v>3.8564266774362586</v>
      </c>
      <c r="EJ66" s="528">
        <f t="shared" si="78"/>
        <v>5.5554088108618309</v>
      </c>
      <c r="EK66" s="528">
        <f t="shared" si="79"/>
        <v>6.9999999999999993E-2</v>
      </c>
      <c r="EL66" s="528">
        <f t="shared" si="80"/>
        <v>3.0972985749999998E-2</v>
      </c>
      <c r="EM66">
        <f t="shared" si="81"/>
        <v>5.6249999999999998E-3</v>
      </c>
      <c r="EN66" s="460">
        <f t="shared" si="121"/>
        <v>75.625</v>
      </c>
      <c r="EO66">
        <f t="shared" si="82"/>
        <v>126.14129194201777</v>
      </c>
      <c r="EP66" s="460">
        <f t="shared" si="122"/>
        <v>126141.29194201778</v>
      </c>
      <c r="EQ66" s="173">
        <f t="shared" si="83"/>
        <v>0.31768799999999997</v>
      </c>
      <c r="ER66" s="173">
        <f t="shared" si="170"/>
        <v>0.26473999999999998</v>
      </c>
      <c r="ES66" s="528"/>
      <c r="EU66" s="460">
        <f t="shared" si="123"/>
        <v>582.428</v>
      </c>
      <c r="EV66" s="528">
        <f t="shared" si="85"/>
        <v>2.8923200080771938</v>
      </c>
      <c r="EW66" s="528">
        <f t="shared" si="124"/>
        <v>1.033982872978377E-2</v>
      </c>
      <c r="EX66" s="528">
        <f t="shared" si="86"/>
        <v>1.0772682303588404E-3</v>
      </c>
      <c r="EY66" s="528">
        <f t="shared" si="87"/>
        <v>451.93090059252563</v>
      </c>
      <c r="EZ66" s="528">
        <f t="shared" si="88"/>
        <v>593.37100753290736</v>
      </c>
      <c r="FA66" s="625">
        <f t="shared" si="89"/>
        <v>6.588000000000001</v>
      </c>
      <c r="FB66" s="460">
        <f t="shared" si="125"/>
        <v>599959.0075329073</v>
      </c>
      <c r="FC66" s="173">
        <f t="shared" si="126"/>
        <v>726.68272747492506</v>
      </c>
      <c r="FD66" s="5">
        <f t="shared" si="127"/>
        <v>65.88</v>
      </c>
      <c r="FE66" s="173">
        <f t="shared" si="128"/>
        <v>8.3122758257748494E-2</v>
      </c>
      <c r="FF66" s="5">
        <f t="shared" si="129"/>
        <v>8.312275825774849</v>
      </c>
      <c r="FG66">
        <f t="shared" si="130"/>
        <v>61</v>
      </c>
      <c r="FI66" s="562">
        <f t="shared" si="90"/>
        <v>-50</v>
      </c>
      <c r="FJ66">
        <f t="shared" si="91"/>
        <v>-50</v>
      </c>
      <c r="FL66">
        <f t="shared" si="92"/>
        <v>0.5482042130789736</v>
      </c>
    </row>
    <row r="67" spans="5:168">
      <c r="E67" s="170">
        <v>62</v>
      </c>
      <c r="F67" s="217">
        <f t="shared" si="174"/>
        <v>0.372</v>
      </c>
      <c r="G67" s="217">
        <f t="shared" si="171"/>
        <v>0.31</v>
      </c>
      <c r="H67" s="217">
        <f t="shared" si="135"/>
        <v>63.24</v>
      </c>
      <c r="I67" s="217">
        <f t="shared" si="175"/>
        <v>3.7199999999999998</v>
      </c>
      <c r="J67" s="541">
        <f t="shared" si="136"/>
        <v>11.322909352434262</v>
      </c>
      <c r="K67" s="443">
        <f t="shared" si="137"/>
        <v>8.542573877883477</v>
      </c>
      <c r="L67" s="172">
        <f t="shared" si="138"/>
        <v>19.865483230317739</v>
      </c>
      <c r="M67" s="443"/>
      <c r="N67" s="217">
        <f t="shared" si="139"/>
        <v>0.43002094531716267</v>
      </c>
      <c r="O67" s="172">
        <f t="shared" si="172"/>
        <v>153.28610947974724</v>
      </c>
      <c r="P67" s="172">
        <f t="shared" si="140"/>
        <v>9.0168299693968965</v>
      </c>
      <c r="Q67" s="217">
        <f t="shared" si="6"/>
        <v>0.90168299693968967</v>
      </c>
      <c r="R67" s="217">
        <f t="shared" si="141"/>
        <v>12.773842456645603</v>
      </c>
      <c r="S67" s="443">
        <f t="shared" si="142"/>
        <v>170</v>
      </c>
      <c r="T67" s="217">
        <f t="shared" si="143"/>
        <v>27.504122939182793</v>
      </c>
      <c r="U67" s="217">
        <f t="shared" si="10"/>
        <v>1.2145342722040691</v>
      </c>
      <c r="V67" s="217">
        <f t="shared" si="11"/>
        <v>1.609826460523234</v>
      </c>
      <c r="W67" s="197">
        <f t="shared" si="12"/>
        <v>350</v>
      </c>
      <c r="X67" s="443">
        <f t="shared" si="95"/>
        <v>330.64838766710926</v>
      </c>
      <c r="Z67" s="217">
        <f t="shared" si="13"/>
        <v>27.823361048424708</v>
      </c>
      <c r="AA67" s="173">
        <f t="shared" si="14"/>
        <v>1.6285115848081064</v>
      </c>
      <c r="AB67" s="173">
        <f t="shared" si="144"/>
        <v>0.37444230761689812</v>
      </c>
      <c r="AC67" s="173"/>
      <c r="AD67" s="173">
        <f t="shared" si="16"/>
        <v>0.78040491799860345</v>
      </c>
      <c r="AE67" s="545">
        <f t="shared" si="145"/>
        <v>1514.1460946375582</v>
      </c>
      <c r="AF67" s="528">
        <f t="shared" si="146"/>
        <v>8.5989060409105395E-2</v>
      </c>
      <c r="AH67" s="173">
        <f t="shared" si="147"/>
        <v>27.663281491123627</v>
      </c>
      <c r="AI67" s="173">
        <f t="shared" si="148"/>
        <v>27.663281491123627</v>
      </c>
      <c r="AJ67" s="173">
        <f t="shared" si="149"/>
        <v>11.814776413177993</v>
      </c>
      <c r="AL67" s="545">
        <f t="shared" si="150"/>
        <v>372</v>
      </c>
      <c r="AM67" s="460">
        <f t="shared" si="151"/>
        <v>330.64838766710926</v>
      </c>
      <c r="AO67">
        <f t="shared" si="96"/>
        <v>372</v>
      </c>
      <c r="AP67">
        <f t="shared" si="24"/>
        <v>330.64838766710926</v>
      </c>
      <c r="AR67" s="5">
        <f t="shared" si="97"/>
        <v>3.024360732727303</v>
      </c>
      <c r="AS67" s="5">
        <f t="shared" si="25"/>
        <v>1.2215624372713194</v>
      </c>
      <c r="AT67" s="5">
        <f t="shared" si="98"/>
        <v>1.8027982954559836</v>
      </c>
      <c r="AU67" s="173">
        <f t="shared" si="99"/>
        <v>0.40390765031846609</v>
      </c>
      <c r="AW67" s="5">
        <f t="shared" si="152"/>
        <v>0.26730660392054756</v>
      </c>
      <c r="AX67" s="5">
        <f t="shared" si="153"/>
        <v>3.1557029629509086</v>
      </c>
      <c r="AY67" s="5">
        <f t="shared" si="28"/>
        <v>16.110200748732638</v>
      </c>
      <c r="AZ67" s="5"/>
      <c r="BA67" s="173">
        <f t="shared" si="100"/>
        <v>10.150422231954218</v>
      </c>
      <c r="BB67" s="173">
        <f t="shared" si="154"/>
        <v>0.58229929362157218</v>
      </c>
      <c r="BC67" s="173">
        <f t="shared" si="155"/>
        <v>0.4603913359018173</v>
      </c>
      <c r="BD67" s="173"/>
      <c r="BE67" s="528">
        <f t="shared" si="31"/>
        <v>4.1212428594780182</v>
      </c>
      <c r="BF67" s="528">
        <f t="shared" si="156"/>
        <v>4.0883847266436817</v>
      </c>
      <c r="BG67" s="528">
        <f t="shared" si="157"/>
        <v>0.14975606884332884</v>
      </c>
      <c r="BH67" s="528">
        <f t="shared" si="34"/>
        <v>2.6097245590023237E-2</v>
      </c>
      <c r="BI67">
        <f t="shared" si="35"/>
        <v>5.095309208595418E-3</v>
      </c>
      <c r="BJ67" s="460">
        <f t="shared" si="101"/>
        <v>154.85137805192426</v>
      </c>
      <c r="BK67">
        <f t="shared" si="158"/>
        <v>449.60307885970161</v>
      </c>
      <c r="BL67" s="460">
        <f t="shared" si="102"/>
        <v>449603.07885970164</v>
      </c>
      <c r="BM67" s="173">
        <f t="shared" si="159"/>
        <v>0.32289599999999996</v>
      </c>
      <c r="BN67" s="173">
        <f t="shared" si="160"/>
        <v>0.26907999999999999</v>
      </c>
      <c r="BO67" s="528"/>
      <c r="BQ67" s="460">
        <f t="shared" si="103"/>
        <v>591.976</v>
      </c>
      <c r="BR67" s="528">
        <f t="shared" si="39"/>
        <v>3.0909321446085136</v>
      </c>
      <c r="BS67" s="528">
        <f t="shared" si="104"/>
        <v>1.0172174020565458E-2</v>
      </c>
      <c r="BT67" s="528">
        <f t="shared" si="161"/>
        <v>1.0598009108672998E-3</v>
      </c>
      <c r="BU67" s="528">
        <f t="shared" si="41"/>
        <v>400.07855001729513</v>
      </c>
      <c r="BV67" s="528">
        <f t="shared" si="162"/>
        <v>537.25830960370956</v>
      </c>
      <c r="BW67" s="625">
        <f t="shared" si="163"/>
        <v>6.3257760109113264</v>
      </c>
      <c r="BX67" s="460">
        <f t="shared" si="105"/>
        <v>543584.08561462094</v>
      </c>
      <c r="BY67" s="173">
        <f t="shared" si="106"/>
        <v>993.7791404743225</v>
      </c>
      <c r="BZ67" s="5">
        <f t="shared" si="107"/>
        <v>66.960000000000008</v>
      </c>
      <c r="CA67" s="173">
        <f t="shared" si="108"/>
        <v>6.3125793557554613E-2</v>
      </c>
      <c r="CB67" s="5">
        <f t="shared" si="109"/>
        <v>6.312579355755461</v>
      </c>
      <c r="CC67">
        <f t="shared" si="173"/>
        <v>62</v>
      </c>
      <c r="CE67" s="562">
        <f t="shared" si="164"/>
        <v>-50</v>
      </c>
      <c r="CF67">
        <f t="shared" si="165"/>
        <v>-50</v>
      </c>
      <c r="CG67" s="173">
        <f t="shared" si="166"/>
        <v>0.55267942376620582</v>
      </c>
      <c r="CH67" s="173">
        <f t="shared" si="167"/>
        <v>0.13753499123863852</v>
      </c>
      <c r="CI67" s="170">
        <v>62</v>
      </c>
      <c r="CJ67" s="217">
        <f t="shared" si="133"/>
        <v>0.372</v>
      </c>
      <c r="CK67" s="217">
        <f t="shared" si="111"/>
        <v>0.31</v>
      </c>
      <c r="CL67" s="217">
        <f t="shared" si="48"/>
        <v>63.24</v>
      </c>
      <c r="CM67" s="217">
        <f t="shared" si="134"/>
        <v>3.7199999999999998</v>
      </c>
      <c r="CN67" s="541">
        <f t="shared" si="112"/>
        <v>12.5</v>
      </c>
      <c r="CO67" s="443">
        <f t="shared" si="168"/>
        <v>8.5350000000000001</v>
      </c>
      <c r="CP67" s="443">
        <f t="shared" si="169"/>
        <v>21.035</v>
      </c>
      <c r="CQ67" s="443"/>
      <c r="CR67" s="217">
        <f t="shared" si="113"/>
        <v>0.40546967895362668</v>
      </c>
      <c r="CS67" s="172">
        <f t="shared" si="114"/>
        <v>159.55982736601052</v>
      </c>
      <c r="CT67" s="172">
        <f t="shared" si="51"/>
        <v>9.3858721980006177</v>
      </c>
      <c r="CU67" s="217">
        <f t="shared" si="52"/>
        <v>0.93858721980006188</v>
      </c>
      <c r="CV67" s="217">
        <f t="shared" si="53"/>
        <v>13.296652280500878</v>
      </c>
      <c r="CW67" s="443">
        <f t="shared" si="54"/>
        <v>170</v>
      </c>
      <c r="CX67" s="217">
        <f t="shared" si="55"/>
        <v>26.422690909090907</v>
      </c>
      <c r="CY67" s="217">
        <f t="shared" si="56"/>
        <v>1.0569076363636363</v>
      </c>
      <c r="CZ67" s="217">
        <f t="shared" si="57"/>
        <v>1.547902220802045</v>
      </c>
      <c r="DA67" s="197">
        <f t="shared" si="58"/>
        <v>350</v>
      </c>
      <c r="DB67" s="443">
        <f t="shared" si="115"/>
        <v>350</v>
      </c>
      <c r="DD67" s="217">
        <f t="shared" si="59"/>
        <v>28.98230839756868</v>
      </c>
      <c r="DE67" s="173">
        <f t="shared" si="60"/>
        <v>1.6978505212401103</v>
      </c>
      <c r="DF67" s="173">
        <f t="shared" si="61"/>
        <v>0.40664636548103333</v>
      </c>
      <c r="DG67" s="173"/>
      <c r="DH67" s="173">
        <f t="shared" si="62"/>
        <v>0.78109744190587771</v>
      </c>
      <c r="DI67" s="545">
        <f t="shared" si="63"/>
        <v>1512.8036470588236</v>
      </c>
      <c r="DJ67" s="528">
        <f t="shared" si="64"/>
        <v>8.6065366284073561E-2</v>
      </c>
      <c r="DL67" s="173">
        <f t="shared" si="65"/>
        <v>27.663281491123627</v>
      </c>
      <c r="DM67" s="173">
        <f t="shared" si="66"/>
        <v>27.663281491123627</v>
      </c>
      <c r="DN67" s="173">
        <f t="shared" si="67"/>
        <v>11.814776413177993</v>
      </c>
      <c r="DP67" s="545">
        <f t="shared" si="68"/>
        <v>372</v>
      </c>
      <c r="DQ67" s="460">
        <f t="shared" si="69"/>
        <v>350</v>
      </c>
      <c r="DS67">
        <f t="shared" si="116"/>
        <v>372</v>
      </c>
      <c r="DT67">
        <f t="shared" si="70"/>
        <v>350</v>
      </c>
      <c r="DV67" s="5">
        <f t="shared" si="117"/>
        <v>2.8571428571428572</v>
      </c>
      <c r="DW67" s="5">
        <f t="shared" si="71"/>
        <v>1.106531259644945</v>
      </c>
      <c r="DX67" s="5">
        <f t="shared" si="118"/>
        <v>1.7506115974979122</v>
      </c>
      <c r="DY67" s="173">
        <f t="shared" si="119"/>
        <v>0.38728594087573076</v>
      </c>
      <c r="EA67" s="5">
        <f t="shared" si="72"/>
        <v>0.24213507563995271</v>
      </c>
      <c r="EB67" s="5">
        <f t="shared" si="73"/>
        <v>2.8585390874161081</v>
      </c>
      <c r="EC67" s="5">
        <f t="shared" si="74"/>
        <v>14.170710710498302</v>
      </c>
      <c r="ED67" s="5"/>
      <c r="EE67" s="173">
        <f t="shared" si="120"/>
        <v>9.9393717538434352</v>
      </c>
      <c r="EF67" s="173">
        <f t="shared" si="75"/>
        <v>0.59036202267918814</v>
      </c>
      <c r="EG67" s="173">
        <f t="shared" si="76"/>
        <v>0.46676608277599541</v>
      </c>
      <c r="EH67" s="173"/>
      <c r="EI67" s="528">
        <f t="shared" si="77"/>
        <v>3.9516444344440287</v>
      </c>
      <c r="EJ67" s="528">
        <f t="shared" si="78"/>
        <v>5.6007598393456863</v>
      </c>
      <c r="EK67" s="528">
        <f t="shared" si="79"/>
        <v>6.9999999999999993E-2</v>
      </c>
      <c r="EL67" s="528">
        <f t="shared" si="80"/>
        <v>3.0972985749999998E-2</v>
      </c>
      <c r="EM67">
        <f t="shared" si="81"/>
        <v>5.6249999999999998E-3</v>
      </c>
      <c r="EN67" s="460">
        <f t="shared" si="121"/>
        <v>75.625</v>
      </c>
      <c r="EO67">
        <f t="shared" si="82"/>
        <v>175.57820029387176</v>
      </c>
      <c r="EP67" s="460">
        <f t="shared" si="122"/>
        <v>175578.20029387175</v>
      </c>
      <c r="EQ67" s="173">
        <f t="shared" si="83"/>
        <v>0.32289599999999996</v>
      </c>
      <c r="ER67" s="173">
        <f t="shared" si="170"/>
        <v>0.26907999999999999</v>
      </c>
      <c r="ES67" s="528"/>
      <c r="EU67" s="460">
        <f t="shared" si="123"/>
        <v>591.976</v>
      </c>
      <c r="EV67" s="528">
        <f t="shared" si="85"/>
        <v>2.9637333258330214</v>
      </c>
      <c r="EW67" s="528">
        <f t="shared" si="124"/>
        <v>1.0455819534655866E-2</v>
      </c>
      <c r="EX67" s="528">
        <f t="shared" si="86"/>
        <v>1.089352880150237E-3</v>
      </c>
      <c r="EY67" s="528">
        <f t="shared" si="87"/>
        <v>461.21067969170156</v>
      </c>
      <c r="EZ67" s="528">
        <f t="shared" si="88"/>
        <v>610.1228588993464</v>
      </c>
      <c r="FA67" s="625">
        <f t="shared" si="89"/>
        <v>6.6960000000000015</v>
      </c>
      <c r="FB67" s="460">
        <f t="shared" si="125"/>
        <v>616818.85889934644</v>
      </c>
      <c r="FC67" s="173">
        <f t="shared" si="126"/>
        <v>792.98903519321823</v>
      </c>
      <c r="FD67" s="5">
        <f t="shared" si="127"/>
        <v>66.960000000000008</v>
      </c>
      <c r="FE67" s="173">
        <f t="shared" si="128"/>
        <v>7.7865079510153826E-2</v>
      </c>
      <c r="FF67" s="5">
        <f t="shared" si="129"/>
        <v>7.7865079510153823</v>
      </c>
      <c r="FG67">
        <f t="shared" si="130"/>
        <v>62</v>
      </c>
      <c r="FI67" s="562">
        <f t="shared" si="90"/>
        <v>-50</v>
      </c>
      <c r="FJ67">
        <f t="shared" si="91"/>
        <v>-50</v>
      </c>
      <c r="FL67">
        <f t="shared" si="92"/>
        <v>0.55267942376620582</v>
      </c>
    </row>
    <row r="68" spans="5:168">
      <c r="E68" s="170">
        <v>63</v>
      </c>
      <c r="F68" s="217">
        <f t="shared" si="174"/>
        <v>0.378</v>
      </c>
      <c r="G68" s="217">
        <f t="shared" si="171"/>
        <v>0.315</v>
      </c>
      <c r="H68" s="217">
        <f t="shared" si="135"/>
        <v>64.260000000000005</v>
      </c>
      <c r="I68" s="217">
        <f t="shared" si="175"/>
        <v>3.7800000000000002</v>
      </c>
      <c r="J68" s="541">
        <f t="shared" si="136"/>
        <v>11.313454657195237</v>
      </c>
      <c r="K68" s="443">
        <f t="shared" si="137"/>
        <v>8.5426347132212772</v>
      </c>
      <c r="L68" s="172">
        <f t="shared" si="138"/>
        <v>19.856089370416512</v>
      </c>
      <c r="M68" s="443"/>
      <c r="N68" s="217">
        <f t="shared" si="139"/>
        <v>0.43022745082669228</v>
      </c>
      <c r="O68" s="172">
        <f t="shared" si="172"/>
        <v>153.2316645787854</v>
      </c>
      <c r="P68" s="172">
        <f t="shared" si="140"/>
        <v>9.0136273281638459</v>
      </c>
      <c r="Q68" s="217">
        <f t="shared" si="6"/>
        <v>0.90136273281638468</v>
      </c>
      <c r="R68" s="217">
        <f t="shared" si="141"/>
        <v>12.76930538156545</v>
      </c>
      <c r="S68" s="443">
        <f t="shared" si="142"/>
        <v>170</v>
      </c>
      <c r="T68" s="217">
        <f t="shared" si="143"/>
        <v>27.957667964882969</v>
      </c>
      <c r="U68" s="217">
        <f t="shared" si="10"/>
        <v>1.2355937603507425</v>
      </c>
      <c r="V68" s="217">
        <f t="shared" si="11"/>
        <v>1.6363609649382178</v>
      </c>
      <c r="W68" s="197">
        <f t="shared" si="12"/>
        <v>350</v>
      </c>
      <c r="X68" s="443">
        <f t="shared" si="95"/>
        <v>325.52563088505025</v>
      </c>
      <c r="Z68" s="217">
        <f t="shared" si="13"/>
        <v>27.813478612619864</v>
      </c>
      <c r="AA68" s="173">
        <f t="shared" si="14"/>
        <v>1.6279215690665936</v>
      </c>
      <c r="AB68" s="173">
        <f t="shared" si="144"/>
        <v>0.37417369774767334</v>
      </c>
      <c r="AC68" s="173"/>
      <c r="AD68" s="173">
        <f t="shared" si="16"/>
        <v>0.78039936043955982</v>
      </c>
      <c r="AE68" s="545">
        <f t="shared" si="145"/>
        <v>1538.5787626435824</v>
      </c>
      <c r="AF68" s="528">
        <f t="shared" si="146"/>
        <v>8.5988448048432975E-2</v>
      </c>
      <c r="AH68" s="173">
        <f t="shared" si="147"/>
        <v>27.885480092693403</v>
      </c>
      <c r="AI68" s="173">
        <f t="shared" si="148"/>
        <v>27.957667964882969</v>
      </c>
      <c r="AJ68" s="173">
        <f t="shared" si="149"/>
        <v>12.032840467814543</v>
      </c>
      <c r="AL68" s="545">
        <f t="shared" si="150"/>
        <v>378</v>
      </c>
      <c r="AM68" s="460">
        <f t="shared" si="151"/>
        <v>325.52563088505025</v>
      </c>
      <c r="AO68">
        <f t="shared" si="96"/>
        <v>378</v>
      </c>
      <c r="AP68">
        <f t="shared" si="24"/>
        <v>325.52563088505025</v>
      </c>
      <c r="AR68" s="5">
        <f t="shared" si="97"/>
        <v>3.0719547252889603</v>
      </c>
      <c r="AS68" s="5">
        <f t="shared" si="25"/>
        <v>1.2355937603507425</v>
      </c>
      <c r="AT68" s="5">
        <f t="shared" si="98"/>
        <v>1.8363609649382178</v>
      </c>
      <c r="AU68" s="173">
        <f t="shared" si="99"/>
        <v>0.40221743835580703</v>
      </c>
      <c r="AW68" s="5">
        <f t="shared" si="152"/>
        <v>0.27473790671328274</v>
      </c>
      <c r="AX68" s="5">
        <f t="shared" si="153"/>
        <v>3.2434336209206993</v>
      </c>
      <c r="AY68" s="5">
        <f t="shared" si="28"/>
        <v>16.688738735608791</v>
      </c>
      <c r="AZ68" s="5"/>
      <c r="BA68" s="173">
        <f t="shared" si="100"/>
        <v>10.236954270557801</v>
      </c>
      <c r="BB68" s="173">
        <f t="shared" si="154"/>
        <v>0.58932973856990911</v>
      </c>
      <c r="BC68" s="173">
        <f t="shared" si="155"/>
        <v>0.46594991372803835</v>
      </c>
      <c r="BD68" s="173"/>
      <c r="BE68" s="528">
        <f t="shared" si="31"/>
        <v>4.1918093094996642</v>
      </c>
      <c r="BF68" s="528">
        <f t="shared" si="156"/>
        <v>4.0659531390248302</v>
      </c>
      <c r="BG68" s="528">
        <f t="shared" si="157"/>
        <v>0.1473127785909156</v>
      </c>
      <c r="BH68" s="528">
        <f t="shared" si="34"/>
        <v>2.5668626027610584E-2</v>
      </c>
      <c r="BI68">
        <f t="shared" si="35"/>
        <v>5.0910545957378569E-3</v>
      </c>
      <c r="BJ68" s="460">
        <f t="shared" si="101"/>
        <v>152.40383318665346</v>
      </c>
      <c r="BK68">
        <f t="shared" si="158"/>
        <v>2338.5412018429852</v>
      </c>
      <c r="BL68" s="460">
        <f t="shared" si="102"/>
        <v>2338541.2018429851</v>
      </c>
      <c r="BM68" s="173">
        <f t="shared" si="159"/>
        <v>0.32810400000000001</v>
      </c>
      <c r="BN68" s="173">
        <f t="shared" si="160"/>
        <v>0.27341999999999994</v>
      </c>
      <c r="BO68" s="528"/>
      <c r="BQ68" s="460">
        <f t="shared" si="103"/>
        <v>601.524</v>
      </c>
      <c r="BR68" s="528">
        <f t="shared" si="39"/>
        <v>3.1438569821247477</v>
      </c>
      <c r="BS68" s="528">
        <f t="shared" si="104"/>
        <v>1.0419286222886322E-2</v>
      </c>
      <c r="BT68" s="528">
        <f t="shared" si="161"/>
        <v>1.0855466105158318E-3</v>
      </c>
      <c r="BU68" s="528">
        <f t="shared" si="41"/>
        <v>395.08026313399995</v>
      </c>
      <c r="BV68" s="528">
        <f t="shared" si="162"/>
        <v>533.71904813717674</v>
      </c>
      <c r="BW68" s="625">
        <f t="shared" si="163"/>
        <v>6.3610247214916233</v>
      </c>
      <c r="BX68" s="460">
        <f t="shared" si="105"/>
        <v>540080.0728586684</v>
      </c>
      <c r="BY68" s="173">
        <f t="shared" si="106"/>
        <v>2879.2227987016536</v>
      </c>
      <c r="BZ68" s="5">
        <f t="shared" si="107"/>
        <v>68.040000000000006</v>
      </c>
      <c r="CA68" s="173">
        <f t="shared" si="108"/>
        <v>2.3085827307280982E-2</v>
      </c>
      <c r="CB68" s="5">
        <f t="shared" si="109"/>
        <v>2.3085827307280979</v>
      </c>
      <c r="CC68">
        <f t="shared" si="173"/>
        <v>63</v>
      </c>
      <c r="CE68" s="562">
        <f t="shared" si="164"/>
        <v>-50</v>
      </c>
      <c r="CF68">
        <f t="shared" si="165"/>
        <v>-50</v>
      </c>
      <c r="CG68" s="173">
        <f t="shared" si="166"/>
        <v>0.55711868723958113</v>
      </c>
      <c r="CH68" s="173">
        <f t="shared" si="167"/>
        <v>0.13863970771018017</v>
      </c>
      <c r="CI68" s="170">
        <v>63</v>
      </c>
      <c r="CJ68" s="217">
        <f t="shared" si="133"/>
        <v>0.378</v>
      </c>
      <c r="CK68" s="217">
        <f t="shared" si="111"/>
        <v>0.315</v>
      </c>
      <c r="CL68" s="217">
        <f t="shared" si="48"/>
        <v>64.260000000000005</v>
      </c>
      <c r="CM68" s="217">
        <f t="shared" si="134"/>
        <v>3.7800000000000002</v>
      </c>
      <c r="CN68" s="541">
        <f t="shared" si="112"/>
        <v>12.5</v>
      </c>
      <c r="CO68" s="443">
        <f t="shared" si="168"/>
        <v>8.5350000000000001</v>
      </c>
      <c r="CP68" s="443">
        <f t="shared" si="169"/>
        <v>21.035</v>
      </c>
      <c r="CQ68" s="443"/>
      <c r="CR68" s="217">
        <f t="shared" si="113"/>
        <v>0.40546967895362668</v>
      </c>
      <c r="CS68" s="172">
        <f t="shared" si="114"/>
        <v>159.55982736601052</v>
      </c>
      <c r="CT68" s="172">
        <f t="shared" si="51"/>
        <v>9.3858721980006177</v>
      </c>
      <c r="CU68" s="217">
        <f t="shared" si="52"/>
        <v>0.93858721980006188</v>
      </c>
      <c r="CV68" s="217">
        <f t="shared" si="53"/>
        <v>13.296652280500878</v>
      </c>
      <c r="CW68" s="443">
        <f t="shared" si="54"/>
        <v>170</v>
      </c>
      <c r="CX68" s="217">
        <f t="shared" si="55"/>
        <v>26.848863343108501</v>
      </c>
      <c r="CY68" s="217">
        <f t="shared" si="56"/>
        <v>1.0739545337243401</v>
      </c>
      <c r="CZ68" s="217">
        <f t="shared" si="57"/>
        <v>1.5728683856536907</v>
      </c>
      <c r="DA68" s="197">
        <f t="shared" si="58"/>
        <v>350</v>
      </c>
      <c r="DB68" s="443">
        <f t="shared" si="115"/>
        <v>350</v>
      </c>
      <c r="DD68" s="217">
        <f t="shared" si="59"/>
        <v>28.98230839756868</v>
      </c>
      <c r="DE68" s="173">
        <f t="shared" si="60"/>
        <v>1.6978505212401103</v>
      </c>
      <c r="DF68" s="173">
        <f t="shared" si="61"/>
        <v>0.40664636548103333</v>
      </c>
      <c r="DG68" s="173"/>
      <c r="DH68" s="173">
        <f t="shared" si="62"/>
        <v>0.78109744190587771</v>
      </c>
      <c r="DI68" s="545">
        <f t="shared" si="63"/>
        <v>1537.2037058823528</v>
      </c>
      <c r="DJ68" s="528">
        <f t="shared" si="64"/>
        <v>8.6065366284073561E-2</v>
      </c>
      <c r="DL68" s="173">
        <f t="shared" si="65"/>
        <v>27.885480092693403</v>
      </c>
      <c r="DM68" s="173">
        <f t="shared" si="66"/>
        <v>27.885480092693403</v>
      </c>
      <c r="DN68" s="173">
        <f t="shared" si="67"/>
        <v>11.979367969896346</v>
      </c>
      <c r="DP68" s="545">
        <f t="shared" si="68"/>
        <v>378</v>
      </c>
      <c r="DQ68" s="460">
        <f t="shared" si="69"/>
        <v>350</v>
      </c>
      <c r="DS68">
        <f t="shared" si="116"/>
        <v>378</v>
      </c>
      <c r="DT68">
        <f t="shared" si="70"/>
        <v>350</v>
      </c>
      <c r="DV68" s="5">
        <f t="shared" si="117"/>
        <v>2.8571428571428572</v>
      </c>
      <c r="DW68" s="5">
        <f t="shared" si="71"/>
        <v>1.1154192037077362</v>
      </c>
      <c r="DX68" s="5">
        <f t="shared" si="118"/>
        <v>1.741723653435121</v>
      </c>
      <c r="DY68" s="173">
        <f t="shared" si="119"/>
        <v>0.39039672129770764</v>
      </c>
      <c r="EA68" s="5">
        <f t="shared" si="72"/>
        <v>0.24801674058913195</v>
      </c>
      <c r="EB68" s="5">
        <f t="shared" si="73"/>
        <v>2.9279754097328077</v>
      </c>
      <c r="EC68" s="5">
        <f t="shared" si="74"/>
        <v>14.326164732126832</v>
      </c>
      <c r="ED68" s="5"/>
      <c r="EE68" s="173">
        <f t="shared" si="120"/>
        <v>10.059365296099244</v>
      </c>
      <c r="EF68" s="173">
        <f t="shared" si="75"/>
        <v>0.59359135361789517</v>
      </c>
      <c r="EG68" s="173">
        <f t="shared" si="76"/>
        <v>0.46931933331438019</v>
      </c>
      <c r="EH68" s="173"/>
      <c r="EI68" s="528">
        <f t="shared" si="77"/>
        <v>4.0476332064146332</v>
      </c>
      <c r="EJ68" s="528">
        <f t="shared" si="78"/>
        <v>5.6457465848418797</v>
      </c>
      <c r="EK68" s="528">
        <f t="shared" si="79"/>
        <v>6.9999999999999993E-2</v>
      </c>
      <c r="EL68" s="528">
        <f t="shared" si="80"/>
        <v>3.0972985749999998E-2</v>
      </c>
      <c r="EM68">
        <f t="shared" si="81"/>
        <v>5.6249999999999998E-3</v>
      </c>
      <c r="EN68" s="460">
        <f t="shared" si="121"/>
        <v>75.625</v>
      </c>
      <c r="EO68">
        <f t="shared" si="82"/>
        <v>284.53944698754151</v>
      </c>
      <c r="EP68" s="460">
        <f t="shared" si="122"/>
        <v>284539.44698754151</v>
      </c>
      <c r="EQ68" s="173">
        <f t="shared" si="83"/>
        <v>0.32810400000000001</v>
      </c>
      <c r="ER68" s="173">
        <f t="shared" si="170"/>
        <v>0.27341999999999994</v>
      </c>
      <c r="ES68" s="528"/>
      <c r="EU68" s="460">
        <f t="shared" si="123"/>
        <v>601.524</v>
      </c>
      <c r="EV68" s="528">
        <f t="shared" si="85"/>
        <v>3.0357249048109751</v>
      </c>
      <c r="EW68" s="528">
        <f t="shared" si="124"/>
        <v>1.0570520852697751E-2</v>
      </c>
      <c r="EX68" s="528">
        <f t="shared" si="86"/>
        <v>1.1013031831132716E-3</v>
      </c>
      <c r="EY68" s="528">
        <f t="shared" si="87"/>
        <v>470.52795422238518</v>
      </c>
      <c r="EZ68" s="528">
        <f t="shared" si="88"/>
        <v>627.21706465457373</v>
      </c>
      <c r="FA68" s="625">
        <f t="shared" si="89"/>
        <v>6.8040000000000012</v>
      </c>
      <c r="FB68" s="460">
        <f t="shared" si="125"/>
        <v>634021.06465457368</v>
      </c>
      <c r="FC68" s="173">
        <f t="shared" si="126"/>
        <v>919.16203564211526</v>
      </c>
      <c r="FD68" s="5">
        <f t="shared" si="127"/>
        <v>68.040000000000006</v>
      </c>
      <c r="FE68" s="173">
        <f t="shared" si="128"/>
        <v>6.89220620941529E-2</v>
      </c>
      <c r="FF68" s="5">
        <f t="shared" si="129"/>
        <v>6.8922062094152903</v>
      </c>
      <c r="FG68">
        <f t="shared" si="130"/>
        <v>63</v>
      </c>
      <c r="FI68" s="562">
        <f t="shared" si="90"/>
        <v>-50</v>
      </c>
      <c r="FJ68">
        <f t="shared" si="91"/>
        <v>-50</v>
      </c>
      <c r="FL68">
        <f t="shared" si="92"/>
        <v>0.55711868723958113</v>
      </c>
    </row>
    <row r="69" spans="5:168">
      <c r="E69" s="170">
        <v>64</v>
      </c>
      <c r="F69" s="217">
        <f t="shared" si="174"/>
        <v>0.38400000000000001</v>
      </c>
      <c r="G69" s="217">
        <f t="shared" si="171"/>
        <v>0.32</v>
      </c>
      <c r="H69" s="217">
        <f t="shared" ref="H69:H105" si="176">F69*Vout</f>
        <v>65.28</v>
      </c>
      <c r="I69" s="217">
        <f t="shared" si="175"/>
        <v>3.84</v>
      </c>
      <c r="J69" s="541">
        <f t="shared" ref="J69:J105" si="177">Vin-(F69/CG69/Nps+G69/CH69/(Nps/Nsec1sec2))*(Rdcr_pri+RON/1000)</f>
        <v>11.304074706147318</v>
      </c>
      <c r="K69" s="443">
        <f t="shared" ref="K69:K105" si="178">MAX((S69+Vfwd2+Rdcr_sec*F69/CG69)*Nps,(Vout2+Vfwd22+Rdcr_sec2*G69/CH69)*Nps/Nsec1sec2)</f>
        <v>8.5426950676246847</v>
      </c>
      <c r="L69" s="172">
        <f t="shared" ref="L69:L105" si="179">MAX((Vout+Vfwd2+F69/CG69*Rdcr_sec)*Nps+J69, (Vout2+Vfwd22+G69/CH69*Rdcr_sec2)*Nps/Nsec1sec2+J69)</f>
        <v>19.846769773772003</v>
      </c>
      <c r="M69" s="443"/>
      <c r="N69" s="217">
        <f t="shared" ref="N69:N105" si="180">MAX((Vout+Vfwd2+F69/CG69*Rdcr_sec)*Nps/((Vout+Vfwd2+F69/CG69*Rdcr_sec)*Nps+J69), (Vout2+Vfwd22+G69/CH69*Rdcr_sec2)*Nps/Nsec1sec2/((Vout2+Vfwd22+G69/CH69*Rdcr_sec2)*Nps/Nsec1sec2+J69))</f>
        <v>0.43043251697886209</v>
      </c>
      <c r="O69" s="172">
        <f t="shared" si="172"/>
        <v>153.17759735931369</v>
      </c>
      <c r="P69" s="172">
        <f t="shared" ref="P69:P105" si="181">N69*J69*Isw_max*0.5*Efficiency*(Pout2/Pout_total)</f>
        <v>9.01044690348904</v>
      </c>
      <c r="Q69" s="217">
        <f t="shared" ref="Q69:Q105" si="182">O69/Vout</f>
        <v>0.90104469034890411</v>
      </c>
      <c r="R69" s="217">
        <f t="shared" ref="R69:R105" si="183">O69/Vout2</f>
        <v>12.764799779942807</v>
      </c>
      <c r="S69" s="443">
        <f t="shared" ref="S69:S105" si="184">MIN(Vout,O69/F69)</f>
        <v>170</v>
      </c>
      <c r="T69" s="217">
        <f t="shared" ref="T69:T105" si="185">MIN(2*(Vout*F69+Vout2*G69)/(Efficiency*J69*N69), Isw_max)</f>
        <v>28.411465351498972</v>
      </c>
      <c r="U69" s="217">
        <f t="shared" ref="U69:U105" si="186">L*T69/J69*1000000</f>
        <v>1.2566913298993152</v>
      </c>
      <c r="V69" s="217">
        <f t="shared" ref="V69:V105" si="187">L*T69/K69*1000000</f>
        <v>1.6629099556165501</v>
      </c>
      <c r="W69" s="197">
        <f t="shared" ref="W69:W105" si="188">IF(1/((350000*L)*(1/J69+1/K69))&gt;Isw_min, 350, 0.001/((Isw_min*L)*(1/J69+1/K69)))</f>
        <v>350</v>
      </c>
      <c r="X69" s="443">
        <f t="shared" si="95"/>
        <v>320.55378507597879</v>
      </c>
      <c r="Z69" s="217">
        <f t="shared" ref="Z69:Z105" si="189">1/((W69*1000*L)*(1/J69+1/K69))</f>
        <v>27.803664730766176</v>
      </c>
      <c r="AA69" s="173">
        <f t="shared" ref="AA69:AA105" si="190">L*Z69/K69*1000000</f>
        <v>1.6273356657746796</v>
      </c>
      <c r="AB69" s="173">
        <f t="shared" ref="AB69:AB100" si="191">0.5*AA69*Z69*Nps*W69/1000*(Pout/Pout_total)</f>
        <v>0.3739070510707268</v>
      </c>
      <c r="AC69" s="173"/>
      <c r="AD69" s="173">
        <f t="shared" ref="AD69:AD105" si="192">L*Isw_min/K69*1000000</f>
        <v>0.78039384689407487</v>
      </c>
      <c r="AE69" s="545">
        <f t="shared" ref="AE69:AE100" si="193">MAX(10, F69/(0.5*AD69/1000000*Isw_min*Nps)/1000*Pout_total/Pout)</f>
        <v>1563.0116904905776</v>
      </c>
      <c r="AF69" s="528">
        <f t="shared" ref="AF69:AF105" si="194">0.5*AD69/1000000*Isw_min*Nps*W69*1000*(Pout/Pout_total)</f>
        <v>8.5987840537402702E-2</v>
      </c>
      <c r="AH69" s="173">
        <f t="shared" ref="AH69:AH105" si="195">SQRT((H69+I69)/(0.5*L*Fsw_DCM))</f>
        <v>28.105922100917759</v>
      </c>
      <c r="AI69" s="173">
        <f t="shared" ref="AI69:AI100" si="196">MAX(IF(F69&gt;AB69,T69,AH69),Isw_min)</f>
        <v>28.411465351498972</v>
      </c>
      <c r="AJ69" s="173">
        <f t="shared" ref="AJ69:AJ100" si="197">IF(F69&gt;AF69, (AI69-Isw_min)/1.08*0.8+1.2, AE69*0.2/350+1)</f>
        <v>12.368986680122694</v>
      </c>
      <c r="AL69" s="545">
        <f t="shared" ref="AL69:AL105" si="198">F69*1000</f>
        <v>384</v>
      </c>
      <c r="AM69" s="460">
        <f t="shared" ref="AM69:AM105" si="199">IF(F69&gt;AF69, X69, AE69)</f>
        <v>320.55378507597879</v>
      </c>
      <c r="AO69">
        <f t="shared" si="96"/>
        <v>384</v>
      </c>
      <c r="AP69">
        <f t="shared" ref="AP69:AP105" si="200">IF(H69&gt;O69, "",AM69)</f>
        <v>320.55378507597879</v>
      </c>
      <c r="AR69" s="5">
        <f t="shared" si="97"/>
        <v>3.1196012855158659</v>
      </c>
      <c r="AS69" s="5">
        <f t="shared" ref="AS69:AS105" si="201">L*AI69/J69*1000000</f>
        <v>1.2566913298993152</v>
      </c>
      <c r="AT69" s="5">
        <f t="shared" si="98"/>
        <v>1.8629099556165507</v>
      </c>
      <c r="AU69" s="173">
        <f t="shared" si="99"/>
        <v>0.40283716247139101</v>
      </c>
      <c r="AW69" s="5">
        <f t="shared" ref="AW69:AW105" si="202">F69*AS69/Vout_ripple*1000</f>
        <v>0.28386439451843354</v>
      </c>
      <c r="AX69" s="5">
        <f t="shared" ref="AX69:AX105" si="203">G69*AS69/Vout_ripple2*1000</f>
        <v>3.3511768797315074</v>
      </c>
      <c r="AY69" s="5">
        <f t="shared" ref="AY69:AY105" si="204">H69/Efficiency/J69*AT69/Vinripple1</f>
        <v>17.213016023188842</v>
      </c>
      <c r="AZ69" s="5"/>
      <c r="BA69" s="173">
        <f t="shared" si="100"/>
        <v>10.411127623117883</v>
      </c>
      <c r="BB69" s="173">
        <f t="shared" ref="BB69:BB105" si="205">AI69*Npri_sec1*SQRT((1-AU69)/3)*(Pout/Pout_total)</f>
        <v>0.59858497744911243</v>
      </c>
      <c r="BC69" s="173">
        <f t="shared" ref="BC69:BC105" si="206">AI69*Npri_sec2*SQRT((1-AU69)/3)*(Pout2/Pout_total)</f>
        <v>0.47326751111886739</v>
      </c>
      <c r="BD69" s="173"/>
      <c r="BE69" s="528">
        <f t="shared" ref="BE69:BE105" si="207">Rdson*BA69^2</f>
        <v>4.3356631353939283</v>
      </c>
      <c r="BF69" s="528">
        <f t="shared" ref="BF69:BF105" si="208">0.5*L69*AI69*AM69*1000*Tfall</f>
        <v>4.0669318299286337</v>
      </c>
      <c r="BG69" s="528">
        <f t="shared" ref="BG69:BG105" si="209">Qg*Vdd*AM69*1000*0+Qg*J69*AM69*1000</f>
        <v>0.14494255735348624</v>
      </c>
      <c r="BH69" s="528">
        <f t="shared" ref="BH69:BH105" si="210">0.5*(Coss+Csw)*L69^2*AM69*1000</f>
        <v>2.5252859862697135E-2</v>
      </c>
      <c r="BI69">
        <f t="shared" ref="BI69:BI105" si="211">J69*IQ</f>
        <v>5.0868336177662928E-3</v>
      </c>
      <c r="BJ69" s="460">
        <f t="shared" si="101"/>
        <v>150.02939097125252</v>
      </c>
      <c r="BK69">
        <f t="shared" ref="BK69:BK105" si="212">(BF69+BG69*0+BH69+BI69*0+BE69*(1+RdsonTC*(Ta-25)))/(1-BE69*RdsonTC*ThetaJA)</f>
        <v>-318.31984558704022</v>
      </c>
      <c r="BL69" s="460">
        <f t="shared" si="102"/>
        <v>-318319.84558704024</v>
      </c>
      <c r="BM69" s="173">
        <f t="shared" ref="BM69:BM105" si="213">Vfwd2*F69*(1+Diode_TC/1000*(Ta-25))</f>
        <v>0.333312</v>
      </c>
      <c r="BN69" s="173">
        <f t="shared" ref="BN69:BN105" si="214">Vfwd22*G69*(1+Diode_TC/1000*(Ta-25))</f>
        <v>0.27775999999999995</v>
      </c>
      <c r="BO69" s="528"/>
      <c r="BQ69" s="460">
        <f t="shared" si="103"/>
        <v>611.072</v>
      </c>
      <c r="BR69" s="528">
        <f t="shared" ref="BR69:BR105" si="215">Rdcr_pri*BA69^2</f>
        <v>3.2517473515454465</v>
      </c>
      <c r="BS69" s="528">
        <f t="shared" ref="BS69:BS105" si="216">Rdcr_sec*BB69^2</f>
        <v>1.0749119256832633E-2</v>
      </c>
      <c r="BT69" s="528">
        <f t="shared" ref="BT69:BT105" si="217">Rdcr_sec2*BC69^2</f>
        <v>1.1199106854032363E-3</v>
      </c>
      <c r="BU69" s="528">
        <f t="shared" ref="BU69:BU105" si="218">AI69^2.5*AM69^2.5*k_core</f>
        <v>395.78229409937478</v>
      </c>
      <c r="BV69" s="528">
        <f t="shared" ref="BV69:BV100" si="219">(BU69+(BR69+BS69+BT69)*(1+Ltc*(Ta-25)))/(1-(BR69+BS69+BT69)*Ltc*ThetaCa)</f>
        <v>541.10623124597305</v>
      </c>
      <c r="BW69" s="625">
        <f t="shared" ref="BW69:BW105" si="220">0.5*Lleak*0.000000001*AI69^2*AM69*1000</f>
        <v>6.4688664475109672</v>
      </c>
      <c r="BX69" s="460">
        <f t="shared" si="105"/>
        <v>547575.09769348404</v>
      </c>
      <c r="BY69" s="173">
        <f t="shared" si="106"/>
        <v>229.86632410644378</v>
      </c>
      <c r="BZ69" s="5">
        <f t="shared" si="107"/>
        <v>69.12</v>
      </c>
      <c r="CA69" s="173">
        <f t="shared" si="108"/>
        <v>0.23118114250400362</v>
      </c>
      <c r="CB69" s="5">
        <f t="shared" si="109"/>
        <v>23.118114250400364</v>
      </c>
      <c r="CC69">
        <f t="shared" si="173"/>
        <v>64</v>
      </c>
      <c r="CE69" s="562">
        <f t="shared" ref="CE69:CE105" si="221">IF(ABS(F69-Ioutmax_Vinnom)&lt;Iout/200, AM69, -50)</f>
        <v>-50</v>
      </c>
      <c r="CF69">
        <f t="shared" ref="CF69:CF105" si="222">IF(ABS(F69-Ioutmax_Vinnom)&lt;Iout/200, (O69+P69)*CA69, -50)</f>
        <v>-50</v>
      </c>
      <c r="CG69" s="173">
        <f t="shared" ref="CG69:CG105" si="223">MIN(SQRT(2*DT69*1000*Ls1_*(CL69+CJ69*Vfwd1))/(CW69+Vfwd1), 1-DY69)</f>
        <v>0.56152285606960206</v>
      </c>
      <c r="CH69" s="173">
        <f t="shared" ref="CH69:CH105" si="224">MIN(SQRT(2*DT69*1000*Ls2_*(CM69+CK69*Vfwd22))/(Vout2+Vfwd22), 1-DY69)</f>
        <v>0.13973569083421744</v>
      </c>
      <c r="CI69" s="170">
        <v>64</v>
      </c>
      <c r="CJ69" s="217">
        <f t="shared" si="133"/>
        <v>0.38400000000000001</v>
      </c>
      <c r="CK69" s="217">
        <f t="shared" si="111"/>
        <v>0.32</v>
      </c>
      <c r="CL69" s="217">
        <f t="shared" ref="CL69:CL105" si="225">CJ69*Vout</f>
        <v>65.28</v>
      </c>
      <c r="CM69" s="217">
        <f t="shared" si="134"/>
        <v>3.84</v>
      </c>
      <c r="CN69" s="541">
        <f t="shared" si="112"/>
        <v>12.5</v>
      </c>
      <c r="CO69" s="443">
        <f t="shared" ref="CO69:CO105" si="226">(CW69+Vfwd2)*Nps</f>
        <v>8.5350000000000001</v>
      </c>
      <c r="CP69" s="443">
        <f t="shared" ref="CP69:CP105" si="227">(Vout+Vfwd2)*Nps+CN69</f>
        <v>21.035</v>
      </c>
      <c r="CQ69" s="443"/>
      <c r="CR69" s="217">
        <f t="shared" ref="CR69:CR105" si="228">(Vout+Vfwd1)*Nps/((Vout+Vfwd1)*Nps+CN69)</f>
        <v>0.40546967895362668</v>
      </c>
      <c r="CS69" s="172">
        <f t="shared" si="114"/>
        <v>159.55982736601052</v>
      </c>
      <c r="CT69" s="172">
        <f t="shared" ref="CT69:CT105" si="229">CR69*CN69*Isw_max*0.5*Efficiency*(Pout2/Pout_total)</f>
        <v>9.3858721980006177</v>
      </c>
      <c r="CU69" s="217">
        <f t="shared" ref="CU69:CU105" si="230">CS69/Vout</f>
        <v>0.93858721980006188</v>
      </c>
      <c r="CV69" s="217">
        <f t="shared" ref="CV69:CV105" si="231">CS69/Vout2</f>
        <v>13.296652280500878</v>
      </c>
      <c r="CW69" s="443">
        <f t="shared" ref="CW69:CW105" si="232">MIN(Vout,CS69/CJ69)</f>
        <v>170</v>
      </c>
      <c r="CX69" s="217">
        <f t="shared" ref="CX69:CX105" si="233">MIN(2*(Vout*CJ69+Vout2*CK69)/(Efficiency*CN69*CR69), Isw_max)</f>
        <v>27.275035777126096</v>
      </c>
      <c r="CY69" s="217">
        <f t="shared" ref="CY69:CY105" si="234">L*CX69/CN69*1000000</f>
        <v>1.0910014310850438</v>
      </c>
      <c r="CZ69" s="217">
        <f t="shared" ref="CZ69:CZ105" si="235">L*CX69/CO69*1000000</f>
        <v>1.5978345505053364</v>
      </c>
      <c r="DA69" s="197">
        <f t="shared" ref="DA69:DA105" si="236">IF(1/((350000*L)*(1/CN69+1/CO69))&gt;Isw_min, 350, 0.001/((Isw_min*L)*(1/CN69+1/CO69)))</f>
        <v>350</v>
      </c>
      <c r="DB69" s="443">
        <f t="shared" si="115"/>
        <v>350</v>
      </c>
      <c r="DD69" s="217">
        <f t="shared" ref="DD69:DD105" si="237">1/((DA69*1000*L)*(1/CN69+1/CO69))</f>
        <v>28.98230839756868</v>
      </c>
      <c r="DE69" s="173">
        <f t="shared" ref="DE69:DE105" si="238">L*DD69/CO69*1000000</f>
        <v>1.6978505212401103</v>
      </c>
      <c r="DF69" s="173">
        <f t="shared" ref="DF69:DF105" si="239">0.5*DE69*DD69*Nps*DA69/1000*(Pout/Pout_total)</f>
        <v>0.40664636548103333</v>
      </c>
      <c r="DG69" s="173"/>
      <c r="DH69" s="173">
        <f t="shared" ref="DH69:DH105" si="240">L*Isw_min/CO69*1000000</f>
        <v>0.78109744190587771</v>
      </c>
      <c r="DI69" s="545">
        <f t="shared" ref="DI69:DI105" si="241">MAX(10, CJ69/(0.5*DH69/1000000*Isw_min*Nps)/1000*Pout_total/Pout)</f>
        <v>1561.6037647058827</v>
      </c>
      <c r="DJ69" s="528">
        <f t="shared" ref="DJ69:DJ105" si="242">0.5*DH69/1000000*Isw_min*Nps*DA69*1000*(Pout/Pout_total)</f>
        <v>8.6065366284073561E-2</v>
      </c>
      <c r="DL69" s="173">
        <f t="shared" ref="DL69:DL105" si="243">SQRT((CL69+CM69)/(0.5*L*Fsw_DCM))</f>
        <v>28.105922100917759</v>
      </c>
      <c r="DM69" s="173">
        <f t="shared" ref="DM69:DM105" si="244">MAX(IF(CJ69&gt;DF69,CX69,DL69),Isw_min)</f>
        <v>28.105922100917759</v>
      </c>
      <c r="DN69" s="173">
        <f t="shared" ref="DN69:DN105" si="245">IF(CJ69&gt;DJ69, (DM69-Isw_min)/1.08*0.8+1.2, DI69*0.2/350+1)</f>
        <v>12.142658346358832</v>
      </c>
      <c r="DP69" s="545">
        <f t="shared" ref="DP69:DP105" si="246">CJ69*1000</f>
        <v>384</v>
      </c>
      <c r="DQ69" s="460">
        <f t="shared" ref="DQ69:DQ105" si="247">IF(CJ69&gt;DJ69, DB69, DI69)</f>
        <v>350</v>
      </c>
      <c r="DS69">
        <f t="shared" si="116"/>
        <v>384</v>
      </c>
      <c r="DT69">
        <f t="shared" ref="DT69:DT90" si="248">IF(CL69&gt;CS69, "",DQ69)</f>
        <v>350</v>
      </c>
      <c r="DV69" s="5">
        <f t="shared" si="117"/>
        <v>2.8571428571428572</v>
      </c>
      <c r="DW69" s="5">
        <f t="shared" ref="DW69:DW105" si="249">L*DM69/CN69*1000000</f>
        <v>1.1242368840367103</v>
      </c>
      <c r="DX69" s="5">
        <f t="shared" si="118"/>
        <v>1.7329059731061469</v>
      </c>
      <c r="DY69" s="173">
        <f t="shared" si="119"/>
        <v>0.39348290941284858</v>
      </c>
      <c r="EA69" s="5">
        <f t="shared" ref="EA69:EA105" si="250">CJ69*DW69/Vout_ripple*1000</f>
        <v>0.2539452726294687</v>
      </c>
      <c r="EB69" s="5">
        <f t="shared" ref="EB69:EB105" si="251">CK69*DW69/Vout_ripple2*1000</f>
        <v>2.9979650240978941</v>
      </c>
      <c r="EC69" s="5">
        <f t="shared" ref="EC69:EC105" si="252">CL69/Efficiency/CN69*DX69/Vinripple1</f>
        <v>14.479885046319268</v>
      </c>
      <c r="ED69" s="5"/>
      <c r="EE69" s="173">
        <f t="shared" si="120"/>
        <v>10.178883594619954</v>
      </c>
      <c r="EF69" s="173">
        <f t="shared" ref="EF69:EF105" si="253">DM69*Npri_sec1*SQRT((1-DY69)/3)*(Pout/Pout_total)</f>
        <v>0.59676748569616767</v>
      </c>
      <c r="EG69" s="173">
        <f t="shared" ref="EG69:EG105" si="254">DM69*Npri_sec2*SQRT((1-DY69)/3)*(Pout2/Pout_total)</f>
        <v>0.47183052250271329</v>
      </c>
      <c r="EH69" s="173"/>
      <c r="EI69" s="528">
        <f t="shared" ref="EI69:EI105" si="255">Rdson*EE69^2</f>
        <v>4.1443868493129292</v>
      </c>
      <c r="EJ69" s="528">
        <f t="shared" ref="EJ69:EJ105" si="256">0.5*CP69*DM69*DQ69*1000*Trise</f>
        <v>5.690377687155749</v>
      </c>
      <c r="EK69" s="528">
        <f t="shared" ref="EK69:EK105" si="257">Qg*Vdd*DQ69*1000</f>
        <v>6.9999999999999993E-2</v>
      </c>
      <c r="EL69" s="528">
        <f t="shared" ref="EL69:EL105" si="258">0.5*(Coss+Csw)*CP69^2*DQ69*1000</f>
        <v>3.0972985749999998E-2</v>
      </c>
      <c r="EM69">
        <f t="shared" ref="EM69:EM105" si="259">CN69*IQ</f>
        <v>5.6249999999999998E-3</v>
      </c>
      <c r="EN69" s="460">
        <f t="shared" si="121"/>
        <v>75.625</v>
      </c>
      <c r="EO69">
        <f t="shared" ref="EO69:EO105" si="260">(EJ69+EK69+EL69+EM69+EI69*(1+RdsonTC*(Ta-25)))/(1-EI69*RdsonTC*ThetaJA)</f>
        <v>723.19700964567289</v>
      </c>
      <c r="EP69" s="460">
        <f t="shared" si="122"/>
        <v>723197.00964567286</v>
      </c>
      <c r="EQ69" s="173">
        <f t="shared" ref="EQ69:EQ105" si="261">Vfwd2*CJ69*(1+Diode_TC/1000*(Ta-25))</f>
        <v>0.333312</v>
      </c>
      <c r="ER69" s="173">
        <f t="shared" ref="ER69:ER105" si="262">Vfwd22*CK69*(1+Diode_TC/1000*(Ta-25))</f>
        <v>0.27775999999999995</v>
      </c>
      <c r="ES69" s="528"/>
      <c r="EU69" s="460">
        <f t="shared" si="123"/>
        <v>611.072</v>
      </c>
      <c r="EV69" s="528">
        <f t="shared" ref="EV69:EV105" si="263">Rdcr_pri*EE69^2</f>
        <v>3.1082901369846967</v>
      </c>
      <c r="EW69" s="528">
        <f t="shared" si="124"/>
        <v>1.068394295952377E-2</v>
      </c>
      <c r="EX69" s="528">
        <f t="shared" ref="EX69:EX105" si="264">Rdcr_sec2*EG69^2</f>
        <v>1.1131202098259173E-3</v>
      </c>
      <c r="EY69" s="528">
        <f t="shared" ref="EY69:EY105" si="265">DM69^2.5*DQ69^2.5*k_core</f>
        <v>479.88227688561506</v>
      </c>
      <c r="EZ69" s="528">
        <f t="shared" ref="EZ69:EZ105" si="266">(EY69+(EV69+EW69+EX69)*(1+Ltc*(Ta-25)))/(1-(EV69+EW69+EX69)*Ltc*ThetaCa)</f>
        <v>644.66375559183075</v>
      </c>
      <c r="FA69" s="625">
        <f t="shared" ref="FA69:FA105" si="267">0.5*Lleak*0.000000001*DM69^2*DQ69*1000</f>
        <v>6.9120000000000026</v>
      </c>
      <c r="FB69" s="460">
        <f t="shared" si="125"/>
        <v>651575.75559183082</v>
      </c>
      <c r="FC69" s="173">
        <f t="shared" si="126"/>
        <v>1375.3838372375037</v>
      </c>
      <c r="FD69" s="5">
        <f t="shared" si="127"/>
        <v>69.12</v>
      </c>
      <c r="FE69" s="173">
        <f t="shared" si="128"/>
        <v>4.7850340177833232E-2</v>
      </c>
      <c r="FF69" s="5">
        <f t="shared" si="129"/>
        <v>4.7850340177833228</v>
      </c>
      <c r="FG69">
        <f t="shared" si="130"/>
        <v>64</v>
      </c>
      <c r="FI69" s="562">
        <f t="shared" ref="FI69:FI105" si="268">IF(ABS(CJ69-Ioutmax_Vinnom)&lt;Iout/200, DQ69, -50)</f>
        <v>-50</v>
      </c>
      <c r="FJ69">
        <f t="shared" ref="FJ69:FJ105" si="269">IF(ABS(CJ69-Ioutmax_Vinnom)&lt;Iout/200, (CS69+CT69)*FE69, -50)</f>
        <v>-50</v>
      </c>
      <c r="FL69">
        <f t="shared" ref="FL69:FL105" si="270">MIN(SQRT(2*DQ69*1000*L*CJ69*(Vout+Vfwd1))/(Nps*(Vout+Vfwd1)),1-DY69)</f>
        <v>0.56152285606960206</v>
      </c>
    </row>
    <row r="70" spans="5:168">
      <c r="E70" s="170">
        <v>65</v>
      </c>
      <c r="F70" s="217">
        <f t="shared" si="174"/>
        <v>0.39</v>
      </c>
      <c r="G70" s="217">
        <f t="shared" ref="G70:G105" si="271">IF(PLOT_TYPE=1, E70/100*Iout2, min_I*EXP(Q70*rr/100))</f>
        <v>0.32500000000000001</v>
      </c>
      <c r="H70" s="217">
        <f t="shared" si="176"/>
        <v>66.3</v>
      </c>
      <c r="I70" s="217">
        <f t="shared" si="175"/>
        <v>3.9000000000000004</v>
      </c>
      <c r="J70" s="541">
        <f t="shared" si="177"/>
        <v>11.294767754156251</v>
      </c>
      <c r="K70" s="443">
        <f t="shared" si="178"/>
        <v>8.5427549523225981</v>
      </c>
      <c r="L70" s="172">
        <f t="shared" si="179"/>
        <v>19.83752270647885</v>
      </c>
      <c r="M70" s="443"/>
      <c r="N70" s="217">
        <f t="shared" si="180"/>
        <v>0.43063617764795653</v>
      </c>
      <c r="O70" s="172">
        <f t="shared" ref="O70:O101" si="272">N70*J70*Isw_max*0.5*Efficiency*Pout/(Pout+Pout2)</f>
        <v>153.1238989300206</v>
      </c>
      <c r="P70" s="172">
        <f t="shared" si="181"/>
        <v>9.0072881723541531</v>
      </c>
      <c r="Q70" s="217">
        <f t="shared" si="182"/>
        <v>0.90072881723541531</v>
      </c>
      <c r="R70" s="217">
        <f t="shared" si="183"/>
        <v>12.760324910835051</v>
      </c>
      <c r="S70" s="443">
        <f t="shared" si="184"/>
        <v>170</v>
      </c>
      <c r="T70" s="217">
        <f t="shared" si="185"/>
        <v>28.865513684575074</v>
      </c>
      <c r="U70" s="217">
        <f t="shared" si="186"/>
        <v>1.2778267916997734</v>
      </c>
      <c r="V70" s="217">
        <f t="shared" si="187"/>
        <v>1.6894733517275442</v>
      </c>
      <c r="W70" s="197">
        <f t="shared" si="188"/>
        <v>350</v>
      </c>
      <c r="X70" s="443">
        <f t="shared" ref="X70:X105" si="273">MIN(1/(U70+V70+0.2)*1000, 350)</f>
        <v>315.72631412124571</v>
      </c>
      <c r="Z70" s="217">
        <f t="shared" si="189"/>
        <v>27.793917788978533</v>
      </c>
      <c r="AA70" s="173">
        <f t="shared" si="190"/>
        <v>1.6267537781486954</v>
      </c>
      <c r="AB70" s="173">
        <f t="shared" si="191"/>
        <v>0.3736423216639051</v>
      </c>
      <c r="AC70" s="173"/>
      <c r="AD70" s="173">
        <f t="shared" si="192"/>
        <v>0.78038837633451463</v>
      </c>
      <c r="AE70" s="545">
        <f t="shared" si="193"/>
        <v>1587.4448761404169</v>
      </c>
      <c r="AF70" s="528">
        <f t="shared" si="194"/>
        <v>8.5987237762784496E-2</v>
      </c>
      <c r="AH70" s="173">
        <f t="shared" si="195"/>
        <v>28.324648528899953</v>
      </c>
      <c r="AI70" s="173">
        <f t="shared" si="196"/>
        <v>28.865513684575074</v>
      </c>
      <c r="AJ70" s="173">
        <f t="shared" si="197"/>
        <v>12.705318778697585</v>
      </c>
      <c r="AL70" s="545">
        <f t="shared" si="198"/>
        <v>390</v>
      </c>
      <c r="AM70" s="460">
        <f t="shared" si="199"/>
        <v>315.72631412124571</v>
      </c>
      <c r="AO70">
        <f t="shared" ref="AO70:AO105" si="274">IF(H70&gt;O70, "",AL70)</f>
        <v>390</v>
      </c>
      <c r="AP70">
        <f t="shared" si="200"/>
        <v>315.72631412124571</v>
      </c>
      <c r="AR70" s="5">
        <f t="shared" ref="AR70:AR133" si="275">1/AM70*1000</f>
        <v>3.1673001434273185</v>
      </c>
      <c r="AS70" s="5">
        <f t="shared" si="201"/>
        <v>1.2778267916997734</v>
      </c>
      <c r="AT70" s="5">
        <f t="shared" ref="AT70:AT105" si="276">AR70-AS70</f>
        <v>1.889473351727545</v>
      </c>
      <c r="AU70" s="173">
        <f t="shared" ref="AU70:AU105" si="277">AS70/AR70</f>
        <v>0.40344354302874624</v>
      </c>
      <c r="AW70" s="5">
        <f t="shared" si="202"/>
        <v>0.29314849927230091</v>
      </c>
      <c r="AX70" s="5">
        <f t="shared" si="203"/>
        <v>3.4607808941868865</v>
      </c>
      <c r="AY70" s="5">
        <f t="shared" si="204"/>
        <v>17.745856976784829</v>
      </c>
      <c r="AZ70" s="5"/>
      <c r="BA70" s="173">
        <f t="shared" ref="BA70:BA105" si="278">AI70*SQRT(AU70/3)</f>
        <v>10.58546761260931</v>
      </c>
      <c r="BB70" s="173">
        <f t="shared" si="205"/>
        <v>0.60784221548542716</v>
      </c>
      <c r="BC70" s="173">
        <f t="shared" si="206"/>
        <v>0.48058668913090513</v>
      </c>
      <c r="BD70" s="173"/>
      <c r="BE70" s="528">
        <f t="shared" si="207"/>
        <v>4.4820849831040261</v>
      </c>
      <c r="BF70" s="528">
        <f t="shared" si="208"/>
        <v>4.0678040562890443</v>
      </c>
      <c r="BG70" s="528">
        <f t="shared" si="209"/>
        <v>0.14264221567501015</v>
      </c>
      <c r="BH70" s="528">
        <f t="shared" si="210"/>
        <v>2.4849385237246904E-2</v>
      </c>
      <c r="BI70">
        <f t="shared" si="211"/>
        <v>5.0826454893703127E-3</v>
      </c>
      <c r="BJ70" s="460">
        <f t="shared" ref="BJ70:BJ105" si="279">(BG70+BI70)*1000</f>
        <v>147.72486116438046</v>
      </c>
      <c r="BK70">
        <f t="shared" si="212"/>
        <v>-150.66815992996811</v>
      </c>
      <c r="BL70" s="460">
        <f t="shared" ref="BL70:BL105" si="280">BK70*1000</f>
        <v>-150668.15992996813</v>
      </c>
      <c r="BM70" s="173">
        <f t="shared" si="213"/>
        <v>0.33851999999999993</v>
      </c>
      <c r="BN70" s="173">
        <f t="shared" si="214"/>
        <v>0.28209999999999996</v>
      </c>
      <c r="BO70" s="528"/>
      <c r="BQ70" s="460">
        <f t="shared" ref="BQ70:BQ105" si="281">SUM(BM70:BP70)*1000</f>
        <v>620.62</v>
      </c>
      <c r="BR70" s="528">
        <f t="shared" si="215"/>
        <v>3.3615637373280194</v>
      </c>
      <c r="BS70" s="528">
        <f t="shared" si="216"/>
        <v>1.1084164767786973E-2</v>
      </c>
      <c r="BT70" s="528">
        <f t="shared" si="217"/>
        <v>1.1548178288490263E-3</v>
      </c>
      <c r="BU70" s="528">
        <f t="shared" si="218"/>
        <v>396.45616853478526</v>
      </c>
      <c r="BV70" s="528">
        <f t="shared" si="219"/>
        <v>548.74948405698967</v>
      </c>
      <c r="BW70" s="625">
        <f t="shared" si="220"/>
        <v>6.5767202549737709</v>
      </c>
      <c r="BX70" s="460">
        <f t="shared" ref="BX70:BX105" si="282">(BV70+BW70)*1000</f>
        <v>555326.20431196352</v>
      </c>
      <c r="BY70" s="173">
        <f t="shared" ref="BY70:BY104" si="283">SUM(BK70,BM70:BP70,BV70:BW70)</f>
        <v>405.27866438199533</v>
      </c>
      <c r="BZ70" s="5">
        <f t="shared" ref="BZ70:BZ105" si="284">MIN(H70+I70,O70+P70)</f>
        <v>70.2</v>
      </c>
      <c r="CA70" s="173">
        <f t="shared" ref="CA70:CA105" si="285">BZ70/(BZ70+BY70)</f>
        <v>0.14764069401776975</v>
      </c>
      <c r="CB70" s="5">
        <f t="shared" ref="CB70:CB105" si="286">CA70*100</f>
        <v>14.764069401776975</v>
      </c>
      <c r="CC70">
        <f t="shared" ref="CC70:CC105" si="287">F70/Iout*100</f>
        <v>65</v>
      </c>
      <c r="CE70" s="562">
        <f t="shared" si="221"/>
        <v>-50</v>
      </c>
      <c r="CF70">
        <f t="shared" si="222"/>
        <v>-50</v>
      </c>
      <c r="CG70" s="173">
        <f t="shared" si="223"/>
        <v>0.56589274964923497</v>
      </c>
      <c r="CH70" s="173">
        <f t="shared" si="224"/>
        <v>0.14082314451775252</v>
      </c>
      <c r="CI70" s="170">
        <v>65</v>
      </c>
      <c r="CJ70" s="217">
        <f t="shared" si="133"/>
        <v>0.39</v>
      </c>
      <c r="CK70" s="217">
        <f t="shared" ref="CK70:CK105" si="288">IF(PLOT_TYPE=1, CI70/100*Iout2, min_I*EXP(CU70*rr/100))</f>
        <v>0.32500000000000001</v>
      </c>
      <c r="CL70" s="217">
        <f t="shared" si="225"/>
        <v>66.3</v>
      </c>
      <c r="CM70" s="217">
        <f t="shared" si="134"/>
        <v>3.9000000000000004</v>
      </c>
      <c r="CN70" s="541">
        <f t="shared" ref="CN70:CN105" si="289">Vin</f>
        <v>12.5</v>
      </c>
      <c r="CO70" s="443">
        <f t="shared" si="226"/>
        <v>8.5350000000000001</v>
      </c>
      <c r="CP70" s="443">
        <f t="shared" si="227"/>
        <v>21.035</v>
      </c>
      <c r="CQ70" s="443"/>
      <c r="CR70" s="217">
        <f t="shared" si="228"/>
        <v>0.40546967895362668</v>
      </c>
      <c r="CS70" s="172">
        <f t="shared" ref="CS70:CS105" si="290">CR70*CN70*Isw_max*0.5*Efficiency*Pout/(Pout+Pout2)</f>
        <v>159.55982736601052</v>
      </c>
      <c r="CT70" s="172">
        <f t="shared" si="229"/>
        <v>9.3858721980006177</v>
      </c>
      <c r="CU70" s="217">
        <f t="shared" si="230"/>
        <v>0.93858721980006188</v>
      </c>
      <c r="CV70" s="217">
        <f t="shared" si="231"/>
        <v>13.296652280500878</v>
      </c>
      <c r="CW70" s="443">
        <f t="shared" si="232"/>
        <v>170</v>
      </c>
      <c r="CX70" s="217">
        <f t="shared" si="233"/>
        <v>27.70120821114369</v>
      </c>
      <c r="CY70" s="217">
        <f t="shared" si="234"/>
        <v>1.1080483284457474</v>
      </c>
      <c r="CZ70" s="217">
        <f t="shared" si="235"/>
        <v>1.6228007153569823</v>
      </c>
      <c r="DA70" s="197">
        <f t="shared" si="236"/>
        <v>350</v>
      </c>
      <c r="DB70" s="443">
        <f t="shared" ref="DB70:DB105" si="291">MIN(1/(CY70+CZ70)*1000, 350)</f>
        <v>350</v>
      </c>
      <c r="DD70" s="217">
        <f t="shared" si="237"/>
        <v>28.98230839756868</v>
      </c>
      <c r="DE70" s="173">
        <f t="shared" si="238"/>
        <v>1.6978505212401103</v>
      </c>
      <c r="DF70" s="173">
        <f t="shared" si="239"/>
        <v>0.40664636548103333</v>
      </c>
      <c r="DG70" s="173"/>
      <c r="DH70" s="173">
        <f t="shared" si="240"/>
        <v>0.78109744190587771</v>
      </c>
      <c r="DI70" s="545">
        <f t="shared" si="241"/>
        <v>1586.0038235294119</v>
      </c>
      <c r="DJ70" s="528">
        <f t="shared" si="242"/>
        <v>8.6065366284073561E-2</v>
      </c>
      <c r="DL70" s="173">
        <f t="shared" si="243"/>
        <v>28.324648528899953</v>
      </c>
      <c r="DM70" s="173">
        <f t="shared" si="244"/>
        <v>28.324648528899953</v>
      </c>
      <c r="DN70" s="173">
        <f t="shared" si="245"/>
        <v>12.30467792264194</v>
      </c>
      <c r="DP70" s="545">
        <f t="shared" si="246"/>
        <v>390</v>
      </c>
      <c r="DQ70" s="460">
        <f t="shared" si="247"/>
        <v>350</v>
      </c>
      <c r="DS70">
        <f t="shared" ref="DS70:DS90" si="292">IF(CL70&gt;CS70, "",DP70)</f>
        <v>390</v>
      </c>
      <c r="DT70">
        <f t="shared" si="248"/>
        <v>350</v>
      </c>
      <c r="DV70" s="5">
        <f t="shared" ref="DV70:DV105" si="293">1/DQ70*1000</f>
        <v>2.8571428571428572</v>
      </c>
      <c r="DW70" s="5">
        <f t="shared" si="249"/>
        <v>1.1329859411559979</v>
      </c>
      <c r="DX70" s="5">
        <f t="shared" ref="DX70:DX105" si="294">DV70-DW70</f>
        <v>1.7241569159868593</v>
      </c>
      <c r="DY70" s="173">
        <f t="shared" ref="DY70:DY105" si="295">DW70/DV70</f>
        <v>0.39654507940459927</v>
      </c>
      <c r="EA70" s="5">
        <f t="shared" si="250"/>
        <v>0.25992030414755246</v>
      </c>
      <c r="EB70" s="5">
        <f t="shared" si="251"/>
        <v>3.068503590630828</v>
      </c>
      <c r="EC70" s="5">
        <f t="shared" si="252"/>
        <v>14.63188525183088</v>
      </c>
      <c r="ED70" s="5"/>
      <c r="EE70" s="173">
        <f t="shared" ref="EE70:EE105" si="296">DM70*SQRT(DY70/3)</f>
        <v>10.297935914162672</v>
      </c>
      <c r="EF70" s="173">
        <f t="shared" si="253"/>
        <v>0.59989154266799805</v>
      </c>
      <c r="EG70" s="173">
        <f t="shared" si="254"/>
        <v>0.47430053883014017</v>
      </c>
      <c r="EH70" s="173"/>
      <c r="EI70" s="528">
        <f t="shared" si="255"/>
        <v>4.2418993636880549</v>
      </c>
      <c r="EJ70" s="528">
        <f t="shared" si="256"/>
        <v>5.7346614498770769</v>
      </c>
      <c r="EK70" s="528">
        <f t="shared" si="257"/>
        <v>6.9999999999999993E-2</v>
      </c>
      <c r="EL70" s="528">
        <f t="shared" si="258"/>
        <v>3.0972985749999998E-2</v>
      </c>
      <c r="EM70">
        <f t="shared" si="259"/>
        <v>5.6249999999999998E-3</v>
      </c>
      <c r="EN70" s="460">
        <f t="shared" ref="EN70:EN105" si="297">(EK70+EM70)*1000</f>
        <v>75.625</v>
      </c>
      <c r="EO70">
        <f t="shared" si="260"/>
        <v>-1425.7853769121211</v>
      </c>
      <c r="EP70" s="460">
        <f t="shared" ref="EP70:EP105" si="298">EO70*1000</f>
        <v>-1425785.3769121212</v>
      </c>
      <c r="EQ70" s="173">
        <f t="shared" si="261"/>
        <v>0.33851999999999993</v>
      </c>
      <c r="ER70" s="173">
        <f t="shared" si="262"/>
        <v>0.28209999999999996</v>
      </c>
      <c r="ES70" s="528"/>
      <c r="EU70" s="460">
        <f t="shared" ref="EU70:EU105" si="299">SUM(EQ70:ET70)*1000</f>
        <v>620.62</v>
      </c>
      <c r="EV70" s="528">
        <f t="shared" si="263"/>
        <v>3.1814245227660409</v>
      </c>
      <c r="EW70" s="528">
        <f t="shared" ref="EW70:EW105" si="300">Rdcr_sec*EF70^2</f>
        <v>1.0796095888937715E-2</v>
      </c>
      <c r="EX70" s="528">
        <f t="shared" si="264"/>
        <v>1.1248050056728066E-3</v>
      </c>
      <c r="EY70" s="528">
        <f t="shared" si="265"/>
        <v>489.27321263876331</v>
      </c>
      <c r="EZ70" s="528">
        <f t="shared" si="266"/>
        <v>662.47349801999053</v>
      </c>
      <c r="FA70" s="625">
        <f t="shared" si="267"/>
        <v>7.0200000000000005</v>
      </c>
      <c r="FB70" s="460">
        <f t="shared" ref="FB70:FB105" si="301">(EZ70+FA70)*1000</f>
        <v>669493.49801999051</v>
      </c>
      <c r="FC70" s="173">
        <f t="shared" ref="FC70:FC105" si="302">SUM(EO70,EQ70:ET70,EZ70:FA70)</f>
        <v>-755.67125889213071</v>
      </c>
      <c r="FD70" s="5">
        <f t="shared" ref="FD70:FD105" si="303">MIN(CL70+CM70,CS70+CT70)</f>
        <v>70.2</v>
      </c>
      <c r="FE70" s="173">
        <f t="shared" ref="FE70:FE105" si="304">FD70/(FD70+FC70)</f>
        <v>-0.10241129600890683</v>
      </c>
      <c r="FF70" s="5">
        <f t="shared" ref="FF70:FF105" si="305">FE70*100</f>
        <v>-10.241129600890684</v>
      </c>
      <c r="FG70">
        <f t="shared" ref="FG70:FG105" si="306">CJ70/Iout*100</f>
        <v>65</v>
      </c>
      <c r="FI70" s="562">
        <f t="shared" si="268"/>
        <v>-50</v>
      </c>
      <c r="FJ70">
        <f t="shared" si="269"/>
        <v>-50</v>
      </c>
      <c r="FL70">
        <f t="shared" si="270"/>
        <v>0.56589274964923497</v>
      </c>
    </row>
    <row r="71" spans="5:168">
      <c r="E71" s="170">
        <v>66</v>
      </c>
      <c r="F71" s="217">
        <f t="shared" si="174"/>
        <v>0.39600000000000002</v>
      </c>
      <c r="G71" s="217">
        <f t="shared" si="271"/>
        <v>0.33</v>
      </c>
      <c r="H71" s="217">
        <f t="shared" si="176"/>
        <v>67.320000000000007</v>
      </c>
      <c r="I71" s="217">
        <f t="shared" si="175"/>
        <v>3.96</v>
      </c>
      <c r="J71" s="541">
        <f t="shared" si="177"/>
        <v>11.285532122958159</v>
      </c>
      <c r="K71" s="443">
        <f t="shared" si="178"/>
        <v>8.5428143781136487</v>
      </c>
      <c r="L71" s="172">
        <f t="shared" si="179"/>
        <v>19.828346501071806</v>
      </c>
      <c r="M71" s="443"/>
      <c r="N71" s="217">
        <f t="shared" si="180"/>
        <v>0.43083846540869525</v>
      </c>
      <c r="O71" s="172">
        <f t="shared" si="272"/>
        <v>153.07056074072054</v>
      </c>
      <c r="P71" s="172">
        <f t="shared" si="181"/>
        <v>9.0041506318070894</v>
      </c>
      <c r="Q71" s="217">
        <f t="shared" si="182"/>
        <v>0.90041506318070907</v>
      </c>
      <c r="R71" s="217">
        <f t="shared" si="183"/>
        <v>12.755880061726712</v>
      </c>
      <c r="S71" s="443">
        <f t="shared" si="184"/>
        <v>170</v>
      </c>
      <c r="T71" s="217">
        <f t="shared" si="185"/>
        <v>29.319811584162323</v>
      </c>
      <c r="U71" s="217">
        <f t="shared" si="186"/>
        <v>1.2989999613982324</v>
      </c>
      <c r="V71" s="217">
        <f t="shared" si="187"/>
        <v>1.7160510744139845</v>
      </c>
      <c r="W71" s="197">
        <f t="shared" si="188"/>
        <v>350</v>
      </c>
      <c r="X71" s="443">
        <f t="shared" si="273"/>
        <v>311.03705317927262</v>
      </c>
      <c r="Z71" s="217">
        <f t="shared" si="189"/>
        <v>27.784236235290443</v>
      </c>
      <c r="AA71" s="173">
        <f t="shared" si="190"/>
        <v>1.6261758131180135</v>
      </c>
      <c r="AB71" s="173">
        <f t="shared" si="191"/>
        <v>0.37337946536545719</v>
      </c>
      <c r="AC71" s="173"/>
      <c r="AD71" s="173">
        <f t="shared" si="192"/>
        <v>0.78038294777262185</v>
      </c>
      <c r="AE71" s="545">
        <f t="shared" si="193"/>
        <v>1611.8783176021964</v>
      </c>
      <c r="AF71" s="528">
        <f t="shared" si="194"/>
        <v>8.5986639615687033E-2</v>
      </c>
      <c r="AH71" s="173">
        <f t="shared" si="195"/>
        <v>28.541698818195307</v>
      </c>
      <c r="AI71" s="173">
        <f t="shared" si="196"/>
        <v>29.319811584162323</v>
      </c>
      <c r="AJ71" s="173">
        <f t="shared" si="197"/>
        <v>13.041835741354806</v>
      </c>
      <c r="AL71" s="545">
        <f t="shared" si="198"/>
        <v>396</v>
      </c>
      <c r="AM71" s="460">
        <f t="shared" si="199"/>
        <v>311.03705317927262</v>
      </c>
      <c r="AO71">
        <f t="shared" si="274"/>
        <v>396</v>
      </c>
      <c r="AP71">
        <f t="shared" si="200"/>
        <v>311.03705317927262</v>
      </c>
      <c r="AR71" s="5">
        <f t="shared" si="275"/>
        <v>3.2150510358122171</v>
      </c>
      <c r="AS71" s="5">
        <f t="shared" si="201"/>
        <v>1.2989999613982324</v>
      </c>
      <c r="AT71" s="5">
        <f t="shared" si="276"/>
        <v>1.9160510744139847</v>
      </c>
      <c r="AU71" s="173">
        <f t="shared" si="277"/>
        <v>0.40403712007329506</v>
      </c>
      <c r="AW71" s="5">
        <f t="shared" si="202"/>
        <v>0.30259057924335298</v>
      </c>
      <c r="AX71" s="5">
        <f t="shared" si="203"/>
        <v>3.572249893845139</v>
      </c>
      <c r="AY71" s="5">
        <f t="shared" si="204"/>
        <v>18.287280659760548</v>
      </c>
      <c r="AZ71" s="5"/>
      <c r="BA71" s="173">
        <f t="shared" si="278"/>
        <v>10.759972990344112</v>
      </c>
      <c r="BB71" s="173">
        <f t="shared" si="205"/>
        <v>0.61710145932440508</v>
      </c>
      <c r="BC71" s="173">
        <f t="shared" si="206"/>
        <v>0.4879074530184157</v>
      </c>
      <c r="BD71" s="173"/>
      <c r="BE71" s="528">
        <f t="shared" si="207"/>
        <v>4.6310807501173921</v>
      </c>
      <c r="BF71" s="528">
        <f t="shared" si="208"/>
        <v>4.0685749562373283</v>
      </c>
      <c r="BG71" s="528">
        <f t="shared" si="209"/>
        <v>0.14040874620339705</v>
      </c>
      <c r="BH71" s="528">
        <f t="shared" si="210"/>
        <v>2.4457672403153118E-2</v>
      </c>
      <c r="BI71">
        <f t="shared" si="211"/>
        <v>5.0784894553311715E-3</v>
      </c>
      <c r="BJ71" s="460">
        <f t="shared" si="279"/>
        <v>145.48723565872822</v>
      </c>
      <c r="BK71">
        <f t="shared" si="212"/>
        <v>-99.402326281672103</v>
      </c>
      <c r="BL71" s="460">
        <f t="shared" si="280"/>
        <v>-99402.326281672096</v>
      </c>
      <c r="BM71" s="173">
        <f t="shared" si="213"/>
        <v>0.34372799999999998</v>
      </c>
      <c r="BN71" s="173">
        <f t="shared" si="214"/>
        <v>0.28643999999999997</v>
      </c>
      <c r="BO71" s="528"/>
      <c r="BQ71" s="460">
        <f t="shared" si="281"/>
        <v>630.16800000000001</v>
      </c>
      <c r="BR71" s="528">
        <f t="shared" si="215"/>
        <v>3.4733105625880443</v>
      </c>
      <c r="BS71" s="528">
        <f t="shared" si="216"/>
        <v>1.1424426333009311E-2</v>
      </c>
      <c r="BT71" s="528">
        <f t="shared" si="217"/>
        <v>1.1902684135545877E-3</v>
      </c>
      <c r="BU71" s="528">
        <f t="shared" si="218"/>
        <v>397.1030875492325</v>
      </c>
      <c r="BV71" s="528">
        <f t="shared" si="219"/>
        <v>556.66505760194775</v>
      </c>
      <c r="BW71" s="625">
        <f t="shared" si="220"/>
        <v>6.6845855769876295</v>
      </c>
      <c r="BX71" s="460">
        <f t="shared" si="282"/>
        <v>563349.6431789354</v>
      </c>
      <c r="BY71" s="173">
        <f t="shared" si="283"/>
        <v>464.57748489726328</v>
      </c>
      <c r="BZ71" s="5">
        <f t="shared" si="284"/>
        <v>71.28</v>
      </c>
      <c r="CA71" s="173">
        <f t="shared" si="285"/>
        <v>0.13302044295166668</v>
      </c>
      <c r="CB71" s="5">
        <f t="shared" si="286"/>
        <v>13.302044295166668</v>
      </c>
      <c r="CC71">
        <f t="shared" si="287"/>
        <v>66</v>
      </c>
      <c r="CE71" s="562">
        <f t="shared" si="221"/>
        <v>-50</v>
      </c>
      <c r="CF71">
        <f t="shared" si="222"/>
        <v>-50</v>
      </c>
      <c r="CG71" s="173">
        <f t="shared" si="223"/>
        <v>0.57022915597378976</v>
      </c>
      <c r="CH71" s="173">
        <f t="shared" si="224"/>
        <v>0.14190226485443994</v>
      </c>
      <c r="CI71" s="170">
        <v>66</v>
      </c>
      <c r="CJ71" s="217">
        <f t="shared" si="133"/>
        <v>0.39600000000000002</v>
      </c>
      <c r="CK71" s="217">
        <f t="shared" si="288"/>
        <v>0.33</v>
      </c>
      <c r="CL71" s="217">
        <f t="shared" si="225"/>
        <v>67.320000000000007</v>
      </c>
      <c r="CM71" s="217">
        <f t="shared" si="134"/>
        <v>3.96</v>
      </c>
      <c r="CN71" s="541">
        <f t="shared" si="289"/>
        <v>12.5</v>
      </c>
      <c r="CO71" s="443">
        <f t="shared" si="226"/>
        <v>8.5350000000000001</v>
      </c>
      <c r="CP71" s="443">
        <f t="shared" si="227"/>
        <v>21.035</v>
      </c>
      <c r="CQ71" s="443"/>
      <c r="CR71" s="217">
        <f t="shared" si="228"/>
        <v>0.40546967895362668</v>
      </c>
      <c r="CS71" s="172">
        <f t="shared" si="290"/>
        <v>159.55982736601052</v>
      </c>
      <c r="CT71" s="172">
        <f t="shared" si="229"/>
        <v>9.3858721980006177</v>
      </c>
      <c r="CU71" s="217">
        <f t="shared" si="230"/>
        <v>0.93858721980006188</v>
      </c>
      <c r="CV71" s="217">
        <f t="shared" si="231"/>
        <v>13.296652280500878</v>
      </c>
      <c r="CW71" s="443">
        <f t="shared" si="232"/>
        <v>170</v>
      </c>
      <c r="CX71" s="217">
        <f t="shared" si="233"/>
        <v>28.127380645161285</v>
      </c>
      <c r="CY71" s="217">
        <f t="shared" si="234"/>
        <v>1.1250952258064513</v>
      </c>
      <c r="CZ71" s="217">
        <f t="shared" si="235"/>
        <v>1.647766880208628</v>
      </c>
      <c r="DA71" s="197">
        <f t="shared" si="236"/>
        <v>350</v>
      </c>
      <c r="DB71" s="443">
        <f t="shared" si="291"/>
        <v>350</v>
      </c>
      <c r="DD71" s="217">
        <f t="shared" si="237"/>
        <v>28.98230839756868</v>
      </c>
      <c r="DE71" s="173">
        <f t="shared" si="238"/>
        <v>1.6978505212401103</v>
      </c>
      <c r="DF71" s="173">
        <f t="shared" si="239"/>
        <v>0.40664636548103333</v>
      </c>
      <c r="DG71" s="173"/>
      <c r="DH71" s="173">
        <f t="shared" si="240"/>
        <v>0.78109744190587771</v>
      </c>
      <c r="DI71" s="545">
        <f t="shared" si="241"/>
        <v>1610.4038823529415</v>
      </c>
      <c r="DJ71" s="528">
        <f t="shared" si="242"/>
        <v>8.6065366284073561E-2</v>
      </c>
      <c r="DL71" s="173">
        <f t="shared" si="243"/>
        <v>28.541698818195307</v>
      </c>
      <c r="DM71" s="173">
        <f t="shared" si="244"/>
        <v>28.541698818195307</v>
      </c>
      <c r="DN71" s="173">
        <f t="shared" si="245"/>
        <v>12.465455914712573</v>
      </c>
      <c r="DP71" s="545">
        <f t="shared" si="246"/>
        <v>396</v>
      </c>
      <c r="DQ71" s="460">
        <f t="shared" si="247"/>
        <v>350</v>
      </c>
      <c r="DS71">
        <f t="shared" si="292"/>
        <v>396</v>
      </c>
      <c r="DT71">
        <f t="shared" si="248"/>
        <v>350</v>
      </c>
      <c r="DV71" s="5">
        <f t="shared" si="293"/>
        <v>2.8571428571428572</v>
      </c>
      <c r="DW71" s="5">
        <f t="shared" si="249"/>
        <v>1.1416679527278122</v>
      </c>
      <c r="DX71" s="5">
        <f t="shared" si="294"/>
        <v>1.715474904415045</v>
      </c>
      <c r="DY71" s="173">
        <f t="shared" si="295"/>
        <v>0.39958378345473428</v>
      </c>
      <c r="EA71" s="5">
        <f t="shared" si="250"/>
        <v>0.26594147604718454</v>
      </c>
      <c r="EB71" s="5">
        <f t="shared" si="251"/>
        <v>3.1395868700014833</v>
      </c>
      <c r="EC71" s="5">
        <f t="shared" si="252"/>
        <v>14.782178632348266</v>
      </c>
      <c r="ED71" s="5"/>
      <c r="EE71" s="173">
        <f t="shared" si="296"/>
        <v>10.416531199360527</v>
      </c>
      <c r="EF71" s="173">
        <f t="shared" si="253"/>
        <v>0.60296460488353865</v>
      </c>
      <c r="EG71" s="173">
        <f t="shared" si="254"/>
        <v>0.47673023646882839</v>
      </c>
      <c r="EH71" s="173"/>
      <c r="EI71" s="528">
        <f t="shared" si="255"/>
        <v>4.3401648890900502</v>
      </c>
      <c r="EJ71" s="528">
        <f t="shared" si="256"/>
        <v>5.7786058584171069</v>
      </c>
      <c r="EK71" s="528">
        <f t="shared" si="257"/>
        <v>6.9999999999999993E-2</v>
      </c>
      <c r="EL71" s="528">
        <f t="shared" si="258"/>
        <v>3.0972985749999998E-2</v>
      </c>
      <c r="EM71">
        <f t="shared" si="259"/>
        <v>5.6249999999999998E-3</v>
      </c>
      <c r="EN71" s="460">
        <f t="shared" si="297"/>
        <v>75.625</v>
      </c>
      <c r="EO71">
        <f t="shared" si="260"/>
        <v>-365.02412989076572</v>
      </c>
      <c r="EP71" s="460">
        <f t="shared" si="298"/>
        <v>-365024.1298907657</v>
      </c>
      <c r="EQ71" s="173">
        <f t="shared" si="261"/>
        <v>0.34372799999999998</v>
      </c>
      <c r="ER71" s="173">
        <f t="shared" si="262"/>
        <v>0.28643999999999997</v>
      </c>
      <c r="ES71" s="528"/>
      <c r="EU71" s="460">
        <f t="shared" si="299"/>
        <v>630.16800000000001</v>
      </c>
      <c r="EV71" s="528">
        <f t="shared" si="263"/>
        <v>3.2551236668175378</v>
      </c>
      <c r="EW71" s="528">
        <f t="shared" si="300"/>
        <v>1.0906989442270856E-2</v>
      </c>
      <c r="EX71" s="528">
        <f t="shared" si="264"/>
        <v>1.1363585918181252E-3</v>
      </c>
      <c r="EY71" s="528">
        <f t="shared" si="265"/>
        <v>498.70033817591934</v>
      </c>
      <c r="EZ71" s="528">
        <f t="shared" si="266"/>
        <v>680.65731569476679</v>
      </c>
      <c r="FA71" s="625">
        <f t="shared" si="267"/>
        <v>7.1280000000000001</v>
      </c>
      <c r="FB71" s="460">
        <f t="shared" si="301"/>
        <v>687785.31569476682</v>
      </c>
      <c r="FC71" s="173">
        <f t="shared" si="302"/>
        <v>323.39135380400108</v>
      </c>
      <c r="FD71" s="5">
        <f t="shared" si="303"/>
        <v>71.28</v>
      </c>
      <c r="FE71" s="173">
        <f t="shared" si="304"/>
        <v>0.18060596319690983</v>
      </c>
      <c r="FF71" s="5">
        <f t="shared" si="305"/>
        <v>18.060596319690983</v>
      </c>
      <c r="FG71">
        <f t="shared" si="306"/>
        <v>66</v>
      </c>
      <c r="FI71" s="562">
        <f t="shared" si="268"/>
        <v>-50</v>
      </c>
      <c r="FJ71">
        <f t="shared" si="269"/>
        <v>-50</v>
      </c>
      <c r="FL71">
        <f t="shared" si="270"/>
        <v>0.57022915597378976</v>
      </c>
    </row>
    <row r="72" spans="5:168">
      <c r="E72" s="170">
        <v>67</v>
      </c>
      <c r="F72" s="217">
        <f t="shared" ref="F72:F103" si="307">IF(PLOT_TYPE=1, E72/100*Iout_max, min_I*EXP(O72*rr/100))</f>
        <v>0.40200000000000002</v>
      </c>
      <c r="G72" s="217">
        <f t="shared" si="271"/>
        <v>0.33500000000000002</v>
      </c>
      <c r="H72" s="217">
        <f t="shared" si="176"/>
        <v>68.34</v>
      </c>
      <c r="I72" s="217">
        <f t="shared" ref="I72:I105" si="308">Vout2*G72</f>
        <v>4.0200000000000005</v>
      </c>
      <c r="J72" s="541">
        <f t="shared" si="177"/>
        <v>11.276366197626324</v>
      </c>
      <c r="K72" s="443">
        <f t="shared" si="178"/>
        <v>8.5428733553889309</v>
      </c>
      <c r="L72" s="172">
        <f t="shared" si="179"/>
        <v>19.819239553015255</v>
      </c>
      <c r="M72" s="443"/>
      <c r="N72" s="217">
        <f t="shared" si="180"/>
        <v>0.43103941160493403</v>
      </c>
      <c r="O72" s="172">
        <f t="shared" si="272"/>
        <v>153.01757456431946</v>
      </c>
      <c r="P72" s="172">
        <f t="shared" si="181"/>
        <v>9.0010337979011439</v>
      </c>
      <c r="Q72" s="217">
        <f t="shared" si="182"/>
        <v>0.90010337979011446</v>
      </c>
      <c r="R72" s="217">
        <f t="shared" si="183"/>
        <v>12.751464547026622</v>
      </c>
      <c r="S72" s="443">
        <f t="shared" si="184"/>
        <v>170</v>
      </c>
      <c r="T72" s="217">
        <f t="shared" si="185"/>
        <v>29.774357703499803</v>
      </c>
      <c r="U72" s="217">
        <f t="shared" si="186"/>
        <v>1.3202106592533021</v>
      </c>
      <c r="V72" s="217">
        <f t="shared" si="187"/>
        <v>1.742643046716702</v>
      </c>
      <c r="W72" s="197">
        <f t="shared" si="188"/>
        <v>350</v>
      </c>
      <c r="X72" s="443">
        <f t="shared" si="273"/>
        <v>306.48018272174204</v>
      </c>
      <c r="Z72" s="217">
        <f t="shared" si="189"/>
        <v>27.774618576380675</v>
      </c>
      <c r="AA72" s="173">
        <f t="shared" si="190"/>
        <v>1.6256016811287601</v>
      </c>
      <c r="AB72" s="173">
        <f t="shared" si="191"/>
        <v>0.37311843968100467</v>
      </c>
      <c r="AC72" s="173"/>
      <c r="AD72" s="173">
        <f t="shared" si="192"/>
        <v>0.78037756025743565</v>
      </c>
      <c r="AE72" s="545">
        <f t="shared" si="193"/>
        <v>1636.3120129304375</v>
      </c>
      <c r="AF72" s="528">
        <f t="shared" si="194"/>
        <v>8.5986045991328572E-2</v>
      </c>
      <c r="AH72" s="173">
        <f t="shared" si="195"/>
        <v>28.757110921847289</v>
      </c>
      <c r="AI72" s="173">
        <f t="shared" si="196"/>
        <v>29.774357703499803</v>
      </c>
      <c r="AJ72" s="173">
        <f t="shared" si="197"/>
        <v>13.378536570493678</v>
      </c>
      <c r="AL72" s="545">
        <f t="shared" si="198"/>
        <v>402</v>
      </c>
      <c r="AM72" s="460">
        <f t="shared" si="199"/>
        <v>306.48018272174204</v>
      </c>
      <c r="AO72">
        <f t="shared" si="274"/>
        <v>402</v>
      </c>
      <c r="AP72">
        <f t="shared" si="200"/>
        <v>306.48018272174204</v>
      </c>
      <c r="AR72" s="5">
        <f t="shared" si="275"/>
        <v>3.262853705970004</v>
      </c>
      <c r="AS72" s="5">
        <f t="shared" si="201"/>
        <v>1.3202106592533021</v>
      </c>
      <c r="AT72" s="5">
        <f t="shared" si="276"/>
        <v>1.942643046716702</v>
      </c>
      <c r="AU72" s="173">
        <f t="shared" si="277"/>
        <v>0.40461840407914351</v>
      </c>
      <c r="AW72" s="5">
        <f t="shared" si="202"/>
        <v>0.31219099118813382</v>
      </c>
      <c r="AX72" s="5">
        <f t="shared" si="203"/>
        <v>3.6855880904154685</v>
      </c>
      <c r="AY72" s="5">
        <f t="shared" si="204"/>
        <v>18.837306059189949</v>
      </c>
      <c r="AZ72" s="5"/>
      <c r="BA72" s="173">
        <f t="shared" si="278"/>
        <v>10.934642549239889</v>
      </c>
      <c r="BB72" s="173">
        <f t="shared" si="205"/>
        <v>0.62636271480856842</v>
      </c>
      <c r="BC72" s="173">
        <f t="shared" si="206"/>
        <v>0.49522980740075317</v>
      </c>
      <c r="BD72" s="173"/>
      <c r="BE72" s="528">
        <f t="shared" si="207"/>
        <v>4.7826563071858974</v>
      </c>
      <c r="BF72" s="528">
        <f t="shared" si="208"/>
        <v>4.0692493667798191</v>
      </c>
      <c r="BG72" s="528">
        <f t="shared" si="209"/>
        <v>0.13823931090743166</v>
      </c>
      <c r="BH72" s="528">
        <f t="shared" si="210"/>
        <v>2.4077221466662684E-2</v>
      </c>
      <c r="BI72">
        <f t="shared" si="211"/>
        <v>5.0743647889318457E-3</v>
      </c>
      <c r="BJ72" s="460">
        <f t="shared" si="279"/>
        <v>143.3136756963635</v>
      </c>
      <c r="BK72">
        <f t="shared" si="212"/>
        <v>-74.562660073260176</v>
      </c>
      <c r="BL72" s="460">
        <f t="shared" si="280"/>
        <v>-74562.66007326018</v>
      </c>
      <c r="BM72" s="173">
        <f t="shared" si="213"/>
        <v>0.34893599999999997</v>
      </c>
      <c r="BN72" s="173">
        <f t="shared" si="214"/>
        <v>0.29077999999999998</v>
      </c>
      <c r="BO72" s="528"/>
      <c r="BQ72" s="460">
        <f t="shared" si="281"/>
        <v>639.71599999999989</v>
      </c>
      <c r="BR72" s="528">
        <f t="shared" si="215"/>
        <v>3.5869922303894226</v>
      </c>
      <c r="BS72" s="528">
        <f t="shared" si="216"/>
        <v>1.17699075150708E-2</v>
      </c>
      <c r="BT72" s="528">
        <f t="shared" si="217"/>
        <v>1.2262628106909355E-3</v>
      </c>
      <c r="BU72" s="528">
        <f t="shared" si="218"/>
        <v>397.72418729043875</v>
      </c>
      <c r="BV72" s="528">
        <f t="shared" si="219"/>
        <v>564.87029317417478</v>
      </c>
      <c r="BW72" s="625">
        <f t="shared" si="220"/>
        <v>6.7924618795650957</v>
      </c>
      <c r="BX72" s="460">
        <f t="shared" si="282"/>
        <v>571662.75505373988</v>
      </c>
      <c r="BY72" s="173">
        <f t="shared" si="283"/>
        <v>497.73981098047972</v>
      </c>
      <c r="BZ72" s="5">
        <f t="shared" si="284"/>
        <v>72.36</v>
      </c>
      <c r="CA72" s="173">
        <f t="shared" si="285"/>
        <v>0.12692514294216739</v>
      </c>
      <c r="CB72" s="5">
        <f t="shared" si="286"/>
        <v>12.692514294216739</v>
      </c>
      <c r="CC72">
        <f t="shared" si="287"/>
        <v>67</v>
      </c>
      <c r="CE72" s="562">
        <f t="shared" si="221"/>
        <v>-50</v>
      </c>
      <c r="CF72">
        <f t="shared" si="222"/>
        <v>-50</v>
      </c>
      <c r="CG72" s="173">
        <f t="shared" si="223"/>
        <v>0.57453283329988147</v>
      </c>
      <c r="CH72" s="173">
        <f t="shared" si="224"/>
        <v>0.14297324053742169</v>
      </c>
      <c r="CI72" s="170">
        <v>67</v>
      </c>
      <c r="CJ72" s="217">
        <f t="shared" ref="CJ72:CJ105" si="309">IF(PLOT_TYPE=1, CI72/100*Iout_max, min_I*EXP(CS72*rr/100))</f>
        <v>0.40200000000000002</v>
      </c>
      <c r="CK72" s="217">
        <f t="shared" si="288"/>
        <v>0.33500000000000002</v>
      </c>
      <c r="CL72" s="217">
        <f t="shared" si="225"/>
        <v>68.34</v>
      </c>
      <c r="CM72" s="217">
        <f t="shared" ref="CM72:CM105" si="310">Vout2*CK72</f>
        <v>4.0200000000000005</v>
      </c>
      <c r="CN72" s="541">
        <f t="shared" si="289"/>
        <v>12.5</v>
      </c>
      <c r="CO72" s="443">
        <f t="shared" si="226"/>
        <v>8.5350000000000001</v>
      </c>
      <c r="CP72" s="443">
        <f t="shared" si="227"/>
        <v>21.035</v>
      </c>
      <c r="CQ72" s="443"/>
      <c r="CR72" s="217">
        <f t="shared" si="228"/>
        <v>0.40546967895362668</v>
      </c>
      <c r="CS72" s="172">
        <f t="shared" si="290"/>
        <v>159.55982736601052</v>
      </c>
      <c r="CT72" s="172">
        <f t="shared" si="229"/>
        <v>9.3858721980006177</v>
      </c>
      <c r="CU72" s="217">
        <f t="shared" si="230"/>
        <v>0.93858721980006188</v>
      </c>
      <c r="CV72" s="217">
        <f t="shared" si="231"/>
        <v>13.296652280500878</v>
      </c>
      <c r="CW72" s="443">
        <f t="shared" si="232"/>
        <v>170</v>
      </c>
      <c r="CX72" s="217">
        <f t="shared" si="233"/>
        <v>28.553553079178879</v>
      </c>
      <c r="CY72" s="217">
        <f t="shared" si="234"/>
        <v>1.1421421231671551</v>
      </c>
      <c r="CZ72" s="217">
        <f t="shared" si="235"/>
        <v>1.672733045060274</v>
      </c>
      <c r="DA72" s="197">
        <f t="shared" si="236"/>
        <v>350</v>
      </c>
      <c r="DB72" s="443">
        <f t="shared" si="291"/>
        <v>350</v>
      </c>
      <c r="DD72" s="217">
        <f t="shared" si="237"/>
        <v>28.98230839756868</v>
      </c>
      <c r="DE72" s="173">
        <f t="shared" si="238"/>
        <v>1.6978505212401103</v>
      </c>
      <c r="DF72" s="173">
        <f t="shared" si="239"/>
        <v>0.40664636548103333</v>
      </c>
      <c r="DG72" s="173"/>
      <c r="DH72" s="173">
        <f t="shared" si="240"/>
        <v>0.78109744190587771</v>
      </c>
      <c r="DI72" s="545">
        <f t="shared" si="241"/>
        <v>1634.803941176471</v>
      </c>
      <c r="DJ72" s="528">
        <f t="shared" si="242"/>
        <v>8.6065366284073561E-2</v>
      </c>
      <c r="DL72" s="173">
        <f t="shared" si="243"/>
        <v>28.757110921847289</v>
      </c>
      <c r="DM72" s="173">
        <f t="shared" si="244"/>
        <v>28.757110921847289</v>
      </c>
      <c r="DN72" s="173">
        <f t="shared" si="245"/>
        <v>12.625020435936262</v>
      </c>
      <c r="DP72" s="545">
        <f t="shared" si="246"/>
        <v>402</v>
      </c>
      <c r="DQ72" s="460">
        <f t="shared" si="247"/>
        <v>350</v>
      </c>
      <c r="DS72">
        <f t="shared" si="292"/>
        <v>402</v>
      </c>
      <c r="DT72">
        <f t="shared" si="248"/>
        <v>350</v>
      </c>
      <c r="DV72" s="5">
        <f t="shared" si="293"/>
        <v>2.8571428571428572</v>
      </c>
      <c r="DW72" s="5">
        <f t="shared" si="249"/>
        <v>1.1502844368738916</v>
      </c>
      <c r="DX72" s="5">
        <f t="shared" si="294"/>
        <v>1.7068584202689656</v>
      </c>
      <c r="DY72" s="173">
        <f t="shared" si="295"/>
        <v>0.40259955290586202</v>
      </c>
      <c r="EA72" s="5">
        <f t="shared" si="250"/>
        <v>0.2720084374254732</v>
      </c>
      <c r="EB72" s="5">
        <f t="shared" si="251"/>
        <v>3.2112107196062811</v>
      </c>
      <c r="EC72" s="5">
        <f t="shared" si="252"/>
        <v>14.930778168471182</v>
      </c>
      <c r="ED72" s="5"/>
      <c r="EE72" s="173">
        <f t="shared" si="296"/>
        <v>10.534678090458819</v>
      </c>
      <c r="EF72" s="173">
        <f t="shared" si="253"/>
        <v>0.6059877115702007</v>
      </c>
      <c r="EG72" s="173">
        <f t="shared" si="254"/>
        <v>0.47912043707750462</v>
      </c>
      <c r="EH72" s="173"/>
      <c r="EI72" s="528">
        <f t="shared" si="255"/>
        <v>4.4391776987837224</v>
      </c>
      <c r="EJ72" s="528">
        <f t="shared" si="256"/>
        <v>5.8222185968201812</v>
      </c>
      <c r="EK72" s="528">
        <f t="shared" si="257"/>
        <v>6.9999999999999993E-2</v>
      </c>
      <c r="EL72" s="528">
        <f t="shared" si="258"/>
        <v>3.0972985749999998E-2</v>
      </c>
      <c r="EM72">
        <f t="shared" si="259"/>
        <v>5.6249999999999998E-3</v>
      </c>
      <c r="EN72" s="460">
        <f t="shared" si="297"/>
        <v>75.625</v>
      </c>
      <c r="EO72">
        <f t="shared" si="260"/>
        <v>-211.26691412410599</v>
      </c>
      <c r="EP72" s="460">
        <f t="shared" si="298"/>
        <v>-211266.914124106</v>
      </c>
      <c r="EQ72" s="173">
        <f t="shared" si="261"/>
        <v>0.34893599999999997</v>
      </c>
      <c r="ER72" s="173">
        <f t="shared" si="262"/>
        <v>0.29077999999999998</v>
      </c>
      <c r="ES72" s="528"/>
      <c r="EU72" s="460">
        <f t="shared" si="299"/>
        <v>639.71599999999989</v>
      </c>
      <c r="EV72" s="528">
        <f t="shared" si="263"/>
        <v>3.329383274087792</v>
      </c>
      <c r="EW72" s="528">
        <f t="shared" si="300"/>
        <v>1.1016633197222661E-2</v>
      </c>
      <c r="EX72" s="528">
        <f t="shared" si="264"/>
        <v>1.1477819661266954E-3</v>
      </c>
      <c r="EY72" s="528">
        <f t="shared" si="265"/>
        <v>508.16324143784033</v>
      </c>
      <c r="EZ72" s="528">
        <f t="shared" si="266"/>
        <v>699.22671319044889</v>
      </c>
      <c r="FA72" s="625">
        <f t="shared" si="267"/>
        <v>7.2360000000000015</v>
      </c>
      <c r="FB72" s="460">
        <f t="shared" si="301"/>
        <v>706462.71319044894</v>
      </c>
      <c r="FC72" s="173">
        <f t="shared" si="302"/>
        <v>495.83551506634291</v>
      </c>
      <c r="FD72" s="5">
        <f t="shared" si="303"/>
        <v>72.36</v>
      </c>
      <c r="FE72" s="173">
        <f t="shared" si="304"/>
        <v>0.1273505300223132</v>
      </c>
      <c r="FF72" s="5">
        <f t="shared" si="305"/>
        <v>12.73505300223132</v>
      </c>
      <c r="FG72">
        <f t="shared" si="306"/>
        <v>67</v>
      </c>
      <c r="FI72" s="562">
        <f t="shared" si="268"/>
        <v>-50</v>
      </c>
      <c r="FJ72">
        <f t="shared" si="269"/>
        <v>-50</v>
      </c>
      <c r="FL72">
        <f t="shared" si="270"/>
        <v>0.57453283329988147</v>
      </c>
    </row>
    <row r="73" spans="5:168">
      <c r="E73" s="170">
        <v>68</v>
      </c>
      <c r="F73" s="217">
        <f t="shared" si="307"/>
        <v>0.40800000000000003</v>
      </c>
      <c r="G73" s="217">
        <f t="shared" si="271"/>
        <v>0.34</v>
      </c>
      <c r="H73" s="217">
        <f t="shared" si="176"/>
        <v>69.36</v>
      </c>
      <c r="I73" s="217">
        <f t="shared" si="308"/>
        <v>4.08</v>
      </c>
      <c r="J73" s="541">
        <f t="shared" si="177"/>
        <v>11.267268423274389</v>
      </c>
      <c r="K73" s="443">
        <f t="shared" si="178"/>
        <v>8.5429318941532113</v>
      </c>
      <c r="L73" s="172">
        <f t="shared" si="179"/>
        <v>19.810200317427601</v>
      </c>
      <c r="M73" s="443"/>
      <c r="N73" s="217">
        <f t="shared" si="180"/>
        <v>0.43123904641376842</v>
      </c>
      <c r="O73" s="172">
        <f t="shared" si="272"/>
        <v>152.96493247998853</v>
      </c>
      <c r="P73" s="172">
        <f t="shared" si="181"/>
        <v>8.997937204705206</v>
      </c>
      <c r="Q73" s="217">
        <f t="shared" si="182"/>
        <v>0.89979372047052075</v>
      </c>
      <c r="R73" s="217">
        <f t="shared" si="183"/>
        <v>12.747077706665712</v>
      </c>
      <c r="S73" s="443">
        <f t="shared" si="184"/>
        <v>170</v>
      </c>
      <c r="T73" s="217">
        <f t="shared" si="185"/>
        <v>30.229150727765205</v>
      </c>
      <c r="U73" s="217">
        <f t="shared" si="186"/>
        <v>1.3414587099621209</v>
      </c>
      <c r="V73" s="217">
        <f t="shared" si="187"/>
        <v>1.7692491935031143</v>
      </c>
      <c r="W73" s="197">
        <f t="shared" si="188"/>
        <v>350</v>
      </c>
      <c r="X73" s="443">
        <f t="shared" si="273"/>
        <v>302.05020471704103</v>
      </c>
      <c r="Z73" s="217">
        <f t="shared" si="189"/>
        <v>27.765063374518924</v>
      </c>
      <c r="AA73" s="173">
        <f t="shared" si="190"/>
        <v>1.6250312959606614</v>
      </c>
      <c r="AB73" s="173">
        <f t="shared" si="191"/>
        <v>0.37285920369673625</v>
      </c>
      <c r="AC73" s="173"/>
      <c r="AD73" s="173">
        <f t="shared" si="192"/>
        <v>0.78037221287335068</v>
      </c>
      <c r="AE73" s="545">
        <f t="shared" si="193"/>
        <v>1660.7459602233844</v>
      </c>
      <c r="AF73" s="528">
        <f t="shared" si="194"/>
        <v>8.5985456788822898E-2</v>
      </c>
      <c r="AH73" s="173">
        <f t="shared" si="195"/>
        <v>28.970921381866432</v>
      </c>
      <c r="AI73" s="173">
        <f t="shared" si="196"/>
        <v>30.229150727765205</v>
      </c>
      <c r="AJ73" s="173">
        <f t="shared" si="197"/>
        <v>13.715420292171757</v>
      </c>
      <c r="AL73" s="545">
        <f t="shared" si="198"/>
        <v>408.00000000000006</v>
      </c>
      <c r="AM73" s="460">
        <f t="shared" si="199"/>
        <v>302.05020471704103</v>
      </c>
      <c r="AO73">
        <f t="shared" si="274"/>
        <v>408.00000000000006</v>
      </c>
      <c r="AP73">
        <f t="shared" si="200"/>
        <v>302.05020471704103</v>
      </c>
      <c r="AR73" s="5">
        <f t="shared" si="275"/>
        <v>3.3107079034652354</v>
      </c>
      <c r="AS73" s="5">
        <f t="shared" si="201"/>
        <v>1.3414587099621209</v>
      </c>
      <c r="AT73" s="5">
        <f t="shared" si="276"/>
        <v>1.9692491935031144</v>
      </c>
      <c r="AU73" s="173">
        <f t="shared" si="277"/>
        <v>0.40518787796351635</v>
      </c>
      <c r="AW73" s="5">
        <f t="shared" si="202"/>
        <v>0.32195009039090905</v>
      </c>
      <c r="AX73" s="5">
        <f t="shared" si="203"/>
        <v>3.8007996782260096</v>
      </c>
      <c r="AY73" s="5">
        <f t="shared" si="204"/>
        <v>19.395952087799088</v>
      </c>
      <c r="AZ73" s="5"/>
      <c r="BA73" s="173">
        <f t="shared" si="278"/>
        <v>11.109475121600182</v>
      </c>
      <c r="BB73" s="173">
        <f t="shared" si="205"/>
        <v>0.63562598704191708</v>
      </c>
      <c r="BC73" s="173">
        <f t="shared" si="206"/>
        <v>0.50255375631336385</v>
      </c>
      <c r="BD73" s="173"/>
      <c r="BE73" s="528">
        <f t="shared" si="207"/>
        <v>4.9368174990981348</v>
      </c>
      <c r="BF73" s="528">
        <f t="shared" si="208"/>
        <v>4.0698318450591033</v>
      </c>
      <c r="BG73" s="528">
        <f t="shared" si="209"/>
        <v>0.13613122935407526</v>
      </c>
      <c r="BH73" s="528">
        <f t="shared" si="210"/>
        <v>2.3707560320005719E-2</v>
      </c>
      <c r="BI73">
        <f t="shared" si="211"/>
        <v>5.0702707904734749E-3</v>
      </c>
      <c r="BJ73" s="460">
        <f t="shared" si="279"/>
        <v>141.20150014454873</v>
      </c>
      <c r="BK73">
        <f t="shared" si="212"/>
        <v>-59.907666122001864</v>
      </c>
      <c r="BL73" s="460">
        <f t="shared" si="280"/>
        <v>-59907.666122001865</v>
      </c>
      <c r="BM73" s="173">
        <f t="shared" si="213"/>
        <v>0.35414400000000001</v>
      </c>
      <c r="BN73" s="173">
        <f t="shared" si="214"/>
        <v>0.29511999999999999</v>
      </c>
      <c r="BO73" s="528"/>
      <c r="BQ73" s="460">
        <f t="shared" si="281"/>
        <v>649.26400000000001</v>
      </c>
      <c r="BR73" s="528">
        <f t="shared" si="215"/>
        <v>3.7026131243236011</v>
      </c>
      <c r="BS73" s="528">
        <f t="shared" si="216"/>
        <v>1.212061186209034E-2</v>
      </c>
      <c r="BT73" s="528">
        <f t="shared" si="217"/>
        <v>1.2628013899233595E-3</v>
      </c>
      <c r="BU73" s="528">
        <f t="shared" si="218"/>
        <v>398.32054321885028</v>
      </c>
      <c r="BV73" s="528">
        <f t="shared" si="219"/>
        <v>573.38373762183687</v>
      </c>
      <c r="BW73" s="625">
        <f t="shared" si="220"/>
        <v>6.9003486593116108</v>
      </c>
      <c r="BX73" s="460">
        <f t="shared" si="282"/>
        <v>580284.08628114848</v>
      </c>
      <c r="BY73" s="173">
        <f t="shared" si="283"/>
        <v>521.02568415914664</v>
      </c>
      <c r="BZ73" s="5">
        <f t="shared" si="284"/>
        <v>73.44</v>
      </c>
      <c r="CA73" s="173">
        <f t="shared" si="285"/>
        <v>0.12353951112229232</v>
      </c>
      <c r="CB73" s="5">
        <f t="shared" si="286"/>
        <v>12.353951112229232</v>
      </c>
      <c r="CC73">
        <f t="shared" si="287"/>
        <v>68</v>
      </c>
      <c r="CE73" s="562">
        <f t="shared" si="221"/>
        <v>-50</v>
      </c>
      <c r="CF73">
        <f t="shared" si="222"/>
        <v>-50</v>
      </c>
      <c r="CG73" s="173">
        <f t="shared" si="223"/>
        <v>0.578804511693368</v>
      </c>
      <c r="CH73" s="173">
        <f t="shared" si="224"/>
        <v>0.14403625324453301</v>
      </c>
      <c r="CI73" s="170">
        <v>68</v>
      </c>
      <c r="CJ73" s="217">
        <f t="shared" si="309"/>
        <v>0.40800000000000003</v>
      </c>
      <c r="CK73" s="217">
        <f t="shared" si="288"/>
        <v>0.34</v>
      </c>
      <c r="CL73" s="217">
        <f t="shared" si="225"/>
        <v>69.36</v>
      </c>
      <c r="CM73" s="217">
        <f t="shared" si="310"/>
        <v>4.08</v>
      </c>
      <c r="CN73" s="541">
        <f t="shared" si="289"/>
        <v>12.5</v>
      </c>
      <c r="CO73" s="443">
        <f t="shared" si="226"/>
        <v>8.5350000000000001</v>
      </c>
      <c r="CP73" s="443">
        <f t="shared" si="227"/>
        <v>21.035</v>
      </c>
      <c r="CQ73" s="443"/>
      <c r="CR73" s="217">
        <f t="shared" si="228"/>
        <v>0.40546967895362668</v>
      </c>
      <c r="CS73" s="172">
        <f t="shared" si="290"/>
        <v>159.55982736601052</v>
      </c>
      <c r="CT73" s="172">
        <f t="shared" si="229"/>
        <v>9.3858721980006177</v>
      </c>
      <c r="CU73" s="217">
        <f t="shared" si="230"/>
        <v>0.93858721980006188</v>
      </c>
      <c r="CV73" s="217">
        <f t="shared" si="231"/>
        <v>13.296652280500878</v>
      </c>
      <c r="CW73" s="443">
        <f t="shared" si="232"/>
        <v>170</v>
      </c>
      <c r="CX73" s="217">
        <f t="shared" si="233"/>
        <v>28.979725513196474</v>
      </c>
      <c r="CY73" s="217">
        <f t="shared" si="234"/>
        <v>1.159189020527859</v>
      </c>
      <c r="CZ73" s="217">
        <f t="shared" si="235"/>
        <v>1.6976992099119197</v>
      </c>
      <c r="DA73" s="197">
        <f t="shared" si="236"/>
        <v>350</v>
      </c>
      <c r="DB73" s="443">
        <f t="shared" si="291"/>
        <v>350</v>
      </c>
      <c r="DD73" s="217">
        <f t="shared" si="237"/>
        <v>28.98230839756868</v>
      </c>
      <c r="DE73" s="173">
        <f t="shared" si="238"/>
        <v>1.6978505212401103</v>
      </c>
      <c r="DF73" s="173">
        <f t="shared" si="239"/>
        <v>0.40664636548103333</v>
      </c>
      <c r="DG73" s="173"/>
      <c r="DH73" s="173">
        <f t="shared" si="240"/>
        <v>0.78109744190587771</v>
      </c>
      <c r="DI73" s="545">
        <f t="shared" si="241"/>
        <v>1659.2040000000002</v>
      </c>
      <c r="DJ73" s="528">
        <f t="shared" si="242"/>
        <v>8.6065366284073561E-2</v>
      </c>
      <c r="DL73" s="173">
        <f t="shared" si="243"/>
        <v>28.970921381866432</v>
      </c>
      <c r="DM73" s="173">
        <f t="shared" si="244"/>
        <v>28.979725513196474</v>
      </c>
      <c r="DN73" s="173">
        <f t="shared" si="245"/>
        <v>12.789920133231956</v>
      </c>
      <c r="DP73" s="545">
        <f t="shared" si="246"/>
        <v>408.00000000000006</v>
      </c>
      <c r="DQ73" s="460">
        <f t="shared" si="247"/>
        <v>350</v>
      </c>
      <c r="DS73">
        <f t="shared" si="292"/>
        <v>408.00000000000006</v>
      </c>
      <c r="DT73">
        <f t="shared" si="248"/>
        <v>350</v>
      </c>
      <c r="DV73" s="5">
        <f t="shared" si="293"/>
        <v>2.8571428571428572</v>
      </c>
      <c r="DW73" s="5">
        <f t="shared" si="249"/>
        <v>1.159189020527859</v>
      </c>
      <c r="DX73" s="5">
        <f t="shared" si="294"/>
        <v>1.6979538366149982</v>
      </c>
      <c r="DY73" s="173">
        <f t="shared" si="295"/>
        <v>0.40571615718475063</v>
      </c>
      <c r="EA73" s="5">
        <f t="shared" si="250"/>
        <v>0.27820536492668624</v>
      </c>
      <c r="EB73" s="5">
        <f t="shared" si="251"/>
        <v>3.2843688914956006</v>
      </c>
      <c r="EC73" s="5">
        <f t="shared" si="252"/>
        <v>15.074569997774883</v>
      </c>
      <c r="ED73" s="5"/>
      <c r="EE73" s="173">
        <f t="shared" si="296"/>
        <v>10.657241123999771</v>
      </c>
      <c r="EF73" s="173">
        <f t="shared" si="253"/>
        <v>0.60908376326535874</v>
      </c>
      <c r="EG73" s="173">
        <f t="shared" si="254"/>
        <v>0.48156831120609889</v>
      </c>
      <c r="EH73" s="173"/>
      <c r="EI73" s="528">
        <f t="shared" si="255"/>
        <v>4.543071535002877</v>
      </c>
      <c r="EJ73" s="528">
        <f t="shared" si="256"/>
        <v>5.8672895643870957</v>
      </c>
      <c r="EK73" s="528">
        <f t="shared" si="257"/>
        <v>6.9999999999999993E-2</v>
      </c>
      <c r="EL73" s="528">
        <f t="shared" si="258"/>
        <v>3.0972985749999998E-2</v>
      </c>
      <c r="EM73">
        <f t="shared" si="259"/>
        <v>5.6249999999999998E-3</v>
      </c>
      <c r="EN73" s="460">
        <f t="shared" si="297"/>
        <v>75.625</v>
      </c>
      <c r="EO73">
        <f t="shared" si="260"/>
        <v>-147.84120720650708</v>
      </c>
      <c r="EP73" s="460">
        <f t="shared" si="298"/>
        <v>-147841.20720650707</v>
      </c>
      <c r="EQ73" s="173">
        <f t="shared" si="261"/>
        <v>0.35414400000000001</v>
      </c>
      <c r="ER73" s="173">
        <f t="shared" si="262"/>
        <v>0.29511999999999999</v>
      </c>
      <c r="ES73" s="528"/>
      <c r="EU73" s="460">
        <f t="shared" si="299"/>
        <v>649.26400000000001</v>
      </c>
      <c r="EV73" s="528">
        <f t="shared" si="263"/>
        <v>3.4073036512521573</v>
      </c>
      <c r="EW73" s="528">
        <f t="shared" si="300"/>
        <v>1.1129490920204748E-2</v>
      </c>
      <c r="EX73" s="528">
        <f t="shared" si="264"/>
        <v>1.1595401917894705E-3</v>
      </c>
      <c r="EY73" s="528">
        <f t="shared" si="265"/>
        <v>518.05489825118673</v>
      </c>
      <c r="EZ73" s="528">
        <f t="shared" si="266"/>
        <v>718.98646022591333</v>
      </c>
      <c r="FA73" s="625">
        <f t="shared" si="267"/>
        <v>7.3484642946768437</v>
      </c>
      <c r="FB73" s="460">
        <f t="shared" si="301"/>
        <v>726334.92452059023</v>
      </c>
      <c r="FC73" s="173">
        <f t="shared" si="302"/>
        <v>579.14298131408316</v>
      </c>
      <c r="FD73" s="5">
        <f t="shared" si="303"/>
        <v>73.44</v>
      </c>
      <c r="FE73" s="173">
        <f t="shared" si="304"/>
        <v>0.1125374122569309</v>
      </c>
      <c r="FF73" s="5">
        <f t="shared" si="305"/>
        <v>11.253741225693089</v>
      </c>
      <c r="FG73">
        <f t="shared" si="306"/>
        <v>68</v>
      </c>
      <c r="FI73" s="562">
        <f t="shared" si="268"/>
        <v>-50</v>
      </c>
      <c r="FJ73">
        <f t="shared" si="269"/>
        <v>-50</v>
      </c>
      <c r="FL73">
        <f t="shared" si="270"/>
        <v>0.57880451169336811</v>
      </c>
    </row>
    <row r="74" spans="5:168">
      <c r="E74" s="170">
        <v>69</v>
      </c>
      <c r="F74" s="217">
        <f t="shared" si="307"/>
        <v>0.41399999999999998</v>
      </c>
      <c r="G74" s="217">
        <f t="shared" si="271"/>
        <v>0.34499999999999997</v>
      </c>
      <c r="H74" s="217">
        <f t="shared" si="176"/>
        <v>70.38</v>
      </c>
      <c r="I74" s="217">
        <f t="shared" si="308"/>
        <v>4.1399999999999997</v>
      </c>
      <c r="J74" s="541">
        <f t="shared" si="177"/>
        <v>11.249195756888021</v>
      </c>
      <c r="K74" s="443">
        <f t="shared" si="178"/>
        <v>8.5430481810071761</v>
      </c>
      <c r="L74" s="172">
        <f t="shared" si="179"/>
        <v>19.792243937895197</v>
      </c>
      <c r="M74" s="443"/>
      <c r="N74" s="217">
        <f t="shared" si="180"/>
        <v>0.43163616049872133</v>
      </c>
      <c r="O74" s="172">
        <f t="shared" si="272"/>
        <v>152.86021168227424</v>
      </c>
      <c r="P74" s="172">
        <f t="shared" si="181"/>
        <v>8.9917771577808381</v>
      </c>
      <c r="Q74" s="217">
        <f t="shared" si="182"/>
        <v>0.89917771577808381</v>
      </c>
      <c r="R74" s="217">
        <f t="shared" si="183"/>
        <v>12.738350973522854</v>
      </c>
      <c r="S74" s="443">
        <f t="shared" si="184"/>
        <v>170</v>
      </c>
      <c r="T74" s="217">
        <f t="shared" si="185"/>
        <v>30.694710862709652</v>
      </c>
      <c r="U74" s="217">
        <f t="shared" si="186"/>
        <v>1.3643069036253059</v>
      </c>
      <c r="V74" s="217">
        <f t="shared" si="187"/>
        <v>1.7964730042697081</v>
      </c>
      <c r="W74" s="197">
        <f t="shared" si="188"/>
        <v>350</v>
      </c>
      <c r="X74" s="443">
        <f t="shared" si="273"/>
        <v>297.54998167265842</v>
      </c>
      <c r="Z74" s="217">
        <f t="shared" si="189"/>
        <v>27.746055229723737</v>
      </c>
      <c r="AA74" s="173">
        <f t="shared" si="190"/>
        <v>1.6238966842893678</v>
      </c>
      <c r="AB74" s="173">
        <f t="shared" si="191"/>
        <v>0.37234378636592425</v>
      </c>
      <c r="AC74" s="173"/>
      <c r="AD74" s="173">
        <f t="shared" si="192"/>
        <v>0.78036159054890231</v>
      </c>
      <c r="AE74" s="545">
        <f t="shared" si="193"/>
        <v>1685.1916335405567</v>
      </c>
      <c r="AF74" s="528">
        <f t="shared" si="194"/>
        <v>8.5984286366036472E-2</v>
      </c>
      <c r="AH74" s="173">
        <f t="shared" si="195"/>
        <v>29.183165401599993</v>
      </c>
      <c r="AI74" s="173">
        <f t="shared" si="196"/>
        <v>30.694710862709652</v>
      </c>
      <c r="AJ74" s="173">
        <f t="shared" si="197"/>
        <v>14.060279651389866</v>
      </c>
      <c r="AL74" s="545">
        <f t="shared" si="198"/>
        <v>414</v>
      </c>
      <c r="AM74" s="460">
        <f t="shared" si="199"/>
        <v>297.54998167265842</v>
      </c>
      <c r="AO74">
        <f t="shared" si="274"/>
        <v>414</v>
      </c>
      <c r="AP74">
        <f t="shared" si="200"/>
        <v>297.54998167265842</v>
      </c>
      <c r="AR74" s="5">
        <f t="shared" si="275"/>
        <v>3.3607799078950138</v>
      </c>
      <c r="AS74" s="5">
        <f t="shared" si="201"/>
        <v>1.3643069036253059</v>
      </c>
      <c r="AT74" s="5">
        <f t="shared" si="276"/>
        <v>1.9964730042697079</v>
      </c>
      <c r="AU74" s="173">
        <f t="shared" si="277"/>
        <v>0.40594949416959114</v>
      </c>
      <c r="AW74" s="5">
        <f t="shared" si="202"/>
        <v>0.33224885770639806</v>
      </c>
      <c r="AX74" s="5">
        <f t="shared" si="203"/>
        <v>3.9223823479227544</v>
      </c>
      <c r="AY74" s="5">
        <f t="shared" si="204"/>
        <v>19.985324899972863</v>
      </c>
      <c r="AZ74" s="5"/>
      <c r="BA74" s="173">
        <f t="shared" si="278"/>
        <v>11.291169363536813</v>
      </c>
      <c r="BB74" s="173">
        <f t="shared" si="205"/>
        <v>0.64500194617096074</v>
      </c>
      <c r="BC74" s="173">
        <f t="shared" si="206"/>
        <v>0.50996680042326525</v>
      </c>
      <c r="BD74" s="173"/>
      <c r="BE74" s="528">
        <f t="shared" si="207"/>
        <v>5.0996202238428934</v>
      </c>
      <c r="BF74" s="528">
        <f t="shared" si="208"/>
        <v>4.0672514972914442</v>
      </c>
      <c r="BG74" s="528">
        <f t="shared" si="209"/>
        <v>0.13388791965176711</v>
      </c>
      <c r="BH74" s="528">
        <f t="shared" si="210"/>
        <v>2.3312024639096741E-2</v>
      </c>
      <c r="BI74">
        <f t="shared" si="211"/>
        <v>5.0621380905996093E-3</v>
      </c>
      <c r="BJ74" s="460">
        <f t="shared" si="279"/>
        <v>138.95005774236671</v>
      </c>
      <c r="BK74">
        <f t="shared" si="212"/>
        <v>-49.922487498258377</v>
      </c>
      <c r="BL74" s="460">
        <f t="shared" si="280"/>
        <v>-49922.487498258379</v>
      </c>
      <c r="BM74" s="173">
        <f t="shared" si="213"/>
        <v>0.35935199999999995</v>
      </c>
      <c r="BN74" s="173">
        <f t="shared" si="214"/>
        <v>0.29945999999999995</v>
      </c>
      <c r="BO74" s="528"/>
      <c r="BQ74" s="460">
        <f t="shared" si="281"/>
        <v>658.8119999999999</v>
      </c>
      <c r="BR74" s="528">
        <f t="shared" si="215"/>
        <v>3.8247151678821698</v>
      </c>
      <c r="BS74" s="528">
        <f t="shared" si="216"/>
        <v>1.2480825316929806E-2</v>
      </c>
      <c r="BT74" s="528">
        <f t="shared" si="217"/>
        <v>1.3003306876697123E-3</v>
      </c>
      <c r="BU74" s="528">
        <f t="shared" si="218"/>
        <v>398.59210373855302</v>
      </c>
      <c r="BV74" s="528">
        <f t="shared" si="219"/>
        <v>582.10423712648731</v>
      </c>
      <c r="BW74" s="625">
        <f t="shared" si="220"/>
        <v>7.0085315073150722</v>
      </c>
      <c r="BX74" s="460">
        <f t="shared" si="282"/>
        <v>589112.76863380242</v>
      </c>
      <c r="BY74" s="173">
        <f t="shared" si="283"/>
        <v>539.84909313554397</v>
      </c>
      <c r="BZ74" s="5">
        <f t="shared" si="284"/>
        <v>74.52</v>
      </c>
      <c r="CA74" s="173">
        <f t="shared" si="285"/>
        <v>0.12129516414908452</v>
      </c>
      <c r="CB74" s="5">
        <f t="shared" si="286"/>
        <v>12.129516414908451</v>
      </c>
      <c r="CC74">
        <f t="shared" si="287"/>
        <v>69</v>
      </c>
      <c r="CE74" s="562">
        <f t="shared" si="221"/>
        <v>-50</v>
      </c>
      <c r="CF74">
        <f t="shared" si="222"/>
        <v>-50</v>
      </c>
      <c r="CG74" s="173">
        <f t="shared" si="223"/>
        <v>0.5788303047571709</v>
      </c>
      <c r="CH74" s="173">
        <f t="shared" si="224"/>
        <v>0.14404267188190509</v>
      </c>
      <c r="CI74" s="170">
        <v>69</v>
      </c>
      <c r="CJ74" s="217">
        <f t="shared" si="309"/>
        <v>0.41399999999999998</v>
      </c>
      <c r="CK74" s="217">
        <f t="shared" si="288"/>
        <v>0.34499999999999997</v>
      </c>
      <c r="CL74" s="217">
        <f t="shared" si="225"/>
        <v>70.38</v>
      </c>
      <c r="CM74" s="217">
        <f t="shared" si="310"/>
        <v>4.1399999999999997</v>
      </c>
      <c r="CN74" s="541">
        <f t="shared" si="289"/>
        <v>12.5</v>
      </c>
      <c r="CO74" s="443">
        <f t="shared" si="226"/>
        <v>8.5350000000000001</v>
      </c>
      <c r="CP74" s="443">
        <f t="shared" si="227"/>
        <v>21.035</v>
      </c>
      <c r="CQ74" s="443"/>
      <c r="CR74" s="217">
        <f t="shared" si="228"/>
        <v>0.40546967895362668</v>
      </c>
      <c r="CS74" s="172">
        <f t="shared" si="290"/>
        <v>159.55982736601052</v>
      </c>
      <c r="CT74" s="172">
        <f t="shared" si="229"/>
        <v>9.3858721980006177</v>
      </c>
      <c r="CU74" s="217">
        <f t="shared" si="230"/>
        <v>0.93858721980006188</v>
      </c>
      <c r="CV74" s="217">
        <f t="shared" si="231"/>
        <v>13.296652280500878</v>
      </c>
      <c r="CW74" s="443">
        <f t="shared" si="232"/>
        <v>170</v>
      </c>
      <c r="CX74" s="217">
        <f t="shared" si="233"/>
        <v>29.405897947214068</v>
      </c>
      <c r="CY74" s="217">
        <f t="shared" si="234"/>
        <v>1.1762359178885626</v>
      </c>
      <c r="CZ74" s="217">
        <f t="shared" si="235"/>
        <v>1.7226653747635656</v>
      </c>
      <c r="DA74" s="197">
        <f t="shared" si="236"/>
        <v>350</v>
      </c>
      <c r="DB74" s="443">
        <f t="shared" si="291"/>
        <v>344.95827868810477</v>
      </c>
      <c r="DD74" s="217">
        <f t="shared" si="237"/>
        <v>28.98230839756868</v>
      </c>
      <c r="DE74" s="173">
        <f t="shared" si="238"/>
        <v>1.6978505212401103</v>
      </c>
      <c r="DF74" s="173">
        <f t="shared" si="239"/>
        <v>0.40664636548103333</v>
      </c>
      <c r="DG74" s="173"/>
      <c r="DH74" s="173">
        <f t="shared" si="240"/>
        <v>0.78109744190587771</v>
      </c>
      <c r="DI74" s="545">
        <f t="shared" si="241"/>
        <v>1683.6040588235294</v>
      </c>
      <c r="DJ74" s="528">
        <f t="shared" si="242"/>
        <v>8.6065366284073561E-2</v>
      </c>
      <c r="DL74" s="173">
        <f t="shared" si="243"/>
        <v>29.183165401599993</v>
      </c>
      <c r="DM74" s="173">
        <f t="shared" si="244"/>
        <v>29.405897947214068</v>
      </c>
      <c r="DN74" s="173">
        <f t="shared" si="245"/>
        <v>13.105603417689434</v>
      </c>
      <c r="DP74" s="545">
        <f t="shared" si="246"/>
        <v>414</v>
      </c>
      <c r="DQ74" s="460">
        <f t="shared" si="247"/>
        <v>344.95827868810477</v>
      </c>
      <c r="DS74">
        <f t="shared" si="292"/>
        <v>414</v>
      </c>
      <c r="DT74">
        <f t="shared" si="248"/>
        <v>344.95827868810477</v>
      </c>
      <c r="DV74" s="5">
        <f t="shared" si="293"/>
        <v>2.8989012926521283</v>
      </c>
      <c r="DW74" s="5">
        <f t="shared" si="249"/>
        <v>1.1762359178885626</v>
      </c>
      <c r="DX74" s="5">
        <f t="shared" si="294"/>
        <v>1.7226653747635656</v>
      </c>
      <c r="DY74" s="173">
        <f t="shared" si="295"/>
        <v>0.40575231756596147</v>
      </c>
      <c r="EA74" s="5">
        <f t="shared" si="250"/>
        <v>0.28644804117992057</v>
      </c>
      <c r="EB74" s="5">
        <f t="shared" si="251"/>
        <v>3.3816782639296177</v>
      </c>
      <c r="EC74" s="5">
        <f t="shared" si="252"/>
        <v>15.518872201710048</v>
      </c>
      <c r="ED74" s="5"/>
      <c r="EE74" s="173">
        <f t="shared" si="296"/>
        <v>10.814447157142526</v>
      </c>
      <c r="EF74" s="173">
        <f t="shared" si="253"/>
        <v>0.61802207418239852</v>
      </c>
      <c r="EG74" s="173">
        <f t="shared" si="254"/>
        <v>0.48863533146334148</v>
      </c>
      <c r="EH74" s="173"/>
      <c r="EI74" s="528">
        <f t="shared" si="255"/>
        <v>4.6780906925851227</v>
      </c>
      <c r="EJ74" s="528">
        <f t="shared" si="256"/>
        <v>5.8678125000000003</v>
      </c>
      <c r="EK74" s="528">
        <f t="shared" si="257"/>
        <v>6.8991655737620949E-2</v>
      </c>
      <c r="EL74" s="528">
        <f t="shared" si="258"/>
        <v>3.0526822429003425E-2</v>
      </c>
      <c r="EM74">
        <f t="shared" si="259"/>
        <v>5.6249999999999998E-3</v>
      </c>
      <c r="EN74" s="460">
        <f t="shared" si="297"/>
        <v>74.61665573762096</v>
      </c>
      <c r="EO74">
        <f t="shared" si="260"/>
        <v>-106.8394454327014</v>
      </c>
      <c r="EP74" s="460">
        <f t="shared" si="298"/>
        <v>-106839.4454327014</v>
      </c>
      <c r="EQ74" s="173">
        <f t="shared" si="261"/>
        <v>0.35935199999999995</v>
      </c>
      <c r="ER74" s="173">
        <f t="shared" si="262"/>
        <v>0.29945999999999995</v>
      </c>
      <c r="ES74" s="528"/>
      <c r="EU74" s="460">
        <f t="shared" si="299"/>
        <v>658.8119999999999</v>
      </c>
      <c r="EV74" s="528">
        <f t="shared" si="263"/>
        <v>3.5085680194388416</v>
      </c>
      <c r="EW74" s="528">
        <f t="shared" si="300"/>
        <v>1.1458538525301423E-2</v>
      </c>
      <c r="EX74" s="528">
        <f t="shared" si="264"/>
        <v>1.193822435771448E-3</v>
      </c>
      <c r="EY74" s="528">
        <f t="shared" si="265"/>
        <v>518.1703380390536</v>
      </c>
      <c r="EZ74" s="528">
        <f t="shared" si="266"/>
        <v>727.46057015655879</v>
      </c>
      <c r="FA74" s="625">
        <f t="shared" si="267"/>
        <v>7.4571945263689123</v>
      </c>
      <c r="FB74" s="460">
        <f t="shared" si="301"/>
        <v>734917.76468292763</v>
      </c>
      <c r="FC74" s="173">
        <f t="shared" si="302"/>
        <v>628.7371312502263</v>
      </c>
      <c r="FD74" s="5">
        <f t="shared" si="303"/>
        <v>74.52</v>
      </c>
      <c r="FE74" s="173">
        <f t="shared" si="304"/>
        <v>0.10596408722869388</v>
      </c>
      <c r="FF74" s="5">
        <f t="shared" si="305"/>
        <v>10.596408722869388</v>
      </c>
      <c r="FG74">
        <f t="shared" si="306"/>
        <v>69</v>
      </c>
      <c r="FI74" s="562">
        <f t="shared" si="268"/>
        <v>-50</v>
      </c>
      <c r="FJ74">
        <f t="shared" si="269"/>
        <v>-50</v>
      </c>
      <c r="FL74">
        <f t="shared" si="270"/>
        <v>0.57883030475717101</v>
      </c>
    </row>
    <row r="75" spans="5:168">
      <c r="E75" s="170">
        <v>70</v>
      </c>
      <c r="F75" s="217">
        <f t="shared" si="307"/>
        <v>0.42</v>
      </c>
      <c r="G75" s="217">
        <f t="shared" si="271"/>
        <v>0.35</v>
      </c>
      <c r="H75" s="217">
        <f t="shared" si="176"/>
        <v>71.399999999999991</v>
      </c>
      <c r="I75" s="217">
        <f t="shared" si="308"/>
        <v>4.1999999999999993</v>
      </c>
      <c r="J75" s="541">
        <f t="shared" si="177"/>
        <v>11.23106815916176</v>
      </c>
      <c r="K75" s="443">
        <f t="shared" si="178"/>
        <v>8.5431648213116276</v>
      </c>
      <c r="L75" s="172">
        <f t="shared" si="179"/>
        <v>19.774232980473386</v>
      </c>
      <c r="M75" s="443"/>
      <c r="N75" s="217">
        <f t="shared" si="180"/>
        <v>0.43203520610624002</v>
      </c>
      <c r="O75" s="172">
        <f t="shared" si="272"/>
        <v>152.75497481096957</v>
      </c>
      <c r="P75" s="172">
        <f t="shared" si="181"/>
        <v>8.9855867535864462</v>
      </c>
      <c r="Q75" s="217">
        <f t="shared" si="182"/>
        <v>0.89855867535864453</v>
      </c>
      <c r="R75" s="217">
        <f t="shared" si="183"/>
        <v>12.729581234247464</v>
      </c>
      <c r="S75" s="443">
        <f t="shared" si="184"/>
        <v>170</v>
      </c>
      <c r="T75" s="217">
        <f t="shared" si="185"/>
        <v>31.161014597988576</v>
      </c>
      <c r="U75" s="217">
        <f t="shared" si="186"/>
        <v>1.3872685196273575</v>
      </c>
      <c r="V75" s="217">
        <f t="shared" si="187"/>
        <v>1.8237395186532546</v>
      </c>
      <c r="W75" s="197">
        <f t="shared" si="188"/>
        <v>350</v>
      </c>
      <c r="X75" s="443">
        <f t="shared" si="273"/>
        <v>293.16846773075042</v>
      </c>
      <c r="Z75" s="217">
        <f t="shared" si="189"/>
        <v>27.726953411066741</v>
      </c>
      <c r="AA75" s="173">
        <f t="shared" si="190"/>
        <v>1.6227565539821716</v>
      </c>
      <c r="AB75" s="173">
        <f t="shared" si="191"/>
        <v>0.37182620479182349</v>
      </c>
      <c r="AC75" s="173"/>
      <c r="AD75" s="173">
        <f t="shared" si="192"/>
        <v>0.78035093622870511</v>
      </c>
      <c r="AE75" s="545">
        <f t="shared" si="193"/>
        <v>1709.6380424765971</v>
      </c>
      <c r="AF75" s="528">
        <f t="shared" si="194"/>
        <v>8.5983112417792509E-2</v>
      </c>
      <c r="AH75" s="173">
        <f t="shared" si="195"/>
        <v>29.393876913398138</v>
      </c>
      <c r="AI75" s="173">
        <f t="shared" si="196"/>
        <v>31.161014597988576</v>
      </c>
      <c r="AJ75" s="173">
        <f t="shared" si="197"/>
        <v>14.405689825670546</v>
      </c>
      <c r="AL75" s="545">
        <f t="shared" si="198"/>
        <v>420</v>
      </c>
      <c r="AM75" s="460">
        <f t="shared" si="199"/>
        <v>293.16846773075042</v>
      </c>
      <c r="AO75">
        <f t="shared" si="274"/>
        <v>420</v>
      </c>
      <c r="AP75">
        <f t="shared" si="200"/>
        <v>293.16846773075042</v>
      </c>
      <c r="AR75" s="5">
        <f t="shared" si="275"/>
        <v>3.4110080382806123</v>
      </c>
      <c r="AS75" s="5">
        <f t="shared" si="201"/>
        <v>1.3872685196273575</v>
      </c>
      <c r="AT75" s="5">
        <f t="shared" si="276"/>
        <v>2.0237395186532545</v>
      </c>
      <c r="AU75" s="173">
        <f t="shared" si="277"/>
        <v>0.40670338623025887</v>
      </c>
      <c r="AW75" s="5">
        <f t="shared" si="202"/>
        <v>0.34273692837852365</v>
      </c>
      <c r="AX75" s="5">
        <f t="shared" si="203"/>
        <v>4.0461998489131261</v>
      </c>
      <c r="AY75" s="5">
        <f t="shared" si="204"/>
        <v>20.58504136334998</v>
      </c>
      <c r="AZ75" s="5"/>
      <c r="BA75" s="173">
        <f t="shared" si="278"/>
        <v>11.47333981506848</v>
      </c>
      <c r="BB75" s="173">
        <f t="shared" si="205"/>
        <v>0.65438497302635212</v>
      </c>
      <c r="BC75" s="173">
        <f t="shared" si="206"/>
        <v>0.51738543258730119</v>
      </c>
      <c r="BD75" s="173"/>
      <c r="BE75" s="528">
        <f t="shared" si="207"/>
        <v>5.2655010604814247</v>
      </c>
      <c r="BF75" s="528">
        <f t="shared" si="208"/>
        <v>4.0645363488445705</v>
      </c>
      <c r="BG75" s="528">
        <f t="shared" si="209"/>
        <v>0.13170380172804291</v>
      </c>
      <c r="BH75" s="528">
        <f t="shared" si="210"/>
        <v>2.2926963852195611E-2</v>
      </c>
      <c r="BI75">
        <f t="shared" si="211"/>
        <v>5.0539806716227917E-3</v>
      </c>
      <c r="BJ75" s="460">
        <f t="shared" si="279"/>
        <v>136.7577823996657</v>
      </c>
      <c r="BK75">
        <f t="shared" si="212"/>
        <v>-42.912691935810045</v>
      </c>
      <c r="BL75" s="460">
        <f t="shared" si="280"/>
        <v>-42912.691935810042</v>
      </c>
      <c r="BM75" s="173">
        <f t="shared" si="213"/>
        <v>0.36456</v>
      </c>
      <c r="BN75" s="173">
        <f t="shared" si="214"/>
        <v>0.30379999999999996</v>
      </c>
      <c r="BO75" s="528"/>
      <c r="BQ75" s="460">
        <f t="shared" si="281"/>
        <v>668.3599999999999</v>
      </c>
      <c r="BR75" s="528">
        <f t="shared" si="215"/>
        <v>3.9491257953610681</v>
      </c>
      <c r="BS75" s="528">
        <f t="shared" si="216"/>
        <v>1.2846590787680988E-2</v>
      </c>
      <c r="BT75" s="528">
        <f t="shared" si="217"/>
        <v>1.3384384292677439E-3</v>
      </c>
      <c r="BU75" s="528">
        <f t="shared" si="218"/>
        <v>398.83395180119146</v>
      </c>
      <c r="BV75" s="528">
        <f t="shared" si="219"/>
        <v>591.19590881044087</v>
      </c>
      <c r="BW75" s="625">
        <f t="shared" si="220"/>
        <v>7.1167292767911059</v>
      </c>
      <c r="BX75" s="460">
        <f t="shared" si="282"/>
        <v>598312.63808723202</v>
      </c>
      <c r="BY75" s="173">
        <f t="shared" si="283"/>
        <v>556.06830615142201</v>
      </c>
      <c r="BZ75" s="5">
        <f t="shared" si="284"/>
        <v>75.599999999999994</v>
      </c>
      <c r="CA75" s="173">
        <f t="shared" si="285"/>
        <v>0.11968306667245918</v>
      </c>
      <c r="CB75" s="5">
        <f t="shared" si="286"/>
        <v>11.968306667245917</v>
      </c>
      <c r="CC75">
        <f t="shared" si="287"/>
        <v>70</v>
      </c>
      <c r="CE75" s="562">
        <f t="shared" si="221"/>
        <v>-50</v>
      </c>
      <c r="CF75">
        <f t="shared" si="222"/>
        <v>-50</v>
      </c>
      <c r="CG75" s="173">
        <f t="shared" si="223"/>
        <v>0.5788303047571709</v>
      </c>
      <c r="CH75" s="173">
        <f t="shared" si="224"/>
        <v>0.14404267188190506</v>
      </c>
      <c r="CI75" s="170">
        <v>70</v>
      </c>
      <c r="CJ75" s="217">
        <f t="shared" si="309"/>
        <v>0.42</v>
      </c>
      <c r="CK75" s="217">
        <f t="shared" si="288"/>
        <v>0.35</v>
      </c>
      <c r="CL75" s="217">
        <f t="shared" si="225"/>
        <v>71.399999999999991</v>
      </c>
      <c r="CM75" s="217">
        <f t="shared" si="310"/>
        <v>4.1999999999999993</v>
      </c>
      <c r="CN75" s="541">
        <f t="shared" si="289"/>
        <v>12.5</v>
      </c>
      <c r="CO75" s="443">
        <f t="shared" si="226"/>
        <v>8.5350000000000001</v>
      </c>
      <c r="CP75" s="443">
        <f t="shared" si="227"/>
        <v>21.035</v>
      </c>
      <c r="CQ75" s="443"/>
      <c r="CR75" s="217">
        <f t="shared" si="228"/>
        <v>0.40546967895362668</v>
      </c>
      <c r="CS75" s="172">
        <f t="shared" si="290"/>
        <v>159.55982736601052</v>
      </c>
      <c r="CT75" s="172">
        <f t="shared" si="229"/>
        <v>9.3858721980006177</v>
      </c>
      <c r="CU75" s="217">
        <f t="shared" si="230"/>
        <v>0.93858721980006188</v>
      </c>
      <c r="CV75" s="217">
        <f t="shared" si="231"/>
        <v>13.296652280500878</v>
      </c>
      <c r="CW75" s="443">
        <f t="shared" si="232"/>
        <v>170</v>
      </c>
      <c r="CX75" s="217">
        <f t="shared" si="233"/>
        <v>29.832070381231663</v>
      </c>
      <c r="CY75" s="217">
        <f t="shared" si="234"/>
        <v>1.1932828152492665</v>
      </c>
      <c r="CZ75" s="217">
        <f t="shared" si="235"/>
        <v>1.7476315396152113</v>
      </c>
      <c r="DA75" s="197">
        <f t="shared" si="236"/>
        <v>350</v>
      </c>
      <c r="DB75" s="443">
        <f t="shared" si="291"/>
        <v>340.03030327827469</v>
      </c>
      <c r="DD75" s="217">
        <f t="shared" si="237"/>
        <v>28.98230839756868</v>
      </c>
      <c r="DE75" s="173">
        <f t="shared" si="238"/>
        <v>1.6978505212401103</v>
      </c>
      <c r="DF75" s="173">
        <f t="shared" si="239"/>
        <v>0.40664636548103333</v>
      </c>
      <c r="DG75" s="173"/>
      <c r="DH75" s="173">
        <f t="shared" si="240"/>
        <v>0.78109744190587771</v>
      </c>
      <c r="DI75" s="545">
        <f t="shared" si="241"/>
        <v>1708.004117647059</v>
      </c>
      <c r="DJ75" s="528">
        <f t="shared" si="242"/>
        <v>8.6065366284073561E-2</v>
      </c>
      <c r="DL75" s="173">
        <f t="shared" si="243"/>
        <v>29.393876913398138</v>
      </c>
      <c r="DM75" s="173">
        <f t="shared" si="244"/>
        <v>29.832070381231663</v>
      </c>
      <c r="DN75" s="173">
        <f t="shared" si="245"/>
        <v>13.421286702146912</v>
      </c>
      <c r="DP75" s="545">
        <f t="shared" si="246"/>
        <v>420</v>
      </c>
      <c r="DQ75" s="460">
        <f t="shared" si="247"/>
        <v>340.03030327827469</v>
      </c>
      <c r="DS75">
        <f t="shared" si="292"/>
        <v>420</v>
      </c>
      <c r="DT75">
        <f t="shared" si="248"/>
        <v>340.03030327827469</v>
      </c>
      <c r="DV75" s="5">
        <f t="shared" si="293"/>
        <v>2.9409143548644781</v>
      </c>
      <c r="DW75" s="5">
        <f t="shared" si="249"/>
        <v>1.1932828152492665</v>
      </c>
      <c r="DX75" s="5">
        <f t="shared" si="294"/>
        <v>1.7476315396152116</v>
      </c>
      <c r="DY75" s="173">
        <f t="shared" si="295"/>
        <v>0.40575231756596147</v>
      </c>
      <c r="EA75" s="5">
        <f t="shared" si="250"/>
        <v>0.29481104847334816</v>
      </c>
      <c r="EB75" s="5">
        <f t="shared" si="251"/>
        <v>3.4804082111436943</v>
      </c>
      <c r="EC75" s="5">
        <f t="shared" si="252"/>
        <v>15.971954166851342</v>
      </c>
      <c r="ED75" s="5"/>
      <c r="EE75" s="173">
        <f t="shared" si="296"/>
        <v>10.971178275361982</v>
      </c>
      <c r="EF75" s="173">
        <f t="shared" si="253"/>
        <v>0.62697891583721599</v>
      </c>
      <c r="EG75" s="173">
        <f t="shared" si="254"/>
        <v>0.4957170029338247</v>
      </c>
      <c r="EH75" s="173"/>
      <c r="EI75" s="528">
        <f t="shared" si="255"/>
        <v>4.8146701099909892</v>
      </c>
      <c r="EJ75" s="528">
        <f t="shared" si="256"/>
        <v>5.8678125000000003</v>
      </c>
      <c r="EK75" s="528">
        <f t="shared" si="257"/>
        <v>6.800606065565494E-2</v>
      </c>
      <c r="EL75" s="528">
        <f t="shared" si="258"/>
        <v>3.0090724965731942E-2</v>
      </c>
      <c r="EM75">
        <f t="shared" si="259"/>
        <v>5.6249999999999998E-3</v>
      </c>
      <c r="EN75" s="460">
        <f t="shared" si="297"/>
        <v>73.631060655654949</v>
      </c>
      <c r="EO75">
        <f t="shared" si="260"/>
        <v>-83.951748215829269</v>
      </c>
      <c r="EP75" s="460">
        <f t="shared" si="298"/>
        <v>-83951.74821582927</v>
      </c>
      <c r="EQ75" s="173">
        <f t="shared" si="261"/>
        <v>0.36456</v>
      </c>
      <c r="ER75" s="173">
        <f t="shared" si="262"/>
        <v>0.30379999999999996</v>
      </c>
      <c r="ES75" s="528"/>
      <c r="EU75" s="460">
        <f t="shared" si="299"/>
        <v>668.3599999999999</v>
      </c>
      <c r="EV75" s="528">
        <f t="shared" si="263"/>
        <v>3.6110025824932412</v>
      </c>
      <c r="EW75" s="528">
        <f t="shared" si="300"/>
        <v>1.1793076827132322E-2</v>
      </c>
      <c r="EX75" s="528">
        <f t="shared" si="264"/>
        <v>1.2286767349884678E-3</v>
      </c>
      <c r="EY75" s="528">
        <f t="shared" si="265"/>
        <v>518.17033803905451</v>
      </c>
      <c r="EZ75" s="528">
        <f t="shared" si="266"/>
        <v>736.06574083299449</v>
      </c>
      <c r="FA75" s="625">
        <f t="shared" si="267"/>
        <v>7.5652698093597657</v>
      </c>
      <c r="FB75" s="460">
        <f t="shared" si="301"/>
        <v>743631.01064235426</v>
      </c>
      <c r="FC75" s="173">
        <f t="shared" si="302"/>
        <v>660.34762242652494</v>
      </c>
      <c r="FD75" s="5">
        <f t="shared" si="303"/>
        <v>75.599999999999994</v>
      </c>
      <c r="FE75" s="173">
        <f t="shared" si="304"/>
        <v>0.1027247017263755</v>
      </c>
      <c r="FF75" s="5">
        <f t="shared" si="305"/>
        <v>10.272470172637551</v>
      </c>
      <c r="FG75">
        <f t="shared" si="306"/>
        <v>70</v>
      </c>
      <c r="FI75" s="562">
        <f t="shared" si="268"/>
        <v>-50</v>
      </c>
      <c r="FJ75">
        <f t="shared" si="269"/>
        <v>-50</v>
      </c>
      <c r="FL75">
        <f t="shared" si="270"/>
        <v>0.57883030475717101</v>
      </c>
    </row>
    <row r="76" spans="5:168">
      <c r="E76" s="170">
        <v>71</v>
      </c>
      <c r="F76" s="217">
        <f t="shared" si="307"/>
        <v>0.42599999999999999</v>
      </c>
      <c r="G76" s="217">
        <f t="shared" si="271"/>
        <v>0.35499999999999998</v>
      </c>
      <c r="H76" s="217">
        <f t="shared" si="176"/>
        <v>72.42</v>
      </c>
      <c r="I76" s="217">
        <f t="shared" si="308"/>
        <v>4.26</v>
      </c>
      <c r="J76" s="541">
        <f t="shared" si="177"/>
        <v>11.212940561435499</v>
      </c>
      <c r="K76" s="443">
        <f t="shared" si="178"/>
        <v>8.543281461616079</v>
      </c>
      <c r="L76" s="172">
        <f t="shared" si="179"/>
        <v>19.756222023051578</v>
      </c>
      <c r="M76" s="443"/>
      <c r="N76" s="217">
        <f t="shared" si="180"/>
        <v>0.43243497930159774</v>
      </c>
      <c r="O76" s="172">
        <f t="shared" si="272"/>
        <v>152.64953932056466</v>
      </c>
      <c r="P76" s="172">
        <f t="shared" si="181"/>
        <v>8.9793846659155658</v>
      </c>
      <c r="Q76" s="217">
        <f t="shared" si="182"/>
        <v>0.89793846659155685</v>
      </c>
      <c r="R76" s="217">
        <f t="shared" si="183"/>
        <v>12.720794943380389</v>
      </c>
      <c r="S76" s="443">
        <f t="shared" si="184"/>
        <v>170</v>
      </c>
      <c r="T76" s="217">
        <f t="shared" si="185"/>
        <v>31.628002426271209</v>
      </c>
      <c r="U76" s="217">
        <f t="shared" si="186"/>
        <v>1.4103348828517352</v>
      </c>
      <c r="V76" s="217">
        <f t="shared" si="187"/>
        <v>1.8510453254040595</v>
      </c>
      <c r="W76" s="197">
        <f t="shared" si="188"/>
        <v>350</v>
      </c>
      <c r="X76" s="443">
        <f t="shared" si="273"/>
        <v>288.90209680372107</v>
      </c>
      <c r="Z76" s="217">
        <f t="shared" si="189"/>
        <v>27.707815540539467</v>
      </c>
      <c r="AA76" s="173">
        <f t="shared" si="190"/>
        <v>1.6216143448525782</v>
      </c>
      <c r="AB76" s="173">
        <f t="shared" si="191"/>
        <v>0.37130802404604796</v>
      </c>
      <c r="AC76" s="173"/>
      <c r="AD76" s="173">
        <f t="shared" si="192"/>
        <v>0.78034028219943197</v>
      </c>
      <c r="AE76" s="545">
        <f t="shared" si="193"/>
        <v>1734.0851183207321</v>
      </c>
      <c r="AF76" s="528">
        <f t="shared" si="194"/>
        <v>8.5981938501604072E-2</v>
      </c>
      <c r="AH76" s="173">
        <f t="shared" si="195"/>
        <v>29.603088641945071</v>
      </c>
      <c r="AI76" s="173">
        <f t="shared" si="196"/>
        <v>31.628002426271209</v>
      </c>
      <c r="AJ76" s="173">
        <f t="shared" si="197"/>
        <v>14.751606735509535</v>
      </c>
      <c r="AL76" s="545">
        <f t="shared" si="198"/>
        <v>426</v>
      </c>
      <c r="AM76" s="460">
        <f t="shared" si="199"/>
        <v>288.90209680372107</v>
      </c>
      <c r="AO76">
        <f t="shared" si="274"/>
        <v>426</v>
      </c>
      <c r="AP76">
        <f t="shared" si="200"/>
        <v>288.90209680372107</v>
      </c>
      <c r="AR76" s="5">
        <f t="shared" si="275"/>
        <v>3.4613802082557954</v>
      </c>
      <c r="AS76" s="5">
        <f t="shared" si="201"/>
        <v>1.4103348828517352</v>
      </c>
      <c r="AT76" s="5">
        <f t="shared" si="276"/>
        <v>2.0510453254040604</v>
      </c>
      <c r="AU76" s="173">
        <f t="shared" si="277"/>
        <v>0.40744870485129664</v>
      </c>
      <c r="AW76" s="5">
        <f t="shared" si="202"/>
        <v>0.3534133294675525</v>
      </c>
      <c r="AX76" s="5">
        <f t="shared" si="203"/>
        <v>4.1722406951030502</v>
      </c>
      <c r="AY76" s="5">
        <f t="shared" si="204"/>
        <v>21.195040020331099</v>
      </c>
      <c r="AZ76" s="5"/>
      <c r="BA76" s="173">
        <f t="shared" si="278"/>
        <v>11.655948151307216</v>
      </c>
      <c r="BB76" s="173">
        <f t="shared" si="205"/>
        <v>0.66377445154321524</v>
      </c>
      <c r="BC76" s="173">
        <f t="shared" si="206"/>
        <v>0.52480916571758607</v>
      </c>
      <c r="BD76" s="173"/>
      <c r="BE76" s="528">
        <f t="shared" si="207"/>
        <v>5.4344450922384837</v>
      </c>
      <c r="BF76" s="528">
        <f t="shared" si="208"/>
        <v>4.0617096391911769</v>
      </c>
      <c r="BG76" s="528">
        <f t="shared" si="209"/>
        <v>0.12957768158136834</v>
      </c>
      <c r="BH76" s="528">
        <f t="shared" si="210"/>
        <v>2.2552177752283749E-2</v>
      </c>
      <c r="BI76">
        <f t="shared" si="211"/>
        <v>5.0458232526459741E-3</v>
      </c>
      <c r="BJ76" s="460">
        <f t="shared" si="279"/>
        <v>134.62350483401431</v>
      </c>
      <c r="BK76">
        <f t="shared" si="212"/>
        <v>-37.72354365654801</v>
      </c>
      <c r="BL76" s="460">
        <f t="shared" si="280"/>
        <v>-37723.543656548012</v>
      </c>
      <c r="BM76" s="173">
        <f t="shared" si="213"/>
        <v>0.36976799999999993</v>
      </c>
      <c r="BN76" s="173">
        <f t="shared" si="214"/>
        <v>0.30813999999999997</v>
      </c>
      <c r="BO76" s="528"/>
      <c r="BQ76" s="460">
        <f t="shared" si="281"/>
        <v>677.9079999999999</v>
      </c>
      <c r="BR76" s="528">
        <f t="shared" si="215"/>
        <v>4.0758338191788628</v>
      </c>
      <c r="BS76" s="528">
        <f t="shared" si="216"/>
        <v>1.3217895675644884E-2</v>
      </c>
      <c r="BT76" s="528">
        <f t="shared" si="217"/>
        <v>1.3771233021059436E-3</v>
      </c>
      <c r="BU76" s="528">
        <f t="shared" si="218"/>
        <v>399.04892727398857</v>
      </c>
      <c r="BV76" s="528">
        <f t="shared" si="219"/>
        <v>600.68618728579588</v>
      </c>
      <c r="BW76" s="625">
        <f t="shared" si="220"/>
        <v>7.224939744341814</v>
      </c>
      <c r="BX76" s="460">
        <f t="shared" si="282"/>
        <v>607911.12703013769</v>
      </c>
      <c r="BY76" s="173">
        <f t="shared" si="283"/>
        <v>570.86549137358963</v>
      </c>
      <c r="BZ76" s="5">
        <f t="shared" si="284"/>
        <v>76.680000000000007</v>
      </c>
      <c r="CA76" s="173">
        <f t="shared" si="285"/>
        <v>0.11841639085054007</v>
      </c>
      <c r="CB76" s="5">
        <f t="shared" si="286"/>
        <v>11.841639085054007</v>
      </c>
      <c r="CC76">
        <f t="shared" si="287"/>
        <v>71</v>
      </c>
      <c r="CE76" s="562">
        <f t="shared" si="221"/>
        <v>-50</v>
      </c>
      <c r="CF76">
        <f t="shared" si="222"/>
        <v>-50</v>
      </c>
      <c r="CG76" s="173">
        <f t="shared" si="223"/>
        <v>0.57883030475717079</v>
      </c>
      <c r="CH76" s="173">
        <f t="shared" si="224"/>
        <v>0.14404267188190506</v>
      </c>
      <c r="CI76" s="170">
        <v>71</v>
      </c>
      <c r="CJ76" s="217">
        <f t="shared" si="309"/>
        <v>0.42599999999999999</v>
      </c>
      <c r="CK76" s="217">
        <f t="shared" si="288"/>
        <v>0.35499999999999998</v>
      </c>
      <c r="CL76" s="217">
        <f t="shared" si="225"/>
        <v>72.42</v>
      </c>
      <c r="CM76" s="217">
        <f t="shared" si="310"/>
        <v>4.26</v>
      </c>
      <c r="CN76" s="541">
        <f t="shared" si="289"/>
        <v>12.5</v>
      </c>
      <c r="CO76" s="443">
        <f t="shared" si="226"/>
        <v>8.5350000000000001</v>
      </c>
      <c r="CP76" s="443">
        <f t="shared" si="227"/>
        <v>21.035</v>
      </c>
      <c r="CQ76" s="443"/>
      <c r="CR76" s="217">
        <f t="shared" si="228"/>
        <v>0.40546967895362668</v>
      </c>
      <c r="CS76" s="172">
        <f t="shared" si="290"/>
        <v>159.55982736601052</v>
      </c>
      <c r="CT76" s="172">
        <f t="shared" si="229"/>
        <v>9.3858721980006177</v>
      </c>
      <c r="CU76" s="217">
        <f t="shared" si="230"/>
        <v>0.93858721980006188</v>
      </c>
      <c r="CV76" s="217">
        <f t="shared" si="231"/>
        <v>13.296652280500878</v>
      </c>
      <c r="CW76" s="443">
        <f t="shared" si="232"/>
        <v>170</v>
      </c>
      <c r="CX76" s="217">
        <f t="shared" si="233"/>
        <v>30.258242815249265</v>
      </c>
      <c r="CY76" s="217">
        <f t="shared" si="234"/>
        <v>1.2103297126099706</v>
      </c>
      <c r="CZ76" s="217">
        <f t="shared" si="235"/>
        <v>1.7725977044668577</v>
      </c>
      <c r="DA76" s="197">
        <f t="shared" si="236"/>
        <v>350</v>
      </c>
      <c r="DB76" s="443">
        <f t="shared" si="291"/>
        <v>335.24114407717212</v>
      </c>
      <c r="DD76" s="217">
        <f t="shared" si="237"/>
        <v>28.98230839756868</v>
      </c>
      <c r="DE76" s="173">
        <f t="shared" si="238"/>
        <v>1.6978505212401103</v>
      </c>
      <c r="DF76" s="173">
        <f t="shared" si="239"/>
        <v>0.40664636548103333</v>
      </c>
      <c r="DG76" s="173"/>
      <c r="DH76" s="173">
        <f t="shared" si="240"/>
        <v>0.78109744190587771</v>
      </c>
      <c r="DI76" s="545">
        <f t="shared" si="241"/>
        <v>1732.4041764705883</v>
      </c>
      <c r="DJ76" s="528">
        <f t="shared" si="242"/>
        <v>8.6065366284073561E-2</v>
      </c>
      <c r="DL76" s="173">
        <f t="shared" si="243"/>
        <v>29.603088641945071</v>
      </c>
      <c r="DM76" s="173">
        <f t="shared" si="244"/>
        <v>30.258242815249265</v>
      </c>
      <c r="DN76" s="173">
        <f t="shared" si="245"/>
        <v>13.736969986604393</v>
      </c>
      <c r="DP76" s="545">
        <f t="shared" si="246"/>
        <v>426</v>
      </c>
      <c r="DQ76" s="460">
        <f t="shared" si="247"/>
        <v>335.24114407717212</v>
      </c>
      <c r="DS76">
        <f t="shared" si="292"/>
        <v>426</v>
      </c>
      <c r="DT76">
        <f t="shared" si="248"/>
        <v>335.24114407717212</v>
      </c>
      <c r="DV76" s="5">
        <f t="shared" si="293"/>
        <v>2.9829274170768287</v>
      </c>
      <c r="DW76" s="5">
        <f t="shared" si="249"/>
        <v>1.2103297126099706</v>
      </c>
      <c r="DX76" s="5">
        <f t="shared" si="294"/>
        <v>1.7725977044668582</v>
      </c>
      <c r="DY76" s="173">
        <f t="shared" si="295"/>
        <v>0.40575231756596147</v>
      </c>
      <c r="EA76" s="5">
        <f t="shared" si="250"/>
        <v>0.30329438680696913</v>
      </c>
      <c r="EB76" s="5">
        <f t="shared" si="251"/>
        <v>3.5805587331378299</v>
      </c>
      <c r="EC76" s="5">
        <f t="shared" si="252"/>
        <v>16.431555296958706</v>
      </c>
      <c r="ED76" s="5"/>
      <c r="EE76" s="173">
        <f t="shared" si="296"/>
        <v>11.127909393581442</v>
      </c>
      <c r="EF76" s="173">
        <f t="shared" si="253"/>
        <v>0.63593575749203335</v>
      </c>
      <c r="EG76" s="173">
        <f t="shared" si="254"/>
        <v>0.50279867440430803</v>
      </c>
      <c r="EH76" s="173"/>
      <c r="EI76" s="528">
        <f t="shared" si="255"/>
        <v>4.9532146988703243</v>
      </c>
      <c r="EJ76" s="528">
        <f t="shared" si="256"/>
        <v>5.8678125000000003</v>
      </c>
      <c r="EK76" s="528">
        <f t="shared" si="257"/>
        <v>6.704822881543443E-2</v>
      </c>
      <c r="EL76" s="528">
        <f t="shared" si="258"/>
        <v>2.9666911938045569E-2</v>
      </c>
      <c r="EM76">
        <f t="shared" si="259"/>
        <v>5.6249999999999998E-3</v>
      </c>
      <c r="EN76" s="460">
        <f t="shared" si="297"/>
        <v>72.673228815434442</v>
      </c>
      <c r="EO76">
        <f t="shared" si="260"/>
        <v>-69.315191358589743</v>
      </c>
      <c r="EP76" s="460">
        <f t="shared" si="298"/>
        <v>-69315.191358589742</v>
      </c>
      <c r="EQ76" s="173">
        <f t="shared" si="261"/>
        <v>0.36976799999999993</v>
      </c>
      <c r="ER76" s="173">
        <f t="shared" si="262"/>
        <v>0.30813999999999997</v>
      </c>
      <c r="ES76" s="528"/>
      <c r="EU76" s="460">
        <f t="shared" si="299"/>
        <v>677.9079999999999</v>
      </c>
      <c r="EV76" s="528">
        <f t="shared" si="263"/>
        <v>3.7149110241527428</v>
      </c>
      <c r="EW76" s="528">
        <f t="shared" si="300"/>
        <v>1.2132428629708987E-2</v>
      </c>
      <c r="EX76" s="528">
        <f t="shared" si="264"/>
        <v>1.264032534913647E-3</v>
      </c>
      <c r="EY76" s="528">
        <f t="shared" si="265"/>
        <v>518.17033803905451</v>
      </c>
      <c r="EZ76" s="528">
        <f t="shared" si="266"/>
        <v>745.00080578201141</v>
      </c>
      <c r="FA76" s="625">
        <f t="shared" si="267"/>
        <v>7.6733450923506199</v>
      </c>
      <c r="FB76" s="460">
        <f t="shared" si="301"/>
        <v>752674.15087436198</v>
      </c>
      <c r="FC76" s="173">
        <f t="shared" si="302"/>
        <v>684.0368675157722</v>
      </c>
      <c r="FD76" s="5">
        <f t="shared" si="303"/>
        <v>76.680000000000007</v>
      </c>
      <c r="FE76" s="173">
        <f t="shared" si="304"/>
        <v>0.10079965789428241</v>
      </c>
      <c r="FF76" s="5">
        <f t="shared" si="305"/>
        <v>10.079965789428242</v>
      </c>
      <c r="FG76">
        <f t="shared" si="306"/>
        <v>71</v>
      </c>
      <c r="FI76" s="562">
        <f t="shared" si="268"/>
        <v>-50</v>
      </c>
      <c r="FJ76">
        <f t="shared" si="269"/>
        <v>-50</v>
      </c>
      <c r="FL76">
        <f t="shared" si="270"/>
        <v>0.5788303047571709</v>
      </c>
    </row>
    <row r="77" spans="5:168">
      <c r="E77" s="170">
        <v>72</v>
      </c>
      <c r="F77" s="217">
        <f t="shared" si="307"/>
        <v>0.432</v>
      </c>
      <c r="G77" s="217">
        <f t="shared" si="271"/>
        <v>0.36</v>
      </c>
      <c r="H77" s="217">
        <f t="shared" si="176"/>
        <v>73.44</v>
      </c>
      <c r="I77" s="217">
        <f t="shared" si="308"/>
        <v>4.32</v>
      </c>
      <c r="J77" s="541">
        <f t="shared" si="177"/>
        <v>11.194812963709239</v>
      </c>
      <c r="K77" s="443">
        <f t="shared" si="178"/>
        <v>8.5433981019205323</v>
      </c>
      <c r="L77" s="172">
        <f t="shared" si="179"/>
        <v>19.73821106562977</v>
      </c>
      <c r="M77" s="443"/>
      <c r="N77" s="217">
        <f t="shared" si="180"/>
        <v>0.43283548207654882</v>
      </c>
      <c r="O77" s="172">
        <f t="shared" si="272"/>
        <v>152.54390466734461</v>
      </c>
      <c r="P77" s="172">
        <f t="shared" si="181"/>
        <v>8.9731708627849756</v>
      </c>
      <c r="Q77" s="217">
        <f t="shared" si="182"/>
        <v>0.89731708627849771</v>
      </c>
      <c r="R77" s="217">
        <f t="shared" si="183"/>
        <v>12.71199205561205</v>
      </c>
      <c r="S77" s="443">
        <f t="shared" si="184"/>
        <v>170</v>
      </c>
      <c r="T77" s="217">
        <f t="shared" si="185"/>
        <v>32.095677704571678</v>
      </c>
      <c r="U77" s="217">
        <f t="shared" si="186"/>
        <v>1.4335066520815387</v>
      </c>
      <c r="V77" s="217">
        <f t="shared" si="187"/>
        <v>1.8783906193811017</v>
      </c>
      <c r="W77" s="197">
        <f t="shared" si="188"/>
        <v>350</v>
      </c>
      <c r="X77" s="443">
        <f t="shared" si="273"/>
        <v>284.74637003932588</v>
      </c>
      <c r="Z77" s="217">
        <f t="shared" si="189"/>
        <v>27.688641519450783</v>
      </c>
      <c r="AA77" s="173">
        <f t="shared" si="190"/>
        <v>1.6204700512098607</v>
      </c>
      <c r="AB77" s="173">
        <f t="shared" si="191"/>
        <v>0.37078924351206599</v>
      </c>
      <c r="AC77" s="173"/>
      <c r="AD77" s="173">
        <f t="shared" si="192"/>
        <v>0.78032962846107079</v>
      </c>
      <c r="AE77" s="545">
        <f t="shared" si="193"/>
        <v>1758.53286107296</v>
      </c>
      <c r="AF77" s="528">
        <f t="shared" si="194"/>
        <v>8.5980764617469854E-2</v>
      </c>
      <c r="AH77" s="173">
        <f t="shared" si="195"/>
        <v>29.810832163589701</v>
      </c>
      <c r="AI77" s="173">
        <f t="shared" si="196"/>
        <v>32.095677704571678</v>
      </c>
      <c r="AJ77" s="173">
        <f t="shared" si="197"/>
        <v>15.098032867583957</v>
      </c>
      <c r="AL77" s="545">
        <f t="shared" si="198"/>
        <v>432</v>
      </c>
      <c r="AM77" s="460">
        <f t="shared" si="199"/>
        <v>284.74637003932588</v>
      </c>
      <c r="AO77">
        <f t="shared" si="274"/>
        <v>432</v>
      </c>
      <c r="AP77">
        <f t="shared" si="200"/>
        <v>284.74637003932588</v>
      </c>
      <c r="AR77" s="5">
        <f t="shared" si="275"/>
        <v>3.5118972714626411</v>
      </c>
      <c r="AS77" s="5">
        <f t="shared" si="201"/>
        <v>1.4335066520815387</v>
      </c>
      <c r="AT77" s="5">
        <f t="shared" si="276"/>
        <v>2.0783906193811026</v>
      </c>
      <c r="AU77" s="173">
        <f t="shared" si="277"/>
        <v>0.40818581560744499</v>
      </c>
      <c r="AW77" s="5">
        <f t="shared" si="202"/>
        <v>0.36427933747013219</v>
      </c>
      <c r="AX77" s="5">
        <f t="shared" si="203"/>
        <v>4.3005199562446155</v>
      </c>
      <c r="AY77" s="5">
        <f t="shared" si="204"/>
        <v>21.815390049968155</v>
      </c>
      <c r="AZ77" s="5"/>
      <c r="BA77" s="173">
        <f t="shared" si="278"/>
        <v>11.838996098292199</v>
      </c>
      <c r="BB77" s="173">
        <f t="shared" si="205"/>
        <v>0.67317042664885318</v>
      </c>
      <c r="BC77" s="173">
        <f t="shared" si="206"/>
        <v>0.53223803533561476</v>
      </c>
      <c r="BD77" s="173"/>
      <c r="BE77" s="528">
        <f t="shared" si="207"/>
        <v>5.6064731446151166</v>
      </c>
      <c r="BF77" s="528">
        <f t="shared" si="208"/>
        <v>4.0587757177409962</v>
      </c>
      <c r="BG77" s="528">
        <f t="shared" si="209"/>
        <v>0.12750729418741577</v>
      </c>
      <c r="BH77" s="528">
        <f t="shared" si="210"/>
        <v>2.2187264942922977E-2</v>
      </c>
      <c r="BI77">
        <f t="shared" si="211"/>
        <v>5.0376658336691573E-3</v>
      </c>
      <c r="BJ77" s="460">
        <f t="shared" si="279"/>
        <v>132.54496002108493</v>
      </c>
      <c r="BK77">
        <f t="shared" si="212"/>
        <v>-33.728547687994329</v>
      </c>
      <c r="BL77" s="460">
        <f t="shared" si="280"/>
        <v>-33728.547687994331</v>
      </c>
      <c r="BM77" s="173">
        <f t="shared" si="213"/>
        <v>0.37497599999999998</v>
      </c>
      <c r="BN77" s="173">
        <f t="shared" si="214"/>
        <v>0.31247999999999998</v>
      </c>
      <c r="BO77" s="528"/>
      <c r="BQ77" s="460">
        <f t="shared" si="281"/>
        <v>687.4559999999999</v>
      </c>
      <c r="BR77" s="528">
        <f t="shared" si="215"/>
        <v>4.2048548584613377</v>
      </c>
      <c r="BS77" s="528">
        <f t="shared" si="216"/>
        <v>1.3594752699437971E-2</v>
      </c>
      <c r="BT77" s="528">
        <f t="shared" si="217"/>
        <v>1.4163866312895757E-3</v>
      </c>
      <c r="BU77" s="528">
        <f t="shared" si="218"/>
        <v>399.23799975940562</v>
      </c>
      <c r="BV77" s="528">
        <f t="shared" si="219"/>
        <v>610.60399730368783</v>
      </c>
      <c r="BW77" s="625">
        <f t="shared" si="220"/>
        <v>7.3331624453148399</v>
      </c>
      <c r="BX77" s="460">
        <f t="shared" si="282"/>
        <v>617937.15974900266</v>
      </c>
      <c r="BY77" s="173">
        <f t="shared" si="283"/>
        <v>584.89606806100835</v>
      </c>
      <c r="BZ77" s="5">
        <f t="shared" si="284"/>
        <v>77.759999999999991</v>
      </c>
      <c r="CA77" s="173">
        <f t="shared" si="285"/>
        <v>0.11734594120224809</v>
      </c>
      <c r="CB77" s="5">
        <f t="shared" si="286"/>
        <v>11.734594120224809</v>
      </c>
      <c r="CC77">
        <f t="shared" si="287"/>
        <v>72</v>
      </c>
      <c r="CE77" s="562">
        <f t="shared" si="221"/>
        <v>-50</v>
      </c>
      <c r="CF77">
        <f t="shared" si="222"/>
        <v>-50</v>
      </c>
      <c r="CG77" s="173">
        <f t="shared" si="223"/>
        <v>0.5788303047571709</v>
      </c>
      <c r="CH77" s="173">
        <f t="shared" si="224"/>
        <v>0.14404267188190509</v>
      </c>
      <c r="CI77" s="170">
        <v>72</v>
      </c>
      <c r="CJ77" s="217">
        <f t="shared" si="309"/>
        <v>0.432</v>
      </c>
      <c r="CK77" s="217">
        <f t="shared" si="288"/>
        <v>0.36</v>
      </c>
      <c r="CL77" s="217">
        <f t="shared" si="225"/>
        <v>73.44</v>
      </c>
      <c r="CM77" s="217">
        <f t="shared" si="310"/>
        <v>4.32</v>
      </c>
      <c r="CN77" s="541">
        <f t="shared" si="289"/>
        <v>12.5</v>
      </c>
      <c r="CO77" s="443">
        <f t="shared" si="226"/>
        <v>8.5350000000000001</v>
      </c>
      <c r="CP77" s="443">
        <f t="shared" si="227"/>
        <v>21.035</v>
      </c>
      <c r="CQ77" s="443"/>
      <c r="CR77" s="217">
        <f t="shared" si="228"/>
        <v>0.40546967895362668</v>
      </c>
      <c r="CS77" s="172">
        <f t="shared" si="290"/>
        <v>159.55982736601052</v>
      </c>
      <c r="CT77" s="172">
        <f t="shared" si="229"/>
        <v>9.3858721980006177</v>
      </c>
      <c r="CU77" s="217">
        <f t="shared" si="230"/>
        <v>0.93858721980006188</v>
      </c>
      <c r="CV77" s="217">
        <f t="shared" si="231"/>
        <v>13.296652280500878</v>
      </c>
      <c r="CW77" s="443">
        <f t="shared" si="232"/>
        <v>170</v>
      </c>
      <c r="CX77" s="217">
        <f t="shared" si="233"/>
        <v>30.684415249266856</v>
      </c>
      <c r="CY77" s="217">
        <f t="shared" si="234"/>
        <v>1.2273766099706742</v>
      </c>
      <c r="CZ77" s="217">
        <f t="shared" si="235"/>
        <v>1.7975638693185034</v>
      </c>
      <c r="DA77" s="197">
        <f t="shared" si="236"/>
        <v>350</v>
      </c>
      <c r="DB77" s="443">
        <f t="shared" si="291"/>
        <v>330.58501707610037</v>
      </c>
      <c r="DD77" s="217">
        <f t="shared" si="237"/>
        <v>28.98230839756868</v>
      </c>
      <c r="DE77" s="173">
        <f t="shared" si="238"/>
        <v>1.6978505212401103</v>
      </c>
      <c r="DF77" s="173">
        <f t="shared" si="239"/>
        <v>0.40664636548103333</v>
      </c>
      <c r="DG77" s="173"/>
      <c r="DH77" s="173">
        <f t="shared" si="240"/>
        <v>0.78109744190587771</v>
      </c>
      <c r="DI77" s="545">
        <f t="shared" si="241"/>
        <v>1756.8042352941177</v>
      </c>
      <c r="DJ77" s="528">
        <f t="shared" si="242"/>
        <v>8.6065366284073561E-2</v>
      </c>
      <c r="DL77" s="173">
        <f t="shared" si="243"/>
        <v>29.810832163589701</v>
      </c>
      <c r="DM77" s="173">
        <f t="shared" si="244"/>
        <v>30.684415249266856</v>
      </c>
      <c r="DN77" s="173">
        <f t="shared" si="245"/>
        <v>14.052653271061866</v>
      </c>
      <c r="DP77" s="545">
        <f t="shared" si="246"/>
        <v>432</v>
      </c>
      <c r="DQ77" s="460">
        <f t="shared" si="247"/>
        <v>330.58501707610037</v>
      </c>
      <c r="DS77">
        <f t="shared" si="292"/>
        <v>432</v>
      </c>
      <c r="DT77">
        <f t="shared" si="248"/>
        <v>330.58501707610037</v>
      </c>
      <c r="DV77" s="5">
        <f t="shared" si="293"/>
        <v>3.0249404792891776</v>
      </c>
      <c r="DW77" s="5">
        <f t="shared" si="249"/>
        <v>1.2273766099706742</v>
      </c>
      <c r="DX77" s="5">
        <f t="shared" si="294"/>
        <v>1.7975638693185034</v>
      </c>
      <c r="DY77" s="173">
        <f t="shared" si="295"/>
        <v>0.40575231756596153</v>
      </c>
      <c r="EA77" s="5">
        <f t="shared" si="250"/>
        <v>0.31189805618078309</v>
      </c>
      <c r="EB77" s="5">
        <f t="shared" si="251"/>
        <v>3.6821298299120224</v>
      </c>
      <c r="EC77" s="5">
        <f t="shared" si="252"/>
        <v>16.897675592032112</v>
      </c>
      <c r="ED77" s="5"/>
      <c r="EE77" s="173">
        <f t="shared" si="296"/>
        <v>11.284640511800896</v>
      </c>
      <c r="EF77" s="173">
        <f t="shared" si="253"/>
        <v>0.6448925991468506</v>
      </c>
      <c r="EG77" s="173">
        <f t="shared" si="254"/>
        <v>0.50988034587479103</v>
      </c>
      <c r="EH77" s="173"/>
      <c r="EI77" s="528">
        <f t="shared" si="255"/>
        <v>5.0937244592231199</v>
      </c>
      <c r="EJ77" s="528">
        <f t="shared" si="256"/>
        <v>5.8678125000000012</v>
      </c>
      <c r="EK77" s="528">
        <f t="shared" si="257"/>
        <v>6.6117003415220074E-2</v>
      </c>
      <c r="EL77" s="528">
        <f t="shared" si="258"/>
        <v>2.9254871494461609E-2</v>
      </c>
      <c r="EM77">
        <f t="shared" si="259"/>
        <v>5.6249999999999998E-3</v>
      </c>
      <c r="EN77" s="460">
        <f t="shared" si="297"/>
        <v>71.742003415220083</v>
      </c>
      <c r="EO77">
        <f t="shared" si="260"/>
        <v>-59.152055173913929</v>
      </c>
      <c r="EP77" s="460">
        <f t="shared" si="298"/>
        <v>-59152.055173913926</v>
      </c>
      <c r="EQ77" s="173">
        <f t="shared" si="261"/>
        <v>0.37497599999999998</v>
      </c>
      <c r="ER77" s="173">
        <f t="shared" si="262"/>
        <v>0.31247999999999998</v>
      </c>
      <c r="ES77" s="528"/>
      <c r="EU77" s="460">
        <f t="shared" si="299"/>
        <v>687.4559999999999</v>
      </c>
      <c r="EV77" s="528">
        <f t="shared" si="263"/>
        <v>3.8202933444173395</v>
      </c>
      <c r="EW77" s="528">
        <f t="shared" si="300"/>
        <v>1.2476593933031415E-2</v>
      </c>
      <c r="EX77" s="528">
        <f t="shared" si="264"/>
        <v>1.2998898355469825E-3</v>
      </c>
      <c r="EY77" s="528">
        <f t="shared" si="265"/>
        <v>518.17033803905451</v>
      </c>
      <c r="EZ77" s="528">
        <f t="shared" si="266"/>
        <v>754.28224994071627</v>
      </c>
      <c r="FA77" s="625">
        <f t="shared" si="267"/>
        <v>7.7814203753414741</v>
      </c>
      <c r="FB77" s="460">
        <f t="shared" si="301"/>
        <v>762063.67031605775</v>
      </c>
      <c r="FC77" s="173">
        <f t="shared" si="302"/>
        <v>703.59907114214377</v>
      </c>
      <c r="FD77" s="5">
        <f t="shared" si="303"/>
        <v>77.759999999999991</v>
      </c>
      <c r="FE77" s="173">
        <f t="shared" si="304"/>
        <v>9.9518906059841469E-2</v>
      </c>
      <c r="FF77" s="5">
        <f t="shared" si="305"/>
        <v>9.951890605984147</v>
      </c>
      <c r="FG77">
        <f t="shared" si="306"/>
        <v>72</v>
      </c>
      <c r="FI77" s="562">
        <f t="shared" si="268"/>
        <v>-50</v>
      </c>
      <c r="FJ77">
        <f t="shared" si="269"/>
        <v>-50</v>
      </c>
      <c r="FL77">
        <f t="shared" si="270"/>
        <v>0.57883030475717101</v>
      </c>
    </row>
    <row r="78" spans="5:168">
      <c r="E78" s="170">
        <v>73</v>
      </c>
      <c r="F78" s="217">
        <f t="shared" si="307"/>
        <v>0.438</v>
      </c>
      <c r="G78" s="217">
        <f t="shared" si="271"/>
        <v>0.36499999999999999</v>
      </c>
      <c r="H78" s="217">
        <f t="shared" si="176"/>
        <v>74.459999999999994</v>
      </c>
      <c r="I78" s="217">
        <f t="shared" si="308"/>
        <v>4.38</v>
      </c>
      <c r="J78" s="541">
        <f t="shared" si="177"/>
        <v>11.176685365982978</v>
      </c>
      <c r="K78" s="443">
        <f t="shared" si="178"/>
        <v>8.5435147422249837</v>
      </c>
      <c r="L78" s="172">
        <f t="shared" si="179"/>
        <v>19.720200108207962</v>
      </c>
      <c r="M78" s="443"/>
      <c r="N78" s="217">
        <f t="shared" si="180"/>
        <v>0.43323671643012351</v>
      </c>
      <c r="O78" s="172">
        <f t="shared" si="272"/>
        <v>152.43807030560805</v>
      </c>
      <c r="P78" s="172">
        <f t="shared" si="181"/>
        <v>8.966945312094591</v>
      </c>
      <c r="Q78" s="217">
        <f t="shared" si="182"/>
        <v>0.89669453120945908</v>
      </c>
      <c r="R78" s="217">
        <f t="shared" si="183"/>
        <v>12.703172525467338</v>
      </c>
      <c r="S78" s="443">
        <f t="shared" si="184"/>
        <v>170</v>
      </c>
      <c r="T78" s="217">
        <f t="shared" si="185"/>
        <v>32.564043811681465</v>
      </c>
      <c r="U78" s="217">
        <f t="shared" si="186"/>
        <v>1.4567844913480523</v>
      </c>
      <c r="V78" s="217">
        <f t="shared" si="187"/>
        <v>1.9057755967072179</v>
      </c>
      <c r="W78" s="197">
        <f t="shared" si="188"/>
        <v>350</v>
      </c>
      <c r="X78" s="443">
        <f t="shared" si="273"/>
        <v>280.69701991914468</v>
      </c>
      <c r="Z78" s="217">
        <f t="shared" si="189"/>
        <v>27.669431248749021</v>
      </c>
      <c r="AA78" s="173">
        <f t="shared" si="190"/>
        <v>1.6193236673425042</v>
      </c>
      <c r="AB78" s="173">
        <f t="shared" si="191"/>
        <v>0.37026986257483757</v>
      </c>
      <c r="AC78" s="173"/>
      <c r="AD78" s="173">
        <f t="shared" si="192"/>
        <v>0.78031897501361014</v>
      </c>
      <c r="AE78" s="545">
        <f t="shared" si="193"/>
        <v>1782.9812707332824</v>
      </c>
      <c r="AF78" s="528">
        <f t="shared" si="194"/>
        <v>8.5979590765388511E-2</v>
      </c>
      <c r="AH78" s="173">
        <f t="shared" si="195"/>
        <v>30.017137961980509</v>
      </c>
      <c r="AI78" s="173">
        <f t="shared" si="196"/>
        <v>32.564043811681465</v>
      </c>
      <c r="AJ78" s="173">
        <f t="shared" si="197"/>
        <v>15.444970724702319</v>
      </c>
      <c r="AL78" s="545">
        <f t="shared" si="198"/>
        <v>438</v>
      </c>
      <c r="AM78" s="460">
        <f t="shared" si="199"/>
        <v>280.69701991914468</v>
      </c>
      <c r="AO78">
        <f t="shared" si="274"/>
        <v>438</v>
      </c>
      <c r="AP78">
        <f t="shared" si="200"/>
        <v>280.69701991914468</v>
      </c>
      <c r="AR78" s="5">
        <f t="shared" si="275"/>
        <v>3.5625600880552701</v>
      </c>
      <c r="AS78" s="5">
        <f t="shared" si="201"/>
        <v>1.4567844913480523</v>
      </c>
      <c r="AT78" s="5">
        <f t="shared" si="276"/>
        <v>2.1057755967072178</v>
      </c>
      <c r="AU78" s="173">
        <f t="shared" si="277"/>
        <v>0.40891506538582528</v>
      </c>
      <c r="AW78" s="5">
        <f t="shared" si="202"/>
        <v>0.37533623953555695</v>
      </c>
      <c r="AX78" s="5">
        <f t="shared" si="203"/>
        <v>4.4310528278503254</v>
      </c>
      <c r="AY78" s="5">
        <f t="shared" si="204"/>
        <v>22.446161207406146</v>
      </c>
      <c r="AZ78" s="5"/>
      <c r="BA78" s="173">
        <f t="shared" si="278"/>
        <v>12.022485408426816</v>
      </c>
      <c r="BB78" s="173">
        <f t="shared" si="205"/>
        <v>0.68257294270869873</v>
      </c>
      <c r="BC78" s="173">
        <f t="shared" si="206"/>
        <v>0.53967207651864224</v>
      </c>
      <c r="BD78" s="173"/>
      <c r="BE78" s="528">
        <f t="shared" si="207"/>
        <v>5.7816062158334276</v>
      </c>
      <c r="BF78" s="528">
        <f t="shared" si="208"/>
        <v>4.0557387102516307</v>
      </c>
      <c r="BG78" s="528">
        <f t="shared" si="209"/>
        <v>0.12549049099221346</v>
      </c>
      <c r="BH78" s="528">
        <f t="shared" si="210"/>
        <v>2.1831844667639023E-2</v>
      </c>
      <c r="BI78">
        <f t="shared" si="211"/>
        <v>5.0295084146923397E-3</v>
      </c>
      <c r="BJ78" s="460">
        <f t="shared" si="279"/>
        <v>130.51999940690581</v>
      </c>
      <c r="BK78">
        <f t="shared" si="212"/>
        <v>-30.559047244031909</v>
      </c>
      <c r="BL78" s="460">
        <f t="shared" si="280"/>
        <v>-30559.04724403191</v>
      </c>
      <c r="BM78" s="173">
        <f t="shared" si="213"/>
        <v>0.38018399999999997</v>
      </c>
      <c r="BN78" s="173">
        <f t="shared" si="214"/>
        <v>0.31681999999999999</v>
      </c>
      <c r="BO78" s="528"/>
      <c r="BQ78" s="460">
        <f t="shared" si="281"/>
        <v>697.00399999999991</v>
      </c>
      <c r="BR78" s="528">
        <f t="shared" si="215"/>
        <v>4.3362046618750707</v>
      </c>
      <c r="BS78" s="528">
        <f t="shared" si="216"/>
        <v>1.3977174663540376E-2</v>
      </c>
      <c r="BT78" s="528">
        <f t="shared" si="217"/>
        <v>1.4562297508697161E-3</v>
      </c>
      <c r="BU78" s="528">
        <f t="shared" si="218"/>
        <v>399.40209168348952</v>
      </c>
      <c r="BV78" s="528">
        <f t="shared" si="219"/>
        <v>620.98082746392504</v>
      </c>
      <c r="BW78" s="625">
        <f t="shared" si="220"/>
        <v>7.4413969389914936</v>
      </c>
      <c r="BX78" s="460">
        <f t="shared" si="282"/>
        <v>628422.2244029165</v>
      </c>
      <c r="BY78" s="173">
        <f t="shared" si="283"/>
        <v>598.56018115888457</v>
      </c>
      <c r="BZ78" s="5">
        <f t="shared" si="284"/>
        <v>78.839999999999989</v>
      </c>
      <c r="CA78" s="173">
        <f t="shared" si="285"/>
        <v>0.11638615133689789</v>
      </c>
      <c r="CB78" s="5">
        <f t="shared" si="286"/>
        <v>11.63861513368979</v>
      </c>
      <c r="CC78">
        <f t="shared" si="287"/>
        <v>73</v>
      </c>
      <c r="CE78" s="562">
        <f t="shared" si="221"/>
        <v>-50</v>
      </c>
      <c r="CF78">
        <f t="shared" si="222"/>
        <v>-50</v>
      </c>
      <c r="CG78" s="173">
        <f t="shared" si="223"/>
        <v>0.5788303047571709</v>
      </c>
      <c r="CH78" s="173">
        <f t="shared" si="224"/>
        <v>0.14404267188190509</v>
      </c>
      <c r="CI78" s="170">
        <v>73</v>
      </c>
      <c r="CJ78" s="217">
        <f t="shared" si="309"/>
        <v>0.438</v>
      </c>
      <c r="CK78" s="217">
        <f t="shared" si="288"/>
        <v>0.36499999999999999</v>
      </c>
      <c r="CL78" s="217">
        <f t="shared" si="225"/>
        <v>74.459999999999994</v>
      </c>
      <c r="CM78" s="217">
        <f t="shared" si="310"/>
        <v>4.38</v>
      </c>
      <c r="CN78" s="541">
        <f t="shared" si="289"/>
        <v>12.5</v>
      </c>
      <c r="CO78" s="443">
        <f t="shared" si="226"/>
        <v>8.5350000000000001</v>
      </c>
      <c r="CP78" s="443">
        <f t="shared" si="227"/>
        <v>21.035</v>
      </c>
      <c r="CQ78" s="443"/>
      <c r="CR78" s="217">
        <f t="shared" si="228"/>
        <v>0.40546967895362668</v>
      </c>
      <c r="CS78" s="172">
        <f t="shared" si="290"/>
        <v>159.55982736601052</v>
      </c>
      <c r="CT78" s="172">
        <f t="shared" si="229"/>
        <v>9.3858721980006177</v>
      </c>
      <c r="CU78" s="217">
        <f t="shared" si="230"/>
        <v>0.93858721980006188</v>
      </c>
      <c r="CV78" s="217">
        <f t="shared" si="231"/>
        <v>13.296652280500878</v>
      </c>
      <c r="CW78" s="443">
        <f t="shared" si="232"/>
        <v>170</v>
      </c>
      <c r="CX78" s="217">
        <f t="shared" si="233"/>
        <v>31.11058768328445</v>
      </c>
      <c r="CY78" s="217">
        <f t="shared" si="234"/>
        <v>1.2444235073313779</v>
      </c>
      <c r="CZ78" s="217">
        <f t="shared" si="235"/>
        <v>1.8225300341701491</v>
      </c>
      <c r="DA78" s="197">
        <f t="shared" si="236"/>
        <v>350</v>
      </c>
      <c r="DB78" s="443">
        <f t="shared" si="291"/>
        <v>326.05645519834559</v>
      </c>
      <c r="DD78" s="217">
        <f t="shared" si="237"/>
        <v>28.98230839756868</v>
      </c>
      <c r="DE78" s="173">
        <f t="shared" si="238"/>
        <v>1.6978505212401103</v>
      </c>
      <c r="DF78" s="173">
        <f t="shared" si="239"/>
        <v>0.40664636548103333</v>
      </c>
      <c r="DG78" s="173"/>
      <c r="DH78" s="173">
        <f t="shared" si="240"/>
        <v>0.78109744190587771</v>
      </c>
      <c r="DI78" s="545">
        <f t="shared" si="241"/>
        <v>1781.2042941176469</v>
      </c>
      <c r="DJ78" s="528">
        <f t="shared" si="242"/>
        <v>8.6065366284073561E-2</v>
      </c>
      <c r="DL78" s="173">
        <f t="shared" si="243"/>
        <v>30.017137961980509</v>
      </c>
      <c r="DM78" s="173">
        <f t="shared" si="244"/>
        <v>31.11058768328445</v>
      </c>
      <c r="DN78" s="173">
        <f t="shared" si="245"/>
        <v>14.368336555519344</v>
      </c>
      <c r="DP78" s="545">
        <f t="shared" si="246"/>
        <v>438</v>
      </c>
      <c r="DQ78" s="460">
        <f t="shared" si="247"/>
        <v>326.05645519834559</v>
      </c>
      <c r="DS78">
        <f t="shared" si="292"/>
        <v>438</v>
      </c>
      <c r="DT78">
        <f t="shared" si="248"/>
        <v>326.05645519834559</v>
      </c>
      <c r="DV78" s="5">
        <f t="shared" si="293"/>
        <v>3.066953541501527</v>
      </c>
      <c r="DW78" s="5">
        <f t="shared" si="249"/>
        <v>1.2444235073313779</v>
      </c>
      <c r="DX78" s="5">
        <f t="shared" si="294"/>
        <v>1.8225300341701491</v>
      </c>
      <c r="DY78" s="173">
        <f t="shared" si="295"/>
        <v>0.40575231756596147</v>
      </c>
      <c r="EA78" s="5">
        <f t="shared" si="250"/>
        <v>0.32062205659479032</v>
      </c>
      <c r="EB78" s="5">
        <f t="shared" si="251"/>
        <v>3.785121501466274</v>
      </c>
      <c r="EC78" s="5">
        <f t="shared" si="252"/>
        <v>17.370315052071589</v>
      </c>
      <c r="ED78" s="5"/>
      <c r="EE78" s="173">
        <f t="shared" si="296"/>
        <v>11.441371630020353</v>
      </c>
      <c r="EF78" s="173">
        <f t="shared" si="253"/>
        <v>0.65384944080166796</v>
      </c>
      <c r="EG78" s="173">
        <f t="shared" si="254"/>
        <v>0.51696201734527425</v>
      </c>
      <c r="EH78" s="173"/>
      <c r="EI78" s="528">
        <f t="shared" si="255"/>
        <v>5.2361993910493831</v>
      </c>
      <c r="EJ78" s="528">
        <f t="shared" si="256"/>
        <v>5.8678125000000012</v>
      </c>
      <c r="EK78" s="528">
        <f t="shared" si="257"/>
        <v>6.521129103966912E-2</v>
      </c>
      <c r="EL78" s="528">
        <f t="shared" si="258"/>
        <v>2.8854119830153919E-2</v>
      </c>
      <c r="EM78">
        <f t="shared" si="259"/>
        <v>5.6249999999999998E-3</v>
      </c>
      <c r="EN78" s="460">
        <f t="shared" si="297"/>
        <v>70.836291039669121</v>
      </c>
      <c r="EO78">
        <f t="shared" si="260"/>
        <v>-51.685342159999976</v>
      </c>
      <c r="EP78" s="460">
        <f t="shared" si="298"/>
        <v>-51685.342159999978</v>
      </c>
      <c r="EQ78" s="173">
        <f t="shared" si="261"/>
        <v>0.38018399999999997</v>
      </c>
      <c r="ER78" s="173">
        <f t="shared" si="262"/>
        <v>0.31681999999999999</v>
      </c>
      <c r="ES78" s="528"/>
      <c r="EU78" s="460">
        <f t="shared" si="299"/>
        <v>697.00399999999991</v>
      </c>
      <c r="EV78" s="528">
        <f t="shared" si="263"/>
        <v>3.9271495432870376</v>
      </c>
      <c r="EW78" s="528">
        <f t="shared" si="300"/>
        <v>1.2825572737099616E-2</v>
      </c>
      <c r="EX78" s="528">
        <f t="shared" si="264"/>
        <v>1.3362486368884783E-3</v>
      </c>
      <c r="EY78" s="528">
        <f t="shared" si="265"/>
        <v>518.17033803905451</v>
      </c>
      <c r="EZ78" s="528">
        <f t="shared" si="266"/>
        <v>763.9277265729711</v>
      </c>
      <c r="FA78" s="625">
        <f t="shared" si="267"/>
        <v>7.8894956583323275</v>
      </c>
      <c r="FB78" s="460">
        <f t="shared" si="301"/>
        <v>771817.22223130334</v>
      </c>
      <c r="FC78" s="173">
        <f t="shared" si="302"/>
        <v>720.82888407130338</v>
      </c>
      <c r="FD78" s="5">
        <f t="shared" si="303"/>
        <v>78.839999999999989</v>
      </c>
      <c r="FE78" s="173">
        <f t="shared" si="304"/>
        <v>9.8590806232958447E-2</v>
      </c>
      <c r="FF78" s="5">
        <f t="shared" si="305"/>
        <v>9.8590806232958439</v>
      </c>
      <c r="FG78">
        <f t="shared" si="306"/>
        <v>73</v>
      </c>
      <c r="FI78" s="562">
        <f t="shared" si="268"/>
        <v>-50</v>
      </c>
      <c r="FJ78">
        <f t="shared" si="269"/>
        <v>-50</v>
      </c>
      <c r="FL78">
        <f t="shared" si="270"/>
        <v>0.57883030475717101</v>
      </c>
    </row>
    <row r="79" spans="5:168">
      <c r="E79" s="170">
        <v>74</v>
      </c>
      <c r="F79" s="217">
        <f t="shared" si="307"/>
        <v>0.44400000000000001</v>
      </c>
      <c r="G79" s="217">
        <f t="shared" si="271"/>
        <v>0.37</v>
      </c>
      <c r="H79" s="217">
        <f t="shared" si="176"/>
        <v>75.48</v>
      </c>
      <c r="I79" s="217">
        <f t="shared" si="308"/>
        <v>4.4399999999999995</v>
      </c>
      <c r="J79" s="541">
        <f t="shared" si="177"/>
        <v>11.158557768256717</v>
      </c>
      <c r="K79" s="443">
        <f t="shared" si="178"/>
        <v>8.543631382529437</v>
      </c>
      <c r="L79" s="172">
        <f t="shared" si="179"/>
        <v>19.702189150786154</v>
      </c>
      <c r="M79" s="443"/>
      <c r="N79" s="217">
        <f t="shared" si="180"/>
        <v>0.43363868436866215</v>
      </c>
      <c r="O79" s="172">
        <f t="shared" si="272"/>
        <v>152.33203568765833</v>
      </c>
      <c r="P79" s="172">
        <f t="shared" si="181"/>
        <v>8.9607079816269586</v>
      </c>
      <c r="Q79" s="217">
        <f t="shared" si="182"/>
        <v>0.89607079816269608</v>
      </c>
      <c r="R79" s="217">
        <f t="shared" si="183"/>
        <v>12.694336307304861</v>
      </c>
      <c r="S79" s="443">
        <f t="shared" si="184"/>
        <v>170</v>
      </c>
      <c r="T79" s="217">
        <f t="shared" si="185"/>
        <v>33.033104148346155</v>
      </c>
      <c r="U79" s="217">
        <f t="shared" si="186"/>
        <v>1.4801690699812926</v>
      </c>
      <c r="V79" s="217">
        <f t="shared" si="187"/>
        <v>1.9332004547793546</v>
      </c>
      <c r="W79" s="197">
        <f t="shared" si="188"/>
        <v>350</v>
      </c>
      <c r="X79" s="443">
        <f t="shared" si="273"/>
        <v>276.7499955782244</v>
      </c>
      <c r="Z79" s="217">
        <f t="shared" si="189"/>
        <v>27.650184629020334</v>
      </c>
      <c r="AA79" s="173">
        <f t="shared" si="190"/>
        <v>1.6181751875181081</v>
      </c>
      <c r="AB79" s="173">
        <f t="shared" si="191"/>
        <v>0.36974988062083747</v>
      </c>
      <c r="AC79" s="173"/>
      <c r="AD79" s="173">
        <f t="shared" si="192"/>
        <v>0.78030832185703758</v>
      </c>
      <c r="AE79" s="545">
        <f t="shared" si="193"/>
        <v>1807.4303473016985</v>
      </c>
      <c r="AF79" s="528">
        <f t="shared" si="194"/>
        <v>8.5978416945358765E-2</v>
      </c>
      <c r="AH79" s="173">
        <f t="shared" si="195"/>
        <v>30.222035480282077</v>
      </c>
      <c r="AI79" s="173">
        <f t="shared" si="196"/>
        <v>33.033104148346155</v>
      </c>
      <c r="AJ79" s="173">
        <f t="shared" si="197"/>
        <v>15.792422825935422</v>
      </c>
      <c r="AL79" s="545">
        <f t="shared" si="198"/>
        <v>444</v>
      </c>
      <c r="AM79" s="460">
        <f t="shared" si="199"/>
        <v>276.7499955782244</v>
      </c>
      <c r="AO79">
        <f t="shared" si="274"/>
        <v>444</v>
      </c>
      <c r="AP79">
        <f t="shared" si="200"/>
        <v>276.7499955782244</v>
      </c>
      <c r="AR79" s="5">
        <f t="shared" si="275"/>
        <v>3.6133695247606474</v>
      </c>
      <c r="AS79" s="5">
        <f t="shared" si="201"/>
        <v>1.4801690699812926</v>
      </c>
      <c r="AT79" s="5">
        <f t="shared" si="276"/>
        <v>2.133200454779355</v>
      </c>
      <c r="AU79" s="173">
        <f t="shared" si="277"/>
        <v>0.40963678357234728</v>
      </c>
      <c r="AW79" s="5">
        <f t="shared" si="202"/>
        <v>0.3865853335715847</v>
      </c>
      <c r="AX79" s="5">
        <f t="shared" si="203"/>
        <v>4.5638546324423181</v>
      </c>
      <c r="AY79" s="5">
        <f t="shared" si="204"/>
        <v>23.087423829597746</v>
      </c>
      <c r="AZ79" s="5"/>
      <c r="BA79" s="173">
        <f t="shared" si="278"/>
        <v>12.206417859704487</v>
      </c>
      <c r="BB79" s="173">
        <f t="shared" si="205"/>
        <v>0.69198204357408433</v>
      </c>
      <c r="BC79" s="173">
        <f t="shared" si="206"/>
        <v>0.54711132393745332</v>
      </c>
      <c r="BD79" s="173"/>
      <c r="BE79" s="528">
        <f t="shared" si="207"/>
        <v>5.9598654786285072</v>
      </c>
      <c r="BF79" s="528">
        <f t="shared" si="208"/>
        <v>4.0526025330214548</v>
      </c>
      <c r="BG79" s="528">
        <f t="shared" si="209"/>
        <v>0.12352523252097633</v>
      </c>
      <c r="BH79" s="528">
        <f t="shared" si="210"/>
        <v>2.1485555500115574E-2</v>
      </c>
      <c r="BI79">
        <f t="shared" si="211"/>
        <v>5.0213509957155221E-3</v>
      </c>
      <c r="BJ79" s="460">
        <f t="shared" si="279"/>
        <v>128.54658351669184</v>
      </c>
      <c r="BK79">
        <f t="shared" si="212"/>
        <v>-27.983954850131955</v>
      </c>
      <c r="BL79" s="460">
        <f t="shared" si="280"/>
        <v>-27983.954850131955</v>
      </c>
      <c r="BM79" s="173">
        <f t="shared" si="213"/>
        <v>0.38539199999999996</v>
      </c>
      <c r="BN79" s="173">
        <f t="shared" si="214"/>
        <v>0.32116</v>
      </c>
      <c r="BO79" s="528"/>
      <c r="BQ79" s="460">
        <f t="shared" si="281"/>
        <v>706.55199999999991</v>
      </c>
      <c r="BR79" s="528">
        <f t="shared" si="215"/>
        <v>4.4698991089713802</v>
      </c>
      <c r="BS79" s="528">
        <f t="shared" si="216"/>
        <v>1.4365174458868977E-2</v>
      </c>
      <c r="BT79" s="528">
        <f t="shared" si="217"/>
        <v>1.496654003902965E-3</v>
      </c>
      <c r="BU79" s="528">
        <f t="shared" si="218"/>
        <v>399.54208112529898</v>
      </c>
      <c r="BV79" s="528">
        <f t="shared" si="219"/>
        <v>631.8510427582919</v>
      </c>
      <c r="BW79" s="625">
        <f t="shared" si="220"/>
        <v>7.5496428070677677</v>
      </c>
      <c r="BX79" s="460">
        <f t="shared" si="282"/>
        <v>639400.68556535966</v>
      </c>
      <c r="BY79" s="173">
        <f t="shared" si="283"/>
        <v>612.12328271522779</v>
      </c>
      <c r="BZ79" s="5">
        <f t="shared" si="284"/>
        <v>79.92</v>
      </c>
      <c r="CA79" s="173">
        <f t="shared" si="285"/>
        <v>0.11548410626346137</v>
      </c>
      <c r="CB79" s="5">
        <f t="shared" si="286"/>
        <v>11.548410626346136</v>
      </c>
      <c r="CC79">
        <f t="shared" si="287"/>
        <v>74</v>
      </c>
      <c r="CE79" s="562">
        <f t="shared" si="221"/>
        <v>-50</v>
      </c>
      <c r="CF79">
        <f t="shared" si="222"/>
        <v>-50</v>
      </c>
      <c r="CG79" s="173">
        <f t="shared" si="223"/>
        <v>0.5788303047571709</v>
      </c>
      <c r="CH79" s="173">
        <f t="shared" si="224"/>
        <v>0.14404267188190506</v>
      </c>
      <c r="CI79" s="170">
        <v>74</v>
      </c>
      <c r="CJ79" s="217">
        <f t="shared" si="309"/>
        <v>0.44400000000000001</v>
      </c>
      <c r="CK79" s="217">
        <f t="shared" si="288"/>
        <v>0.37</v>
      </c>
      <c r="CL79" s="217">
        <f t="shared" si="225"/>
        <v>75.48</v>
      </c>
      <c r="CM79" s="217">
        <f t="shared" si="310"/>
        <v>4.4399999999999995</v>
      </c>
      <c r="CN79" s="541">
        <f t="shared" si="289"/>
        <v>12.5</v>
      </c>
      <c r="CO79" s="443">
        <f t="shared" si="226"/>
        <v>8.5350000000000001</v>
      </c>
      <c r="CP79" s="443">
        <f t="shared" si="227"/>
        <v>21.035</v>
      </c>
      <c r="CQ79" s="443"/>
      <c r="CR79" s="217">
        <f t="shared" si="228"/>
        <v>0.40546967895362668</v>
      </c>
      <c r="CS79" s="172">
        <f t="shared" si="290"/>
        <v>159.55982736601052</v>
      </c>
      <c r="CT79" s="172">
        <f t="shared" si="229"/>
        <v>9.3858721980006177</v>
      </c>
      <c r="CU79" s="217">
        <f t="shared" si="230"/>
        <v>0.93858721980006188</v>
      </c>
      <c r="CV79" s="217">
        <f t="shared" si="231"/>
        <v>13.296652280500878</v>
      </c>
      <c r="CW79" s="443">
        <f t="shared" si="232"/>
        <v>170</v>
      </c>
      <c r="CX79" s="217">
        <f t="shared" si="233"/>
        <v>31.536760117302048</v>
      </c>
      <c r="CY79" s="217">
        <f t="shared" si="234"/>
        <v>1.2614704046920817</v>
      </c>
      <c r="CZ79" s="217">
        <f t="shared" si="235"/>
        <v>1.8474961990217953</v>
      </c>
      <c r="DA79" s="197">
        <f t="shared" si="236"/>
        <v>350</v>
      </c>
      <c r="DB79" s="443">
        <f t="shared" si="291"/>
        <v>321.65028688485444</v>
      </c>
      <c r="DD79" s="217">
        <f t="shared" si="237"/>
        <v>28.98230839756868</v>
      </c>
      <c r="DE79" s="173">
        <f t="shared" si="238"/>
        <v>1.6978505212401103</v>
      </c>
      <c r="DF79" s="173">
        <f t="shared" si="239"/>
        <v>0.40664636548103333</v>
      </c>
      <c r="DG79" s="173"/>
      <c r="DH79" s="173">
        <f t="shared" si="240"/>
        <v>0.78109744190587771</v>
      </c>
      <c r="DI79" s="545">
        <f t="shared" si="241"/>
        <v>1805.6043529411766</v>
      </c>
      <c r="DJ79" s="528">
        <f t="shared" si="242"/>
        <v>8.6065366284073561E-2</v>
      </c>
      <c r="DL79" s="173">
        <f t="shared" si="243"/>
        <v>30.222035480282077</v>
      </c>
      <c r="DM79" s="173">
        <f t="shared" si="244"/>
        <v>31.536760117302048</v>
      </c>
      <c r="DN79" s="173">
        <f t="shared" si="245"/>
        <v>14.684019839976827</v>
      </c>
      <c r="DP79" s="545">
        <f t="shared" si="246"/>
        <v>444</v>
      </c>
      <c r="DQ79" s="460">
        <f t="shared" si="247"/>
        <v>321.65028688485444</v>
      </c>
      <c r="DS79">
        <f t="shared" si="292"/>
        <v>444</v>
      </c>
      <c r="DT79">
        <f t="shared" si="248"/>
        <v>321.65028688485444</v>
      </c>
      <c r="DV79" s="5">
        <f t="shared" si="293"/>
        <v>3.1089666037138763</v>
      </c>
      <c r="DW79" s="5">
        <f t="shared" si="249"/>
        <v>1.2614704046920817</v>
      </c>
      <c r="DX79" s="5">
        <f t="shared" si="294"/>
        <v>1.8474961990217946</v>
      </c>
      <c r="DY79" s="173">
        <f t="shared" si="295"/>
        <v>0.40575231756596158</v>
      </c>
      <c r="EA79" s="5">
        <f t="shared" si="250"/>
        <v>0.3294663880489907</v>
      </c>
      <c r="EB79" s="5">
        <f t="shared" si="251"/>
        <v>3.8895337478005856</v>
      </c>
      <c r="EC79" s="5">
        <f t="shared" si="252"/>
        <v>17.849473677077128</v>
      </c>
      <c r="ED79" s="5"/>
      <c r="EE79" s="173">
        <f t="shared" si="296"/>
        <v>11.59810274823981</v>
      </c>
      <c r="EF79" s="173">
        <f t="shared" si="253"/>
        <v>0.66280628245648543</v>
      </c>
      <c r="EG79" s="173">
        <f t="shared" si="254"/>
        <v>0.52404368881575747</v>
      </c>
      <c r="EH79" s="173"/>
      <c r="EI79" s="528">
        <f t="shared" si="255"/>
        <v>5.380639494349114</v>
      </c>
      <c r="EJ79" s="528">
        <f t="shared" si="256"/>
        <v>5.8678125000000021</v>
      </c>
      <c r="EK79" s="528">
        <f t="shared" si="257"/>
        <v>6.4330057376970881E-2</v>
      </c>
      <c r="EL79" s="528">
        <f t="shared" si="258"/>
        <v>2.8464199291908597E-2</v>
      </c>
      <c r="EM79">
        <f t="shared" si="259"/>
        <v>5.6249999999999998E-3</v>
      </c>
      <c r="EN79" s="460">
        <f t="shared" si="297"/>
        <v>69.955057376970885</v>
      </c>
      <c r="EO79">
        <f t="shared" si="260"/>
        <v>-45.969136960643077</v>
      </c>
      <c r="EP79" s="460">
        <f t="shared" si="298"/>
        <v>-45969.136960643074</v>
      </c>
      <c r="EQ79" s="173">
        <f t="shared" si="261"/>
        <v>0.38539199999999996</v>
      </c>
      <c r="ER79" s="173">
        <f t="shared" si="262"/>
        <v>0.32116</v>
      </c>
      <c r="ES79" s="528"/>
      <c r="EU79" s="460">
        <f t="shared" si="299"/>
        <v>706.55199999999991</v>
      </c>
      <c r="EV79" s="528">
        <f t="shared" si="263"/>
        <v>4.0354796207618353</v>
      </c>
      <c r="EW79" s="528">
        <f t="shared" si="300"/>
        <v>1.3179365041913591E-2</v>
      </c>
      <c r="EX79" s="528">
        <f t="shared" si="264"/>
        <v>1.3731089389381324E-3</v>
      </c>
      <c r="EY79" s="528">
        <f t="shared" si="265"/>
        <v>518.17033803905542</v>
      </c>
      <c r="EZ79" s="528">
        <f t="shared" si="266"/>
        <v>773.95616128763925</v>
      </c>
      <c r="FA79" s="625">
        <f t="shared" si="267"/>
        <v>7.9975709413231835</v>
      </c>
      <c r="FB79" s="460">
        <f t="shared" si="301"/>
        <v>781953.73222896236</v>
      </c>
      <c r="FC79" s="173">
        <f t="shared" si="302"/>
        <v>736.69114726831936</v>
      </c>
      <c r="FD79" s="5">
        <f t="shared" si="303"/>
        <v>79.92</v>
      </c>
      <c r="FE79" s="173">
        <f t="shared" si="304"/>
        <v>9.7867877835544848E-2</v>
      </c>
      <c r="FF79" s="5">
        <f t="shared" si="305"/>
        <v>9.7867877835544839</v>
      </c>
      <c r="FG79">
        <f t="shared" si="306"/>
        <v>74</v>
      </c>
      <c r="FI79" s="562">
        <f t="shared" si="268"/>
        <v>-50</v>
      </c>
      <c r="FJ79">
        <f t="shared" si="269"/>
        <v>-50</v>
      </c>
      <c r="FL79">
        <f t="shared" si="270"/>
        <v>0.57883030475717101</v>
      </c>
    </row>
    <row r="80" spans="5:168">
      <c r="E80" s="170">
        <v>75</v>
      </c>
      <c r="F80" s="217">
        <f t="shared" si="307"/>
        <v>0.44999999999999996</v>
      </c>
      <c r="G80" s="217">
        <f t="shared" si="271"/>
        <v>0.375</v>
      </c>
      <c r="H80" s="217">
        <f t="shared" si="176"/>
        <v>76.499999999999986</v>
      </c>
      <c r="I80" s="217">
        <f t="shared" si="308"/>
        <v>4.5</v>
      </c>
      <c r="J80" s="541">
        <f t="shared" si="177"/>
        <v>11.140430170530458</v>
      </c>
      <c r="K80" s="443">
        <f t="shared" si="178"/>
        <v>8.5437480228338885</v>
      </c>
      <c r="L80" s="172">
        <f t="shared" si="179"/>
        <v>19.684178193364346</v>
      </c>
      <c r="M80" s="443"/>
      <c r="N80" s="217">
        <f t="shared" si="180"/>
        <v>0.43404138790584801</v>
      </c>
      <c r="O80" s="172">
        <f t="shared" si="272"/>
        <v>152.22580026379404</v>
      </c>
      <c r="P80" s="172">
        <f t="shared" si="181"/>
        <v>8.9544588390467084</v>
      </c>
      <c r="Q80" s="217">
        <f t="shared" si="182"/>
        <v>0.89544588390467084</v>
      </c>
      <c r="R80" s="217">
        <f t="shared" si="183"/>
        <v>12.685483355316171</v>
      </c>
      <c r="S80" s="443">
        <f t="shared" si="184"/>
        <v>170</v>
      </c>
      <c r="T80" s="217">
        <f t="shared" si="185"/>
        <v>33.50286213744414</v>
      </c>
      <c r="U80" s="217">
        <f t="shared" si="186"/>
        <v>1.5036610626611413</v>
      </c>
      <c r="V80" s="217">
        <f t="shared" si="187"/>
        <v>1.9606653922789452</v>
      </c>
      <c r="W80" s="197">
        <f t="shared" si="188"/>
        <v>350</v>
      </c>
      <c r="X80" s="443">
        <f t="shared" si="273"/>
        <v>272.90144922864152</v>
      </c>
      <c r="Z80" s="217">
        <f t="shared" si="189"/>
        <v>27.63090156048699</v>
      </c>
      <c r="AA80" s="173">
        <f t="shared" si="190"/>
        <v>1.6170246059832916</v>
      </c>
      <c r="AB80" s="173">
        <f t="shared" si="191"/>
        <v>0.36922929703807927</v>
      </c>
      <c r="AC80" s="173"/>
      <c r="AD80" s="173">
        <f t="shared" si="192"/>
        <v>0.78029766899134156</v>
      </c>
      <c r="AE80" s="545">
        <f t="shared" si="193"/>
        <v>1831.880090778207</v>
      </c>
      <c r="AF80" s="528">
        <f t="shared" si="194"/>
        <v>8.5977243157379313E-2</v>
      </c>
      <c r="AH80" s="173">
        <f t="shared" si="195"/>
        <v>30.425553170226596</v>
      </c>
      <c r="AI80" s="173">
        <f t="shared" si="196"/>
        <v>33.50286213744414</v>
      </c>
      <c r="AJ80" s="173">
        <f t="shared" si="197"/>
        <v>16.140391706748744</v>
      </c>
      <c r="AL80" s="545">
        <f t="shared" si="198"/>
        <v>449.99999999999994</v>
      </c>
      <c r="AM80" s="460">
        <f t="shared" si="199"/>
        <v>272.90144922864152</v>
      </c>
      <c r="AO80">
        <f t="shared" si="274"/>
        <v>449.99999999999994</v>
      </c>
      <c r="AP80">
        <f t="shared" si="200"/>
        <v>272.90144922864152</v>
      </c>
      <c r="AR80" s="5">
        <f t="shared" si="275"/>
        <v>3.6643264549400865</v>
      </c>
      <c r="AS80" s="5">
        <f t="shared" si="201"/>
        <v>1.5036610626611413</v>
      </c>
      <c r="AT80" s="5">
        <f t="shared" si="276"/>
        <v>2.1606653922789452</v>
      </c>
      <c r="AU80" s="173">
        <f t="shared" si="277"/>
        <v>0.41035128314890462</v>
      </c>
      <c r="AW80" s="5">
        <f t="shared" si="202"/>
        <v>0.39802792835147849</v>
      </c>
      <c r="AX80" s="5">
        <f t="shared" si="203"/>
        <v>4.6989408208160661</v>
      </c>
      <c r="AY80" s="5">
        <f t="shared" si="204"/>
        <v>23.739248841084041</v>
      </c>
      <c r="AZ80" s="5"/>
      <c r="BA80" s="173">
        <f t="shared" si="278"/>
        <v>12.390795255002276</v>
      </c>
      <c r="BB80" s="173">
        <f t="shared" si="205"/>
        <v>0.70139777262657332</v>
      </c>
      <c r="BC80" s="173">
        <f t="shared" si="206"/>
        <v>0.5545558118914129</v>
      </c>
      <c r="BD80" s="173"/>
      <c r="BE80" s="528">
        <f t="shared" si="207"/>
        <v>6.1412722820554766</v>
      </c>
      <c r="BF80" s="528">
        <f t="shared" si="208"/>
        <v>4.0493709060152332</v>
      </c>
      <c r="BG80" s="528">
        <f t="shared" si="209"/>
        <v>0.12160958154272976</v>
      </c>
      <c r="BH80" s="528">
        <f t="shared" si="210"/>
        <v>2.1148054132881879E-2</v>
      </c>
      <c r="BI80">
        <f t="shared" si="211"/>
        <v>5.0131935767387054E-3</v>
      </c>
      <c r="BJ80" s="460">
        <f t="shared" si="279"/>
        <v>126.62277511946846</v>
      </c>
      <c r="BK80">
        <f t="shared" si="212"/>
        <v>-25.851058555192846</v>
      </c>
      <c r="BL80" s="460">
        <f t="shared" si="280"/>
        <v>-25851.058555192845</v>
      </c>
      <c r="BM80" s="173">
        <f t="shared" si="213"/>
        <v>0.39059999999999995</v>
      </c>
      <c r="BN80" s="173">
        <f t="shared" si="214"/>
        <v>0.32549999999999996</v>
      </c>
      <c r="BO80" s="528"/>
      <c r="BQ80" s="460">
        <f t="shared" si="281"/>
        <v>716.09999999999991</v>
      </c>
      <c r="BR80" s="528">
        <f t="shared" si="215"/>
        <v>4.605954211541607</v>
      </c>
      <c r="BS80" s="528">
        <f t="shared" si="216"/>
        <v>1.4758765063365547E-2</v>
      </c>
      <c r="BT80" s="528">
        <f t="shared" si="217"/>
        <v>1.5376607425127207E-3</v>
      </c>
      <c r="BU80" s="528">
        <f t="shared" si="218"/>
        <v>399.65880444568012</v>
      </c>
      <c r="BV80" s="528">
        <f t="shared" si="219"/>
        <v>643.25224212815669</v>
      </c>
      <c r="BW80" s="625">
        <f t="shared" si="220"/>
        <v>7.6578996522496023</v>
      </c>
      <c r="BX80" s="460">
        <f t="shared" si="282"/>
        <v>650910.14178040635</v>
      </c>
      <c r="BY80" s="173">
        <f t="shared" si="283"/>
        <v>625.77518322521348</v>
      </c>
      <c r="BZ80" s="5">
        <f t="shared" si="284"/>
        <v>80.999999999999986</v>
      </c>
      <c r="CA80" s="173">
        <f t="shared" si="285"/>
        <v>0.11460504262525781</v>
      </c>
      <c r="CB80" s="5">
        <f t="shared" si="286"/>
        <v>11.460504262525781</v>
      </c>
      <c r="CC80">
        <f t="shared" si="287"/>
        <v>75</v>
      </c>
      <c r="CE80" s="562">
        <f t="shared" si="221"/>
        <v>-50</v>
      </c>
      <c r="CF80">
        <f t="shared" si="222"/>
        <v>-50</v>
      </c>
      <c r="CG80" s="173">
        <f t="shared" si="223"/>
        <v>0.5788303047571709</v>
      </c>
      <c r="CH80" s="173">
        <f t="shared" si="224"/>
        <v>0.14404267188190509</v>
      </c>
      <c r="CI80" s="170">
        <v>75</v>
      </c>
      <c r="CJ80" s="217">
        <f t="shared" si="309"/>
        <v>0.44999999999999996</v>
      </c>
      <c r="CK80" s="217">
        <f t="shared" si="288"/>
        <v>0.375</v>
      </c>
      <c r="CL80" s="217">
        <f t="shared" si="225"/>
        <v>76.499999999999986</v>
      </c>
      <c r="CM80" s="217">
        <f t="shared" si="310"/>
        <v>4.5</v>
      </c>
      <c r="CN80" s="541">
        <f t="shared" si="289"/>
        <v>12.5</v>
      </c>
      <c r="CO80" s="443">
        <f t="shared" si="226"/>
        <v>8.5350000000000001</v>
      </c>
      <c r="CP80" s="443">
        <f t="shared" si="227"/>
        <v>21.035</v>
      </c>
      <c r="CQ80" s="443"/>
      <c r="CR80" s="217">
        <f t="shared" si="228"/>
        <v>0.40546967895362668</v>
      </c>
      <c r="CS80" s="172">
        <f t="shared" si="290"/>
        <v>159.55982736601052</v>
      </c>
      <c r="CT80" s="172">
        <f t="shared" si="229"/>
        <v>9.3858721980006177</v>
      </c>
      <c r="CU80" s="217">
        <f t="shared" si="230"/>
        <v>0.93858721980006188</v>
      </c>
      <c r="CV80" s="217">
        <f t="shared" si="231"/>
        <v>13.296652280500878</v>
      </c>
      <c r="CW80" s="443">
        <f t="shared" si="232"/>
        <v>170</v>
      </c>
      <c r="CX80" s="217">
        <f t="shared" si="233"/>
        <v>31.962932551319639</v>
      </c>
      <c r="CY80" s="217">
        <f t="shared" si="234"/>
        <v>1.2785173020527854</v>
      </c>
      <c r="CZ80" s="217">
        <f t="shared" si="235"/>
        <v>1.872462363873441</v>
      </c>
      <c r="DA80" s="197">
        <f t="shared" si="236"/>
        <v>350</v>
      </c>
      <c r="DB80" s="443">
        <f t="shared" si="291"/>
        <v>317.36161639305635</v>
      </c>
      <c r="DD80" s="217">
        <f t="shared" si="237"/>
        <v>28.98230839756868</v>
      </c>
      <c r="DE80" s="173">
        <f t="shared" si="238"/>
        <v>1.6978505212401103</v>
      </c>
      <c r="DF80" s="173">
        <f t="shared" si="239"/>
        <v>0.40664636548103333</v>
      </c>
      <c r="DG80" s="173"/>
      <c r="DH80" s="173">
        <f t="shared" si="240"/>
        <v>0.78109744190587771</v>
      </c>
      <c r="DI80" s="545">
        <f t="shared" si="241"/>
        <v>1830.004411764706</v>
      </c>
      <c r="DJ80" s="528">
        <f t="shared" si="242"/>
        <v>8.6065366284073561E-2</v>
      </c>
      <c r="DL80" s="173">
        <f t="shared" si="243"/>
        <v>30.425553170226596</v>
      </c>
      <c r="DM80" s="173">
        <f t="shared" si="244"/>
        <v>31.962932551319639</v>
      </c>
      <c r="DN80" s="173">
        <f t="shared" si="245"/>
        <v>14.9997031244343</v>
      </c>
      <c r="DP80" s="545">
        <f t="shared" si="246"/>
        <v>449.99999999999994</v>
      </c>
      <c r="DQ80" s="460">
        <f t="shared" si="247"/>
        <v>317.36161639305635</v>
      </c>
      <c r="DS80">
        <f t="shared" si="292"/>
        <v>449.99999999999994</v>
      </c>
      <c r="DT80">
        <f t="shared" si="248"/>
        <v>317.36161639305635</v>
      </c>
      <c r="DV80" s="5">
        <f t="shared" si="293"/>
        <v>3.150979665926227</v>
      </c>
      <c r="DW80" s="5">
        <f t="shared" si="249"/>
        <v>1.2785173020527854</v>
      </c>
      <c r="DX80" s="5">
        <f t="shared" si="294"/>
        <v>1.8724623638734417</v>
      </c>
      <c r="DY80" s="173">
        <f t="shared" si="295"/>
        <v>0.40575231756596136</v>
      </c>
      <c r="EA80" s="5">
        <f t="shared" si="250"/>
        <v>0.33843105054338435</v>
      </c>
      <c r="EB80" s="5">
        <f t="shared" si="251"/>
        <v>3.9953665689149545</v>
      </c>
      <c r="EC80" s="5">
        <f t="shared" si="252"/>
        <v>18.335151467048739</v>
      </c>
      <c r="ED80" s="5"/>
      <c r="EE80" s="173">
        <f t="shared" si="296"/>
        <v>11.754833866459263</v>
      </c>
      <c r="EF80" s="173">
        <f t="shared" si="253"/>
        <v>0.67176312411130279</v>
      </c>
      <c r="EG80" s="173">
        <f t="shared" si="254"/>
        <v>0.53112536028624069</v>
      </c>
      <c r="EH80" s="173"/>
      <c r="EI80" s="528">
        <f t="shared" si="255"/>
        <v>5.5270447691223046</v>
      </c>
      <c r="EJ80" s="528">
        <f t="shared" si="256"/>
        <v>5.8678125000000003</v>
      </c>
      <c r="EK80" s="528">
        <f t="shared" si="257"/>
        <v>6.347232327861127E-2</v>
      </c>
      <c r="EL80" s="528">
        <f t="shared" si="258"/>
        <v>2.8084676634683146E-2</v>
      </c>
      <c r="EM80">
        <f t="shared" si="259"/>
        <v>5.6249999999999998E-3</v>
      </c>
      <c r="EN80" s="460">
        <f t="shared" si="297"/>
        <v>69.09732327861127</v>
      </c>
      <c r="EO80">
        <f t="shared" si="260"/>
        <v>-41.453608920364111</v>
      </c>
      <c r="EP80" s="460">
        <f t="shared" si="298"/>
        <v>-41453.60892036411</v>
      </c>
      <c r="EQ80" s="173">
        <f t="shared" si="261"/>
        <v>0.39059999999999995</v>
      </c>
      <c r="ER80" s="173">
        <f t="shared" si="262"/>
        <v>0.32549999999999996</v>
      </c>
      <c r="ES80" s="528"/>
      <c r="EU80" s="460">
        <f t="shared" si="299"/>
        <v>716.09999999999991</v>
      </c>
      <c r="EV80" s="528">
        <f t="shared" si="263"/>
        <v>4.1452835768417282</v>
      </c>
      <c r="EW80" s="528">
        <f t="shared" si="300"/>
        <v>1.3537970847473327E-2</v>
      </c>
      <c r="EX80" s="528">
        <f t="shared" si="264"/>
        <v>1.4104707416959449E-3</v>
      </c>
      <c r="EY80" s="528">
        <f t="shared" si="265"/>
        <v>518.17033803905542</v>
      </c>
      <c r="EZ80" s="528">
        <f t="shared" si="266"/>
        <v>784.38786741200033</v>
      </c>
      <c r="FA80" s="625">
        <f t="shared" si="267"/>
        <v>8.1056462243140341</v>
      </c>
      <c r="FB80" s="460">
        <f t="shared" si="301"/>
        <v>792493.51363631431</v>
      </c>
      <c r="FC80" s="173">
        <f t="shared" si="302"/>
        <v>751.75600471595021</v>
      </c>
      <c r="FD80" s="5">
        <f t="shared" si="303"/>
        <v>80.999999999999986</v>
      </c>
      <c r="FE80" s="173">
        <f t="shared" si="304"/>
        <v>9.7267386294775215E-2</v>
      </c>
      <c r="FF80" s="5">
        <f t="shared" si="305"/>
        <v>9.7267386294775218</v>
      </c>
      <c r="FG80">
        <f t="shared" si="306"/>
        <v>75</v>
      </c>
      <c r="FI80" s="562">
        <f t="shared" si="268"/>
        <v>-50</v>
      </c>
      <c r="FJ80">
        <f t="shared" si="269"/>
        <v>-50</v>
      </c>
      <c r="FL80">
        <f t="shared" si="270"/>
        <v>0.5788303047571709</v>
      </c>
    </row>
    <row r="81" spans="5:168">
      <c r="E81" s="170">
        <v>76</v>
      </c>
      <c r="F81" s="217">
        <f t="shared" si="307"/>
        <v>0.45599999999999996</v>
      </c>
      <c r="G81" s="217">
        <f t="shared" si="271"/>
        <v>0.38</v>
      </c>
      <c r="H81" s="217">
        <f t="shared" si="176"/>
        <v>77.52</v>
      </c>
      <c r="I81" s="217">
        <f t="shared" si="308"/>
        <v>4.5600000000000005</v>
      </c>
      <c r="J81" s="541">
        <f t="shared" si="177"/>
        <v>11.122302572804196</v>
      </c>
      <c r="K81" s="443">
        <f t="shared" si="178"/>
        <v>8.5438646631383399</v>
      </c>
      <c r="L81" s="172">
        <f t="shared" si="179"/>
        <v>19.666167235942538</v>
      </c>
      <c r="M81" s="443"/>
      <c r="N81" s="217">
        <f t="shared" si="180"/>
        <v>0.43444482906274134</v>
      </c>
      <c r="O81" s="172">
        <f t="shared" si="272"/>
        <v>152.11936348230026</v>
      </c>
      <c r="P81" s="172">
        <f t="shared" si="181"/>
        <v>8.948197851900014</v>
      </c>
      <c r="Q81" s="217">
        <f t="shared" si="182"/>
        <v>0.89481978519000149</v>
      </c>
      <c r="R81" s="217">
        <f t="shared" si="183"/>
        <v>12.676613623525022</v>
      </c>
      <c r="S81" s="443">
        <f t="shared" si="184"/>
        <v>170</v>
      </c>
      <c r="T81" s="217">
        <f t="shared" si="185"/>
        <v>33.973321224166966</v>
      </c>
      <c r="U81" s="217">
        <f t="shared" si="186"/>
        <v>1.5272611494690476</v>
      </c>
      <c r="V81" s="217">
        <f t="shared" si="187"/>
        <v>1.9881706091823703</v>
      </c>
      <c r="W81" s="197">
        <f t="shared" si="188"/>
        <v>350</v>
      </c>
      <c r="X81" s="443">
        <f t="shared" si="273"/>
        <v>269.14772359134054</v>
      </c>
      <c r="Z81" s="217">
        <f t="shared" si="189"/>
        <v>27.61158194300576</v>
      </c>
      <c r="AA81" s="173">
        <f t="shared" si="190"/>
        <v>1.6158719169635962</v>
      </c>
      <c r="AB81" s="173">
        <f t="shared" si="191"/>
        <v>0.36870811121613989</v>
      </c>
      <c r="AC81" s="173"/>
      <c r="AD81" s="173">
        <f t="shared" si="192"/>
        <v>0.7802870164165101</v>
      </c>
      <c r="AE81" s="545">
        <f t="shared" si="193"/>
        <v>1856.3305011628097</v>
      </c>
      <c r="AF81" s="528">
        <f t="shared" si="194"/>
        <v>8.5976069401448807E-2</v>
      </c>
      <c r="AH81" s="173">
        <f t="shared" si="195"/>
        <v>30.627718538231719</v>
      </c>
      <c r="AI81" s="173">
        <f t="shared" si="196"/>
        <v>33.973321224166966</v>
      </c>
      <c r="AJ81" s="173">
        <f t="shared" si="197"/>
        <v>16.488879919136021</v>
      </c>
      <c r="AL81" s="545">
        <f t="shared" si="198"/>
        <v>455.99999999999994</v>
      </c>
      <c r="AM81" s="460">
        <f t="shared" si="199"/>
        <v>269.14772359134054</v>
      </c>
      <c r="AO81">
        <f t="shared" si="274"/>
        <v>455.99999999999994</v>
      </c>
      <c r="AP81">
        <f t="shared" si="200"/>
        <v>269.14772359134054</v>
      </c>
      <c r="AR81" s="5">
        <f t="shared" si="275"/>
        <v>3.7154317586514178</v>
      </c>
      <c r="AS81" s="5">
        <f t="shared" si="201"/>
        <v>1.5272611494690476</v>
      </c>
      <c r="AT81" s="5">
        <f t="shared" si="276"/>
        <v>2.1881706091823703</v>
      </c>
      <c r="AU81" s="173">
        <f t="shared" si="277"/>
        <v>0.41105886170908823</v>
      </c>
      <c r="AW81" s="5">
        <f t="shared" si="202"/>
        <v>0.40966534362228574</v>
      </c>
      <c r="AX81" s="5">
        <f t="shared" si="203"/>
        <v>4.8363269733186502</v>
      </c>
      <c r="AY81" s="5">
        <f t="shared" si="204"/>
        <v>24.401707759842086</v>
      </c>
      <c r="AZ81" s="5"/>
      <c r="BA81" s="173">
        <f t="shared" si="278"/>
        <v>12.57561942143623</v>
      </c>
      <c r="BB81" s="173">
        <f t="shared" si="205"/>
        <v>0.710820172819143</v>
      </c>
      <c r="BC81" s="173">
        <f t="shared" si="206"/>
        <v>0.56200557434102705</v>
      </c>
      <c r="BD81" s="173"/>
      <c r="BE81" s="528">
        <f t="shared" si="207"/>
        <v>6.3258481533121635</v>
      </c>
      <c r="BF81" s="528">
        <f t="shared" si="208"/>
        <v>4.0460473650149504</v>
      </c>
      <c r="BG81" s="528">
        <f t="shared" si="209"/>
        <v>0.1197416967425744</v>
      </c>
      <c r="BH81" s="528">
        <f t="shared" si="210"/>
        <v>2.081901425596042E-2</v>
      </c>
      <c r="BI81">
        <f t="shared" si="211"/>
        <v>5.0050361577618887E-3</v>
      </c>
      <c r="BJ81" s="460">
        <f t="shared" si="279"/>
        <v>124.7467329003363</v>
      </c>
      <c r="BK81">
        <f t="shared" si="212"/>
        <v>-24.056015544745193</v>
      </c>
      <c r="BL81" s="460">
        <f t="shared" si="280"/>
        <v>-24056.015544745194</v>
      </c>
      <c r="BM81" s="173">
        <f t="shared" si="213"/>
        <v>0.39580799999999988</v>
      </c>
      <c r="BN81" s="173">
        <f t="shared" si="214"/>
        <v>0.32983999999999997</v>
      </c>
      <c r="BO81" s="528"/>
      <c r="BQ81" s="460">
        <f t="shared" si="281"/>
        <v>725.6479999999998</v>
      </c>
      <c r="BR81" s="528">
        <f t="shared" si="215"/>
        <v>4.7443861149841222</v>
      </c>
      <c r="BS81" s="528">
        <f t="shared" si="216"/>
        <v>1.5157959542599089E-2</v>
      </c>
      <c r="BT81" s="528">
        <f t="shared" si="217"/>
        <v>1.5792513279519384E-3</v>
      </c>
      <c r="BU81" s="528">
        <f t="shared" si="218"/>
        <v>399.75305873175336</v>
      </c>
      <c r="BV81" s="528">
        <f t="shared" si="219"/>
        <v>655.22566894473334</v>
      </c>
      <c r="BW81" s="625">
        <f t="shared" si="220"/>
        <v>7.766167096952457</v>
      </c>
      <c r="BX81" s="460">
        <f t="shared" si="282"/>
        <v>662991.83604168578</v>
      </c>
      <c r="BY81" s="173">
        <f t="shared" si="283"/>
        <v>639.66146849694064</v>
      </c>
      <c r="BZ81" s="5">
        <f t="shared" si="284"/>
        <v>82.08</v>
      </c>
      <c r="CA81" s="173">
        <f t="shared" si="285"/>
        <v>0.11372493279475172</v>
      </c>
      <c r="CB81" s="5">
        <f t="shared" si="286"/>
        <v>11.372493279475172</v>
      </c>
      <c r="CC81">
        <f t="shared" si="287"/>
        <v>76</v>
      </c>
      <c r="CE81" s="562">
        <f t="shared" si="221"/>
        <v>-50</v>
      </c>
      <c r="CF81">
        <f t="shared" si="222"/>
        <v>-50</v>
      </c>
      <c r="CG81" s="173">
        <f t="shared" si="223"/>
        <v>0.57883030475717079</v>
      </c>
      <c r="CH81" s="173">
        <f t="shared" si="224"/>
        <v>0.14404267188190506</v>
      </c>
      <c r="CI81" s="170">
        <v>76</v>
      </c>
      <c r="CJ81" s="217">
        <f t="shared" si="309"/>
        <v>0.45599999999999996</v>
      </c>
      <c r="CK81" s="217">
        <f t="shared" si="288"/>
        <v>0.38</v>
      </c>
      <c r="CL81" s="217">
        <f t="shared" si="225"/>
        <v>77.52</v>
      </c>
      <c r="CM81" s="217">
        <f t="shared" si="310"/>
        <v>4.5600000000000005</v>
      </c>
      <c r="CN81" s="541">
        <f t="shared" si="289"/>
        <v>12.5</v>
      </c>
      <c r="CO81" s="443">
        <f t="shared" si="226"/>
        <v>8.5350000000000001</v>
      </c>
      <c r="CP81" s="443">
        <f t="shared" si="227"/>
        <v>21.035</v>
      </c>
      <c r="CQ81" s="443"/>
      <c r="CR81" s="217">
        <f t="shared" si="228"/>
        <v>0.40546967895362668</v>
      </c>
      <c r="CS81" s="172">
        <f t="shared" si="290"/>
        <v>159.55982736601052</v>
      </c>
      <c r="CT81" s="172">
        <f t="shared" si="229"/>
        <v>9.3858721980006177</v>
      </c>
      <c r="CU81" s="217">
        <f t="shared" si="230"/>
        <v>0.93858721980006188</v>
      </c>
      <c r="CV81" s="217">
        <f t="shared" si="231"/>
        <v>13.296652280500878</v>
      </c>
      <c r="CW81" s="443">
        <f t="shared" si="232"/>
        <v>170</v>
      </c>
      <c r="CX81" s="217">
        <f t="shared" si="233"/>
        <v>32.389104985337241</v>
      </c>
      <c r="CY81" s="217">
        <f t="shared" si="234"/>
        <v>1.2955641994134897</v>
      </c>
      <c r="CZ81" s="217">
        <f t="shared" si="235"/>
        <v>1.8974285287250874</v>
      </c>
      <c r="DA81" s="197">
        <f t="shared" si="236"/>
        <v>350</v>
      </c>
      <c r="DB81" s="443">
        <f t="shared" si="291"/>
        <v>313.18580565104236</v>
      </c>
      <c r="DD81" s="217">
        <f t="shared" si="237"/>
        <v>28.98230839756868</v>
      </c>
      <c r="DE81" s="173">
        <f t="shared" si="238"/>
        <v>1.6978505212401103</v>
      </c>
      <c r="DF81" s="173">
        <f t="shared" si="239"/>
        <v>0.40664636548103333</v>
      </c>
      <c r="DG81" s="173"/>
      <c r="DH81" s="173">
        <f t="shared" si="240"/>
        <v>0.78109744190587771</v>
      </c>
      <c r="DI81" s="545">
        <f t="shared" si="241"/>
        <v>1854.4044705882352</v>
      </c>
      <c r="DJ81" s="528">
        <f t="shared" si="242"/>
        <v>8.6065366284073561E-2</v>
      </c>
      <c r="DL81" s="173">
        <f t="shared" si="243"/>
        <v>30.627718538231719</v>
      </c>
      <c r="DM81" s="173">
        <f t="shared" si="244"/>
        <v>32.389104985337241</v>
      </c>
      <c r="DN81" s="173">
        <f t="shared" si="245"/>
        <v>15.315386408891779</v>
      </c>
      <c r="DP81" s="545">
        <f t="shared" si="246"/>
        <v>455.99999999999994</v>
      </c>
      <c r="DQ81" s="460">
        <f t="shared" si="247"/>
        <v>313.18580565104236</v>
      </c>
      <c r="DS81">
        <f t="shared" si="292"/>
        <v>455.99999999999994</v>
      </c>
      <c r="DT81">
        <f t="shared" si="248"/>
        <v>313.18580565104236</v>
      </c>
      <c r="DV81" s="5">
        <f t="shared" si="293"/>
        <v>3.1929927281385773</v>
      </c>
      <c r="DW81" s="5">
        <f t="shared" si="249"/>
        <v>1.2955641994134897</v>
      </c>
      <c r="DX81" s="5">
        <f t="shared" si="294"/>
        <v>1.8974285287250876</v>
      </c>
      <c r="DY81" s="173">
        <f t="shared" si="295"/>
        <v>0.40575231756596147</v>
      </c>
      <c r="EA81" s="5">
        <f t="shared" si="250"/>
        <v>0.34751604407797132</v>
      </c>
      <c r="EB81" s="5">
        <f t="shared" si="251"/>
        <v>4.1026199648093842</v>
      </c>
      <c r="EC81" s="5">
        <f t="shared" si="252"/>
        <v>18.827348421986407</v>
      </c>
      <c r="ED81" s="5"/>
      <c r="EE81" s="173">
        <f t="shared" si="296"/>
        <v>11.911564984678726</v>
      </c>
      <c r="EF81" s="173">
        <f t="shared" si="253"/>
        <v>0.68071996576612026</v>
      </c>
      <c r="EG81" s="173">
        <f t="shared" si="254"/>
        <v>0.53820703175672402</v>
      </c>
      <c r="EH81" s="173"/>
      <c r="EI81" s="528">
        <f t="shared" si="255"/>
        <v>5.6754152153689725</v>
      </c>
      <c r="EJ81" s="528">
        <f t="shared" si="256"/>
        <v>5.8678124999999994</v>
      </c>
      <c r="EK81" s="528">
        <f t="shared" si="257"/>
        <v>6.2637161130208466E-2</v>
      </c>
      <c r="EL81" s="528">
        <f t="shared" si="258"/>
        <v>2.7715141415805725E-2</v>
      </c>
      <c r="EM81">
        <f t="shared" si="259"/>
        <v>5.6249999999999998E-3</v>
      </c>
      <c r="EN81" s="460">
        <f t="shared" si="297"/>
        <v>68.262161130208469</v>
      </c>
      <c r="EO81">
        <f t="shared" si="260"/>
        <v>-37.797342622250504</v>
      </c>
      <c r="EP81" s="460">
        <f t="shared" si="298"/>
        <v>-37797.3426222505</v>
      </c>
      <c r="EQ81" s="173">
        <f t="shared" si="261"/>
        <v>0.39580799999999988</v>
      </c>
      <c r="ER81" s="173">
        <f t="shared" si="262"/>
        <v>0.32983999999999997</v>
      </c>
      <c r="ES81" s="528"/>
      <c r="EU81" s="460">
        <f t="shared" si="299"/>
        <v>725.6479999999998</v>
      </c>
      <c r="EV81" s="528">
        <f t="shared" si="263"/>
        <v>4.2565614115267287</v>
      </c>
      <c r="EW81" s="528">
        <f t="shared" si="300"/>
        <v>1.3901390153778838E-2</v>
      </c>
      <c r="EX81" s="528">
        <f t="shared" si="264"/>
        <v>1.4483340451619166E-3</v>
      </c>
      <c r="EY81" s="528">
        <f t="shared" si="265"/>
        <v>518.17033803905451</v>
      </c>
      <c r="EZ81" s="528">
        <f t="shared" si="266"/>
        <v>795.2446741919108</v>
      </c>
      <c r="FA81" s="625">
        <f t="shared" si="267"/>
        <v>8.2137215073048893</v>
      </c>
      <c r="FB81" s="460">
        <f t="shared" si="301"/>
        <v>803458.3956992157</v>
      </c>
      <c r="FC81" s="173">
        <f t="shared" si="302"/>
        <v>766.38670107696521</v>
      </c>
      <c r="FD81" s="5">
        <f t="shared" si="303"/>
        <v>82.08</v>
      </c>
      <c r="FE81" s="173">
        <f t="shared" si="304"/>
        <v>9.6739211916997137E-2</v>
      </c>
      <c r="FF81" s="5">
        <f t="shared" si="305"/>
        <v>9.6739211916997139</v>
      </c>
      <c r="FG81">
        <f t="shared" si="306"/>
        <v>76</v>
      </c>
      <c r="FI81" s="562">
        <f t="shared" si="268"/>
        <v>-50</v>
      </c>
      <c r="FJ81">
        <f t="shared" si="269"/>
        <v>-50</v>
      </c>
      <c r="FL81">
        <f t="shared" si="270"/>
        <v>0.5788303047571709</v>
      </c>
    </row>
    <row r="82" spans="5:168">
      <c r="E82" s="170">
        <v>77</v>
      </c>
      <c r="F82" s="217">
        <f t="shared" si="307"/>
        <v>0.46199999999999997</v>
      </c>
      <c r="G82" s="217">
        <f t="shared" si="271"/>
        <v>0.38500000000000001</v>
      </c>
      <c r="H82" s="217">
        <f t="shared" si="176"/>
        <v>78.539999999999992</v>
      </c>
      <c r="I82" s="217">
        <f t="shared" si="308"/>
        <v>4.62</v>
      </c>
      <c r="J82" s="541">
        <f t="shared" si="177"/>
        <v>11.104174975077935</v>
      </c>
      <c r="K82" s="443">
        <f t="shared" si="178"/>
        <v>8.5439813034427914</v>
      </c>
      <c r="L82" s="172">
        <f t="shared" si="179"/>
        <v>19.648156278520727</v>
      </c>
      <c r="M82" s="443"/>
      <c r="N82" s="217">
        <f t="shared" si="180"/>
        <v>0.434849009867813</v>
      </c>
      <c r="O82" s="172">
        <f t="shared" si="272"/>
        <v>152.01272478943886</v>
      </c>
      <c r="P82" s="172">
        <f t="shared" si="181"/>
        <v>8.9419249876140494</v>
      </c>
      <c r="Q82" s="217">
        <f t="shared" si="182"/>
        <v>0.89419249876140505</v>
      </c>
      <c r="R82" s="217">
        <f t="shared" si="183"/>
        <v>12.667727065786572</v>
      </c>
      <c r="S82" s="443">
        <f t="shared" si="184"/>
        <v>170</v>
      </c>
      <c r="T82" s="217">
        <f t="shared" si="185"/>
        <v>34.44448487620145</v>
      </c>
      <c r="U82" s="217">
        <f t="shared" si="186"/>
        <v>1.5509700159403197</v>
      </c>
      <c r="V82" s="217">
        <f t="shared" si="187"/>
        <v>2.0157163067715325</v>
      </c>
      <c r="W82" s="197">
        <f t="shared" si="188"/>
        <v>350</v>
      </c>
      <c r="X82" s="443">
        <f t="shared" si="273"/>
        <v>265.48534024995291</v>
      </c>
      <c r="Z82" s="217">
        <f t="shared" si="189"/>
        <v>27.592225676066214</v>
      </c>
      <c r="AA82" s="173">
        <f t="shared" si="190"/>
        <v>1.6147171146633914</v>
      </c>
      <c r="AB82" s="173">
        <f t="shared" si="191"/>
        <v>0.36818632254618433</v>
      </c>
      <c r="AC82" s="173"/>
      <c r="AD82" s="173">
        <f t="shared" si="192"/>
        <v>0.78027636413253132</v>
      </c>
      <c r="AE82" s="545">
        <f t="shared" si="193"/>
        <v>1880.7815784555066</v>
      </c>
      <c r="AF82" s="528">
        <f t="shared" si="194"/>
        <v>8.5974895677565943E-2</v>
      </c>
      <c r="AH82" s="173">
        <f t="shared" si="195"/>
        <v>30.828558188796308</v>
      </c>
      <c r="AI82" s="173">
        <f t="shared" si="196"/>
        <v>34.44448487620145</v>
      </c>
      <c r="AJ82" s="173">
        <f t="shared" si="197"/>
        <v>16.837890031754156</v>
      </c>
      <c r="AL82" s="545">
        <f t="shared" si="198"/>
        <v>461.99999999999994</v>
      </c>
      <c r="AM82" s="460">
        <f t="shared" si="199"/>
        <v>265.48534024995291</v>
      </c>
      <c r="AO82">
        <f t="shared" si="274"/>
        <v>461.99999999999994</v>
      </c>
      <c r="AP82">
        <f t="shared" si="200"/>
        <v>265.48534024995291</v>
      </c>
      <c r="AR82" s="5">
        <f t="shared" si="275"/>
        <v>3.7666863227118519</v>
      </c>
      <c r="AS82" s="5">
        <f t="shared" si="201"/>
        <v>1.5509700159403197</v>
      </c>
      <c r="AT82" s="5">
        <f t="shared" si="276"/>
        <v>2.2157163067715322</v>
      </c>
      <c r="AU82" s="173">
        <f t="shared" si="277"/>
        <v>0.4117598023993907</v>
      </c>
      <c r="AW82" s="5">
        <f t="shared" si="202"/>
        <v>0.42149891021436919</v>
      </c>
      <c r="AX82" s="5">
        <f t="shared" si="203"/>
        <v>4.976028801141859</v>
      </c>
      <c r="AY82" s="5">
        <f t="shared" si="204"/>
        <v>25.074872703199958</v>
      </c>
      <c r="AZ82" s="5"/>
      <c r="BA82" s="173">
        <f t="shared" si="278"/>
        <v>12.760892209773335</v>
      </c>
      <c r="BB82" s="173">
        <f t="shared" si="205"/>
        <v>0.7202492867144884</v>
      </c>
      <c r="BC82" s="173">
        <f t="shared" si="206"/>
        <v>0.56946064493822679</v>
      </c>
      <c r="BD82" s="173"/>
      <c r="BE82" s="528">
        <f t="shared" si="207"/>
        <v>6.5136147995781517</v>
      </c>
      <c r="BF82" s="528">
        <f t="shared" si="208"/>
        <v>4.0426352728792763</v>
      </c>
      <c r="BG82" s="528">
        <f t="shared" si="209"/>
        <v>0.11791982685814312</v>
      </c>
      <c r="BH82" s="528">
        <f t="shared" si="210"/>
        <v>2.0498125517775214E-2</v>
      </c>
      <c r="BI82">
        <f t="shared" si="211"/>
        <v>4.9968787387850711E-3</v>
      </c>
      <c r="BJ82" s="460">
        <f t="shared" si="279"/>
        <v>122.91670559692818</v>
      </c>
      <c r="BK82">
        <f t="shared" si="212"/>
        <v>-22.524906148064698</v>
      </c>
      <c r="BL82" s="460">
        <f t="shared" si="280"/>
        <v>-22524.9061480647</v>
      </c>
      <c r="BM82" s="173">
        <f t="shared" si="213"/>
        <v>0.40101599999999993</v>
      </c>
      <c r="BN82" s="173">
        <f t="shared" si="214"/>
        <v>0.33417999999999998</v>
      </c>
      <c r="BO82" s="528"/>
      <c r="BQ82" s="460">
        <f t="shared" si="281"/>
        <v>735.19599999999991</v>
      </c>
      <c r="BR82" s="528">
        <f t="shared" si="215"/>
        <v>4.8852110996836133</v>
      </c>
      <c r="BS82" s="528">
        <f t="shared" si="216"/>
        <v>1.5562771050381881E-2</v>
      </c>
      <c r="BT82" s="528">
        <f t="shared" si="217"/>
        <v>1.6214271306673059E-3</v>
      </c>
      <c r="BU82" s="528">
        <f t="shared" si="218"/>
        <v>399.82560407195831</v>
      </c>
      <c r="BV82" s="528">
        <f t="shared" si="219"/>
        <v>667.8166839333411</v>
      </c>
      <c r="BW82" s="625">
        <f t="shared" si="220"/>
        <v>7.874444782096278</v>
      </c>
      <c r="BX82" s="460">
        <f t="shared" si="282"/>
        <v>675691.12871543737</v>
      </c>
      <c r="BY82" s="173">
        <f t="shared" si="283"/>
        <v>653.90141856737262</v>
      </c>
      <c r="BZ82" s="5">
        <f t="shared" si="284"/>
        <v>83.16</v>
      </c>
      <c r="CA82" s="173">
        <f t="shared" si="285"/>
        <v>0.11282641840301208</v>
      </c>
      <c r="CB82" s="5">
        <f t="shared" si="286"/>
        <v>11.282641840301208</v>
      </c>
      <c r="CC82">
        <f t="shared" si="287"/>
        <v>77</v>
      </c>
      <c r="CE82" s="562">
        <f t="shared" si="221"/>
        <v>-50</v>
      </c>
      <c r="CF82">
        <f t="shared" si="222"/>
        <v>-50</v>
      </c>
      <c r="CG82" s="173">
        <f t="shared" si="223"/>
        <v>0.5788303047571709</v>
      </c>
      <c r="CH82" s="173">
        <f t="shared" si="224"/>
        <v>0.14404267188190506</v>
      </c>
      <c r="CI82" s="170">
        <v>77</v>
      </c>
      <c r="CJ82" s="217">
        <f t="shared" si="309"/>
        <v>0.46199999999999997</v>
      </c>
      <c r="CK82" s="217">
        <f t="shared" si="288"/>
        <v>0.38500000000000001</v>
      </c>
      <c r="CL82" s="217">
        <f t="shared" si="225"/>
        <v>78.539999999999992</v>
      </c>
      <c r="CM82" s="217">
        <f t="shared" si="310"/>
        <v>4.62</v>
      </c>
      <c r="CN82" s="541">
        <f t="shared" si="289"/>
        <v>12.5</v>
      </c>
      <c r="CO82" s="443">
        <f t="shared" si="226"/>
        <v>8.5350000000000001</v>
      </c>
      <c r="CP82" s="443">
        <f t="shared" si="227"/>
        <v>21.035</v>
      </c>
      <c r="CQ82" s="443"/>
      <c r="CR82" s="217">
        <f t="shared" si="228"/>
        <v>0.40546967895362668</v>
      </c>
      <c r="CS82" s="172">
        <f t="shared" si="290"/>
        <v>159.55982736601052</v>
      </c>
      <c r="CT82" s="172">
        <f t="shared" si="229"/>
        <v>9.3858721980006177</v>
      </c>
      <c r="CU82" s="217">
        <f t="shared" si="230"/>
        <v>0.93858721980006188</v>
      </c>
      <c r="CV82" s="217">
        <f t="shared" si="231"/>
        <v>13.296652280500878</v>
      </c>
      <c r="CW82" s="443">
        <f t="shared" si="232"/>
        <v>170</v>
      </c>
      <c r="CX82" s="217">
        <f t="shared" si="233"/>
        <v>32.815277419354835</v>
      </c>
      <c r="CY82" s="217">
        <f t="shared" si="234"/>
        <v>1.3126110967741933</v>
      </c>
      <c r="CZ82" s="217">
        <f t="shared" si="235"/>
        <v>1.9223946935767331</v>
      </c>
      <c r="DA82" s="197">
        <f t="shared" si="236"/>
        <v>350</v>
      </c>
      <c r="DB82" s="443">
        <f t="shared" si="291"/>
        <v>309.11845752570423</v>
      </c>
      <c r="DD82" s="217">
        <f t="shared" si="237"/>
        <v>28.98230839756868</v>
      </c>
      <c r="DE82" s="173">
        <f t="shared" si="238"/>
        <v>1.6978505212401103</v>
      </c>
      <c r="DF82" s="173">
        <f t="shared" si="239"/>
        <v>0.40664636548103333</v>
      </c>
      <c r="DG82" s="173"/>
      <c r="DH82" s="173">
        <f t="shared" si="240"/>
        <v>0.78109744190587771</v>
      </c>
      <c r="DI82" s="545">
        <f t="shared" si="241"/>
        <v>1878.8045294117649</v>
      </c>
      <c r="DJ82" s="528">
        <f t="shared" si="242"/>
        <v>8.6065366284073561E-2</v>
      </c>
      <c r="DL82" s="173">
        <f t="shared" si="243"/>
        <v>30.828558188796308</v>
      </c>
      <c r="DM82" s="173">
        <f t="shared" si="244"/>
        <v>32.815277419354835</v>
      </c>
      <c r="DN82" s="173">
        <f t="shared" si="245"/>
        <v>15.631069693349257</v>
      </c>
      <c r="DP82" s="545">
        <f t="shared" si="246"/>
        <v>461.99999999999994</v>
      </c>
      <c r="DQ82" s="460">
        <f t="shared" si="247"/>
        <v>309.11845752570423</v>
      </c>
      <c r="DS82">
        <f t="shared" si="292"/>
        <v>461.99999999999994</v>
      </c>
      <c r="DT82">
        <f t="shared" si="248"/>
        <v>309.11845752570423</v>
      </c>
      <c r="DV82" s="5">
        <f t="shared" si="293"/>
        <v>3.2350057903509262</v>
      </c>
      <c r="DW82" s="5">
        <f t="shared" si="249"/>
        <v>1.3126110967741933</v>
      </c>
      <c r="DX82" s="5">
        <f t="shared" si="294"/>
        <v>1.9223946935767329</v>
      </c>
      <c r="DY82" s="173">
        <f t="shared" si="295"/>
        <v>0.40575231756596153</v>
      </c>
      <c r="EA82" s="5">
        <f t="shared" si="250"/>
        <v>0.35672136865275128</v>
      </c>
      <c r="EB82" s="5">
        <f t="shared" si="251"/>
        <v>4.2112939354838703</v>
      </c>
      <c r="EC82" s="5">
        <f t="shared" si="252"/>
        <v>19.326064541890123</v>
      </c>
      <c r="ED82" s="5"/>
      <c r="EE82" s="173">
        <f t="shared" si="296"/>
        <v>12.068296102898183</v>
      </c>
      <c r="EF82" s="173">
        <f t="shared" si="253"/>
        <v>0.68967680742093751</v>
      </c>
      <c r="EG82" s="173">
        <f t="shared" si="254"/>
        <v>0.54528870322720713</v>
      </c>
      <c r="EH82" s="173"/>
      <c r="EI82" s="528">
        <f t="shared" si="255"/>
        <v>5.8257508330890984</v>
      </c>
      <c r="EJ82" s="528">
        <f t="shared" si="256"/>
        <v>5.8678125000000012</v>
      </c>
      <c r="EK82" s="528">
        <f t="shared" si="257"/>
        <v>6.1823691505140846E-2</v>
      </c>
      <c r="EL82" s="528">
        <f t="shared" si="258"/>
        <v>2.7355204514301762E-2</v>
      </c>
      <c r="EM82">
        <f t="shared" si="259"/>
        <v>5.6249999999999998E-3</v>
      </c>
      <c r="EN82" s="460">
        <f t="shared" si="297"/>
        <v>67.448691505140857</v>
      </c>
      <c r="EO82">
        <f t="shared" si="260"/>
        <v>-34.777136046415109</v>
      </c>
      <c r="EP82" s="460">
        <f t="shared" si="298"/>
        <v>-34777.136046415108</v>
      </c>
      <c r="EQ82" s="173">
        <f t="shared" si="261"/>
        <v>0.40101599999999993</v>
      </c>
      <c r="ER82" s="173">
        <f t="shared" si="262"/>
        <v>0.33417999999999998</v>
      </c>
      <c r="ES82" s="528"/>
      <c r="EU82" s="460">
        <f t="shared" si="299"/>
        <v>735.19599999999991</v>
      </c>
      <c r="EV82" s="528">
        <f t="shared" si="263"/>
        <v>4.3693131248168235</v>
      </c>
      <c r="EW82" s="528">
        <f t="shared" si="300"/>
        <v>1.4269622960830107E-2</v>
      </c>
      <c r="EX82" s="528">
        <f t="shared" si="264"/>
        <v>1.4866988493360458E-3</v>
      </c>
      <c r="EY82" s="528">
        <f t="shared" si="265"/>
        <v>518.17033803905451</v>
      </c>
      <c r="EZ82" s="528">
        <f t="shared" si="266"/>
        <v>806.55006951235066</v>
      </c>
      <c r="FA82" s="625">
        <f t="shared" si="267"/>
        <v>8.3217967902957444</v>
      </c>
      <c r="FB82" s="460">
        <f t="shared" si="301"/>
        <v>814871.86630264635</v>
      </c>
      <c r="FC82" s="173">
        <f t="shared" si="302"/>
        <v>780.82992625623126</v>
      </c>
      <c r="FD82" s="5">
        <f t="shared" si="303"/>
        <v>83.16</v>
      </c>
      <c r="FE82" s="173">
        <f t="shared" si="304"/>
        <v>9.6251122232804201E-2</v>
      </c>
      <c r="FF82" s="5">
        <f t="shared" si="305"/>
        <v>9.6251122232804196</v>
      </c>
      <c r="FG82">
        <f t="shared" si="306"/>
        <v>77</v>
      </c>
      <c r="FI82" s="562">
        <f t="shared" si="268"/>
        <v>-50</v>
      </c>
      <c r="FJ82">
        <f t="shared" si="269"/>
        <v>-50</v>
      </c>
      <c r="FL82">
        <f t="shared" si="270"/>
        <v>0.5788303047571709</v>
      </c>
    </row>
    <row r="83" spans="5:168">
      <c r="E83" s="170">
        <v>78</v>
      </c>
      <c r="F83" s="217">
        <f t="shared" si="307"/>
        <v>0.46799999999999997</v>
      </c>
      <c r="G83" s="217">
        <f t="shared" si="271"/>
        <v>0.39</v>
      </c>
      <c r="H83" s="217">
        <f t="shared" si="176"/>
        <v>79.56</v>
      </c>
      <c r="I83" s="217">
        <f t="shared" si="308"/>
        <v>4.68</v>
      </c>
      <c r="J83" s="541">
        <f t="shared" si="177"/>
        <v>11.086047377351676</v>
      </c>
      <c r="K83" s="443">
        <f t="shared" si="178"/>
        <v>8.5440979437472429</v>
      </c>
      <c r="L83" s="172">
        <f t="shared" si="179"/>
        <v>19.630145321098919</v>
      </c>
      <c r="M83" s="443"/>
      <c r="N83" s="217">
        <f t="shared" si="180"/>
        <v>0.43525393235697829</v>
      </c>
      <c r="O83" s="172">
        <f t="shared" si="272"/>
        <v>151.90588362943964</v>
      </c>
      <c r="P83" s="172">
        <f t="shared" si="181"/>
        <v>8.9356402134964501</v>
      </c>
      <c r="Q83" s="217">
        <f t="shared" si="182"/>
        <v>0.89356402134964497</v>
      </c>
      <c r="R83" s="217">
        <f t="shared" si="183"/>
        <v>12.658823635786637</v>
      </c>
      <c r="S83" s="443">
        <f t="shared" si="184"/>
        <v>170</v>
      </c>
      <c r="T83" s="217">
        <f t="shared" si="185"/>
        <v>34.916356583913618</v>
      </c>
      <c r="U83" s="217">
        <f t="shared" si="186"/>
        <v>1.5747883531170115</v>
      </c>
      <c r="V83" s="217">
        <f t="shared" si="187"/>
        <v>2.0433026876445259</v>
      </c>
      <c r="W83" s="197">
        <f t="shared" si="188"/>
        <v>350</v>
      </c>
      <c r="X83" s="443">
        <f t="shared" si="273"/>
        <v>261.91098884864334</v>
      </c>
      <c r="Z83" s="217">
        <f t="shared" si="189"/>
        <v>27.57283265878905</v>
      </c>
      <c r="AA83" s="173">
        <f t="shared" si="190"/>
        <v>1.6135601932657766</v>
      </c>
      <c r="AB83" s="173">
        <f t="shared" si="191"/>
        <v>0.36766393042099088</v>
      </c>
      <c r="AC83" s="173"/>
      <c r="AD83" s="173">
        <f t="shared" si="192"/>
        <v>0.78026571213939311</v>
      </c>
      <c r="AE83" s="545">
        <f t="shared" si="193"/>
        <v>1905.2333226562967</v>
      </c>
      <c r="AF83" s="528">
        <f t="shared" si="194"/>
        <v>8.5973721985729432E-2</v>
      </c>
      <c r="AH83" s="173">
        <f t="shared" si="195"/>
        <v>31.02809786536805</v>
      </c>
      <c r="AI83" s="173">
        <f t="shared" si="196"/>
        <v>34.916356583913618</v>
      </c>
      <c r="AJ83" s="173">
        <f t="shared" si="197"/>
        <v>17.187424630059468</v>
      </c>
      <c r="AL83" s="545">
        <f t="shared" si="198"/>
        <v>468</v>
      </c>
      <c r="AM83" s="460">
        <f t="shared" si="199"/>
        <v>261.91098884864334</v>
      </c>
      <c r="AO83">
        <f t="shared" si="274"/>
        <v>468</v>
      </c>
      <c r="AP83">
        <f t="shared" si="200"/>
        <v>261.91098884864334</v>
      </c>
      <c r="AR83" s="5">
        <f t="shared" si="275"/>
        <v>3.8180910407615372</v>
      </c>
      <c r="AS83" s="5">
        <f t="shared" si="201"/>
        <v>1.5747883531170115</v>
      </c>
      <c r="AT83" s="5">
        <f t="shared" si="276"/>
        <v>2.2433026876445257</v>
      </c>
      <c r="AU83" s="173">
        <f t="shared" si="277"/>
        <v>0.41245437479220298</v>
      </c>
      <c r="AW83" s="5">
        <f t="shared" si="202"/>
        <v>0.43352997015221256</v>
      </c>
      <c r="AX83" s="5">
        <f t="shared" si="203"/>
        <v>5.1180621476302877</v>
      </c>
      <c r="AY83" s="5">
        <f t="shared" si="204"/>
        <v>25.758816393820542</v>
      </c>
      <c r="AZ83" s="5"/>
      <c r="BA83" s="173">
        <f t="shared" si="278"/>
        <v>12.946615493895333</v>
      </c>
      <c r="BB83" s="173">
        <f t="shared" si="205"/>
        <v>0.72968515652068955</v>
      </c>
      <c r="BC83" s="173">
        <f t="shared" si="206"/>
        <v>0.5769210570545702</v>
      </c>
      <c r="BD83" s="173"/>
      <c r="BE83" s="528">
        <f t="shared" si="207"/>
        <v>6.7045941098708282</v>
      </c>
      <c r="BF83" s="528">
        <f t="shared" si="208"/>
        <v>4.0391378299870357</v>
      </c>
      <c r="BG83" s="528">
        <f t="shared" si="209"/>
        <v>0.11614230524100347</v>
      </c>
      <c r="BH83" s="528">
        <f t="shared" si="210"/>
        <v>2.0185092561365602E-2</v>
      </c>
      <c r="BI83">
        <f t="shared" si="211"/>
        <v>4.9887213198082543E-3</v>
      </c>
      <c r="BJ83" s="460">
        <f t="shared" si="279"/>
        <v>121.13102656081172</v>
      </c>
      <c r="BK83">
        <f t="shared" si="212"/>
        <v>-21.203899349567216</v>
      </c>
      <c r="BL83" s="460">
        <f t="shared" si="280"/>
        <v>-21203.899349567215</v>
      </c>
      <c r="BM83" s="173">
        <f t="shared" si="213"/>
        <v>0.40622399999999992</v>
      </c>
      <c r="BN83" s="173">
        <f t="shared" si="214"/>
        <v>0.33851999999999993</v>
      </c>
      <c r="BO83" s="528"/>
      <c r="BQ83" s="460">
        <f t="shared" si="281"/>
        <v>744.7439999999998</v>
      </c>
      <c r="BR83" s="528">
        <f t="shared" si="215"/>
        <v>5.0284455824031209</v>
      </c>
      <c r="BS83" s="528">
        <f t="shared" si="216"/>
        <v>1.5973212829398696E-2</v>
      </c>
      <c r="BT83" s="528">
        <f t="shared" si="217"/>
        <v>1.6641895303648132E-3</v>
      </c>
      <c r="BU83" s="528">
        <f t="shared" si="218"/>
        <v>399.8771656751826</v>
      </c>
      <c r="BV83" s="528">
        <f t="shared" si="219"/>
        <v>681.07531205753742</v>
      </c>
      <c r="BW83" s="625">
        <f t="shared" si="220"/>
        <v>7.9827323659878084</v>
      </c>
      <c r="BX83" s="460">
        <f t="shared" si="282"/>
        <v>689058.04442352522</v>
      </c>
      <c r="BY83" s="173">
        <f t="shared" si="283"/>
        <v>668.59888907395793</v>
      </c>
      <c r="BZ83" s="5">
        <f t="shared" si="284"/>
        <v>84.240000000000009</v>
      </c>
      <c r="CA83" s="173">
        <f t="shared" si="285"/>
        <v>0.11189645118309553</v>
      </c>
      <c r="CB83" s="5">
        <f t="shared" si="286"/>
        <v>11.189645118309553</v>
      </c>
      <c r="CC83">
        <f t="shared" si="287"/>
        <v>78</v>
      </c>
      <c r="CE83" s="562">
        <f t="shared" si="221"/>
        <v>-50</v>
      </c>
      <c r="CF83">
        <f t="shared" si="222"/>
        <v>-50</v>
      </c>
      <c r="CG83" s="173">
        <f t="shared" si="223"/>
        <v>0.5788303047571709</v>
      </c>
      <c r="CH83" s="173">
        <f t="shared" si="224"/>
        <v>0.14404267188190506</v>
      </c>
      <c r="CI83" s="170">
        <v>78</v>
      </c>
      <c r="CJ83" s="217">
        <f t="shared" si="309"/>
        <v>0.46799999999999997</v>
      </c>
      <c r="CK83" s="217">
        <f t="shared" si="288"/>
        <v>0.39</v>
      </c>
      <c r="CL83" s="217">
        <f t="shared" si="225"/>
        <v>79.56</v>
      </c>
      <c r="CM83" s="217">
        <f t="shared" si="310"/>
        <v>4.68</v>
      </c>
      <c r="CN83" s="541">
        <f t="shared" si="289"/>
        <v>12.5</v>
      </c>
      <c r="CO83" s="443">
        <f t="shared" si="226"/>
        <v>8.5350000000000001</v>
      </c>
      <c r="CP83" s="443">
        <f t="shared" si="227"/>
        <v>21.035</v>
      </c>
      <c r="CQ83" s="443"/>
      <c r="CR83" s="217">
        <f t="shared" si="228"/>
        <v>0.40546967895362668</v>
      </c>
      <c r="CS83" s="172">
        <f t="shared" si="290"/>
        <v>159.55982736601052</v>
      </c>
      <c r="CT83" s="172">
        <f t="shared" si="229"/>
        <v>9.3858721980006177</v>
      </c>
      <c r="CU83" s="217">
        <f t="shared" si="230"/>
        <v>0.93858721980006188</v>
      </c>
      <c r="CV83" s="217">
        <f t="shared" si="231"/>
        <v>13.296652280500878</v>
      </c>
      <c r="CW83" s="443">
        <f t="shared" si="232"/>
        <v>170</v>
      </c>
      <c r="CX83" s="217">
        <f t="shared" si="233"/>
        <v>33.24144985337243</v>
      </c>
      <c r="CY83" s="217">
        <f t="shared" si="234"/>
        <v>1.3296579941348972</v>
      </c>
      <c r="CZ83" s="217">
        <f t="shared" si="235"/>
        <v>1.9473608584283792</v>
      </c>
      <c r="DA83" s="197">
        <f t="shared" si="236"/>
        <v>350</v>
      </c>
      <c r="DB83" s="443">
        <f t="shared" si="291"/>
        <v>305.15540037793875</v>
      </c>
      <c r="DD83" s="217">
        <f t="shared" si="237"/>
        <v>28.98230839756868</v>
      </c>
      <c r="DE83" s="173">
        <f t="shared" si="238"/>
        <v>1.6978505212401103</v>
      </c>
      <c r="DF83" s="173">
        <f t="shared" si="239"/>
        <v>0.40664636548103333</v>
      </c>
      <c r="DG83" s="173"/>
      <c r="DH83" s="173">
        <f t="shared" si="240"/>
        <v>0.78109744190587771</v>
      </c>
      <c r="DI83" s="545">
        <f t="shared" si="241"/>
        <v>1903.2045882352941</v>
      </c>
      <c r="DJ83" s="528">
        <f t="shared" si="242"/>
        <v>8.6065366284073561E-2</v>
      </c>
      <c r="DL83" s="173">
        <f t="shared" si="243"/>
        <v>31.02809786536805</v>
      </c>
      <c r="DM83" s="173">
        <f t="shared" si="244"/>
        <v>33.24144985337243</v>
      </c>
      <c r="DN83" s="173">
        <f t="shared" si="245"/>
        <v>15.946752977806735</v>
      </c>
      <c r="DP83" s="545">
        <f t="shared" si="246"/>
        <v>468</v>
      </c>
      <c r="DQ83" s="460">
        <f t="shared" si="247"/>
        <v>305.15540037793875</v>
      </c>
      <c r="DS83">
        <f t="shared" si="292"/>
        <v>468</v>
      </c>
      <c r="DT83">
        <f t="shared" si="248"/>
        <v>305.15540037793875</v>
      </c>
      <c r="DV83" s="5">
        <f t="shared" si="293"/>
        <v>3.277018852563276</v>
      </c>
      <c r="DW83" s="5">
        <f t="shared" si="249"/>
        <v>1.3296579941348972</v>
      </c>
      <c r="DX83" s="5">
        <f t="shared" si="294"/>
        <v>1.9473608584283788</v>
      </c>
      <c r="DY83" s="173">
        <f t="shared" si="295"/>
        <v>0.40575231756596153</v>
      </c>
      <c r="EA83" s="5">
        <f t="shared" si="250"/>
        <v>0.36604702426772462</v>
      </c>
      <c r="EB83" s="5">
        <f t="shared" si="251"/>
        <v>4.321388480938416</v>
      </c>
      <c r="EC83" s="5">
        <f t="shared" si="252"/>
        <v>19.83129982675991</v>
      </c>
      <c r="ED83" s="5"/>
      <c r="EE83" s="173">
        <f t="shared" si="296"/>
        <v>12.225027221117639</v>
      </c>
      <c r="EF83" s="173">
        <f t="shared" si="253"/>
        <v>0.69863364907575487</v>
      </c>
      <c r="EG83" s="173">
        <f t="shared" si="254"/>
        <v>0.55237037469769046</v>
      </c>
      <c r="EH83" s="173"/>
      <c r="EI83" s="528">
        <f t="shared" si="255"/>
        <v>5.9780516222826909</v>
      </c>
      <c r="EJ83" s="528">
        <f t="shared" si="256"/>
        <v>5.8678124999999994</v>
      </c>
      <c r="EK83" s="528">
        <f t="shared" si="257"/>
        <v>6.1031080075587746E-2</v>
      </c>
      <c r="EL83" s="528">
        <f t="shared" si="258"/>
        <v>2.7004496764118403E-2</v>
      </c>
      <c r="EM83">
        <f t="shared" si="259"/>
        <v>5.6249999999999998E-3</v>
      </c>
      <c r="EN83" s="460">
        <f t="shared" si="297"/>
        <v>66.656080075587752</v>
      </c>
      <c r="EO83">
        <f t="shared" si="260"/>
        <v>-32.24091375008652</v>
      </c>
      <c r="EP83" s="460">
        <f t="shared" si="298"/>
        <v>-32240.913750086518</v>
      </c>
      <c r="EQ83" s="173">
        <f t="shared" si="261"/>
        <v>0.40622399999999992</v>
      </c>
      <c r="ER83" s="173">
        <f t="shared" si="262"/>
        <v>0.33851999999999993</v>
      </c>
      <c r="ES83" s="528"/>
      <c r="EU83" s="460">
        <f t="shared" si="299"/>
        <v>744.7439999999998</v>
      </c>
      <c r="EV83" s="528">
        <f t="shared" si="263"/>
        <v>4.483538716712018</v>
      </c>
      <c r="EW83" s="528">
        <f t="shared" si="300"/>
        <v>1.4642669268627151E-2</v>
      </c>
      <c r="EX83" s="528">
        <f t="shared" si="264"/>
        <v>1.5255651542183349E-3</v>
      </c>
      <c r="EY83" s="528">
        <f t="shared" si="265"/>
        <v>518.17033803905451</v>
      </c>
      <c r="EZ83" s="528">
        <f t="shared" si="266"/>
        <v>818.32935909259777</v>
      </c>
      <c r="FA83" s="625">
        <f t="shared" si="267"/>
        <v>8.4298720732865977</v>
      </c>
      <c r="FB83" s="460">
        <f t="shared" si="301"/>
        <v>826759.2311658843</v>
      </c>
      <c r="FC83" s="173">
        <f t="shared" si="302"/>
        <v>795.26306141579778</v>
      </c>
      <c r="FD83" s="5">
        <f t="shared" si="303"/>
        <v>84.240000000000009</v>
      </c>
      <c r="FE83" s="173">
        <f t="shared" si="304"/>
        <v>9.5781360742955193E-2</v>
      </c>
      <c r="FF83" s="5">
        <f t="shared" si="305"/>
        <v>9.5781360742955197</v>
      </c>
      <c r="FG83">
        <f t="shared" si="306"/>
        <v>78</v>
      </c>
      <c r="FI83" s="562">
        <f t="shared" si="268"/>
        <v>-50</v>
      </c>
      <c r="FJ83">
        <f t="shared" si="269"/>
        <v>-50</v>
      </c>
      <c r="FL83">
        <f t="shared" si="270"/>
        <v>0.5788303047571709</v>
      </c>
    </row>
    <row r="84" spans="5:168">
      <c r="E84" s="170">
        <v>79</v>
      </c>
      <c r="F84" s="217">
        <f t="shared" si="307"/>
        <v>0.47399999999999998</v>
      </c>
      <c r="G84" s="217">
        <f t="shared" si="271"/>
        <v>0.39500000000000002</v>
      </c>
      <c r="H84" s="217">
        <f t="shared" si="176"/>
        <v>80.58</v>
      </c>
      <c r="I84" s="217">
        <f t="shared" si="308"/>
        <v>4.74</v>
      </c>
      <c r="J84" s="541">
        <f t="shared" si="177"/>
        <v>11.067919779625415</v>
      </c>
      <c r="K84" s="443">
        <f t="shared" si="178"/>
        <v>8.5442145840516943</v>
      </c>
      <c r="L84" s="172">
        <f t="shared" si="179"/>
        <v>19.612134363677107</v>
      </c>
      <c r="M84" s="443"/>
      <c r="N84" s="217">
        <f t="shared" si="180"/>
        <v>0.43565959857363162</v>
      </c>
      <c r="O84" s="172">
        <f t="shared" si="272"/>
        <v>151.7988394444908</v>
      </c>
      <c r="P84" s="172">
        <f t="shared" si="181"/>
        <v>8.9293434967347505</v>
      </c>
      <c r="Q84" s="217">
        <f t="shared" si="182"/>
        <v>0.89293434967347529</v>
      </c>
      <c r="R84" s="217">
        <f t="shared" si="183"/>
        <v>12.6499032870409</v>
      </c>
      <c r="S84" s="443">
        <f t="shared" si="184"/>
        <v>170</v>
      </c>
      <c r="T84" s="217">
        <f t="shared" si="185"/>
        <v>35.388939860534393</v>
      </c>
      <c r="U84" s="217">
        <f t="shared" si="186"/>
        <v>1.5987168576014066</v>
      </c>
      <c r="V84" s="217">
        <f t="shared" si="187"/>
        <v>2.0709299557264189</v>
      </c>
      <c r="W84" s="197">
        <f t="shared" si="188"/>
        <v>350</v>
      </c>
      <c r="X84" s="443">
        <f t="shared" si="273"/>
        <v>258.42151706347022</v>
      </c>
      <c r="Z84" s="217">
        <f t="shared" si="189"/>
        <v>27.553402789924373</v>
      </c>
      <c r="AA84" s="173">
        <f t="shared" si="190"/>
        <v>1.6124011469324813</v>
      </c>
      <c r="AB84" s="173">
        <f t="shared" si="191"/>
        <v>0.36714093423497468</v>
      </c>
      <c r="AC84" s="173"/>
      <c r="AD84" s="173">
        <f t="shared" si="192"/>
        <v>0.7802550604370837</v>
      </c>
      <c r="AE84" s="545">
        <f t="shared" si="193"/>
        <v>1929.6857337651802</v>
      </c>
      <c r="AF84" s="528">
        <f t="shared" si="194"/>
        <v>8.5972548325937939E-2</v>
      </c>
      <c r="AH84" s="173">
        <f t="shared" si="195"/>
        <v>31.226362488860502</v>
      </c>
      <c r="AI84" s="173">
        <f t="shared" si="196"/>
        <v>35.388939860534393</v>
      </c>
      <c r="AJ84" s="173">
        <f t="shared" si="197"/>
        <v>17.537486316445225</v>
      </c>
      <c r="AL84" s="545">
        <f t="shared" si="198"/>
        <v>474</v>
      </c>
      <c r="AM84" s="460">
        <f t="shared" si="199"/>
        <v>258.42151706347022</v>
      </c>
      <c r="AO84">
        <f t="shared" si="274"/>
        <v>474</v>
      </c>
      <c r="AP84">
        <f t="shared" si="200"/>
        <v>258.42151706347022</v>
      </c>
      <c r="AR84" s="5">
        <f t="shared" si="275"/>
        <v>3.8696468133278259</v>
      </c>
      <c r="AS84" s="5">
        <f t="shared" si="201"/>
        <v>1.5987168576014066</v>
      </c>
      <c r="AT84" s="5">
        <f t="shared" si="276"/>
        <v>2.2709299557264195</v>
      </c>
      <c r="AU84" s="173">
        <f t="shared" si="277"/>
        <v>0.41314283569629939</v>
      </c>
      <c r="AW84" s="5">
        <f t="shared" si="202"/>
        <v>0.4457598767665098</v>
      </c>
      <c r="AX84" s="5">
        <f t="shared" si="203"/>
        <v>5.2624429896046303</v>
      </c>
      <c r="AY84" s="5">
        <f t="shared" si="204"/>
        <v>26.453612165754684</v>
      </c>
      <c r="AZ84" s="5"/>
      <c r="BA84" s="173">
        <f t="shared" si="278"/>
        <v>13.132791170310057</v>
      </c>
      <c r="BB84" s="173">
        <f t="shared" si="205"/>
        <v>0.73912782412446021</v>
      </c>
      <c r="BC84" s="173">
        <f t="shared" si="206"/>
        <v>0.58438684380752826</v>
      </c>
      <c r="BD84" s="173"/>
      <c r="BE84" s="528">
        <f t="shared" si="207"/>
        <v>6.8988081569189514</v>
      </c>
      <c r="BF84" s="528">
        <f t="shared" si="208"/>
        <v>4.0355580839328251</v>
      </c>
      <c r="BG84" s="528">
        <f t="shared" si="209"/>
        <v>0.11440754480750355</v>
      </c>
      <c r="BH84" s="528">
        <f t="shared" si="210"/>
        <v>1.9879634129614257E-2</v>
      </c>
      <c r="BI84">
        <f t="shared" si="211"/>
        <v>4.9805639008314367E-3</v>
      </c>
      <c r="BJ84" s="460">
        <f t="shared" si="279"/>
        <v>119.38810870833498</v>
      </c>
      <c r="BK84">
        <f t="shared" si="212"/>
        <v>-20.052862951179875</v>
      </c>
      <c r="BL84" s="460">
        <f t="shared" si="280"/>
        <v>-20052.862951179875</v>
      </c>
      <c r="BM84" s="173">
        <f t="shared" si="213"/>
        <v>0.41143199999999996</v>
      </c>
      <c r="BN84" s="173">
        <f t="shared" si="214"/>
        <v>0.34285999999999994</v>
      </c>
      <c r="BO84" s="528"/>
      <c r="BQ84" s="460">
        <f t="shared" si="281"/>
        <v>754.29199999999992</v>
      </c>
      <c r="BR84" s="528">
        <f t="shared" si="215"/>
        <v>5.1741061176892131</v>
      </c>
      <c r="BS84" s="528">
        <f t="shared" si="216"/>
        <v>1.6389298211848768E-2</v>
      </c>
      <c r="BT84" s="528">
        <f t="shared" si="217"/>
        <v>1.7075399160766222E-3</v>
      </c>
      <c r="BU84" s="528">
        <f t="shared" si="218"/>
        <v>399.90843584625645</v>
      </c>
      <c r="BV84" s="528">
        <f t="shared" si="219"/>
        <v>695.05687735767287</v>
      </c>
      <c r="BW84" s="625">
        <f t="shared" si="220"/>
        <v>8.0910295232828915</v>
      </c>
      <c r="BX84" s="460">
        <f t="shared" si="282"/>
        <v>703147.90688095579</v>
      </c>
      <c r="BY84" s="173">
        <f t="shared" si="283"/>
        <v>683.84933592977598</v>
      </c>
      <c r="BZ84" s="5">
        <f t="shared" si="284"/>
        <v>85.32</v>
      </c>
      <c r="CA84" s="173">
        <f t="shared" si="285"/>
        <v>0.1109248588243117</v>
      </c>
      <c r="CB84" s="5">
        <f t="shared" si="286"/>
        <v>11.09248588243117</v>
      </c>
      <c r="CC84">
        <f t="shared" si="287"/>
        <v>79</v>
      </c>
      <c r="CE84" s="562">
        <f t="shared" si="221"/>
        <v>-50</v>
      </c>
      <c r="CF84">
        <f t="shared" si="222"/>
        <v>-50</v>
      </c>
      <c r="CG84" s="173">
        <f t="shared" si="223"/>
        <v>0.5788303047571709</v>
      </c>
      <c r="CH84" s="173">
        <f t="shared" si="224"/>
        <v>0.14404267188190512</v>
      </c>
      <c r="CI84" s="170">
        <v>79</v>
      </c>
      <c r="CJ84" s="217">
        <f t="shared" si="309"/>
        <v>0.47399999999999998</v>
      </c>
      <c r="CK84" s="217">
        <f t="shared" si="288"/>
        <v>0.39500000000000002</v>
      </c>
      <c r="CL84" s="217">
        <f t="shared" si="225"/>
        <v>80.58</v>
      </c>
      <c r="CM84" s="217">
        <f t="shared" si="310"/>
        <v>4.74</v>
      </c>
      <c r="CN84" s="541">
        <f t="shared" si="289"/>
        <v>12.5</v>
      </c>
      <c r="CO84" s="443">
        <f t="shared" si="226"/>
        <v>8.5350000000000001</v>
      </c>
      <c r="CP84" s="443">
        <f t="shared" si="227"/>
        <v>21.035</v>
      </c>
      <c r="CQ84" s="443"/>
      <c r="CR84" s="217">
        <f t="shared" si="228"/>
        <v>0.40546967895362668</v>
      </c>
      <c r="CS84" s="172">
        <f t="shared" si="290"/>
        <v>159.55982736601052</v>
      </c>
      <c r="CT84" s="172">
        <f t="shared" si="229"/>
        <v>9.3858721980006177</v>
      </c>
      <c r="CU84" s="217">
        <f t="shared" si="230"/>
        <v>0.93858721980006188</v>
      </c>
      <c r="CV84" s="217">
        <f t="shared" si="231"/>
        <v>13.296652280500878</v>
      </c>
      <c r="CW84" s="443">
        <f t="shared" si="232"/>
        <v>170</v>
      </c>
      <c r="CX84" s="217">
        <f t="shared" si="233"/>
        <v>33.667622287390024</v>
      </c>
      <c r="CY84" s="217">
        <f t="shared" si="234"/>
        <v>1.3467048914956008</v>
      </c>
      <c r="CZ84" s="217">
        <f t="shared" si="235"/>
        <v>1.9723270232800245</v>
      </c>
      <c r="DA84" s="197">
        <f t="shared" si="236"/>
        <v>350</v>
      </c>
      <c r="DB84" s="443">
        <f t="shared" si="291"/>
        <v>301.29267379087634</v>
      </c>
      <c r="DD84" s="217">
        <f t="shared" si="237"/>
        <v>28.98230839756868</v>
      </c>
      <c r="DE84" s="173">
        <f t="shared" si="238"/>
        <v>1.6978505212401103</v>
      </c>
      <c r="DF84" s="173">
        <f t="shared" si="239"/>
        <v>0.40664636548103333</v>
      </c>
      <c r="DG84" s="173"/>
      <c r="DH84" s="173">
        <f t="shared" si="240"/>
        <v>0.78109744190587771</v>
      </c>
      <c r="DI84" s="545">
        <f t="shared" si="241"/>
        <v>1927.6046470588235</v>
      </c>
      <c r="DJ84" s="528">
        <f t="shared" si="242"/>
        <v>8.6065366284073561E-2</v>
      </c>
      <c r="DL84" s="173">
        <f t="shared" si="243"/>
        <v>31.226362488860502</v>
      </c>
      <c r="DM84" s="173">
        <f t="shared" si="244"/>
        <v>33.667622287390024</v>
      </c>
      <c r="DN84" s="173">
        <f t="shared" si="245"/>
        <v>16.262436262264213</v>
      </c>
      <c r="DP84" s="545">
        <f t="shared" si="246"/>
        <v>474</v>
      </c>
      <c r="DQ84" s="460">
        <f t="shared" si="247"/>
        <v>301.29267379087634</v>
      </c>
      <c r="DS84">
        <f t="shared" si="292"/>
        <v>474</v>
      </c>
      <c r="DT84">
        <f t="shared" si="248"/>
        <v>301.29267379087634</v>
      </c>
      <c r="DV84" s="5">
        <f t="shared" si="293"/>
        <v>3.3190319147756249</v>
      </c>
      <c r="DW84" s="5">
        <f t="shared" si="249"/>
        <v>1.3467048914956008</v>
      </c>
      <c r="DX84" s="5">
        <f t="shared" si="294"/>
        <v>1.9723270232800241</v>
      </c>
      <c r="DY84" s="173">
        <f t="shared" si="295"/>
        <v>0.40575231756596158</v>
      </c>
      <c r="EA84" s="5">
        <f t="shared" si="250"/>
        <v>0.375493010922891</v>
      </c>
      <c r="EB84" s="5">
        <f t="shared" si="251"/>
        <v>4.4329036011730194</v>
      </c>
      <c r="EC84" s="5">
        <f t="shared" si="252"/>
        <v>20.343054276595755</v>
      </c>
      <c r="ED84" s="5"/>
      <c r="EE84" s="173">
        <f t="shared" si="296"/>
        <v>12.381758339337095</v>
      </c>
      <c r="EF84" s="173">
        <f t="shared" si="253"/>
        <v>0.70759049073057212</v>
      </c>
      <c r="EG84" s="173">
        <f t="shared" si="254"/>
        <v>0.55945204616817357</v>
      </c>
      <c r="EH84" s="173"/>
      <c r="EI84" s="528">
        <f t="shared" si="255"/>
        <v>6.1323175829497476</v>
      </c>
      <c r="EJ84" s="528">
        <f t="shared" si="256"/>
        <v>5.8678125000000021</v>
      </c>
      <c r="EK84" s="528">
        <f t="shared" si="257"/>
        <v>6.0258534758175268E-2</v>
      </c>
      <c r="EL84" s="528">
        <f t="shared" si="258"/>
        <v>2.6662667691154888E-2</v>
      </c>
      <c r="EM84">
        <f t="shared" si="259"/>
        <v>5.6249999999999998E-3</v>
      </c>
      <c r="EN84" s="460">
        <f t="shared" si="297"/>
        <v>65.883534758175273</v>
      </c>
      <c r="EO84">
        <f t="shared" si="260"/>
        <v>-30.081486108235161</v>
      </c>
      <c r="EP84" s="460">
        <f t="shared" si="298"/>
        <v>-30081.48610823516</v>
      </c>
      <c r="EQ84" s="173">
        <f t="shared" si="261"/>
        <v>0.41143199999999996</v>
      </c>
      <c r="ER84" s="173">
        <f t="shared" si="262"/>
        <v>0.34285999999999994</v>
      </c>
      <c r="ES84" s="528"/>
      <c r="EU84" s="460">
        <f t="shared" si="299"/>
        <v>754.29199999999992</v>
      </c>
      <c r="EV84" s="528">
        <f t="shared" si="263"/>
        <v>4.5992381872123103</v>
      </c>
      <c r="EW84" s="528">
        <f t="shared" si="300"/>
        <v>1.5020529077169956E-2</v>
      </c>
      <c r="EX84" s="528">
        <f t="shared" si="264"/>
        <v>1.5649329598087811E-3</v>
      </c>
      <c r="EY84" s="528">
        <f t="shared" si="265"/>
        <v>518.17033803905451</v>
      </c>
      <c r="EZ84" s="528">
        <f t="shared" si="266"/>
        <v>830.60984441678522</v>
      </c>
      <c r="FA84" s="625">
        <f t="shared" si="267"/>
        <v>8.5379473562774528</v>
      </c>
      <c r="FB84" s="460">
        <f t="shared" si="301"/>
        <v>839147.79177306267</v>
      </c>
      <c r="FC84" s="173">
        <f t="shared" si="302"/>
        <v>809.82059766482746</v>
      </c>
      <c r="FD84" s="5">
        <f t="shared" si="303"/>
        <v>85.32</v>
      </c>
      <c r="FE84" s="173">
        <f t="shared" si="304"/>
        <v>9.5314635737197159E-2</v>
      </c>
      <c r="FF84" s="5">
        <f t="shared" si="305"/>
        <v>9.5314635737197158</v>
      </c>
      <c r="FG84">
        <f t="shared" si="306"/>
        <v>79</v>
      </c>
      <c r="FI84" s="562">
        <f t="shared" si="268"/>
        <v>-50</v>
      </c>
      <c r="FJ84">
        <f t="shared" si="269"/>
        <v>-50</v>
      </c>
      <c r="FL84">
        <f t="shared" si="270"/>
        <v>0.57883030475717101</v>
      </c>
    </row>
    <row r="85" spans="5:168">
      <c r="E85" s="170">
        <v>80</v>
      </c>
      <c r="F85" s="217">
        <f t="shared" si="307"/>
        <v>0.48</v>
      </c>
      <c r="G85" s="217">
        <f t="shared" si="271"/>
        <v>0.4</v>
      </c>
      <c r="H85" s="217">
        <f t="shared" si="176"/>
        <v>81.599999999999994</v>
      </c>
      <c r="I85" s="217">
        <f t="shared" si="308"/>
        <v>4.8000000000000007</v>
      </c>
      <c r="J85" s="541">
        <f t="shared" si="177"/>
        <v>11.049792181899154</v>
      </c>
      <c r="K85" s="443">
        <f t="shared" si="178"/>
        <v>8.5443312243561476</v>
      </c>
      <c r="L85" s="172">
        <f t="shared" si="179"/>
        <v>19.594123406255299</v>
      </c>
      <c r="M85" s="443"/>
      <c r="N85" s="217">
        <f t="shared" si="180"/>
        <v>0.43606601056868022</v>
      </c>
      <c r="O85" s="172">
        <f t="shared" si="272"/>
        <v>151.69159167472938</v>
      </c>
      <c r="P85" s="172">
        <f t="shared" si="181"/>
        <v>8.9230348043958454</v>
      </c>
      <c r="Q85" s="217">
        <f t="shared" si="182"/>
        <v>0.89230348043958463</v>
      </c>
      <c r="R85" s="217">
        <f t="shared" si="183"/>
        <v>12.640965972894115</v>
      </c>
      <c r="S85" s="443">
        <f t="shared" si="184"/>
        <v>170</v>
      </c>
      <c r="T85" s="217">
        <f t="shared" si="185"/>
        <v>35.862238242347225</v>
      </c>
      <c r="U85" s="217">
        <f t="shared" si="186"/>
        <v>1.6227562316101176</v>
      </c>
      <c r="V85" s="217">
        <f t="shared" si="187"/>
        <v>2.0985983162801367</v>
      </c>
      <c r="W85" s="197">
        <f t="shared" si="188"/>
        <v>350</v>
      </c>
      <c r="X85" s="443">
        <f t="shared" si="273"/>
        <v>255.01392128340305</v>
      </c>
      <c r="Z85" s="217">
        <f t="shared" si="189"/>
        <v>27.533935967850034</v>
      </c>
      <c r="AA85" s="173">
        <f t="shared" si="190"/>
        <v>1.6112399698037709</v>
      </c>
      <c r="AB85" s="173">
        <f t="shared" si="191"/>
        <v>0.36661733338421532</v>
      </c>
      <c r="AC85" s="173"/>
      <c r="AD85" s="173">
        <f t="shared" si="192"/>
        <v>0.780244409025591</v>
      </c>
      <c r="AE85" s="545">
        <f t="shared" si="193"/>
        <v>1954.1388117821589</v>
      </c>
      <c r="AF85" s="528">
        <f t="shared" si="194"/>
        <v>8.5971374698190134E-2</v>
      </c>
      <c r="AH85" s="173">
        <f t="shared" si="195"/>
        <v>31.423376193982904</v>
      </c>
      <c r="AI85" s="173">
        <f t="shared" si="196"/>
        <v>35.862238242347225</v>
      </c>
      <c r="AJ85" s="173">
        <f t="shared" si="197"/>
        <v>17.888077710380657</v>
      </c>
      <c r="AL85" s="545">
        <f t="shared" si="198"/>
        <v>480</v>
      </c>
      <c r="AM85" s="460">
        <f t="shared" si="199"/>
        <v>255.01392128340305</v>
      </c>
      <c r="AO85">
        <f t="shared" si="274"/>
        <v>480</v>
      </c>
      <c r="AP85">
        <f t="shared" si="200"/>
        <v>255.01392128340305</v>
      </c>
      <c r="AR85" s="5">
        <f t="shared" si="275"/>
        <v>3.9213545478902549</v>
      </c>
      <c r="AS85" s="5">
        <f t="shared" si="201"/>
        <v>1.6227562316101176</v>
      </c>
      <c r="AT85" s="5">
        <f t="shared" si="276"/>
        <v>2.2985983162801373</v>
      </c>
      <c r="AU85" s="173">
        <f t="shared" si="277"/>
        <v>0.41382542990997429</v>
      </c>
      <c r="AW85" s="5">
        <f t="shared" si="202"/>
        <v>0.45818999480756262</v>
      </c>
      <c r="AX85" s="5">
        <f t="shared" si="203"/>
        <v>5.4091874387003918</v>
      </c>
      <c r="AY85" s="5">
        <f t="shared" si="204"/>
        <v>27.159333970564767</v>
      </c>
      <c r="AZ85" s="5"/>
      <c r="BA85" s="173">
        <f t="shared" si="278"/>
        <v>13.319421157706504</v>
      </c>
      <c r="BB85" s="173">
        <f t="shared" si="205"/>
        <v>0.74857733112217961</v>
      </c>
      <c r="BC85" s="173">
        <f t="shared" si="206"/>
        <v>0.59185803808502113</v>
      </c>
      <c r="BD85" s="173"/>
      <c r="BE85" s="528">
        <f t="shared" si="207"/>
        <v>7.0962791990543872</v>
      </c>
      <c r="BF85" s="528">
        <f t="shared" si="208"/>
        <v>4.0318989385365755</v>
      </c>
      <c r="BG85" s="528">
        <f t="shared" si="209"/>
        <v>0.11271403334691173</v>
      </c>
      <c r="BH85" s="528">
        <f t="shared" si="210"/>
        <v>1.9581482233791966E-2</v>
      </c>
      <c r="BI85">
        <f t="shared" si="211"/>
        <v>4.9724064818546191E-3</v>
      </c>
      <c r="BJ85" s="460">
        <f t="shared" si="279"/>
        <v>117.68643982876635</v>
      </c>
      <c r="BK85">
        <f t="shared" si="212"/>
        <v>-19.041266842054576</v>
      </c>
      <c r="BL85" s="460">
        <f t="shared" si="280"/>
        <v>-19041.266842054574</v>
      </c>
      <c r="BM85" s="173">
        <f t="shared" si="213"/>
        <v>0.41663999999999995</v>
      </c>
      <c r="BN85" s="173">
        <f t="shared" si="214"/>
        <v>0.34719999999999995</v>
      </c>
      <c r="BO85" s="528"/>
      <c r="BQ85" s="460">
        <f t="shared" si="281"/>
        <v>763.8399999999998</v>
      </c>
      <c r="BR85" s="528">
        <f t="shared" si="215"/>
        <v>5.3222093992907897</v>
      </c>
      <c r="BS85" s="528">
        <f t="shared" si="216"/>
        <v>1.6811040620100162E-2</v>
      </c>
      <c r="BT85" s="528">
        <f t="shared" si="217"/>
        <v>1.7514796862292518E-3</v>
      </c>
      <c r="BU85" s="528">
        <f t="shared" si="218"/>
        <v>399.92007582902295</v>
      </c>
      <c r="BV85" s="528">
        <f t="shared" si="219"/>
        <v>709.8227428355051</v>
      </c>
      <c r="BW85" s="625">
        <f t="shared" si="220"/>
        <v>8.1993359440222786</v>
      </c>
      <c r="BX85" s="460">
        <f t="shared" si="282"/>
        <v>718022.07877952745</v>
      </c>
      <c r="BY85" s="173">
        <f t="shared" si="283"/>
        <v>699.7446519374729</v>
      </c>
      <c r="BZ85" s="5">
        <f t="shared" si="284"/>
        <v>86.399999999999991</v>
      </c>
      <c r="CA85" s="173">
        <f t="shared" si="285"/>
        <v>0.10990343798315623</v>
      </c>
      <c r="CB85" s="5">
        <f t="shared" si="286"/>
        <v>10.990343798315623</v>
      </c>
      <c r="CC85">
        <f t="shared" si="287"/>
        <v>80</v>
      </c>
      <c r="CE85" s="562">
        <f t="shared" si="221"/>
        <v>-50</v>
      </c>
      <c r="CF85">
        <f t="shared" si="222"/>
        <v>-50</v>
      </c>
      <c r="CG85" s="173">
        <f t="shared" si="223"/>
        <v>0.57883030475717079</v>
      </c>
      <c r="CH85" s="173">
        <f t="shared" si="224"/>
        <v>0.14404267188190506</v>
      </c>
      <c r="CI85" s="170">
        <v>80</v>
      </c>
      <c r="CJ85" s="217">
        <f t="shared" si="309"/>
        <v>0.48</v>
      </c>
      <c r="CK85" s="217">
        <f t="shared" si="288"/>
        <v>0.4</v>
      </c>
      <c r="CL85" s="217">
        <f t="shared" si="225"/>
        <v>81.599999999999994</v>
      </c>
      <c r="CM85" s="217">
        <f t="shared" si="310"/>
        <v>4.8000000000000007</v>
      </c>
      <c r="CN85" s="541">
        <f t="shared" si="289"/>
        <v>12.5</v>
      </c>
      <c r="CO85" s="443">
        <f t="shared" si="226"/>
        <v>8.5350000000000001</v>
      </c>
      <c r="CP85" s="443">
        <f t="shared" si="227"/>
        <v>21.035</v>
      </c>
      <c r="CQ85" s="443"/>
      <c r="CR85" s="217">
        <f t="shared" si="228"/>
        <v>0.40546967895362668</v>
      </c>
      <c r="CS85" s="172">
        <f t="shared" si="290"/>
        <v>159.55982736601052</v>
      </c>
      <c r="CT85" s="172">
        <f t="shared" si="229"/>
        <v>9.3858721980006177</v>
      </c>
      <c r="CU85" s="217">
        <f t="shared" si="230"/>
        <v>0.93858721980006188</v>
      </c>
      <c r="CV85" s="217">
        <f t="shared" si="231"/>
        <v>13.296652280500878</v>
      </c>
      <c r="CW85" s="443">
        <f t="shared" si="232"/>
        <v>170</v>
      </c>
      <c r="CX85" s="217">
        <f t="shared" si="233"/>
        <v>34.093794721407619</v>
      </c>
      <c r="CY85" s="217">
        <f t="shared" si="234"/>
        <v>1.3637517888563049</v>
      </c>
      <c r="CZ85" s="217">
        <f t="shared" si="235"/>
        <v>1.9972931881316707</v>
      </c>
      <c r="DA85" s="197">
        <f t="shared" si="236"/>
        <v>350</v>
      </c>
      <c r="DB85" s="443">
        <f t="shared" si="291"/>
        <v>297.52651536849027</v>
      </c>
      <c r="DD85" s="217">
        <f t="shared" si="237"/>
        <v>28.98230839756868</v>
      </c>
      <c r="DE85" s="173">
        <f t="shared" si="238"/>
        <v>1.6978505212401103</v>
      </c>
      <c r="DF85" s="173">
        <f t="shared" si="239"/>
        <v>0.40664636548103333</v>
      </c>
      <c r="DG85" s="173"/>
      <c r="DH85" s="173">
        <f t="shared" si="240"/>
        <v>0.78109744190587771</v>
      </c>
      <c r="DI85" s="545">
        <f t="shared" si="241"/>
        <v>1952.0047058823527</v>
      </c>
      <c r="DJ85" s="528">
        <f t="shared" si="242"/>
        <v>8.6065366284073561E-2</v>
      </c>
      <c r="DL85" s="173">
        <f t="shared" si="243"/>
        <v>31.423376193982904</v>
      </c>
      <c r="DM85" s="173">
        <f t="shared" si="244"/>
        <v>34.093794721407619</v>
      </c>
      <c r="DN85" s="173">
        <f t="shared" si="245"/>
        <v>16.578119546721691</v>
      </c>
      <c r="DP85" s="545">
        <f t="shared" si="246"/>
        <v>480</v>
      </c>
      <c r="DQ85" s="460">
        <f t="shared" si="247"/>
        <v>297.52651536849027</v>
      </c>
      <c r="DS85">
        <f t="shared" si="292"/>
        <v>480</v>
      </c>
      <c r="DT85">
        <f t="shared" si="248"/>
        <v>297.52651536849027</v>
      </c>
      <c r="DV85" s="5">
        <f t="shared" si="293"/>
        <v>3.361044976987976</v>
      </c>
      <c r="DW85" s="5">
        <f t="shared" si="249"/>
        <v>1.3637517888563049</v>
      </c>
      <c r="DX85" s="5">
        <f t="shared" si="294"/>
        <v>1.9972931881316711</v>
      </c>
      <c r="DY85" s="173">
        <f t="shared" si="295"/>
        <v>0.40575231756596147</v>
      </c>
      <c r="EA85" s="5">
        <f t="shared" si="250"/>
        <v>0.38505932861825082</v>
      </c>
      <c r="EB85" s="5">
        <f t="shared" si="251"/>
        <v>4.5458392961876832</v>
      </c>
      <c r="EC85" s="5">
        <f t="shared" si="252"/>
        <v>20.861327891397679</v>
      </c>
      <c r="ED85" s="5"/>
      <c r="EE85" s="173">
        <f t="shared" si="296"/>
        <v>12.538489457556553</v>
      </c>
      <c r="EF85" s="173">
        <f t="shared" si="253"/>
        <v>0.7165473323853897</v>
      </c>
      <c r="EG85" s="173">
        <f t="shared" si="254"/>
        <v>0.56653371763865679</v>
      </c>
      <c r="EH85" s="173"/>
      <c r="EI85" s="528">
        <f t="shared" si="255"/>
        <v>6.2885487150902728</v>
      </c>
      <c r="EJ85" s="528">
        <f t="shared" si="256"/>
        <v>5.8678124999999994</v>
      </c>
      <c r="EK85" s="528">
        <f t="shared" si="257"/>
        <v>5.950530307369805E-2</v>
      </c>
      <c r="EL85" s="528">
        <f t="shared" si="258"/>
        <v>2.6329384345015444E-2</v>
      </c>
      <c r="EM85">
        <f t="shared" si="259"/>
        <v>5.6249999999999998E-3</v>
      </c>
      <c r="EN85" s="460">
        <f t="shared" si="297"/>
        <v>65.130303073698045</v>
      </c>
      <c r="EO85">
        <f t="shared" si="260"/>
        <v>-28.221127461401345</v>
      </c>
      <c r="EP85" s="460">
        <f t="shared" si="298"/>
        <v>-28221.127461401345</v>
      </c>
      <c r="EQ85" s="173">
        <f t="shared" si="261"/>
        <v>0.41663999999999995</v>
      </c>
      <c r="ER85" s="173">
        <f t="shared" si="262"/>
        <v>0.34719999999999995</v>
      </c>
      <c r="ES85" s="528"/>
      <c r="EU85" s="460">
        <f t="shared" si="299"/>
        <v>763.8399999999998</v>
      </c>
      <c r="EV85" s="528">
        <f t="shared" si="263"/>
        <v>4.7164115363177039</v>
      </c>
      <c r="EW85" s="528">
        <f t="shared" si="300"/>
        <v>1.5403202386458544E-2</v>
      </c>
      <c r="EX85" s="528">
        <f t="shared" si="264"/>
        <v>1.6048022661073866E-3</v>
      </c>
      <c r="EY85" s="528">
        <f t="shared" si="265"/>
        <v>518.17033803905451</v>
      </c>
      <c r="EZ85" s="528">
        <f t="shared" si="266"/>
        <v>843.42102202229262</v>
      </c>
      <c r="FA85" s="625">
        <f t="shared" si="267"/>
        <v>8.6460226392683044</v>
      </c>
      <c r="FB85" s="460">
        <f t="shared" si="301"/>
        <v>852067.04466156091</v>
      </c>
      <c r="FC85" s="173">
        <f t="shared" si="302"/>
        <v>824.60975720015949</v>
      </c>
      <c r="FD85" s="5">
        <f t="shared" si="303"/>
        <v>86.399999999999991</v>
      </c>
      <c r="FE85" s="173">
        <f t="shared" si="304"/>
        <v>9.4839818473005558E-2</v>
      </c>
      <c r="FF85" s="5">
        <f t="shared" si="305"/>
        <v>9.483981847300555</v>
      </c>
      <c r="FG85">
        <f t="shared" si="306"/>
        <v>80</v>
      </c>
      <c r="FI85" s="562">
        <f t="shared" si="268"/>
        <v>-50</v>
      </c>
      <c r="FJ85">
        <f t="shared" si="269"/>
        <v>-50</v>
      </c>
      <c r="FL85">
        <f t="shared" si="270"/>
        <v>0.5788303047571709</v>
      </c>
    </row>
    <row r="86" spans="5:168">
      <c r="E86" s="170">
        <v>81</v>
      </c>
      <c r="F86" s="217">
        <f t="shared" si="307"/>
        <v>0.48599999999999999</v>
      </c>
      <c r="G86" s="217">
        <f t="shared" si="271"/>
        <v>0.40500000000000003</v>
      </c>
      <c r="H86" s="217">
        <f t="shared" si="176"/>
        <v>82.62</v>
      </c>
      <c r="I86" s="217">
        <f t="shared" si="308"/>
        <v>4.8600000000000003</v>
      </c>
      <c r="J86" s="541">
        <f t="shared" si="177"/>
        <v>11.031664584172894</v>
      </c>
      <c r="K86" s="443">
        <f t="shared" si="178"/>
        <v>8.5444478646605972</v>
      </c>
      <c r="L86" s="172">
        <f t="shared" si="179"/>
        <v>19.576112448833491</v>
      </c>
      <c r="M86" s="443"/>
      <c r="N86" s="217">
        <f t="shared" si="180"/>
        <v>0.43647317040057904</v>
      </c>
      <c r="O86" s="172">
        <f t="shared" si="272"/>
        <v>151.58413975823223</v>
      </c>
      <c r="P86" s="172">
        <f t="shared" si="181"/>
        <v>8.9167141034254236</v>
      </c>
      <c r="Q86" s="217">
        <f t="shared" si="182"/>
        <v>0.89167141034254249</v>
      </c>
      <c r="R86" s="217">
        <f t="shared" si="183"/>
        <v>12.632011646519352</v>
      </c>
      <c r="S86" s="443">
        <f t="shared" si="184"/>
        <v>170</v>
      </c>
      <c r="T86" s="217">
        <f t="shared" si="185"/>
        <v>36.336255288877432</v>
      </c>
      <c r="U86" s="217">
        <f t="shared" si="186"/>
        <v>1.646907183028796</v>
      </c>
      <c r="V86" s="217">
        <f t="shared" si="187"/>
        <v>2.1263079759174577</v>
      </c>
      <c r="W86" s="197">
        <f t="shared" si="188"/>
        <v>350</v>
      </c>
      <c r="X86" s="443">
        <f t="shared" si="273"/>
        <v>251.68533794309101</v>
      </c>
      <c r="Z86" s="217">
        <f t="shared" si="189"/>
        <v>27.51443209056988</v>
      </c>
      <c r="AA86" s="173">
        <f t="shared" si="190"/>
        <v>1.6100766559983457</v>
      </c>
      <c r="AB86" s="173">
        <f t="shared" si="191"/>
        <v>0.36609312726648063</v>
      </c>
      <c r="AC86" s="173"/>
      <c r="AD86" s="173">
        <f t="shared" si="192"/>
        <v>0.78023375790490357</v>
      </c>
      <c r="AE86" s="545">
        <f t="shared" si="193"/>
        <v>1978.5925567072297</v>
      </c>
      <c r="AF86" s="528">
        <f t="shared" si="194"/>
        <v>8.5970201102484739E-2</v>
      </c>
      <c r="AH86" s="173">
        <f t="shared" si="195"/>
        <v>31.619162363532478</v>
      </c>
      <c r="AI86" s="173">
        <f t="shared" si="196"/>
        <v>36.336255288877432</v>
      </c>
      <c r="AJ86" s="173">
        <f t="shared" si="197"/>
        <v>18.239201448551182</v>
      </c>
      <c r="AL86" s="545">
        <f t="shared" si="198"/>
        <v>486</v>
      </c>
      <c r="AM86" s="460">
        <f t="shared" si="199"/>
        <v>251.68533794309101</v>
      </c>
      <c r="AO86">
        <f t="shared" si="274"/>
        <v>486</v>
      </c>
      <c r="AP86">
        <f t="shared" si="200"/>
        <v>251.68533794309101</v>
      </c>
      <c r="AR86" s="5">
        <f t="shared" si="275"/>
        <v>3.9732151589462541</v>
      </c>
      <c r="AS86" s="5">
        <f t="shared" si="201"/>
        <v>1.646907183028796</v>
      </c>
      <c r="AT86" s="5">
        <f t="shared" si="276"/>
        <v>2.3263079759174579</v>
      </c>
      <c r="AU86" s="173">
        <f t="shared" si="277"/>
        <v>0.41450239092150654</v>
      </c>
      <c r="AW86" s="5">
        <f t="shared" si="202"/>
        <v>0.47082170055999695</v>
      </c>
      <c r="AX86" s="5">
        <f t="shared" si="203"/>
        <v>5.5583117427221866</v>
      </c>
      <c r="AY86" s="5">
        <f t="shared" si="204"/>
        <v>27.876056383519664</v>
      </c>
      <c r="AZ86" s="5"/>
      <c r="BA86" s="173">
        <f t="shared" si="278"/>
        <v>13.506507396550072</v>
      </c>
      <c r="BB86" s="173">
        <f t="shared" si="205"/>
        <v>0.75803371884888315</v>
      </c>
      <c r="BC86" s="173">
        <f t="shared" si="206"/>
        <v>0.59933467256833883</v>
      </c>
      <c r="BD86" s="173"/>
      <c r="BE86" s="528">
        <f t="shared" si="207"/>
        <v>7.2970296821224725</v>
      </c>
      <c r="BF86" s="528">
        <f t="shared" si="208"/>
        <v>4.0281631622229659</v>
      </c>
      <c r="BG86" s="528">
        <f t="shared" si="209"/>
        <v>0.11106032915769534</v>
      </c>
      <c r="BH86" s="528">
        <f t="shared" si="210"/>
        <v>1.9290381380252738E-2</v>
      </c>
      <c r="BI86">
        <f t="shared" si="211"/>
        <v>4.9642490628778024E-3</v>
      </c>
      <c r="BJ86" s="460">
        <f t="shared" si="279"/>
        <v>116.02457822057315</v>
      </c>
      <c r="BK86">
        <f t="shared" si="212"/>
        <v>-18.145473481847741</v>
      </c>
      <c r="BL86" s="460">
        <f t="shared" si="280"/>
        <v>-18145.473481847741</v>
      </c>
      <c r="BM86" s="173">
        <f t="shared" si="213"/>
        <v>0.42184799999999995</v>
      </c>
      <c r="BN86" s="173">
        <f t="shared" si="214"/>
        <v>0.35153999999999996</v>
      </c>
      <c r="BO86" s="528"/>
      <c r="BQ86" s="460">
        <f t="shared" si="281"/>
        <v>773.38799999999992</v>
      </c>
      <c r="BR86" s="528">
        <f t="shared" si="215"/>
        <v>5.4727722615918539</v>
      </c>
      <c r="BS86" s="528">
        <f t="shared" si="216"/>
        <v>1.7238453567356031E-2</v>
      </c>
      <c r="BT86" s="528">
        <f t="shared" si="217"/>
        <v>1.7960102487129895E-3</v>
      </c>
      <c r="BU86" s="528">
        <f t="shared" si="218"/>
        <v>399.91271752720553</v>
      </c>
      <c r="BV86" s="528">
        <f t="shared" si="219"/>
        <v>725.44117636792998</v>
      </c>
      <c r="BW86" s="625">
        <f t="shared" si="220"/>
        <v>8.3076513327347676</v>
      </c>
      <c r="BX86" s="460">
        <f t="shared" si="282"/>
        <v>733748.82770066475</v>
      </c>
      <c r="BY86" s="173">
        <f t="shared" si="283"/>
        <v>716.37674221881696</v>
      </c>
      <c r="BZ86" s="5">
        <f t="shared" si="284"/>
        <v>87.48</v>
      </c>
      <c r="CA86" s="173">
        <f t="shared" si="285"/>
        <v>0.10882536079567666</v>
      </c>
      <c r="CB86" s="5">
        <f t="shared" si="286"/>
        <v>10.882536079567666</v>
      </c>
      <c r="CC86">
        <f t="shared" si="287"/>
        <v>81</v>
      </c>
      <c r="CE86" s="562">
        <f t="shared" si="221"/>
        <v>-50</v>
      </c>
      <c r="CF86">
        <f t="shared" si="222"/>
        <v>-50</v>
      </c>
      <c r="CG86" s="173">
        <f t="shared" si="223"/>
        <v>0.5788303047571709</v>
      </c>
      <c r="CH86" s="173">
        <f t="shared" si="224"/>
        <v>0.14404267188190509</v>
      </c>
      <c r="CI86" s="170">
        <v>81</v>
      </c>
      <c r="CJ86" s="217">
        <f t="shared" si="309"/>
        <v>0.48599999999999999</v>
      </c>
      <c r="CK86" s="217">
        <f t="shared" si="288"/>
        <v>0.40500000000000003</v>
      </c>
      <c r="CL86" s="217">
        <f t="shared" si="225"/>
        <v>82.62</v>
      </c>
      <c r="CM86" s="217">
        <f t="shared" si="310"/>
        <v>4.8600000000000003</v>
      </c>
      <c r="CN86" s="541">
        <f t="shared" si="289"/>
        <v>12.5</v>
      </c>
      <c r="CO86" s="443">
        <f t="shared" si="226"/>
        <v>8.5350000000000001</v>
      </c>
      <c r="CP86" s="443">
        <f t="shared" si="227"/>
        <v>21.035</v>
      </c>
      <c r="CQ86" s="443"/>
      <c r="CR86" s="217">
        <f t="shared" si="228"/>
        <v>0.40546967895362668</v>
      </c>
      <c r="CS86" s="172">
        <f t="shared" si="290"/>
        <v>159.55982736601052</v>
      </c>
      <c r="CT86" s="172">
        <f t="shared" si="229"/>
        <v>9.3858721980006177</v>
      </c>
      <c r="CU86" s="217">
        <f t="shared" si="230"/>
        <v>0.93858721980006188</v>
      </c>
      <c r="CV86" s="217">
        <f t="shared" si="231"/>
        <v>13.296652280500878</v>
      </c>
      <c r="CW86" s="443">
        <f t="shared" si="232"/>
        <v>170</v>
      </c>
      <c r="CX86" s="217">
        <f t="shared" si="233"/>
        <v>34.519967155425213</v>
      </c>
      <c r="CY86" s="217">
        <f t="shared" si="234"/>
        <v>1.3807986862170085</v>
      </c>
      <c r="CZ86" s="217">
        <f t="shared" si="235"/>
        <v>2.0222593529833164</v>
      </c>
      <c r="DA86" s="197">
        <f t="shared" si="236"/>
        <v>350</v>
      </c>
      <c r="DB86" s="443">
        <f t="shared" si="291"/>
        <v>293.85334851208921</v>
      </c>
      <c r="DD86" s="217">
        <f t="shared" si="237"/>
        <v>28.98230839756868</v>
      </c>
      <c r="DE86" s="173">
        <f t="shared" si="238"/>
        <v>1.6978505212401103</v>
      </c>
      <c r="DF86" s="173">
        <f t="shared" si="239"/>
        <v>0.40664636548103333</v>
      </c>
      <c r="DG86" s="173"/>
      <c r="DH86" s="173">
        <f t="shared" si="240"/>
        <v>0.78109744190587771</v>
      </c>
      <c r="DI86" s="545">
        <f t="shared" si="241"/>
        <v>1976.4047647058824</v>
      </c>
      <c r="DJ86" s="528">
        <f t="shared" si="242"/>
        <v>8.6065366284073561E-2</v>
      </c>
      <c r="DL86" s="173">
        <f t="shared" si="243"/>
        <v>31.619162363532478</v>
      </c>
      <c r="DM86" s="173">
        <f t="shared" si="244"/>
        <v>34.519967155425213</v>
      </c>
      <c r="DN86" s="173">
        <f t="shared" si="245"/>
        <v>16.893802831179169</v>
      </c>
      <c r="DP86" s="545">
        <f t="shared" si="246"/>
        <v>486</v>
      </c>
      <c r="DQ86" s="460">
        <f t="shared" si="247"/>
        <v>293.85334851208921</v>
      </c>
      <c r="DS86">
        <f t="shared" si="292"/>
        <v>486</v>
      </c>
      <c r="DT86">
        <f t="shared" si="248"/>
        <v>293.85334851208921</v>
      </c>
      <c r="DV86" s="5">
        <f t="shared" si="293"/>
        <v>3.4030580392003249</v>
      </c>
      <c r="DW86" s="5">
        <f t="shared" si="249"/>
        <v>1.3807986862170085</v>
      </c>
      <c r="DX86" s="5">
        <f t="shared" si="294"/>
        <v>2.0222593529833164</v>
      </c>
      <c r="DY86" s="173">
        <f t="shared" si="295"/>
        <v>0.40575231756596153</v>
      </c>
      <c r="EA86" s="5">
        <f t="shared" si="250"/>
        <v>0.39474597735380357</v>
      </c>
      <c r="EB86" s="5">
        <f t="shared" si="251"/>
        <v>4.6601955659824039</v>
      </c>
      <c r="EC86" s="5">
        <f t="shared" si="252"/>
        <v>21.386120671165646</v>
      </c>
      <c r="ED86" s="5"/>
      <c r="EE86" s="173">
        <f t="shared" si="296"/>
        <v>12.695220575776009</v>
      </c>
      <c r="EF86" s="173">
        <f t="shared" si="253"/>
        <v>0.72550417404020684</v>
      </c>
      <c r="EG86" s="173">
        <f t="shared" si="254"/>
        <v>0.57361538910913989</v>
      </c>
      <c r="EH86" s="173"/>
      <c r="EI86" s="528">
        <f t="shared" si="255"/>
        <v>6.4467450187042621</v>
      </c>
      <c r="EJ86" s="528">
        <f t="shared" si="256"/>
        <v>5.8678125000000003</v>
      </c>
      <c r="EK86" s="528">
        <f t="shared" si="257"/>
        <v>5.8770669702417837E-2</v>
      </c>
      <c r="EL86" s="528">
        <f t="shared" si="258"/>
        <v>2.6004330217299209E-2</v>
      </c>
      <c r="EM86">
        <f t="shared" si="259"/>
        <v>5.6249999999999998E-3</v>
      </c>
      <c r="EN86" s="460">
        <f t="shared" si="297"/>
        <v>64.395669702417834</v>
      </c>
      <c r="EO86">
        <f t="shared" si="260"/>
        <v>-26.602103776922338</v>
      </c>
      <c r="EP86" s="460">
        <f t="shared" si="298"/>
        <v>-26602.103776922337</v>
      </c>
      <c r="EQ86" s="173">
        <f t="shared" si="261"/>
        <v>0.42184799999999995</v>
      </c>
      <c r="ER86" s="173">
        <f t="shared" si="262"/>
        <v>0.35153999999999996</v>
      </c>
      <c r="ES86" s="528"/>
      <c r="EU86" s="460">
        <f t="shared" si="299"/>
        <v>773.38799999999992</v>
      </c>
      <c r="EV86" s="528">
        <f t="shared" si="263"/>
        <v>4.8350587640281963</v>
      </c>
      <c r="EW86" s="528">
        <f t="shared" si="300"/>
        <v>1.5790689196492881E-2</v>
      </c>
      <c r="EX86" s="528">
        <f t="shared" si="264"/>
        <v>1.6451730731141499E-3</v>
      </c>
      <c r="EY86" s="528">
        <f t="shared" si="265"/>
        <v>518.1703380390536</v>
      </c>
      <c r="EZ86" s="528">
        <f t="shared" si="266"/>
        <v>856.7948071965543</v>
      </c>
      <c r="FA86" s="625">
        <f t="shared" si="267"/>
        <v>8.7540979222591577</v>
      </c>
      <c r="FB86" s="460">
        <f t="shared" si="301"/>
        <v>865548.90511881339</v>
      </c>
      <c r="FC86" s="173">
        <f t="shared" si="302"/>
        <v>839.72018934189111</v>
      </c>
      <c r="FD86" s="5">
        <f t="shared" si="303"/>
        <v>87.48</v>
      </c>
      <c r="FE86" s="173">
        <f t="shared" si="304"/>
        <v>9.4348557092176211E-2</v>
      </c>
      <c r="FF86" s="5">
        <f t="shared" si="305"/>
        <v>9.4348557092176204</v>
      </c>
      <c r="FG86">
        <f t="shared" si="306"/>
        <v>81</v>
      </c>
      <c r="FI86" s="562">
        <f t="shared" si="268"/>
        <v>-50</v>
      </c>
      <c r="FJ86">
        <f t="shared" si="269"/>
        <v>-50</v>
      </c>
      <c r="FL86">
        <f t="shared" si="270"/>
        <v>0.57883030475717101</v>
      </c>
    </row>
    <row r="87" spans="5:168">
      <c r="E87" s="170">
        <v>82</v>
      </c>
      <c r="F87" s="217">
        <f t="shared" si="307"/>
        <v>0.49199999999999994</v>
      </c>
      <c r="G87" s="217">
        <f t="shared" si="271"/>
        <v>0.41</v>
      </c>
      <c r="H87" s="217">
        <f t="shared" si="176"/>
        <v>83.639999999999986</v>
      </c>
      <c r="I87" s="217">
        <f t="shared" si="308"/>
        <v>4.92</v>
      </c>
      <c r="J87" s="541">
        <f t="shared" si="177"/>
        <v>11.013536986446633</v>
      </c>
      <c r="K87" s="443">
        <f t="shared" si="178"/>
        <v>8.5445645049650505</v>
      </c>
      <c r="L87" s="172">
        <f t="shared" si="179"/>
        <v>19.558101491411684</v>
      </c>
      <c r="M87" s="443"/>
      <c r="N87" s="217">
        <f t="shared" si="180"/>
        <v>0.43688108013536608</v>
      </c>
      <c r="O87" s="172">
        <f t="shared" si="272"/>
        <v>151.47648313100623</v>
      </c>
      <c r="P87" s="172">
        <f t="shared" si="181"/>
        <v>8.910381360647424</v>
      </c>
      <c r="Q87" s="217">
        <f t="shared" si="182"/>
        <v>0.89103813606474258</v>
      </c>
      <c r="R87" s="217">
        <f t="shared" si="183"/>
        <v>12.623040260917186</v>
      </c>
      <c r="S87" s="443">
        <f t="shared" si="184"/>
        <v>170</v>
      </c>
      <c r="T87" s="217">
        <f t="shared" si="185"/>
        <v>36.810994583083435</v>
      </c>
      <c r="U87" s="217">
        <f t="shared" si="186"/>
        <v>1.6711704254674682</v>
      </c>
      <c r="V87" s="217">
        <f t="shared" si="187"/>
        <v>2.1540591426101008</v>
      </c>
      <c r="W87" s="197">
        <f t="shared" si="188"/>
        <v>350</v>
      </c>
      <c r="X87" s="443">
        <f t="shared" si="273"/>
        <v>248.43303545481888</v>
      </c>
      <c r="Z87" s="217">
        <f t="shared" si="189"/>
        <v>27.494891055712056</v>
      </c>
      <c r="AA87" s="173">
        <f t="shared" si="190"/>
        <v>1.6089111996132399</v>
      </c>
      <c r="AB87" s="173">
        <f t="shared" si="191"/>
        <v>0.36556831528125294</v>
      </c>
      <c r="AC87" s="173"/>
      <c r="AD87" s="173">
        <f t="shared" si="192"/>
        <v>0.78022310707500886</v>
      </c>
      <c r="AE87" s="545">
        <f t="shared" si="193"/>
        <v>2003.0469685403948</v>
      </c>
      <c r="AF87" s="528">
        <f t="shared" si="194"/>
        <v>8.5969027538820422E-2</v>
      </c>
      <c r="AH87" s="173">
        <f t="shared" si="195"/>
        <v>31.813743660787324</v>
      </c>
      <c r="AI87" s="173">
        <f t="shared" si="196"/>
        <v>36.810994583083435</v>
      </c>
      <c r="AJ87" s="173">
        <f t="shared" si="197"/>
        <v>18.590860185000075</v>
      </c>
      <c r="AL87" s="545">
        <f t="shared" si="198"/>
        <v>491.99999999999994</v>
      </c>
      <c r="AM87" s="460">
        <f t="shared" si="199"/>
        <v>248.43303545481888</v>
      </c>
      <c r="AO87">
        <f t="shared" si="274"/>
        <v>491.99999999999994</v>
      </c>
      <c r="AP87">
        <f t="shared" si="200"/>
        <v>248.43303545481888</v>
      </c>
      <c r="AR87" s="5">
        <f t="shared" si="275"/>
        <v>4.0252295680775694</v>
      </c>
      <c r="AS87" s="5">
        <f t="shared" si="201"/>
        <v>1.6711704254674682</v>
      </c>
      <c r="AT87" s="5">
        <f t="shared" si="276"/>
        <v>2.354059142610101</v>
      </c>
      <c r="AU87" s="173">
        <f t="shared" si="277"/>
        <v>0.41517394156120424</v>
      </c>
      <c r="AW87" s="5">
        <f t="shared" si="202"/>
        <v>0.48365638195882016</v>
      </c>
      <c r="AX87" s="5">
        <f t="shared" si="203"/>
        <v>5.7098322870138496</v>
      </c>
      <c r="AY87" s="5">
        <f t="shared" si="204"/>
        <v>28.603854609861724</v>
      </c>
      <c r="AZ87" s="5"/>
      <c r="BA87" s="173">
        <f t="shared" si="278"/>
        <v>13.6940518487148</v>
      </c>
      <c r="BB87" s="173">
        <f t="shared" si="205"/>
        <v>0.76749702840537759</v>
      </c>
      <c r="BC87" s="173">
        <f t="shared" si="206"/>
        <v>0.60681677975358017</v>
      </c>
      <c r="BD87" s="173"/>
      <c r="BE87" s="528">
        <f t="shared" si="207"/>
        <v>7.5010822414115692</v>
      </c>
      <c r="BF87" s="528">
        <f t="shared" si="208"/>
        <v>4.0243533958215831</v>
      </c>
      <c r="BG87" s="528">
        <f t="shared" si="209"/>
        <v>0.10944505698547422</v>
      </c>
      <c r="BH87" s="528">
        <f t="shared" si="210"/>
        <v>1.9006087850589323E-2</v>
      </c>
      <c r="BI87">
        <f t="shared" si="211"/>
        <v>4.9560916439009848E-3</v>
      </c>
      <c r="BJ87" s="460">
        <f t="shared" si="279"/>
        <v>114.4011486293752</v>
      </c>
      <c r="BK87">
        <f t="shared" si="212"/>
        <v>-17.346896853586031</v>
      </c>
      <c r="BL87" s="460">
        <f t="shared" si="280"/>
        <v>-17346.896853586033</v>
      </c>
      <c r="BM87" s="173">
        <f t="shared" si="213"/>
        <v>0.42705599999999994</v>
      </c>
      <c r="BN87" s="173">
        <f t="shared" si="214"/>
        <v>0.35587999999999997</v>
      </c>
      <c r="BO87" s="528"/>
      <c r="BQ87" s="460">
        <f t="shared" si="281"/>
        <v>782.93599999999981</v>
      </c>
      <c r="BR87" s="528">
        <f t="shared" si="215"/>
        <v>5.6258116810586767</v>
      </c>
      <c r="BS87" s="528">
        <f t="shared" si="216"/>
        <v>1.7671550658332546E-2</v>
      </c>
      <c r="BT87" s="528">
        <f t="shared" si="217"/>
        <v>1.8411330209525251E-3</v>
      </c>
      <c r="BU87" s="528">
        <f t="shared" si="218"/>
        <v>399.88696511238788</v>
      </c>
      <c r="BV87" s="528">
        <f t="shared" si="219"/>
        <v>741.98836855157151</v>
      </c>
      <c r="BW87" s="625">
        <f t="shared" si="220"/>
        <v>8.4159754076024225</v>
      </c>
      <c r="BX87" s="460">
        <f t="shared" si="282"/>
        <v>750404.343959174</v>
      </c>
      <c r="BY87" s="173">
        <f t="shared" si="283"/>
        <v>733.84038310558788</v>
      </c>
      <c r="BZ87" s="5">
        <f t="shared" si="284"/>
        <v>88.559999999999988</v>
      </c>
      <c r="CA87" s="173">
        <f t="shared" si="285"/>
        <v>0.10768477473900907</v>
      </c>
      <c r="CB87" s="5">
        <f t="shared" si="286"/>
        <v>10.768477473900907</v>
      </c>
      <c r="CC87">
        <f t="shared" si="287"/>
        <v>82</v>
      </c>
      <c r="CE87" s="562">
        <f t="shared" si="221"/>
        <v>-50</v>
      </c>
      <c r="CF87">
        <f t="shared" si="222"/>
        <v>-50</v>
      </c>
      <c r="CG87" s="173">
        <f t="shared" si="223"/>
        <v>0.57883030475717079</v>
      </c>
      <c r="CH87" s="173">
        <f t="shared" si="224"/>
        <v>0.14404267188190506</v>
      </c>
      <c r="CI87" s="170">
        <v>82</v>
      </c>
      <c r="CJ87" s="217">
        <f t="shared" si="309"/>
        <v>0.49199999999999994</v>
      </c>
      <c r="CK87" s="217">
        <f t="shared" si="288"/>
        <v>0.41</v>
      </c>
      <c r="CL87" s="217">
        <f t="shared" si="225"/>
        <v>83.639999999999986</v>
      </c>
      <c r="CM87" s="217">
        <f t="shared" si="310"/>
        <v>4.92</v>
      </c>
      <c r="CN87" s="541">
        <f t="shared" si="289"/>
        <v>12.5</v>
      </c>
      <c r="CO87" s="443">
        <f t="shared" si="226"/>
        <v>8.5350000000000001</v>
      </c>
      <c r="CP87" s="443">
        <f t="shared" si="227"/>
        <v>21.035</v>
      </c>
      <c r="CQ87" s="443"/>
      <c r="CR87" s="217">
        <f t="shared" si="228"/>
        <v>0.40546967895362668</v>
      </c>
      <c r="CS87" s="172">
        <f t="shared" si="290"/>
        <v>159.55982736601052</v>
      </c>
      <c r="CT87" s="172">
        <f t="shared" si="229"/>
        <v>9.3858721980006177</v>
      </c>
      <c r="CU87" s="217">
        <f t="shared" si="230"/>
        <v>0.93858721980006188</v>
      </c>
      <c r="CV87" s="217">
        <f t="shared" si="231"/>
        <v>13.296652280500878</v>
      </c>
      <c r="CW87" s="443">
        <f t="shared" si="232"/>
        <v>170</v>
      </c>
      <c r="CX87" s="217">
        <f t="shared" si="233"/>
        <v>34.946139589442808</v>
      </c>
      <c r="CY87" s="217">
        <f t="shared" si="234"/>
        <v>1.3978455835777124</v>
      </c>
      <c r="CZ87" s="217">
        <f t="shared" si="235"/>
        <v>2.0472255178349625</v>
      </c>
      <c r="DA87" s="197">
        <f t="shared" si="236"/>
        <v>350</v>
      </c>
      <c r="DB87" s="443">
        <f t="shared" si="291"/>
        <v>290.26977109121003</v>
      </c>
      <c r="DD87" s="217">
        <f t="shared" si="237"/>
        <v>28.98230839756868</v>
      </c>
      <c r="DE87" s="173">
        <f t="shared" si="238"/>
        <v>1.6978505212401103</v>
      </c>
      <c r="DF87" s="173">
        <f t="shared" si="239"/>
        <v>0.40664636548103333</v>
      </c>
      <c r="DG87" s="173"/>
      <c r="DH87" s="173">
        <f t="shared" si="240"/>
        <v>0.78109744190587771</v>
      </c>
      <c r="DI87" s="545">
        <f t="shared" si="241"/>
        <v>2000.8048235294116</v>
      </c>
      <c r="DJ87" s="528">
        <f t="shared" si="242"/>
        <v>8.6065366284073561E-2</v>
      </c>
      <c r="DL87" s="173">
        <f t="shared" si="243"/>
        <v>31.813743660787324</v>
      </c>
      <c r="DM87" s="173">
        <f t="shared" si="244"/>
        <v>34.946139589442808</v>
      </c>
      <c r="DN87" s="173">
        <f t="shared" si="245"/>
        <v>17.209486115636643</v>
      </c>
      <c r="DP87" s="545">
        <f t="shared" si="246"/>
        <v>491.99999999999994</v>
      </c>
      <c r="DQ87" s="460">
        <f t="shared" si="247"/>
        <v>290.26977109121003</v>
      </c>
      <c r="DS87">
        <f t="shared" si="292"/>
        <v>491.99999999999994</v>
      </c>
      <c r="DT87">
        <f t="shared" si="248"/>
        <v>290.26977109121003</v>
      </c>
      <c r="DV87" s="5">
        <f t="shared" si="293"/>
        <v>3.4450711014126751</v>
      </c>
      <c r="DW87" s="5">
        <f t="shared" si="249"/>
        <v>1.3978455835777124</v>
      </c>
      <c r="DX87" s="5">
        <f t="shared" si="294"/>
        <v>2.0472255178349625</v>
      </c>
      <c r="DY87" s="173">
        <f t="shared" si="295"/>
        <v>0.40575231756596147</v>
      </c>
      <c r="EA87" s="5">
        <f t="shared" si="250"/>
        <v>0.40455295712954964</v>
      </c>
      <c r="EB87" s="5">
        <f t="shared" si="251"/>
        <v>4.7759724105571832</v>
      </c>
      <c r="EC87" s="5">
        <f t="shared" si="252"/>
        <v>21.917432615899678</v>
      </c>
      <c r="ED87" s="5"/>
      <c r="EE87" s="173">
        <f t="shared" si="296"/>
        <v>12.851951693995465</v>
      </c>
      <c r="EF87" s="173">
        <f t="shared" si="253"/>
        <v>0.73446101569502442</v>
      </c>
      <c r="EG87" s="173">
        <f t="shared" si="254"/>
        <v>0.58069706057962323</v>
      </c>
      <c r="EH87" s="173"/>
      <c r="EI87" s="528">
        <f t="shared" si="255"/>
        <v>6.6069064937917164</v>
      </c>
      <c r="EJ87" s="528">
        <f t="shared" si="256"/>
        <v>5.8678124999999994</v>
      </c>
      <c r="EK87" s="528">
        <f t="shared" si="257"/>
        <v>5.8053954218241999E-2</v>
      </c>
      <c r="EL87" s="528">
        <f t="shared" si="258"/>
        <v>2.568720423903946E-2</v>
      </c>
      <c r="EM87">
        <f t="shared" si="259"/>
        <v>5.6249999999999998E-3</v>
      </c>
      <c r="EN87" s="460">
        <f t="shared" si="297"/>
        <v>63.678954218242005</v>
      </c>
      <c r="EO87">
        <f t="shared" si="260"/>
        <v>-25.180633827484169</v>
      </c>
      <c r="EP87" s="460">
        <f t="shared" si="298"/>
        <v>-25180.633827484169</v>
      </c>
      <c r="EQ87" s="173">
        <f t="shared" si="261"/>
        <v>0.42705599999999994</v>
      </c>
      <c r="ER87" s="173">
        <f t="shared" si="262"/>
        <v>0.35587999999999997</v>
      </c>
      <c r="ES87" s="528"/>
      <c r="EU87" s="460">
        <f t="shared" si="299"/>
        <v>782.93599999999981</v>
      </c>
      <c r="EV87" s="528">
        <f t="shared" si="263"/>
        <v>4.9551798703437875</v>
      </c>
      <c r="EW87" s="528">
        <f t="shared" si="300"/>
        <v>1.6182989507273007E-2</v>
      </c>
      <c r="EX87" s="528">
        <f t="shared" si="264"/>
        <v>1.6860453808290729E-3</v>
      </c>
      <c r="EY87" s="528">
        <f t="shared" si="265"/>
        <v>518.17033803905451</v>
      </c>
      <c r="EZ87" s="528">
        <f t="shared" si="266"/>
        <v>870.76578564128408</v>
      </c>
      <c r="FA87" s="625">
        <f t="shared" si="267"/>
        <v>8.8621732052500111</v>
      </c>
      <c r="FB87" s="460">
        <f t="shared" si="301"/>
        <v>879627.95884653402</v>
      </c>
      <c r="FC87" s="173">
        <f t="shared" si="302"/>
        <v>855.23026101904986</v>
      </c>
      <c r="FD87" s="5">
        <f t="shared" si="303"/>
        <v>88.559999999999988</v>
      </c>
      <c r="FE87" s="173">
        <f t="shared" si="304"/>
        <v>9.3834407556164068E-2</v>
      </c>
      <c r="FF87" s="5">
        <f t="shared" si="305"/>
        <v>9.383440755616407</v>
      </c>
      <c r="FG87">
        <f t="shared" si="306"/>
        <v>82</v>
      </c>
      <c r="FI87" s="562">
        <f t="shared" si="268"/>
        <v>-50</v>
      </c>
      <c r="FJ87">
        <f t="shared" si="269"/>
        <v>-50</v>
      </c>
      <c r="FL87">
        <f t="shared" si="270"/>
        <v>0.5788303047571709</v>
      </c>
    </row>
    <row r="88" spans="5:168">
      <c r="E88" s="170">
        <v>83</v>
      </c>
      <c r="F88" s="217">
        <f t="shared" si="307"/>
        <v>0.49799999999999994</v>
      </c>
      <c r="G88" s="217">
        <f t="shared" si="271"/>
        <v>0.41499999999999998</v>
      </c>
      <c r="H88" s="217">
        <f t="shared" si="176"/>
        <v>84.66</v>
      </c>
      <c r="I88" s="217">
        <f t="shared" si="308"/>
        <v>4.9799999999999995</v>
      </c>
      <c r="J88" s="541">
        <f t="shared" si="177"/>
        <v>10.995409388720374</v>
      </c>
      <c r="K88" s="443">
        <f t="shared" si="178"/>
        <v>8.5446811452695037</v>
      </c>
      <c r="L88" s="172">
        <f t="shared" si="179"/>
        <v>19.540090533989876</v>
      </c>
      <c r="M88" s="443"/>
      <c r="N88" s="217">
        <f t="shared" si="180"/>
        <v>0.43728974184669617</v>
      </c>
      <c r="O88" s="172">
        <f t="shared" si="272"/>
        <v>151.36862122697892</v>
      </c>
      <c r="P88" s="172">
        <f t="shared" si="181"/>
        <v>8.9040365427634658</v>
      </c>
      <c r="Q88" s="217">
        <f t="shared" si="182"/>
        <v>0.8904036542763466</v>
      </c>
      <c r="R88" s="217">
        <f t="shared" si="183"/>
        <v>12.61405176891491</v>
      </c>
      <c r="S88" s="443">
        <f t="shared" si="184"/>
        <v>170</v>
      </c>
      <c r="T88" s="217">
        <f t="shared" si="185"/>
        <v>37.286459731550039</v>
      </c>
      <c r="U88" s="217">
        <f t="shared" si="186"/>
        <v>1.6955466783165118</v>
      </c>
      <c r="V88" s="217">
        <f t="shared" si="187"/>
        <v>2.1818520257009548</v>
      </c>
      <c r="W88" s="197">
        <f t="shared" si="188"/>
        <v>350</v>
      </c>
      <c r="X88" s="443">
        <f t="shared" si="273"/>
        <v>245.25440669186912</v>
      </c>
      <c r="Z88" s="217">
        <f t="shared" si="189"/>
        <v>27.47531276052726</v>
      </c>
      <c r="AA88" s="173">
        <f t="shared" si="190"/>
        <v>1.6077435947237253</v>
      </c>
      <c r="AB88" s="173">
        <f t="shared" si="191"/>
        <v>0.36504289682975555</v>
      </c>
      <c r="AC88" s="173"/>
      <c r="AD88" s="173">
        <f t="shared" si="192"/>
        <v>0.78021245653589533</v>
      </c>
      <c r="AE88" s="545">
        <f t="shared" si="193"/>
        <v>2027.5020472816539</v>
      </c>
      <c r="AF88" s="528">
        <f t="shared" si="194"/>
        <v>8.5967854007195879E-2</v>
      </c>
      <c r="AH88" s="173">
        <f t="shared" si="195"/>
        <v>32.007142060126874</v>
      </c>
      <c r="AI88" s="173">
        <f t="shared" si="196"/>
        <v>37.286459731550039</v>
      </c>
      <c r="AJ88" s="173">
        <f t="shared" si="197"/>
        <v>18.943056591271631</v>
      </c>
      <c r="AL88" s="545">
        <f t="shared" si="198"/>
        <v>497.99999999999994</v>
      </c>
      <c r="AM88" s="460">
        <f t="shared" si="199"/>
        <v>245.25440669186912</v>
      </c>
      <c r="AO88">
        <f t="shared" si="274"/>
        <v>497.99999999999994</v>
      </c>
      <c r="AP88">
        <f t="shared" si="200"/>
        <v>245.25440669186912</v>
      </c>
      <c r="AR88" s="5">
        <f t="shared" si="275"/>
        <v>4.0773987040174671</v>
      </c>
      <c r="AS88" s="5">
        <f t="shared" si="201"/>
        <v>1.6955466783165118</v>
      </c>
      <c r="AT88" s="5">
        <f t="shared" si="276"/>
        <v>2.3818520257009554</v>
      </c>
      <c r="AU88" s="173">
        <f t="shared" si="277"/>
        <v>0.41584029460888561</v>
      </c>
      <c r="AW88" s="5">
        <f t="shared" si="202"/>
        <v>0.49669543870683691</v>
      </c>
      <c r="AX88" s="5">
        <f t="shared" si="203"/>
        <v>5.8637655958446029</v>
      </c>
      <c r="AY88" s="5">
        <f t="shared" si="204"/>
        <v>29.342804491147412</v>
      </c>
      <c r="AZ88" s="5"/>
      <c r="BA88" s="173">
        <f t="shared" si="278"/>
        <v>13.88205649714979</v>
      </c>
      <c r="BB88" s="173">
        <f t="shared" si="205"/>
        <v>0.77696730068363629</v>
      </c>
      <c r="BC88" s="173">
        <f t="shared" si="206"/>
        <v>0.61430439197173103</v>
      </c>
      <c r="BD88" s="173"/>
      <c r="BE88" s="528">
        <f t="shared" si="207"/>
        <v>7.7084597036023483</v>
      </c>
      <c r="BF88" s="528">
        <f t="shared" si="208"/>
        <v>4.0204721598339486</v>
      </c>
      <c r="BG88" s="528">
        <f t="shared" si="209"/>
        <v>0.1078669042385929</v>
      </c>
      <c r="BH88" s="528">
        <f t="shared" si="210"/>
        <v>1.8728369030986236E-2</v>
      </c>
      <c r="BI88">
        <f t="shared" si="211"/>
        <v>4.947934224924168E-3</v>
      </c>
      <c r="BJ88" s="460">
        <f t="shared" si="279"/>
        <v>112.81483846351706</v>
      </c>
      <c r="BK88">
        <f t="shared" si="212"/>
        <v>-16.630721594042242</v>
      </c>
      <c r="BL88" s="460">
        <f t="shared" si="280"/>
        <v>-16630.721594042243</v>
      </c>
      <c r="BM88" s="173">
        <f t="shared" si="213"/>
        <v>0.43226399999999998</v>
      </c>
      <c r="BN88" s="173">
        <f t="shared" si="214"/>
        <v>0.36021999999999998</v>
      </c>
      <c r="BO88" s="528"/>
      <c r="BQ88" s="460">
        <f t="shared" si="281"/>
        <v>792.48399999999992</v>
      </c>
      <c r="BR88" s="528">
        <f t="shared" si="215"/>
        <v>5.7813447777017606</v>
      </c>
      <c r="BS88" s="528">
        <f t="shared" si="216"/>
        <v>1.8110345589948482E-2</v>
      </c>
      <c r="BT88" s="528">
        <f t="shared" si="217"/>
        <v>1.8868494299787908E-3</v>
      </c>
      <c r="BU88" s="528">
        <f t="shared" si="218"/>
        <v>399.84339652764555</v>
      </c>
      <c r="BV88" s="528">
        <f t="shared" si="219"/>
        <v>759.54963463629929</v>
      </c>
      <c r="BW88" s="625">
        <f t="shared" si="220"/>
        <v>8.5243078996828139</v>
      </c>
      <c r="BX88" s="460">
        <f t="shared" si="282"/>
        <v>768073.94253598212</v>
      </c>
      <c r="BY88" s="173">
        <f t="shared" si="283"/>
        <v>752.23570494193996</v>
      </c>
      <c r="BZ88" s="5">
        <f t="shared" si="284"/>
        <v>89.64</v>
      </c>
      <c r="CA88" s="173">
        <f t="shared" si="285"/>
        <v>0.10647652554147768</v>
      </c>
      <c r="CB88" s="5">
        <f t="shared" si="286"/>
        <v>10.647652554147768</v>
      </c>
      <c r="CC88">
        <f t="shared" si="287"/>
        <v>83</v>
      </c>
      <c r="CE88" s="562">
        <f t="shared" si="221"/>
        <v>-50</v>
      </c>
      <c r="CF88">
        <f t="shared" si="222"/>
        <v>-50</v>
      </c>
      <c r="CG88" s="173">
        <f t="shared" si="223"/>
        <v>0.5788303047571709</v>
      </c>
      <c r="CH88" s="173">
        <f t="shared" si="224"/>
        <v>0.14404267188190506</v>
      </c>
      <c r="CI88" s="170">
        <v>83</v>
      </c>
      <c r="CJ88" s="217">
        <f t="shared" si="309"/>
        <v>0.49799999999999994</v>
      </c>
      <c r="CK88" s="217">
        <f t="shared" si="288"/>
        <v>0.41499999999999998</v>
      </c>
      <c r="CL88" s="217">
        <f t="shared" si="225"/>
        <v>84.66</v>
      </c>
      <c r="CM88" s="217">
        <f t="shared" si="310"/>
        <v>4.9799999999999995</v>
      </c>
      <c r="CN88" s="541">
        <f t="shared" si="289"/>
        <v>12.5</v>
      </c>
      <c r="CO88" s="443">
        <f t="shared" si="226"/>
        <v>8.5350000000000001</v>
      </c>
      <c r="CP88" s="443">
        <f t="shared" si="227"/>
        <v>21.035</v>
      </c>
      <c r="CQ88" s="443"/>
      <c r="CR88" s="217">
        <f t="shared" si="228"/>
        <v>0.40546967895362668</v>
      </c>
      <c r="CS88" s="172">
        <f t="shared" si="290"/>
        <v>159.55982736601052</v>
      </c>
      <c r="CT88" s="172">
        <f t="shared" si="229"/>
        <v>9.3858721980006177</v>
      </c>
      <c r="CU88" s="217">
        <f t="shared" si="230"/>
        <v>0.93858721980006188</v>
      </c>
      <c r="CV88" s="217">
        <f t="shared" si="231"/>
        <v>13.296652280500878</v>
      </c>
      <c r="CW88" s="443">
        <f t="shared" si="232"/>
        <v>170</v>
      </c>
      <c r="CX88" s="217">
        <f t="shared" si="233"/>
        <v>35.372312023460402</v>
      </c>
      <c r="CY88" s="217">
        <f t="shared" si="234"/>
        <v>1.414892480938416</v>
      </c>
      <c r="CZ88" s="217">
        <f t="shared" si="235"/>
        <v>2.0721916826866082</v>
      </c>
      <c r="DA88" s="197">
        <f t="shared" si="236"/>
        <v>350</v>
      </c>
      <c r="DB88" s="443">
        <f t="shared" si="291"/>
        <v>286.77254493348465</v>
      </c>
      <c r="DD88" s="217">
        <f t="shared" si="237"/>
        <v>28.98230839756868</v>
      </c>
      <c r="DE88" s="173">
        <f t="shared" si="238"/>
        <v>1.6978505212401103</v>
      </c>
      <c r="DF88" s="173">
        <f t="shared" si="239"/>
        <v>0.40664636548103333</v>
      </c>
      <c r="DG88" s="173"/>
      <c r="DH88" s="173">
        <f t="shared" si="240"/>
        <v>0.78109744190587771</v>
      </c>
      <c r="DI88" s="545">
        <f t="shared" si="241"/>
        <v>2025.2048823529412</v>
      </c>
      <c r="DJ88" s="528">
        <f t="shared" si="242"/>
        <v>8.6065366284073561E-2</v>
      </c>
      <c r="DL88" s="173">
        <f t="shared" si="243"/>
        <v>32.007142060126874</v>
      </c>
      <c r="DM88" s="173">
        <f t="shared" si="244"/>
        <v>35.372312023460402</v>
      </c>
      <c r="DN88" s="173">
        <f t="shared" si="245"/>
        <v>17.525169400094121</v>
      </c>
      <c r="DP88" s="545">
        <f t="shared" si="246"/>
        <v>497.99999999999994</v>
      </c>
      <c r="DQ88" s="460">
        <f t="shared" si="247"/>
        <v>286.77254493348465</v>
      </c>
      <c r="DS88">
        <f t="shared" si="292"/>
        <v>497.99999999999994</v>
      </c>
      <c r="DT88">
        <f t="shared" si="248"/>
        <v>286.77254493348465</v>
      </c>
      <c r="DV88" s="5">
        <f t="shared" si="293"/>
        <v>3.487084163625024</v>
      </c>
      <c r="DW88" s="5">
        <f t="shared" si="249"/>
        <v>1.414892480938416</v>
      </c>
      <c r="DX88" s="5">
        <f t="shared" si="294"/>
        <v>2.0721916826866078</v>
      </c>
      <c r="DY88" s="173">
        <f t="shared" si="295"/>
        <v>0.40575231756596153</v>
      </c>
      <c r="EA88" s="5">
        <f t="shared" si="250"/>
        <v>0.41448026794548887</v>
      </c>
      <c r="EB88" s="5">
        <f t="shared" si="251"/>
        <v>4.8931698299120212</v>
      </c>
      <c r="EC88" s="5">
        <f t="shared" si="252"/>
        <v>22.455263725599771</v>
      </c>
      <c r="ED88" s="5"/>
      <c r="EE88" s="173">
        <f t="shared" si="296"/>
        <v>13.008682812214921</v>
      </c>
      <c r="EF88" s="173">
        <f t="shared" si="253"/>
        <v>0.74341785734984156</v>
      </c>
      <c r="EG88" s="173">
        <f t="shared" si="254"/>
        <v>0.58777873205010633</v>
      </c>
      <c r="EH88" s="173"/>
      <c r="EI88" s="528">
        <f t="shared" si="255"/>
        <v>6.7690331403526365</v>
      </c>
      <c r="EJ88" s="528">
        <f t="shared" si="256"/>
        <v>5.8678125000000003</v>
      </c>
      <c r="EK88" s="528">
        <f t="shared" si="257"/>
        <v>5.7354508986696924E-2</v>
      </c>
      <c r="EL88" s="528">
        <f t="shared" si="258"/>
        <v>2.5377719850617302E-2</v>
      </c>
      <c r="EM88">
        <f t="shared" si="259"/>
        <v>5.6249999999999998E-3</v>
      </c>
      <c r="EN88" s="460">
        <f t="shared" si="297"/>
        <v>62.979508986696921</v>
      </c>
      <c r="EO88">
        <f t="shared" si="260"/>
        <v>-23.922914605539635</v>
      </c>
      <c r="EP88" s="460">
        <f t="shared" si="298"/>
        <v>-23922.914605539634</v>
      </c>
      <c r="EQ88" s="173">
        <f t="shared" si="261"/>
        <v>0.43226399999999998</v>
      </c>
      <c r="ER88" s="173">
        <f t="shared" si="262"/>
        <v>0.36021999999999998</v>
      </c>
      <c r="ES88" s="528"/>
      <c r="EU88" s="460">
        <f t="shared" si="299"/>
        <v>792.48399999999992</v>
      </c>
      <c r="EV88" s="528">
        <f t="shared" si="263"/>
        <v>5.0767748552644774</v>
      </c>
      <c r="EW88" s="528">
        <f t="shared" si="300"/>
        <v>1.6580103318798882E-2</v>
      </c>
      <c r="EX88" s="528">
        <f t="shared" si="264"/>
        <v>1.7274191892521534E-3</v>
      </c>
      <c r="EY88" s="528">
        <f t="shared" si="265"/>
        <v>518.17033803905349</v>
      </c>
      <c r="EZ88" s="528">
        <f t="shared" si="266"/>
        <v>885.37149726879784</v>
      </c>
      <c r="FA88" s="625">
        <f t="shared" si="267"/>
        <v>8.9702484882408644</v>
      </c>
      <c r="FB88" s="460">
        <f t="shared" si="301"/>
        <v>894341.74575703871</v>
      </c>
      <c r="FC88" s="173">
        <f t="shared" si="302"/>
        <v>871.21131515149898</v>
      </c>
      <c r="FD88" s="5">
        <f t="shared" si="303"/>
        <v>89.64</v>
      </c>
      <c r="FE88" s="173">
        <f t="shared" si="304"/>
        <v>9.3292269663872315E-2</v>
      </c>
      <c r="FF88" s="5">
        <f t="shared" si="305"/>
        <v>9.3292269663872318</v>
      </c>
      <c r="FG88">
        <f t="shared" si="306"/>
        <v>83</v>
      </c>
      <c r="FI88" s="562">
        <f t="shared" si="268"/>
        <v>-50</v>
      </c>
      <c r="FJ88">
        <f t="shared" si="269"/>
        <v>-50</v>
      </c>
      <c r="FL88">
        <f t="shared" si="270"/>
        <v>0.5788303047571709</v>
      </c>
    </row>
    <row r="89" spans="5:168">
      <c r="E89" s="170">
        <v>84</v>
      </c>
      <c r="F89" s="217">
        <f t="shared" si="307"/>
        <v>0.504</v>
      </c>
      <c r="G89" s="217">
        <f t="shared" si="271"/>
        <v>0.42</v>
      </c>
      <c r="H89" s="217">
        <f t="shared" si="176"/>
        <v>85.68</v>
      </c>
      <c r="I89" s="217">
        <f t="shared" si="308"/>
        <v>5.04</v>
      </c>
      <c r="J89" s="541">
        <f t="shared" si="177"/>
        <v>10.977281790994112</v>
      </c>
      <c r="K89" s="443">
        <f t="shared" si="178"/>
        <v>8.5447977855739552</v>
      </c>
      <c r="L89" s="172">
        <f t="shared" si="179"/>
        <v>19.522079576568068</v>
      </c>
      <c r="M89" s="443"/>
      <c r="N89" s="217">
        <f t="shared" si="180"/>
        <v>0.43769915761587674</v>
      </c>
      <c r="O89" s="172">
        <f t="shared" si="272"/>
        <v>151.26055347798859</v>
      </c>
      <c r="P89" s="172">
        <f t="shared" si="181"/>
        <v>8.8976796163522689</v>
      </c>
      <c r="Q89" s="217">
        <f t="shared" si="182"/>
        <v>0.88976796163522698</v>
      </c>
      <c r="R89" s="217">
        <f t="shared" si="183"/>
        <v>12.605046123165716</v>
      </c>
      <c r="S89" s="443">
        <f t="shared" si="184"/>
        <v>170</v>
      </c>
      <c r="T89" s="217">
        <f t="shared" si="185"/>
        <v>37.762654364683456</v>
      </c>
      <c r="U89" s="217">
        <f t="shared" si="186"/>
        <v>1.7200366668032685</v>
      </c>
      <c r="V89" s="217">
        <f t="shared" si="187"/>
        <v>2.2096868359153881</v>
      </c>
      <c r="W89" s="197">
        <f t="shared" si="188"/>
        <v>350</v>
      </c>
      <c r="X89" s="443">
        <f t="shared" si="273"/>
        <v>242.146961979824</v>
      </c>
      <c r="Z89" s="217">
        <f t="shared" si="189"/>
        <v>27.455697101887008</v>
      </c>
      <c r="AA89" s="173">
        <f t="shared" si="190"/>
        <v>1.6065738353832093</v>
      </c>
      <c r="AB89" s="173">
        <f t="shared" si="191"/>
        <v>0.36451687131497879</v>
      </c>
      <c r="AC89" s="173"/>
      <c r="AD89" s="173">
        <f t="shared" si="192"/>
        <v>0.78020180628755109</v>
      </c>
      <c r="AE89" s="545">
        <f t="shared" si="193"/>
        <v>2051.9577929310067</v>
      </c>
      <c r="AF89" s="528">
        <f t="shared" si="194"/>
        <v>8.5966680507609805E-2</v>
      </c>
      <c r="AH89" s="173">
        <f t="shared" si="195"/>
        <v>32.199378875996977</v>
      </c>
      <c r="AI89" s="173">
        <f t="shared" si="196"/>
        <v>37.762654364683456</v>
      </c>
      <c r="AJ89" s="173">
        <f t="shared" si="197"/>
        <v>19.295793356555642</v>
      </c>
      <c r="AL89" s="545">
        <f t="shared" si="198"/>
        <v>504</v>
      </c>
      <c r="AM89" s="460">
        <f t="shared" si="199"/>
        <v>242.146961979824</v>
      </c>
      <c r="AO89">
        <f t="shared" si="274"/>
        <v>504</v>
      </c>
      <c r="AP89">
        <f t="shared" si="200"/>
        <v>242.146961979824</v>
      </c>
      <c r="AR89" s="5">
        <f t="shared" si="275"/>
        <v>4.1297235027186554</v>
      </c>
      <c r="AS89" s="5">
        <f t="shared" si="201"/>
        <v>1.7200366668032685</v>
      </c>
      <c r="AT89" s="5">
        <f t="shared" si="276"/>
        <v>2.4096868359153869</v>
      </c>
      <c r="AU89" s="173">
        <f t="shared" si="277"/>
        <v>0.41650165336031431</v>
      </c>
      <c r="AW89" s="5">
        <f t="shared" si="202"/>
        <v>0.50994028239343958</v>
      </c>
      <c r="AX89" s="5">
        <f t="shared" si="203"/>
        <v>6.0201283338114386</v>
      </c>
      <c r="AY89" s="5">
        <f t="shared" si="204"/>
        <v>30.092982511661727</v>
      </c>
      <c r="AZ89" s="5"/>
      <c r="BA89" s="173">
        <f t="shared" si="278"/>
        <v>14.07052334557712</v>
      </c>
      <c r="BB89" s="173">
        <f t="shared" si="205"/>
        <v>0.78644457639059895</v>
      </c>
      <c r="BC89" s="173">
        <f t="shared" si="206"/>
        <v>0.62179754140748145</v>
      </c>
      <c r="BD89" s="173"/>
      <c r="BE89" s="528">
        <f t="shared" si="207"/>
        <v>7.9191850887372306</v>
      </c>
      <c r="BF89" s="528">
        <f t="shared" si="208"/>
        <v>4.0165218612095073</v>
      </c>
      <c r="BG89" s="528">
        <f t="shared" si="209"/>
        <v>0.10632461745942663</v>
      </c>
      <c r="BH89" s="528">
        <f t="shared" si="210"/>
        <v>1.8457002786891902E-2</v>
      </c>
      <c r="BI89">
        <f t="shared" si="211"/>
        <v>4.9397768059473504E-3</v>
      </c>
      <c r="BJ89" s="460">
        <f t="shared" si="279"/>
        <v>111.26439426537399</v>
      </c>
      <c r="BK89">
        <f t="shared" si="212"/>
        <v>-15.984993045592331</v>
      </c>
      <c r="BL89" s="460">
        <f t="shared" si="280"/>
        <v>-15984.993045592331</v>
      </c>
      <c r="BM89" s="173">
        <f t="shared" si="213"/>
        <v>0.43747200000000003</v>
      </c>
      <c r="BN89" s="173">
        <f t="shared" si="214"/>
        <v>0.36456</v>
      </c>
      <c r="BO89" s="528"/>
      <c r="BQ89" s="460">
        <f t="shared" si="281"/>
        <v>802.03200000000004</v>
      </c>
      <c r="BR89" s="528">
        <f t="shared" si="215"/>
        <v>5.9393888165529223</v>
      </c>
      <c r="BS89" s="528">
        <f t="shared" si="216"/>
        <v>1.8554852152025656E-2</v>
      </c>
      <c r="BT89" s="528">
        <f t="shared" si="217"/>
        <v>1.9331609125019431E-3</v>
      </c>
      <c r="BU89" s="528">
        <f t="shared" si="218"/>
        <v>399.78256489463121</v>
      </c>
      <c r="BV89" s="528">
        <f t="shared" si="219"/>
        <v>778.22084071610107</v>
      </c>
      <c r="BW89" s="625">
        <f t="shared" si="220"/>
        <v>8.632648552183813</v>
      </c>
      <c r="BX89" s="460">
        <f t="shared" si="282"/>
        <v>786853.48926828487</v>
      </c>
      <c r="BY89" s="173">
        <f t="shared" si="283"/>
        <v>771.6705282226925</v>
      </c>
      <c r="BZ89" s="5">
        <f t="shared" si="284"/>
        <v>90.720000000000013</v>
      </c>
      <c r="CA89" s="173">
        <f t="shared" si="285"/>
        <v>0.10519596056668848</v>
      </c>
      <c r="CB89" s="5">
        <f t="shared" si="286"/>
        <v>10.519596056668847</v>
      </c>
      <c r="CC89">
        <f t="shared" si="287"/>
        <v>84.000000000000014</v>
      </c>
      <c r="CE89" s="562">
        <f t="shared" si="221"/>
        <v>-50</v>
      </c>
      <c r="CF89">
        <f t="shared" si="222"/>
        <v>-50</v>
      </c>
      <c r="CG89" s="173">
        <f t="shared" si="223"/>
        <v>0.5788303047571709</v>
      </c>
      <c r="CH89" s="173">
        <f t="shared" si="224"/>
        <v>0.14404267188190506</v>
      </c>
      <c r="CI89" s="170">
        <v>84</v>
      </c>
      <c r="CJ89" s="217">
        <f t="shared" si="309"/>
        <v>0.504</v>
      </c>
      <c r="CK89" s="217">
        <f t="shared" si="288"/>
        <v>0.42</v>
      </c>
      <c r="CL89" s="217">
        <f t="shared" si="225"/>
        <v>85.68</v>
      </c>
      <c r="CM89" s="217">
        <f t="shared" si="310"/>
        <v>5.04</v>
      </c>
      <c r="CN89" s="541">
        <f t="shared" si="289"/>
        <v>12.5</v>
      </c>
      <c r="CO89" s="443">
        <f t="shared" si="226"/>
        <v>8.5350000000000001</v>
      </c>
      <c r="CP89" s="443">
        <f t="shared" si="227"/>
        <v>21.035</v>
      </c>
      <c r="CQ89" s="443"/>
      <c r="CR89" s="217">
        <f t="shared" si="228"/>
        <v>0.40546967895362668</v>
      </c>
      <c r="CS89" s="172">
        <f t="shared" si="290"/>
        <v>159.55982736601052</v>
      </c>
      <c r="CT89" s="172">
        <f t="shared" si="229"/>
        <v>9.3858721980006177</v>
      </c>
      <c r="CU89" s="217">
        <f t="shared" si="230"/>
        <v>0.93858721980006188</v>
      </c>
      <c r="CV89" s="217">
        <f t="shared" si="231"/>
        <v>13.296652280500878</v>
      </c>
      <c r="CW89" s="443">
        <f t="shared" si="232"/>
        <v>170</v>
      </c>
      <c r="CX89" s="217">
        <f t="shared" si="233"/>
        <v>35.798484457478004</v>
      </c>
      <c r="CY89" s="217">
        <f t="shared" si="234"/>
        <v>1.4319393782991203</v>
      </c>
      <c r="CZ89" s="217">
        <f t="shared" si="235"/>
        <v>2.0971578475382544</v>
      </c>
      <c r="DA89" s="197">
        <f t="shared" si="236"/>
        <v>350</v>
      </c>
      <c r="DB89" s="443">
        <f t="shared" si="291"/>
        <v>283.35858606522879</v>
      </c>
      <c r="DD89" s="217">
        <f t="shared" si="237"/>
        <v>28.98230839756868</v>
      </c>
      <c r="DE89" s="173">
        <f t="shared" si="238"/>
        <v>1.6978505212401103</v>
      </c>
      <c r="DF89" s="173">
        <f t="shared" si="239"/>
        <v>0.40664636548103333</v>
      </c>
      <c r="DG89" s="173"/>
      <c r="DH89" s="173">
        <f t="shared" si="240"/>
        <v>0.78109744190587771</v>
      </c>
      <c r="DI89" s="545">
        <f t="shared" si="241"/>
        <v>2049.6049411764707</v>
      </c>
      <c r="DJ89" s="528">
        <f t="shared" si="242"/>
        <v>8.6065366284073561E-2</v>
      </c>
      <c r="DL89" s="173">
        <f t="shared" si="243"/>
        <v>32.199378875996977</v>
      </c>
      <c r="DM89" s="173">
        <f t="shared" si="244"/>
        <v>35.798484457478004</v>
      </c>
      <c r="DN89" s="173">
        <f t="shared" si="245"/>
        <v>17.840852684551606</v>
      </c>
      <c r="DP89" s="545">
        <f t="shared" si="246"/>
        <v>504</v>
      </c>
      <c r="DQ89" s="460">
        <f t="shared" si="247"/>
        <v>283.35858606522879</v>
      </c>
      <c r="DS89">
        <f t="shared" si="292"/>
        <v>504</v>
      </c>
      <c r="DT89">
        <f t="shared" si="248"/>
        <v>283.35858606522879</v>
      </c>
      <c r="DV89" s="5">
        <f t="shared" si="293"/>
        <v>3.5290972258373752</v>
      </c>
      <c r="DW89" s="5">
        <f t="shared" si="249"/>
        <v>1.4319393782991203</v>
      </c>
      <c r="DX89" s="5">
        <f t="shared" si="294"/>
        <v>2.0971578475382548</v>
      </c>
      <c r="DY89" s="173">
        <f t="shared" si="295"/>
        <v>0.40575231756596147</v>
      </c>
      <c r="EA89" s="5">
        <f t="shared" si="250"/>
        <v>0.42452790980162158</v>
      </c>
      <c r="EB89" s="5">
        <f t="shared" si="251"/>
        <v>5.0117878240469214</v>
      </c>
      <c r="EC89" s="5">
        <f t="shared" si="252"/>
        <v>22.999614000265943</v>
      </c>
      <c r="ED89" s="5"/>
      <c r="EE89" s="173">
        <f t="shared" si="296"/>
        <v>13.165413930434381</v>
      </c>
      <c r="EF89" s="173">
        <f t="shared" si="253"/>
        <v>0.75237469900465925</v>
      </c>
      <c r="EG89" s="173">
        <f t="shared" si="254"/>
        <v>0.59486040352058978</v>
      </c>
      <c r="EH89" s="173"/>
      <c r="EI89" s="528">
        <f t="shared" si="255"/>
        <v>6.933124958387026</v>
      </c>
      <c r="EJ89" s="528">
        <f t="shared" si="256"/>
        <v>5.8678125000000003</v>
      </c>
      <c r="EK89" s="528">
        <f t="shared" si="257"/>
        <v>5.6671717213045758E-2</v>
      </c>
      <c r="EL89" s="528">
        <f t="shared" si="258"/>
        <v>2.5075604138109945E-2</v>
      </c>
      <c r="EM89">
        <f t="shared" si="259"/>
        <v>5.6249999999999998E-3</v>
      </c>
      <c r="EN89" s="460">
        <f t="shared" si="297"/>
        <v>62.296717213045753</v>
      </c>
      <c r="EO89">
        <f t="shared" si="260"/>
        <v>-22.80243213103428</v>
      </c>
      <c r="EP89" s="460">
        <f t="shared" si="298"/>
        <v>-22802.432131034278</v>
      </c>
      <c r="EQ89" s="173">
        <f t="shared" si="261"/>
        <v>0.43747200000000003</v>
      </c>
      <c r="ER89" s="173">
        <f t="shared" si="262"/>
        <v>0.36456</v>
      </c>
      <c r="ES89" s="528"/>
      <c r="EU89" s="460">
        <f t="shared" si="299"/>
        <v>802.03200000000004</v>
      </c>
      <c r="EV89" s="528">
        <f t="shared" si="263"/>
        <v>5.1998437187902695</v>
      </c>
      <c r="EW89" s="528">
        <f t="shared" si="300"/>
        <v>1.6982030631070549E-2</v>
      </c>
      <c r="EX89" s="528">
        <f t="shared" si="264"/>
        <v>1.7692944983833945E-3</v>
      </c>
      <c r="EY89" s="528">
        <f t="shared" si="265"/>
        <v>518.17033803905451</v>
      </c>
      <c r="EZ89" s="528">
        <f t="shared" si="266"/>
        <v>900.65275701947041</v>
      </c>
      <c r="FA89" s="625">
        <f t="shared" si="267"/>
        <v>9.0783237712317195</v>
      </c>
      <c r="FB89" s="460">
        <f t="shared" si="301"/>
        <v>909731.08079070214</v>
      </c>
      <c r="FC89" s="173">
        <f t="shared" si="302"/>
        <v>887.73068065966777</v>
      </c>
      <c r="FD89" s="5">
        <f t="shared" si="303"/>
        <v>90.720000000000013</v>
      </c>
      <c r="FE89" s="173">
        <f t="shared" si="304"/>
        <v>9.2718010006224261E-2</v>
      </c>
      <c r="FF89" s="5">
        <f t="shared" si="305"/>
        <v>9.2718010006224265</v>
      </c>
      <c r="FG89">
        <f t="shared" si="306"/>
        <v>84.000000000000014</v>
      </c>
      <c r="FI89" s="562">
        <f t="shared" si="268"/>
        <v>-50</v>
      </c>
      <c r="FJ89">
        <f t="shared" si="269"/>
        <v>-50</v>
      </c>
      <c r="FL89">
        <f t="shared" si="270"/>
        <v>0.5788303047571709</v>
      </c>
    </row>
    <row r="90" spans="5:168">
      <c r="E90" s="170">
        <v>85</v>
      </c>
      <c r="F90" s="217">
        <f t="shared" si="307"/>
        <v>0.51</v>
      </c>
      <c r="G90" s="217">
        <f t="shared" si="271"/>
        <v>0.42499999999999999</v>
      </c>
      <c r="H90" s="217">
        <f t="shared" si="176"/>
        <v>86.7</v>
      </c>
      <c r="I90" s="217">
        <f t="shared" si="308"/>
        <v>5.0999999999999996</v>
      </c>
      <c r="J90" s="541">
        <f t="shared" si="177"/>
        <v>10.959154193267851</v>
      </c>
      <c r="K90" s="443">
        <f t="shared" si="178"/>
        <v>8.5449144258784067</v>
      </c>
      <c r="L90" s="172">
        <f t="shared" si="179"/>
        <v>19.50406861914626</v>
      </c>
      <c r="M90" s="443"/>
      <c r="N90" s="217">
        <f t="shared" si="180"/>
        <v>0.43810932953190351</v>
      </c>
      <c r="O90" s="172">
        <f t="shared" si="272"/>
        <v>151.15227931377513</v>
      </c>
      <c r="P90" s="172">
        <f t="shared" si="181"/>
        <v>8.891310547869125</v>
      </c>
      <c r="Q90" s="217">
        <f t="shared" si="182"/>
        <v>0.88913105478691246</v>
      </c>
      <c r="R90" s="217">
        <f t="shared" si="183"/>
        <v>12.596023276147926</v>
      </c>
      <c r="S90" s="443">
        <f t="shared" si="184"/>
        <v>170</v>
      </c>
      <c r="T90" s="217">
        <f t="shared" si="185"/>
        <v>38.23958213690824</v>
      </c>
      <c r="U90" s="217">
        <f t="shared" si="186"/>
        <v>1.7446411220493001</v>
      </c>
      <c r="V90" s="217">
        <f t="shared" si="187"/>
        <v>2.2375637853726813</v>
      </c>
      <c r="W90" s="197">
        <f t="shared" si="188"/>
        <v>350</v>
      </c>
      <c r="X90" s="443">
        <f t="shared" si="273"/>
        <v>239.10832255620531</v>
      </c>
      <c r="Z90" s="217">
        <f t="shared" si="189"/>
        <v>27.436043976281876</v>
      </c>
      <c r="AA90" s="173">
        <f t="shared" si="190"/>
        <v>1.6054019156231329</v>
      </c>
      <c r="AB90" s="173">
        <f t="shared" si="191"/>
        <v>0.36399023814170617</v>
      </c>
      <c r="AC90" s="173"/>
      <c r="AD90" s="173">
        <f t="shared" si="192"/>
        <v>0.78019115632996427</v>
      </c>
      <c r="AE90" s="545">
        <f t="shared" si="193"/>
        <v>2076.4142054884528</v>
      </c>
      <c r="AF90" s="528">
        <f t="shared" si="194"/>
        <v>8.5965507040060896E-2</v>
      </c>
      <c r="AH90" s="173">
        <f t="shared" si="195"/>
        <v>32.390474790327744</v>
      </c>
      <c r="AI90" s="173">
        <f t="shared" si="196"/>
        <v>38.23958213690824</v>
      </c>
      <c r="AJ90" s="173">
        <f t="shared" si="197"/>
        <v>19.64907318783326</v>
      </c>
      <c r="AL90" s="545">
        <f t="shared" si="198"/>
        <v>510</v>
      </c>
      <c r="AM90" s="460">
        <f t="shared" si="199"/>
        <v>239.10832255620531</v>
      </c>
      <c r="AO90">
        <f t="shared" si="274"/>
        <v>510</v>
      </c>
      <c r="AP90">
        <f t="shared" si="200"/>
        <v>239.10832255620531</v>
      </c>
      <c r="AR90" s="5">
        <f t="shared" si="275"/>
        <v>4.1822049074219816</v>
      </c>
      <c r="AS90" s="5">
        <f t="shared" si="201"/>
        <v>1.7446411220493001</v>
      </c>
      <c r="AT90" s="5">
        <f t="shared" si="276"/>
        <v>2.4375637853726815</v>
      </c>
      <c r="AU90" s="173">
        <f t="shared" si="277"/>
        <v>0.41715821215578403</v>
      </c>
      <c r="AW90" s="5">
        <f t="shared" si="202"/>
        <v>0.52339233661479012</v>
      </c>
      <c r="AX90" s="5">
        <f t="shared" si="203"/>
        <v>6.1789373072579377</v>
      </c>
      <c r="AY90" s="5">
        <f t="shared" si="204"/>
        <v>30.854465804908124</v>
      </c>
      <c r="AZ90" s="5"/>
      <c r="BA90" s="173">
        <f t="shared" si="278"/>
        <v>14.259454418218837</v>
      </c>
      <c r="BB90" s="173">
        <f t="shared" si="205"/>
        <v>0.7959288960705061</v>
      </c>
      <c r="BC90" s="173">
        <f t="shared" si="206"/>
        <v>0.62929626011688466</v>
      </c>
      <c r="BD90" s="173"/>
      <c r="BE90" s="528">
        <f t="shared" si="207"/>
        <v>8.1332816122104283</v>
      </c>
      <c r="BF90" s="528">
        <f t="shared" si="208"/>
        <v>4.0125047996687977</v>
      </c>
      <c r="BG90" s="528">
        <f t="shared" si="209"/>
        <v>0.10481699903148319</v>
      </c>
      <c r="BH90" s="528">
        <f t="shared" si="210"/>
        <v>1.8191776879476693E-2</v>
      </c>
      <c r="BI90">
        <f t="shared" si="211"/>
        <v>4.9316193869705328E-3</v>
      </c>
      <c r="BJ90" s="460">
        <f t="shared" si="279"/>
        <v>109.74861841845372</v>
      </c>
      <c r="BK90">
        <f t="shared" si="212"/>
        <v>-15.399958683516369</v>
      </c>
      <c r="BL90" s="460">
        <f t="shared" si="280"/>
        <v>-15399.958683516368</v>
      </c>
      <c r="BM90" s="173">
        <f t="shared" si="213"/>
        <v>0.44267999999999996</v>
      </c>
      <c r="BN90" s="173">
        <f t="shared" si="214"/>
        <v>0.36890000000000001</v>
      </c>
      <c r="BO90" s="528"/>
      <c r="BQ90" s="460">
        <f t="shared" si="281"/>
        <v>811.57999999999993</v>
      </c>
      <c r="BR90" s="528">
        <f t="shared" si="215"/>
        <v>6.0999612091578213</v>
      </c>
      <c r="BS90" s="528">
        <f t="shared" si="216"/>
        <v>1.9005084228000436E-2</v>
      </c>
      <c r="BT90" s="528">
        <f t="shared" si="217"/>
        <v>1.980068914985489E-3</v>
      </c>
      <c r="BU90" s="528">
        <f t="shared" si="218"/>
        <v>399.7049998312263</v>
      </c>
      <c r="BV90" s="528">
        <f t="shared" si="219"/>
        <v>798.11010467412973</v>
      </c>
      <c r="BW90" s="625">
        <f t="shared" si="220"/>
        <v>8.7409971197868099</v>
      </c>
      <c r="BX90" s="460">
        <f t="shared" si="282"/>
        <v>806851.10179391655</v>
      </c>
      <c r="BY90" s="173">
        <f t="shared" si="283"/>
        <v>792.2627231104002</v>
      </c>
      <c r="BZ90" s="5">
        <f t="shared" si="284"/>
        <v>91.8</v>
      </c>
      <c r="CA90" s="173">
        <f t="shared" si="285"/>
        <v>0.10383878609542524</v>
      </c>
      <c r="CB90" s="5">
        <f t="shared" si="286"/>
        <v>10.383878609542524</v>
      </c>
      <c r="CC90">
        <f t="shared" si="287"/>
        <v>85.000000000000014</v>
      </c>
      <c r="CE90" s="562">
        <f t="shared" si="221"/>
        <v>-50</v>
      </c>
      <c r="CF90">
        <f t="shared" si="222"/>
        <v>-50</v>
      </c>
      <c r="CG90" s="173">
        <f t="shared" si="223"/>
        <v>0.5788303047571709</v>
      </c>
      <c r="CH90" s="173">
        <f t="shared" si="224"/>
        <v>0.14404267188190509</v>
      </c>
      <c r="CI90" s="170">
        <v>85</v>
      </c>
      <c r="CJ90" s="217">
        <f t="shared" si="309"/>
        <v>0.51</v>
      </c>
      <c r="CK90" s="217">
        <f t="shared" si="288"/>
        <v>0.42499999999999999</v>
      </c>
      <c r="CL90" s="217">
        <f t="shared" si="225"/>
        <v>86.7</v>
      </c>
      <c r="CM90" s="217">
        <f t="shared" si="310"/>
        <v>5.0999999999999996</v>
      </c>
      <c r="CN90" s="541">
        <f t="shared" si="289"/>
        <v>12.5</v>
      </c>
      <c r="CO90" s="443">
        <f t="shared" si="226"/>
        <v>8.5350000000000001</v>
      </c>
      <c r="CP90" s="443">
        <f t="shared" si="227"/>
        <v>21.035</v>
      </c>
      <c r="CQ90" s="443"/>
      <c r="CR90" s="217">
        <f t="shared" si="228"/>
        <v>0.40546967895362668</v>
      </c>
      <c r="CS90" s="172">
        <f t="shared" si="290"/>
        <v>159.55982736601052</v>
      </c>
      <c r="CT90" s="172">
        <f t="shared" si="229"/>
        <v>9.3858721980006177</v>
      </c>
      <c r="CU90" s="217">
        <f t="shared" si="230"/>
        <v>0.93858721980006188</v>
      </c>
      <c r="CV90" s="217">
        <f t="shared" si="231"/>
        <v>13.296652280500878</v>
      </c>
      <c r="CW90" s="443">
        <f t="shared" si="232"/>
        <v>170</v>
      </c>
      <c r="CX90" s="217">
        <f t="shared" si="233"/>
        <v>36.224656891495592</v>
      </c>
      <c r="CY90" s="217">
        <f t="shared" si="234"/>
        <v>1.4489862756598235</v>
      </c>
      <c r="CZ90" s="217">
        <f t="shared" si="235"/>
        <v>2.1221240123898997</v>
      </c>
      <c r="DA90" s="197">
        <f t="shared" si="236"/>
        <v>350</v>
      </c>
      <c r="DB90" s="443">
        <f t="shared" si="291"/>
        <v>280.02495564093209</v>
      </c>
      <c r="DD90" s="217">
        <f t="shared" si="237"/>
        <v>28.98230839756868</v>
      </c>
      <c r="DE90" s="173">
        <f t="shared" si="238"/>
        <v>1.6978505212401103</v>
      </c>
      <c r="DF90" s="173">
        <f t="shared" si="239"/>
        <v>0.40664636548103333</v>
      </c>
      <c r="DG90" s="173"/>
      <c r="DH90" s="173">
        <f t="shared" si="240"/>
        <v>0.78109744190587771</v>
      </c>
      <c r="DI90" s="545">
        <f t="shared" si="241"/>
        <v>2074.0050000000006</v>
      </c>
      <c r="DJ90" s="528">
        <f t="shared" si="242"/>
        <v>8.6065366284073561E-2</v>
      </c>
      <c r="DL90" s="173">
        <f t="shared" si="243"/>
        <v>32.390474790327744</v>
      </c>
      <c r="DM90" s="173">
        <f t="shared" si="244"/>
        <v>36.224656891495592</v>
      </c>
      <c r="DN90" s="173">
        <f t="shared" si="245"/>
        <v>18.156535969009077</v>
      </c>
      <c r="DP90" s="545">
        <f t="shared" si="246"/>
        <v>510</v>
      </c>
      <c r="DQ90" s="460">
        <f t="shared" si="247"/>
        <v>280.02495564093209</v>
      </c>
      <c r="DS90">
        <f t="shared" si="292"/>
        <v>510</v>
      </c>
      <c r="DT90">
        <f t="shared" si="248"/>
        <v>280.02495564093209</v>
      </c>
      <c r="DV90" s="5">
        <f t="shared" si="293"/>
        <v>3.5711102880497232</v>
      </c>
      <c r="DW90" s="5">
        <f t="shared" si="249"/>
        <v>1.4489862756598235</v>
      </c>
      <c r="DX90" s="5">
        <f t="shared" si="294"/>
        <v>2.1221240123898997</v>
      </c>
      <c r="DY90" s="173">
        <f t="shared" si="295"/>
        <v>0.40575231756596147</v>
      </c>
      <c r="EA90" s="5">
        <f t="shared" si="250"/>
        <v>0.43469588269794707</v>
      </c>
      <c r="EB90" s="5">
        <f t="shared" si="251"/>
        <v>5.1318263929618748</v>
      </c>
      <c r="EC90" s="5">
        <f t="shared" si="252"/>
        <v>23.550483439898152</v>
      </c>
      <c r="ED90" s="5"/>
      <c r="EE90" s="173">
        <f t="shared" si="296"/>
        <v>13.322145048653836</v>
      </c>
      <c r="EF90" s="173">
        <f t="shared" si="253"/>
        <v>0.76133154065947639</v>
      </c>
      <c r="EG90" s="173">
        <f t="shared" si="254"/>
        <v>0.60194207499107277</v>
      </c>
      <c r="EH90" s="173"/>
      <c r="EI90" s="528">
        <f t="shared" si="255"/>
        <v>7.099181947894877</v>
      </c>
      <c r="EJ90" s="528">
        <f t="shared" si="256"/>
        <v>5.8678125000000003</v>
      </c>
      <c r="EK90" s="528">
        <f t="shared" si="257"/>
        <v>5.6004991128186417E-2</v>
      </c>
      <c r="EL90" s="528">
        <f t="shared" si="258"/>
        <v>2.4780597030602779E-2</v>
      </c>
      <c r="EM90">
        <f t="shared" si="259"/>
        <v>5.6249999999999998E-3</v>
      </c>
      <c r="EN90" s="460">
        <f t="shared" si="297"/>
        <v>61.629991128186418</v>
      </c>
      <c r="EO90">
        <f t="shared" si="260"/>
        <v>-21.798097473390907</v>
      </c>
      <c r="EP90" s="460">
        <f t="shared" si="298"/>
        <v>-21798.097473390906</v>
      </c>
      <c r="EQ90" s="173">
        <f t="shared" si="261"/>
        <v>0.44267999999999996</v>
      </c>
      <c r="ER90" s="173">
        <f t="shared" si="262"/>
        <v>0.36890000000000001</v>
      </c>
      <c r="ES90" s="528"/>
      <c r="EU90" s="460">
        <f t="shared" si="299"/>
        <v>811.57999999999993</v>
      </c>
      <c r="EV90" s="528">
        <f t="shared" si="263"/>
        <v>5.3243864609211569</v>
      </c>
      <c r="EW90" s="528">
        <f t="shared" si="300"/>
        <v>1.7388771444087955E-2</v>
      </c>
      <c r="EX90" s="528">
        <f t="shared" si="264"/>
        <v>1.8116713082227914E-3</v>
      </c>
      <c r="EY90" s="528">
        <f t="shared" si="265"/>
        <v>518.17033803905349</v>
      </c>
      <c r="EZ90" s="528">
        <f t="shared" si="266"/>
        <v>916.65401845827012</v>
      </c>
      <c r="FA90" s="625">
        <f t="shared" si="267"/>
        <v>9.1863990542225729</v>
      </c>
      <c r="FB90" s="460">
        <f t="shared" si="301"/>
        <v>925840.41751249263</v>
      </c>
      <c r="FC90" s="173">
        <f t="shared" si="302"/>
        <v>904.85390003910175</v>
      </c>
      <c r="FD90" s="5">
        <f t="shared" si="303"/>
        <v>91.8</v>
      </c>
      <c r="FE90" s="173">
        <f t="shared" si="304"/>
        <v>9.2108203255311008E-2</v>
      </c>
      <c r="FF90" s="5">
        <f t="shared" si="305"/>
        <v>9.2108203255311007</v>
      </c>
      <c r="FG90">
        <f t="shared" si="306"/>
        <v>85.000000000000014</v>
      </c>
      <c r="FI90" s="562">
        <f t="shared" si="268"/>
        <v>-50</v>
      </c>
      <c r="FJ90">
        <f t="shared" si="269"/>
        <v>-50</v>
      </c>
      <c r="FL90">
        <f t="shared" si="270"/>
        <v>0.5788303047571709</v>
      </c>
    </row>
    <row r="91" spans="5:168">
      <c r="E91" s="170">
        <v>86</v>
      </c>
      <c r="F91" s="217">
        <f t="shared" si="307"/>
        <v>0.51600000000000001</v>
      </c>
      <c r="G91" s="217">
        <f t="shared" si="271"/>
        <v>0.43</v>
      </c>
      <c r="H91" s="217">
        <f t="shared" si="176"/>
        <v>87.72</v>
      </c>
      <c r="I91" s="217">
        <f t="shared" si="308"/>
        <v>5.16</v>
      </c>
      <c r="J91" s="541">
        <f t="shared" si="177"/>
        <v>10.94102659554159</v>
      </c>
      <c r="K91" s="443">
        <f t="shared" si="178"/>
        <v>8.5450310661828581</v>
      </c>
      <c r="L91" s="172">
        <f t="shared" si="179"/>
        <v>19.486057661724448</v>
      </c>
      <c r="M91" s="443"/>
      <c r="N91" s="217">
        <f t="shared" si="180"/>
        <v>0.43852025969149538</v>
      </c>
      <c r="O91" s="172">
        <f t="shared" si="272"/>
        <v>151.0437981619699</v>
      </c>
      <c r="P91" s="172">
        <f t="shared" si="181"/>
        <v>8.8849293036452881</v>
      </c>
      <c r="Q91" s="217">
        <f t="shared" si="182"/>
        <v>0.88849293036452881</v>
      </c>
      <c r="R91" s="217">
        <f t="shared" si="183"/>
        <v>12.586983180164159</v>
      </c>
      <c r="S91" s="443">
        <f t="shared" si="184"/>
        <v>170</v>
      </c>
      <c r="T91" s="217">
        <f t="shared" si="185"/>
        <v>38.717246726866414</v>
      </c>
      <c r="U91" s="217">
        <f t="shared" si="186"/>
        <v>1.7693607811283214</v>
      </c>
      <c r="V91" s="217">
        <f t="shared" si="187"/>
        <v>2.2654830875975827</v>
      </c>
      <c r="W91" s="197">
        <f t="shared" si="188"/>
        <v>350</v>
      </c>
      <c r="X91" s="443">
        <f t="shared" si="273"/>
        <v>236.13621446234336</v>
      </c>
      <c r="Z91" s="217">
        <f t="shared" si="189"/>
        <v>27.416353279819749</v>
      </c>
      <c r="AA91" s="173">
        <f t="shared" si="190"/>
        <v>1.6042278294528705</v>
      </c>
      <c r="AB91" s="173">
        <f t="shared" si="191"/>
        <v>0.36346299671654159</v>
      </c>
      <c r="AC91" s="173"/>
      <c r="AD91" s="173">
        <f t="shared" si="192"/>
        <v>0.78018050666312277</v>
      </c>
      <c r="AE91" s="545">
        <f t="shared" si="193"/>
        <v>2100.8712849539925</v>
      </c>
      <c r="AF91" s="528">
        <f t="shared" si="194"/>
        <v>8.5964333604547805E-2</v>
      </c>
      <c r="AH91" s="173">
        <f t="shared" si="195"/>
        <v>32.580449878504048</v>
      </c>
      <c r="AI91" s="173">
        <f t="shared" si="196"/>
        <v>38.717246726866414</v>
      </c>
      <c r="AJ91" s="173">
        <f t="shared" si="197"/>
        <v>20.002898810024501</v>
      </c>
      <c r="AL91" s="545">
        <f t="shared" si="198"/>
        <v>516</v>
      </c>
      <c r="AM91" s="460">
        <f t="shared" si="199"/>
        <v>236.13621446234336</v>
      </c>
      <c r="AO91">
        <f t="shared" si="274"/>
        <v>516</v>
      </c>
      <c r="AP91">
        <f t="shared" si="200"/>
        <v>236.13621446234336</v>
      </c>
      <c r="AR91" s="5">
        <f t="shared" si="275"/>
        <v>4.2348438687259042</v>
      </c>
      <c r="AS91" s="5">
        <f t="shared" si="201"/>
        <v>1.7693607811283214</v>
      </c>
      <c r="AT91" s="5">
        <f t="shared" si="276"/>
        <v>2.4654830875975828</v>
      </c>
      <c r="AU91" s="173">
        <f t="shared" si="277"/>
        <v>0.41781015687377671</v>
      </c>
      <c r="AW91" s="5">
        <f t="shared" si="202"/>
        <v>0.53705303709541996</v>
      </c>
      <c r="AX91" s="5">
        <f t="shared" si="203"/>
        <v>6.340209465709818</v>
      </c>
      <c r="AY91" s="5">
        <f t="shared" si="204"/>
        <v>31.627332160174397</v>
      </c>
      <c r="AZ91" s="5"/>
      <c r="BA91" s="173">
        <f t="shared" si="278"/>
        <v>14.448851759551056</v>
      </c>
      <c r="BB91" s="173">
        <f t="shared" si="205"/>
        <v>0.80542030012588595</v>
      </c>
      <c r="BC91" s="173">
        <f t="shared" si="206"/>
        <v>0.63680058004394968</v>
      </c>
      <c r="BD91" s="173"/>
      <c r="BE91" s="528">
        <f t="shared" si="207"/>
        <v>8.3507726867792655</v>
      </c>
      <c r="BF91" s="528">
        <f t="shared" si="208"/>
        <v>4.008423173608775</v>
      </c>
      <c r="BG91" s="528">
        <f t="shared" si="209"/>
        <v>0.10334290410412046</v>
      </c>
      <c r="BH91" s="528">
        <f t="shared" si="210"/>
        <v>1.7932488420655215E-2</v>
      </c>
      <c r="BI91">
        <f t="shared" si="211"/>
        <v>4.9234619679937152E-3</v>
      </c>
      <c r="BJ91" s="460">
        <f t="shared" si="279"/>
        <v>108.26636607211418</v>
      </c>
      <c r="BK91">
        <f t="shared" si="212"/>
        <v>-14.86758346778233</v>
      </c>
      <c r="BL91" s="460">
        <f t="shared" si="280"/>
        <v>-14867.58346778233</v>
      </c>
      <c r="BM91" s="173">
        <f t="shared" si="213"/>
        <v>0.44788799999999995</v>
      </c>
      <c r="BN91" s="173">
        <f t="shared" si="214"/>
        <v>0.37323999999999996</v>
      </c>
      <c r="BO91" s="528"/>
      <c r="BQ91" s="460">
        <f t="shared" si="281"/>
        <v>821.12799999999982</v>
      </c>
      <c r="BR91" s="528">
        <f t="shared" si="215"/>
        <v>6.2630795150844492</v>
      </c>
      <c r="BS91" s="528">
        <f t="shared" si="216"/>
        <v>1.9461055795646165E-2</v>
      </c>
      <c r="BT91" s="528">
        <f t="shared" si="217"/>
        <v>2.0275748937215537E-3</v>
      </c>
      <c r="BU91" s="528">
        <f t="shared" si="218"/>
        <v>399.61120868636283</v>
      </c>
      <c r="BV91" s="528">
        <f t="shared" si="219"/>
        <v>819.33983579537585</v>
      </c>
      <c r="BW91" s="625">
        <f t="shared" si="220"/>
        <v>8.8493533680147518</v>
      </c>
      <c r="BX91" s="460">
        <f t="shared" si="282"/>
        <v>828189.18916339055</v>
      </c>
      <c r="BY91" s="173">
        <f t="shared" si="283"/>
        <v>814.14273369560817</v>
      </c>
      <c r="BZ91" s="5">
        <f t="shared" si="284"/>
        <v>92.88</v>
      </c>
      <c r="CA91" s="173">
        <f t="shared" si="285"/>
        <v>0.10240096146385015</v>
      </c>
      <c r="CB91" s="5">
        <f t="shared" si="286"/>
        <v>10.240096146385016</v>
      </c>
      <c r="CC91">
        <f t="shared" si="287"/>
        <v>86.000000000000014</v>
      </c>
      <c r="CE91" s="562">
        <f t="shared" si="221"/>
        <v>-50</v>
      </c>
      <c r="CF91">
        <f t="shared" si="222"/>
        <v>-50</v>
      </c>
      <c r="CG91" s="173">
        <f t="shared" si="223"/>
        <v>0.5788303047571709</v>
      </c>
      <c r="CH91" s="173">
        <f t="shared" si="224"/>
        <v>0.14404267188190506</v>
      </c>
      <c r="CI91" s="170">
        <v>86</v>
      </c>
      <c r="CJ91" s="217">
        <f t="shared" si="309"/>
        <v>0.51600000000000001</v>
      </c>
      <c r="CK91" s="217">
        <f t="shared" si="288"/>
        <v>0.43</v>
      </c>
      <c r="CL91" s="217">
        <f t="shared" si="225"/>
        <v>87.72</v>
      </c>
      <c r="CM91" s="217">
        <f t="shared" si="310"/>
        <v>5.16</v>
      </c>
      <c r="CN91" s="541">
        <f t="shared" si="289"/>
        <v>12.5</v>
      </c>
      <c r="CO91" s="443">
        <f t="shared" si="226"/>
        <v>8.5350000000000001</v>
      </c>
      <c r="CP91" s="443">
        <f t="shared" si="227"/>
        <v>21.035</v>
      </c>
      <c r="CQ91" s="443"/>
      <c r="CR91" s="217">
        <f t="shared" si="228"/>
        <v>0.40546967895362668</v>
      </c>
      <c r="CS91" s="172">
        <f t="shared" si="290"/>
        <v>159.55982736601052</v>
      </c>
      <c r="CT91" s="172">
        <f t="shared" si="229"/>
        <v>9.3858721980006177</v>
      </c>
      <c r="CU91" s="217">
        <f t="shared" si="230"/>
        <v>0.93858721980006188</v>
      </c>
      <c r="CV91" s="217">
        <f t="shared" si="231"/>
        <v>13.296652280500878</v>
      </c>
      <c r="CW91" s="443">
        <f t="shared" si="232"/>
        <v>170</v>
      </c>
      <c r="CX91" s="217">
        <f t="shared" si="233"/>
        <v>36.650829325513186</v>
      </c>
      <c r="CY91" s="217">
        <f t="shared" si="234"/>
        <v>1.4660331730205274</v>
      </c>
      <c r="CZ91" s="217">
        <f t="shared" si="235"/>
        <v>2.1470901772415458</v>
      </c>
      <c r="DA91" s="197">
        <f t="shared" si="236"/>
        <v>350</v>
      </c>
      <c r="DB91" s="443">
        <f t="shared" si="291"/>
        <v>276.7688515055724</v>
      </c>
      <c r="DD91" s="217">
        <f t="shared" si="237"/>
        <v>28.98230839756868</v>
      </c>
      <c r="DE91" s="173">
        <f t="shared" si="238"/>
        <v>1.6978505212401103</v>
      </c>
      <c r="DF91" s="173">
        <f t="shared" si="239"/>
        <v>0.40664636548103333</v>
      </c>
      <c r="DG91" s="173"/>
      <c r="DH91" s="173">
        <f t="shared" si="240"/>
        <v>0.78109744190587771</v>
      </c>
      <c r="DI91" s="545">
        <f t="shared" si="241"/>
        <v>2098.4050588235295</v>
      </c>
      <c r="DJ91" s="528">
        <f t="shared" si="242"/>
        <v>8.6065366284073561E-2</v>
      </c>
      <c r="DL91" s="173">
        <f t="shared" si="243"/>
        <v>32.580449878504048</v>
      </c>
      <c r="DM91" s="173">
        <f t="shared" si="244"/>
        <v>36.650829325513186</v>
      </c>
      <c r="DN91" s="173">
        <f t="shared" si="245"/>
        <v>18.472219253466555</v>
      </c>
      <c r="DP91" s="545">
        <f t="shared" si="246"/>
        <v>516</v>
      </c>
      <c r="DQ91" s="460">
        <f t="shared" si="247"/>
        <v>276.7688515055724</v>
      </c>
      <c r="DS91">
        <f>IF(CL91&gt;CS91, "",DP91)</f>
        <v>516</v>
      </c>
      <c r="DT91">
        <f>IF(CL91&gt;CS91, "",DQ91)</f>
        <v>276.7688515055724</v>
      </c>
      <c r="DV91" s="5">
        <f t="shared" si="293"/>
        <v>3.613123350262073</v>
      </c>
      <c r="DW91" s="5">
        <f t="shared" si="249"/>
        <v>1.4660331730205274</v>
      </c>
      <c r="DX91" s="5">
        <f t="shared" si="294"/>
        <v>2.1470901772415454</v>
      </c>
      <c r="DY91" s="173">
        <f t="shared" si="295"/>
        <v>0.40575231756596147</v>
      </c>
      <c r="EA91" s="5">
        <f t="shared" si="250"/>
        <v>0.44498418663446598</v>
      </c>
      <c r="EB91" s="5">
        <f t="shared" si="251"/>
        <v>5.2532855366568896</v>
      </c>
      <c r="EC91" s="5">
        <f t="shared" si="252"/>
        <v>24.107872044496428</v>
      </c>
      <c r="ED91" s="5"/>
      <c r="EE91" s="173">
        <f t="shared" si="296"/>
        <v>13.478876166873292</v>
      </c>
      <c r="EF91" s="173">
        <f t="shared" si="253"/>
        <v>0.77028838231429375</v>
      </c>
      <c r="EG91" s="173">
        <f t="shared" si="254"/>
        <v>0.6090237464615561</v>
      </c>
      <c r="EH91" s="173"/>
      <c r="EI91" s="528">
        <f t="shared" si="255"/>
        <v>7.2672041088761929</v>
      </c>
      <c r="EJ91" s="528">
        <f t="shared" si="256"/>
        <v>5.8678125000000003</v>
      </c>
      <c r="EK91" s="528">
        <f t="shared" si="257"/>
        <v>5.5353770301114477E-2</v>
      </c>
      <c r="EL91" s="528">
        <f t="shared" si="258"/>
        <v>2.4492450553502743E-2</v>
      </c>
      <c r="EM91">
        <f t="shared" si="259"/>
        <v>5.6249999999999998E-3</v>
      </c>
      <c r="EN91" s="460">
        <f t="shared" si="297"/>
        <v>60.978770301114473</v>
      </c>
      <c r="EO91">
        <f t="shared" si="260"/>
        <v>-20.892926930068086</v>
      </c>
      <c r="EP91" s="460">
        <f t="shared" si="298"/>
        <v>-20892.926930068086</v>
      </c>
      <c r="EQ91" s="173">
        <f t="shared" si="261"/>
        <v>0.44788799999999995</v>
      </c>
      <c r="ER91" s="173">
        <f t="shared" si="262"/>
        <v>0.37323999999999996</v>
      </c>
      <c r="ES91" s="528"/>
      <c r="EU91" s="460">
        <f t="shared" si="299"/>
        <v>821.12799999999982</v>
      </c>
      <c r="EV91" s="528">
        <f t="shared" si="263"/>
        <v>5.4504030816571447</v>
      </c>
      <c r="EW91" s="528">
        <f t="shared" si="300"/>
        <v>1.7800325757851149E-2</v>
      </c>
      <c r="EX91" s="528">
        <f t="shared" si="264"/>
        <v>1.854549618770349E-3</v>
      </c>
      <c r="EY91" s="528">
        <f t="shared" si="265"/>
        <v>518.17033803905349</v>
      </c>
      <c r="EZ91" s="528">
        <f t="shared" si="266"/>
        <v>933.42378695535285</v>
      </c>
      <c r="FA91" s="625">
        <f t="shared" si="267"/>
        <v>9.2944743372134262</v>
      </c>
      <c r="FB91" s="460">
        <f t="shared" si="301"/>
        <v>942718.2612925662</v>
      </c>
      <c r="FC91" s="173">
        <f t="shared" si="302"/>
        <v>922.64646236249814</v>
      </c>
      <c r="FD91" s="5">
        <f t="shared" si="303"/>
        <v>92.88</v>
      </c>
      <c r="FE91" s="173">
        <f t="shared" si="304"/>
        <v>9.1459950520566477E-2</v>
      </c>
      <c r="FF91" s="5">
        <f t="shared" si="305"/>
        <v>9.145995052056648</v>
      </c>
      <c r="FG91">
        <f t="shared" si="306"/>
        <v>86.000000000000014</v>
      </c>
      <c r="FI91" s="562">
        <f t="shared" si="268"/>
        <v>-50</v>
      </c>
      <c r="FJ91">
        <f t="shared" si="269"/>
        <v>-50</v>
      </c>
      <c r="FL91">
        <f t="shared" si="270"/>
        <v>0.5788303047571709</v>
      </c>
    </row>
    <row r="92" spans="5:168">
      <c r="E92" s="170">
        <v>87</v>
      </c>
      <c r="F92" s="217">
        <f t="shared" si="307"/>
        <v>0.52200000000000002</v>
      </c>
      <c r="G92" s="217">
        <f t="shared" si="271"/>
        <v>0.435</v>
      </c>
      <c r="H92" s="217">
        <f t="shared" si="176"/>
        <v>88.740000000000009</v>
      </c>
      <c r="I92" s="217">
        <f t="shared" si="308"/>
        <v>5.22</v>
      </c>
      <c r="J92" s="541">
        <f t="shared" si="177"/>
        <v>10.922898997815331</v>
      </c>
      <c r="K92" s="443">
        <f t="shared" si="178"/>
        <v>8.5451477064873096</v>
      </c>
      <c r="L92" s="172">
        <f t="shared" si="179"/>
        <v>19.46804670430264</v>
      </c>
      <c r="M92" s="443"/>
      <c r="N92" s="217">
        <f t="shared" si="180"/>
        <v>0.43893195019913034</v>
      </c>
      <c r="O92" s="172">
        <f t="shared" si="272"/>
        <v>150.93510944808625</v>
      </c>
      <c r="P92" s="172">
        <f t="shared" si="181"/>
        <v>8.8785358498874256</v>
      </c>
      <c r="Q92" s="217">
        <f t="shared" si="182"/>
        <v>0.88785358498874267</v>
      </c>
      <c r="R92" s="217">
        <f t="shared" si="183"/>
        <v>12.57792578734052</v>
      </c>
      <c r="S92" s="443">
        <f t="shared" si="184"/>
        <v>170</v>
      </c>
      <c r="T92" s="217">
        <f t="shared" si="185"/>
        <v>39.1956518376183</v>
      </c>
      <c r="U92" s="217">
        <f t="shared" si="186"/>
        <v>1.7941963871247804</v>
      </c>
      <c r="V92" s="217">
        <f t="shared" si="187"/>
        <v>2.293444957531964</v>
      </c>
      <c r="W92" s="197">
        <f t="shared" si="188"/>
        <v>350</v>
      </c>
      <c r="X92" s="443">
        <f t="shared" si="273"/>
        <v>233.22846283451369</v>
      </c>
      <c r="Z92" s="217">
        <f t="shared" si="189"/>
        <v>27.396624908224055</v>
      </c>
      <c r="AA92" s="173">
        <f t="shared" si="190"/>
        <v>1.6030515708596278</v>
      </c>
      <c r="AB92" s="173">
        <f t="shared" si="191"/>
        <v>0.36293514644793673</v>
      </c>
      <c r="AC92" s="173"/>
      <c r="AD92" s="173">
        <f t="shared" si="192"/>
        <v>0.78016985728701493</v>
      </c>
      <c r="AE92" s="545">
        <f t="shared" si="193"/>
        <v>2125.3290313276257</v>
      </c>
      <c r="AF92" s="528">
        <f t="shared" si="194"/>
        <v>8.5963160201069241E-2</v>
      </c>
      <c r="AH92" s="173">
        <f t="shared" si="195"/>
        <v>32.769323633980783</v>
      </c>
      <c r="AI92" s="173">
        <f t="shared" si="196"/>
        <v>39.1956518376183</v>
      </c>
      <c r="AJ92" s="173">
        <f t="shared" si="197"/>
        <v>20.35727296613701</v>
      </c>
      <c r="AL92" s="545">
        <f t="shared" si="198"/>
        <v>522</v>
      </c>
      <c r="AM92" s="460">
        <f t="shared" si="199"/>
        <v>233.22846283451369</v>
      </c>
      <c r="AO92">
        <f t="shared" si="274"/>
        <v>522</v>
      </c>
      <c r="AP92">
        <f t="shared" si="200"/>
        <v>233.22846283451369</v>
      </c>
      <c r="AR92" s="5">
        <f t="shared" si="275"/>
        <v>4.2876413446567447</v>
      </c>
      <c r="AS92" s="5">
        <f t="shared" si="201"/>
        <v>1.7941963871247804</v>
      </c>
      <c r="AT92" s="5">
        <f t="shared" si="276"/>
        <v>2.4934449575319642</v>
      </c>
      <c r="AU92" s="173">
        <f t="shared" si="277"/>
        <v>0.41845766539235063</v>
      </c>
      <c r="AW92" s="5">
        <f t="shared" si="202"/>
        <v>0.55092383181125604</v>
      </c>
      <c r="AX92" s="5">
        <f t="shared" si="203"/>
        <v>6.5039619033273288</v>
      </c>
      <c r="AY92" s="5">
        <f t="shared" si="204"/>
        <v>32.411660029176069</v>
      </c>
      <c r="AZ92" s="5"/>
      <c r="BA92" s="173">
        <f t="shared" si="278"/>
        <v>14.638717434082871</v>
      </c>
      <c r="BB92" s="173">
        <f t="shared" si="205"/>
        <v>0.81491882883728672</v>
      </c>
      <c r="BC92" s="173">
        <f t="shared" si="206"/>
        <v>0.64431053303624286</v>
      </c>
      <c r="BD92" s="173"/>
      <c r="BE92" s="528">
        <f t="shared" si="207"/>
        <v>8.5716819245968718</v>
      </c>
      <c r="BF92" s="528">
        <f t="shared" si="208"/>
        <v>4.0042790856221</v>
      </c>
      <c r="BG92" s="528">
        <f t="shared" si="209"/>
        <v>0.1019012377182848</v>
      </c>
      <c r="BH92" s="528">
        <f t="shared" si="210"/>
        <v>1.7678943363731877E-2</v>
      </c>
      <c r="BI92">
        <f t="shared" si="211"/>
        <v>4.9153045490168985E-3</v>
      </c>
      <c r="BJ92" s="460">
        <f t="shared" si="279"/>
        <v>106.8165422673017</v>
      </c>
      <c r="BK92">
        <f t="shared" si="212"/>
        <v>-14.381187790924757</v>
      </c>
      <c r="BL92" s="460">
        <f t="shared" si="280"/>
        <v>-14381.187790924758</v>
      </c>
      <c r="BM92" s="173">
        <f t="shared" si="213"/>
        <v>0.453096</v>
      </c>
      <c r="BN92" s="173">
        <f t="shared" si="214"/>
        <v>0.37757999999999997</v>
      </c>
      <c r="BO92" s="528"/>
      <c r="BQ92" s="460">
        <f t="shared" si="281"/>
        <v>830.67599999999993</v>
      </c>
      <c r="BR92" s="528">
        <f t="shared" si="215"/>
        <v>6.4287614434476534</v>
      </c>
      <c r="BS92" s="528">
        <f t="shared" si="216"/>
        <v>1.9922780927806052E-2</v>
      </c>
      <c r="BT92" s="528">
        <f t="shared" si="217"/>
        <v>2.0756803149072369E-3</v>
      </c>
      <c r="BU92" s="528">
        <f t="shared" si="218"/>
        <v>399.50167769794427</v>
      </c>
      <c r="BV92" s="528">
        <f t="shared" si="219"/>
        <v>842.04919452552792</v>
      </c>
      <c r="BW92" s="625">
        <f t="shared" si="220"/>
        <v>8.9577170726413815</v>
      </c>
      <c r="BX92" s="460">
        <f t="shared" si="282"/>
        <v>851006.91159816924</v>
      </c>
      <c r="BY92" s="173">
        <f t="shared" si="283"/>
        <v>837.45639980724457</v>
      </c>
      <c r="BZ92" s="5">
        <f t="shared" si="284"/>
        <v>93.960000000000008</v>
      </c>
      <c r="CA92" s="173">
        <f t="shared" si="285"/>
        <v>0.10087861886417815</v>
      </c>
      <c r="CB92" s="5">
        <f t="shared" si="286"/>
        <v>10.087861886417816</v>
      </c>
      <c r="CC92">
        <f t="shared" si="287"/>
        <v>87.000000000000014</v>
      </c>
      <c r="CE92" s="562">
        <f t="shared" si="221"/>
        <v>-50</v>
      </c>
      <c r="CF92">
        <f t="shared" si="222"/>
        <v>-50</v>
      </c>
      <c r="CG92" s="173">
        <f t="shared" si="223"/>
        <v>0.5788303047571709</v>
      </c>
      <c r="CH92" s="173">
        <f t="shared" si="224"/>
        <v>0.14404267188190506</v>
      </c>
      <c r="CI92" s="170">
        <v>87</v>
      </c>
      <c r="CJ92" s="217">
        <f t="shared" si="309"/>
        <v>0.52200000000000002</v>
      </c>
      <c r="CK92" s="217">
        <f t="shared" si="288"/>
        <v>0.435</v>
      </c>
      <c r="CL92" s="217">
        <f t="shared" si="225"/>
        <v>88.740000000000009</v>
      </c>
      <c r="CM92" s="217">
        <f t="shared" si="310"/>
        <v>5.22</v>
      </c>
      <c r="CN92" s="541">
        <f t="shared" si="289"/>
        <v>12.5</v>
      </c>
      <c r="CO92" s="443">
        <f t="shared" si="226"/>
        <v>8.5350000000000001</v>
      </c>
      <c r="CP92" s="443">
        <f t="shared" si="227"/>
        <v>21.035</v>
      </c>
      <c r="CQ92" s="443"/>
      <c r="CR92" s="217">
        <f t="shared" si="228"/>
        <v>0.40546967895362668</v>
      </c>
      <c r="CS92" s="172">
        <f t="shared" si="290"/>
        <v>159.55982736601052</v>
      </c>
      <c r="CT92" s="172">
        <f t="shared" si="229"/>
        <v>9.3858721980006177</v>
      </c>
      <c r="CU92" s="217">
        <f t="shared" si="230"/>
        <v>0.93858721980006188</v>
      </c>
      <c r="CV92" s="217">
        <f t="shared" si="231"/>
        <v>13.296652280500878</v>
      </c>
      <c r="CW92" s="443">
        <f t="shared" si="232"/>
        <v>170</v>
      </c>
      <c r="CX92" s="217">
        <f t="shared" si="233"/>
        <v>37.077001759530788</v>
      </c>
      <c r="CY92" s="217">
        <f t="shared" si="234"/>
        <v>1.4830800703812315</v>
      </c>
      <c r="CZ92" s="217">
        <f t="shared" si="235"/>
        <v>2.172056342093192</v>
      </c>
      <c r="DA92" s="197">
        <f t="shared" si="236"/>
        <v>350</v>
      </c>
      <c r="DB92" s="443">
        <f t="shared" si="291"/>
        <v>273.58760033884164</v>
      </c>
      <c r="DD92" s="217">
        <f t="shared" si="237"/>
        <v>28.98230839756868</v>
      </c>
      <c r="DE92" s="173">
        <f t="shared" si="238"/>
        <v>1.6978505212401103</v>
      </c>
      <c r="DF92" s="173">
        <f t="shared" si="239"/>
        <v>0.40664636548103333</v>
      </c>
      <c r="DG92" s="173"/>
      <c r="DH92" s="173">
        <f t="shared" si="240"/>
        <v>0.78109744190587771</v>
      </c>
      <c r="DI92" s="545">
        <f t="shared" si="241"/>
        <v>2122.805117647059</v>
      </c>
      <c r="DJ92" s="528">
        <f t="shared" si="242"/>
        <v>8.6065366284073561E-2</v>
      </c>
      <c r="DL92" s="173">
        <f t="shared" si="243"/>
        <v>32.769323633980783</v>
      </c>
      <c r="DM92" s="173">
        <f t="shared" si="244"/>
        <v>37.077001759530788</v>
      </c>
      <c r="DN92" s="173">
        <f t="shared" si="245"/>
        <v>18.787902537924037</v>
      </c>
      <c r="DP92" s="545">
        <f t="shared" si="246"/>
        <v>522</v>
      </c>
      <c r="DQ92" s="460">
        <f t="shared" si="247"/>
        <v>273.58760033884164</v>
      </c>
      <c r="DS92">
        <f>IF(CL92&gt;CS92, "",DP92)</f>
        <v>522</v>
      </c>
      <c r="DT92">
        <f>IF(CL92&gt;CS92, "",DQ92)</f>
        <v>273.58760033884164</v>
      </c>
      <c r="DV92" s="5">
        <f t="shared" si="293"/>
        <v>3.6551364124744232</v>
      </c>
      <c r="DW92" s="5">
        <f t="shared" si="249"/>
        <v>1.4830800703812315</v>
      </c>
      <c r="DX92" s="5">
        <f t="shared" si="294"/>
        <v>2.1720563420931915</v>
      </c>
      <c r="DY92" s="173">
        <f t="shared" si="295"/>
        <v>0.40575231756596153</v>
      </c>
      <c r="EA92" s="5">
        <f t="shared" si="250"/>
        <v>0.45539282161117811</v>
      </c>
      <c r="EB92" s="5">
        <f t="shared" si="251"/>
        <v>5.3761652551319639</v>
      </c>
      <c r="EC92" s="5">
        <f t="shared" si="252"/>
        <v>24.671779814060777</v>
      </c>
      <c r="ED92" s="5"/>
      <c r="EE92" s="173">
        <f t="shared" si="296"/>
        <v>13.635607285092751</v>
      </c>
      <c r="EF92" s="173">
        <f t="shared" si="253"/>
        <v>0.77924522396911111</v>
      </c>
      <c r="EG92" s="173">
        <f t="shared" si="254"/>
        <v>0.61610541793203921</v>
      </c>
      <c r="EH92" s="173"/>
      <c r="EI92" s="528">
        <f t="shared" si="255"/>
        <v>7.437191441330981</v>
      </c>
      <c r="EJ92" s="528">
        <f t="shared" si="256"/>
        <v>5.8678125000000003</v>
      </c>
      <c r="EK92" s="528">
        <f t="shared" si="257"/>
        <v>5.4717520067768331E-2</v>
      </c>
      <c r="EL92" s="528">
        <f t="shared" si="258"/>
        <v>2.4210928133347534E-2</v>
      </c>
      <c r="EM92">
        <f t="shared" si="259"/>
        <v>5.6249999999999998E-3</v>
      </c>
      <c r="EN92" s="460">
        <f t="shared" si="297"/>
        <v>60.342520067768326</v>
      </c>
      <c r="EO92">
        <f t="shared" si="260"/>
        <v>-20.073089627772898</v>
      </c>
      <c r="EP92" s="460">
        <f t="shared" si="298"/>
        <v>-20073.089627772897</v>
      </c>
      <c r="EQ92" s="173">
        <f t="shared" si="261"/>
        <v>0.453096</v>
      </c>
      <c r="ER92" s="173">
        <f t="shared" si="262"/>
        <v>0.37757999999999997</v>
      </c>
      <c r="ES92" s="528"/>
      <c r="EU92" s="460">
        <f t="shared" si="299"/>
        <v>830.67599999999993</v>
      </c>
      <c r="EV92" s="528">
        <f t="shared" si="263"/>
        <v>5.5778935809982357</v>
      </c>
      <c r="EW92" s="528">
        <f t="shared" si="300"/>
        <v>1.8216693572360103E-2</v>
      </c>
      <c r="EX92" s="528">
        <f t="shared" si="264"/>
        <v>1.8979294300260636E-3</v>
      </c>
      <c r="EY92" s="528">
        <f t="shared" si="265"/>
        <v>518.17033803905451</v>
      </c>
      <c r="EZ92" s="528">
        <f t="shared" si="266"/>
        <v>951.01509052138306</v>
      </c>
      <c r="FA92" s="625">
        <f t="shared" si="267"/>
        <v>9.4025496202042813</v>
      </c>
      <c r="FB92" s="460">
        <f t="shared" si="301"/>
        <v>960417.64014158736</v>
      </c>
      <c r="FC92" s="173">
        <f t="shared" si="302"/>
        <v>941.17522651381444</v>
      </c>
      <c r="FD92" s="5">
        <f t="shared" si="303"/>
        <v>93.960000000000008</v>
      </c>
      <c r="FE92" s="173">
        <f t="shared" si="304"/>
        <v>9.0770749167182432E-2</v>
      </c>
      <c r="FF92" s="5">
        <f t="shared" si="305"/>
        <v>9.0770749167182441</v>
      </c>
      <c r="FG92">
        <f t="shared" si="306"/>
        <v>87.000000000000014</v>
      </c>
      <c r="FI92" s="562">
        <f t="shared" si="268"/>
        <v>-50</v>
      </c>
      <c r="FJ92">
        <f t="shared" si="269"/>
        <v>-50</v>
      </c>
      <c r="FL92">
        <f t="shared" si="270"/>
        <v>0.5788303047571709</v>
      </c>
    </row>
    <row r="93" spans="5:168">
      <c r="E93" s="170">
        <v>88</v>
      </c>
      <c r="F93" s="217">
        <f t="shared" si="307"/>
        <v>0.52800000000000002</v>
      </c>
      <c r="G93" s="217">
        <f t="shared" si="271"/>
        <v>0.44</v>
      </c>
      <c r="H93" s="217">
        <f t="shared" si="176"/>
        <v>89.76</v>
      </c>
      <c r="I93" s="217">
        <f t="shared" si="308"/>
        <v>5.28</v>
      </c>
      <c r="J93" s="541">
        <f t="shared" si="177"/>
        <v>10.90477140008907</v>
      </c>
      <c r="K93" s="443">
        <f t="shared" si="178"/>
        <v>8.5452643467917611</v>
      </c>
      <c r="L93" s="172">
        <f t="shared" si="179"/>
        <v>19.450035746880829</v>
      </c>
      <c r="M93" s="443"/>
      <c r="N93" s="217">
        <f t="shared" si="180"/>
        <v>0.43934440316708168</v>
      </c>
      <c r="O93" s="172">
        <f t="shared" si="272"/>
        <v>150.82621259550945</v>
      </c>
      <c r="P93" s="172">
        <f t="shared" si="181"/>
        <v>8.8721301526770251</v>
      </c>
      <c r="Q93" s="217">
        <f t="shared" si="182"/>
        <v>0.88721301526770258</v>
      </c>
      <c r="R93" s="217">
        <f t="shared" si="183"/>
        <v>12.568851049625787</v>
      </c>
      <c r="S93" s="443">
        <f t="shared" si="184"/>
        <v>170</v>
      </c>
      <c r="T93" s="217">
        <f t="shared" si="185"/>
        <v>39.674801196845557</v>
      </c>
      <c r="U93" s="217">
        <f t="shared" si="186"/>
        <v>1.8191486891931314</v>
      </c>
      <c r="V93" s="217">
        <f t="shared" si="187"/>
        <v>2.3214496115466039</v>
      </c>
      <c r="W93" s="197">
        <f t="shared" si="188"/>
        <v>350</v>
      </c>
      <c r="X93" s="443">
        <f t="shared" si="273"/>
        <v>230.38298656422032</v>
      </c>
      <c r="Z93" s="217">
        <f t="shared" si="189"/>
        <v>27.376858756831965</v>
      </c>
      <c r="AA93" s="173">
        <f t="shared" si="190"/>
        <v>1.6018731338083383</v>
      </c>
      <c r="AB93" s="173">
        <f t="shared" si="191"/>
        <v>0.36240668674621707</v>
      </c>
      <c r="AC93" s="173"/>
      <c r="AD93" s="173">
        <f t="shared" si="192"/>
        <v>0.78015920820162843</v>
      </c>
      <c r="AE93" s="545">
        <f t="shared" si="193"/>
        <v>2149.7874446093533</v>
      </c>
      <c r="AF93" s="528">
        <f t="shared" si="194"/>
        <v>8.5961986829623874E-2</v>
      </c>
      <c r="AH93" s="173">
        <f t="shared" si="195"/>
        <v>32.957114991628572</v>
      </c>
      <c r="AI93" s="173">
        <f t="shared" si="196"/>
        <v>39.674801196845557</v>
      </c>
      <c r="AJ93" s="173">
        <f t="shared" si="197"/>
        <v>20.71219841741646</v>
      </c>
      <c r="AL93" s="545">
        <f t="shared" si="198"/>
        <v>528</v>
      </c>
      <c r="AM93" s="460">
        <f t="shared" si="199"/>
        <v>230.38298656422032</v>
      </c>
      <c r="AO93">
        <f t="shared" si="274"/>
        <v>528</v>
      </c>
      <c r="AP93">
        <f t="shared" si="200"/>
        <v>230.38298656422032</v>
      </c>
      <c r="AR93" s="5">
        <f t="shared" si="275"/>
        <v>4.3405983007397353</v>
      </c>
      <c r="AS93" s="5">
        <f t="shared" si="201"/>
        <v>1.8191486891931314</v>
      </c>
      <c r="AT93" s="5">
        <f t="shared" si="276"/>
        <v>2.5214496115466041</v>
      </c>
      <c r="AU93" s="173">
        <f t="shared" si="277"/>
        <v>0.41910090802070021</v>
      </c>
      <c r="AW93" s="5">
        <f t="shared" si="202"/>
        <v>0.56500618111410195</v>
      </c>
      <c r="AX93" s="5">
        <f t="shared" si="203"/>
        <v>6.6702118603748142</v>
      </c>
      <c r="AY93" s="5">
        <f t="shared" si="204"/>
        <v>33.2075285327778</v>
      </c>
      <c r="AZ93" s="5"/>
      <c r="BA93" s="173">
        <f t="shared" si="278"/>
        <v>14.829053526158605</v>
      </c>
      <c r="BB93" s="173">
        <f t="shared" si="205"/>
        <v>0.82442452238185648</v>
      </c>
      <c r="BC93" s="173">
        <f t="shared" si="206"/>
        <v>0.65182615085957807</v>
      </c>
      <c r="BD93" s="173"/>
      <c r="BE93" s="528">
        <f t="shared" si="207"/>
        <v>8.7960331392670774</v>
      </c>
      <c r="BF93" s="528">
        <f t="shared" si="208"/>
        <v>4.0000745476595521</v>
      </c>
      <c r="BG93" s="528">
        <f t="shared" si="209"/>
        <v>0.10049095211810456</v>
      </c>
      <c r="BH93" s="528">
        <f t="shared" si="210"/>
        <v>1.7430956026982299E-2</v>
      </c>
      <c r="BI93">
        <f t="shared" si="211"/>
        <v>4.9071471300400809E-3</v>
      </c>
      <c r="BJ93" s="460">
        <f t="shared" si="279"/>
        <v>105.39809924814463</v>
      </c>
      <c r="BK93">
        <f t="shared" si="212"/>
        <v>-13.935173305262992</v>
      </c>
      <c r="BL93" s="460">
        <f t="shared" si="280"/>
        <v>-13935.173305262993</v>
      </c>
      <c r="BM93" s="173">
        <f t="shared" si="213"/>
        <v>0.45830399999999999</v>
      </c>
      <c r="BN93" s="173">
        <f t="shared" si="214"/>
        <v>0.38191999999999998</v>
      </c>
      <c r="BO93" s="528"/>
      <c r="BQ93" s="460">
        <f t="shared" si="281"/>
        <v>840.22399999999993</v>
      </c>
      <c r="BR93" s="528">
        <f t="shared" si="215"/>
        <v>6.5970248544503081</v>
      </c>
      <c r="BS93" s="528">
        <f t="shared" si="216"/>
        <v>2.0390273793136564E-2</v>
      </c>
      <c r="BT93" s="528">
        <f t="shared" si="217"/>
        <v>2.1243866547220672E-3</v>
      </c>
      <c r="BU93" s="528">
        <f t="shared" si="218"/>
        <v>399.37687307945009</v>
      </c>
      <c r="BV93" s="528">
        <f t="shared" si="219"/>
        <v>866.39707704554348</v>
      </c>
      <c r="BW93" s="625">
        <f t="shared" si="220"/>
        <v>9.0660880191387303</v>
      </c>
      <c r="BX93" s="460">
        <f t="shared" si="282"/>
        <v>875463.16506468225</v>
      </c>
      <c r="BY93" s="173">
        <f t="shared" si="283"/>
        <v>862.36821575941929</v>
      </c>
      <c r="BZ93" s="5">
        <f t="shared" si="284"/>
        <v>95.04</v>
      </c>
      <c r="CA93" s="173">
        <f t="shared" si="285"/>
        <v>9.9268001293068051E-2</v>
      </c>
      <c r="CB93" s="5">
        <f t="shared" si="286"/>
        <v>9.9268001293068053</v>
      </c>
      <c r="CC93">
        <f t="shared" si="287"/>
        <v>88.000000000000014</v>
      </c>
      <c r="CE93" s="562">
        <f t="shared" si="221"/>
        <v>-50</v>
      </c>
      <c r="CF93">
        <f t="shared" si="222"/>
        <v>-50</v>
      </c>
      <c r="CG93" s="173">
        <f t="shared" si="223"/>
        <v>0.5788303047571709</v>
      </c>
      <c r="CH93" s="173">
        <f t="shared" si="224"/>
        <v>0.14404267188190506</v>
      </c>
      <c r="CI93" s="170">
        <v>88</v>
      </c>
      <c r="CJ93" s="217">
        <f t="shared" si="309"/>
        <v>0.52800000000000002</v>
      </c>
      <c r="CK93" s="217">
        <f t="shared" si="288"/>
        <v>0.44</v>
      </c>
      <c r="CL93" s="217">
        <f t="shared" si="225"/>
        <v>89.76</v>
      </c>
      <c r="CM93" s="217">
        <f t="shared" si="310"/>
        <v>5.28</v>
      </c>
      <c r="CN93" s="541">
        <f t="shared" si="289"/>
        <v>12.5</v>
      </c>
      <c r="CO93" s="443">
        <f t="shared" si="226"/>
        <v>8.5350000000000001</v>
      </c>
      <c r="CP93" s="443">
        <f t="shared" si="227"/>
        <v>21.035</v>
      </c>
      <c r="CQ93" s="443"/>
      <c r="CR93" s="217">
        <f t="shared" si="228"/>
        <v>0.40546967895362668</v>
      </c>
      <c r="CS93" s="172">
        <f t="shared" si="290"/>
        <v>159.55982736601052</v>
      </c>
      <c r="CT93" s="172">
        <f t="shared" si="229"/>
        <v>9.3858721980006177</v>
      </c>
      <c r="CU93" s="217">
        <f t="shared" si="230"/>
        <v>0.93858721980006188</v>
      </c>
      <c r="CV93" s="217">
        <f t="shared" si="231"/>
        <v>13.296652280500878</v>
      </c>
      <c r="CW93" s="443">
        <f t="shared" si="232"/>
        <v>170</v>
      </c>
      <c r="CX93" s="217">
        <f t="shared" si="233"/>
        <v>37.503174193548382</v>
      </c>
      <c r="CY93" s="217">
        <f t="shared" si="234"/>
        <v>1.5001269677419353</v>
      </c>
      <c r="CZ93" s="217">
        <f t="shared" si="235"/>
        <v>2.1970225069448377</v>
      </c>
      <c r="DA93" s="197">
        <f t="shared" si="236"/>
        <v>350</v>
      </c>
      <c r="DB93" s="443">
        <f t="shared" si="291"/>
        <v>270.47865033499119</v>
      </c>
      <c r="DD93" s="217">
        <f t="shared" si="237"/>
        <v>28.98230839756868</v>
      </c>
      <c r="DE93" s="173">
        <f t="shared" si="238"/>
        <v>1.6978505212401103</v>
      </c>
      <c r="DF93" s="173">
        <f t="shared" si="239"/>
        <v>0.40664636548103333</v>
      </c>
      <c r="DG93" s="173"/>
      <c r="DH93" s="173">
        <f t="shared" si="240"/>
        <v>0.78109744190587771</v>
      </c>
      <c r="DI93" s="545">
        <f t="shared" si="241"/>
        <v>2147.2051764705884</v>
      </c>
      <c r="DJ93" s="528">
        <f t="shared" si="242"/>
        <v>8.6065366284073561E-2</v>
      </c>
      <c r="DL93" s="173">
        <f t="shared" si="243"/>
        <v>32.957114991628572</v>
      </c>
      <c r="DM93" s="173">
        <f t="shared" si="244"/>
        <v>37.503174193548382</v>
      </c>
      <c r="DN93" s="173">
        <f t="shared" si="245"/>
        <v>19.103585822381515</v>
      </c>
      <c r="DP93" s="545">
        <f t="shared" si="246"/>
        <v>528</v>
      </c>
      <c r="DQ93" s="460">
        <f t="shared" si="247"/>
        <v>270.47865033499119</v>
      </c>
      <c r="DS93">
        <f>IF(CL93&gt;CS93, "",DP93)</f>
        <v>528</v>
      </c>
      <c r="DT93">
        <f>IF(CL93&gt;CS93, "",DQ93)</f>
        <v>270.47865033499119</v>
      </c>
      <c r="DV93" s="5">
        <f t="shared" si="293"/>
        <v>3.697149474686773</v>
      </c>
      <c r="DW93" s="5">
        <f t="shared" si="249"/>
        <v>1.5001269677419353</v>
      </c>
      <c r="DX93" s="5">
        <f t="shared" si="294"/>
        <v>2.1970225069448377</v>
      </c>
      <c r="DY93" s="173">
        <f t="shared" si="295"/>
        <v>0.40575231756596153</v>
      </c>
      <c r="EA93" s="5">
        <f t="shared" si="250"/>
        <v>0.46592178762808345</v>
      </c>
      <c r="EB93" s="5">
        <f t="shared" si="251"/>
        <v>5.5004655483870968</v>
      </c>
      <c r="EC93" s="5">
        <f t="shared" si="252"/>
        <v>25.242206748591187</v>
      </c>
      <c r="ED93" s="5"/>
      <c r="EE93" s="173">
        <f t="shared" si="296"/>
        <v>13.792338403312208</v>
      </c>
      <c r="EF93" s="173">
        <f t="shared" si="253"/>
        <v>0.78820206562392847</v>
      </c>
      <c r="EG93" s="173">
        <f t="shared" si="254"/>
        <v>0.62318708940252254</v>
      </c>
      <c r="EH93" s="173"/>
      <c r="EI93" s="528">
        <f t="shared" si="255"/>
        <v>7.6091439452592295</v>
      </c>
      <c r="EJ93" s="528">
        <f t="shared" si="256"/>
        <v>5.8678125000000012</v>
      </c>
      <c r="EK93" s="528">
        <f t="shared" si="257"/>
        <v>5.4095730066998235E-2</v>
      </c>
      <c r="EL93" s="528">
        <f t="shared" si="258"/>
        <v>2.3935803950014042E-2</v>
      </c>
      <c r="EM93">
        <f t="shared" si="259"/>
        <v>5.6249999999999998E-3</v>
      </c>
      <c r="EN93" s="460">
        <f t="shared" si="297"/>
        <v>59.720730066998236</v>
      </c>
      <c r="EO93">
        <f t="shared" si="260"/>
        <v>-19.327208504226686</v>
      </c>
      <c r="EP93" s="460">
        <f t="shared" si="298"/>
        <v>-19327.208504226684</v>
      </c>
      <c r="EQ93" s="173">
        <f t="shared" si="261"/>
        <v>0.45830399999999999</v>
      </c>
      <c r="ER93" s="173">
        <f t="shared" si="262"/>
        <v>0.38191999999999998</v>
      </c>
      <c r="ES93" s="528"/>
      <c r="EU93" s="460">
        <f t="shared" si="299"/>
        <v>840.22399999999993</v>
      </c>
      <c r="EV93" s="528">
        <f t="shared" si="263"/>
        <v>5.7068579589444219</v>
      </c>
      <c r="EW93" s="528">
        <f t="shared" si="300"/>
        <v>1.8637874887614831E-2</v>
      </c>
      <c r="EX93" s="528">
        <f t="shared" si="264"/>
        <v>1.941810741989938E-3</v>
      </c>
      <c r="EY93" s="528">
        <f t="shared" si="265"/>
        <v>518.17033803905349</v>
      </c>
      <c r="EZ93" s="528">
        <f t="shared" si="266"/>
        <v>969.48601790556586</v>
      </c>
      <c r="FA93" s="625">
        <f t="shared" si="267"/>
        <v>9.5106249031951364</v>
      </c>
      <c r="FB93" s="460">
        <f t="shared" si="301"/>
        <v>978996.64280876098</v>
      </c>
      <c r="FC93" s="173">
        <f t="shared" si="302"/>
        <v>960.50965830453424</v>
      </c>
      <c r="FD93" s="5">
        <f t="shared" si="303"/>
        <v>95.04</v>
      </c>
      <c r="FE93" s="173">
        <f t="shared" si="304"/>
        <v>9.0038397769610409E-2</v>
      </c>
      <c r="FF93" s="5">
        <f t="shared" si="305"/>
        <v>9.0038397769610405</v>
      </c>
      <c r="FG93">
        <f t="shared" si="306"/>
        <v>88.000000000000014</v>
      </c>
      <c r="FI93" s="562">
        <f t="shared" si="268"/>
        <v>-50</v>
      </c>
      <c r="FJ93">
        <f t="shared" si="269"/>
        <v>-50</v>
      </c>
      <c r="FL93">
        <f t="shared" si="270"/>
        <v>0.5788303047571709</v>
      </c>
    </row>
    <row r="94" spans="5:168">
      <c r="E94" s="170">
        <v>89</v>
      </c>
      <c r="F94" s="217">
        <f t="shared" si="307"/>
        <v>0.53400000000000003</v>
      </c>
      <c r="G94" s="217">
        <f t="shared" si="271"/>
        <v>0.44500000000000001</v>
      </c>
      <c r="H94" s="217">
        <f t="shared" si="176"/>
        <v>90.78</v>
      </c>
      <c r="I94" s="217">
        <f t="shared" si="308"/>
        <v>5.34</v>
      </c>
      <c r="J94" s="541">
        <f t="shared" si="177"/>
        <v>10.886643802362808</v>
      </c>
      <c r="K94" s="443">
        <f t="shared" si="178"/>
        <v>8.5453809870962143</v>
      </c>
      <c r="L94" s="172">
        <f t="shared" si="179"/>
        <v>19.432024789459021</v>
      </c>
      <c r="M94" s="443"/>
      <c r="N94" s="217">
        <f t="shared" si="180"/>
        <v>0.43975762071545371</v>
      </c>
      <c r="O94" s="172">
        <f t="shared" si="272"/>
        <v>150.71710702548714</v>
      </c>
      <c r="P94" s="172">
        <f t="shared" si="181"/>
        <v>8.8657121779698311</v>
      </c>
      <c r="Q94" s="217">
        <f t="shared" si="182"/>
        <v>0.88657121779698311</v>
      </c>
      <c r="R94" s="217">
        <f t="shared" si="183"/>
        <v>12.559758918790594</v>
      </c>
      <c r="S94" s="443">
        <f t="shared" si="184"/>
        <v>170</v>
      </c>
      <c r="T94" s="217">
        <f t="shared" si="185"/>
        <v>40.154698557056115</v>
      </c>
      <c r="U94" s="217">
        <f t="shared" si="186"/>
        <v>1.8442184426177812</v>
      </c>
      <c r="V94" s="217">
        <f t="shared" si="187"/>
        <v>2.3494972674530796</v>
      </c>
      <c r="W94" s="197">
        <f t="shared" si="188"/>
        <v>350</v>
      </c>
      <c r="X94" s="443">
        <f t="shared" si="273"/>
        <v>227.59779330007498</v>
      </c>
      <c r="Z94" s="217">
        <f t="shared" si="189"/>
        <v>27.357054720592618</v>
      </c>
      <c r="AA94" s="173">
        <f t="shared" si="190"/>
        <v>1.6006925122415607</v>
      </c>
      <c r="AB94" s="173">
        <f t="shared" si="191"/>
        <v>0.36187761702361071</v>
      </c>
      <c r="AC94" s="173"/>
      <c r="AD94" s="173">
        <f t="shared" si="192"/>
        <v>0.78014855940695171</v>
      </c>
      <c r="AE94" s="545">
        <f t="shared" si="193"/>
        <v>2174.2465247991745</v>
      </c>
      <c r="AF94" s="528">
        <f t="shared" si="194"/>
        <v>8.5960813490210411E-2</v>
      </c>
      <c r="AH94" s="173">
        <f t="shared" si="195"/>
        <v>33.14384234988885</v>
      </c>
      <c r="AI94" s="173">
        <f t="shared" si="196"/>
        <v>40.154698557056115</v>
      </c>
      <c r="AJ94" s="173">
        <f t="shared" si="197"/>
        <v>21.067677943498353</v>
      </c>
      <c r="AL94" s="545">
        <f t="shared" si="198"/>
        <v>534</v>
      </c>
      <c r="AM94" s="460">
        <f t="shared" si="199"/>
        <v>227.59779330007498</v>
      </c>
      <c r="AO94">
        <f t="shared" si="274"/>
        <v>534</v>
      </c>
      <c r="AP94">
        <f t="shared" si="200"/>
        <v>227.59779330007498</v>
      </c>
      <c r="AR94" s="5">
        <f t="shared" si="275"/>
        <v>4.393715710070861</v>
      </c>
      <c r="AS94" s="5">
        <f t="shared" si="201"/>
        <v>1.8442184426177812</v>
      </c>
      <c r="AT94" s="5">
        <f t="shared" si="276"/>
        <v>2.5494972674530798</v>
      </c>
      <c r="AU94" s="173">
        <f t="shared" si="277"/>
        <v>0.41974004790310798</v>
      </c>
      <c r="AW94" s="5">
        <f t="shared" si="202"/>
        <v>0.57930155785758553</v>
      </c>
      <c r="AX94" s="5">
        <f t="shared" si="203"/>
        <v>6.8389767247076056</v>
      </c>
      <c r="AY94" s="5">
        <f t="shared" si="204"/>
        <v>34.015017467794252</v>
      </c>
      <c r="AZ94" s="5"/>
      <c r="BA94" s="173">
        <f t="shared" si="278"/>
        <v>15.019862139781521</v>
      </c>
      <c r="BB94" s="173">
        <f t="shared" si="205"/>
        <v>0.83393742085085487</v>
      </c>
      <c r="BC94" s="173">
        <f t="shared" si="206"/>
        <v>0.65934746521186161</v>
      </c>
      <c r="BD94" s="173"/>
      <c r="BE94" s="528">
        <f t="shared" si="207"/>
        <v>9.0238503479216927</v>
      </c>
      <c r="BF94" s="528">
        <f t="shared" si="208"/>
        <v>3.9958114858621907</v>
      </c>
      <c r="BG94" s="528">
        <f t="shared" si="209"/>
        <v>9.9111044234468509E-2</v>
      </c>
      <c r="BH94" s="528">
        <f t="shared" si="210"/>
        <v>1.7188348647712577E-2</v>
      </c>
      <c r="BI94">
        <f t="shared" si="211"/>
        <v>4.8989897110632633E-3</v>
      </c>
      <c r="BJ94" s="460">
        <f t="shared" si="279"/>
        <v>104.01003394553176</v>
      </c>
      <c r="BK94">
        <f t="shared" si="212"/>
        <v>-13.524812711389032</v>
      </c>
      <c r="BL94" s="460">
        <f t="shared" si="280"/>
        <v>-13524.812711389031</v>
      </c>
      <c r="BM94" s="173">
        <f t="shared" si="213"/>
        <v>0.46351200000000004</v>
      </c>
      <c r="BN94" s="173">
        <f t="shared" si="214"/>
        <v>0.38625999999999999</v>
      </c>
      <c r="BO94" s="528"/>
      <c r="BQ94" s="460">
        <f t="shared" si="281"/>
        <v>849.77199999999993</v>
      </c>
      <c r="BR94" s="528">
        <f t="shared" si="215"/>
        <v>6.76788776094127</v>
      </c>
      <c r="BS94" s="528">
        <f t="shared" si="216"/>
        <v>2.0863548656861273E-2</v>
      </c>
      <c r="BT94" s="528">
        <f t="shared" si="217"/>
        <v>2.1736953994065354E-3</v>
      </c>
      <c r="BU94" s="528">
        <f t="shared" si="218"/>
        <v>399.23724204024688</v>
      </c>
      <c r="BV94" s="528">
        <f t="shared" si="219"/>
        <v>892.56576022230922</v>
      </c>
      <c r="BW94" s="625">
        <f t="shared" si="220"/>
        <v>9.1744660021599369</v>
      </c>
      <c r="BX94" s="460">
        <f t="shared" si="282"/>
        <v>901740.22622446925</v>
      </c>
      <c r="BY94" s="173">
        <f t="shared" si="283"/>
        <v>889.06518551308022</v>
      </c>
      <c r="BZ94" s="5">
        <f t="shared" si="284"/>
        <v>96.12</v>
      </c>
      <c r="CA94" s="173">
        <f t="shared" si="285"/>
        <v>9.7565413501362303E-2</v>
      </c>
      <c r="CB94" s="5">
        <f t="shared" si="286"/>
        <v>9.7565413501362297</v>
      </c>
      <c r="CC94">
        <f t="shared" si="287"/>
        <v>89.000000000000014</v>
      </c>
      <c r="CE94" s="562">
        <f t="shared" si="221"/>
        <v>-50</v>
      </c>
      <c r="CF94">
        <f t="shared" si="222"/>
        <v>-50</v>
      </c>
      <c r="CG94" s="173">
        <f t="shared" si="223"/>
        <v>0.5788303047571709</v>
      </c>
      <c r="CH94" s="173">
        <f t="shared" si="224"/>
        <v>0.14404267188190506</v>
      </c>
      <c r="CI94" s="170">
        <v>89</v>
      </c>
      <c r="CJ94" s="217">
        <f t="shared" si="309"/>
        <v>0.53400000000000003</v>
      </c>
      <c r="CK94" s="217">
        <f t="shared" si="288"/>
        <v>0.44500000000000001</v>
      </c>
      <c r="CL94" s="217">
        <f t="shared" si="225"/>
        <v>90.78</v>
      </c>
      <c r="CM94" s="217">
        <f t="shared" si="310"/>
        <v>5.34</v>
      </c>
      <c r="CN94" s="541">
        <f t="shared" si="289"/>
        <v>12.5</v>
      </c>
      <c r="CO94" s="443">
        <f t="shared" si="226"/>
        <v>8.5350000000000001</v>
      </c>
      <c r="CP94" s="443">
        <f t="shared" si="227"/>
        <v>21.035</v>
      </c>
      <c r="CQ94" s="443"/>
      <c r="CR94" s="217">
        <f t="shared" si="228"/>
        <v>0.40546967895362668</v>
      </c>
      <c r="CS94" s="172">
        <f t="shared" si="290"/>
        <v>159.55982736601052</v>
      </c>
      <c r="CT94" s="172">
        <f t="shared" si="229"/>
        <v>9.3858721980006177</v>
      </c>
      <c r="CU94" s="217">
        <f t="shared" si="230"/>
        <v>0.93858721980006188</v>
      </c>
      <c r="CV94" s="217">
        <f t="shared" si="231"/>
        <v>13.296652280500878</v>
      </c>
      <c r="CW94" s="443">
        <f t="shared" si="232"/>
        <v>170</v>
      </c>
      <c r="CX94" s="217">
        <f t="shared" si="233"/>
        <v>37.929346627565977</v>
      </c>
      <c r="CY94" s="217">
        <f t="shared" si="234"/>
        <v>1.517173865102639</v>
      </c>
      <c r="CZ94" s="217">
        <f t="shared" si="235"/>
        <v>2.2219886717964834</v>
      </c>
      <c r="DA94" s="197">
        <f t="shared" si="236"/>
        <v>350</v>
      </c>
      <c r="DB94" s="443">
        <f t="shared" si="291"/>
        <v>267.43956437617106</v>
      </c>
      <c r="DD94" s="217">
        <f t="shared" si="237"/>
        <v>28.98230839756868</v>
      </c>
      <c r="DE94" s="173">
        <f t="shared" si="238"/>
        <v>1.6978505212401103</v>
      </c>
      <c r="DF94" s="173">
        <f t="shared" si="239"/>
        <v>0.40664636548103333</v>
      </c>
      <c r="DG94" s="173"/>
      <c r="DH94" s="173">
        <f t="shared" si="240"/>
        <v>0.78109744190587771</v>
      </c>
      <c r="DI94" s="545">
        <f t="shared" si="241"/>
        <v>2171.6052352941178</v>
      </c>
      <c r="DJ94" s="528">
        <f t="shared" si="242"/>
        <v>8.6065366284073561E-2</v>
      </c>
      <c r="DL94" s="173">
        <f t="shared" si="243"/>
        <v>33.14384234988885</v>
      </c>
      <c r="DM94" s="173">
        <f t="shared" si="244"/>
        <v>37.929346627565977</v>
      </c>
      <c r="DN94" s="173">
        <f t="shared" si="245"/>
        <v>19.419269106838993</v>
      </c>
      <c r="DP94" s="545">
        <f t="shared" si="246"/>
        <v>534</v>
      </c>
      <c r="DQ94" s="460">
        <f t="shared" si="247"/>
        <v>267.43956437617106</v>
      </c>
      <c r="DS94">
        <f>IF(CL94&gt;CS94, "",DP94)</f>
        <v>534</v>
      </c>
      <c r="DT94">
        <f>IF(CL94&gt;CS94, "",DQ94)</f>
        <v>267.43956437617106</v>
      </c>
      <c r="DV94" s="5">
        <f t="shared" si="293"/>
        <v>3.7391625368991228</v>
      </c>
      <c r="DW94" s="5">
        <f t="shared" si="249"/>
        <v>1.517173865102639</v>
      </c>
      <c r="DX94" s="5">
        <f t="shared" si="294"/>
        <v>2.2219886717964838</v>
      </c>
      <c r="DY94" s="173">
        <f t="shared" si="295"/>
        <v>0.40575231756596147</v>
      </c>
      <c r="EA94" s="5">
        <f t="shared" si="250"/>
        <v>0.47657108468518189</v>
      </c>
      <c r="EB94" s="5">
        <f t="shared" si="251"/>
        <v>5.6261864164222866</v>
      </c>
      <c r="EC94" s="5">
        <f t="shared" si="252"/>
        <v>25.819152848087658</v>
      </c>
      <c r="ED94" s="5"/>
      <c r="EE94" s="173">
        <f t="shared" si="296"/>
        <v>13.949069521531664</v>
      </c>
      <c r="EF94" s="173">
        <f t="shared" si="253"/>
        <v>0.79715890727874594</v>
      </c>
      <c r="EG94" s="173">
        <f t="shared" si="254"/>
        <v>0.63026876087300565</v>
      </c>
      <c r="EH94" s="173"/>
      <c r="EI94" s="528">
        <f t="shared" si="255"/>
        <v>7.7830616206609449</v>
      </c>
      <c r="EJ94" s="528">
        <f t="shared" si="256"/>
        <v>5.8678125000000012</v>
      </c>
      <c r="EK94" s="528">
        <f t="shared" si="257"/>
        <v>5.348791287523421E-2</v>
      </c>
      <c r="EL94" s="528">
        <f t="shared" si="258"/>
        <v>2.3666862332598154E-2</v>
      </c>
      <c r="EM94">
        <f t="shared" si="259"/>
        <v>5.6249999999999998E-3</v>
      </c>
      <c r="EN94" s="460">
        <f t="shared" si="297"/>
        <v>59.112912875234208</v>
      </c>
      <c r="EO94">
        <f t="shared" si="260"/>
        <v>-18.645839364319034</v>
      </c>
      <c r="EP94" s="460">
        <f t="shared" si="298"/>
        <v>-18645.839364319036</v>
      </c>
      <c r="EQ94" s="173">
        <f t="shared" si="261"/>
        <v>0.46351200000000004</v>
      </c>
      <c r="ER94" s="173">
        <f t="shared" si="262"/>
        <v>0.38625999999999999</v>
      </c>
      <c r="ES94" s="528"/>
      <c r="EU94" s="460">
        <f t="shared" si="299"/>
        <v>849.77199999999993</v>
      </c>
      <c r="EV94" s="528">
        <f t="shared" si="263"/>
        <v>5.8372962154957078</v>
      </c>
      <c r="EW94" s="528">
        <f t="shared" si="300"/>
        <v>1.9063869703615326E-2</v>
      </c>
      <c r="EX94" s="528">
        <f t="shared" si="264"/>
        <v>1.9861935546619698E-3</v>
      </c>
      <c r="EY94" s="528">
        <f t="shared" si="265"/>
        <v>518.17033803905531</v>
      </c>
      <c r="EZ94" s="528">
        <f t="shared" si="266"/>
        <v>988.9003354388509</v>
      </c>
      <c r="FA94" s="625">
        <f t="shared" si="267"/>
        <v>9.6187001861859898</v>
      </c>
      <c r="FB94" s="460">
        <f t="shared" si="301"/>
        <v>998519.03562503681</v>
      </c>
      <c r="FC94" s="173">
        <f t="shared" si="302"/>
        <v>980.72296826071783</v>
      </c>
      <c r="FD94" s="5">
        <f t="shared" si="303"/>
        <v>96.12</v>
      </c>
      <c r="FE94" s="173">
        <f t="shared" si="304"/>
        <v>8.9260925532392094E-2</v>
      </c>
      <c r="FF94" s="5">
        <f t="shared" si="305"/>
        <v>8.9260925532392097</v>
      </c>
      <c r="FG94">
        <f t="shared" si="306"/>
        <v>89.000000000000014</v>
      </c>
      <c r="FI94" s="562">
        <f t="shared" si="268"/>
        <v>-50</v>
      </c>
      <c r="FJ94">
        <f t="shared" si="269"/>
        <v>-50</v>
      </c>
      <c r="FL94">
        <f t="shared" si="270"/>
        <v>0.5788303047571709</v>
      </c>
    </row>
    <row r="95" spans="5:168">
      <c r="E95" s="170">
        <v>90</v>
      </c>
      <c r="F95" s="217">
        <f t="shared" si="307"/>
        <v>0.54</v>
      </c>
      <c r="G95" s="217">
        <f t="shared" si="271"/>
        <v>0.45</v>
      </c>
      <c r="H95" s="217">
        <f t="shared" si="176"/>
        <v>91.800000000000011</v>
      </c>
      <c r="I95" s="217">
        <f t="shared" si="308"/>
        <v>5.4</v>
      </c>
      <c r="J95" s="541">
        <f t="shared" si="177"/>
        <v>10.868516204636549</v>
      </c>
      <c r="K95" s="443">
        <f t="shared" si="178"/>
        <v>8.545497627400664</v>
      </c>
      <c r="L95" s="172">
        <f t="shared" si="179"/>
        <v>19.414013832037213</v>
      </c>
      <c r="M95" s="443"/>
      <c r="N95" s="217">
        <f t="shared" si="180"/>
        <v>0.44017160497221819</v>
      </c>
      <c r="O95" s="172">
        <f t="shared" si="272"/>
        <v>150.60779215711915</v>
      </c>
      <c r="P95" s="172">
        <f t="shared" si="181"/>
        <v>8.8592818915952432</v>
      </c>
      <c r="Q95" s="217">
        <f t="shared" si="182"/>
        <v>0.88592818915952443</v>
      </c>
      <c r="R95" s="217">
        <f t="shared" si="183"/>
        <v>12.550649346426596</v>
      </c>
      <c r="S95" s="443">
        <f t="shared" si="184"/>
        <v>170</v>
      </c>
      <c r="T95" s="217">
        <f t="shared" si="185"/>
        <v>40.635347695791268</v>
      </c>
      <c r="U95" s="217">
        <f t="shared" si="186"/>
        <v>1.8694064088737374</v>
      </c>
      <c r="V95" s="217">
        <f t="shared" si="187"/>
        <v>2.3775881445157903</v>
      </c>
      <c r="W95" s="197">
        <f t="shared" si="188"/>
        <v>350</v>
      </c>
      <c r="X95" s="443">
        <f t="shared" si="273"/>
        <v>224.87097476604586</v>
      </c>
      <c r="Z95" s="217">
        <f t="shared" si="189"/>
        <v>27.337212694065322</v>
      </c>
      <c r="AA95" s="173">
        <f t="shared" si="190"/>
        <v>1.5995097000793768</v>
      </c>
      <c r="AB95" s="173">
        <f t="shared" si="191"/>
        <v>0.36134793669427617</v>
      </c>
      <c r="AC95" s="173"/>
      <c r="AD95" s="173">
        <f t="shared" si="192"/>
        <v>0.78013791090297302</v>
      </c>
      <c r="AE95" s="545">
        <f t="shared" si="193"/>
        <v>2198.7062718970883</v>
      </c>
      <c r="AF95" s="528">
        <f t="shared" si="194"/>
        <v>8.595964018282759E-2</v>
      </c>
      <c r="AH95" s="173">
        <f t="shared" si="195"/>
        <v>33.329523591811856</v>
      </c>
      <c r="AI95" s="173">
        <f t="shared" si="196"/>
        <v>40.635347695791268</v>
      </c>
      <c r="AJ95" s="173">
        <f t="shared" si="197"/>
        <v>21.423714342561432</v>
      </c>
      <c r="AL95" s="545">
        <f t="shared" si="198"/>
        <v>540</v>
      </c>
      <c r="AM95" s="460">
        <f t="shared" si="199"/>
        <v>224.87097476604586</v>
      </c>
      <c r="AO95">
        <f t="shared" si="274"/>
        <v>540</v>
      </c>
      <c r="AP95">
        <f t="shared" si="200"/>
        <v>224.87097476604586</v>
      </c>
      <c r="AR95" s="5">
        <f t="shared" si="275"/>
        <v>4.4469945533895281</v>
      </c>
      <c r="AS95" s="5">
        <f t="shared" si="201"/>
        <v>1.8694064088737374</v>
      </c>
      <c r="AT95" s="5">
        <f t="shared" si="276"/>
        <v>2.5775881445157909</v>
      </c>
      <c r="AU95" s="173">
        <f t="shared" si="277"/>
        <v>0.42037524139733062</v>
      </c>
      <c r="AW95" s="5">
        <f t="shared" si="202"/>
        <v>0.59381144752459891</v>
      </c>
      <c r="AX95" s="5">
        <f t="shared" si="203"/>
        <v>7.0102740332765157</v>
      </c>
      <c r="AY95" s="5">
        <f t="shared" si="204"/>
        <v>34.834207313871318</v>
      </c>
      <c r="AZ95" s="5"/>
      <c r="BA95" s="173">
        <f t="shared" si="278"/>
        <v>15.211145398457592</v>
      </c>
      <c r="BB95" s="173">
        <f t="shared" si="205"/>
        <v>0.84345756426617546</v>
      </c>
      <c r="BC95" s="173">
        <f t="shared" si="206"/>
        <v>0.66687450773615631</v>
      </c>
      <c r="BD95" s="173"/>
      <c r="BE95" s="528">
        <f t="shared" si="207"/>
        <v>9.255157773320704</v>
      </c>
      <c r="BF95" s="528">
        <f t="shared" si="208"/>
        <v>3.991491745087639</v>
      </c>
      <c r="BG95" s="528">
        <f t="shared" si="209"/>
        <v>9.7760553327887439E-2</v>
      </c>
      <c r="BH95" s="528">
        <f t="shared" si="210"/>
        <v>1.6950950964545415E-2</v>
      </c>
      <c r="BI95">
        <f t="shared" si="211"/>
        <v>4.8908322920864474E-3</v>
      </c>
      <c r="BJ95" s="460">
        <f t="shared" si="279"/>
        <v>102.65138561997389</v>
      </c>
      <c r="BK95">
        <f t="shared" si="212"/>
        <v>-13.146086751152696</v>
      </c>
      <c r="BL95" s="460">
        <f t="shared" si="280"/>
        <v>-13146.086751152696</v>
      </c>
      <c r="BM95" s="173">
        <f t="shared" si="213"/>
        <v>0.46872000000000003</v>
      </c>
      <c r="BN95" s="173">
        <f t="shared" si="214"/>
        <v>0.3906</v>
      </c>
      <c r="BO95" s="528"/>
      <c r="BQ95" s="460">
        <f t="shared" si="281"/>
        <v>859.32</v>
      </c>
      <c r="BR95" s="528">
        <f t="shared" si="215"/>
        <v>6.9413683299905271</v>
      </c>
      <c r="BS95" s="528">
        <f t="shared" si="216"/>
        <v>2.1342619881534887E-2</v>
      </c>
      <c r="BT95" s="528">
        <f t="shared" si="217"/>
        <v>2.2236080453417041E-3</v>
      </c>
      <c r="BU95" s="528">
        <f t="shared" si="218"/>
        <v>399.08321374428471</v>
      </c>
      <c r="BV95" s="528">
        <f t="shared" si="219"/>
        <v>920.7653840373921</v>
      </c>
      <c r="BW95" s="625">
        <f t="shared" si="220"/>
        <v>9.2828508250548101</v>
      </c>
      <c r="BX95" s="460">
        <f t="shared" si="282"/>
        <v>930048.2348624469</v>
      </c>
      <c r="BY95" s="173">
        <f t="shared" si="283"/>
        <v>917.76146811129411</v>
      </c>
      <c r="BZ95" s="5">
        <f t="shared" si="284"/>
        <v>97.200000000000017</v>
      </c>
      <c r="CA95" s="173">
        <f t="shared" si="285"/>
        <v>9.5767182355085911E-2</v>
      </c>
      <c r="CB95" s="5">
        <f t="shared" si="286"/>
        <v>9.5767182355085918</v>
      </c>
      <c r="CC95">
        <f t="shared" si="287"/>
        <v>90.000000000000014</v>
      </c>
      <c r="CE95" s="562">
        <f t="shared" si="221"/>
        <v>-50</v>
      </c>
      <c r="CF95">
        <f t="shared" si="222"/>
        <v>-50</v>
      </c>
      <c r="CG95" s="173">
        <f t="shared" si="223"/>
        <v>0.5788303047571709</v>
      </c>
      <c r="CH95" s="173">
        <f t="shared" si="224"/>
        <v>0.14404267188190506</v>
      </c>
      <c r="CI95" s="170">
        <v>90</v>
      </c>
      <c r="CJ95" s="217">
        <f t="shared" si="309"/>
        <v>0.54</v>
      </c>
      <c r="CK95" s="217">
        <f t="shared" si="288"/>
        <v>0.45</v>
      </c>
      <c r="CL95" s="217">
        <f t="shared" si="225"/>
        <v>91.800000000000011</v>
      </c>
      <c r="CM95" s="217">
        <f t="shared" si="310"/>
        <v>5.4</v>
      </c>
      <c r="CN95" s="541">
        <f t="shared" si="289"/>
        <v>12.5</v>
      </c>
      <c r="CO95" s="443">
        <f t="shared" si="226"/>
        <v>8.5350000000000001</v>
      </c>
      <c r="CP95" s="443">
        <f t="shared" si="227"/>
        <v>21.035</v>
      </c>
      <c r="CQ95" s="443"/>
      <c r="CR95" s="217">
        <f t="shared" si="228"/>
        <v>0.40546967895362668</v>
      </c>
      <c r="CS95" s="172">
        <f t="shared" si="290"/>
        <v>159.55982736601052</v>
      </c>
      <c r="CT95" s="172">
        <f t="shared" si="229"/>
        <v>9.3858721980006177</v>
      </c>
      <c r="CU95" s="217">
        <f t="shared" si="230"/>
        <v>0.93858721980006188</v>
      </c>
      <c r="CV95" s="217">
        <f t="shared" si="231"/>
        <v>13.296652280500878</v>
      </c>
      <c r="CW95" s="443">
        <f t="shared" si="232"/>
        <v>170</v>
      </c>
      <c r="CX95" s="217">
        <f t="shared" si="233"/>
        <v>38.355519061583578</v>
      </c>
      <c r="CY95" s="217">
        <f t="shared" si="234"/>
        <v>1.534220762463343</v>
      </c>
      <c r="CZ95" s="217">
        <f t="shared" si="235"/>
        <v>2.24695483664813</v>
      </c>
      <c r="DA95" s="197">
        <f t="shared" si="236"/>
        <v>350</v>
      </c>
      <c r="DB95" s="443">
        <f t="shared" si="291"/>
        <v>264.46801366088022</v>
      </c>
      <c r="DD95" s="217">
        <f t="shared" si="237"/>
        <v>28.98230839756868</v>
      </c>
      <c r="DE95" s="173">
        <f t="shared" si="238"/>
        <v>1.6978505212401103</v>
      </c>
      <c r="DF95" s="173">
        <f t="shared" si="239"/>
        <v>0.40664636548103333</v>
      </c>
      <c r="DG95" s="173"/>
      <c r="DH95" s="173">
        <f t="shared" si="240"/>
        <v>0.78109744190587771</v>
      </c>
      <c r="DI95" s="545">
        <f t="shared" si="241"/>
        <v>2196.0052941176473</v>
      </c>
      <c r="DJ95" s="528">
        <f t="shared" si="242"/>
        <v>8.6065366284073561E-2</v>
      </c>
      <c r="DL95" s="173">
        <f t="shared" si="243"/>
        <v>33.329523591811856</v>
      </c>
      <c r="DM95" s="173">
        <f t="shared" si="244"/>
        <v>38.355519061583578</v>
      </c>
      <c r="DN95" s="173">
        <f t="shared" si="245"/>
        <v>19.734952391296474</v>
      </c>
      <c r="DP95" s="545">
        <f t="shared" si="246"/>
        <v>540</v>
      </c>
      <c r="DQ95" s="460">
        <f t="shared" si="247"/>
        <v>264.46801366088022</v>
      </c>
      <c r="DS95">
        <f>IF(CL95&gt;CS95, "",DP95)</f>
        <v>540</v>
      </c>
      <c r="DT95">
        <f>IF(CL95&gt;CS95, "",DQ95)</f>
        <v>264.46801366088022</v>
      </c>
      <c r="DV95" s="5">
        <f t="shared" si="293"/>
        <v>3.7811755991114731</v>
      </c>
      <c r="DW95" s="5">
        <f t="shared" si="249"/>
        <v>1.534220762463343</v>
      </c>
      <c r="DX95" s="5">
        <f t="shared" si="294"/>
        <v>2.24695483664813</v>
      </c>
      <c r="DY95" s="173">
        <f t="shared" si="295"/>
        <v>0.40575231756596147</v>
      </c>
      <c r="EA95" s="5">
        <f t="shared" si="250"/>
        <v>0.48734071278247371</v>
      </c>
      <c r="EB95" s="5">
        <f t="shared" si="251"/>
        <v>5.7533278592375359</v>
      </c>
      <c r="EC95" s="5">
        <f t="shared" si="252"/>
        <v>26.402618112550194</v>
      </c>
      <c r="ED95" s="5"/>
      <c r="EE95" s="173">
        <f t="shared" si="296"/>
        <v>14.105800639751124</v>
      </c>
      <c r="EF95" s="173">
        <f t="shared" si="253"/>
        <v>0.80611574893356341</v>
      </c>
      <c r="EG95" s="173">
        <f t="shared" si="254"/>
        <v>0.63735043234348898</v>
      </c>
      <c r="EH95" s="173"/>
      <c r="EI95" s="528">
        <f t="shared" si="255"/>
        <v>7.9589444675361278</v>
      </c>
      <c r="EJ95" s="528">
        <f t="shared" si="256"/>
        <v>5.8678125000000003</v>
      </c>
      <c r="EK95" s="528">
        <f t="shared" si="257"/>
        <v>5.289360273217604E-2</v>
      </c>
      <c r="EL95" s="528">
        <f t="shared" si="258"/>
        <v>2.3403897195569283E-2</v>
      </c>
      <c r="EM95">
        <f t="shared" si="259"/>
        <v>5.6249999999999998E-3</v>
      </c>
      <c r="EN95" s="460">
        <f t="shared" si="297"/>
        <v>58.518602732176035</v>
      </c>
      <c r="EO95">
        <f t="shared" si="260"/>
        <v>-18.021077241451362</v>
      </c>
      <c r="EP95" s="460">
        <f t="shared" si="298"/>
        <v>-18021.077241451363</v>
      </c>
      <c r="EQ95" s="173">
        <f t="shared" si="261"/>
        <v>0.46872000000000003</v>
      </c>
      <c r="ER95" s="173">
        <f t="shared" si="262"/>
        <v>0.3906</v>
      </c>
      <c r="ES95" s="528"/>
      <c r="EU95" s="460">
        <f t="shared" si="299"/>
        <v>859.32</v>
      </c>
      <c r="EV95" s="528">
        <f t="shared" si="263"/>
        <v>5.9692083506520959</v>
      </c>
      <c r="EW95" s="528">
        <f t="shared" si="300"/>
        <v>1.9494678020361596E-2</v>
      </c>
      <c r="EX95" s="528">
        <f t="shared" si="264"/>
        <v>2.0310778680421616E-3</v>
      </c>
      <c r="EY95" s="528">
        <f t="shared" si="265"/>
        <v>518.17033803905554</v>
      </c>
      <c r="EZ95" s="528">
        <f t="shared" si="266"/>
        <v>1009.3281964009309</v>
      </c>
      <c r="FA95" s="625">
        <f t="shared" si="267"/>
        <v>9.7267754691768449</v>
      </c>
      <c r="FB95" s="460">
        <f t="shared" si="301"/>
        <v>1019054.9718701077</v>
      </c>
      <c r="FC95" s="173">
        <f t="shared" si="302"/>
        <v>1001.8932146286563</v>
      </c>
      <c r="FD95" s="5">
        <f t="shared" si="303"/>
        <v>97.200000000000017</v>
      </c>
      <c r="FE95" s="173">
        <f t="shared" si="304"/>
        <v>8.8436539054460778E-2</v>
      </c>
      <c r="FF95" s="5">
        <f t="shared" si="305"/>
        <v>8.843653905446077</v>
      </c>
      <c r="FG95">
        <f t="shared" si="306"/>
        <v>90.000000000000014</v>
      </c>
      <c r="FI95" s="562">
        <f t="shared" si="268"/>
        <v>-50</v>
      </c>
      <c r="FJ95">
        <f t="shared" si="269"/>
        <v>-50</v>
      </c>
      <c r="FL95">
        <f t="shared" si="270"/>
        <v>0.5788303047571709</v>
      </c>
    </row>
    <row r="96" spans="5:168">
      <c r="E96" s="170">
        <v>91</v>
      </c>
      <c r="F96" s="217">
        <f t="shared" si="307"/>
        <v>0.54600000000000004</v>
      </c>
      <c r="G96" s="217">
        <f t="shared" si="271"/>
        <v>0.45500000000000002</v>
      </c>
      <c r="H96" s="217">
        <f t="shared" si="176"/>
        <v>92.820000000000007</v>
      </c>
      <c r="I96" s="217">
        <f t="shared" si="308"/>
        <v>5.46</v>
      </c>
      <c r="J96" s="541">
        <f t="shared" si="177"/>
        <v>10.850388606910288</v>
      </c>
      <c r="K96" s="443">
        <f t="shared" si="178"/>
        <v>8.5456142677051172</v>
      </c>
      <c r="L96" s="172">
        <f t="shared" si="179"/>
        <v>19.396002874615405</v>
      </c>
      <c r="M96" s="443"/>
      <c r="N96" s="217">
        <f t="shared" si="180"/>
        <v>0.44058635807325142</v>
      </c>
      <c r="O96" s="172">
        <f t="shared" si="272"/>
        <v>150.49826740734773</v>
      </c>
      <c r="P96" s="172">
        <f t="shared" si="181"/>
        <v>8.8528392592557488</v>
      </c>
      <c r="Q96" s="217">
        <f t="shared" si="182"/>
        <v>0.88528392592557481</v>
      </c>
      <c r="R96" s="217">
        <f t="shared" si="183"/>
        <v>12.541522283945644</v>
      </c>
      <c r="S96" s="443">
        <f t="shared" si="184"/>
        <v>170</v>
      </c>
      <c r="T96" s="217">
        <f t="shared" si="185"/>
        <v>41.116752415834696</v>
      </c>
      <c r="U96" s="217">
        <f t="shared" si="186"/>
        <v>1.894713355687955</v>
      </c>
      <c r="V96" s="217">
        <f t="shared" si="187"/>
        <v>2.4057224634640799</v>
      </c>
      <c r="W96" s="197">
        <f t="shared" si="188"/>
        <v>350</v>
      </c>
      <c r="X96" s="443">
        <f t="shared" si="273"/>
        <v>222.20070237295781</v>
      </c>
      <c r="Z96" s="217">
        <f t="shared" si="189"/>
        <v>27.31733257141774</v>
      </c>
      <c r="AA96" s="173">
        <f t="shared" si="190"/>
        <v>1.5983246912192817</v>
      </c>
      <c r="AB96" s="173">
        <f t="shared" si="191"/>
        <v>0.36081764517432896</v>
      </c>
      <c r="AC96" s="173"/>
      <c r="AD96" s="173">
        <f t="shared" si="192"/>
        <v>0.78012726268967991</v>
      </c>
      <c r="AE96" s="545">
        <f t="shared" si="193"/>
        <v>2223.1666859030979</v>
      </c>
      <c r="AF96" s="528">
        <f t="shared" si="194"/>
        <v>8.5958466907473982E-2</v>
      </c>
      <c r="AH96" s="173">
        <f t="shared" si="195"/>
        <v>33.514176105045458</v>
      </c>
      <c r="AI96" s="173">
        <f t="shared" si="196"/>
        <v>41.116752415834696</v>
      </c>
      <c r="AJ96" s="173">
        <f t="shared" si="197"/>
        <v>21.780310431482487</v>
      </c>
      <c r="AL96" s="545">
        <f t="shared" si="198"/>
        <v>546</v>
      </c>
      <c r="AM96" s="460">
        <f t="shared" si="199"/>
        <v>222.20070237295781</v>
      </c>
      <c r="AO96">
        <f t="shared" si="274"/>
        <v>546</v>
      </c>
      <c r="AP96">
        <f t="shared" si="200"/>
        <v>222.20070237295781</v>
      </c>
      <c r="AR96" s="5">
        <f t="shared" si="275"/>
        <v>4.5004358191520355</v>
      </c>
      <c r="AS96" s="5">
        <f t="shared" si="201"/>
        <v>1.894713355687955</v>
      </c>
      <c r="AT96" s="5">
        <f t="shared" si="276"/>
        <v>2.6057224634640805</v>
      </c>
      <c r="AU96" s="173">
        <f t="shared" si="277"/>
        <v>0.42100663842928743</v>
      </c>
      <c r="AW96" s="5">
        <f t="shared" si="202"/>
        <v>0.60853734835624906</v>
      </c>
      <c r="AX96" s="5">
        <f t="shared" si="203"/>
        <v>7.184121473650162</v>
      </c>
      <c r="AY96" s="5">
        <f t="shared" si="204"/>
        <v>35.665179240448666</v>
      </c>
      <c r="AZ96" s="5"/>
      <c r="BA96" s="173">
        <f t="shared" si="278"/>
        <v>15.402905445057918</v>
      </c>
      <c r="BB96" s="173">
        <f t="shared" si="205"/>
        <v>0.8529849925959504</v>
      </c>
      <c r="BC96" s="173">
        <f t="shared" si="206"/>
        <v>0.67440731003301868</v>
      </c>
      <c r="BD96" s="173"/>
      <c r="BE96" s="528">
        <f t="shared" si="207"/>
        <v>9.4899798459757942</v>
      </c>
      <c r="BF96" s="528">
        <f t="shared" si="208"/>
        <v>3.9871170931528748</v>
      </c>
      <c r="BG96" s="528">
        <f t="shared" si="209"/>
        <v>9.6438558779000205E-2</v>
      </c>
      <c r="BH96" s="528">
        <f t="shared" si="210"/>
        <v>1.6718599825870772E-2</v>
      </c>
      <c r="BI96">
        <f t="shared" si="211"/>
        <v>4.8826748731096298E-3</v>
      </c>
      <c r="BJ96" s="460">
        <f t="shared" si="279"/>
        <v>101.32123365210984</v>
      </c>
      <c r="BK96">
        <f t="shared" si="212"/>
        <v>-12.795556484511408</v>
      </c>
      <c r="BL96" s="460">
        <f t="shared" si="280"/>
        <v>-12795.556484511408</v>
      </c>
      <c r="BM96" s="173">
        <f t="shared" si="213"/>
        <v>0.47392799999999996</v>
      </c>
      <c r="BN96" s="173">
        <f t="shared" si="214"/>
        <v>0.39494000000000001</v>
      </c>
      <c r="BO96" s="528"/>
      <c r="BQ96" s="460">
        <f t="shared" si="281"/>
        <v>868.86799999999994</v>
      </c>
      <c r="BR96" s="528">
        <f t="shared" si="215"/>
        <v>7.1174848844818461</v>
      </c>
      <c r="BS96" s="528">
        <f t="shared" si="216"/>
        <v>2.1827501927817405E-2</v>
      </c>
      <c r="BT96" s="528">
        <f t="shared" si="217"/>
        <v>2.274126099129861E-3</v>
      </c>
      <c r="BU96" s="528">
        <f t="shared" si="218"/>
        <v>398.91520021146789</v>
      </c>
      <c r="BV96" s="528">
        <f t="shared" si="219"/>
        <v>951.23950503000435</v>
      </c>
      <c r="BW96" s="625">
        <f t="shared" si="220"/>
        <v>9.3912422994157154</v>
      </c>
      <c r="BX96" s="460">
        <f t="shared" si="282"/>
        <v>960630.74732942006</v>
      </c>
      <c r="BY96" s="173">
        <f t="shared" si="283"/>
        <v>948.70405884490867</v>
      </c>
      <c r="BZ96" s="5">
        <f t="shared" si="284"/>
        <v>98.28</v>
      </c>
      <c r="CA96" s="173">
        <f t="shared" si="285"/>
        <v>9.3869624059441728E-2</v>
      </c>
      <c r="CB96" s="5">
        <f t="shared" si="286"/>
        <v>9.386962405944173</v>
      </c>
      <c r="CC96">
        <f t="shared" si="287"/>
        <v>91.000000000000014</v>
      </c>
      <c r="CE96" s="562">
        <f t="shared" si="221"/>
        <v>-50</v>
      </c>
      <c r="CF96">
        <f t="shared" si="222"/>
        <v>-50</v>
      </c>
      <c r="CG96" s="173">
        <f t="shared" si="223"/>
        <v>0.5788303047571709</v>
      </c>
      <c r="CH96" s="173">
        <f t="shared" si="224"/>
        <v>0.14404267188190509</v>
      </c>
      <c r="CI96" s="170">
        <v>91</v>
      </c>
      <c r="CJ96" s="217">
        <f t="shared" si="309"/>
        <v>0.54600000000000004</v>
      </c>
      <c r="CK96" s="217">
        <f t="shared" si="288"/>
        <v>0.45500000000000002</v>
      </c>
      <c r="CL96" s="217">
        <f t="shared" si="225"/>
        <v>92.820000000000007</v>
      </c>
      <c r="CM96" s="217">
        <f t="shared" si="310"/>
        <v>5.46</v>
      </c>
      <c r="CN96" s="541">
        <f t="shared" si="289"/>
        <v>12.5</v>
      </c>
      <c r="CO96" s="443">
        <f t="shared" si="226"/>
        <v>8.5350000000000001</v>
      </c>
      <c r="CP96" s="443">
        <f t="shared" si="227"/>
        <v>21.035</v>
      </c>
      <c r="CQ96" s="443"/>
      <c r="CR96" s="217">
        <f t="shared" si="228"/>
        <v>0.40546967895362668</v>
      </c>
      <c r="CS96" s="172">
        <f t="shared" si="290"/>
        <v>159.55982736601052</v>
      </c>
      <c r="CT96" s="172">
        <f t="shared" si="229"/>
        <v>9.3858721980006177</v>
      </c>
      <c r="CU96" s="217">
        <f t="shared" si="230"/>
        <v>0.93858721980006188</v>
      </c>
      <c r="CV96" s="217">
        <f t="shared" si="231"/>
        <v>13.296652280500878</v>
      </c>
      <c r="CW96" s="443">
        <f t="shared" si="232"/>
        <v>170</v>
      </c>
      <c r="CX96" s="217">
        <f t="shared" si="233"/>
        <v>38.781691495601166</v>
      </c>
      <c r="CY96" s="217">
        <f t="shared" si="234"/>
        <v>1.5512676598240465</v>
      </c>
      <c r="CZ96" s="217">
        <f t="shared" si="235"/>
        <v>2.2719210014997753</v>
      </c>
      <c r="DA96" s="197">
        <f t="shared" si="236"/>
        <v>350</v>
      </c>
      <c r="DB96" s="443">
        <f t="shared" si="291"/>
        <v>261.56177175251901</v>
      </c>
      <c r="DD96" s="217">
        <f t="shared" si="237"/>
        <v>28.98230839756868</v>
      </c>
      <c r="DE96" s="173">
        <f t="shared" si="238"/>
        <v>1.6978505212401103</v>
      </c>
      <c r="DF96" s="173">
        <f t="shared" si="239"/>
        <v>0.40664636548103333</v>
      </c>
      <c r="DG96" s="173"/>
      <c r="DH96" s="173">
        <f t="shared" si="240"/>
        <v>0.78109744190587771</v>
      </c>
      <c r="DI96" s="545">
        <f t="shared" si="241"/>
        <v>2220.4053529411767</v>
      </c>
      <c r="DJ96" s="528">
        <f t="shared" si="242"/>
        <v>8.6065366284073561E-2</v>
      </c>
      <c r="DL96" s="173">
        <f t="shared" si="243"/>
        <v>33.514176105045458</v>
      </c>
      <c r="DM96" s="173">
        <f t="shared" si="244"/>
        <v>38.781691495601166</v>
      </c>
      <c r="DN96" s="173">
        <f t="shared" si="245"/>
        <v>20.050635675753945</v>
      </c>
      <c r="DP96" s="545">
        <f t="shared" si="246"/>
        <v>546</v>
      </c>
      <c r="DQ96" s="460">
        <f t="shared" si="247"/>
        <v>261.56177175251901</v>
      </c>
      <c r="DS96">
        <f t="shared" ref="DS96:DS105" si="311">IF(CL96&gt;CS96, "",DP96)</f>
        <v>546</v>
      </c>
      <c r="DT96">
        <f t="shared" ref="DT96:DT105" si="312">IF(CL96&gt;CS96, "",DQ96)</f>
        <v>261.56177175251901</v>
      </c>
      <c r="DV96" s="5">
        <f t="shared" si="293"/>
        <v>3.8231886613238211</v>
      </c>
      <c r="DW96" s="5">
        <f t="shared" si="249"/>
        <v>1.5512676598240465</v>
      </c>
      <c r="DX96" s="5">
        <f t="shared" si="294"/>
        <v>2.2719210014997744</v>
      </c>
      <c r="DY96" s="173">
        <f t="shared" si="295"/>
        <v>0.40575231756596153</v>
      </c>
      <c r="EA96" s="5">
        <f t="shared" si="250"/>
        <v>0.49823067191995846</v>
      </c>
      <c r="EB96" s="5">
        <f t="shared" si="251"/>
        <v>5.8818898768328429</v>
      </c>
      <c r="EC96" s="5">
        <f t="shared" si="252"/>
        <v>26.992602541978762</v>
      </c>
      <c r="ED96" s="5"/>
      <c r="EE96" s="173">
        <f t="shared" si="296"/>
        <v>14.262531757970578</v>
      </c>
      <c r="EF96" s="173">
        <f t="shared" si="253"/>
        <v>0.81507259058838066</v>
      </c>
      <c r="EG96" s="173">
        <f t="shared" si="254"/>
        <v>0.64443210381397198</v>
      </c>
      <c r="EH96" s="173"/>
      <c r="EI96" s="528">
        <f t="shared" si="255"/>
        <v>8.1367924858847722</v>
      </c>
      <c r="EJ96" s="528">
        <f t="shared" si="256"/>
        <v>5.8678125000000021</v>
      </c>
      <c r="EK96" s="528">
        <f t="shared" si="257"/>
        <v>5.2312354350503798E-2</v>
      </c>
      <c r="EL96" s="528">
        <f t="shared" si="258"/>
        <v>2.3146711512101497E-2</v>
      </c>
      <c r="EM96">
        <f t="shared" si="259"/>
        <v>5.6249999999999998E-3</v>
      </c>
      <c r="EN96" s="460">
        <f t="shared" si="297"/>
        <v>57.937354350503796</v>
      </c>
      <c r="EO96">
        <f t="shared" si="260"/>
        <v>-17.446255189601196</v>
      </c>
      <c r="EP96" s="460">
        <f t="shared" si="298"/>
        <v>-17446.255189601197</v>
      </c>
      <c r="EQ96" s="173">
        <f t="shared" si="261"/>
        <v>0.47392799999999996</v>
      </c>
      <c r="ER96" s="173">
        <f t="shared" si="262"/>
        <v>0.39494000000000001</v>
      </c>
      <c r="ES96" s="528"/>
      <c r="EU96" s="460">
        <f t="shared" si="299"/>
        <v>868.86799999999994</v>
      </c>
      <c r="EV96" s="528">
        <f t="shared" si="263"/>
        <v>6.1025943644135792</v>
      </c>
      <c r="EW96" s="528">
        <f t="shared" si="300"/>
        <v>1.9930299837853618E-2</v>
      </c>
      <c r="EX96" s="528">
        <f t="shared" si="264"/>
        <v>2.0764636821305098E-3</v>
      </c>
      <c r="EY96" s="528">
        <f t="shared" si="265"/>
        <v>518.17033803905542</v>
      </c>
      <c r="EZ96" s="528">
        <f t="shared" si="266"/>
        <v>1030.8469595159593</v>
      </c>
      <c r="FA96" s="625">
        <f t="shared" si="267"/>
        <v>9.8348507521676964</v>
      </c>
      <c r="FB96" s="460">
        <f t="shared" si="301"/>
        <v>1040681.810268127</v>
      </c>
      <c r="FC96" s="173">
        <f t="shared" si="302"/>
        <v>1024.1044230785258</v>
      </c>
      <c r="FD96" s="5">
        <f t="shared" si="303"/>
        <v>98.28</v>
      </c>
      <c r="FE96" s="173">
        <f t="shared" si="304"/>
        <v>8.7563581585027042E-2</v>
      </c>
      <c r="FF96" s="5">
        <f t="shared" si="305"/>
        <v>8.7563581585027048</v>
      </c>
      <c r="FG96">
        <f t="shared" si="306"/>
        <v>91.000000000000014</v>
      </c>
      <c r="FI96" s="562">
        <f t="shared" si="268"/>
        <v>-50</v>
      </c>
      <c r="FJ96">
        <f t="shared" si="269"/>
        <v>-50</v>
      </c>
      <c r="FL96">
        <f t="shared" si="270"/>
        <v>0.57883030475717101</v>
      </c>
    </row>
    <row r="97" spans="5:169">
      <c r="E97" s="170">
        <v>92</v>
      </c>
      <c r="F97" s="217">
        <f t="shared" si="307"/>
        <v>0.55200000000000005</v>
      </c>
      <c r="G97" s="217">
        <f t="shared" si="271"/>
        <v>0.46</v>
      </c>
      <c r="H97" s="217">
        <f t="shared" si="176"/>
        <v>93.84</v>
      </c>
      <c r="I97" s="217">
        <f t="shared" si="308"/>
        <v>5.5200000000000005</v>
      </c>
      <c r="J97" s="541">
        <f t="shared" si="177"/>
        <v>10.832261009184027</v>
      </c>
      <c r="K97" s="443">
        <f t="shared" si="178"/>
        <v>8.5457309080095687</v>
      </c>
      <c r="L97" s="172">
        <f t="shared" si="179"/>
        <v>19.377991917193597</v>
      </c>
      <c r="M97" s="443"/>
      <c r="N97" s="217">
        <f t="shared" si="180"/>
        <v>0.44100188216236996</v>
      </c>
      <c r="O97" s="172">
        <f t="shared" si="272"/>
        <v>150.3885321909473</v>
      </c>
      <c r="P97" s="172">
        <f t="shared" si="181"/>
        <v>8.8463842465263127</v>
      </c>
      <c r="Q97" s="217">
        <f t="shared" si="182"/>
        <v>0.88463842465263121</v>
      </c>
      <c r="R97" s="217">
        <f t="shared" si="183"/>
        <v>12.532377682578941</v>
      </c>
      <c r="S97" s="443">
        <f t="shared" si="184"/>
        <v>170</v>
      </c>
      <c r="T97" s="217">
        <f t="shared" si="185"/>
        <v>41.598916545423812</v>
      </c>
      <c r="U97" s="217">
        <f t="shared" si="186"/>
        <v>1.9201400571014018</v>
      </c>
      <c r="V97" s="217">
        <f t="shared" si="187"/>
        <v>2.4339004465045129</v>
      </c>
      <c r="W97" s="197">
        <f t="shared" si="188"/>
        <v>350</v>
      </c>
      <c r="X97" s="443">
        <f t="shared" si="273"/>
        <v>219.5852231020331</v>
      </c>
      <c r="Z97" s="217">
        <f t="shared" si="189"/>
        <v>27.297414246424058</v>
      </c>
      <c r="AA97" s="173">
        <f t="shared" si="190"/>
        <v>1.5971374795360858</v>
      </c>
      <c r="AB97" s="173">
        <f t="shared" si="191"/>
        <v>0.36028674188187176</v>
      </c>
      <c r="AC97" s="173"/>
      <c r="AD97" s="173">
        <f t="shared" si="192"/>
        <v>0.78011661476706096</v>
      </c>
      <c r="AE97" s="545">
        <f t="shared" si="193"/>
        <v>2247.6277668171988</v>
      </c>
      <c r="AF97" s="528">
        <f t="shared" si="194"/>
        <v>8.5957293664148393E-2</v>
      </c>
      <c r="AH97" s="173">
        <f t="shared" si="195"/>
        <v>33.697816800838261</v>
      </c>
      <c r="AI97" s="173">
        <f t="shared" si="196"/>
        <v>41.598916545423812</v>
      </c>
      <c r="AJ97" s="173">
        <f t="shared" si="197"/>
        <v>22.137469045992944</v>
      </c>
      <c r="AL97" s="545">
        <f t="shared" si="198"/>
        <v>552</v>
      </c>
      <c r="AM97" s="460">
        <f t="shared" si="199"/>
        <v>219.5852231020331</v>
      </c>
      <c r="AO97">
        <f t="shared" si="274"/>
        <v>552</v>
      </c>
      <c r="AP97">
        <f t="shared" si="200"/>
        <v>219.5852231020331</v>
      </c>
      <c r="AR97" s="5">
        <f t="shared" si="275"/>
        <v>4.5540405036059157</v>
      </c>
      <c r="AS97" s="5">
        <f t="shared" si="201"/>
        <v>1.9201400571014018</v>
      </c>
      <c r="AT97" s="5">
        <f t="shared" si="276"/>
        <v>2.6339004465045139</v>
      </c>
      <c r="AU97" s="173">
        <f t="shared" si="277"/>
        <v>0.42163438282576182</v>
      </c>
      <c r="AW97" s="5">
        <f t="shared" si="202"/>
        <v>0.6234807714823376</v>
      </c>
      <c r="AX97" s="5">
        <f t="shared" si="203"/>
        <v>7.3605368855553737</v>
      </c>
      <c r="AY97" s="5">
        <f t="shared" si="204"/>
        <v>36.508015113805257</v>
      </c>
      <c r="AZ97" s="5"/>
      <c r="BA97" s="173">
        <f t="shared" si="278"/>
        <v>15.595144441698586</v>
      </c>
      <c r="BB97" s="173">
        <f t="shared" si="205"/>
        <v>0.86251974576931201</v>
      </c>
      <c r="BC97" s="173">
        <f t="shared" si="206"/>
        <v>0.68194590367217034</v>
      </c>
      <c r="BD97" s="173"/>
      <c r="BE97" s="528">
        <f t="shared" si="207"/>
        <v>9.7283412062976922</v>
      </c>
      <c r="BF97" s="528">
        <f t="shared" si="208"/>
        <v>3.9826892248139907</v>
      </c>
      <c r="BG97" s="528">
        <f t="shared" si="209"/>
        <v>9.5144178016045147E-2</v>
      </c>
      <c r="BH97" s="528">
        <f t="shared" si="210"/>
        <v>1.6491138822568318E-2</v>
      </c>
      <c r="BI97">
        <f t="shared" si="211"/>
        <v>4.8745174541328122E-3</v>
      </c>
      <c r="BJ97" s="460">
        <f t="shared" si="279"/>
        <v>100.01869547017796</v>
      </c>
      <c r="BK97">
        <f t="shared" si="212"/>
        <v>-12.470262250206952</v>
      </c>
      <c r="BL97" s="460">
        <f t="shared" si="280"/>
        <v>-12470.262250206952</v>
      </c>
      <c r="BM97" s="173">
        <f t="shared" si="213"/>
        <v>0.47913600000000001</v>
      </c>
      <c r="BN97" s="173">
        <f t="shared" si="214"/>
        <v>0.39928000000000002</v>
      </c>
      <c r="BO97" s="528"/>
      <c r="BQ97" s="460">
        <f t="shared" si="281"/>
        <v>878.41600000000005</v>
      </c>
      <c r="BR97" s="528">
        <f t="shared" si="215"/>
        <v>7.2962559047232691</v>
      </c>
      <c r="BS97" s="528">
        <f t="shared" si="216"/>
        <v>2.2318209355258758E-2</v>
      </c>
      <c r="BT97" s="528">
        <f t="shared" si="217"/>
        <v>2.3252510776762651E-3</v>
      </c>
      <c r="BU97" s="528">
        <f t="shared" si="218"/>
        <v>398.73359716564272</v>
      </c>
      <c r="BV97" s="528">
        <f t="shared" si="219"/>
        <v>984.27203179538185</v>
      </c>
      <c r="BW97" s="625">
        <f t="shared" si="220"/>
        <v>9.4996402446516406</v>
      </c>
      <c r="BX97" s="460">
        <f t="shared" si="282"/>
        <v>993771.6720400335</v>
      </c>
      <c r="BY97" s="173">
        <f t="shared" si="283"/>
        <v>982.17982578982662</v>
      </c>
      <c r="BZ97" s="5">
        <f t="shared" si="284"/>
        <v>99.36</v>
      </c>
      <c r="CA97" s="173">
        <f t="shared" si="285"/>
        <v>9.1869016406713827E-2</v>
      </c>
      <c r="CB97" s="5">
        <f t="shared" si="286"/>
        <v>9.1869016406713833</v>
      </c>
      <c r="CC97">
        <f t="shared" si="287"/>
        <v>92.000000000000014</v>
      </c>
      <c r="CE97" s="562">
        <f t="shared" si="221"/>
        <v>-50</v>
      </c>
      <c r="CF97">
        <f t="shared" si="222"/>
        <v>-50</v>
      </c>
      <c r="CG97" s="173">
        <f t="shared" si="223"/>
        <v>0.5788303047571709</v>
      </c>
      <c r="CH97" s="173">
        <f t="shared" si="224"/>
        <v>0.14404267188190509</v>
      </c>
      <c r="CI97" s="170">
        <v>92</v>
      </c>
      <c r="CJ97" s="217">
        <f t="shared" si="309"/>
        <v>0.55200000000000005</v>
      </c>
      <c r="CK97" s="217">
        <f t="shared" si="288"/>
        <v>0.46</v>
      </c>
      <c r="CL97" s="217">
        <f t="shared" si="225"/>
        <v>93.84</v>
      </c>
      <c r="CM97" s="217">
        <f t="shared" si="310"/>
        <v>5.5200000000000005</v>
      </c>
      <c r="CN97" s="541">
        <f t="shared" si="289"/>
        <v>12.5</v>
      </c>
      <c r="CO97" s="443">
        <f t="shared" si="226"/>
        <v>8.5350000000000001</v>
      </c>
      <c r="CP97" s="443">
        <f t="shared" si="227"/>
        <v>21.035</v>
      </c>
      <c r="CQ97" s="443"/>
      <c r="CR97" s="217">
        <f t="shared" si="228"/>
        <v>0.40546967895362668</v>
      </c>
      <c r="CS97" s="172">
        <f t="shared" si="290"/>
        <v>159.55982736601052</v>
      </c>
      <c r="CT97" s="172">
        <f t="shared" si="229"/>
        <v>9.3858721980006177</v>
      </c>
      <c r="CU97" s="217">
        <f t="shared" si="230"/>
        <v>0.93858721980006188</v>
      </c>
      <c r="CV97" s="217">
        <f t="shared" si="231"/>
        <v>13.296652280500878</v>
      </c>
      <c r="CW97" s="443">
        <f t="shared" si="232"/>
        <v>170</v>
      </c>
      <c r="CX97" s="217">
        <f t="shared" si="233"/>
        <v>39.20786392961876</v>
      </c>
      <c r="CY97" s="217">
        <f t="shared" si="234"/>
        <v>1.5683145571847505</v>
      </c>
      <c r="CZ97" s="217">
        <f t="shared" si="235"/>
        <v>2.296887166351421</v>
      </c>
      <c r="DA97" s="197">
        <f t="shared" si="236"/>
        <v>350</v>
      </c>
      <c r="DB97" s="443">
        <f t="shared" si="291"/>
        <v>258.71870901607855</v>
      </c>
      <c r="DD97" s="217">
        <f t="shared" si="237"/>
        <v>28.98230839756868</v>
      </c>
      <c r="DE97" s="173">
        <f t="shared" si="238"/>
        <v>1.6978505212401103</v>
      </c>
      <c r="DF97" s="173">
        <f t="shared" si="239"/>
        <v>0.40664636548103333</v>
      </c>
      <c r="DG97" s="173"/>
      <c r="DH97" s="173">
        <f t="shared" si="240"/>
        <v>0.78109744190587771</v>
      </c>
      <c r="DI97" s="545">
        <f t="shared" si="241"/>
        <v>2244.8054117647066</v>
      </c>
      <c r="DJ97" s="528">
        <f t="shared" si="242"/>
        <v>8.6065366284073561E-2</v>
      </c>
      <c r="DL97" s="173">
        <f t="shared" si="243"/>
        <v>33.697816800838261</v>
      </c>
      <c r="DM97" s="173">
        <f t="shared" si="244"/>
        <v>39.20786392961876</v>
      </c>
      <c r="DN97" s="173">
        <f t="shared" si="245"/>
        <v>20.366318960211423</v>
      </c>
      <c r="DP97" s="545">
        <f t="shared" si="246"/>
        <v>552</v>
      </c>
      <c r="DQ97" s="460">
        <f t="shared" si="247"/>
        <v>258.71870901607855</v>
      </c>
      <c r="DS97">
        <f t="shared" si="311"/>
        <v>552</v>
      </c>
      <c r="DT97">
        <f t="shared" si="312"/>
        <v>258.71870901607855</v>
      </c>
      <c r="DV97" s="5">
        <f t="shared" si="293"/>
        <v>3.8652017235361713</v>
      </c>
      <c r="DW97" s="5">
        <f t="shared" si="249"/>
        <v>1.5683145571847505</v>
      </c>
      <c r="DX97" s="5">
        <f t="shared" si="294"/>
        <v>2.2968871663514205</v>
      </c>
      <c r="DY97" s="173">
        <f t="shared" si="295"/>
        <v>0.40575231756596158</v>
      </c>
      <c r="EA97" s="5">
        <f t="shared" si="250"/>
        <v>0.5092409620976367</v>
      </c>
      <c r="EB97" s="5">
        <f t="shared" si="251"/>
        <v>6.0118724692082113</v>
      </c>
      <c r="EC97" s="5">
        <f t="shared" si="252"/>
        <v>27.589106136373413</v>
      </c>
      <c r="ED97" s="5"/>
      <c r="EE97" s="173">
        <f t="shared" si="296"/>
        <v>14.419262876190034</v>
      </c>
      <c r="EF97" s="173">
        <f t="shared" si="253"/>
        <v>0.82402943224319791</v>
      </c>
      <c r="EG97" s="173">
        <f t="shared" si="254"/>
        <v>0.6515137752844552</v>
      </c>
      <c r="EH97" s="173"/>
      <c r="EI97" s="528">
        <f t="shared" si="255"/>
        <v>8.3166056757068834</v>
      </c>
      <c r="EJ97" s="528">
        <f t="shared" si="256"/>
        <v>5.8678125000000012</v>
      </c>
      <c r="EK97" s="528">
        <f t="shared" si="257"/>
        <v>5.1743741803215705E-2</v>
      </c>
      <c r="EL97" s="528">
        <f t="shared" si="258"/>
        <v>2.2895116821752565E-2</v>
      </c>
      <c r="EM97">
        <f t="shared" si="259"/>
        <v>5.6249999999999998E-3</v>
      </c>
      <c r="EN97" s="460">
        <f t="shared" si="297"/>
        <v>57.368741803215705</v>
      </c>
      <c r="EO97">
        <f t="shared" si="260"/>
        <v>-16.915711138876979</v>
      </c>
      <c r="EP97" s="460">
        <f t="shared" si="298"/>
        <v>-16915.711138876981</v>
      </c>
      <c r="EQ97" s="173">
        <f t="shared" si="261"/>
        <v>0.47913600000000001</v>
      </c>
      <c r="ER97" s="173">
        <f t="shared" si="262"/>
        <v>0.39928000000000002</v>
      </c>
      <c r="ES97" s="528"/>
      <c r="EU97" s="460">
        <f t="shared" si="299"/>
        <v>878.41600000000005</v>
      </c>
      <c r="EV97" s="528">
        <f t="shared" si="263"/>
        <v>6.237454256780163</v>
      </c>
      <c r="EW97" s="528">
        <f t="shared" si="300"/>
        <v>2.0370735156091415E-2</v>
      </c>
      <c r="EX97" s="528">
        <f t="shared" si="264"/>
        <v>2.1223509969270182E-3</v>
      </c>
      <c r="EY97" s="528">
        <f t="shared" si="265"/>
        <v>518.17033803905451</v>
      </c>
      <c r="EZ97" s="528">
        <f t="shared" si="266"/>
        <v>1053.5421366770765</v>
      </c>
      <c r="FA97" s="625">
        <f t="shared" si="267"/>
        <v>9.9429260351585516</v>
      </c>
      <c r="FB97" s="460">
        <f t="shared" si="301"/>
        <v>1063485.0627122351</v>
      </c>
      <c r="FC97" s="173">
        <f t="shared" si="302"/>
        <v>1047.4477675733581</v>
      </c>
      <c r="FD97" s="5">
        <f t="shared" si="303"/>
        <v>99.36</v>
      </c>
      <c r="FE97" s="173">
        <f t="shared" si="304"/>
        <v>8.6640501407001705E-2</v>
      </c>
      <c r="FF97" s="5">
        <f t="shared" si="305"/>
        <v>8.6640501407001711</v>
      </c>
      <c r="FG97">
        <f t="shared" si="306"/>
        <v>92.000000000000014</v>
      </c>
      <c r="FI97" s="562">
        <f t="shared" si="268"/>
        <v>-50</v>
      </c>
      <c r="FJ97">
        <f t="shared" si="269"/>
        <v>-50</v>
      </c>
      <c r="FL97">
        <f t="shared" si="270"/>
        <v>0.57883030475717101</v>
      </c>
    </row>
    <row r="98" spans="5:169">
      <c r="E98" s="170">
        <v>93</v>
      </c>
      <c r="F98" s="217">
        <f t="shared" si="307"/>
        <v>0.55800000000000005</v>
      </c>
      <c r="G98" s="217">
        <f t="shared" si="271"/>
        <v>0.46500000000000002</v>
      </c>
      <c r="H98" s="217">
        <f t="shared" si="176"/>
        <v>94.860000000000014</v>
      </c>
      <c r="I98" s="217">
        <f t="shared" si="308"/>
        <v>5.58</v>
      </c>
      <c r="J98" s="541">
        <f t="shared" si="177"/>
        <v>10.814133411457767</v>
      </c>
      <c r="K98" s="443">
        <f t="shared" si="178"/>
        <v>8.5458475483140202</v>
      </c>
      <c r="L98" s="172">
        <f t="shared" si="179"/>
        <v>19.359980959771789</v>
      </c>
      <c r="M98" s="443"/>
      <c r="N98" s="217">
        <f t="shared" si="180"/>
        <v>0.4414181793913684</v>
      </c>
      <c r="O98" s="172">
        <f t="shared" si="272"/>
        <v>150.27858592051473</v>
      </c>
      <c r="P98" s="172">
        <f t="shared" si="181"/>
        <v>8.8399168188538066</v>
      </c>
      <c r="Q98" s="217">
        <f t="shared" si="182"/>
        <v>0.8839916818853808</v>
      </c>
      <c r="R98" s="217">
        <f t="shared" si="183"/>
        <v>12.523215493376227</v>
      </c>
      <c r="S98" s="443">
        <f t="shared" si="184"/>
        <v>170</v>
      </c>
      <c r="T98" s="217">
        <f t="shared" si="185"/>
        <v>42.081843938462981</v>
      </c>
      <c r="U98" s="217">
        <f t="shared" si="186"/>
        <v>1.9456872935318383</v>
      </c>
      <c r="V98" s="217">
        <f t="shared" si="187"/>
        <v>2.4621223173332383</v>
      </c>
      <c r="W98" s="197">
        <f t="shared" si="188"/>
        <v>350</v>
      </c>
      <c r="X98" s="443">
        <f t="shared" si="273"/>
        <v>217.0228556410035</v>
      </c>
      <c r="Z98" s="217">
        <f t="shared" si="189"/>
        <v>27.277457612463181</v>
      </c>
      <c r="AA98" s="173">
        <f t="shared" si="190"/>
        <v>1.5959480588818047</v>
      </c>
      <c r="AB98" s="173">
        <f t="shared" si="191"/>
        <v>0.35975522623702194</v>
      </c>
      <c r="AC98" s="173"/>
      <c r="AD98" s="173">
        <f t="shared" si="192"/>
        <v>0.78010596713510405</v>
      </c>
      <c r="AE98" s="545">
        <f t="shared" si="193"/>
        <v>2272.089514639395</v>
      </c>
      <c r="AF98" s="528">
        <f t="shared" si="194"/>
        <v>8.5956120452849435E-2</v>
      </c>
      <c r="AH98" s="173">
        <f t="shared" si="195"/>
        <v>33.880462132115532</v>
      </c>
      <c r="AI98" s="173">
        <f t="shared" si="196"/>
        <v>42.081843938462981</v>
      </c>
      <c r="AJ98" s="173">
        <f t="shared" si="197"/>
        <v>22.495193040836774</v>
      </c>
      <c r="AL98" s="545">
        <f t="shared" si="198"/>
        <v>558</v>
      </c>
      <c r="AM98" s="460">
        <f t="shared" si="199"/>
        <v>217.0228556410035</v>
      </c>
      <c r="AO98">
        <f t="shared" si="274"/>
        <v>558</v>
      </c>
      <c r="AP98">
        <f t="shared" si="200"/>
        <v>217.0228556410035</v>
      </c>
      <c r="AR98" s="5">
        <f t="shared" si="275"/>
        <v>4.6078096108650763</v>
      </c>
      <c r="AS98" s="5">
        <f t="shared" si="201"/>
        <v>1.9456872935318383</v>
      </c>
      <c r="AT98" s="5">
        <f t="shared" si="276"/>
        <v>2.662122317333238</v>
      </c>
      <c r="AU98" s="173">
        <f t="shared" si="277"/>
        <v>0.42225861262669495</v>
      </c>
      <c r="AW98" s="5">
        <f t="shared" si="202"/>
        <v>0.63864324105339165</v>
      </c>
      <c r="AX98" s="5">
        <f t="shared" si="203"/>
        <v>7.5395382624358742</v>
      </c>
      <c r="AY98" s="5">
        <f t="shared" si="204"/>
        <v>37.362797504187924</v>
      </c>
      <c r="AZ98" s="5"/>
      <c r="BA98" s="173">
        <f t="shared" si="278"/>
        <v>15.787864569636721</v>
      </c>
      <c r="BB98" s="173">
        <f t="shared" si="205"/>
        <v>0.87206186369035754</v>
      </c>
      <c r="BC98" s="173">
        <f t="shared" si="206"/>
        <v>0.68949032020353884</v>
      </c>
      <c r="BD98" s="173"/>
      <c r="BE98" s="528">
        <f t="shared" si="207"/>
        <v>9.9702667067676192</v>
      </c>
      <c r="BF98" s="528">
        <f t="shared" si="208"/>
        <v>3.9782097655017905</v>
      </c>
      <c r="BG98" s="528">
        <f t="shared" si="209"/>
        <v>9.3876564569494086E-2</v>
      </c>
      <c r="BH98" s="528">
        <f t="shared" si="210"/>
        <v>1.6268417943264765E-2</v>
      </c>
      <c r="BI98">
        <f t="shared" si="211"/>
        <v>4.8663600351559954E-3</v>
      </c>
      <c r="BJ98" s="460">
        <f t="shared" si="279"/>
        <v>98.742924604650071</v>
      </c>
      <c r="BK98">
        <f t="shared" si="212"/>
        <v>-12.167643025238824</v>
      </c>
      <c r="BL98" s="460">
        <f t="shared" si="280"/>
        <v>-12167.643025238824</v>
      </c>
      <c r="BM98" s="173">
        <f t="shared" si="213"/>
        <v>0.484344</v>
      </c>
      <c r="BN98" s="173">
        <f t="shared" si="214"/>
        <v>0.40362000000000003</v>
      </c>
      <c r="BO98" s="528"/>
      <c r="BQ98" s="460">
        <f t="shared" si="281"/>
        <v>887.96399999999994</v>
      </c>
      <c r="BR98" s="528">
        <f t="shared" si="215"/>
        <v>7.4777000300757139</v>
      </c>
      <c r="BS98" s="528">
        <f t="shared" si="216"/>
        <v>2.2814756823092992E-2</v>
      </c>
      <c r="BT98" s="528">
        <f t="shared" si="217"/>
        <v>2.3769845082718928E-3</v>
      </c>
      <c r="BU98" s="528">
        <f t="shared" si="218"/>
        <v>398.53878483286735</v>
      </c>
      <c r="BV98" s="528">
        <f t="shared" si="219"/>
        <v>1020.1959612756175</v>
      </c>
      <c r="BW98" s="625">
        <f t="shared" si="220"/>
        <v>9.6080444875883568</v>
      </c>
      <c r="BX98" s="460">
        <f t="shared" si="282"/>
        <v>1029804.0057632058</v>
      </c>
      <c r="BY98" s="173">
        <f t="shared" si="283"/>
        <v>1018.524326737967</v>
      </c>
      <c r="BZ98" s="5">
        <f t="shared" si="284"/>
        <v>100.44000000000001</v>
      </c>
      <c r="CA98" s="173">
        <f t="shared" si="285"/>
        <v>8.9761574698994415E-2</v>
      </c>
      <c r="CB98" s="5">
        <f t="shared" si="286"/>
        <v>8.9761574698994409</v>
      </c>
      <c r="CC98">
        <f t="shared" si="287"/>
        <v>93.000000000000014</v>
      </c>
      <c r="CE98" s="562">
        <f t="shared" si="221"/>
        <v>-50</v>
      </c>
      <c r="CF98">
        <f t="shared" si="222"/>
        <v>-50</v>
      </c>
      <c r="CG98" s="173">
        <f t="shared" si="223"/>
        <v>0.5788303047571709</v>
      </c>
      <c r="CH98" s="173">
        <f t="shared" si="224"/>
        <v>0.14404267188190506</v>
      </c>
      <c r="CI98" s="170">
        <v>93</v>
      </c>
      <c r="CJ98" s="217">
        <f t="shared" si="309"/>
        <v>0.55800000000000005</v>
      </c>
      <c r="CK98" s="217">
        <f t="shared" si="288"/>
        <v>0.46500000000000002</v>
      </c>
      <c r="CL98" s="217">
        <f t="shared" si="225"/>
        <v>94.860000000000014</v>
      </c>
      <c r="CM98" s="217">
        <f t="shared" si="310"/>
        <v>5.58</v>
      </c>
      <c r="CN98" s="541">
        <f t="shared" si="289"/>
        <v>12.5</v>
      </c>
      <c r="CO98" s="443">
        <f t="shared" si="226"/>
        <v>8.5350000000000001</v>
      </c>
      <c r="CP98" s="443">
        <f t="shared" si="227"/>
        <v>21.035</v>
      </c>
      <c r="CQ98" s="443"/>
      <c r="CR98" s="217">
        <f t="shared" si="228"/>
        <v>0.40546967895362668</v>
      </c>
      <c r="CS98" s="172">
        <f t="shared" si="290"/>
        <v>159.55982736601052</v>
      </c>
      <c r="CT98" s="172">
        <f t="shared" si="229"/>
        <v>9.3858721980006177</v>
      </c>
      <c r="CU98" s="217">
        <f t="shared" si="230"/>
        <v>0.93858721980006188</v>
      </c>
      <c r="CV98" s="217">
        <f t="shared" si="231"/>
        <v>13.296652280500878</v>
      </c>
      <c r="CW98" s="443">
        <f t="shared" si="232"/>
        <v>170</v>
      </c>
      <c r="CX98" s="217">
        <f t="shared" si="233"/>
        <v>39.634036363636362</v>
      </c>
      <c r="CY98" s="217">
        <f t="shared" si="234"/>
        <v>1.5853614545454544</v>
      </c>
      <c r="CZ98" s="217">
        <f t="shared" si="235"/>
        <v>2.3218533312030671</v>
      </c>
      <c r="DA98" s="197">
        <f t="shared" si="236"/>
        <v>350</v>
      </c>
      <c r="DB98" s="443">
        <f t="shared" si="291"/>
        <v>255.9367874137551</v>
      </c>
      <c r="DD98" s="217">
        <f t="shared" si="237"/>
        <v>28.98230839756868</v>
      </c>
      <c r="DE98" s="173">
        <f t="shared" si="238"/>
        <v>1.6978505212401103</v>
      </c>
      <c r="DF98" s="173">
        <f t="shared" si="239"/>
        <v>0.40664636548103333</v>
      </c>
      <c r="DG98" s="173"/>
      <c r="DH98" s="173">
        <f t="shared" si="240"/>
        <v>0.78109744190587771</v>
      </c>
      <c r="DI98" s="545">
        <f t="shared" si="241"/>
        <v>2269.2054705882356</v>
      </c>
      <c r="DJ98" s="528">
        <f t="shared" si="242"/>
        <v>8.6065366284073561E-2</v>
      </c>
      <c r="DL98" s="173">
        <f t="shared" si="243"/>
        <v>33.880462132115532</v>
      </c>
      <c r="DM98" s="173">
        <f t="shared" si="244"/>
        <v>39.634036363636362</v>
      </c>
      <c r="DN98" s="173">
        <f t="shared" si="245"/>
        <v>20.682002244668908</v>
      </c>
      <c r="DP98" s="545">
        <f t="shared" si="246"/>
        <v>558</v>
      </c>
      <c r="DQ98" s="460">
        <f t="shared" si="247"/>
        <v>255.9367874137551</v>
      </c>
      <c r="DS98">
        <f t="shared" si="311"/>
        <v>558</v>
      </c>
      <c r="DT98">
        <f t="shared" si="312"/>
        <v>255.9367874137551</v>
      </c>
      <c r="DV98" s="5">
        <f t="shared" si="293"/>
        <v>3.907214785748522</v>
      </c>
      <c r="DW98" s="5">
        <f t="shared" si="249"/>
        <v>1.5853614545454544</v>
      </c>
      <c r="DX98" s="5">
        <f t="shared" si="294"/>
        <v>2.3218533312030676</v>
      </c>
      <c r="DY98" s="173">
        <f t="shared" si="295"/>
        <v>0.40575231756596147</v>
      </c>
      <c r="EA98" s="5">
        <f t="shared" si="250"/>
        <v>0.52037158331550804</v>
      </c>
      <c r="EB98" s="5">
        <f t="shared" si="251"/>
        <v>6.1432756363636356</v>
      </c>
      <c r="EC98" s="5">
        <f t="shared" si="252"/>
        <v>28.192128895734147</v>
      </c>
      <c r="ED98" s="5"/>
      <c r="EE98" s="173">
        <f t="shared" si="296"/>
        <v>14.575993994409494</v>
      </c>
      <c r="EF98" s="173">
        <f t="shared" si="253"/>
        <v>0.83298627389801549</v>
      </c>
      <c r="EG98" s="173">
        <f t="shared" si="254"/>
        <v>0.65859544675493864</v>
      </c>
      <c r="EH98" s="173"/>
      <c r="EI98" s="528">
        <f t="shared" si="255"/>
        <v>8.4983840370024648</v>
      </c>
      <c r="EJ98" s="528">
        <f t="shared" si="256"/>
        <v>5.8678125000000012</v>
      </c>
      <c r="EK98" s="528">
        <f t="shared" si="257"/>
        <v>5.1187357482751016E-2</v>
      </c>
      <c r="EL98" s="528">
        <f t="shared" si="258"/>
        <v>2.2648932769905761E-2</v>
      </c>
      <c r="EM98">
        <f t="shared" si="259"/>
        <v>5.6249999999999998E-3</v>
      </c>
      <c r="EN98" s="460">
        <f t="shared" si="297"/>
        <v>56.812357482751011</v>
      </c>
      <c r="EO98">
        <f t="shared" si="260"/>
        <v>-16.424605522420499</v>
      </c>
      <c r="EP98" s="460">
        <f t="shared" si="298"/>
        <v>-16424.605522420501</v>
      </c>
      <c r="EQ98" s="173">
        <f t="shared" si="261"/>
        <v>0.484344</v>
      </c>
      <c r="ER98" s="173">
        <f t="shared" si="262"/>
        <v>0.40362000000000003</v>
      </c>
      <c r="ES98" s="528"/>
      <c r="EU98" s="460">
        <f t="shared" si="299"/>
        <v>887.96399999999994</v>
      </c>
      <c r="EV98" s="528">
        <f t="shared" si="263"/>
        <v>6.3737880277518491</v>
      </c>
      <c r="EW98" s="528">
        <f t="shared" si="300"/>
        <v>2.0815983975074993E-2</v>
      </c>
      <c r="EX98" s="528">
        <f t="shared" si="264"/>
        <v>2.1687398124316864E-3</v>
      </c>
      <c r="EY98" s="528">
        <f t="shared" si="265"/>
        <v>518.17033803905451</v>
      </c>
      <c r="EZ98" s="528">
        <f t="shared" si="266"/>
        <v>1077.5084943454644</v>
      </c>
      <c r="FA98" s="625">
        <f t="shared" si="267"/>
        <v>10.051001318149407</v>
      </c>
      <c r="FB98" s="460">
        <f t="shared" si="301"/>
        <v>1087559.495663614</v>
      </c>
      <c r="FC98" s="173">
        <f t="shared" si="302"/>
        <v>1072.0228541411934</v>
      </c>
      <c r="FD98" s="5">
        <f t="shared" si="303"/>
        <v>100.44000000000001</v>
      </c>
      <c r="FE98" s="173">
        <f t="shared" si="304"/>
        <v>8.566582697715433E-2</v>
      </c>
      <c r="FF98" s="5">
        <f t="shared" si="305"/>
        <v>8.5665826977154325</v>
      </c>
      <c r="FG98">
        <f t="shared" si="306"/>
        <v>93.000000000000014</v>
      </c>
      <c r="FI98" s="562">
        <f t="shared" si="268"/>
        <v>-50</v>
      </c>
      <c r="FJ98">
        <f t="shared" si="269"/>
        <v>-50</v>
      </c>
      <c r="FL98">
        <f t="shared" si="270"/>
        <v>0.5788303047571709</v>
      </c>
    </row>
    <row r="99" spans="5:169">
      <c r="E99" s="170">
        <v>94</v>
      </c>
      <c r="F99" s="217">
        <f t="shared" si="307"/>
        <v>0.56399999999999995</v>
      </c>
      <c r="G99" s="217">
        <f t="shared" si="271"/>
        <v>0.47</v>
      </c>
      <c r="H99" s="217">
        <f t="shared" si="176"/>
        <v>95.88</v>
      </c>
      <c r="I99" s="217">
        <f t="shared" si="308"/>
        <v>5.64</v>
      </c>
      <c r="J99" s="541">
        <f t="shared" si="177"/>
        <v>10.796005813731506</v>
      </c>
      <c r="K99" s="443">
        <f t="shared" si="178"/>
        <v>8.5459641886184734</v>
      </c>
      <c r="L99" s="172">
        <f t="shared" si="179"/>
        <v>19.341970002349981</v>
      </c>
      <c r="M99" s="443"/>
      <c r="N99" s="217">
        <f t="shared" si="180"/>
        <v>0.44183525192005618</v>
      </c>
      <c r="O99" s="172">
        <f t="shared" si="272"/>
        <v>150.16842800645864</v>
      </c>
      <c r="P99" s="172">
        <f t="shared" si="181"/>
        <v>8.8334369415563891</v>
      </c>
      <c r="Q99" s="217">
        <f t="shared" si="182"/>
        <v>0.88334369415563907</v>
      </c>
      <c r="R99" s="217">
        <f t="shared" si="183"/>
        <v>12.514035667204887</v>
      </c>
      <c r="S99" s="443">
        <f t="shared" si="184"/>
        <v>170</v>
      </c>
      <c r="T99" s="217">
        <f t="shared" si="185"/>
        <v>42.565538474739071</v>
      </c>
      <c r="U99" s="217">
        <f t="shared" si="186"/>
        <v>1.9713558518373391</v>
      </c>
      <c r="V99" s="217">
        <f t="shared" si="187"/>
        <v>2.4903883011485064</v>
      </c>
      <c r="W99" s="197">
        <f t="shared" si="188"/>
        <v>350</v>
      </c>
      <c r="X99" s="443">
        <f t="shared" si="273"/>
        <v>214.51198675489309</v>
      </c>
      <c r="Z99" s="217">
        <f t="shared" si="189"/>
        <v>27.257462562516867</v>
      </c>
      <c r="AA99" s="173">
        <f t="shared" si="190"/>
        <v>1.5947564230855538</v>
      </c>
      <c r="AB99" s="173">
        <f t="shared" si="191"/>
        <v>0.35922309766194077</v>
      </c>
      <c r="AC99" s="173"/>
      <c r="AD99" s="173">
        <f t="shared" si="192"/>
        <v>0.7800953197937972</v>
      </c>
      <c r="AE99" s="545">
        <f t="shared" si="193"/>
        <v>2296.5519293696839</v>
      </c>
      <c r="AF99" s="528">
        <f t="shared" si="194"/>
        <v>8.5954947273575805E-2</v>
      </c>
      <c r="AH99" s="173">
        <f t="shared" si="195"/>
        <v>34.062128110682863</v>
      </c>
      <c r="AI99" s="173">
        <f t="shared" si="196"/>
        <v>42.565538474739071</v>
      </c>
      <c r="AJ99" s="173">
        <f t="shared" si="197"/>
        <v>22.853485289930173</v>
      </c>
      <c r="AL99" s="545">
        <f t="shared" si="198"/>
        <v>564</v>
      </c>
      <c r="AM99" s="460">
        <f t="shared" si="199"/>
        <v>214.51198675489309</v>
      </c>
      <c r="AO99">
        <f t="shared" si="274"/>
        <v>564</v>
      </c>
      <c r="AP99">
        <f t="shared" si="200"/>
        <v>214.51198675489309</v>
      </c>
      <c r="AR99" s="5">
        <f t="shared" si="275"/>
        <v>4.6617441529858459</v>
      </c>
      <c r="AS99" s="5">
        <f t="shared" si="201"/>
        <v>1.9713558518373391</v>
      </c>
      <c r="AT99" s="5">
        <f t="shared" si="276"/>
        <v>2.6903883011485066</v>
      </c>
      <c r="AU99" s="173">
        <f t="shared" si="277"/>
        <v>0.42287946037851221</v>
      </c>
      <c r="AW99" s="5">
        <f t="shared" si="202"/>
        <v>0.65402629437427007</v>
      </c>
      <c r="AX99" s="5">
        <f t="shared" si="203"/>
        <v>7.7211437530295779</v>
      </c>
      <c r="AY99" s="5">
        <f t="shared" si="204"/>
        <v>38.229609693025537</v>
      </c>
      <c r="AZ99" s="5"/>
      <c r="BA99" s="173">
        <f t="shared" si="278"/>
        <v>15.981068029181751</v>
      </c>
      <c r="BB99" s="173">
        <f t="shared" si="205"/>
        <v>0.88161138625139057</v>
      </c>
      <c r="BC99" s="173">
        <f t="shared" si="206"/>
        <v>0.69704059116772754</v>
      </c>
      <c r="BD99" s="173"/>
      <c r="BE99" s="528">
        <f t="shared" si="207"/>
        <v>10.215781414133405</v>
      </c>
      <c r="BF99" s="528">
        <f t="shared" si="208"/>
        <v>3.973680274830492</v>
      </c>
      <c r="BG99" s="528">
        <f t="shared" si="209"/>
        <v>9.2634906244836862E-2</v>
      </c>
      <c r="BH99" s="528">
        <f t="shared" si="210"/>
        <v>1.605029325052891E-2</v>
      </c>
      <c r="BI99">
        <f t="shared" si="211"/>
        <v>4.8582026161791778E-3</v>
      </c>
      <c r="BJ99" s="460">
        <f t="shared" si="279"/>
        <v>97.49310886101604</v>
      </c>
      <c r="BK99">
        <f t="shared" si="212"/>
        <v>-11.885471534868314</v>
      </c>
      <c r="BL99" s="460">
        <f t="shared" si="280"/>
        <v>-11885.471534868315</v>
      </c>
      <c r="BM99" s="173">
        <f t="shared" si="213"/>
        <v>0.48955199999999993</v>
      </c>
      <c r="BN99" s="173">
        <f t="shared" si="214"/>
        <v>0.40795999999999993</v>
      </c>
      <c r="BO99" s="528"/>
      <c r="BQ99" s="460">
        <f t="shared" si="281"/>
        <v>897.51199999999983</v>
      </c>
      <c r="BR99" s="528">
        <f t="shared" si="215"/>
        <v>7.6618360606000531</v>
      </c>
      <c r="BS99" s="528">
        <f t="shared" si="216"/>
        <v>2.3317159091042955E-2</v>
      </c>
      <c r="BT99" s="528">
        <f t="shared" si="217"/>
        <v>2.4293279286772755E-3</v>
      </c>
      <c r="BU99" s="528">
        <f t="shared" si="218"/>
        <v>398.33112869331165</v>
      </c>
      <c r="BV99" s="528">
        <f t="shared" si="219"/>
        <v>1059.404486124303</v>
      </c>
      <c r="BW99" s="625">
        <f t="shared" si="220"/>
        <v>9.716454862092867</v>
      </c>
      <c r="BX99" s="460">
        <f t="shared" si="282"/>
        <v>1069120.9409863958</v>
      </c>
      <c r="BY99" s="173">
        <f t="shared" si="283"/>
        <v>1058.1329814515275</v>
      </c>
      <c r="BZ99" s="5">
        <f t="shared" si="284"/>
        <v>101.52</v>
      </c>
      <c r="CA99" s="173">
        <f t="shared" si="285"/>
        <v>8.7543430339762765E-2</v>
      </c>
      <c r="CB99" s="5">
        <f t="shared" si="286"/>
        <v>8.7543430339762764</v>
      </c>
      <c r="CC99">
        <f t="shared" si="287"/>
        <v>94</v>
      </c>
      <c r="CE99" s="562">
        <f t="shared" si="221"/>
        <v>-50</v>
      </c>
      <c r="CF99">
        <f t="shared" si="222"/>
        <v>-50</v>
      </c>
      <c r="CG99" s="173">
        <f t="shared" si="223"/>
        <v>0.5788303047571709</v>
      </c>
      <c r="CH99" s="173">
        <f t="shared" si="224"/>
        <v>0.14404267188190506</v>
      </c>
      <c r="CI99" s="170">
        <v>94</v>
      </c>
      <c r="CJ99" s="217">
        <f t="shared" si="309"/>
        <v>0.56399999999999995</v>
      </c>
      <c r="CK99" s="217">
        <f t="shared" si="288"/>
        <v>0.47</v>
      </c>
      <c r="CL99" s="217">
        <f t="shared" si="225"/>
        <v>95.88</v>
      </c>
      <c r="CM99" s="217">
        <f t="shared" si="310"/>
        <v>5.64</v>
      </c>
      <c r="CN99" s="541">
        <f t="shared" si="289"/>
        <v>12.5</v>
      </c>
      <c r="CO99" s="443">
        <f t="shared" si="226"/>
        <v>8.5350000000000001</v>
      </c>
      <c r="CP99" s="443">
        <f t="shared" si="227"/>
        <v>21.035</v>
      </c>
      <c r="CQ99" s="443"/>
      <c r="CR99" s="217">
        <f t="shared" si="228"/>
        <v>0.40546967895362668</v>
      </c>
      <c r="CS99" s="172">
        <f t="shared" si="290"/>
        <v>159.55982736601052</v>
      </c>
      <c r="CT99" s="172">
        <f t="shared" si="229"/>
        <v>9.3858721980006177</v>
      </c>
      <c r="CU99" s="217">
        <f t="shared" si="230"/>
        <v>0.93858721980006188</v>
      </c>
      <c r="CV99" s="217">
        <f t="shared" si="231"/>
        <v>13.296652280500878</v>
      </c>
      <c r="CW99" s="443">
        <f t="shared" si="232"/>
        <v>170</v>
      </c>
      <c r="CX99" s="217">
        <f t="shared" si="233"/>
        <v>40.060208797653949</v>
      </c>
      <c r="CY99" s="217">
        <f t="shared" si="234"/>
        <v>1.602408351906158</v>
      </c>
      <c r="CZ99" s="217">
        <f t="shared" si="235"/>
        <v>2.3468194960547129</v>
      </c>
      <c r="DA99" s="197">
        <f t="shared" si="236"/>
        <v>350</v>
      </c>
      <c r="DB99" s="443">
        <f t="shared" si="291"/>
        <v>253.21405563275772</v>
      </c>
      <c r="DD99" s="217">
        <f t="shared" si="237"/>
        <v>28.98230839756868</v>
      </c>
      <c r="DE99" s="173">
        <f t="shared" si="238"/>
        <v>1.6978505212401103</v>
      </c>
      <c r="DF99" s="173">
        <f t="shared" si="239"/>
        <v>0.40664636548103333</v>
      </c>
      <c r="DG99" s="173"/>
      <c r="DH99" s="173">
        <f t="shared" si="240"/>
        <v>0.78109744190587771</v>
      </c>
      <c r="DI99" s="545">
        <f t="shared" si="241"/>
        <v>2293.6055294117646</v>
      </c>
      <c r="DJ99" s="528">
        <f t="shared" si="242"/>
        <v>8.6065366284073561E-2</v>
      </c>
      <c r="DL99" s="173">
        <f t="shared" si="243"/>
        <v>34.062128110682863</v>
      </c>
      <c r="DM99" s="173">
        <f t="shared" si="244"/>
        <v>40.060208797653949</v>
      </c>
      <c r="DN99" s="173">
        <f t="shared" si="245"/>
        <v>20.997685529126382</v>
      </c>
      <c r="DP99" s="545">
        <f t="shared" si="246"/>
        <v>564</v>
      </c>
      <c r="DQ99" s="460">
        <f t="shared" si="247"/>
        <v>253.21405563275772</v>
      </c>
      <c r="DS99">
        <f t="shared" si="311"/>
        <v>564</v>
      </c>
      <c r="DT99">
        <f t="shared" si="312"/>
        <v>253.21405563275772</v>
      </c>
      <c r="DV99" s="5">
        <f t="shared" si="293"/>
        <v>3.9492278479608713</v>
      </c>
      <c r="DW99" s="5">
        <f t="shared" si="249"/>
        <v>1.602408351906158</v>
      </c>
      <c r="DX99" s="5">
        <f t="shared" si="294"/>
        <v>2.3468194960547133</v>
      </c>
      <c r="DY99" s="173">
        <f t="shared" si="295"/>
        <v>0.40575231756596147</v>
      </c>
      <c r="EA99" s="5">
        <f t="shared" si="250"/>
        <v>0.53162253557357242</v>
      </c>
      <c r="EB99" s="5">
        <f t="shared" si="251"/>
        <v>6.2760993782991186</v>
      </c>
      <c r="EC99" s="5">
        <f t="shared" si="252"/>
        <v>28.801670820060917</v>
      </c>
      <c r="ED99" s="5"/>
      <c r="EE99" s="173">
        <f t="shared" si="296"/>
        <v>14.732725112628948</v>
      </c>
      <c r="EF99" s="173">
        <f t="shared" si="253"/>
        <v>0.84194311555283274</v>
      </c>
      <c r="EG99" s="173">
        <f t="shared" si="254"/>
        <v>0.66567711822542175</v>
      </c>
      <c r="EH99" s="173"/>
      <c r="EI99" s="528">
        <f t="shared" si="255"/>
        <v>8.6821275697715077</v>
      </c>
      <c r="EJ99" s="528">
        <f t="shared" si="256"/>
        <v>5.8678125000000003</v>
      </c>
      <c r="EK99" s="528">
        <f t="shared" si="257"/>
        <v>5.0642811126551536E-2</v>
      </c>
      <c r="EL99" s="528">
        <f t="shared" si="258"/>
        <v>2.2407986676608892E-2</v>
      </c>
      <c r="EM99">
        <f t="shared" si="259"/>
        <v>5.6249999999999998E-3</v>
      </c>
      <c r="EN99" s="460">
        <f t="shared" si="297"/>
        <v>56.267811126551535</v>
      </c>
      <c r="EO99">
        <f t="shared" si="260"/>
        <v>-15.968777227487447</v>
      </c>
      <c r="EP99" s="460">
        <f t="shared" si="298"/>
        <v>-15968.777227487446</v>
      </c>
      <c r="EQ99" s="173">
        <f t="shared" si="261"/>
        <v>0.48955199999999993</v>
      </c>
      <c r="ER99" s="173">
        <f t="shared" si="262"/>
        <v>0.40795999999999993</v>
      </c>
      <c r="ES99" s="528"/>
      <c r="EU99" s="460">
        <f t="shared" si="299"/>
        <v>897.51199999999983</v>
      </c>
      <c r="EV99" s="528">
        <f t="shared" si="263"/>
        <v>6.5115956773286294</v>
      </c>
      <c r="EW99" s="528">
        <f t="shared" si="300"/>
        <v>2.126604629480432E-2</v>
      </c>
      <c r="EX99" s="528">
        <f t="shared" si="264"/>
        <v>2.215630128644511E-3</v>
      </c>
      <c r="EY99" s="528">
        <f t="shared" si="265"/>
        <v>518.17033803905451</v>
      </c>
      <c r="EZ99" s="528">
        <f t="shared" si="266"/>
        <v>1102.8513385013173</v>
      </c>
      <c r="FA99" s="625">
        <f t="shared" si="267"/>
        <v>10.159076601140256</v>
      </c>
      <c r="FB99" s="460">
        <f t="shared" si="301"/>
        <v>1113010.4151024574</v>
      </c>
      <c r="FC99" s="173">
        <f t="shared" si="302"/>
        <v>1097.9391498749701</v>
      </c>
      <c r="FD99" s="5">
        <f t="shared" si="303"/>
        <v>101.52</v>
      </c>
      <c r="FE99" s="173">
        <f t="shared" si="304"/>
        <v>8.4638147127046634E-2</v>
      </c>
      <c r="FF99" s="5">
        <f t="shared" si="305"/>
        <v>8.4638147127046626</v>
      </c>
      <c r="FG99">
        <f t="shared" si="306"/>
        <v>94</v>
      </c>
      <c r="FI99" s="562">
        <f t="shared" si="268"/>
        <v>-50</v>
      </c>
      <c r="FJ99">
        <f t="shared" si="269"/>
        <v>-50</v>
      </c>
      <c r="FL99">
        <f t="shared" si="270"/>
        <v>0.5788303047571709</v>
      </c>
    </row>
    <row r="100" spans="5:169">
      <c r="E100" s="170">
        <v>95</v>
      </c>
      <c r="F100" s="217">
        <f t="shared" si="307"/>
        <v>0.56999999999999995</v>
      </c>
      <c r="G100" s="217">
        <f t="shared" si="271"/>
        <v>0.47499999999999998</v>
      </c>
      <c r="H100" s="217">
        <f t="shared" si="176"/>
        <v>96.899999999999991</v>
      </c>
      <c r="I100" s="217">
        <f t="shared" si="308"/>
        <v>5.6999999999999993</v>
      </c>
      <c r="J100" s="541">
        <f t="shared" si="177"/>
        <v>10.777878216005245</v>
      </c>
      <c r="K100" s="443">
        <f t="shared" si="178"/>
        <v>8.5460808289229249</v>
      </c>
      <c r="L100" s="172">
        <f t="shared" si="179"/>
        <v>19.32395904492817</v>
      </c>
      <c r="M100" s="443"/>
      <c r="N100" s="217">
        <f t="shared" si="180"/>
        <v>0.4422531019162948</v>
      </c>
      <c r="O100" s="172">
        <f t="shared" si="272"/>
        <v>150.05805785698976</v>
      </c>
      <c r="P100" s="172">
        <f t="shared" si="181"/>
        <v>8.8269445798229267</v>
      </c>
      <c r="Q100" s="217">
        <f t="shared" si="182"/>
        <v>0.88269445798229274</v>
      </c>
      <c r="R100" s="217">
        <f t="shared" si="183"/>
        <v>12.504838154749146</v>
      </c>
      <c r="S100" s="443">
        <f t="shared" si="184"/>
        <v>170</v>
      </c>
      <c r="T100" s="217">
        <f t="shared" si="185"/>
        <v>43.050004060139116</v>
      </c>
      <c r="U100" s="217">
        <f t="shared" si="186"/>
        <v>1.9971465253805465</v>
      </c>
      <c r="V100" s="217">
        <f t="shared" si="187"/>
        <v>2.518698624663299</v>
      </c>
      <c r="W100" s="197">
        <f t="shared" si="188"/>
        <v>350</v>
      </c>
      <c r="X100" s="443">
        <f t="shared" si="273"/>
        <v>212.05106787501336</v>
      </c>
      <c r="Z100" s="217">
        <f t="shared" si="189"/>
        <v>27.237428989167892</v>
      </c>
      <c r="AA100" s="173">
        <f t="shared" si="190"/>
        <v>1.5935625659534434</v>
      </c>
      <c r="AB100" s="173">
        <f t="shared" si="191"/>
        <v>0.35869035558086232</v>
      </c>
      <c r="AC100" s="173"/>
      <c r="AD100" s="173">
        <f t="shared" si="192"/>
        <v>0.78008467274312887</v>
      </c>
      <c r="AE100" s="545">
        <f t="shared" si="193"/>
        <v>2321.0150110080672</v>
      </c>
      <c r="AF100" s="528">
        <f t="shared" si="194"/>
        <v>8.5953774126326224E-2</v>
      </c>
      <c r="AH100" s="173">
        <f t="shared" si="195"/>
        <v>34.24283032360831</v>
      </c>
      <c r="AI100" s="173">
        <f t="shared" si="196"/>
        <v>43.050004060139116</v>
      </c>
      <c r="AJ100" s="173">
        <f t="shared" si="197"/>
        <v>23.212348686522798</v>
      </c>
      <c r="AL100" s="545">
        <f t="shared" si="198"/>
        <v>570</v>
      </c>
      <c r="AM100" s="460">
        <f t="shared" si="199"/>
        <v>212.05106787501336</v>
      </c>
      <c r="AO100">
        <f t="shared" si="274"/>
        <v>570</v>
      </c>
      <c r="AP100">
        <f t="shared" si="200"/>
        <v>212.05106787501336</v>
      </c>
      <c r="AR100" s="5">
        <f t="shared" si="275"/>
        <v>4.7158451500438447</v>
      </c>
      <c r="AS100" s="5">
        <f t="shared" si="201"/>
        <v>1.9971465253805465</v>
      </c>
      <c r="AT100" s="5">
        <f t="shared" si="276"/>
        <v>2.7186986246632983</v>
      </c>
      <c r="AU100" s="173">
        <f t="shared" si="277"/>
        <v>0.42349705340981741</v>
      </c>
      <c r="AW100" s="5">
        <f t="shared" si="202"/>
        <v>0.66963148203935963</v>
      </c>
      <c r="AX100" s="5">
        <f t="shared" si="203"/>
        <v>7.9053716629646615</v>
      </c>
      <c r="AY100" s="5">
        <f t="shared" si="204"/>
        <v>39.108535680228421</v>
      </c>
      <c r="AZ100" s="5"/>
      <c r="BA100" s="173">
        <f t="shared" si="278"/>
        <v>16.174757039620911</v>
      </c>
      <c r="BB100" s="173">
        <f t="shared" si="205"/>
        <v>0.89116835334547806</v>
      </c>
      <c r="BC100" s="173">
        <f t="shared" si="206"/>
        <v>0.70459674810594308</v>
      </c>
      <c r="BD100" s="173"/>
      <c r="BE100" s="528">
        <f t="shared" si="207"/>
        <v>10.464910611630648</v>
      </c>
      <c r="BF100" s="528">
        <f t="shared" si="208"/>
        <v>3.9691022498954758</v>
      </c>
      <c r="BG100" s="528">
        <f t="shared" si="209"/>
        <v>9.1418423405230237E-2</v>
      </c>
      <c r="BH100" s="528">
        <f t="shared" si="210"/>
        <v>1.5836626576535891E-2</v>
      </c>
      <c r="BI100">
        <f t="shared" si="211"/>
        <v>4.8500451972023602E-3</v>
      </c>
      <c r="BJ100" s="460">
        <f t="shared" si="279"/>
        <v>96.268468602432606</v>
      </c>
      <c r="BK100">
        <f t="shared" si="212"/>
        <v>-11.621801637238567</v>
      </c>
      <c r="BL100" s="460">
        <f t="shared" si="280"/>
        <v>-11621.801637238566</v>
      </c>
      <c r="BM100" s="173">
        <f t="shared" si="213"/>
        <v>0.49475999999999998</v>
      </c>
      <c r="BN100" s="173">
        <f t="shared" si="214"/>
        <v>0.41229999999999994</v>
      </c>
      <c r="BO100" s="528"/>
      <c r="BQ100" s="460">
        <f t="shared" si="281"/>
        <v>907.06</v>
      </c>
      <c r="BR100" s="528">
        <f t="shared" si="215"/>
        <v>7.8486829587229856</v>
      </c>
      <c r="BS100" s="528">
        <f t="shared" si="216"/>
        <v>2.3825431020134725E-2</v>
      </c>
      <c r="BT100" s="528">
        <f t="shared" si="217"/>
        <v>2.482282887207349E-3</v>
      </c>
      <c r="BU100" s="528">
        <f t="shared" si="218"/>
        <v>398.11098018989816</v>
      </c>
      <c r="BV100" s="528">
        <f t="shared" si="219"/>
        <v>1102.3652595959365</v>
      </c>
      <c r="BW100" s="625">
        <f t="shared" si="220"/>
        <v>9.8248712087204755</v>
      </c>
      <c r="BX100" s="460">
        <f t="shared" si="282"/>
        <v>1112190.130804657</v>
      </c>
      <c r="BY100" s="173">
        <f t="shared" si="283"/>
        <v>1101.4753891674184</v>
      </c>
      <c r="BZ100" s="5">
        <f t="shared" si="284"/>
        <v>102.6</v>
      </c>
      <c r="CA100" s="173">
        <f t="shared" si="285"/>
        <v>8.5210611331359237E-2</v>
      </c>
      <c r="CB100" s="5">
        <f t="shared" si="286"/>
        <v>8.5210611331359232</v>
      </c>
      <c r="CC100">
        <f t="shared" si="287"/>
        <v>95</v>
      </c>
      <c r="CE100" s="562">
        <f t="shared" si="221"/>
        <v>-50</v>
      </c>
      <c r="CF100">
        <f t="shared" si="222"/>
        <v>-50</v>
      </c>
      <c r="CG100" s="173">
        <f t="shared" si="223"/>
        <v>0.5788303047571709</v>
      </c>
      <c r="CH100" s="173">
        <f t="shared" si="224"/>
        <v>0.14404267188190506</v>
      </c>
      <c r="CI100" s="170">
        <v>95</v>
      </c>
      <c r="CJ100" s="217">
        <f t="shared" si="309"/>
        <v>0.56999999999999995</v>
      </c>
      <c r="CK100" s="217">
        <f t="shared" si="288"/>
        <v>0.47499999999999998</v>
      </c>
      <c r="CL100" s="217">
        <f t="shared" si="225"/>
        <v>96.899999999999991</v>
      </c>
      <c r="CM100" s="217">
        <f t="shared" si="310"/>
        <v>5.6999999999999993</v>
      </c>
      <c r="CN100" s="541">
        <f t="shared" si="289"/>
        <v>12.5</v>
      </c>
      <c r="CO100" s="443">
        <f t="shared" si="226"/>
        <v>8.5350000000000001</v>
      </c>
      <c r="CP100" s="443">
        <f t="shared" si="227"/>
        <v>21.035</v>
      </c>
      <c r="CQ100" s="443"/>
      <c r="CR100" s="217">
        <f t="shared" si="228"/>
        <v>0.40546967895362668</v>
      </c>
      <c r="CS100" s="172">
        <f t="shared" si="290"/>
        <v>159.55982736601052</v>
      </c>
      <c r="CT100" s="172">
        <f t="shared" si="229"/>
        <v>9.3858721980006177</v>
      </c>
      <c r="CU100" s="217">
        <f t="shared" si="230"/>
        <v>0.93858721980006188</v>
      </c>
      <c r="CV100" s="217">
        <f t="shared" si="231"/>
        <v>13.296652280500878</v>
      </c>
      <c r="CW100" s="443">
        <f t="shared" si="232"/>
        <v>170</v>
      </c>
      <c r="CX100" s="217">
        <f t="shared" si="233"/>
        <v>40.486381231671544</v>
      </c>
      <c r="CY100" s="217">
        <f t="shared" si="234"/>
        <v>1.6194552492668617</v>
      </c>
      <c r="CZ100" s="217">
        <f t="shared" si="235"/>
        <v>2.3717856609063586</v>
      </c>
      <c r="DA100" s="197">
        <f t="shared" si="236"/>
        <v>350</v>
      </c>
      <c r="DB100" s="443">
        <f t="shared" si="291"/>
        <v>250.54864452083396</v>
      </c>
      <c r="DD100" s="217">
        <f t="shared" si="237"/>
        <v>28.98230839756868</v>
      </c>
      <c r="DE100" s="173">
        <f t="shared" si="238"/>
        <v>1.6978505212401103</v>
      </c>
      <c r="DF100" s="173">
        <f t="shared" si="239"/>
        <v>0.40664636548103333</v>
      </c>
      <c r="DG100" s="173"/>
      <c r="DH100" s="173">
        <f t="shared" si="240"/>
        <v>0.78109744190587771</v>
      </c>
      <c r="DI100" s="545">
        <f t="shared" si="241"/>
        <v>2318.005588235294</v>
      </c>
      <c r="DJ100" s="528">
        <f t="shared" si="242"/>
        <v>8.6065366284073561E-2</v>
      </c>
      <c r="DL100" s="173">
        <f t="shared" si="243"/>
        <v>34.24283032360831</v>
      </c>
      <c r="DM100" s="173">
        <f t="shared" si="244"/>
        <v>40.486381231671544</v>
      </c>
      <c r="DN100" s="173">
        <f t="shared" si="245"/>
        <v>21.313368813583857</v>
      </c>
      <c r="DP100" s="545">
        <f t="shared" si="246"/>
        <v>570</v>
      </c>
      <c r="DQ100" s="460">
        <f t="shared" si="247"/>
        <v>250.54864452083396</v>
      </c>
      <c r="DS100">
        <f t="shared" si="311"/>
        <v>570</v>
      </c>
      <c r="DT100">
        <f t="shared" si="312"/>
        <v>250.54864452083396</v>
      </c>
      <c r="DV100" s="5">
        <f t="shared" si="293"/>
        <v>3.9912409101732207</v>
      </c>
      <c r="DW100" s="5">
        <f t="shared" si="249"/>
        <v>1.6194552492668617</v>
      </c>
      <c r="DX100" s="5">
        <f t="shared" si="294"/>
        <v>2.371785660906359</v>
      </c>
      <c r="DY100" s="173">
        <f t="shared" si="295"/>
        <v>0.40575231756596147</v>
      </c>
      <c r="EA100" s="5">
        <f t="shared" si="250"/>
        <v>0.54299381887182996</v>
      </c>
      <c r="EB100" s="5">
        <f t="shared" si="251"/>
        <v>6.4103436950146602</v>
      </c>
      <c r="EC100" s="5">
        <f t="shared" si="252"/>
        <v>29.417731909353751</v>
      </c>
      <c r="ED100" s="5"/>
      <c r="EE100" s="173">
        <f t="shared" si="296"/>
        <v>14.889456230848404</v>
      </c>
      <c r="EF100" s="173">
        <f t="shared" si="253"/>
        <v>0.8508999572076501</v>
      </c>
      <c r="EG100" s="173">
        <f t="shared" si="254"/>
        <v>0.67275878969590497</v>
      </c>
      <c r="EH100" s="173"/>
      <c r="EI100" s="528">
        <f t="shared" si="255"/>
        <v>8.8678362740140155</v>
      </c>
      <c r="EJ100" s="528">
        <f t="shared" si="256"/>
        <v>5.8678125000000012</v>
      </c>
      <c r="EK100" s="528">
        <f t="shared" si="257"/>
        <v>5.0109728904166789E-2</v>
      </c>
      <c r="EL100" s="528">
        <f t="shared" si="258"/>
        <v>2.2172113132644587E-2</v>
      </c>
      <c r="EM100">
        <f t="shared" si="259"/>
        <v>5.6249999999999998E-3</v>
      </c>
      <c r="EN100" s="460">
        <f t="shared" si="297"/>
        <v>55.734728904166786</v>
      </c>
      <c r="EO100">
        <f t="shared" si="260"/>
        <v>-15.544628793020806</v>
      </c>
      <c r="EP100" s="460">
        <f t="shared" si="298"/>
        <v>-15544.628793020805</v>
      </c>
      <c r="EQ100" s="173">
        <f t="shared" si="261"/>
        <v>0.49475999999999998</v>
      </c>
      <c r="ER100" s="173">
        <f t="shared" si="262"/>
        <v>0.41229999999999994</v>
      </c>
      <c r="ES100" s="528"/>
      <c r="EU100" s="460">
        <f t="shared" si="299"/>
        <v>907.06</v>
      </c>
      <c r="EV100" s="528">
        <f t="shared" si="263"/>
        <v>6.6508772055105112</v>
      </c>
      <c r="EW100" s="528">
        <f t="shared" si="300"/>
        <v>2.1720922115279422E-2</v>
      </c>
      <c r="EX100" s="528">
        <f t="shared" si="264"/>
        <v>2.2630219455654944E-3</v>
      </c>
      <c r="EY100" s="528">
        <f t="shared" si="265"/>
        <v>518.17033803905451</v>
      </c>
      <c r="EZ100" s="528">
        <f t="shared" si="266"/>
        <v>1129.6880198524889</v>
      </c>
      <c r="FA100" s="625">
        <f t="shared" si="267"/>
        <v>10.267151884131112</v>
      </c>
      <c r="FB100" s="460">
        <f t="shared" si="301"/>
        <v>1139955.1717366201</v>
      </c>
      <c r="FC100" s="173">
        <f t="shared" si="302"/>
        <v>1125.3176029435992</v>
      </c>
      <c r="FD100" s="5">
        <f t="shared" si="303"/>
        <v>102.6</v>
      </c>
      <c r="FE100" s="173">
        <f t="shared" si="304"/>
        <v>8.3556095094690669E-2</v>
      </c>
      <c r="FF100" s="5">
        <f t="shared" si="305"/>
        <v>8.3556095094690672</v>
      </c>
      <c r="FG100">
        <f t="shared" si="306"/>
        <v>95</v>
      </c>
      <c r="FI100" s="562">
        <f t="shared" si="268"/>
        <v>-50</v>
      </c>
      <c r="FJ100">
        <f t="shared" si="269"/>
        <v>-50</v>
      </c>
      <c r="FL100">
        <f t="shared" si="270"/>
        <v>0.57883030475717101</v>
      </c>
    </row>
    <row r="101" spans="5:169">
      <c r="E101" s="170">
        <v>96</v>
      </c>
      <c r="F101" s="217">
        <f t="shared" si="307"/>
        <v>0.57599999999999996</v>
      </c>
      <c r="G101" s="217">
        <f t="shared" si="271"/>
        <v>0.48</v>
      </c>
      <c r="H101" s="217">
        <f t="shared" si="176"/>
        <v>97.919999999999987</v>
      </c>
      <c r="I101" s="217">
        <f t="shared" si="308"/>
        <v>5.76</v>
      </c>
      <c r="J101" s="541">
        <f t="shared" si="177"/>
        <v>10.759750618278986</v>
      </c>
      <c r="K101" s="443">
        <f t="shared" si="178"/>
        <v>8.5461974692273763</v>
      </c>
      <c r="L101" s="172">
        <f t="shared" si="179"/>
        <v>19.305948087506362</v>
      </c>
      <c r="M101" s="443"/>
      <c r="N101" s="217">
        <f t="shared" si="180"/>
        <v>0.44267173155603567</v>
      </c>
      <c r="O101" s="172">
        <f t="shared" si="272"/>
        <v>149.94747487811043</v>
      </c>
      <c r="P101" s="172">
        <f t="shared" si="181"/>
        <v>8.8204396987123772</v>
      </c>
      <c r="Q101" s="217">
        <f t="shared" si="182"/>
        <v>0.88204396987123779</v>
      </c>
      <c r="R101" s="217">
        <f t="shared" si="183"/>
        <v>12.495622906509203</v>
      </c>
      <c r="S101" s="443">
        <f t="shared" si="184"/>
        <v>170</v>
      </c>
      <c r="T101" s="217">
        <f t="shared" si="185"/>
        <v>43.535244626870124</v>
      </c>
      <c r="U101" s="217">
        <f t="shared" si="186"/>
        <v>2.0230601140936826</v>
      </c>
      <c r="V101" s="217">
        <f t="shared" si="187"/>
        <v>2.5470535161180843</v>
      </c>
      <c r="W101" s="197">
        <f t="shared" si="188"/>
        <v>350</v>
      </c>
      <c r="X101" s="443">
        <f t="shared" si="273"/>
        <v>209.63861189101391</v>
      </c>
      <c r="Z101" s="217">
        <f t="shared" si="189"/>
        <v>27.217356784598199</v>
      </c>
      <c r="AA101" s="173">
        <f t="shared" si="190"/>
        <v>1.5923664812684697</v>
      </c>
      <c r="AB101" s="173">
        <f>0.5*AA101*Z101*Nps*W101/1000*(Pout/Pout_total)</f>
        <v>0.35815699942012347</v>
      </c>
      <c r="AC101" s="173"/>
      <c r="AD101" s="173">
        <f t="shared" si="192"/>
        <v>0.78007402598308673</v>
      </c>
      <c r="AE101" s="545">
        <f>MAX(10, F101/(0.5*AD101/1000000*Isw_min*Nps)/1000*Pout_total/Pout)</f>
        <v>2345.478759554544</v>
      </c>
      <c r="AF101" s="528">
        <f t="shared" si="194"/>
        <v>8.5952601011099375E-2</v>
      </c>
      <c r="AH101" s="173">
        <f t="shared" si="195"/>
        <v>34.422583948830535</v>
      </c>
      <c r="AI101" s="173">
        <f>MAX(IF(F101&gt;AB101,T101,AH101),Isw_min)</f>
        <v>43.535244626870124</v>
      </c>
      <c r="AJ101" s="173">
        <f>IF(F101&gt;AF101, (AI101-Isw_min)/1.08*0.8+1.2, AE101*0.2/350+1)</f>
        <v>23.571786143360583</v>
      </c>
      <c r="AL101" s="545">
        <f t="shared" si="198"/>
        <v>576</v>
      </c>
      <c r="AM101" s="460">
        <f t="shared" si="199"/>
        <v>209.63861189101391</v>
      </c>
      <c r="AO101">
        <f t="shared" si="274"/>
        <v>576</v>
      </c>
      <c r="AP101">
        <f t="shared" si="200"/>
        <v>209.63861189101391</v>
      </c>
      <c r="AR101" s="5">
        <f t="shared" si="275"/>
        <v>4.7701136302117666</v>
      </c>
      <c r="AS101" s="5">
        <f t="shared" si="201"/>
        <v>2.0230601140936826</v>
      </c>
      <c r="AT101" s="5">
        <f t="shared" si="276"/>
        <v>2.747053516118084</v>
      </c>
      <c r="AU101" s="173">
        <f t="shared" si="277"/>
        <v>0.42411151409067582</v>
      </c>
      <c r="AW101" s="5">
        <f t="shared" si="202"/>
        <v>0.68546036806938893</v>
      </c>
      <c r="AX101" s="5">
        <f t="shared" si="203"/>
        <v>8.0922404563747303</v>
      </c>
      <c r="AY101" s="5">
        <f t="shared" si="204"/>
        <v>39.999660191575366</v>
      </c>
      <c r="AZ101" s="5"/>
      <c r="BA101" s="173">
        <f t="shared" si="278"/>
        <v>16.368933839157997</v>
      </c>
      <c r="BB101" s="173">
        <f t="shared" si="205"/>
        <v>0.90073280487837903</v>
      </c>
      <c r="BC101" s="173">
        <f t="shared" si="206"/>
        <v>0.71215882256942709</v>
      </c>
      <c r="BD101" s="173"/>
      <c r="BE101" s="528">
        <f t="shared" si="207"/>
        <v>10.71767980122927</v>
      </c>
      <c r="BF101" s="528">
        <f t="shared" si="208"/>
        <v>3.9644771283747104</v>
      </c>
      <c r="BG101" s="528">
        <f t="shared" si="209"/>
        <v>9.02263673563794E-2</v>
      </c>
      <c r="BH101" s="528">
        <f t="shared" si="210"/>
        <v>1.5627285236848497E-2</v>
      </c>
      <c r="BI101">
        <f t="shared" si="211"/>
        <v>4.8418877782255435E-3</v>
      </c>
      <c r="BJ101" s="460">
        <f t="shared" si="279"/>
        <v>95.068255134604939</v>
      </c>
      <c r="BK101">
        <f t="shared" si="212"/>
        <v>-11.374925356571005</v>
      </c>
      <c r="BL101" s="460">
        <f t="shared" si="280"/>
        <v>-11374.925356571004</v>
      </c>
      <c r="BM101" s="173">
        <f t="shared" si="213"/>
        <v>0.49996799999999991</v>
      </c>
      <c r="BN101" s="173">
        <f t="shared" si="214"/>
        <v>0.41663999999999995</v>
      </c>
      <c r="BO101" s="528"/>
      <c r="BQ101" s="460">
        <f t="shared" si="281"/>
        <v>916.60799999999983</v>
      </c>
      <c r="BR101" s="528">
        <f t="shared" si="215"/>
        <v>8.0382598509219516</v>
      </c>
      <c r="BS101" s="528">
        <f t="shared" si="216"/>
        <v>2.433958757352216E-2</v>
      </c>
      <c r="BT101" s="528">
        <f t="shared" si="217"/>
        <v>2.5358509428173638E-3</v>
      </c>
      <c r="BU101" s="528">
        <f t="shared" si="218"/>
        <v>397.87867739655843</v>
      </c>
      <c r="BV101" s="528">
        <f>(BU101+(BR101+BS101+BT101)*(1+Ltc*(Ta-25)))/(1-(BR101+BS101+BT101)*Ltc*ThetaCa)</f>
        <v>1149.6389173498624</v>
      </c>
      <c r="BW101" s="625">
        <f t="shared" si="220"/>
        <v>9.933293374382794</v>
      </c>
      <c r="BX101" s="460">
        <f t="shared" si="282"/>
        <v>1159572.2107242453</v>
      </c>
      <c r="BY101" s="173">
        <f t="shared" si="283"/>
        <v>1149.1138933676741</v>
      </c>
      <c r="BZ101" s="5">
        <f t="shared" si="284"/>
        <v>103.67999999999999</v>
      </c>
      <c r="CA101" s="173">
        <f t="shared" si="285"/>
        <v>8.2759024089185618E-2</v>
      </c>
      <c r="CB101" s="5">
        <f t="shared" si="286"/>
        <v>8.2759024089185615</v>
      </c>
      <c r="CC101">
        <f t="shared" si="287"/>
        <v>96</v>
      </c>
      <c r="CE101" s="562">
        <f t="shared" si="221"/>
        <v>-50</v>
      </c>
      <c r="CF101">
        <f t="shared" si="222"/>
        <v>-50</v>
      </c>
      <c r="CG101" s="173">
        <f t="shared" si="223"/>
        <v>0.5788303047571709</v>
      </c>
      <c r="CH101" s="173">
        <f t="shared" si="224"/>
        <v>0.14404267188190509</v>
      </c>
      <c r="CI101" s="170">
        <v>96</v>
      </c>
      <c r="CJ101" s="217">
        <f t="shared" si="309"/>
        <v>0.57599999999999996</v>
      </c>
      <c r="CK101" s="217">
        <f t="shared" si="288"/>
        <v>0.48</v>
      </c>
      <c r="CL101" s="217">
        <f t="shared" si="225"/>
        <v>97.919999999999987</v>
      </c>
      <c r="CM101" s="217">
        <f t="shared" si="310"/>
        <v>5.76</v>
      </c>
      <c r="CN101" s="541">
        <f t="shared" si="289"/>
        <v>12.5</v>
      </c>
      <c r="CO101" s="443">
        <f t="shared" si="226"/>
        <v>8.5350000000000001</v>
      </c>
      <c r="CP101" s="443">
        <f t="shared" si="227"/>
        <v>21.035</v>
      </c>
      <c r="CQ101" s="443"/>
      <c r="CR101" s="217">
        <f t="shared" si="228"/>
        <v>0.40546967895362668</v>
      </c>
      <c r="CS101" s="172">
        <f t="shared" si="290"/>
        <v>159.55982736601052</v>
      </c>
      <c r="CT101" s="172">
        <f t="shared" si="229"/>
        <v>9.3858721980006177</v>
      </c>
      <c r="CU101" s="217">
        <f t="shared" si="230"/>
        <v>0.93858721980006188</v>
      </c>
      <c r="CV101" s="217">
        <f t="shared" si="231"/>
        <v>13.296652280500878</v>
      </c>
      <c r="CW101" s="443">
        <f t="shared" si="232"/>
        <v>170</v>
      </c>
      <c r="CX101" s="217">
        <f t="shared" si="233"/>
        <v>40.912553665689138</v>
      </c>
      <c r="CY101" s="217">
        <f t="shared" si="234"/>
        <v>1.6365021466275655</v>
      </c>
      <c r="CZ101" s="217">
        <f t="shared" si="235"/>
        <v>2.3967518257580043</v>
      </c>
      <c r="DA101" s="197">
        <f t="shared" si="236"/>
        <v>350</v>
      </c>
      <c r="DB101" s="443">
        <f t="shared" si="291"/>
        <v>247.93876280707531</v>
      </c>
      <c r="DD101" s="217">
        <f t="shared" si="237"/>
        <v>28.98230839756868</v>
      </c>
      <c r="DE101" s="173">
        <f t="shared" si="238"/>
        <v>1.6978505212401103</v>
      </c>
      <c r="DF101" s="173">
        <f t="shared" si="239"/>
        <v>0.40664636548103333</v>
      </c>
      <c r="DG101" s="173"/>
      <c r="DH101" s="173">
        <f t="shared" si="240"/>
        <v>0.78109744190587771</v>
      </c>
      <c r="DI101" s="545">
        <f t="shared" si="241"/>
        <v>2342.4056470588234</v>
      </c>
      <c r="DJ101" s="528">
        <f t="shared" si="242"/>
        <v>8.6065366284073561E-2</v>
      </c>
      <c r="DL101" s="173">
        <f t="shared" si="243"/>
        <v>34.422583948830535</v>
      </c>
      <c r="DM101" s="173">
        <f t="shared" si="244"/>
        <v>40.912553665689138</v>
      </c>
      <c r="DN101" s="173">
        <f t="shared" si="245"/>
        <v>21.629052098041335</v>
      </c>
      <c r="DP101" s="545">
        <f t="shared" si="246"/>
        <v>576</v>
      </c>
      <c r="DQ101" s="460">
        <f t="shared" si="247"/>
        <v>247.93876280707531</v>
      </c>
      <c r="DS101">
        <f t="shared" si="311"/>
        <v>576</v>
      </c>
      <c r="DT101">
        <f t="shared" si="312"/>
        <v>247.93876280707531</v>
      </c>
      <c r="DV101" s="5">
        <f t="shared" si="293"/>
        <v>4.0332539723855696</v>
      </c>
      <c r="DW101" s="5">
        <f t="shared" si="249"/>
        <v>1.6365021466275655</v>
      </c>
      <c r="DX101" s="5">
        <f t="shared" si="294"/>
        <v>2.3967518257580043</v>
      </c>
      <c r="DY101" s="173">
        <f t="shared" si="295"/>
        <v>0.40575231756596153</v>
      </c>
      <c r="EA101" s="5">
        <f t="shared" si="250"/>
        <v>0.55448543321028099</v>
      </c>
      <c r="EB101" s="5">
        <f t="shared" si="251"/>
        <v>6.5460085865102622</v>
      </c>
      <c r="EC101" s="5">
        <f t="shared" si="252"/>
        <v>30.04031216361264</v>
      </c>
      <c r="ED101" s="5"/>
      <c r="EE101" s="173">
        <f t="shared" si="296"/>
        <v>15.046187349067861</v>
      </c>
      <c r="EF101" s="173">
        <f t="shared" si="253"/>
        <v>0.85985679886246735</v>
      </c>
      <c r="EG101" s="173">
        <f t="shared" si="254"/>
        <v>0.67984046116638808</v>
      </c>
      <c r="EH101" s="173"/>
      <c r="EI101" s="528">
        <f t="shared" si="255"/>
        <v>9.0555101497299901</v>
      </c>
      <c r="EJ101" s="528">
        <f t="shared" si="256"/>
        <v>5.8678125000000012</v>
      </c>
      <c r="EK101" s="528">
        <f t="shared" si="257"/>
        <v>4.9587752561415059E-2</v>
      </c>
      <c r="EL101" s="528">
        <f t="shared" si="258"/>
        <v>2.1941153620846209E-2</v>
      </c>
      <c r="EM101">
        <f t="shared" si="259"/>
        <v>5.6249999999999998E-3</v>
      </c>
      <c r="EN101" s="460">
        <f t="shared" si="297"/>
        <v>55.212752561415058</v>
      </c>
      <c r="EO101">
        <f t="shared" si="260"/>
        <v>-15.149034152957039</v>
      </c>
      <c r="EP101" s="460">
        <f t="shared" si="298"/>
        <v>-15149.03415295704</v>
      </c>
      <c r="EQ101" s="173">
        <f t="shared" si="261"/>
        <v>0.49996799999999991</v>
      </c>
      <c r="ER101" s="173">
        <f t="shared" si="262"/>
        <v>0.41663999999999995</v>
      </c>
      <c r="ES101" s="528"/>
      <c r="EU101" s="460">
        <f t="shared" si="299"/>
        <v>916.60799999999983</v>
      </c>
      <c r="EV101" s="528">
        <f t="shared" si="263"/>
        <v>6.7916326122974917</v>
      </c>
      <c r="EW101" s="528">
        <f t="shared" si="300"/>
        <v>2.218061143650029E-2</v>
      </c>
      <c r="EX101" s="528">
        <f t="shared" si="264"/>
        <v>2.310915263194636E-3</v>
      </c>
      <c r="EY101" s="528">
        <f t="shared" si="265"/>
        <v>518.17033803905451</v>
      </c>
      <c r="EZ101" s="528">
        <f t="shared" si="266"/>
        <v>1158.1497046420768</v>
      </c>
      <c r="FA101" s="625">
        <f t="shared" si="267"/>
        <v>10.375227167121965</v>
      </c>
      <c r="FB101" s="460">
        <f t="shared" si="301"/>
        <v>1168524.9318091988</v>
      </c>
      <c r="FC101" s="173">
        <f t="shared" si="302"/>
        <v>1154.2925056562417</v>
      </c>
      <c r="FD101" s="5">
        <f t="shared" si="303"/>
        <v>103.67999999999999</v>
      </c>
      <c r="FE101" s="173">
        <f t="shared" si="304"/>
        <v>8.241833548334479E-2</v>
      </c>
      <c r="FF101" s="5">
        <f t="shared" si="305"/>
        <v>8.2418335483344798</v>
      </c>
      <c r="FG101">
        <f t="shared" si="306"/>
        <v>96</v>
      </c>
      <c r="FI101" s="562">
        <f t="shared" si="268"/>
        <v>-50</v>
      </c>
      <c r="FJ101">
        <f t="shared" si="269"/>
        <v>-50</v>
      </c>
      <c r="FL101">
        <f t="shared" si="270"/>
        <v>0.57883030475717101</v>
      </c>
    </row>
    <row r="102" spans="5:169">
      <c r="E102" s="170">
        <v>97</v>
      </c>
      <c r="F102" s="217">
        <f t="shared" si="307"/>
        <v>0.58199999999999996</v>
      </c>
      <c r="G102" s="217">
        <f t="shared" si="271"/>
        <v>0.48499999999999999</v>
      </c>
      <c r="H102" s="217">
        <f t="shared" si="176"/>
        <v>98.94</v>
      </c>
      <c r="I102" s="217">
        <f t="shared" si="308"/>
        <v>5.82</v>
      </c>
      <c r="J102" s="541">
        <f t="shared" si="177"/>
        <v>10.741623020552725</v>
      </c>
      <c r="K102" s="443">
        <f t="shared" si="178"/>
        <v>8.5463141095318296</v>
      </c>
      <c r="L102" s="172">
        <f t="shared" si="179"/>
        <v>19.287937130084554</v>
      </c>
      <c r="M102" s="443"/>
      <c r="N102" s="217">
        <f t="shared" si="180"/>
        <v>0.44309114302335784</v>
      </c>
      <c r="O102" s="172">
        <f>N102*J102*Isw_max*0.5*Efficiency*Pout/(Pout+Pout2)</f>
        <v>149.83667847360417</v>
      </c>
      <c r="P102" s="172">
        <f t="shared" si="181"/>
        <v>8.8139222631531862</v>
      </c>
      <c r="Q102" s="217">
        <f t="shared" si="182"/>
        <v>0.88139222631531866</v>
      </c>
      <c r="R102" s="217">
        <f t="shared" si="183"/>
        <v>12.486389872800347</v>
      </c>
      <c r="S102" s="443">
        <f t="shared" si="184"/>
        <v>170</v>
      </c>
      <c r="T102" s="217">
        <f t="shared" si="185"/>
        <v>44.021264133681242</v>
      </c>
      <c r="U102" s="217">
        <f t="shared" si="186"/>
        <v>2.0490974245443248</v>
      </c>
      <c r="V102" s="217">
        <f t="shared" si="187"/>
        <v>2.5754532052937114</v>
      </c>
      <c r="W102" s="197">
        <f t="shared" si="188"/>
        <v>350</v>
      </c>
      <c r="X102" s="443">
        <f t="shared" si="273"/>
        <v>207.27319013202495</v>
      </c>
      <c r="Z102" s="217">
        <f t="shared" si="189"/>
        <v>27.197245840586977</v>
      </c>
      <c r="AA102" s="173">
        <f t="shared" si="190"/>
        <v>1.5911681627904062</v>
      </c>
      <c r="AB102" s="173">
        <f>0.5*AA102*Z102*Nps*W102/1000*(Pout/Pout_total)</f>
        <v>0.35762302860819234</v>
      </c>
      <c r="AC102" s="173"/>
      <c r="AD102" s="173">
        <f t="shared" si="192"/>
        <v>0.78006337951365912</v>
      </c>
      <c r="AE102" s="545">
        <f>MAX(10, F102/(0.5*AD102/1000000*Isw_min*Nps)/1000*Pout_total/Pout)</f>
        <v>2369.9431750091144</v>
      </c>
      <c r="AF102" s="528">
        <f t="shared" si="194"/>
        <v>8.5951427927893925E-2</v>
      </c>
      <c r="AH102" s="173">
        <f t="shared" si="195"/>
        <v>34.601403770037173</v>
      </c>
      <c r="AI102" s="173">
        <f>MAX(IF(F102&gt;AB102,T102,AH102),Isw_min)</f>
        <v>44.021264133681242</v>
      </c>
      <c r="AJ102" s="173">
        <f>IF(F102&gt;AF102, (AI102-Isw_min)/1.08*0.8+1.2, AE102*0.2/350+1)</f>
        <v>23.931800592850301</v>
      </c>
      <c r="AL102" s="545">
        <f t="shared" si="198"/>
        <v>582</v>
      </c>
      <c r="AM102" s="460">
        <f t="shared" si="199"/>
        <v>207.27319013202495</v>
      </c>
      <c r="AO102">
        <f t="shared" si="274"/>
        <v>582</v>
      </c>
      <c r="AP102">
        <f t="shared" si="200"/>
        <v>207.27319013202495</v>
      </c>
      <c r="AR102" s="5">
        <f t="shared" si="275"/>
        <v>4.8245506298380363</v>
      </c>
      <c r="AS102" s="5">
        <f t="shared" si="201"/>
        <v>2.0490974245443248</v>
      </c>
      <c r="AT102" s="5">
        <f t="shared" si="276"/>
        <v>2.7754532052937115</v>
      </c>
      <c r="AU102" s="173">
        <f t="shared" si="277"/>
        <v>0.42472296007661847</v>
      </c>
      <c r="AW102" s="5">
        <f t="shared" si="202"/>
        <v>0.70151453004988051</v>
      </c>
      <c r="AX102" s="5">
        <f t="shared" si="203"/>
        <v>8.2817687575333121</v>
      </c>
      <c r="AY102" s="5">
        <f t="shared" si="204"/>
        <v>40.903068686188874</v>
      </c>
      <c r="AZ102" s="5"/>
      <c r="BA102" s="173">
        <f t="shared" si="278"/>
        <v>16.563600684864713</v>
      </c>
      <c r="BB102" s="173">
        <f t="shared" si="205"/>
        <v>0.9103047807798843</v>
      </c>
      <c r="BC102" s="173">
        <f t="shared" si="206"/>
        <v>0.71972684612842175</v>
      </c>
      <c r="BD102" s="173"/>
      <c r="BE102" s="528">
        <f t="shared" si="207"/>
        <v>10.974114705906031</v>
      </c>
      <c r="BF102" s="528">
        <f t="shared" si="208"/>
        <v>3.9598062914473688</v>
      </c>
      <c r="BG102" s="528">
        <f t="shared" si="209"/>
        <v>8.905801882662244E-2</v>
      </c>
      <c r="BH102" s="528">
        <f t="shared" si="210"/>
        <v>1.5422141761069404E-2</v>
      </c>
      <c r="BI102">
        <f t="shared" si="211"/>
        <v>4.8337303592487259E-3</v>
      </c>
      <c r="BJ102" s="460">
        <f t="shared" si="279"/>
        <v>93.891749185871163</v>
      </c>
      <c r="BK102">
        <f t="shared" si="212"/>
        <v>-11.143337561933638</v>
      </c>
      <c r="BL102" s="460">
        <f t="shared" si="280"/>
        <v>-11143.337561933638</v>
      </c>
      <c r="BM102" s="173">
        <f t="shared" si="213"/>
        <v>0.50517599999999996</v>
      </c>
      <c r="BN102" s="173">
        <f t="shared" si="214"/>
        <v>0.42097999999999997</v>
      </c>
      <c r="BO102" s="528"/>
      <c r="BQ102" s="460">
        <f t="shared" si="281"/>
        <v>926.15599999999995</v>
      </c>
      <c r="BR102" s="528">
        <f t="shared" si="215"/>
        <v>8.2305860294295226</v>
      </c>
      <c r="BS102" s="528">
        <f t="shared" si="216"/>
        <v>2.4859643817321395E-2</v>
      </c>
      <c r="BT102" s="528">
        <f t="shared" si="217"/>
        <v>2.5900336651898245E-3</v>
      </c>
      <c r="BU102" s="528">
        <f t="shared" si="218"/>
        <v>397.63454564875894</v>
      </c>
      <c r="BV102" s="528">
        <f>(BU102+(BR102+BS102+BT102)*(1+Ltc*(Ta-25)))/(1-(BR102+BS102+BT102)*Ltc*ThetaCa)</f>
        <v>1201.9034159184741</v>
      </c>
      <c r="BW102" s="625">
        <f t="shared" si="220"/>
        <v>10.04172121203538</v>
      </c>
      <c r="BX102" s="460">
        <f t="shared" si="282"/>
        <v>1211945.1371305094</v>
      </c>
      <c r="BY102" s="173">
        <f t="shared" si="283"/>
        <v>1201.7279555685759</v>
      </c>
      <c r="BZ102" s="5">
        <f t="shared" si="284"/>
        <v>104.75999999999999</v>
      </c>
      <c r="CA102" s="173">
        <f t="shared" si="285"/>
        <v>8.0184436108642926E-2</v>
      </c>
      <c r="CB102" s="5">
        <f t="shared" si="286"/>
        <v>8.018443610864292</v>
      </c>
      <c r="CC102">
        <f t="shared" si="287"/>
        <v>97</v>
      </c>
      <c r="CE102" s="562">
        <f t="shared" si="221"/>
        <v>-50</v>
      </c>
      <c r="CF102">
        <f t="shared" si="222"/>
        <v>-50</v>
      </c>
      <c r="CG102" s="173">
        <f t="shared" si="223"/>
        <v>0.5788303047571709</v>
      </c>
      <c r="CH102" s="173">
        <f t="shared" si="224"/>
        <v>0.14404267188190509</v>
      </c>
      <c r="CI102" s="170">
        <v>97</v>
      </c>
      <c r="CJ102" s="217">
        <f t="shared" si="309"/>
        <v>0.58199999999999996</v>
      </c>
      <c r="CK102" s="217">
        <f t="shared" si="288"/>
        <v>0.48499999999999999</v>
      </c>
      <c r="CL102" s="217">
        <f t="shared" si="225"/>
        <v>98.94</v>
      </c>
      <c r="CM102" s="217">
        <f t="shared" si="310"/>
        <v>5.82</v>
      </c>
      <c r="CN102" s="541">
        <f t="shared" si="289"/>
        <v>12.5</v>
      </c>
      <c r="CO102" s="443">
        <f t="shared" si="226"/>
        <v>8.5350000000000001</v>
      </c>
      <c r="CP102" s="443">
        <f t="shared" si="227"/>
        <v>21.035</v>
      </c>
      <c r="CQ102" s="443"/>
      <c r="CR102" s="217">
        <f t="shared" si="228"/>
        <v>0.40546967895362668</v>
      </c>
      <c r="CS102" s="172">
        <f t="shared" si="290"/>
        <v>159.55982736601052</v>
      </c>
      <c r="CT102" s="172">
        <f t="shared" si="229"/>
        <v>9.3858721980006177</v>
      </c>
      <c r="CU102" s="217">
        <f t="shared" si="230"/>
        <v>0.93858721980006188</v>
      </c>
      <c r="CV102" s="217">
        <f t="shared" si="231"/>
        <v>13.296652280500878</v>
      </c>
      <c r="CW102" s="443">
        <f t="shared" si="232"/>
        <v>170</v>
      </c>
      <c r="CX102" s="217">
        <f t="shared" si="233"/>
        <v>41.338726099706733</v>
      </c>
      <c r="CY102" s="217">
        <f t="shared" si="234"/>
        <v>1.6535490439882692</v>
      </c>
      <c r="CZ102" s="217">
        <f t="shared" si="235"/>
        <v>2.42171799060965</v>
      </c>
      <c r="DA102" s="197">
        <f t="shared" si="236"/>
        <v>350</v>
      </c>
      <c r="DB102" s="443">
        <f t="shared" si="291"/>
        <v>245.38269308741474</v>
      </c>
      <c r="DD102" s="217">
        <f t="shared" si="237"/>
        <v>28.98230839756868</v>
      </c>
      <c r="DE102" s="173">
        <f t="shared" si="238"/>
        <v>1.6978505212401103</v>
      </c>
      <c r="DF102" s="173">
        <f t="shared" si="239"/>
        <v>0.40664636548103333</v>
      </c>
      <c r="DG102" s="173"/>
      <c r="DH102" s="173">
        <f t="shared" si="240"/>
        <v>0.78109744190587771</v>
      </c>
      <c r="DI102" s="545">
        <f t="shared" si="241"/>
        <v>2366.8057058823529</v>
      </c>
      <c r="DJ102" s="528">
        <f t="shared" si="242"/>
        <v>8.6065366284073561E-2</v>
      </c>
      <c r="DL102" s="173">
        <f t="shared" si="243"/>
        <v>34.601403770037173</v>
      </c>
      <c r="DM102" s="173">
        <f t="shared" si="244"/>
        <v>41.338726099706733</v>
      </c>
      <c r="DN102" s="173">
        <f t="shared" si="245"/>
        <v>21.944735382498813</v>
      </c>
      <c r="DP102" s="545">
        <f t="shared" si="246"/>
        <v>582</v>
      </c>
      <c r="DQ102" s="460">
        <f t="shared" si="247"/>
        <v>245.38269308741474</v>
      </c>
      <c r="DS102">
        <f t="shared" si="311"/>
        <v>582</v>
      </c>
      <c r="DT102">
        <f t="shared" si="312"/>
        <v>245.38269308741474</v>
      </c>
      <c r="DV102" s="5">
        <f t="shared" si="293"/>
        <v>4.0752670345979194</v>
      </c>
      <c r="DW102" s="5">
        <f t="shared" si="249"/>
        <v>1.6535490439882692</v>
      </c>
      <c r="DX102" s="5">
        <f t="shared" si="294"/>
        <v>2.4217179906096504</v>
      </c>
      <c r="DY102" s="173">
        <f t="shared" si="295"/>
        <v>0.40575231756596147</v>
      </c>
      <c r="EA102" s="5">
        <f t="shared" si="250"/>
        <v>0.56609737858892506</v>
      </c>
      <c r="EB102" s="5">
        <f t="shared" si="251"/>
        <v>6.6830940527859211</v>
      </c>
      <c r="EC102" s="5">
        <f t="shared" si="252"/>
        <v>30.669411582837608</v>
      </c>
      <c r="ED102" s="5"/>
      <c r="EE102" s="173">
        <f t="shared" si="296"/>
        <v>15.202918467287317</v>
      </c>
      <c r="EF102" s="173">
        <f t="shared" si="253"/>
        <v>0.86881364051728482</v>
      </c>
      <c r="EG102" s="173">
        <f t="shared" si="254"/>
        <v>0.6869221326368713</v>
      </c>
      <c r="EH102" s="173"/>
      <c r="EI102" s="528">
        <f t="shared" si="255"/>
        <v>9.2451491969194297</v>
      </c>
      <c r="EJ102" s="528">
        <f t="shared" si="256"/>
        <v>5.8678125000000012</v>
      </c>
      <c r="EK102" s="528">
        <f t="shared" si="257"/>
        <v>4.907653861748295E-2</v>
      </c>
      <c r="EL102" s="528">
        <f t="shared" si="258"/>
        <v>2.1714956160837486E-2</v>
      </c>
      <c r="EM102">
        <f t="shared" si="259"/>
        <v>5.6249999999999998E-3</v>
      </c>
      <c r="EN102" s="460">
        <f t="shared" si="297"/>
        <v>54.701538617482946</v>
      </c>
      <c r="EO102">
        <f t="shared" si="260"/>
        <v>-14.779263923443727</v>
      </c>
      <c r="EP102" s="460">
        <f t="shared" si="298"/>
        <v>-14779.263923443727</v>
      </c>
      <c r="EQ102" s="173">
        <f t="shared" si="261"/>
        <v>0.50517599999999996</v>
      </c>
      <c r="ER102" s="173">
        <f t="shared" si="262"/>
        <v>0.42097999999999997</v>
      </c>
      <c r="ES102" s="528"/>
      <c r="EU102" s="460">
        <f t="shared" si="299"/>
        <v>926.15599999999995</v>
      </c>
      <c r="EV102" s="528">
        <f t="shared" si="263"/>
        <v>6.9338618976895718</v>
      </c>
      <c r="EW102" s="528">
        <f t="shared" si="300"/>
        <v>2.2645114258466933E-2</v>
      </c>
      <c r="EX102" s="528">
        <f t="shared" si="264"/>
        <v>2.3593100815319369E-3</v>
      </c>
      <c r="EY102" s="528">
        <f t="shared" si="265"/>
        <v>518.17033803905451</v>
      </c>
      <c r="EZ102" s="528">
        <f t="shared" si="266"/>
        <v>1188.3834673866861</v>
      </c>
      <c r="FA102" s="625">
        <f t="shared" si="267"/>
        <v>10.483302450112818</v>
      </c>
      <c r="FB102" s="460">
        <f t="shared" si="301"/>
        <v>1198866.769836799</v>
      </c>
      <c r="FC102" s="173">
        <f t="shared" si="302"/>
        <v>1185.0136619133552</v>
      </c>
      <c r="FD102" s="5">
        <f t="shared" si="303"/>
        <v>104.75999999999999</v>
      </c>
      <c r="FE102" s="173">
        <f t="shared" si="304"/>
        <v>8.1223553475724172E-2</v>
      </c>
      <c r="FF102" s="5">
        <f t="shared" si="305"/>
        <v>8.1223553475724177</v>
      </c>
      <c r="FG102">
        <f t="shared" si="306"/>
        <v>97</v>
      </c>
      <c r="FI102" s="562">
        <f t="shared" si="268"/>
        <v>-50</v>
      </c>
      <c r="FJ102">
        <f t="shared" si="269"/>
        <v>-50</v>
      </c>
      <c r="FL102">
        <f t="shared" si="270"/>
        <v>0.5788303047571709</v>
      </c>
    </row>
    <row r="103" spans="5:169">
      <c r="E103" s="170">
        <v>98</v>
      </c>
      <c r="F103" s="217">
        <f t="shared" si="307"/>
        <v>0.58799999999999997</v>
      </c>
      <c r="G103" s="217">
        <f t="shared" si="271"/>
        <v>0.49</v>
      </c>
      <c r="H103" s="217">
        <f t="shared" si="176"/>
        <v>99.96</v>
      </c>
      <c r="I103" s="217">
        <f t="shared" si="308"/>
        <v>5.88</v>
      </c>
      <c r="J103" s="541">
        <f t="shared" si="177"/>
        <v>10.723495422826463</v>
      </c>
      <c r="K103" s="443">
        <f t="shared" si="178"/>
        <v>8.5464307498362793</v>
      </c>
      <c r="L103" s="172">
        <f t="shared" si="179"/>
        <v>19.269926172662743</v>
      </c>
      <c r="M103" s="443"/>
      <c r="N103" s="217">
        <f t="shared" si="180"/>
        <v>0.44351133851050573</v>
      </c>
      <c r="O103" s="172">
        <f>N103*J103*Isw_max*0.5*Efficiency*Pout/(Pout+Pout2)</f>
        <v>149.72566804502554</v>
      </c>
      <c r="P103" s="172">
        <f t="shared" si="181"/>
        <v>8.807392237942679</v>
      </c>
      <c r="Q103" s="217">
        <f t="shared" si="182"/>
        <v>0.88073922379426794</v>
      </c>
      <c r="R103" s="217">
        <f t="shared" si="183"/>
        <v>12.477139003752129</v>
      </c>
      <c r="S103" s="443">
        <f t="shared" si="184"/>
        <v>170</v>
      </c>
      <c r="T103" s="217">
        <f t="shared" si="185"/>
        <v>44.508066566088054</v>
      </c>
      <c r="U103" s="217">
        <f t="shared" si="186"/>
        <v>2.0752592700019434</v>
      </c>
      <c r="V103" s="217">
        <f t="shared" si="187"/>
        <v>2.6038979235244302</v>
      </c>
      <c r="W103" s="197">
        <f t="shared" si="188"/>
        <v>350</v>
      </c>
      <c r="X103" s="443">
        <f t="shared" si="273"/>
        <v>204.95342952401532</v>
      </c>
      <c r="Z103" s="217">
        <f t="shared" si="189"/>
        <v>27.17709604850884</v>
      </c>
      <c r="AA103" s="173">
        <f t="shared" si="190"/>
        <v>1.5899676042556981</v>
      </c>
      <c r="AB103" s="173">
        <f>0.5*AA103*Z103*Nps*W103/1000*(Pout/Pout_total)</f>
        <v>0.35708844257569983</v>
      </c>
      <c r="AC103" s="173"/>
      <c r="AD103" s="173">
        <f t="shared" si="192"/>
        <v>0.78005273333483427</v>
      </c>
      <c r="AE103" s="545">
        <f>MAX(10, F103/(0.5*AD103/1000000*Isw_min*Nps)/1000*Pout_total/Pout)</f>
        <v>2394.4082573717778</v>
      </c>
      <c r="AF103" s="528">
        <f t="shared" si="194"/>
        <v>8.5950254876708612E-2</v>
      </c>
      <c r="AH103" s="173">
        <f t="shared" si="195"/>
        <v>34.779304190854653</v>
      </c>
      <c r="AI103" s="173">
        <f>MAX(IF(F103&gt;AB103,T103,AH103),Isw_min)</f>
        <v>44.508066566088054</v>
      </c>
      <c r="AJ103" s="173">
        <f>IF(F103&gt;AF103, (AI103-Isw_min)/1.08*0.8+1.2, AE103*0.2/350+1)</f>
        <v>24.292394987225716</v>
      </c>
      <c r="AL103" s="545">
        <f t="shared" si="198"/>
        <v>588</v>
      </c>
      <c r="AM103" s="460">
        <f t="shared" si="199"/>
        <v>204.95342952401532</v>
      </c>
      <c r="AO103">
        <f t="shared" si="274"/>
        <v>588</v>
      </c>
      <c r="AP103">
        <f t="shared" si="200"/>
        <v>204.95342952401532</v>
      </c>
      <c r="AR103" s="5">
        <f t="shared" si="275"/>
        <v>4.8791571935263738</v>
      </c>
      <c r="AS103" s="5">
        <f t="shared" si="201"/>
        <v>2.0752592700019434</v>
      </c>
      <c r="AT103" s="5">
        <f t="shared" si="276"/>
        <v>2.8038979235244303</v>
      </c>
      <c r="AU103" s="173">
        <f t="shared" si="277"/>
        <v>0.42533150453840279</v>
      </c>
      <c r="AW103" s="5">
        <f t="shared" si="202"/>
        <v>0.71779555927126037</v>
      </c>
      <c r="AX103" s="5">
        <f t="shared" si="203"/>
        <v>8.4739753525079351</v>
      </c>
      <c r="AY103" s="5">
        <f t="shared" si="204"/>
        <v>41.818847364099852</v>
      </c>
      <c r="AZ103" s="5"/>
      <c r="BA103" s="173">
        <f t="shared" si="278"/>
        <v>16.758759852643703</v>
      </c>
      <c r="BB103" s="173">
        <f t="shared" si="205"/>
        <v>0.91988432101461204</v>
      </c>
      <c r="BC103" s="173">
        <f t="shared" si="206"/>
        <v>0.72730085038070524</v>
      </c>
      <c r="BD103" s="173"/>
      <c r="BE103" s="528">
        <f t="shared" si="207"/>
        <v>11.234241271943295</v>
      </c>
      <c r="BF103" s="528">
        <f t="shared" si="208"/>
        <v>3.9550910665420838</v>
      </c>
      <c r="BG103" s="528">
        <f t="shared" si="209"/>
        <v>8.7912686535734572E-2</v>
      </c>
      <c r="BH103" s="528">
        <f t="shared" si="210"/>
        <v>1.5221073639215817E-2</v>
      </c>
      <c r="BI103">
        <f t="shared" si="211"/>
        <v>4.8255729402719083E-3</v>
      </c>
      <c r="BJ103" s="460">
        <f t="shared" si="279"/>
        <v>92.738259476006476</v>
      </c>
      <c r="BK103">
        <f t="shared" si="212"/>
        <v>-10.925706750107725</v>
      </c>
      <c r="BL103" s="460">
        <f t="shared" si="280"/>
        <v>-10925.706750107725</v>
      </c>
      <c r="BM103" s="173">
        <f t="shared" si="213"/>
        <v>0.51038399999999995</v>
      </c>
      <c r="BN103" s="173">
        <f t="shared" si="214"/>
        <v>0.42531999999999998</v>
      </c>
      <c r="BO103" s="528"/>
      <c r="BQ103" s="460">
        <f t="shared" si="281"/>
        <v>935.70399999999984</v>
      </c>
      <c r="BR103" s="528">
        <f t="shared" si="215"/>
        <v>8.4256809539574711</v>
      </c>
      <c r="BS103" s="528">
        <f t="shared" si="216"/>
        <v>2.5385614921455413E-2</v>
      </c>
      <c r="BT103" s="528">
        <f t="shared" si="217"/>
        <v>2.6448326348224851E-3</v>
      </c>
      <c r="BU103" s="528">
        <f t="shared" si="218"/>
        <v>397.37889813875881</v>
      </c>
      <c r="BV103" s="528">
        <f>(BU103+(BR103+BS103+BT103)*(1+Ltc*(Ta-25)))/(1-(BR103+BS103+BT103)*Ltc*ThetaCa)</f>
        <v>1259.9864367967355</v>
      </c>
      <c r="BW103" s="625">
        <f t="shared" si="220"/>
        <v>10.150154580383564</v>
      </c>
      <c r="BX103" s="460">
        <f t="shared" si="282"/>
        <v>1270136.5913771191</v>
      </c>
      <c r="BY103" s="173">
        <f t="shared" si="283"/>
        <v>1260.1465886270112</v>
      </c>
      <c r="BZ103" s="5">
        <f t="shared" si="284"/>
        <v>105.83999999999999</v>
      </c>
      <c r="CA103" s="173">
        <f t="shared" si="285"/>
        <v>7.7482459111390359E-2</v>
      </c>
      <c r="CB103" s="5">
        <f t="shared" si="286"/>
        <v>7.748245911139036</v>
      </c>
      <c r="CC103">
        <f t="shared" si="287"/>
        <v>98</v>
      </c>
      <c r="CE103" s="562">
        <f t="shared" si="221"/>
        <v>-50</v>
      </c>
      <c r="CF103">
        <f t="shared" si="222"/>
        <v>-50</v>
      </c>
      <c r="CG103" s="173">
        <f t="shared" si="223"/>
        <v>0.5788303047571709</v>
      </c>
      <c r="CH103" s="173">
        <f t="shared" si="224"/>
        <v>0.14404267188190509</v>
      </c>
      <c r="CI103" s="170">
        <v>98</v>
      </c>
      <c r="CJ103" s="217">
        <f t="shared" si="309"/>
        <v>0.58799999999999997</v>
      </c>
      <c r="CK103" s="217">
        <f t="shared" si="288"/>
        <v>0.49</v>
      </c>
      <c r="CL103" s="217">
        <f t="shared" si="225"/>
        <v>99.96</v>
      </c>
      <c r="CM103" s="217">
        <f t="shared" si="310"/>
        <v>5.88</v>
      </c>
      <c r="CN103" s="541">
        <f t="shared" si="289"/>
        <v>12.5</v>
      </c>
      <c r="CO103" s="443">
        <f t="shared" si="226"/>
        <v>8.5350000000000001</v>
      </c>
      <c r="CP103" s="443">
        <f t="shared" si="227"/>
        <v>21.035</v>
      </c>
      <c r="CQ103" s="443"/>
      <c r="CR103" s="217">
        <f t="shared" si="228"/>
        <v>0.40546967895362668</v>
      </c>
      <c r="CS103" s="172">
        <f t="shared" si="290"/>
        <v>159.55982736601052</v>
      </c>
      <c r="CT103" s="172">
        <f t="shared" si="229"/>
        <v>9.3858721980006177</v>
      </c>
      <c r="CU103" s="217">
        <f t="shared" si="230"/>
        <v>0.93858721980006188</v>
      </c>
      <c r="CV103" s="217">
        <f t="shared" si="231"/>
        <v>13.296652280500878</v>
      </c>
      <c r="CW103" s="443">
        <f t="shared" si="232"/>
        <v>170</v>
      </c>
      <c r="CX103" s="217">
        <f t="shared" si="233"/>
        <v>41.764898533724327</v>
      </c>
      <c r="CY103" s="217">
        <f t="shared" si="234"/>
        <v>1.670595941348973</v>
      </c>
      <c r="CZ103" s="217">
        <f t="shared" si="235"/>
        <v>2.4466841554612961</v>
      </c>
      <c r="DA103" s="197">
        <f t="shared" si="236"/>
        <v>350</v>
      </c>
      <c r="DB103" s="443">
        <f t="shared" si="291"/>
        <v>242.87878805591049</v>
      </c>
      <c r="DD103" s="217">
        <f t="shared" si="237"/>
        <v>28.98230839756868</v>
      </c>
      <c r="DE103" s="173">
        <f t="shared" si="238"/>
        <v>1.6978505212401103</v>
      </c>
      <c r="DF103" s="173">
        <f t="shared" si="239"/>
        <v>0.40664636548103333</v>
      </c>
      <c r="DG103" s="173"/>
      <c r="DH103" s="173">
        <f t="shared" si="240"/>
        <v>0.78109744190587771</v>
      </c>
      <c r="DI103" s="545">
        <f t="shared" si="241"/>
        <v>2391.2057647058823</v>
      </c>
      <c r="DJ103" s="528">
        <f t="shared" si="242"/>
        <v>8.6065366284073561E-2</v>
      </c>
      <c r="DL103" s="173">
        <f t="shared" si="243"/>
        <v>34.779304190854653</v>
      </c>
      <c r="DM103" s="173">
        <f t="shared" si="244"/>
        <v>41.764898533724327</v>
      </c>
      <c r="DN103" s="173">
        <f t="shared" si="245"/>
        <v>22.260418666956291</v>
      </c>
      <c r="DP103" s="545">
        <f t="shared" si="246"/>
        <v>588</v>
      </c>
      <c r="DQ103" s="460">
        <f t="shared" si="247"/>
        <v>242.87878805591049</v>
      </c>
      <c r="DS103">
        <f t="shared" si="311"/>
        <v>588</v>
      </c>
      <c r="DT103">
        <f t="shared" si="312"/>
        <v>242.87878805591049</v>
      </c>
      <c r="DV103" s="5">
        <f t="shared" si="293"/>
        <v>4.1172800968102692</v>
      </c>
      <c r="DW103" s="5">
        <f t="shared" si="249"/>
        <v>1.670595941348973</v>
      </c>
      <c r="DX103" s="5">
        <f t="shared" si="294"/>
        <v>2.4466841554612961</v>
      </c>
      <c r="DY103" s="173">
        <f t="shared" si="295"/>
        <v>0.40575231756596147</v>
      </c>
      <c r="EA103" s="5">
        <f t="shared" si="250"/>
        <v>0.5778296550077624</v>
      </c>
      <c r="EB103" s="5">
        <f t="shared" si="251"/>
        <v>6.8216000938416403</v>
      </c>
      <c r="EC103" s="5">
        <f t="shared" si="252"/>
        <v>31.305030167028626</v>
      </c>
      <c r="ED103" s="5"/>
      <c r="EE103" s="173">
        <f t="shared" si="296"/>
        <v>15.359649585506775</v>
      </c>
      <c r="EF103" s="173">
        <f t="shared" si="253"/>
        <v>0.87777048217210218</v>
      </c>
      <c r="EG103" s="173">
        <f t="shared" si="254"/>
        <v>0.69400380410735452</v>
      </c>
      <c r="EH103" s="173"/>
      <c r="EI103" s="528">
        <f t="shared" si="255"/>
        <v>9.4367534155823378</v>
      </c>
      <c r="EJ103" s="528">
        <f t="shared" si="256"/>
        <v>5.8678125000000012</v>
      </c>
      <c r="EK103" s="528">
        <f t="shared" si="257"/>
        <v>4.8575757611182095E-2</v>
      </c>
      <c r="EL103" s="528">
        <f t="shared" si="258"/>
        <v>2.1493374975522814E-2</v>
      </c>
      <c r="EM103">
        <f t="shared" si="259"/>
        <v>5.6249999999999998E-3</v>
      </c>
      <c r="EN103" s="460">
        <f t="shared" si="297"/>
        <v>54.200757611182091</v>
      </c>
      <c r="EO103">
        <f t="shared" si="260"/>
        <v>-14.432924461372133</v>
      </c>
      <c r="EP103" s="460">
        <f t="shared" si="298"/>
        <v>-14432.924461372133</v>
      </c>
      <c r="EQ103" s="173">
        <f t="shared" si="261"/>
        <v>0.51038399999999995</v>
      </c>
      <c r="ER103" s="173">
        <f t="shared" si="262"/>
        <v>0.42531999999999998</v>
      </c>
      <c r="ES103" s="528"/>
      <c r="EU103" s="460">
        <f t="shared" si="299"/>
        <v>935.70399999999984</v>
      </c>
      <c r="EV103" s="528">
        <f t="shared" si="263"/>
        <v>7.0775650616867525</v>
      </c>
      <c r="EW103" s="528">
        <f t="shared" si="300"/>
        <v>2.3114430581179343E-2</v>
      </c>
      <c r="EX103" s="528">
        <f t="shared" si="264"/>
        <v>2.4082064005773967E-3</v>
      </c>
      <c r="EY103" s="528">
        <f t="shared" si="265"/>
        <v>518.17033803905349</v>
      </c>
      <c r="EZ103" s="528">
        <f t="shared" si="266"/>
        <v>1220.5547759581664</v>
      </c>
      <c r="FA103" s="625">
        <f t="shared" si="267"/>
        <v>10.59137773310367</v>
      </c>
      <c r="FB103" s="460">
        <f t="shared" si="301"/>
        <v>1231146.1536912699</v>
      </c>
      <c r="FC103" s="173">
        <f t="shared" si="302"/>
        <v>1217.6489332298979</v>
      </c>
      <c r="FD103" s="5">
        <f t="shared" si="303"/>
        <v>105.83999999999999</v>
      </c>
      <c r="FE103" s="173">
        <f t="shared" si="304"/>
        <v>7.9970445798669146E-2</v>
      </c>
      <c r="FF103" s="5">
        <f t="shared" si="305"/>
        <v>7.9970445798669143</v>
      </c>
      <c r="FG103">
        <f t="shared" si="306"/>
        <v>98</v>
      </c>
      <c r="FI103" s="562">
        <f t="shared" si="268"/>
        <v>-50</v>
      </c>
      <c r="FJ103">
        <f t="shared" si="269"/>
        <v>-50</v>
      </c>
      <c r="FL103">
        <f t="shared" si="270"/>
        <v>0.57883030475717101</v>
      </c>
    </row>
    <row r="104" spans="5:169">
      <c r="E104" s="170">
        <v>99</v>
      </c>
      <c r="F104" s="217">
        <f>IF(PLOT_TYPE=1, E104/100*Iout_max, min_I*EXP(O104*rr/100))</f>
        <v>0.59399999999999997</v>
      </c>
      <c r="G104" s="217">
        <f t="shared" si="271"/>
        <v>0.495</v>
      </c>
      <c r="H104" s="217">
        <f t="shared" si="176"/>
        <v>100.97999999999999</v>
      </c>
      <c r="I104" s="217">
        <f t="shared" si="308"/>
        <v>5.9399999999999995</v>
      </c>
      <c r="J104" s="541">
        <f t="shared" si="177"/>
        <v>10.705367825100204</v>
      </c>
      <c r="K104" s="443">
        <f t="shared" si="178"/>
        <v>8.5465473901407325</v>
      </c>
      <c r="L104" s="172">
        <f t="shared" si="179"/>
        <v>19.251915215240935</v>
      </c>
      <c r="M104" s="443"/>
      <c r="N104" s="217">
        <f t="shared" si="180"/>
        <v>0.44393232021792767</v>
      </c>
      <c r="O104" s="172">
        <f>N104*J104*Isw_max*0.5*Efficiency*Pout/(Pout+Pout2)</f>
        <v>149.61444299168969</v>
      </c>
      <c r="P104" s="172">
        <f t="shared" si="181"/>
        <v>8.8008495877464519</v>
      </c>
      <c r="Q104" s="217">
        <f t="shared" si="182"/>
        <v>0.88008495877464521</v>
      </c>
      <c r="R104" s="217">
        <f t="shared" si="183"/>
        <v>12.467870249307474</v>
      </c>
      <c r="S104" s="443">
        <f t="shared" si="184"/>
        <v>170</v>
      </c>
      <c r="T104" s="217">
        <f t="shared" si="185"/>
        <v>44.995655936599164</v>
      </c>
      <c r="U104" s="217">
        <f t="shared" si="186"/>
        <v>2.1015464705052298</v>
      </c>
      <c r="V104" s="217">
        <f t="shared" si="187"/>
        <v>2.6323879037110354</v>
      </c>
      <c r="W104" s="197">
        <f t="shared" si="188"/>
        <v>350</v>
      </c>
      <c r="X104" s="443">
        <f t="shared" si="273"/>
        <v>202.67800991148081</v>
      </c>
      <c r="Z104" s="217">
        <f t="shared" si="189"/>
        <v>27.156907299331902</v>
      </c>
      <c r="AA104" s="173">
        <f t="shared" si="190"/>
        <v>1.5887647993773495</v>
      </c>
      <c r="AB104" s="173">
        <f>0.5*AA104*Z104*Nps*W104/1000*(Pout/Pout_total)</f>
        <v>0.35655324075546851</v>
      </c>
      <c r="AC104" s="173"/>
      <c r="AD104" s="173">
        <f t="shared" si="192"/>
        <v>0.78004208744659986</v>
      </c>
      <c r="AE104" s="545">
        <f>MAX(10, F104/(0.5*AD104/1000000*Isw_min*Nps)/1000*Pout_total/Pout)</f>
        <v>2418.8740066425362</v>
      </c>
      <c r="AF104" s="528">
        <f t="shared" si="194"/>
        <v>8.5949081857542034E-2</v>
      </c>
      <c r="AH104" s="173">
        <f t="shared" si="195"/>
        <v>34.956299248388078</v>
      </c>
      <c r="AI104" s="173">
        <f>MAX(IF(F104&gt;AB104,T104,AH104),Isw_min)</f>
        <v>44.995655936599164</v>
      </c>
      <c r="AJ104" s="173">
        <f>IF(F104&gt;AF104, (AI104-Isw_min)/1.08*0.8+1.2, AE104*0.2/350+1)</f>
        <v>24.653572298715428</v>
      </c>
      <c r="AL104" s="545">
        <f t="shared" si="198"/>
        <v>594</v>
      </c>
      <c r="AM104" s="460">
        <f t="shared" si="199"/>
        <v>202.67800991148081</v>
      </c>
      <c r="AO104">
        <f t="shared" si="274"/>
        <v>594</v>
      </c>
      <c r="AP104">
        <f t="shared" si="200"/>
        <v>202.67800991148081</v>
      </c>
      <c r="AR104" s="5">
        <f t="shared" si="275"/>
        <v>4.9339343742162649</v>
      </c>
      <c r="AS104" s="5">
        <f t="shared" si="201"/>
        <v>2.1015464705052298</v>
      </c>
      <c r="AT104" s="5">
        <f t="shared" si="276"/>
        <v>2.8323879037110351</v>
      </c>
      <c r="AU104" s="173">
        <f t="shared" si="277"/>
        <v>0.4259372563784965</v>
      </c>
      <c r="AW104" s="5">
        <f t="shared" si="202"/>
        <v>0.73430506087065084</v>
      </c>
      <c r="AX104" s="5">
        <f t="shared" si="203"/>
        <v>8.6688791908340708</v>
      </c>
      <c r="AY104" s="5">
        <f t="shared" si="204"/>
        <v>42.747083173903086</v>
      </c>
      <c r="AZ104" s="5"/>
      <c r="BA104" s="173">
        <f t="shared" si="278"/>
        <v>16.95441363720261</v>
      </c>
      <c r="BB104" s="173">
        <f t="shared" si="205"/>
        <v>0.92947146559229166</v>
      </c>
      <c r="BC104" s="173">
        <f t="shared" si="206"/>
        <v>0.73488086695972299</v>
      </c>
      <c r="BD104" s="173"/>
      <c r="BE104" s="528">
        <f t="shared" si="207"/>
        <v>11.498085671254474</v>
      </c>
      <c r="BF104" s="528">
        <f t="shared" si="208"/>
        <v>3.9503327299263282</v>
      </c>
      <c r="BG104" s="528">
        <f t="shared" si="209"/>
        <v>8.6789705846468279E-2</v>
      </c>
      <c r="BH104" s="528">
        <f t="shared" si="210"/>
        <v>1.5023963082755814E-2</v>
      </c>
      <c r="BI104">
        <f t="shared" si="211"/>
        <v>4.8174155212950915E-3</v>
      </c>
      <c r="BJ104" s="460">
        <f t="shared" si="279"/>
        <v>91.607121367763369</v>
      </c>
      <c r="BK104">
        <f t="shared" si="212"/>
        <v>-10.720850736320445</v>
      </c>
      <c r="BL104" s="460">
        <f t="shared" si="280"/>
        <v>-10720.850736320444</v>
      </c>
      <c r="BM104" s="173">
        <f t="shared" si="213"/>
        <v>0.51559199999999994</v>
      </c>
      <c r="BN104" s="173">
        <f t="shared" si="214"/>
        <v>0.42965999999999999</v>
      </c>
      <c r="BO104" s="528"/>
      <c r="BQ104" s="460">
        <f t="shared" si="281"/>
        <v>945.25199999999995</v>
      </c>
      <c r="BR104" s="528">
        <f t="shared" si="215"/>
        <v>8.6235642534408541</v>
      </c>
      <c r="BS104" s="528">
        <f t="shared" si="216"/>
        <v>2.5917516160508476E-2</v>
      </c>
      <c r="BT104" s="528">
        <f t="shared" si="217"/>
        <v>2.7002494431173701E-3</v>
      </c>
      <c r="BU104" s="528">
        <f t="shared" si="218"/>
        <v>397.11203647786965</v>
      </c>
      <c r="BV104" s="528">
        <f>(BU104+(BR104+BS104+BT104)*(1+Ltc*(Ta-25)))/(1-(BR104+BS104+BT104)*Ltc*ThetaCa)</f>
        <v>1324.9091569561674</v>
      </c>
      <c r="BW104" s="625">
        <f t="shared" si="220"/>
        <v>10.258593343605286</v>
      </c>
      <c r="BX104" s="460">
        <f t="shared" si="282"/>
        <v>1335167.7502997727</v>
      </c>
      <c r="BY104" s="173">
        <f t="shared" si="283"/>
        <v>1325.3921515634522</v>
      </c>
      <c r="BZ104" s="5">
        <f t="shared" si="284"/>
        <v>106.91999999999999</v>
      </c>
      <c r="CA104" s="173">
        <f t="shared" si="285"/>
        <v>7.4648532363068038E-2</v>
      </c>
      <c r="CB104" s="5">
        <f t="shared" si="286"/>
        <v>7.4648532363068041</v>
      </c>
      <c r="CC104">
        <f t="shared" si="287"/>
        <v>99</v>
      </c>
      <c r="CE104" s="562">
        <f t="shared" si="221"/>
        <v>-50</v>
      </c>
      <c r="CF104">
        <f t="shared" si="222"/>
        <v>-50</v>
      </c>
      <c r="CG104" s="173">
        <f t="shared" si="223"/>
        <v>0.5788303047571709</v>
      </c>
      <c r="CH104" s="173">
        <f t="shared" si="224"/>
        <v>0.14404267188190506</v>
      </c>
      <c r="CI104" s="170">
        <v>99</v>
      </c>
      <c r="CJ104" s="217">
        <f t="shared" si="309"/>
        <v>0.59399999999999997</v>
      </c>
      <c r="CK104" s="217">
        <f t="shared" si="288"/>
        <v>0.495</v>
      </c>
      <c r="CL104" s="217">
        <f t="shared" si="225"/>
        <v>100.97999999999999</v>
      </c>
      <c r="CM104" s="217">
        <f t="shared" si="310"/>
        <v>5.9399999999999995</v>
      </c>
      <c r="CN104" s="541">
        <f t="shared" si="289"/>
        <v>12.5</v>
      </c>
      <c r="CO104" s="443">
        <f t="shared" si="226"/>
        <v>8.5350000000000001</v>
      </c>
      <c r="CP104" s="443">
        <f t="shared" si="227"/>
        <v>21.035</v>
      </c>
      <c r="CQ104" s="443"/>
      <c r="CR104" s="217">
        <f t="shared" si="228"/>
        <v>0.40546967895362668</v>
      </c>
      <c r="CS104" s="172">
        <f t="shared" si="290"/>
        <v>159.55982736601052</v>
      </c>
      <c r="CT104" s="172">
        <f t="shared" si="229"/>
        <v>9.3858721980006177</v>
      </c>
      <c r="CU104" s="217">
        <f t="shared" si="230"/>
        <v>0.93858721980006188</v>
      </c>
      <c r="CV104" s="217">
        <f t="shared" si="231"/>
        <v>13.296652280500878</v>
      </c>
      <c r="CW104" s="443">
        <f t="shared" si="232"/>
        <v>170</v>
      </c>
      <c r="CX104" s="217">
        <f t="shared" si="233"/>
        <v>42.191070967741922</v>
      </c>
      <c r="CY104" s="217">
        <f t="shared" si="234"/>
        <v>1.6876428387096767</v>
      </c>
      <c r="CZ104" s="217">
        <f t="shared" si="235"/>
        <v>2.4716503203129419</v>
      </c>
      <c r="DA104" s="197">
        <f t="shared" si="236"/>
        <v>350</v>
      </c>
      <c r="DB104" s="443">
        <f t="shared" si="291"/>
        <v>240.42546696443665</v>
      </c>
      <c r="DD104" s="217">
        <f t="shared" si="237"/>
        <v>28.98230839756868</v>
      </c>
      <c r="DE104" s="173">
        <f t="shared" si="238"/>
        <v>1.6978505212401103</v>
      </c>
      <c r="DF104" s="173">
        <f t="shared" si="239"/>
        <v>0.40664636548103333</v>
      </c>
      <c r="DG104" s="173"/>
      <c r="DH104" s="173">
        <f t="shared" si="240"/>
        <v>0.78109744190587771</v>
      </c>
      <c r="DI104" s="545">
        <f t="shared" si="241"/>
        <v>2415.6058235294117</v>
      </c>
      <c r="DJ104" s="528">
        <f t="shared" si="242"/>
        <v>8.6065366284073561E-2</v>
      </c>
      <c r="DL104" s="173">
        <f t="shared" si="243"/>
        <v>34.956299248388078</v>
      </c>
      <c r="DM104" s="173">
        <f t="shared" si="244"/>
        <v>42.191070967741922</v>
      </c>
      <c r="DN104" s="173">
        <f t="shared" si="245"/>
        <v>22.576101951413769</v>
      </c>
      <c r="DP104" s="545">
        <f t="shared" si="246"/>
        <v>594</v>
      </c>
      <c r="DQ104" s="460">
        <f t="shared" si="247"/>
        <v>240.42546696443665</v>
      </c>
      <c r="DS104">
        <f t="shared" si="311"/>
        <v>594</v>
      </c>
      <c r="DT104">
        <f t="shared" si="312"/>
        <v>240.42546696443665</v>
      </c>
      <c r="DV104" s="5">
        <f t="shared" si="293"/>
        <v>4.1592931590226181</v>
      </c>
      <c r="DW104" s="5">
        <f t="shared" si="249"/>
        <v>1.6876428387096767</v>
      </c>
      <c r="DX104" s="5">
        <f t="shared" si="294"/>
        <v>2.4716503203129414</v>
      </c>
      <c r="DY104" s="173">
        <f t="shared" si="295"/>
        <v>0.40575231756596153</v>
      </c>
      <c r="EA104" s="5">
        <f t="shared" si="250"/>
        <v>0.58968226246679289</v>
      </c>
      <c r="EB104" s="5">
        <f t="shared" si="251"/>
        <v>6.9615267096774156</v>
      </c>
      <c r="EC104" s="5">
        <f t="shared" si="252"/>
        <v>31.947167916185698</v>
      </c>
      <c r="ED104" s="5"/>
      <c r="EE104" s="173">
        <f t="shared" si="296"/>
        <v>15.516380703726231</v>
      </c>
      <c r="EF104" s="173">
        <f t="shared" si="253"/>
        <v>0.88672732382691943</v>
      </c>
      <c r="EG104" s="173">
        <f t="shared" si="254"/>
        <v>0.70108547557783762</v>
      </c>
      <c r="EH104" s="173"/>
      <c r="EI104" s="528">
        <f t="shared" si="255"/>
        <v>9.6303228057187091</v>
      </c>
      <c r="EJ104" s="528">
        <f t="shared" si="256"/>
        <v>5.8678125000000012</v>
      </c>
      <c r="EK104" s="528">
        <f t="shared" si="257"/>
        <v>4.8085093392887329E-2</v>
      </c>
      <c r="EL104" s="528">
        <f t="shared" si="258"/>
        <v>2.1276270177790265E-2</v>
      </c>
      <c r="EM104">
        <f t="shared" si="259"/>
        <v>5.6249999999999998E-3</v>
      </c>
      <c r="EN104" s="460">
        <f t="shared" si="297"/>
        <v>53.71009339288733</v>
      </c>
      <c r="EO104">
        <f t="shared" si="260"/>
        <v>-14.107907821133134</v>
      </c>
      <c r="EP104" s="460">
        <f t="shared" si="298"/>
        <v>-14107.907821133134</v>
      </c>
      <c r="EQ104" s="173">
        <f t="shared" si="261"/>
        <v>0.51559199999999994</v>
      </c>
      <c r="ER104" s="173">
        <f t="shared" si="262"/>
        <v>0.42965999999999999</v>
      </c>
      <c r="ES104" s="528"/>
      <c r="EU104" s="460">
        <f t="shared" si="299"/>
        <v>945.25199999999995</v>
      </c>
      <c r="EV104" s="528">
        <f t="shared" si="263"/>
        <v>7.222742104289031</v>
      </c>
      <c r="EW104" s="528">
        <f t="shared" si="300"/>
        <v>2.3588560404637512E-2</v>
      </c>
      <c r="EX104" s="528">
        <f t="shared" si="264"/>
        <v>2.4576042203310138E-3</v>
      </c>
      <c r="EY104" s="528">
        <f t="shared" si="265"/>
        <v>518.17033803905451</v>
      </c>
      <c r="EZ104" s="528">
        <f t="shared" si="266"/>
        <v>1254.8504575902102</v>
      </c>
      <c r="FA104" s="625">
        <f t="shared" si="267"/>
        <v>10.699453016094527</v>
      </c>
      <c r="FB104" s="460">
        <f t="shared" si="301"/>
        <v>1265549.9106063049</v>
      </c>
      <c r="FC104" s="173">
        <f t="shared" si="302"/>
        <v>1252.3872547851718</v>
      </c>
      <c r="FD104" s="5">
        <f t="shared" si="303"/>
        <v>106.91999999999999</v>
      </c>
      <c r="FE104" s="173">
        <f t="shared" si="304"/>
        <v>7.8657713054652884E-2</v>
      </c>
      <c r="FF104" s="5">
        <f t="shared" si="305"/>
        <v>7.8657713054652882</v>
      </c>
      <c r="FG104">
        <f t="shared" si="306"/>
        <v>99</v>
      </c>
      <c r="FI104" s="562">
        <f t="shared" si="268"/>
        <v>-50</v>
      </c>
      <c r="FJ104">
        <f t="shared" si="269"/>
        <v>-50</v>
      </c>
      <c r="FL104">
        <f t="shared" si="270"/>
        <v>0.57883030475717101</v>
      </c>
    </row>
    <row r="105" spans="5:169" ht="13">
      <c r="E105" s="170">
        <v>100</v>
      </c>
      <c r="F105" s="217">
        <f>IF(PLOT_TYPE=1, E105/100*Iout_max, min_I*EXP(O105*rr/100))</f>
        <v>0.6</v>
      </c>
      <c r="G105" s="217">
        <f t="shared" si="271"/>
        <v>0.5</v>
      </c>
      <c r="H105" s="217">
        <f t="shared" si="176"/>
        <v>102</v>
      </c>
      <c r="I105" s="217">
        <f t="shared" si="308"/>
        <v>6</v>
      </c>
      <c r="J105" s="541">
        <f t="shared" si="177"/>
        <v>10.687240227373943</v>
      </c>
      <c r="K105" s="443">
        <f t="shared" si="178"/>
        <v>8.546664030445184</v>
      </c>
      <c r="L105" s="172">
        <f t="shared" si="179"/>
        <v>19.233904257819127</v>
      </c>
      <c r="M105" s="443"/>
      <c r="N105" s="217">
        <f t="shared" si="180"/>
        <v>0.44435409035431395</v>
      </c>
      <c r="O105" s="172">
        <f>N105*J105*Isw_max*0.5*Efficiency*Pout/(Pout+Pout2)</f>
        <v>149.50300271066158</v>
      </c>
      <c r="P105" s="172">
        <f t="shared" si="181"/>
        <v>8.7942942770977393</v>
      </c>
      <c r="Q105" s="217">
        <f t="shared" si="182"/>
        <v>0.87942942770977395</v>
      </c>
      <c r="R105" s="217">
        <f t="shared" si="183"/>
        <v>12.458583559221799</v>
      </c>
      <c r="S105" s="443">
        <f t="shared" si="184"/>
        <v>170</v>
      </c>
      <c r="T105" s="217">
        <f t="shared" si="185"/>
        <v>45.484036284945255</v>
      </c>
      <c r="U105" s="217">
        <f t="shared" si="186"/>
        <v>2.1279598529302235</v>
      </c>
      <c r="V105" s="217">
        <f t="shared" si="187"/>
        <v>2.6609233803341659</v>
      </c>
      <c r="W105" s="197">
        <f t="shared" si="188"/>
        <v>350</v>
      </c>
      <c r="X105" s="443">
        <f t="shared" si="273"/>
        <v>200.44566153248437</v>
      </c>
      <c r="Z105" s="217">
        <f t="shared" si="189"/>
        <v>27.136679483615886</v>
      </c>
      <c r="AA105" s="173">
        <f t="shared" si="190"/>
        <v>1.5875597418448173</v>
      </c>
      <c r="AB105" s="173">
        <f>0.5*AA105*Z105*Nps*W105/1000*(Pout/Pout_total)</f>
        <v>0.35601742258254437</v>
      </c>
      <c r="AC105" s="173"/>
      <c r="AD105" s="173">
        <f t="shared" si="192"/>
        <v>0.78003144184894435</v>
      </c>
      <c r="AE105" s="545">
        <f>MAX(10, F105/(0.5*AD105/1000000*Isw_min*Nps)/1000*Pout_total/Pout)</f>
        <v>2443.3404228213876</v>
      </c>
      <c r="AF105" s="528">
        <f t="shared" si="194"/>
        <v>8.5947908870392956E-2</v>
      </c>
      <c r="AH105" s="173">
        <f t="shared" si="195"/>
        <v>35.132402626147197</v>
      </c>
      <c r="AI105" s="173">
        <f>MAX(IF(F105&gt;AB105,T105,AH105),Isw_min)</f>
        <v>45.484036284945255</v>
      </c>
      <c r="AJ105" s="173">
        <f>IF(F105&gt;AF105, (AI105-Isw_min)/1.08*0.8+1.2, AE105*0.2/350+1)</f>
        <v>25.015335519712533</v>
      </c>
      <c r="AL105" s="545">
        <f t="shared" si="198"/>
        <v>600</v>
      </c>
      <c r="AM105" s="460">
        <f t="shared" si="199"/>
        <v>200.44566153248437</v>
      </c>
      <c r="AO105">
        <f t="shared" si="274"/>
        <v>600</v>
      </c>
      <c r="AP105" s="3">
        <f t="shared" si="200"/>
        <v>200.44566153248437</v>
      </c>
      <c r="AR105" s="5">
        <f t="shared" si="275"/>
        <v>4.9888832332643887</v>
      </c>
      <c r="AS105" s="5">
        <f t="shared" si="201"/>
        <v>2.1279598529302235</v>
      </c>
      <c r="AT105" s="5">
        <f t="shared" si="276"/>
        <v>2.8609233803341652</v>
      </c>
      <c r="AU105" s="173">
        <f t="shared" si="277"/>
        <v>0.42654032043516682</v>
      </c>
      <c r="AW105" s="5">
        <f t="shared" si="202"/>
        <v>0.75104465397537301</v>
      </c>
      <c r="AX105" s="5">
        <f t="shared" si="203"/>
        <v>8.8664993872092648</v>
      </c>
      <c r="AY105" s="5">
        <f t="shared" si="204"/>
        <v>43.687863820505001</v>
      </c>
      <c r="AZ105" s="5"/>
      <c r="BA105" s="173">
        <f t="shared" si="278"/>
        <v>17.150564352038668</v>
      </c>
      <c r="BB105" s="173">
        <f t="shared" si="205"/>
        <v>0.9390662545775792</v>
      </c>
      <c r="BC105" s="173">
        <f t="shared" si="206"/>
        <v>0.74246692754234733</v>
      </c>
      <c r="BD105" s="173"/>
      <c r="BE105" s="528">
        <f t="shared" si="207"/>
        <v>11.76567430373678</v>
      </c>
      <c r="BF105" s="528">
        <f t="shared" si="208"/>
        <v>3.9455325091475291</v>
      </c>
      <c r="BG105" s="528">
        <f t="shared" si="209"/>
        <v>8.5688437493301947E-2</v>
      </c>
      <c r="BH105" s="528">
        <f t="shared" si="210"/>
        <v>1.4830696799327046E-2</v>
      </c>
      <c r="BI105">
        <f t="shared" si="211"/>
        <v>4.8092581023182739E-3</v>
      </c>
      <c r="BJ105" s="460">
        <f t="shared" si="279"/>
        <v>90.497695595620229</v>
      </c>
      <c r="BK105">
        <f t="shared" si="212"/>
        <v>-10.52771631723275</v>
      </c>
      <c r="BL105" s="460">
        <f t="shared" si="280"/>
        <v>-10527.716317232751</v>
      </c>
      <c r="BM105" s="173">
        <f t="shared" si="213"/>
        <v>0.52079999999999993</v>
      </c>
      <c r="BN105" s="173">
        <f t="shared" si="214"/>
        <v>0.434</v>
      </c>
      <c r="BO105" s="528"/>
      <c r="BQ105" s="460">
        <f t="shared" si="281"/>
        <v>954.79999999999984</v>
      </c>
      <c r="BR105" s="528">
        <f t="shared" si="215"/>
        <v>8.8242557278025853</v>
      </c>
      <c r="BS105" s="528">
        <f t="shared" si="216"/>
        <v>2.6455362914590882E-2</v>
      </c>
      <c r="BT105" s="528">
        <f t="shared" si="217"/>
        <v>2.756285692470866E-3</v>
      </c>
      <c r="BU105" s="528">
        <f t="shared" si="218"/>
        <v>396.83425122783279</v>
      </c>
      <c r="BV105" s="528">
        <f>(BU105+(BR105+BS105+BT105)*(1+Ltc*(Ta-25)))/(1-(BR105+BS105+BT105)*Ltc*ThetaCa)</f>
        <v>1397.946326245434</v>
      </c>
      <c r="BW105" s="625">
        <f t="shared" si="220"/>
        <v>10.367037371089836</v>
      </c>
      <c r="BX105" s="460">
        <f t="shared" si="282"/>
        <v>1408313.3636165238</v>
      </c>
      <c r="BY105" s="173">
        <f>SUM(BK105,BM105:BP105,BV105:BW105)+BI105+BG105</f>
        <v>1398.8309449948865</v>
      </c>
      <c r="BZ105" s="5">
        <f t="shared" si="284"/>
        <v>108</v>
      </c>
      <c r="CA105" s="173">
        <f t="shared" si="285"/>
        <v>7.167360104909877E-2</v>
      </c>
      <c r="CB105" s="5">
        <f t="shared" si="286"/>
        <v>7.1673601049098767</v>
      </c>
      <c r="CC105">
        <f t="shared" si="287"/>
        <v>100</v>
      </c>
      <c r="CE105" s="562">
        <f t="shared" si="221"/>
        <v>-50</v>
      </c>
      <c r="CF105">
        <f t="shared" si="222"/>
        <v>-50</v>
      </c>
      <c r="CG105" s="173">
        <f t="shared" si="223"/>
        <v>0.5788303047571709</v>
      </c>
      <c r="CH105" s="173">
        <f t="shared" si="224"/>
        <v>0.14404267188190506</v>
      </c>
      <c r="CI105" s="170">
        <v>100</v>
      </c>
      <c r="CJ105" s="217">
        <f t="shared" si="309"/>
        <v>0.6</v>
      </c>
      <c r="CK105" s="217">
        <f t="shared" si="288"/>
        <v>0.5</v>
      </c>
      <c r="CL105" s="217">
        <f t="shared" si="225"/>
        <v>102</v>
      </c>
      <c r="CM105" s="217">
        <f t="shared" si="310"/>
        <v>6</v>
      </c>
      <c r="CN105" s="541">
        <f t="shared" si="289"/>
        <v>12.5</v>
      </c>
      <c r="CO105" s="443">
        <f t="shared" si="226"/>
        <v>8.5350000000000001</v>
      </c>
      <c r="CP105" s="443">
        <f t="shared" si="227"/>
        <v>21.035</v>
      </c>
      <c r="CQ105" s="443"/>
      <c r="CR105" s="217">
        <f t="shared" si="228"/>
        <v>0.40546967895362668</v>
      </c>
      <c r="CS105" s="172">
        <f t="shared" si="290"/>
        <v>159.55982736601052</v>
      </c>
      <c r="CT105" s="172">
        <f t="shared" si="229"/>
        <v>9.3858721980006177</v>
      </c>
      <c r="CU105" s="217">
        <f t="shared" si="230"/>
        <v>0.93858721980006188</v>
      </c>
      <c r="CV105" s="217">
        <f t="shared" si="231"/>
        <v>13.296652280500878</v>
      </c>
      <c r="CW105" s="443">
        <f t="shared" si="232"/>
        <v>170</v>
      </c>
      <c r="CX105" s="217">
        <f t="shared" si="233"/>
        <v>42.617243401759524</v>
      </c>
      <c r="CY105" s="217">
        <f t="shared" si="234"/>
        <v>1.704689736070381</v>
      </c>
      <c r="CZ105" s="217">
        <f t="shared" si="235"/>
        <v>2.4966164851645885</v>
      </c>
      <c r="DA105" s="197">
        <f t="shared" si="236"/>
        <v>350</v>
      </c>
      <c r="DB105" s="443">
        <f t="shared" si="291"/>
        <v>238.02121229479224</v>
      </c>
      <c r="DD105" s="217">
        <f t="shared" si="237"/>
        <v>28.98230839756868</v>
      </c>
      <c r="DE105" s="173">
        <f t="shared" si="238"/>
        <v>1.6978505212401103</v>
      </c>
      <c r="DF105" s="173">
        <f t="shared" si="239"/>
        <v>0.40664636548103333</v>
      </c>
      <c r="DG105" s="173"/>
      <c r="DH105" s="173">
        <f t="shared" si="240"/>
        <v>0.78109744190587771</v>
      </c>
      <c r="DI105" s="545">
        <f t="shared" si="241"/>
        <v>2440.0058823529412</v>
      </c>
      <c r="DJ105" s="528">
        <f t="shared" si="242"/>
        <v>8.6065366284073561E-2</v>
      </c>
      <c r="DL105" s="173">
        <f t="shared" si="243"/>
        <v>35.132402626147197</v>
      </c>
      <c r="DM105" s="173">
        <f t="shared" si="244"/>
        <v>42.617243401759524</v>
      </c>
      <c r="DN105" s="173">
        <f t="shared" si="245"/>
        <v>22.89178523587125</v>
      </c>
      <c r="DP105" s="545">
        <f t="shared" si="246"/>
        <v>600</v>
      </c>
      <c r="DQ105" s="460">
        <f t="shared" si="247"/>
        <v>238.02121229479224</v>
      </c>
      <c r="DS105">
        <f t="shared" si="311"/>
        <v>600</v>
      </c>
      <c r="DT105">
        <f t="shared" si="312"/>
        <v>238.02121229479224</v>
      </c>
      <c r="DV105" s="5">
        <f t="shared" si="293"/>
        <v>4.2013062212349697</v>
      </c>
      <c r="DW105" s="5">
        <f t="shared" si="249"/>
        <v>1.704689736070381</v>
      </c>
      <c r="DX105" s="5">
        <f t="shared" si="294"/>
        <v>2.4966164851645889</v>
      </c>
      <c r="DY105" s="173">
        <f t="shared" si="295"/>
        <v>0.40575231756596147</v>
      </c>
      <c r="EA105" s="5">
        <f t="shared" si="250"/>
        <v>0.60165520096601677</v>
      </c>
      <c r="EB105" s="5">
        <f t="shared" si="251"/>
        <v>7.1028739002932539</v>
      </c>
      <c r="EC105" s="5">
        <f t="shared" si="252"/>
        <v>32.595824830308871</v>
      </c>
      <c r="ED105" s="5"/>
      <c r="EE105" s="173">
        <f t="shared" si="296"/>
        <v>15.673111821945691</v>
      </c>
      <c r="EF105" s="173">
        <f t="shared" si="253"/>
        <v>0.89568416548173702</v>
      </c>
      <c r="EG105" s="173">
        <f t="shared" si="254"/>
        <v>0.70816714704832107</v>
      </c>
      <c r="EH105" s="173"/>
      <c r="EI105" s="528">
        <f t="shared" si="255"/>
        <v>9.8258573673285508</v>
      </c>
      <c r="EJ105" s="528">
        <f t="shared" si="256"/>
        <v>5.8678125000000003</v>
      </c>
      <c r="EK105" s="528">
        <f t="shared" si="257"/>
        <v>4.7604242458958439E-2</v>
      </c>
      <c r="EL105" s="528">
        <f t="shared" si="258"/>
        <v>2.1063507476012357E-2</v>
      </c>
      <c r="EM105">
        <f t="shared" si="259"/>
        <v>5.6249999999999998E-3</v>
      </c>
      <c r="EN105" s="460">
        <f t="shared" si="297"/>
        <v>53.229242458958439</v>
      </c>
      <c r="EO105">
        <f t="shared" si="260"/>
        <v>-13.802350401713511</v>
      </c>
      <c r="EP105" s="460">
        <f t="shared" si="298"/>
        <v>-13802.350401713511</v>
      </c>
      <c r="EQ105" s="173">
        <f t="shared" si="261"/>
        <v>0.52079999999999993</v>
      </c>
      <c r="ER105" s="173">
        <f t="shared" si="262"/>
        <v>0.434</v>
      </c>
      <c r="ES105" s="528"/>
      <c r="EU105" s="460">
        <f t="shared" si="299"/>
        <v>954.79999999999984</v>
      </c>
      <c r="EV105" s="528">
        <f t="shared" si="263"/>
        <v>7.3693930254964126</v>
      </c>
      <c r="EW105" s="528">
        <f t="shared" si="300"/>
        <v>2.406750372884147E-2</v>
      </c>
      <c r="EX105" s="528">
        <f t="shared" si="264"/>
        <v>2.507503540792792E-3</v>
      </c>
      <c r="EY105" s="528">
        <f t="shared" si="265"/>
        <v>518.17033803905451</v>
      </c>
      <c r="EZ105" s="528">
        <f t="shared" si="266"/>
        <v>1291.4822580095156</v>
      </c>
      <c r="FA105" s="625">
        <f t="shared" si="267"/>
        <v>10.80752829908538</v>
      </c>
      <c r="FB105" s="460">
        <f t="shared" si="301"/>
        <v>1302289.786308601</v>
      </c>
      <c r="FC105" s="173">
        <f t="shared" si="302"/>
        <v>1289.4422359068874</v>
      </c>
      <c r="FD105" s="5">
        <f t="shared" si="303"/>
        <v>108</v>
      </c>
      <c r="FE105" s="173">
        <f t="shared" si="304"/>
        <v>7.728405312575376E-2</v>
      </c>
      <c r="FF105" s="5">
        <f t="shared" si="305"/>
        <v>7.7284053125753758</v>
      </c>
      <c r="FG105">
        <f t="shared" si="306"/>
        <v>100</v>
      </c>
      <c r="FI105" s="562">
        <f t="shared" si="268"/>
        <v>-50</v>
      </c>
      <c r="FJ105">
        <f t="shared" si="269"/>
        <v>-50</v>
      </c>
      <c r="FL105">
        <f t="shared" si="270"/>
        <v>0.5788303047571709</v>
      </c>
    </row>
    <row r="106" spans="5:169" ht="13">
      <c r="E106" s="170"/>
      <c r="F106" s="217"/>
      <c r="G106" s="217"/>
      <c r="H106" s="217"/>
      <c r="I106" s="217"/>
      <c r="J106" s="541"/>
      <c r="K106" s="443"/>
      <c r="L106" s="443"/>
      <c r="M106" s="443"/>
      <c r="N106" s="217"/>
      <c r="O106" s="172"/>
      <c r="P106" s="172"/>
      <c r="Q106" s="217"/>
      <c r="R106" s="217"/>
      <c r="S106" s="217"/>
      <c r="T106" s="217"/>
      <c r="U106" s="217"/>
      <c r="V106" s="217"/>
      <c r="W106" s="197"/>
      <c r="X106" s="443"/>
      <c r="Z106" s="217"/>
      <c r="AA106" s="173"/>
      <c r="AB106" s="173"/>
      <c r="AC106" s="173"/>
      <c r="AD106" s="173"/>
      <c r="AE106" s="545"/>
      <c r="AF106" s="528"/>
      <c r="AH106" s="173"/>
      <c r="AI106" s="173"/>
      <c r="AJ106" s="173"/>
      <c r="AL106" s="545"/>
      <c r="AM106" s="460"/>
      <c r="AP106" s="3"/>
      <c r="AR106" s="5"/>
      <c r="AS106" s="5"/>
      <c r="AT106" s="5"/>
      <c r="AU106" s="173"/>
      <c r="AW106" s="5"/>
      <c r="AX106" s="5"/>
      <c r="AY106" s="5"/>
      <c r="AZ106" s="5"/>
      <c r="BA106" s="173"/>
      <c r="BB106" s="173"/>
      <c r="BC106" s="173"/>
      <c r="BD106" s="173"/>
      <c r="BE106" s="528"/>
      <c r="BF106" s="528"/>
      <c r="BG106" s="528"/>
      <c r="BH106" s="528"/>
      <c r="BL106" s="460"/>
      <c r="BM106" s="173"/>
      <c r="BN106" s="173"/>
      <c r="BO106" s="528"/>
      <c r="BQ106" s="460"/>
      <c r="BR106" s="528"/>
      <c r="BS106" s="528"/>
      <c r="BT106" s="528"/>
      <c r="BU106" s="528"/>
      <c r="BV106" s="528"/>
      <c r="BW106" s="625"/>
      <c r="BX106" s="460"/>
      <c r="BY106" s="173"/>
      <c r="BZ106" s="5"/>
      <c r="CA106" s="173"/>
      <c r="CB106" s="5"/>
      <c r="CI106" s="170"/>
      <c r="CJ106" s="217"/>
      <c r="CK106" s="217"/>
      <c r="CL106" s="217"/>
      <c r="CM106" s="217"/>
      <c r="CN106" s="541"/>
      <c r="CO106" s="443"/>
      <c r="CP106" s="443"/>
      <c r="CQ106" s="443"/>
      <c r="CR106" s="217"/>
      <c r="CS106" s="172"/>
      <c r="CT106" s="172"/>
      <c r="CU106" s="217"/>
      <c r="CV106" s="217"/>
      <c r="CW106" s="217"/>
      <c r="CX106" s="217"/>
      <c r="CY106" s="217"/>
      <c r="CZ106" s="217"/>
      <c r="DA106" s="197"/>
      <c r="DB106" s="443"/>
      <c r="DD106" s="217"/>
      <c r="DE106" s="173"/>
      <c r="DF106" s="173"/>
      <c r="DG106" s="173"/>
      <c r="DH106" s="173"/>
      <c r="DI106" s="545"/>
      <c r="DJ106" s="528"/>
      <c r="DL106" s="173"/>
      <c r="DM106" s="173"/>
      <c r="DN106" s="173"/>
      <c r="DP106" s="545"/>
      <c r="DQ106" s="460"/>
      <c r="DT106" s="3"/>
      <c r="DV106" s="5"/>
      <c r="DW106" s="5"/>
      <c r="DX106" s="5"/>
      <c r="DY106" s="173"/>
      <c r="EA106" s="5"/>
      <c r="EB106" s="5"/>
      <c r="EC106" s="5"/>
      <c r="ED106" s="5"/>
      <c r="EE106" s="173"/>
      <c r="EF106" s="173"/>
      <c r="EG106" s="173"/>
      <c r="EH106" s="173"/>
      <c r="EI106" s="528"/>
      <c r="EJ106" s="528"/>
      <c r="EK106" s="528"/>
      <c r="EL106" s="528"/>
      <c r="EP106" s="460"/>
      <c r="EQ106" s="173"/>
      <c r="ER106" s="173"/>
      <c r="ES106" s="528"/>
      <c r="EU106" s="460"/>
      <c r="EV106" s="528"/>
      <c r="EW106" s="528"/>
      <c r="EX106" s="528"/>
      <c r="EY106" s="528"/>
      <c r="EZ106" s="528"/>
      <c r="FA106" s="625"/>
      <c r="FB106" s="460"/>
      <c r="FC106" s="173"/>
      <c r="FD106" s="5"/>
      <c r="FE106" s="173"/>
      <c r="FF106" s="5"/>
    </row>
    <row r="107" spans="5:169">
      <c r="G107" s="217"/>
      <c r="H107" s="217"/>
      <c r="I107" s="217"/>
      <c r="J107" s="541"/>
      <c r="K107" s="443"/>
      <c r="L107" s="443"/>
      <c r="M107" s="443"/>
      <c r="N107" s="217"/>
      <c r="O107" s="172"/>
      <c r="P107" s="172"/>
      <c r="Q107" s="217"/>
      <c r="R107" s="217"/>
      <c r="S107" s="217"/>
      <c r="T107" s="217"/>
      <c r="U107" s="217"/>
      <c r="V107" s="217"/>
      <c r="W107" s="197"/>
      <c r="X107" s="443"/>
      <c r="Z107" s="217"/>
      <c r="AA107" s="173"/>
      <c r="AB107" s="173"/>
      <c r="AC107" s="173"/>
      <c r="AD107" s="173"/>
      <c r="AE107" s="545"/>
      <c r="AF107" s="528"/>
      <c r="AH107" s="173"/>
      <c r="AI107" s="173"/>
      <c r="AJ107" s="173"/>
      <c r="AL107" s="545"/>
      <c r="AM107" s="460"/>
      <c r="AR107" s="5"/>
      <c r="AS107" s="5"/>
      <c r="AT107" s="5"/>
      <c r="AU107" s="173"/>
      <c r="AW107" s="5"/>
      <c r="AX107" s="5"/>
      <c r="AY107" s="5"/>
      <c r="AZ107" s="5"/>
      <c r="BA107" s="173"/>
      <c r="BB107" s="173"/>
      <c r="BC107" s="173"/>
      <c r="BD107" s="173"/>
      <c r="BE107" s="528"/>
      <c r="BF107" s="528"/>
      <c r="BG107" s="528"/>
      <c r="BH107" s="528"/>
      <c r="BL107" s="460"/>
      <c r="BM107" s="173"/>
      <c r="BN107" s="173"/>
      <c r="BO107" s="528"/>
      <c r="BQ107" s="460"/>
      <c r="BR107" s="528"/>
      <c r="BS107" s="528"/>
      <c r="BT107" s="528"/>
      <c r="BU107" s="528"/>
      <c r="BV107" s="528"/>
      <c r="BW107" s="625"/>
      <c r="BX107" s="460"/>
      <c r="BY107" s="173"/>
      <c r="BZ107" s="5"/>
      <c r="CA107" s="173"/>
      <c r="CB107" s="5"/>
      <c r="CK107" s="217"/>
      <c r="CL107" s="217"/>
      <c r="CM107" s="217"/>
      <c r="CN107" s="541"/>
      <c r="CO107" s="443"/>
      <c r="CP107" s="443"/>
      <c r="CQ107" s="443"/>
      <c r="CR107" s="217"/>
      <c r="CS107" s="172"/>
      <c r="CT107" s="172"/>
      <c r="CU107" s="217"/>
      <c r="CV107" s="217"/>
      <c r="CW107" s="217"/>
      <c r="CX107" s="217"/>
      <c r="CY107" s="217"/>
      <c r="CZ107" s="217"/>
      <c r="DA107" s="197"/>
      <c r="DB107" s="443"/>
      <c r="DD107" s="217"/>
      <c r="DE107" s="173"/>
      <c r="DF107" s="173"/>
      <c r="DG107" s="173"/>
      <c r="DH107" s="173"/>
      <c r="DI107" s="545"/>
      <c r="DJ107" s="528"/>
      <c r="DL107" s="173"/>
      <c r="DM107" s="173"/>
      <c r="DN107" s="173"/>
      <c r="DP107" s="545"/>
      <c r="DQ107" s="460"/>
      <c r="DV107" s="5"/>
      <c r="DW107" s="5"/>
      <c r="DX107" s="5"/>
      <c r="DY107" s="173"/>
      <c r="EA107" s="5"/>
      <c r="EB107" s="5"/>
      <c r="EC107" s="5"/>
      <c r="ED107" s="5"/>
      <c r="EE107" s="173"/>
      <c r="EF107" s="173"/>
      <c r="EG107" s="173"/>
      <c r="EH107" s="173"/>
      <c r="EI107" s="528"/>
      <c r="EJ107" s="528"/>
      <c r="EK107" s="528"/>
      <c r="EL107" s="528"/>
      <c r="EP107" s="460"/>
      <c r="EQ107" s="173"/>
      <c r="ER107" s="173"/>
      <c r="ES107" s="528"/>
      <c r="EU107" s="460"/>
      <c r="EV107" s="528"/>
      <c r="EW107" s="528"/>
      <c r="EX107" s="528"/>
      <c r="EY107" s="528"/>
      <c r="EZ107" s="528"/>
      <c r="FA107" s="625"/>
      <c r="FB107" s="460"/>
      <c r="FC107" s="173"/>
      <c r="FD107" s="5"/>
      <c r="FE107" s="173"/>
      <c r="FF107" s="5"/>
    </row>
    <row r="108" spans="5:169" ht="13">
      <c r="E108" s="445" t="s">
        <v>434</v>
      </c>
      <c r="G108" s="217"/>
      <c r="H108" s="217"/>
      <c r="I108" s="217"/>
      <c r="J108" s="541"/>
      <c r="K108" s="443"/>
      <c r="L108" s="443"/>
      <c r="M108" s="443"/>
      <c r="N108" s="217"/>
      <c r="O108" s="172"/>
      <c r="P108" s="172"/>
      <c r="Q108" s="217"/>
      <c r="R108" s="217"/>
      <c r="S108" s="217"/>
      <c r="T108" s="217"/>
      <c r="U108" s="217"/>
      <c r="V108" s="217"/>
      <c r="W108" s="197"/>
      <c r="X108" s="443"/>
      <c r="Z108" s="217"/>
      <c r="AA108" s="173"/>
      <c r="AB108" s="173"/>
      <c r="AC108" s="173"/>
      <c r="AD108" s="173"/>
      <c r="AE108" s="545"/>
      <c r="AF108" s="528"/>
      <c r="AH108" s="173"/>
      <c r="AI108" s="173"/>
      <c r="AJ108" s="173"/>
      <c r="AL108" s="545"/>
      <c r="AM108" s="460"/>
      <c r="AR108" s="5"/>
      <c r="AS108" s="5"/>
      <c r="AT108" s="5"/>
      <c r="AU108" s="173"/>
      <c r="AW108" s="533" t="s">
        <v>470</v>
      </c>
      <c r="AX108" s="533" t="s">
        <v>470</v>
      </c>
      <c r="AY108" s="533"/>
      <c r="AZ108" s="533"/>
      <c r="BA108" s="558" t="s">
        <v>471</v>
      </c>
      <c r="BB108" s="533"/>
      <c r="BC108" s="533"/>
      <c r="BD108" s="533"/>
      <c r="BE108" s="558" t="s">
        <v>493</v>
      </c>
      <c r="BF108" s="533"/>
      <c r="BG108" s="533"/>
      <c r="BH108" s="533"/>
      <c r="BI108" s="533"/>
      <c r="BJ108" s="533"/>
      <c r="BK108" s="533"/>
      <c r="BL108" s="533"/>
      <c r="BM108" s="558" t="s">
        <v>489</v>
      </c>
      <c r="BN108" s="533"/>
      <c r="BO108" s="533"/>
      <c r="BP108" s="533"/>
      <c r="BQ108" s="533"/>
      <c r="BR108" s="559" t="s">
        <v>490</v>
      </c>
      <c r="BS108" s="533"/>
      <c r="BT108" s="533"/>
      <c r="BU108" s="533"/>
      <c r="BV108" s="533"/>
      <c r="BW108" s="533"/>
      <c r="BX108" s="533"/>
      <c r="BY108" s="558"/>
      <c r="BZ108" s="533"/>
      <c r="CA108" s="533"/>
      <c r="CB108" s="533"/>
      <c r="CC108" s="533"/>
      <c r="CI108" s="445" t="s">
        <v>434</v>
      </c>
      <c r="CK108" s="217"/>
      <c r="CL108" s="217"/>
      <c r="CM108" s="217"/>
      <c r="CN108" s="541"/>
      <c r="CO108" s="443"/>
      <c r="CP108" s="443"/>
      <c r="CQ108" s="443"/>
      <c r="CR108" s="217"/>
      <c r="CS108" s="172"/>
      <c r="CT108" s="172"/>
      <c r="CU108" s="217"/>
      <c r="CV108" s="217"/>
      <c r="CW108" s="217"/>
      <c r="CX108" s="217"/>
      <c r="CY108" s="217"/>
      <c r="CZ108" s="217"/>
      <c r="DA108" s="197"/>
      <c r="DB108" s="443"/>
      <c r="DD108" s="217"/>
      <c r="DE108" s="173"/>
      <c r="DF108" s="173"/>
      <c r="DG108" s="173"/>
      <c r="DH108" s="173"/>
      <c r="DI108" s="545"/>
      <c r="DJ108" s="528"/>
      <c r="DL108" s="173"/>
      <c r="DM108" s="173"/>
      <c r="DN108" s="173"/>
      <c r="DP108" s="545"/>
      <c r="DQ108" s="460"/>
      <c r="DV108" s="5"/>
      <c r="DW108" s="5"/>
      <c r="DX108" s="5"/>
      <c r="DY108" s="173"/>
      <c r="EA108" s="533" t="s">
        <v>470</v>
      </c>
      <c r="EB108" s="533" t="s">
        <v>470</v>
      </c>
      <c r="EC108" s="533"/>
      <c r="ED108" s="533"/>
      <c r="EE108" s="558" t="s">
        <v>471</v>
      </c>
      <c r="EF108" s="533"/>
      <c r="EG108" s="533"/>
      <c r="EH108" s="533"/>
      <c r="EI108" s="558" t="s">
        <v>493</v>
      </c>
      <c r="EJ108" s="533"/>
      <c r="EK108" s="533"/>
      <c r="EL108" s="533"/>
      <c r="EM108" s="533"/>
      <c r="EN108" s="533"/>
      <c r="EO108" s="533"/>
      <c r="EP108" s="533"/>
      <c r="EQ108" s="558" t="s">
        <v>489</v>
      </c>
      <c r="ER108" s="533"/>
      <c r="ES108" s="533"/>
      <c r="ET108" s="533"/>
      <c r="EU108" s="533"/>
      <c r="EV108" s="559" t="s">
        <v>490</v>
      </c>
      <c r="EW108" s="533"/>
      <c r="EX108" s="533"/>
      <c r="EY108" s="533"/>
      <c r="EZ108" s="533"/>
      <c r="FA108" s="533"/>
      <c r="FB108" s="533"/>
      <c r="FC108" s="558"/>
      <c r="FD108" s="533"/>
      <c r="FE108" s="533"/>
      <c r="FF108" s="533"/>
      <c r="FG108" s="533"/>
    </row>
    <row r="109" spans="5:169" ht="45" customHeight="1" thickBot="1">
      <c r="E109" s="241" t="s">
        <v>25</v>
      </c>
      <c r="F109" s="602" t="s">
        <v>580</v>
      </c>
      <c r="G109" s="444" t="s">
        <v>579</v>
      </c>
      <c r="H109" s="603" t="s">
        <v>581</v>
      </c>
      <c r="I109" s="604" t="s">
        <v>582</v>
      </c>
      <c r="J109" s="242" t="s">
        <v>412</v>
      </c>
      <c r="K109" s="243" t="s">
        <v>586</v>
      </c>
      <c r="L109" s="605" t="s">
        <v>413</v>
      </c>
      <c r="M109" s="606"/>
      <c r="N109" s="244" t="s">
        <v>48</v>
      </c>
      <c r="O109" s="606" t="s">
        <v>590</v>
      </c>
      <c r="P109" s="606" t="s">
        <v>606</v>
      </c>
      <c r="Q109" s="606" t="s">
        <v>583</v>
      </c>
      <c r="R109" s="606" t="s">
        <v>584</v>
      </c>
      <c r="S109" s="606" t="s">
        <v>585</v>
      </c>
      <c r="T109" s="606" t="s">
        <v>414</v>
      </c>
      <c r="U109" s="606" t="s">
        <v>466</v>
      </c>
      <c r="V109" s="606" t="s">
        <v>465</v>
      </c>
      <c r="W109" s="607" t="s">
        <v>420</v>
      </c>
      <c r="X109" s="608" t="s">
        <v>425</v>
      </c>
      <c r="Z109" s="245" t="s">
        <v>417</v>
      </c>
      <c r="AA109" s="245" t="s">
        <v>464</v>
      </c>
      <c r="AB109" s="245" t="s">
        <v>587</v>
      </c>
      <c r="AC109" s="544"/>
      <c r="AD109" s="245" t="s">
        <v>463</v>
      </c>
      <c r="AE109" s="607" t="s">
        <v>426</v>
      </c>
      <c r="AF109" s="245" t="s">
        <v>588</v>
      </c>
      <c r="AG109" s="544"/>
      <c r="AH109" s="245" t="s">
        <v>429</v>
      </c>
      <c r="AI109" s="547" t="s">
        <v>430</v>
      </c>
      <c r="AJ109" s="547" t="s">
        <v>431</v>
      </c>
      <c r="AL109" s="543" t="s">
        <v>275</v>
      </c>
      <c r="AM109" s="543" t="s">
        <v>432</v>
      </c>
      <c r="AO109" s="245" t="s">
        <v>275</v>
      </c>
      <c r="AP109" s="245" t="s">
        <v>432</v>
      </c>
      <c r="AQ109" s="548"/>
      <c r="AR109" s="245" t="s">
        <v>467</v>
      </c>
      <c r="AS109" s="245" t="s">
        <v>461</v>
      </c>
      <c r="AT109" s="245" t="s">
        <v>462</v>
      </c>
      <c r="AU109" s="245" t="s">
        <v>48</v>
      </c>
      <c r="AV109" s="544"/>
      <c r="AW109" s="245" t="s">
        <v>591</v>
      </c>
      <c r="AX109" s="245" t="s">
        <v>592</v>
      </c>
      <c r="AY109" s="245" t="s">
        <v>514</v>
      </c>
      <c r="AZ109" s="544"/>
      <c r="BA109" s="557" t="s">
        <v>456</v>
      </c>
      <c r="BB109" s="245" t="s">
        <v>599</v>
      </c>
      <c r="BC109" s="245" t="s">
        <v>598</v>
      </c>
      <c r="BD109" s="544"/>
      <c r="BE109" s="557" t="s">
        <v>474</v>
      </c>
      <c r="BF109" s="245" t="s">
        <v>475</v>
      </c>
      <c r="BG109" s="245" t="s">
        <v>473</v>
      </c>
      <c r="BH109" s="245" t="s">
        <v>469</v>
      </c>
      <c r="BI109" s="245" t="s">
        <v>478</v>
      </c>
      <c r="BJ109" s="245" t="s">
        <v>491</v>
      </c>
      <c r="BK109" s="245" t="s">
        <v>776</v>
      </c>
      <c r="BL109" s="245" t="s">
        <v>778</v>
      </c>
      <c r="BM109" s="557" t="s">
        <v>601</v>
      </c>
      <c r="BN109" s="245" t="s">
        <v>600</v>
      </c>
      <c r="BO109" s="245" t="s">
        <v>477</v>
      </c>
      <c r="BP109" s="245" t="s">
        <v>483</v>
      </c>
      <c r="BQ109" s="245" t="s">
        <v>487</v>
      </c>
      <c r="BR109" s="557" t="s">
        <v>458</v>
      </c>
      <c r="BS109" s="245" t="s">
        <v>603</v>
      </c>
      <c r="BT109" s="245" t="s">
        <v>602</v>
      </c>
      <c r="BU109" s="245" t="s">
        <v>468</v>
      </c>
      <c r="BV109" s="245" t="s">
        <v>673</v>
      </c>
      <c r="BW109" s="245" t="s">
        <v>484</v>
      </c>
      <c r="BX109" s="245" t="s">
        <v>667</v>
      </c>
      <c r="BY109" s="557" t="s">
        <v>482</v>
      </c>
      <c r="BZ109" s="245" t="s">
        <v>223</v>
      </c>
      <c r="CA109" s="245" t="s">
        <v>47</v>
      </c>
      <c r="CB109" s="245" t="s">
        <v>485</v>
      </c>
      <c r="CC109" s="245" t="s">
        <v>604</v>
      </c>
      <c r="CE109" s="569" t="s">
        <v>497</v>
      </c>
      <c r="CG109" s="782" t="s">
        <v>829</v>
      </c>
      <c r="CH109" s="783" t="s">
        <v>830</v>
      </c>
      <c r="CI109" s="241" t="s">
        <v>25</v>
      </c>
      <c r="CJ109" s="602" t="s">
        <v>580</v>
      </c>
      <c r="CK109" s="444" t="s">
        <v>579</v>
      </c>
      <c r="CL109" s="603" t="s">
        <v>581</v>
      </c>
      <c r="CM109" s="604" t="s">
        <v>582</v>
      </c>
      <c r="CN109" s="242" t="s">
        <v>412</v>
      </c>
      <c r="CO109" s="243" t="s">
        <v>586</v>
      </c>
      <c r="CP109" s="605" t="s">
        <v>413</v>
      </c>
      <c r="CQ109" s="606"/>
      <c r="CR109" s="244" t="s">
        <v>48</v>
      </c>
      <c r="CS109" s="606" t="s">
        <v>590</v>
      </c>
      <c r="CT109" s="606" t="s">
        <v>606</v>
      </c>
      <c r="CU109" s="606" t="s">
        <v>583</v>
      </c>
      <c r="CV109" s="606" t="s">
        <v>584</v>
      </c>
      <c r="CW109" s="606" t="s">
        <v>585</v>
      </c>
      <c r="CX109" s="606" t="s">
        <v>414</v>
      </c>
      <c r="CY109" s="606" t="s">
        <v>466</v>
      </c>
      <c r="CZ109" s="606" t="s">
        <v>465</v>
      </c>
      <c r="DA109" s="607" t="s">
        <v>420</v>
      </c>
      <c r="DB109" s="608" t="s">
        <v>425</v>
      </c>
      <c r="DD109" s="245" t="s">
        <v>417</v>
      </c>
      <c r="DE109" s="245" t="s">
        <v>464</v>
      </c>
      <c r="DF109" s="245" t="s">
        <v>587</v>
      </c>
      <c r="DG109" s="544"/>
      <c r="DH109" s="245" t="s">
        <v>463</v>
      </c>
      <c r="DI109" s="607" t="s">
        <v>426</v>
      </c>
      <c r="DJ109" s="245" t="s">
        <v>588</v>
      </c>
      <c r="DK109" s="544"/>
      <c r="DL109" s="245" t="s">
        <v>429</v>
      </c>
      <c r="DM109" s="547" t="s">
        <v>430</v>
      </c>
      <c r="DN109" s="547" t="s">
        <v>431</v>
      </c>
      <c r="DP109" s="543" t="s">
        <v>275</v>
      </c>
      <c r="DQ109" s="543" t="s">
        <v>432</v>
      </c>
      <c r="DS109" s="245" t="s">
        <v>275</v>
      </c>
      <c r="DT109" s="245" t="s">
        <v>432</v>
      </c>
      <c r="DU109" s="548"/>
      <c r="DV109" s="245" t="s">
        <v>467</v>
      </c>
      <c r="DW109" s="245" t="s">
        <v>461</v>
      </c>
      <c r="DX109" s="245" t="s">
        <v>462</v>
      </c>
      <c r="DY109" s="245" t="s">
        <v>48</v>
      </c>
      <c r="DZ109" s="544"/>
      <c r="EA109" s="245" t="s">
        <v>591</v>
      </c>
      <c r="EB109" s="245" t="s">
        <v>592</v>
      </c>
      <c r="EC109" s="245" t="s">
        <v>514</v>
      </c>
      <c r="ED109" s="544"/>
      <c r="EE109" s="557" t="s">
        <v>456</v>
      </c>
      <c r="EF109" s="245" t="s">
        <v>599</v>
      </c>
      <c r="EG109" s="245" t="s">
        <v>598</v>
      </c>
      <c r="EH109" s="544"/>
      <c r="EI109" s="557" t="s">
        <v>474</v>
      </c>
      <c r="EJ109" s="245" t="s">
        <v>475</v>
      </c>
      <c r="EK109" s="245" t="s">
        <v>473</v>
      </c>
      <c r="EL109" s="245" t="s">
        <v>469</v>
      </c>
      <c r="EM109" s="245" t="s">
        <v>478</v>
      </c>
      <c r="EN109" s="245" t="s">
        <v>491</v>
      </c>
      <c r="EO109" s="245" t="s">
        <v>776</v>
      </c>
      <c r="EP109" s="245" t="s">
        <v>778</v>
      </c>
      <c r="EQ109" s="557" t="s">
        <v>601</v>
      </c>
      <c r="ER109" s="245" t="s">
        <v>600</v>
      </c>
      <c r="ES109" s="245" t="s">
        <v>477</v>
      </c>
      <c r="ET109" s="245" t="s">
        <v>483</v>
      </c>
      <c r="EU109" s="245" t="s">
        <v>487</v>
      </c>
      <c r="EV109" s="557" t="s">
        <v>458</v>
      </c>
      <c r="EW109" s="245" t="s">
        <v>603</v>
      </c>
      <c r="EX109" s="245" t="s">
        <v>602</v>
      </c>
      <c r="EY109" s="245" t="s">
        <v>468</v>
      </c>
      <c r="EZ109" s="245" t="s">
        <v>673</v>
      </c>
      <c r="FA109" s="245" t="s">
        <v>484</v>
      </c>
      <c r="FB109" s="245" t="s">
        <v>486</v>
      </c>
      <c r="FC109" s="557" t="s">
        <v>482</v>
      </c>
      <c r="FD109" s="245" t="s">
        <v>223</v>
      </c>
      <c r="FE109" s="245" t="s">
        <v>47</v>
      </c>
      <c r="FF109" s="245" t="s">
        <v>485</v>
      </c>
      <c r="FG109" s="245" t="s">
        <v>604</v>
      </c>
      <c r="FI109" s="569" t="s">
        <v>497</v>
      </c>
      <c r="FL109" s="782" t="s">
        <v>876</v>
      </c>
      <c r="FM109" s="782" t="s">
        <v>875</v>
      </c>
    </row>
    <row r="110" spans="5:169">
      <c r="E110" s="170">
        <v>0.1</v>
      </c>
      <c r="F110" s="217">
        <v>1.0000000000000001E-9</v>
      </c>
      <c r="G110" s="217">
        <f t="shared" ref="G110:G141" si="313">IF(PLOT_TYPE=1, E110/100*Iout2, min_I*EXP(Q110*rr/100))</f>
        <v>5.0000000000000001E-4</v>
      </c>
      <c r="H110" s="217">
        <f t="shared" ref="H110:H141" si="314">F110*Vout</f>
        <v>1.7000000000000001E-7</v>
      </c>
      <c r="I110" s="217">
        <f t="shared" ref="I110:I141" si="315">Vout2*G110</f>
        <v>6.0000000000000001E-3</v>
      </c>
      <c r="J110" s="541">
        <f t="shared" ref="J110:J141" si="316">VIN_min-(F110/CG110/Nps+G110/CH110/(Nps/Nsec1sec2))*(Rdcr_pri+RON/1000)</f>
        <v>8.9439301374037097</v>
      </c>
      <c r="K110" s="443">
        <f t="shared" ref="K110:K141" si="317">MAX((S110+Vfwd2+Rdcr_sec*F110/CG110)*Nps,(Vout2+Vfwd22+Rdcr_sec2*G110/CH110)*Nps/Nsec1sec2)</f>
        <v>8.5367995191637256</v>
      </c>
      <c r="L110" s="172">
        <f t="shared" ref="L110:L141" si="318">MAX((Vout+Vfwd2+F110/CG110*Rdcr_sec)*Nps+J110, (Vout2+Vfwd22+G110/CH110*Rdcr_sec2)*Nps/Nsec1sec2+J110)</f>
        <v>17.480729656567433</v>
      </c>
      <c r="M110" s="443"/>
      <c r="N110" s="217">
        <f t="shared" ref="N110:N141" si="319">MAX((Vout+Vfwd2+F110/CG110*Rdcr_sec)*Nps/((Vout+Vfwd2+F110/CG110*Rdcr_sec)*Nps+J110), (Vout2+Vfwd22+G110/CH110*Rdcr_sec2)*Nps/Nsec1sec2/((Vout2+Vfwd22+G110/CH110*Rdcr_sec2)*Nps/Nsec1sec2+J110))</f>
        <v>0.48835487344525619</v>
      </c>
      <c r="O110" s="172">
        <f t="shared" ref="O110:O141" si="320">N110*J110*Isw_max*0.5*Efficiency*Pout/(Pout+Pout2)</f>
        <v>137.50518851117596</v>
      </c>
      <c r="P110" s="172">
        <f t="shared" ref="P110:P141" si="321">N110*J110*Isw_max*0.5*Efficiency*(Pout2/Pout_total)</f>
        <v>8.0885405006574089</v>
      </c>
      <c r="Q110" s="217">
        <f t="shared" ref="Q110:Q173" si="322">O110/Vout</f>
        <v>0.80885405006574096</v>
      </c>
      <c r="R110" s="217">
        <f t="shared" ref="R110:R141" si="323">O110/Vout2</f>
        <v>11.458765709264663</v>
      </c>
      <c r="S110" s="217">
        <f t="shared" ref="S110:S141" si="324">MIN(Vout,O110/F110)</f>
        <v>170</v>
      </c>
      <c r="T110" s="217">
        <f t="shared" ref="T110:T141" si="325">MIN(2*(Vout*F110+Vout2*G110)/(Efficiency*J110*N110), Isw_max)</f>
        <v>2.7474489186331765E-3</v>
      </c>
      <c r="U110" s="217">
        <f t="shared" ref="U110:U173" si="326">L*T110/J110*1000000</f>
        <v>1.5359293266073743E-4</v>
      </c>
      <c r="V110" s="217">
        <f t="shared" ref="V110:V173" si="327">L*T110/K110*1000000</f>
        <v>1.6091797121776144E-4</v>
      </c>
      <c r="W110" s="197">
        <f t="shared" ref="W110:W173" si="328">IF(1/((350000*L)*(1/J110+1/K110))&gt;Isw_min, 350, 0.001/((Isw_min*L)*(1/J110+1/K110)))</f>
        <v>350</v>
      </c>
      <c r="X110" s="443">
        <f>MIN(1/(U110+V110+0.2)*1000, 350)</f>
        <v>350</v>
      </c>
      <c r="Z110" s="217">
        <f t="shared" ref="Z110:Z173" si="329">1/((W110*1000*L)*(1/J110+1/K110))</f>
        <v>24.958924973457151</v>
      </c>
      <c r="AA110" s="173">
        <f t="shared" ref="AA110:AA173" si="330">L*Z110/K110*1000000</f>
        <v>1.4618432187278398</v>
      </c>
      <c r="AB110" s="173">
        <f t="shared" ref="AB110:AB141" si="331">0.5*AA110*Z110*Nps*W110/1000*(Pout/(Pout+Pout2))</f>
        <v>0.30151654104743386</v>
      </c>
      <c r="AC110" s="173"/>
      <c r="AD110" s="173">
        <f t="shared" ref="AD110:AD173" si="332">L*Isw_min/K110*1000000</f>
        <v>0.78093279005804039</v>
      </c>
      <c r="AE110" s="545">
        <f t="shared" ref="AE110:AE141" si="333">MAX(10, F110/(0.5*AD110/1000000*Isw_min*Nps)/1000*Pout_total/Pout)</f>
        <v>10</v>
      </c>
      <c r="AF110" s="528">
        <f t="shared" ref="AF110:AF141" si="334">0.5*AD110/1000000*Isw_min*Nps*W110*1000*(Pout/Pout_total)</f>
        <v>8.6047224089728536E-2</v>
      </c>
      <c r="AH110" s="173">
        <f t="shared" ref="AH110:AH141" si="335">SQRT((H110+I110)/(0.5*L*Fsw_DCM))</f>
        <v>0.26186517796104819</v>
      </c>
      <c r="AI110" s="173">
        <f t="shared" ref="AI110:AI141" si="336">MAX(IF(F110&gt;AB110,T110,AH110),Isw_min)</f>
        <v>13.333333333333334</v>
      </c>
      <c r="AJ110" s="173">
        <f t="shared" ref="AJ110:AJ141" si="337">IF(F110&gt;AF110, (AI110-Isw_min)/1.08*0.8+1.2, AE110*0.2/350+1)</f>
        <v>1.0057142857142858</v>
      </c>
      <c r="AL110" s="545">
        <f t="shared" ref="AL110:AL141" si="338">F110*1000</f>
        <v>1.0000000000000002E-6</v>
      </c>
      <c r="AM110" s="460">
        <f t="shared" ref="AM110:AM141" si="339">IF(F110&gt;AF110, X110, AE110)</f>
        <v>10</v>
      </c>
      <c r="AO110" s="460">
        <f t="shared" ref="AO110:AO173" si="340">IF(H110&gt;O110, "",AL110)</f>
        <v>1.0000000000000002E-6</v>
      </c>
      <c r="AP110" s="460">
        <f t="shared" ref="AP110:AP173" si="341">IF(H110&gt;O110, "",AM110)</f>
        <v>10</v>
      </c>
      <c r="AR110" s="5">
        <f t="shared" si="275"/>
        <v>100</v>
      </c>
      <c r="AS110" s="5">
        <f>L*AI110/J110*1000000</f>
        <v>0.74538447463789126</v>
      </c>
      <c r="AT110" s="5">
        <f>AR110-AS110</f>
        <v>99.254615525362112</v>
      </c>
      <c r="AU110" s="173">
        <f>AS110/AR110</f>
        <v>7.4538447463789129E-3</v>
      </c>
      <c r="AW110" s="5">
        <f t="shared" ref="AW110:AW169" si="342">F110*AS110/Vout_ripple*1000</f>
        <v>4.384614556693478E-10</v>
      </c>
      <c r="AX110" s="5">
        <f t="shared" ref="AX110:AX169" si="343">G110*AS110/Vout_ripple2*1000</f>
        <v>3.1057686443245469E-3</v>
      </c>
      <c r="AY110" s="5">
        <f t="shared" ref="AY110:AY169" si="344">H110/Efficiency/J110*AT110/Vinripple1</f>
        <v>3.018500257509323E-6</v>
      </c>
      <c r="AZ110" s="5"/>
      <c r="BA110" s="173">
        <f t="shared" ref="BA110:BA169" si="345">AI110*SQRT(AU110/3)</f>
        <v>0.66461215630165515</v>
      </c>
      <c r="BB110" s="173">
        <f t="shared" ref="BB110:BB169" si="346">AI110*Npri_sec1*SQRT((1-AU110)/3)*(Pout/Pout_total)</f>
        <v>0.36215950305821204</v>
      </c>
      <c r="BC110" s="173">
        <f t="shared" ref="BC110:BC169" si="347">AI110*Npri_sec2*SQRT((1-AU110)/3)*(Pout2/Pout_total)</f>
        <v>0.28633917170929507</v>
      </c>
      <c r="BD110" s="173"/>
      <c r="BE110" s="528">
        <f t="shared" ref="BE110:BE169" si="348">Rdson*BA110^2</f>
        <v>1.766837273215743E-2</v>
      </c>
      <c r="BF110" s="528">
        <f t="shared" ref="BF110:BF141" si="349">0.5*L110*AI110*AM110*1000*Tfall</f>
        <v>5.2442188969702305E-2</v>
      </c>
      <c r="BG110" s="528">
        <f t="shared" ref="BG110:BG141" si="350">Qg*Vdd*AM110*1000*0+Qg*J110*AM110*1000</f>
        <v>3.5775720549614839E-3</v>
      </c>
      <c r="BH110" s="528">
        <f t="shared" ref="BH110:BH169" si="351">0.5*(Coss+Csw)*L110^2*AM110*1000</f>
        <v>6.1115181865199232E-4</v>
      </c>
      <c r="BI110">
        <f t="shared" ref="BI110:BI169" si="352">J110*IQ</f>
        <v>4.0247685618316695E-3</v>
      </c>
      <c r="BJ110" s="460">
        <f>(BG110+BI110)*1000</f>
        <v>7.6023406167931542</v>
      </c>
      <c r="BK110">
        <f t="shared" ref="BK110:BK141" si="353">(BF110+BG110*0+BH110+BI110*0+BE110*(1+RdsonTC*(Ta-25)))/(1-BE110*RdsonTC*ThetaJA)</f>
        <v>7.5810426736064099E-2</v>
      </c>
      <c r="BL110" s="460">
        <f>SUM(BE110:BI110)*1000</f>
        <v>78.324054137304898</v>
      </c>
      <c r="BM110" s="173">
        <f t="shared" ref="BM110:BM141" si="354">Vfwd2*F110*(1+Diode_TC/1000*(Ta-25))</f>
        <v>8.679999999999999E-10</v>
      </c>
      <c r="BN110" s="173">
        <f t="shared" ref="BN110:BN141" si="355">Vfwd2*G110*(1+Diode_TC/1000*(Ta-25))</f>
        <v>4.3399999999999998E-4</v>
      </c>
      <c r="BO110" s="528"/>
      <c r="BQ110" s="460">
        <f t="shared" ref="BQ110:BQ169" si="356">SUM(BM110:BP110)*1000</f>
        <v>0.43400086799999998</v>
      </c>
      <c r="BR110" s="528">
        <f t="shared" ref="BR110:BR169" si="357">Rdcr_pri*BA110^2</f>
        <v>1.3251279549118072E-2</v>
      </c>
      <c r="BS110" s="528">
        <f t="shared" ref="BS110:BS169" si="358">Rdcr_sec*BB110^2</f>
        <v>3.9347851696611329E-3</v>
      </c>
      <c r="BT110" s="528">
        <f t="shared" ref="BT110:BT169" si="359">Rdcr_sec2*BC110^2</f>
        <v>4.0995060627582584E-4</v>
      </c>
      <c r="BU110" s="528">
        <f t="shared" ref="BU110:BU169" si="360">AI110^2.5*AM110^2.5*k_core</f>
        <v>1.026400478559336E-2</v>
      </c>
      <c r="BV110" s="528"/>
      <c r="BW110" s="625">
        <f t="shared" ref="BW110:BW141" si="361">0.5*Lleak*0.000000001*AI110^2*AM110*1000</f>
        <v>4.4444444444444446E-2</v>
      </c>
      <c r="BX110" s="460">
        <f t="shared" ref="BX110:BX169" si="362">SUM(BR110:BW110)*1000</f>
        <v>72.304464555092849</v>
      </c>
      <c r="BY110" s="173">
        <f t="shared" ref="BY110:BY169" si="363">SUM(BE110:BI110,BM110:BP110,BR110:BW110)</f>
        <v>0.15106251956039773</v>
      </c>
      <c r="BZ110" s="5">
        <f t="shared" ref="BZ110:BZ169" si="364">MIN(H110+I110,O110+P110)</f>
        <v>6.00017E-3</v>
      </c>
      <c r="CA110" s="173">
        <f t="shared" ref="CA110:CA169" si="365">BZ110/(BZ110+BY110)</f>
        <v>3.8202389229382593E-2</v>
      </c>
      <c r="CB110" s="5">
        <f t="shared" ref="CB110:CB169" si="366">CA110*100</f>
        <v>3.8202389229382594</v>
      </c>
      <c r="CC110">
        <f t="shared" ref="CC110:CC169" si="367">F110/Iout*100</f>
        <v>1.666666666666667E-7</v>
      </c>
      <c r="CE110" s="562">
        <f t="shared" ref="CE110:CE141" si="368">IF(ABS(F110-Ioutmax_Vinmin)&lt;Iout/200, AM110, -50)</f>
        <v>-50</v>
      </c>
      <c r="CF110">
        <f t="shared" ref="CF110:CF141" si="369">IF(ABS(F110-Ioutmax_Vinmin)&lt;Iout/200, (O110+P110)*CA110, -50)</f>
        <v>-50</v>
      </c>
      <c r="CG110" s="173">
        <f t="shared" ref="CG110:CG173" si="370">MIN(SQRT(2*DT110*1000*Ls1_*(CL110+CJ110*Vfwd1))/(CW110+Vfwd1), 1-DY110)</f>
        <v>4.8435947969648271E-6</v>
      </c>
      <c r="CH110" s="173">
        <f t="shared" ref="CH110:CH141" si="371">MIN(SQRT(2*DT110*1000*Ls2_*(CM110+CK110*Vfwd22))/(Vout2+Vfwd22), 1-DY110)</f>
        <v>9.3364835679608836E-4</v>
      </c>
      <c r="CI110" s="170">
        <v>0.1</v>
      </c>
      <c r="CJ110" s="217">
        <v>1.0000000000000001E-9</v>
      </c>
      <c r="CK110" s="217">
        <f t="shared" ref="CK110:CK173" si="372">IF(PLOT_TYPE=1, CI110/100*Iout2, min_I*EXP(CU110*rr/100))</f>
        <v>5.0000000000000001E-4</v>
      </c>
      <c r="CL110" s="217">
        <f t="shared" ref="CL110:CL173" si="373">CJ110*Vout</f>
        <v>1.7000000000000001E-7</v>
      </c>
      <c r="CM110" s="217">
        <f t="shared" ref="CM110:CM173" si="374">Vout2*CK110</f>
        <v>6.0000000000000001E-3</v>
      </c>
      <c r="CN110" s="541">
        <f t="shared" ref="CN110:CN173" si="375">VIN_min</f>
        <v>9</v>
      </c>
      <c r="CO110" s="443">
        <f t="shared" ref="CO110:CO141" si="376">(CW110+Vfwd2)*Nps</f>
        <v>8.5350000000000001</v>
      </c>
      <c r="CP110" s="443">
        <f t="shared" ref="CP110:CP141" si="377">(Vout+Vfwd2)*Nps+CN110</f>
        <v>17.535</v>
      </c>
      <c r="CQ110" s="443"/>
      <c r="CR110" s="217">
        <f t="shared" ref="CR110:CR173" si="378">(Vout+Vfwd1)*Nps/((Vout+Vfwd1)*Nps+CN110)</f>
        <v>0.48644793152639093</v>
      </c>
      <c r="CS110" s="172">
        <f t="shared" ref="CS110:CS173" si="379">CR110*CN110*Isw_max*0.5*Efficiency*Pout/(Pout+Pout2)</f>
        <v>137.82691393247745</v>
      </c>
      <c r="CT110" s="172">
        <f t="shared" ref="CT110:CT173" si="380">CR110*CN110*Isw_max*0.5*Efficiency*(Pout2/Pout_total)</f>
        <v>8.1074655254398493</v>
      </c>
      <c r="CU110" s="217">
        <f t="shared" ref="CU110:CU173" si="381">CS110/Vout</f>
        <v>0.81074655254398498</v>
      </c>
      <c r="CV110" s="217">
        <f t="shared" ref="CV110:CV173" si="382">CS110/Vout2</f>
        <v>11.485576161039788</v>
      </c>
      <c r="CW110" s="217">
        <f t="shared" ref="CW110:CW173" si="383">MIN(Vout,CS110/CJ110)</f>
        <v>170</v>
      </c>
      <c r="CX110" s="217">
        <f t="shared" ref="CX110:CX173" si="384">MIN(2*(Vout*CJ110+Vout2*CK110)/(Efficiency*CN110*CR110), Isw_max)</f>
        <v>2.7410356272401432E-3</v>
      </c>
      <c r="CY110" s="217">
        <f t="shared" ref="CY110:CY173" si="385">L*CX110/CN110*1000000</f>
        <v>1.5227975706889684E-4</v>
      </c>
      <c r="CZ110" s="217">
        <f t="shared" ref="CZ110:CZ173" si="386">L*CX110/CO110*1000000</f>
        <v>1.6057619374576114E-4</v>
      </c>
      <c r="DA110" s="197">
        <f t="shared" ref="DA110:DA173" si="387">IF(1/((350000*L)*(1/CN110+1/CO110))&gt;Isw_min, 350, 0.001/((Isw_min*L)*(1/CN110+1/CO110)))</f>
        <v>350</v>
      </c>
      <c r="DB110" s="443">
        <f t="shared" ref="DB110:DB173" si="388">MIN(1/(CY110+CZ110)*1000, 350)</f>
        <v>350</v>
      </c>
      <c r="DD110" s="217">
        <f t="shared" ref="DD110:DD173" si="389">1/((DA110*1000*L)*(1/CN110+1/CO110))</f>
        <v>25.032384211169504</v>
      </c>
      <c r="DE110" s="173">
        <f t="shared" ref="DE110:DE173" si="390">L*DD110/CO110*1000000</f>
        <v>1.4664548454112187</v>
      </c>
      <c r="DF110" s="173">
        <f t="shared" ref="DF110:DF173" si="391">0.5*DE110*DD110*Nps*DA110/1000*(Pout/(Pout+Pout2))</f>
        <v>0.30335794952229944</v>
      </c>
      <c r="DG110" s="173"/>
      <c r="DH110" s="173">
        <f t="shared" ref="DH110:DH173" si="392">L*Isw_min/CO110*1000000</f>
        <v>0.78109744190587771</v>
      </c>
      <c r="DI110" s="545">
        <f t="shared" ref="DI110:DI173" si="393">MAX(10, CJ110/(0.5*DH110/1000000*Isw_min*Nps)/1000*Pout_total/Pout)</f>
        <v>10</v>
      </c>
      <c r="DJ110" s="528">
        <f t="shared" ref="DJ110:DJ173" si="394">0.5*DH110/1000000*Isw_min*Nps*DA110*1000*(Pout/Pout_total)</f>
        <v>8.6065366284073561E-2</v>
      </c>
      <c r="DL110" s="173">
        <f t="shared" ref="DL110:DL173" si="395">SQRT((CL110+CM110)/(0.5*L*Fsw_DCM))</f>
        <v>0.26186517796104819</v>
      </c>
      <c r="DM110" s="173">
        <f t="shared" ref="DM110:DM173" si="396">MAX(IF(CJ110&gt;DF110,CX110,DL110),Isw_min)</f>
        <v>13.333333333333334</v>
      </c>
      <c r="DN110" s="173">
        <f t="shared" ref="DN110:DN173" si="397">IF(CJ110&gt;DJ110, (DM110-Isw_min)/1.08*0.8+1.2, DI110*0.2/350+1)</f>
        <v>1.0057142857142858</v>
      </c>
      <c r="DP110" s="545">
        <f t="shared" ref="DP110:DP173" si="398">CJ110*1000</f>
        <v>1.0000000000000002E-6</v>
      </c>
      <c r="DQ110" s="460">
        <f t="shared" ref="DQ110:DQ173" si="399">IF(CJ110&gt;DJ110, DB110, DI110)</f>
        <v>10</v>
      </c>
      <c r="DS110" s="460">
        <f t="shared" ref="DS110:DS173" si="400">IF(CL110&gt;CS110, "",DP110)</f>
        <v>1.0000000000000002E-6</v>
      </c>
      <c r="DT110" s="460">
        <f t="shared" ref="DT110:DT173" si="401">IF(CL110&gt;CS110, "",DQ110)</f>
        <v>10</v>
      </c>
      <c r="DV110" s="5">
        <f t="shared" ref="DV110:DV173" si="402">1/DQ110*1000</f>
        <v>100</v>
      </c>
      <c r="DW110" s="5">
        <f t="shared" ref="DW110:DW173" si="403">L*DM110/CN110*1000000</f>
        <v>0.7407407407407407</v>
      </c>
      <c r="DX110" s="5">
        <f t="shared" ref="DX110:DX173" si="404">DV110-DW110</f>
        <v>99.259259259259252</v>
      </c>
      <c r="DY110" s="173">
        <f t="shared" ref="DY110:DY173" si="405">DW110/DV110</f>
        <v>7.4074074074074068E-3</v>
      </c>
      <c r="EA110" s="5">
        <f t="shared" ref="EA110:EA173" si="406">CJ110*DW110/Vout_ripple*1000</f>
        <v>4.3572984749455332E-10</v>
      </c>
      <c r="EB110" s="5">
        <f t="shared" ref="EB110:EB173" si="407">CK110*DW110/Vout_ripple2*1000</f>
        <v>3.0864197530864196E-3</v>
      </c>
      <c r="EC110" s="5">
        <f t="shared" ref="EC110:EC173" si="408">CL110/Efficiency/CN110*DX110/Vinripple1</f>
        <v>2.999835390946502E-6</v>
      </c>
      <c r="ED110" s="5"/>
      <c r="EE110" s="173">
        <f t="shared" ref="EE110:EE173" si="409">DM110*SQRT(DY110/3)</f>
        <v>0.66253865999993766</v>
      </c>
      <c r="EF110" s="173">
        <f t="shared" ref="EF110:EF173" si="410">DM110*Npri_sec1*SQRT((1-DY110)/3)*(Pout/Pout_total)</f>
        <v>0.36216797496997749</v>
      </c>
      <c r="EG110" s="173">
        <f t="shared" ref="EG110:EG173" si="411">DM110*Npri_sec2*SQRT((1-DY110)/3)*(Pout2/Pout_total)</f>
        <v>0.28634586997394701</v>
      </c>
      <c r="EH110" s="173"/>
      <c r="EI110" s="528">
        <f t="shared" ref="EI110:EI173" si="412">Rdson*EE110^2</f>
        <v>1.7558299039780522E-2</v>
      </c>
      <c r="EJ110" s="528">
        <f t="shared" ref="EJ110:EJ173" si="413">0.5*CP110*DM110*DQ110*1000*Trise</f>
        <v>6.4295000000000005E-2</v>
      </c>
      <c r="EK110" s="528">
        <f t="shared" ref="EK110:EK173" si="414">Qg*Vdd*DQ110*1000</f>
        <v>2E-3</v>
      </c>
      <c r="EL110" s="528">
        <f t="shared" ref="EL110:EL173" si="415">0.5*(Coss+Csw)*CP110^2*DQ110*1000</f>
        <v>6.1495244999999993E-4</v>
      </c>
      <c r="EM110">
        <f t="shared" ref="EM110:EM173" si="416">CN110*IQ</f>
        <v>4.0499999999999998E-3</v>
      </c>
      <c r="EN110" s="460">
        <f t="shared" ref="EN110:EN173" si="417">(EK110+EM110)*1000</f>
        <v>6.05</v>
      </c>
      <c r="EP110" s="460">
        <f>SUM(EI110:EM110)*1000</f>
        <v>88.518251489780525</v>
      </c>
      <c r="EQ110" s="173">
        <f t="shared" ref="EQ110:EQ173" si="418">Vfwd2*CJ110</f>
        <v>6.9999999999999996E-10</v>
      </c>
      <c r="ER110" s="173">
        <f t="shared" ref="ER110:ER141" si="419">Vfwd22*CK110*(1+Diode_TC/1000*(Ta-25))</f>
        <v>4.3399999999999998E-4</v>
      </c>
      <c r="ES110" s="528"/>
      <c r="EU110" s="460">
        <f t="shared" ref="EU110:EU169" si="420">SUM(EQ110:ET110)*1000</f>
        <v>0.43400070000000002</v>
      </c>
      <c r="EV110" s="528">
        <f t="shared" ref="EV110:EV173" si="421">Rdcr_pri*EE110^2</f>
        <v>1.3168724279835391E-2</v>
      </c>
      <c r="EW110" s="528">
        <f t="shared" ref="EW110:EW173" si="422">Rdcr_sec*EF110^2</f>
        <v>3.9349692628156269E-3</v>
      </c>
      <c r="EX110" s="528">
        <f t="shared" ref="EX110:EX173" si="423">Rdcr_sec2*EG110^2</f>
        <v>4.0996978625568284E-4</v>
      </c>
      <c r="EY110" s="528">
        <f t="shared" ref="EY110:EY173" si="424">DM110^2.5*DQ110^2.5*k_core</f>
        <v>1.026400478559336E-2</v>
      </c>
      <c r="EZ110" s="528"/>
      <c r="FA110" s="625">
        <f t="shared" ref="FA110:FA173" si="425">0.5*Lleak*0.000000001*DM110^2*DQ110*1000</f>
        <v>4.4444444444444446E-2</v>
      </c>
      <c r="FB110" s="460">
        <f t="shared" ref="FB110:FB169" si="426">SUM(EV110:FA110)*1000</f>
        <v>72.222112558944502</v>
      </c>
      <c r="FC110" s="173">
        <f t="shared" ref="FC110:FC173" si="427">SUM(EI110:EM110,EQ110:ET110,EV110:FA110)</f>
        <v>0.16117436474872504</v>
      </c>
      <c r="FD110" s="5">
        <f t="shared" ref="FD110:FD173" si="428">MIN(CL110+CM110,CS110+CT110)</f>
        <v>6.00017E-3</v>
      </c>
      <c r="FE110" s="173">
        <f t="shared" ref="FE110:FE173" si="429">FD110/(FD110+FC110)</f>
        <v>3.589165065731257E-2</v>
      </c>
      <c r="FF110" s="5">
        <f t="shared" ref="FF110:FF173" si="430">FE110*100</f>
        <v>3.5891650657312568</v>
      </c>
      <c r="FG110">
        <f t="shared" ref="FG110:FG173" si="431">CJ110/Iout*100</f>
        <v>1.666666666666667E-7</v>
      </c>
      <c r="FI110" s="562">
        <f t="shared" ref="FI110:FI173" si="432">IF(ABS(CJ110-Ioutmax_Vinmin)&lt;Iout/200, DQ110, -50)</f>
        <v>-50</v>
      </c>
      <c r="FJ110">
        <f t="shared" ref="FJ110:FJ173" si="433">IF(ABS(CJ110-Ioutmax_Vinmin)&lt;Iout/200, (CS110+CT110)*FE110, -50)</f>
        <v>-50</v>
      </c>
    </row>
    <row r="111" spans="5:169">
      <c r="E111" s="170">
        <v>1</v>
      </c>
      <c r="F111" s="217">
        <f t="shared" ref="F111:F142" si="434">IF(PLOT_TYPE=1, E111/100*Iout_max, min_I*EXP(O111*rr/100))</f>
        <v>6.0000000000000001E-3</v>
      </c>
      <c r="G111" s="217">
        <f t="shared" si="313"/>
        <v>5.0000000000000001E-3</v>
      </c>
      <c r="H111" s="217">
        <f t="shared" si="314"/>
        <v>1.02</v>
      </c>
      <c r="I111" s="217">
        <f t="shared" si="315"/>
        <v>0.06</v>
      </c>
      <c r="J111" s="541">
        <f t="shared" si="316"/>
        <v>8.4338224434052194</v>
      </c>
      <c r="K111" s="443">
        <f t="shared" si="317"/>
        <v>8.5386430156699316</v>
      </c>
      <c r="L111" s="172">
        <f t="shared" si="318"/>
        <v>16.972465459075153</v>
      </c>
      <c r="M111" s="443"/>
      <c r="N111" s="217">
        <f t="shared" si="319"/>
        <v>0.50308795951058083</v>
      </c>
      <c r="O111" s="172">
        <f t="shared" si="320"/>
        <v>133.57449427178452</v>
      </c>
      <c r="P111" s="172">
        <f t="shared" si="321"/>
        <v>7.8573231924579128</v>
      </c>
      <c r="Q111" s="217">
        <f t="shared" si="322"/>
        <v>0.78573231924579123</v>
      </c>
      <c r="R111" s="217">
        <f t="shared" si="323"/>
        <v>11.131207855982042</v>
      </c>
      <c r="S111" s="217">
        <f t="shared" si="324"/>
        <v>170</v>
      </c>
      <c r="T111" s="217">
        <f t="shared" si="325"/>
        <v>0.50907922482296764</v>
      </c>
      <c r="U111" s="217">
        <f t="shared" si="326"/>
        <v>3.0180812332671246E-2</v>
      </c>
      <c r="V111" s="217">
        <f t="shared" si="327"/>
        <v>2.9810312006762468E-2</v>
      </c>
      <c r="W111" s="197">
        <f t="shared" si="328"/>
        <v>350</v>
      </c>
      <c r="X111" s="443">
        <f t="shared" ref="X111:X174" si="435">MIN(1/(U111+V111+0.2)*1000, 350)</f>
        <v>350</v>
      </c>
      <c r="Z111" s="217">
        <f t="shared" si="329"/>
        <v>24.245454422441561</v>
      </c>
      <c r="AA111" s="173">
        <f t="shared" si="330"/>
        <v>1.4197486871126259</v>
      </c>
      <c r="AB111" s="173">
        <f t="shared" si="331"/>
        <v>0.28446331931114854</v>
      </c>
      <c r="AC111" s="173"/>
      <c r="AD111" s="173">
        <f t="shared" si="332"/>
        <v>0.78076418635047107</v>
      </c>
      <c r="AE111" s="545">
        <f t="shared" si="333"/>
        <v>24.410473562444633</v>
      </c>
      <c r="AF111" s="528">
        <f t="shared" si="334"/>
        <v>8.6028646458987085E-2</v>
      </c>
      <c r="AH111" s="173">
        <f t="shared" si="335"/>
        <v>3.5132402626147199</v>
      </c>
      <c r="AI111" s="173">
        <f t="shared" si="336"/>
        <v>13.333333333333334</v>
      </c>
      <c r="AJ111" s="173">
        <f t="shared" si="337"/>
        <v>1.0139488420356826</v>
      </c>
      <c r="AL111" s="545">
        <f t="shared" si="338"/>
        <v>6</v>
      </c>
      <c r="AM111" s="460">
        <f t="shared" si="339"/>
        <v>24.410473562444633</v>
      </c>
      <c r="AO111" s="460">
        <f t="shared" si="340"/>
        <v>6</v>
      </c>
      <c r="AP111" s="460">
        <f t="shared" si="341"/>
        <v>24.410473562444633</v>
      </c>
      <c r="AR111" s="5">
        <f t="shared" si="275"/>
        <v>40.966022123327178</v>
      </c>
      <c r="AS111" s="5">
        <f>L*AI111/J111*1000000</f>
        <v>0.79046798902905879</v>
      </c>
      <c r="AT111" s="5">
        <f>AR111-AS111</f>
        <v>40.175554134298118</v>
      </c>
      <c r="AU111" s="173">
        <f>AS111/AR111</f>
        <v>1.9295697948152613E-2</v>
      </c>
      <c r="AW111" s="5">
        <f t="shared" si="342"/>
        <v>2.7898870201025607E-3</v>
      </c>
      <c r="AX111" s="5">
        <f t="shared" si="343"/>
        <v>3.2936166209544114E-2</v>
      </c>
      <c r="AY111" s="5">
        <f t="shared" si="344"/>
        <v>7.774233425846413</v>
      </c>
      <c r="AZ111" s="5"/>
      <c r="BA111" s="173">
        <f t="shared" si="345"/>
        <v>1.0693216388430249</v>
      </c>
      <c r="BB111" s="173">
        <f t="shared" si="346"/>
        <v>0.35999259714800297</v>
      </c>
      <c r="BC111" s="173">
        <f t="shared" si="347"/>
        <v>0.28462592095027384</v>
      </c>
      <c r="BD111" s="173"/>
      <c r="BE111" s="528">
        <f t="shared" si="348"/>
        <v>4.5737950691917301E-2</v>
      </c>
      <c r="BF111" s="528">
        <f t="shared" si="349"/>
        <v>0.12429177581347761</v>
      </c>
      <c r="BG111" s="528">
        <f t="shared" si="350"/>
        <v>8.2349439914038113E-3</v>
      </c>
      <c r="BH111" s="528">
        <f t="shared" si="351"/>
        <v>1.4063585812275744E-3</v>
      </c>
      <c r="BI111">
        <f t="shared" si="352"/>
        <v>3.7952200995323487E-3</v>
      </c>
      <c r="BJ111" s="460">
        <f t="shared" ref="BJ111:BJ174" si="436">(BG111+BI111)*1000</f>
        <v>12.030164090936161</v>
      </c>
      <c r="BK111">
        <f t="shared" si="353"/>
        <v>0.1858045322572893</v>
      </c>
      <c r="BL111" s="460">
        <f t="shared" ref="BL111:BL174" si="437">SUM(BE111:BI111)*1000</f>
        <v>183.46624917755864</v>
      </c>
      <c r="BM111" s="173">
        <f t="shared" si="354"/>
        <v>5.208E-3</v>
      </c>
      <c r="BN111" s="173">
        <f t="shared" si="355"/>
        <v>4.3399999999999992E-3</v>
      </c>
      <c r="BO111" s="528"/>
      <c r="BQ111" s="460">
        <f t="shared" si="356"/>
        <v>9.548</v>
      </c>
      <c r="BR111" s="528">
        <f t="shared" si="357"/>
        <v>3.4303463018937976E-2</v>
      </c>
      <c r="BS111" s="528">
        <f t="shared" si="358"/>
        <v>3.8878401000409304E-3</v>
      </c>
      <c r="BT111" s="528">
        <f t="shared" si="359"/>
        <v>4.0505957438395765E-4</v>
      </c>
      <c r="BU111" s="528">
        <f t="shared" si="360"/>
        <v>9.555586712199382E-2</v>
      </c>
      <c r="BV111" s="528"/>
      <c r="BW111" s="625">
        <f t="shared" si="361"/>
        <v>0.10849099361086505</v>
      </c>
      <c r="BX111" s="460">
        <f t="shared" si="362"/>
        <v>242.64322342622174</v>
      </c>
      <c r="BY111" s="173">
        <f t="shared" si="363"/>
        <v>0.43565747260378035</v>
      </c>
      <c r="BZ111" s="5">
        <f t="shared" si="364"/>
        <v>1.08</v>
      </c>
      <c r="CA111" s="173">
        <f t="shared" si="365"/>
        <v>0.71256205278666618</v>
      </c>
      <c r="CB111" s="5">
        <f t="shared" si="366"/>
        <v>71.256205278666613</v>
      </c>
      <c r="CC111">
        <f t="shared" si="367"/>
        <v>1</v>
      </c>
      <c r="CE111" s="562">
        <f t="shared" si="368"/>
        <v>-50</v>
      </c>
      <c r="CF111">
        <f t="shared" si="369"/>
        <v>-50</v>
      </c>
      <c r="CG111" s="173">
        <f t="shared" si="370"/>
        <v>1.8532707265040232E-2</v>
      </c>
      <c r="CH111" s="173">
        <f t="shared" si="371"/>
        <v>4.6118882334287752E-3</v>
      </c>
      <c r="CI111" s="170">
        <v>1</v>
      </c>
      <c r="CJ111" s="217">
        <f t="shared" ref="CJ111:CJ174" si="438">IF(PLOT_TYPE=1, CI111/100*Iout_max, min_I*EXP(CS111*rr/100))</f>
        <v>6.0000000000000001E-3</v>
      </c>
      <c r="CK111" s="217">
        <f t="shared" si="372"/>
        <v>5.0000000000000001E-3</v>
      </c>
      <c r="CL111" s="217">
        <f t="shared" si="373"/>
        <v>1.02</v>
      </c>
      <c r="CM111" s="217">
        <f t="shared" si="374"/>
        <v>0.06</v>
      </c>
      <c r="CN111" s="541">
        <f t="shared" si="375"/>
        <v>9</v>
      </c>
      <c r="CO111" s="443">
        <f t="shared" si="376"/>
        <v>8.5350000000000001</v>
      </c>
      <c r="CP111" s="443">
        <f t="shared" si="377"/>
        <v>17.535</v>
      </c>
      <c r="CQ111" s="443"/>
      <c r="CR111" s="217">
        <f t="shared" si="378"/>
        <v>0.48644793152639093</v>
      </c>
      <c r="CS111" s="172">
        <f t="shared" si="379"/>
        <v>137.82691393247745</v>
      </c>
      <c r="CT111" s="172">
        <f t="shared" si="380"/>
        <v>8.1074655254398493</v>
      </c>
      <c r="CU111" s="217">
        <f t="shared" si="381"/>
        <v>0.81074655254398498</v>
      </c>
      <c r="CV111" s="217">
        <f t="shared" si="382"/>
        <v>11.485576161039788</v>
      </c>
      <c r="CW111" s="217">
        <f t="shared" si="383"/>
        <v>170</v>
      </c>
      <c r="CX111" s="217">
        <f t="shared" si="384"/>
        <v>0.49337243401759528</v>
      </c>
      <c r="CY111" s="217">
        <f t="shared" si="385"/>
        <v>2.7409579667644179E-2</v>
      </c>
      <c r="CZ111" s="217">
        <f t="shared" si="386"/>
        <v>2.890289595885151E-2</v>
      </c>
      <c r="DA111" s="197">
        <f t="shared" si="387"/>
        <v>350</v>
      </c>
      <c r="DB111" s="443">
        <f t="shared" si="388"/>
        <v>350</v>
      </c>
      <c r="DD111" s="217">
        <f t="shared" si="389"/>
        <v>25.032384211169504</v>
      </c>
      <c r="DE111" s="173">
        <f t="shared" si="390"/>
        <v>1.4664548454112187</v>
      </c>
      <c r="DF111" s="173">
        <f t="shared" si="391"/>
        <v>0.30335794952229944</v>
      </c>
      <c r="DG111" s="173"/>
      <c r="DH111" s="173">
        <f t="shared" si="392"/>
        <v>0.78109744190587771</v>
      </c>
      <c r="DI111" s="545">
        <f t="shared" si="393"/>
        <v>24.400058823529417</v>
      </c>
      <c r="DJ111" s="528">
        <f t="shared" si="394"/>
        <v>8.6065366284073561E-2</v>
      </c>
      <c r="DL111" s="173">
        <f t="shared" si="395"/>
        <v>3.5132402626147199</v>
      </c>
      <c r="DM111" s="173">
        <f t="shared" si="396"/>
        <v>13.333333333333334</v>
      </c>
      <c r="DN111" s="173">
        <f t="shared" si="397"/>
        <v>1.0139428907563026</v>
      </c>
      <c r="DP111" s="545">
        <f t="shared" si="398"/>
        <v>6</v>
      </c>
      <c r="DQ111" s="460">
        <f t="shared" si="399"/>
        <v>24.400058823529417</v>
      </c>
      <c r="DS111" s="460">
        <f t="shared" si="400"/>
        <v>6</v>
      </c>
      <c r="DT111" s="460">
        <f t="shared" si="401"/>
        <v>24.400058823529417</v>
      </c>
      <c r="DV111" s="5">
        <f t="shared" si="402"/>
        <v>40.98350775432074</v>
      </c>
      <c r="DW111" s="5">
        <f t="shared" si="403"/>
        <v>0.7407407407407407</v>
      </c>
      <c r="DX111" s="5">
        <f t="shared" si="404"/>
        <v>40.24276701358</v>
      </c>
      <c r="DY111" s="173">
        <f t="shared" si="405"/>
        <v>1.8074117647058824E-2</v>
      </c>
      <c r="EA111" s="5">
        <f t="shared" si="406"/>
        <v>2.6143790849673205E-3</v>
      </c>
      <c r="EB111" s="5">
        <f t="shared" si="407"/>
        <v>3.0864197530864199E-2</v>
      </c>
      <c r="EC111" s="5">
        <f t="shared" si="408"/>
        <v>7.2973550851291735</v>
      </c>
      <c r="ED111" s="5"/>
      <c r="EE111" s="173">
        <f t="shared" si="409"/>
        <v>1.0349197183982011</v>
      </c>
      <c r="EF111" s="173">
        <f t="shared" si="410"/>
        <v>0.36021673351949263</v>
      </c>
      <c r="EG111" s="173">
        <f t="shared" si="411"/>
        <v>0.28480313298646315</v>
      </c>
      <c r="EH111" s="173"/>
      <c r="EI111" s="528">
        <f t="shared" si="412"/>
        <v>4.2842352941176477E-2</v>
      </c>
      <c r="EJ111" s="528">
        <f t="shared" si="413"/>
        <v>0.1568801782058824</v>
      </c>
      <c r="EK111" s="528">
        <f t="shared" si="414"/>
        <v>4.8800117647058829E-3</v>
      </c>
      <c r="EL111" s="528">
        <f t="shared" si="415"/>
        <v>1.5004875953673531E-3</v>
      </c>
      <c r="EM111">
        <f t="shared" si="416"/>
        <v>4.0499999999999998E-3</v>
      </c>
      <c r="EN111" s="460">
        <f t="shared" si="417"/>
        <v>8.930011764705883</v>
      </c>
      <c r="EP111" s="460">
        <f t="shared" ref="EP111:EP174" si="439">SUM(EI111:EM111)*1000</f>
        <v>210.15303050713212</v>
      </c>
      <c r="EQ111" s="173">
        <f t="shared" si="418"/>
        <v>4.1999999999999997E-3</v>
      </c>
      <c r="ER111" s="173">
        <f t="shared" si="419"/>
        <v>4.3399999999999992E-3</v>
      </c>
      <c r="ES111" s="528"/>
      <c r="EU111" s="460">
        <f t="shared" si="420"/>
        <v>8.5399999999999991</v>
      </c>
      <c r="EV111" s="528">
        <f t="shared" si="421"/>
        <v>3.2131764705882353E-2</v>
      </c>
      <c r="EW111" s="528">
        <f t="shared" si="422"/>
        <v>3.8926828532235952E-3</v>
      </c>
      <c r="EX111" s="528">
        <f t="shared" si="423"/>
        <v>4.0556412279452511E-4</v>
      </c>
      <c r="EY111" s="528">
        <f t="shared" si="424"/>
        <v>9.5453977355342542E-2</v>
      </c>
      <c r="EZ111" s="528"/>
      <c r="FA111" s="625">
        <f t="shared" si="425"/>
        <v>0.10844470588235297</v>
      </c>
      <c r="FB111" s="460">
        <f t="shared" si="426"/>
        <v>240.32869491959599</v>
      </c>
      <c r="FC111" s="173">
        <f t="shared" si="427"/>
        <v>0.45902172542672814</v>
      </c>
      <c r="FD111" s="5">
        <f t="shared" si="428"/>
        <v>1.08</v>
      </c>
      <c r="FE111" s="173">
        <f t="shared" si="429"/>
        <v>0.70174447972821563</v>
      </c>
      <c r="FF111" s="5">
        <f t="shared" si="430"/>
        <v>70.174447972821568</v>
      </c>
      <c r="FG111">
        <f t="shared" si="431"/>
        <v>1</v>
      </c>
      <c r="FI111" s="562">
        <f t="shared" si="432"/>
        <v>-50</v>
      </c>
      <c r="FJ111">
        <f t="shared" si="433"/>
        <v>-50</v>
      </c>
    </row>
    <row r="112" spans="5:169">
      <c r="E112" s="170">
        <v>3</v>
      </c>
      <c r="F112" s="217">
        <f>IF(PLOT_TYPE=1, E112/100*Iout_max, min_I*EXP(O112*rr/100))</f>
        <v>1.7999999999999999E-2</v>
      </c>
      <c r="G112" s="217">
        <f>IF(PLOT_TYPE=1, E112/100*Iout2, min_I*EXP(Q112*rr/100))</f>
        <v>1.4999999999999999E-2</v>
      </c>
      <c r="H112" s="217">
        <f>F112*Vout</f>
        <v>3.0599999999999996</v>
      </c>
      <c r="I112" s="217">
        <f>Vout2*G112</f>
        <v>0.18</v>
      </c>
      <c r="J112" s="541">
        <f>VIN_min-(F112/CG112/Nps+G112/CH112/(Nps/Nsec1sec2))*(Rdcr_pri+RON/1000)</f>
        <v>8.4338224434052194</v>
      </c>
      <c r="K112" s="443">
        <f t="shared" si="317"/>
        <v>8.5386430156699316</v>
      </c>
      <c r="L112" s="172">
        <f t="shared" si="318"/>
        <v>16.972465459075153</v>
      </c>
      <c r="M112" s="443"/>
      <c r="N112" s="217">
        <f t="shared" si="319"/>
        <v>0.50308795951058083</v>
      </c>
      <c r="O112" s="172">
        <f>N112*J112*Isw_max*0.5*Efficiency*Pout/(Pout+Pout2)</f>
        <v>133.57449427178452</v>
      </c>
      <c r="P112" s="172">
        <f>N112*J112*Isw_max*0.5*Efficiency*(Pout2/Pout_total)</f>
        <v>7.8573231924579128</v>
      </c>
      <c r="Q112" s="217">
        <f>O112/Vout</f>
        <v>0.78573231924579123</v>
      </c>
      <c r="R112" s="217">
        <f>O112/Vout2</f>
        <v>11.131207855982042</v>
      </c>
      <c r="S112" s="217">
        <f>MIN(Vout,O112/F112)</f>
        <v>170</v>
      </c>
      <c r="T112" s="217">
        <f>MIN(2*(Vout*F112+Vout2*G112)/(Efficiency*J112*N112), Isw_max)</f>
        <v>1.5272376744689029</v>
      </c>
      <c r="U112" s="217">
        <f>L*T112/J112*1000000</f>
        <v>9.0542436998013745E-2</v>
      </c>
      <c r="V112" s="217">
        <f>L*T112/K112*1000000</f>
        <v>8.9430936020287385E-2</v>
      </c>
      <c r="W112" s="197">
        <f>IF(1/((350000*L)*(1/J112+1/K112))&gt;Isw_min, 350, 0.001/((Isw_min*L)*(1/J112+1/K112)))</f>
        <v>350</v>
      </c>
      <c r="X112" s="443">
        <f t="shared" si="435"/>
        <v>350</v>
      </c>
      <c r="Z112" s="217">
        <f>1/((W112*1000*L)*(1/J112+1/K112))</f>
        <v>24.245454422441561</v>
      </c>
      <c r="AA112" s="173">
        <f>L*Z112/K112*1000000</f>
        <v>1.4197486871126259</v>
      </c>
      <c r="AB112" s="173">
        <f>0.5*AA112*Z112*Nps*W112/1000*(Pout/(Pout+Pout2))</f>
        <v>0.28446331931114854</v>
      </c>
      <c r="AC112" s="173"/>
      <c r="AD112" s="173">
        <f>L*Isw_min/K112*1000000</f>
        <v>0.78076418635047107</v>
      </c>
      <c r="AE112" s="545">
        <f>MAX(10, F112/(0.5*AD112/1000000*Isw_min*Nps)/1000*Pout_total/Pout)</f>
        <v>73.231420687333895</v>
      </c>
      <c r="AF112" s="528">
        <f>0.5*AD112/1000000*Isw_min*Nps*W112*1000*(Pout/Pout_total)</f>
        <v>8.6028646458987085E-2</v>
      </c>
      <c r="AH112" s="173">
        <f>SQRT((H112+I112)/(0.5*L*Fsw_DCM))</f>
        <v>6.0851106340453187</v>
      </c>
      <c r="AI112" s="173">
        <f>MAX(IF(F112&gt;AB112,T112,AH112),Isw_min)</f>
        <v>13.333333333333334</v>
      </c>
      <c r="AJ112" s="173">
        <f>IF(F112&gt;AF112, (AI112-Isw_min)/1.08*0.8+1.2, AE112*0.2/350+1)</f>
        <v>1.041846526107048</v>
      </c>
      <c r="AL112" s="545">
        <f>F112*1000</f>
        <v>18</v>
      </c>
      <c r="AM112" s="460">
        <f>IF(F112&gt;AF112, X112, AE112)</f>
        <v>73.231420687333895</v>
      </c>
      <c r="AO112" s="460">
        <f>IF(H112&gt;O112, "",AL112)</f>
        <v>18</v>
      </c>
      <c r="AP112" s="460">
        <f>IF(H112&gt;O112, "",AM112)</f>
        <v>73.231420687333895</v>
      </c>
      <c r="AR112" s="5">
        <f>1/AM112*1000</f>
        <v>13.655340707775727</v>
      </c>
      <c r="AS112" s="5">
        <f>L*AI112/J112*1000000</f>
        <v>0.79046798902905879</v>
      </c>
      <c r="AT112" s="5">
        <f>AR112-AS112</f>
        <v>12.864872718746668</v>
      </c>
      <c r="AU112" s="173">
        <f>AS112/AR112</f>
        <v>5.7887093844457838E-2</v>
      </c>
      <c r="AW112" s="5">
        <f>F112*AS112/Vout_ripple*1000</f>
        <v>8.3696610603076812E-3</v>
      </c>
      <c r="AX112" s="5">
        <f>G112*AS112/Vout_ripple2*1000</f>
        <v>9.8808498628632349E-2</v>
      </c>
      <c r="AY112" s="5">
        <f>H112/Efficiency/J112*AT112/Vinripple1</f>
        <v>7.4683119372800588</v>
      </c>
      <c r="AZ112" s="5"/>
      <c r="BA112" s="173">
        <f>AI112*SQRT(AU112/3)</f>
        <v>1.8521194081089365</v>
      </c>
      <c r="BB112" s="173">
        <f>AI112*Npri_sec1*SQRT((1-AU112)/3)*(Pout/Pout_total)</f>
        <v>0.35283853200257215</v>
      </c>
      <c r="BC112" s="173">
        <f>AI112*Npri_sec2*SQRT((1-AU112)/3)*(Pout2/Pout_total)</f>
        <v>0.27896960357961587</v>
      </c>
      <c r="BD112" s="173"/>
      <c r="BE112" s="528">
        <f>Rdson*BA112^2</f>
        <v>0.1372138520757519</v>
      </c>
      <c r="BF112" s="528">
        <f t="shared" si="349"/>
        <v>0.37287532744043289</v>
      </c>
      <c r="BG112" s="528">
        <f t="shared" si="350"/>
        <v>2.4704831974211434E-2</v>
      </c>
      <c r="BH112" s="528">
        <f>0.5*(Coss+Csw)*L112^2*AM112*1000</f>
        <v>4.2190757436827231E-3</v>
      </c>
      <c r="BI112">
        <f>J112*IQ</f>
        <v>3.7952200995323487E-3</v>
      </c>
      <c r="BJ112" s="460">
        <f>(BG112+BI112)*1000</f>
        <v>28.500052073743785</v>
      </c>
      <c r="BK112">
        <f t="shared" si="353"/>
        <v>0.56993709076712562</v>
      </c>
      <c r="BL112" s="460">
        <f>SUM(BE112:BI112)*1000</f>
        <v>542.80830733361142</v>
      </c>
      <c r="BM112" s="173">
        <f t="shared" si="354"/>
        <v>1.5623999999999997E-2</v>
      </c>
      <c r="BN112" s="173">
        <f t="shared" si="355"/>
        <v>1.3019999999999999E-2</v>
      </c>
      <c r="BO112" s="528"/>
      <c r="BQ112" s="460">
        <f>SUM(BM112:BP112)*1000</f>
        <v>28.643999999999995</v>
      </c>
      <c r="BR112" s="528">
        <f>Rdcr_pri*BA112^2</f>
        <v>0.10291038905681391</v>
      </c>
      <c r="BS112" s="528">
        <f>Rdcr_sec*BB112^2</f>
        <v>3.734850889971904E-3</v>
      </c>
      <c r="BT112" s="528">
        <f>Rdcr_sec2*BC112^2</f>
        <v>3.8912019860684008E-4</v>
      </c>
      <c r="BU112" s="528">
        <f>AI112^2.5*AM112^2.5*k_core</f>
        <v>1.4895685513493453</v>
      </c>
      <c r="BV112" s="528"/>
      <c r="BW112" s="625">
        <f>0.5*Lleak*0.000000001*AI112^2*AM112*1000</f>
        <v>0.32547298083259513</v>
      </c>
      <c r="BX112" s="460">
        <f>SUM(BR112:BW112)*1000</f>
        <v>1922.0758923273331</v>
      </c>
      <c r="BY112" s="173">
        <f>SUM(BE112:BI112,BM112:BP112,BR112:BW112)</f>
        <v>2.4935281996609446</v>
      </c>
      <c r="BZ112" s="5">
        <f>MIN(H112+I112,O112+P112)</f>
        <v>3.2399999999999998</v>
      </c>
      <c r="CA112" s="173">
        <f>BZ112/(BZ112+BY112)</f>
        <v>0.56509707237362139</v>
      </c>
      <c r="CB112" s="5">
        <f>CA112*100</f>
        <v>56.509707237362136</v>
      </c>
      <c r="CC112">
        <f>F112/Iout*100</f>
        <v>3</v>
      </c>
      <c r="CE112" s="562">
        <f>IF(ABS(F112-Ioutmax_Vinmin)&lt;Iout/200, AM112, -50)</f>
        <v>-50</v>
      </c>
      <c r="CF112">
        <f>IF(ABS(F112-Ioutmax_Vinmin)&lt;Iout/200, (O112+P112)*CA112, -50)</f>
        <v>-50</v>
      </c>
      <c r="CG112" s="173">
        <f>MIN(SQRT(2*DT112*1000*Ls1_*(CL112+CJ112*Vfwd1))/(CW112+Vfwd1), 1-DY112)</f>
        <v>5.5598121795120692E-2</v>
      </c>
      <c r="CH112" s="173">
        <f t="shared" si="371"/>
        <v>1.3835664700286326E-2</v>
      </c>
      <c r="CI112" s="170">
        <v>3</v>
      </c>
      <c r="CJ112" s="217">
        <f>IF(PLOT_TYPE=1, CI112/100*Iout_max, min_I*EXP(CS112*rr/100))</f>
        <v>1.7999999999999999E-2</v>
      </c>
      <c r="CK112" s="217">
        <f>IF(PLOT_TYPE=1, CI112/100*Iout2, min_I*EXP(CU112*rr/100))</f>
        <v>1.4999999999999999E-2</v>
      </c>
      <c r="CL112" s="217">
        <f>CJ112*Vout</f>
        <v>3.0599999999999996</v>
      </c>
      <c r="CM112" s="217">
        <f>Vout2*CK112</f>
        <v>0.18</v>
      </c>
      <c r="CN112" s="541">
        <f t="shared" si="375"/>
        <v>9</v>
      </c>
      <c r="CO112" s="443">
        <f t="shared" si="376"/>
        <v>8.5350000000000001</v>
      </c>
      <c r="CP112" s="443">
        <f t="shared" si="377"/>
        <v>17.535</v>
      </c>
      <c r="CQ112" s="443"/>
      <c r="CR112" s="217">
        <f>(Vout+Vfwd1)*Nps/((Vout+Vfwd1)*Nps+CN112)</f>
        <v>0.48644793152639093</v>
      </c>
      <c r="CS112" s="172">
        <f>CR112*CN112*Isw_max*0.5*Efficiency*Pout/(Pout+Pout2)</f>
        <v>137.82691393247745</v>
      </c>
      <c r="CT112" s="172">
        <f>CR112*CN112*Isw_max*0.5*Efficiency*(Pout2/Pout_total)</f>
        <v>8.1074655254398493</v>
      </c>
      <c r="CU112" s="217">
        <f>CS112/Vout</f>
        <v>0.81074655254398498</v>
      </c>
      <c r="CV112" s="217">
        <f>CS112/Vout2</f>
        <v>11.485576161039788</v>
      </c>
      <c r="CW112" s="217">
        <f>MIN(Vout,CS112/CJ112)</f>
        <v>170</v>
      </c>
      <c r="CX112" s="217">
        <f>MIN(2*(Vout*CJ112+Vout2*CK112)/(Efficiency*CN112*CR112), Isw_max)</f>
        <v>1.4801173020527858</v>
      </c>
      <c r="CY112" s="217">
        <f>L*CX112/CN112*1000000</f>
        <v>8.2228739002932538E-2</v>
      </c>
      <c r="CZ112" s="217">
        <f>L*CX112/CO112*1000000</f>
        <v>8.6708687876554516E-2</v>
      </c>
      <c r="DA112" s="197">
        <f>IF(1/((350000*L)*(1/CN112+1/CO112))&gt;Isw_min, 350, 0.001/((Isw_min*L)*(1/CN112+1/CO112)))</f>
        <v>350</v>
      </c>
      <c r="DB112" s="443">
        <f>MIN(1/(CY112+CZ112)*1000, 350)</f>
        <v>350</v>
      </c>
      <c r="DD112" s="217">
        <f>1/((DA112*1000*L)*(1/CN112+1/CO112))</f>
        <v>25.032384211169504</v>
      </c>
      <c r="DE112" s="173">
        <f>L*DD112/CO112*1000000</f>
        <v>1.4664548454112187</v>
      </c>
      <c r="DF112" s="173">
        <f>0.5*DE112*DD112*Nps*DA112/1000*(Pout/(Pout+Pout2))</f>
        <v>0.30335794952229944</v>
      </c>
      <c r="DG112" s="173"/>
      <c r="DH112" s="173">
        <f>L*Isw_min/CO112*1000000</f>
        <v>0.78109744190587771</v>
      </c>
      <c r="DI112" s="545">
        <f>MAX(10, CJ112/(0.5*DH112/1000000*Isw_min*Nps)/1000*Pout_total/Pout)</f>
        <v>73.200176470588232</v>
      </c>
      <c r="DJ112" s="528">
        <f>0.5*DH112/1000000*Isw_min*Nps*DA112*1000*(Pout/Pout_total)</f>
        <v>8.6065366284073561E-2</v>
      </c>
      <c r="DL112" s="173">
        <f>SQRT((CL112+CM112)/(0.5*L*Fsw_DCM))</f>
        <v>6.0851106340453187</v>
      </c>
      <c r="DM112" s="173">
        <f>MAX(IF(CJ112&gt;DF112,CX112,DL112),Isw_min)</f>
        <v>13.333333333333334</v>
      </c>
      <c r="DN112" s="173">
        <f>IF(CJ112&gt;DJ112, (DM112-Isw_min)/1.08*0.8+1.2, DI112*0.2/350+1)</f>
        <v>1.0418286722689076</v>
      </c>
      <c r="DP112" s="545">
        <f>CJ112*1000</f>
        <v>18</v>
      </c>
      <c r="DQ112" s="460">
        <f>IF(CJ112&gt;DJ112, DB112, DI112)</f>
        <v>73.200176470588232</v>
      </c>
      <c r="DS112" s="460">
        <f>IF(CL112&gt;CS112, "",DP112)</f>
        <v>18</v>
      </c>
      <c r="DT112" s="460">
        <f>IF(CL112&gt;CS112, "",DQ112)</f>
        <v>73.200176470588232</v>
      </c>
      <c r="DV112" s="5">
        <f>1/DQ112*1000</f>
        <v>13.661169251440249</v>
      </c>
      <c r="DW112" s="5">
        <f>L*DM112/CN112*1000000</f>
        <v>0.7407407407407407</v>
      </c>
      <c r="DX112" s="5">
        <f>DV112-DW112</f>
        <v>12.920428510699509</v>
      </c>
      <c r="DY112" s="173">
        <f>DW112/DV112</f>
        <v>5.4222352941176465E-2</v>
      </c>
      <c r="EA112" s="5">
        <f>CJ112*DW112/Vout_ripple*1000</f>
        <v>7.8431372549019589E-3</v>
      </c>
      <c r="EB112" s="5">
        <f>CK112*DW112/Vout_ripple2*1000</f>
        <v>9.2592592592592587E-2</v>
      </c>
      <c r="EC112" s="5">
        <f>CL112/Efficiency/CN112*DX112/Vinripple1</f>
        <v>7.028713109820532</v>
      </c>
      <c r="ED112" s="5"/>
      <c r="EE112" s="173">
        <f>DM112*SQRT(DY112/3)</f>
        <v>1.7925335340205593</v>
      </c>
      <c r="EF112" s="173">
        <f>DM112*Npri_sec1*SQRT((1-DY112)/3)*(Pout/Pout_total)</f>
        <v>0.35352412220949841</v>
      </c>
      <c r="EG112" s="173">
        <f>DM112*Npri_sec2*SQRT((1-DY112)/3)*(Pout2/Pout_total)</f>
        <v>0.2795116612374311</v>
      </c>
      <c r="EH112" s="173"/>
      <c r="EI112" s="528">
        <f>Rdson*EE112^2</f>
        <v>0.12852705882352941</v>
      </c>
      <c r="EJ112" s="528">
        <f>0.5*CP112*DM112*DQ112*1000*Trise</f>
        <v>0.47064053461764704</v>
      </c>
      <c r="EK112" s="528">
        <f>Qg*Vdd*DQ112*1000</f>
        <v>1.4640035294117644E-2</v>
      </c>
      <c r="EL112" s="528">
        <f>0.5*(Coss+Csw)*CP112^2*DQ112*1000</f>
        <v>4.5014627861020588E-3</v>
      </c>
      <c r="EM112">
        <f>CN112*IQ</f>
        <v>4.0499999999999998E-3</v>
      </c>
      <c r="EN112" s="460">
        <f>(EK112+EM112)*1000</f>
        <v>18.690035294117646</v>
      </c>
      <c r="EP112" s="460">
        <f>SUM(EI112:EM112)*1000</f>
        <v>622.35909152139607</v>
      </c>
      <c r="EQ112" s="173">
        <f>Vfwd2*CJ112</f>
        <v>1.2599999999999998E-2</v>
      </c>
      <c r="ER112" s="173">
        <f t="shared" si="419"/>
        <v>1.3019999999999999E-2</v>
      </c>
      <c r="ES112" s="528"/>
      <c r="EU112" s="460">
        <f>SUM(EQ112:ET112)*1000</f>
        <v>25.619999999999997</v>
      </c>
      <c r="EV112" s="528">
        <f>Rdcr_pri*EE112^2</f>
        <v>9.6395294117647051E-2</v>
      </c>
      <c r="EW112" s="528">
        <f>Rdcr_sec*EF112^2</f>
        <v>3.749379149519891E-3</v>
      </c>
      <c r="EX112" s="528">
        <f>Rdcr_sec2*EG112^2</f>
        <v>3.9063384383854221E-4</v>
      </c>
      <c r="EY112" s="528">
        <f>DM112^2.5*DQ112^2.5*k_core</f>
        <v>1.4879802470758379</v>
      </c>
      <c r="EZ112" s="528"/>
      <c r="FA112" s="625">
        <f>0.5*Lleak*0.000000001*DM112^2*DQ112*1000</f>
        <v>0.32533411764705883</v>
      </c>
      <c r="FB112" s="460">
        <f>SUM(EV112:FA112)*1000</f>
        <v>1913.8496718339022</v>
      </c>
      <c r="FC112" s="173">
        <f>SUM(EI112:EM112,EQ112:ET112,EV112:FA112)</f>
        <v>2.5618287633552983</v>
      </c>
      <c r="FD112" s="5">
        <f>MIN(CL112+CM112,CS112+CT112)</f>
        <v>3.2399999999999998</v>
      </c>
      <c r="FE112" s="173">
        <f>FD112/(FD112+FC112)</f>
        <v>0.55844460982096478</v>
      </c>
      <c r="FF112" s="5">
        <f>FE112*100</f>
        <v>55.844460982096479</v>
      </c>
      <c r="FG112">
        <f>CJ112/Iout*100</f>
        <v>3</v>
      </c>
      <c r="FI112" s="562">
        <f>IF(ABS(CJ112-Ioutmax_Vinmin)&lt;Iout/200, DQ112, -50)</f>
        <v>-50</v>
      </c>
      <c r="FJ112">
        <f>IF(ABS(CJ112-Ioutmax_Vinmin)&lt;Iout/200, (CS112+CT112)*FE112, -50)</f>
        <v>-50</v>
      </c>
    </row>
    <row r="113" spans="5:166">
      <c r="E113" s="170">
        <v>3</v>
      </c>
      <c r="F113" s="217">
        <f t="shared" si="434"/>
        <v>1.7999999999999999E-2</v>
      </c>
      <c r="G113" s="217">
        <f t="shared" si="313"/>
        <v>1.4999999999999999E-2</v>
      </c>
      <c r="H113" s="217">
        <f t="shared" si="314"/>
        <v>3.0599999999999996</v>
      </c>
      <c r="I113" s="217">
        <f t="shared" si="315"/>
        <v>0.18</v>
      </c>
      <c r="J113" s="541">
        <f t="shared" si="316"/>
        <v>8.4338224434052194</v>
      </c>
      <c r="K113" s="443">
        <f t="shared" si="317"/>
        <v>8.5386430156699316</v>
      </c>
      <c r="L113" s="172">
        <f t="shared" si="318"/>
        <v>16.972465459075153</v>
      </c>
      <c r="M113" s="443"/>
      <c r="N113" s="217">
        <f t="shared" si="319"/>
        <v>0.50308795951058083</v>
      </c>
      <c r="O113" s="172">
        <f t="shared" si="320"/>
        <v>133.57449427178452</v>
      </c>
      <c r="P113" s="172">
        <f t="shared" si="321"/>
        <v>7.8573231924579128</v>
      </c>
      <c r="Q113" s="217">
        <f t="shared" si="322"/>
        <v>0.78573231924579123</v>
      </c>
      <c r="R113" s="217">
        <f t="shared" si="323"/>
        <v>11.131207855982042</v>
      </c>
      <c r="S113" s="217">
        <f t="shared" si="324"/>
        <v>170</v>
      </c>
      <c r="T113" s="217">
        <f t="shared" si="325"/>
        <v>1.5272376744689029</v>
      </c>
      <c r="U113" s="217">
        <f t="shared" si="326"/>
        <v>9.0542436998013745E-2</v>
      </c>
      <c r="V113" s="217">
        <f t="shared" si="327"/>
        <v>8.9430936020287385E-2</v>
      </c>
      <c r="W113" s="197">
        <f t="shared" si="328"/>
        <v>350</v>
      </c>
      <c r="X113" s="443">
        <f t="shared" si="435"/>
        <v>350</v>
      </c>
      <c r="Z113" s="217">
        <f t="shared" si="329"/>
        <v>24.245454422441561</v>
      </c>
      <c r="AA113" s="173">
        <f t="shared" si="330"/>
        <v>1.4197486871126259</v>
      </c>
      <c r="AB113" s="173">
        <f t="shared" si="331"/>
        <v>0.28446331931114854</v>
      </c>
      <c r="AC113" s="173"/>
      <c r="AD113" s="173">
        <f t="shared" si="332"/>
        <v>0.78076418635047107</v>
      </c>
      <c r="AE113" s="545">
        <f t="shared" si="333"/>
        <v>73.231420687333895</v>
      </c>
      <c r="AF113" s="528">
        <f t="shared" si="334"/>
        <v>8.6028646458987085E-2</v>
      </c>
      <c r="AH113" s="173">
        <f t="shared" si="335"/>
        <v>6.0851106340453187</v>
      </c>
      <c r="AI113" s="173">
        <f t="shared" si="336"/>
        <v>13.333333333333334</v>
      </c>
      <c r="AJ113" s="173">
        <f t="shared" si="337"/>
        <v>1.041846526107048</v>
      </c>
      <c r="AL113" s="545">
        <f t="shared" si="338"/>
        <v>18</v>
      </c>
      <c r="AM113" s="460">
        <f t="shared" si="339"/>
        <v>73.231420687333895</v>
      </c>
      <c r="AO113" s="460">
        <f t="shared" si="340"/>
        <v>18</v>
      </c>
      <c r="AP113" s="460">
        <f t="shared" si="341"/>
        <v>73.231420687333895</v>
      </c>
      <c r="AR113" s="5">
        <f t="shared" si="275"/>
        <v>13.655340707775727</v>
      </c>
      <c r="AS113" s="5">
        <f>L*AI113/J113*1000000</f>
        <v>0.79046798902905879</v>
      </c>
      <c r="AT113" s="5">
        <f>AR113-AS113</f>
        <v>12.864872718746668</v>
      </c>
      <c r="AU113" s="173">
        <f>AS113/AR113</f>
        <v>5.7887093844457838E-2</v>
      </c>
      <c r="AW113" s="5">
        <f t="shared" si="342"/>
        <v>8.3696610603076812E-3</v>
      </c>
      <c r="AX113" s="5">
        <f t="shared" si="343"/>
        <v>9.8808498628632349E-2</v>
      </c>
      <c r="AY113" s="5">
        <f t="shared" si="344"/>
        <v>7.4683119372800588</v>
      </c>
      <c r="AZ113" s="5"/>
      <c r="BA113" s="173">
        <f t="shared" si="345"/>
        <v>1.8521194081089365</v>
      </c>
      <c r="BB113" s="173">
        <f t="shared" si="346"/>
        <v>0.35283853200257215</v>
      </c>
      <c r="BC113" s="173">
        <f t="shared" si="347"/>
        <v>0.27896960357961587</v>
      </c>
      <c r="BD113" s="173"/>
      <c r="BE113" s="528">
        <f t="shared" si="348"/>
        <v>0.1372138520757519</v>
      </c>
      <c r="BF113" s="528">
        <f t="shared" si="349"/>
        <v>0.37287532744043289</v>
      </c>
      <c r="BG113" s="528">
        <f t="shared" si="350"/>
        <v>2.4704831974211434E-2</v>
      </c>
      <c r="BH113" s="528">
        <f t="shared" si="351"/>
        <v>4.2190757436827231E-3</v>
      </c>
      <c r="BI113">
        <f t="shared" si="352"/>
        <v>3.7952200995323487E-3</v>
      </c>
      <c r="BJ113" s="460">
        <f t="shared" si="436"/>
        <v>28.500052073743785</v>
      </c>
      <c r="BK113">
        <f t="shared" si="353"/>
        <v>0.56993709076712562</v>
      </c>
      <c r="BL113" s="460">
        <f t="shared" si="437"/>
        <v>542.80830733361142</v>
      </c>
      <c r="BM113" s="173">
        <f t="shared" si="354"/>
        <v>1.5623999999999997E-2</v>
      </c>
      <c r="BN113" s="173">
        <f t="shared" si="355"/>
        <v>1.3019999999999999E-2</v>
      </c>
      <c r="BO113" s="528"/>
      <c r="BQ113" s="460">
        <f t="shared" si="356"/>
        <v>28.643999999999995</v>
      </c>
      <c r="BR113" s="528">
        <f t="shared" si="357"/>
        <v>0.10291038905681391</v>
      </c>
      <c r="BS113" s="528">
        <f t="shared" si="358"/>
        <v>3.734850889971904E-3</v>
      </c>
      <c r="BT113" s="528">
        <f t="shared" si="359"/>
        <v>3.8912019860684008E-4</v>
      </c>
      <c r="BU113" s="528">
        <f t="shared" si="360"/>
        <v>1.4895685513493453</v>
      </c>
      <c r="BV113" s="528"/>
      <c r="BW113" s="625">
        <f t="shared" si="361"/>
        <v>0.32547298083259513</v>
      </c>
      <c r="BX113" s="460">
        <f t="shared" si="362"/>
        <v>1922.0758923273331</v>
      </c>
      <c r="BY113" s="173">
        <f t="shared" si="363"/>
        <v>2.4935281996609446</v>
      </c>
      <c r="BZ113" s="5">
        <f t="shared" si="364"/>
        <v>3.2399999999999998</v>
      </c>
      <c r="CA113" s="173">
        <f t="shared" si="365"/>
        <v>0.56509707237362139</v>
      </c>
      <c r="CB113" s="5">
        <f t="shared" si="366"/>
        <v>56.509707237362136</v>
      </c>
      <c r="CC113">
        <f t="shared" si="367"/>
        <v>3</v>
      </c>
      <c r="CE113" s="562">
        <f t="shared" si="368"/>
        <v>-50</v>
      </c>
      <c r="CF113">
        <f t="shared" si="369"/>
        <v>-50</v>
      </c>
      <c r="CG113" s="173">
        <f t="shared" si="370"/>
        <v>5.5598121795120692E-2</v>
      </c>
      <c r="CH113" s="173">
        <f t="shared" si="371"/>
        <v>1.3835664700286326E-2</v>
      </c>
      <c r="CI113" s="170">
        <v>3</v>
      </c>
      <c r="CJ113" s="217">
        <f t="shared" si="438"/>
        <v>1.7999999999999999E-2</v>
      </c>
      <c r="CK113" s="217">
        <f t="shared" si="372"/>
        <v>1.4999999999999999E-2</v>
      </c>
      <c r="CL113" s="217">
        <f t="shared" si="373"/>
        <v>3.0599999999999996</v>
      </c>
      <c r="CM113" s="217">
        <f t="shared" si="374"/>
        <v>0.18</v>
      </c>
      <c r="CN113" s="541">
        <f t="shared" si="375"/>
        <v>9</v>
      </c>
      <c r="CO113" s="443">
        <f t="shared" si="376"/>
        <v>8.5350000000000001</v>
      </c>
      <c r="CP113" s="443">
        <f t="shared" si="377"/>
        <v>17.535</v>
      </c>
      <c r="CQ113" s="443"/>
      <c r="CR113" s="217">
        <f t="shared" si="378"/>
        <v>0.48644793152639093</v>
      </c>
      <c r="CS113" s="172">
        <f t="shared" si="379"/>
        <v>137.82691393247745</v>
      </c>
      <c r="CT113" s="172">
        <f t="shared" si="380"/>
        <v>8.1074655254398493</v>
      </c>
      <c r="CU113" s="217">
        <f t="shared" si="381"/>
        <v>0.81074655254398498</v>
      </c>
      <c r="CV113" s="217">
        <f t="shared" si="382"/>
        <v>11.485576161039788</v>
      </c>
      <c r="CW113" s="217">
        <f t="shared" si="383"/>
        <v>170</v>
      </c>
      <c r="CX113" s="217">
        <f t="shared" si="384"/>
        <v>1.4801173020527858</v>
      </c>
      <c r="CY113" s="217">
        <f t="shared" si="385"/>
        <v>8.2228739002932538E-2</v>
      </c>
      <c r="CZ113" s="217">
        <f t="shared" si="386"/>
        <v>8.6708687876554516E-2</v>
      </c>
      <c r="DA113" s="197">
        <f t="shared" si="387"/>
        <v>350</v>
      </c>
      <c r="DB113" s="443">
        <f t="shared" si="388"/>
        <v>350</v>
      </c>
      <c r="DD113" s="217">
        <f t="shared" si="389"/>
        <v>25.032384211169504</v>
      </c>
      <c r="DE113" s="173">
        <f t="shared" si="390"/>
        <v>1.4664548454112187</v>
      </c>
      <c r="DF113" s="173">
        <f t="shared" si="391"/>
        <v>0.30335794952229944</v>
      </c>
      <c r="DG113" s="173"/>
      <c r="DH113" s="173">
        <f t="shared" si="392"/>
        <v>0.78109744190587771</v>
      </c>
      <c r="DI113" s="545">
        <f t="shared" si="393"/>
        <v>73.200176470588232</v>
      </c>
      <c r="DJ113" s="528">
        <f t="shared" si="394"/>
        <v>8.6065366284073561E-2</v>
      </c>
      <c r="DL113" s="173">
        <f t="shared" si="395"/>
        <v>6.0851106340453187</v>
      </c>
      <c r="DM113" s="173">
        <f t="shared" si="396"/>
        <v>13.333333333333334</v>
      </c>
      <c r="DN113" s="173">
        <f t="shared" si="397"/>
        <v>1.0418286722689076</v>
      </c>
      <c r="DP113" s="545">
        <f t="shared" si="398"/>
        <v>18</v>
      </c>
      <c r="DQ113" s="460">
        <f t="shared" si="399"/>
        <v>73.200176470588232</v>
      </c>
      <c r="DS113" s="460">
        <f t="shared" si="400"/>
        <v>18</v>
      </c>
      <c r="DT113" s="460">
        <f t="shared" si="401"/>
        <v>73.200176470588232</v>
      </c>
      <c r="DV113" s="5">
        <f t="shared" si="402"/>
        <v>13.661169251440249</v>
      </c>
      <c r="DW113" s="5">
        <f t="shared" si="403"/>
        <v>0.7407407407407407</v>
      </c>
      <c r="DX113" s="5">
        <f t="shared" si="404"/>
        <v>12.920428510699509</v>
      </c>
      <c r="DY113" s="173">
        <f t="shared" si="405"/>
        <v>5.4222352941176465E-2</v>
      </c>
      <c r="EA113" s="5">
        <f t="shared" si="406"/>
        <v>7.8431372549019589E-3</v>
      </c>
      <c r="EB113" s="5">
        <f t="shared" si="407"/>
        <v>9.2592592592592587E-2</v>
      </c>
      <c r="EC113" s="5">
        <f t="shared" si="408"/>
        <v>7.028713109820532</v>
      </c>
      <c r="ED113" s="5"/>
      <c r="EE113" s="173">
        <f t="shared" si="409"/>
        <v>1.7925335340205593</v>
      </c>
      <c r="EF113" s="173">
        <f t="shared" si="410"/>
        <v>0.35352412220949841</v>
      </c>
      <c r="EG113" s="173">
        <f t="shared" si="411"/>
        <v>0.2795116612374311</v>
      </c>
      <c r="EH113" s="173"/>
      <c r="EI113" s="528">
        <f t="shared" si="412"/>
        <v>0.12852705882352941</v>
      </c>
      <c r="EJ113" s="528">
        <f t="shared" si="413"/>
        <v>0.47064053461764704</v>
      </c>
      <c r="EK113" s="528">
        <f t="shared" si="414"/>
        <v>1.4640035294117644E-2</v>
      </c>
      <c r="EL113" s="528">
        <f t="shared" si="415"/>
        <v>4.5014627861020588E-3</v>
      </c>
      <c r="EM113">
        <f t="shared" si="416"/>
        <v>4.0499999999999998E-3</v>
      </c>
      <c r="EN113" s="460">
        <f t="shared" si="417"/>
        <v>18.690035294117646</v>
      </c>
      <c r="EP113" s="460">
        <f t="shared" si="439"/>
        <v>622.35909152139607</v>
      </c>
      <c r="EQ113" s="173">
        <f t="shared" si="418"/>
        <v>1.2599999999999998E-2</v>
      </c>
      <c r="ER113" s="173">
        <f t="shared" si="419"/>
        <v>1.3019999999999999E-2</v>
      </c>
      <c r="ES113" s="528"/>
      <c r="EU113" s="460">
        <f t="shared" si="420"/>
        <v>25.619999999999997</v>
      </c>
      <c r="EV113" s="528">
        <f t="shared" si="421"/>
        <v>9.6395294117647051E-2</v>
      </c>
      <c r="EW113" s="528">
        <f t="shared" si="422"/>
        <v>3.749379149519891E-3</v>
      </c>
      <c r="EX113" s="528">
        <f t="shared" si="423"/>
        <v>3.9063384383854221E-4</v>
      </c>
      <c r="EY113" s="528">
        <f t="shared" si="424"/>
        <v>1.4879802470758379</v>
      </c>
      <c r="EZ113" s="528"/>
      <c r="FA113" s="625">
        <f t="shared" si="425"/>
        <v>0.32533411764705883</v>
      </c>
      <c r="FB113" s="460">
        <f t="shared" si="426"/>
        <v>1913.8496718339022</v>
      </c>
      <c r="FC113" s="173">
        <f t="shared" si="427"/>
        <v>2.5618287633552983</v>
      </c>
      <c r="FD113" s="5">
        <f t="shared" si="428"/>
        <v>3.2399999999999998</v>
      </c>
      <c r="FE113" s="173">
        <f t="shared" si="429"/>
        <v>0.55844460982096478</v>
      </c>
      <c r="FF113" s="5">
        <f t="shared" si="430"/>
        <v>55.844460982096479</v>
      </c>
      <c r="FG113">
        <f t="shared" si="431"/>
        <v>3</v>
      </c>
      <c r="FI113" s="562">
        <f t="shared" si="432"/>
        <v>-50</v>
      </c>
      <c r="FJ113">
        <f t="shared" si="433"/>
        <v>-50</v>
      </c>
    </row>
    <row r="114" spans="5:166">
      <c r="E114" s="170">
        <v>4</v>
      </c>
      <c r="F114" s="217">
        <f t="shared" si="434"/>
        <v>2.4E-2</v>
      </c>
      <c r="G114" s="217">
        <f t="shared" si="313"/>
        <v>0.02</v>
      </c>
      <c r="H114" s="217">
        <f t="shared" si="314"/>
        <v>4.08</v>
      </c>
      <c r="I114" s="217">
        <f t="shared" si="315"/>
        <v>0.24</v>
      </c>
      <c r="J114" s="541">
        <f t="shared" si="316"/>
        <v>8.4338224434052194</v>
      </c>
      <c r="K114" s="443">
        <f t="shared" si="317"/>
        <v>8.5386430156699316</v>
      </c>
      <c r="L114" s="172">
        <f t="shared" si="318"/>
        <v>16.972465459075153</v>
      </c>
      <c r="M114" s="443"/>
      <c r="N114" s="217">
        <f t="shared" si="319"/>
        <v>0.50308795951058083</v>
      </c>
      <c r="O114" s="172">
        <f t="shared" si="320"/>
        <v>133.57449427178452</v>
      </c>
      <c r="P114" s="172">
        <f t="shared" si="321"/>
        <v>7.8573231924579128</v>
      </c>
      <c r="Q114" s="217">
        <f t="shared" si="322"/>
        <v>0.78573231924579123</v>
      </c>
      <c r="R114" s="217">
        <f t="shared" si="323"/>
        <v>11.131207855982042</v>
      </c>
      <c r="S114" s="217">
        <f t="shared" si="324"/>
        <v>170</v>
      </c>
      <c r="T114" s="217">
        <f t="shared" si="325"/>
        <v>2.0363168992918705</v>
      </c>
      <c r="U114" s="217">
        <f t="shared" si="326"/>
        <v>0.12072324933068498</v>
      </c>
      <c r="V114" s="217">
        <f t="shared" si="327"/>
        <v>0.11924124802704987</v>
      </c>
      <c r="W114" s="197">
        <f t="shared" si="328"/>
        <v>350</v>
      </c>
      <c r="X114" s="443">
        <f t="shared" si="435"/>
        <v>350</v>
      </c>
      <c r="Z114" s="217">
        <f t="shared" si="329"/>
        <v>24.245454422441561</v>
      </c>
      <c r="AA114" s="173">
        <f t="shared" si="330"/>
        <v>1.4197486871126259</v>
      </c>
      <c r="AB114" s="173">
        <f t="shared" si="331"/>
        <v>0.28446331931114854</v>
      </c>
      <c r="AC114" s="173"/>
      <c r="AD114" s="173">
        <f t="shared" si="332"/>
        <v>0.78076418635047107</v>
      </c>
      <c r="AE114" s="545">
        <f t="shared" si="333"/>
        <v>97.641894249778531</v>
      </c>
      <c r="AF114" s="528">
        <f t="shared" si="334"/>
        <v>8.6028646458987085E-2</v>
      </c>
      <c r="AH114" s="173">
        <f t="shared" si="335"/>
        <v>7.0264805252294398</v>
      </c>
      <c r="AI114" s="173">
        <f t="shared" si="336"/>
        <v>13.333333333333334</v>
      </c>
      <c r="AJ114" s="173">
        <f t="shared" si="337"/>
        <v>1.0557953681427306</v>
      </c>
      <c r="AL114" s="545">
        <f t="shared" si="338"/>
        <v>24</v>
      </c>
      <c r="AM114" s="460">
        <f t="shared" si="339"/>
        <v>97.641894249778531</v>
      </c>
      <c r="AO114" s="460">
        <f t="shared" si="340"/>
        <v>24</v>
      </c>
      <c r="AP114" s="460">
        <f t="shared" si="341"/>
        <v>97.641894249778531</v>
      </c>
      <c r="AR114" s="5">
        <f t="shared" si="275"/>
        <v>10.241505530831795</v>
      </c>
      <c r="AS114" s="5">
        <f>L*AI114/J114*1000000</f>
        <v>0.79046798902905879</v>
      </c>
      <c r="AT114" s="5">
        <f>AR114-AS114</f>
        <v>9.4510375418027355</v>
      </c>
      <c r="AU114" s="173">
        <f>AS114/AR114</f>
        <v>7.718279179261045E-2</v>
      </c>
      <c r="AW114" s="5">
        <f t="shared" si="342"/>
        <v>1.1159548080410243E-2</v>
      </c>
      <c r="AX114" s="5">
        <f t="shared" si="343"/>
        <v>0.13174466483817646</v>
      </c>
      <c r="AY114" s="5">
        <f t="shared" si="344"/>
        <v>7.3153511929968831</v>
      </c>
      <c r="AZ114" s="5"/>
      <c r="BA114" s="173">
        <f t="shared" si="345"/>
        <v>2.1386432776860498</v>
      </c>
      <c r="BB114" s="173">
        <f t="shared" si="346"/>
        <v>0.34920654274786</v>
      </c>
      <c r="BC114" s="173">
        <f t="shared" si="347"/>
        <v>0.27609799373348631</v>
      </c>
      <c r="BD114" s="173"/>
      <c r="BE114" s="528">
        <f t="shared" si="348"/>
        <v>0.1829518027676692</v>
      </c>
      <c r="BF114" s="528">
        <f t="shared" si="349"/>
        <v>0.49716710325391045</v>
      </c>
      <c r="BG114" s="528">
        <f t="shared" si="350"/>
        <v>3.2939775965615245E-2</v>
      </c>
      <c r="BH114" s="528">
        <f t="shared" si="351"/>
        <v>5.6254343249102978E-3</v>
      </c>
      <c r="BI114">
        <f t="shared" si="352"/>
        <v>3.7952200995323487E-3</v>
      </c>
      <c r="BJ114" s="460">
        <f t="shared" si="436"/>
        <v>36.734996065147591</v>
      </c>
      <c r="BK114">
        <f t="shared" si="353"/>
        <v>0.76854968088698694</v>
      </c>
      <c r="BL114" s="460">
        <f t="shared" si="437"/>
        <v>722.47933641163752</v>
      </c>
      <c r="BM114" s="173">
        <f t="shared" si="354"/>
        <v>2.0832E-2</v>
      </c>
      <c r="BN114" s="173">
        <f t="shared" si="355"/>
        <v>1.7359999999999997E-2</v>
      </c>
      <c r="BO114" s="528"/>
      <c r="BQ114" s="460">
        <f t="shared" si="356"/>
        <v>38.192</v>
      </c>
      <c r="BR114" s="528">
        <f t="shared" si="357"/>
        <v>0.1372138520757519</v>
      </c>
      <c r="BS114" s="528">
        <f t="shared" si="358"/>
        <v>3.658356284937389E-3</v>
      </c>
      <c r="BT114" s="528">
        <f t="shared" si="359"/>
        <v>3.8115051071828127E-4</v>
      </c>
      <c r="BU114" s="528">
        <f t="shared" si="360"/>
        <v>3.0577877479038036</v>
      </c>
      <c r="BV114" s="528"/>
      <c r="BW114" s="625">
        <f t="shared" si="361"/>
        <v>0.43396397444346019</v>
      </c>
      <c r="BX114" s="460">
        <f t="shared" si="362"/>
        <v>3633.005081218671</v>
      </c>
      <c r="BY114" s="173">
        <f t="shared" si="363"/>
        <v>4.3936764176303091</v>
      </c>
      <c r="BZ114" s="5">
        <f t="shared" si="364"/>
        <v>4.32</v>
      </c>
      <c r="CA114" s="173">
        <f t="shared" si="365"/>
        <v>0.49577236896924237</v>
      </c>
      <c r="CB114" s="5">
        <f t="shared" si="366"/>
        <v>49.577236896924234</v>
      </c>
      <c r="CC114">
        <f t="shared" si="367"/>
        <v>4</v>
      </c>
      <c r="CE114" s="562">
        <f t="shared" si="368"/>
        <v>-50</v>
      </c>
      <c r="CF114">
        <f t="shared" si="369"/>
        <v>-50</v>
      </c>
      <c r="CG114" s="173">
        <f t="shared" si="370"/>
        <v>7.4130829060160927E-2</v>
      </c>
      <c r="CH114" s="173">
        <f t="shared" si="371"/>
        <v>1.8447552933715101E-2</v>
      </c>
      <c r="CI114" s="170">
        <v>4</v>
      </c>
      <c r="CJ114" s="217">
        <f t="shared" si="438"/>
        <v>2.4E-2</v>
      </c>
      <c r="CK114" s="217">
        <f t="shared" si="372"/>
        <v>0.02</v>
      </c>
      <c r="CL114" s="217">
        <f t="shared" si="373"/>
        <v>4.08</v>
      </c>
      <c r="CM114" s="217">
        <f t="shared" si="374"/>
        <v>0.24</v>
      </c>
      <c r="CN114" s="541">
        <f t="shared" si="375"/>
        <v>9</v>
      </c>
      <c r="CO114" s="443">
        <f t="shared" si="376"/>
        <v>8.5350000000000001</v>
      </c>
      <c r="CP114" s="443">
        <f t="shared" si="377"/>
        <v>17.535</v>
      </c>
      <c r="CQ114" s="443"/>
      <c r="CR114" s="217">
        <f t="shared" si="378"/>
        <v>0.48644793152639093</v>
      </c>
      <c r="CS114" s="172">
        <f t="shared" si="379"/>
        <v>137.82691393247745</v>
      </c>
      <c r="CT114" s="172">
        <f t="shared" si="380"/>
        <v>8.1074655254398493</v>
      </c>
      <c r="CU114" s="217">
        <f t="shared" si="381"/>
        <v>0.81074655254398498</v>
      </c>
      <c r="CV114" s="217">
        <f t="shared" si="382"/>
        <v>11.485576161039788</v>
      </c>
      <c r="CW114" s="217">
        <f t="shared" si="383"/>
        <v>170</v>
      </c>
      <c r="CX114" s="217">
        <f t="shared" si="384"/>
        <v>1.9734897360703811</v>
      </c>
      <c r="CY114" s="217">
        <f t="shared" si="385"/>
        <v>0.10963831867057672</v>
      </c>
      <c r="CZ114" s="217">
        <f t="shared" si="386"/>
        <v>0.11561158383540604</v>
      </c>
      <c r="DA114" s="197">
        <f t="shared" si="387"/>
        <v>350</v>
      </c>
      <c r="DB114" s="443">
        <f t="shared" si="388"/>
        <v>350</v>
      </c>
      <c r="DD114" s="217">
        <f t="shared" si="389"/>
        <v>25.032384211169504</v>
      </c>
      <c r="DE114" s="173">
        <f t="shared" si="390"/>
        <v>1.4664548454112187</v>
      </c>
      <c r="DF114" s="173">
        <f t="shared" si="391"/>
        <v>0.30335794952229944</v>
      </c>
      <c r="DG114" s="173"/>
      <c r="DH114" s="173">
        <f t="shared" si="392"/>
        <v>0.78109744190587771</v>
      </c>
      <c r="DI114" s="545">
        <f t="shared" si="393"/>
        <v>97.600235294117667</v>
      </c>
      <c r="DJ114" s="528">
        <f t="shared" si="394"/>
        <v>8.6065366284073561E-2</v>
      </c>
      <c r="DL114" s="173">
        <f t="shared" si="395"/>
        <v>7.0264805252294398</v>
      </c>
      <c r="DM114" s="173">
        <f t="shared" si="396"/>
        <v>13.333333333333334</v>
      </c>
      <c r="DN114" s="173">
        <f t="shared" si="397"/>
        <v>1.05577156302521</v>
      </c>
      <c r="DP114" s="545">
        <f t="shared" si="398"/>
        <v>24</v>
      </c>
      <c r="DQ114" s="460">
        <f t="shared" si="399"/>
        <v>97.600235294117667</v>
      </c>
      <c r="DS114" s="460">
        <f t="shared" si="400"/>
        <v>24</v>
      </c>
      <c r="DT114" s="460">
        <f t="shared" si="401"/>
        <v>97.600235294117667</v>
      </c>
      <c r="DV114" s="5">
        <f t="shared" si="402"/>
        <v>10.245876938580185</v>
      </c>
      <c r="DW114" s="5">
        <f t="shared" si="403"/>
        <v>0.7407407407407407</v>
      </c>
      <c r="DX114" s="5">
        <f t="shared" si="404"/>
        <v>9.5051361978394446</v>
      </c>
      <c r="DY114" s="173">
        <f t="shared" si="405"/>
        <v>7.2296470588235295E-2</v>
      </c>
      <c r="EA114" s="5">
        <f t="shared" si="406"/>
        <v>1.0457516339869282E-2</v>
      </c>
      <c r="EB114" s="5">
        <f t="shared" si="407"/>
        <v>0.1234567901234568</v>
      </c>
      <c r="EC114" s="5">
        <f t="shared" si="408"/>
        <v>6.8943921221662112</v>
      </c>
      <c r="ED114" s="5"/>
      <c r="EE114" s="173">
        <f t="shared" si="409"/>
        <v>2.0698394367964021</v>
      </c>
      <c r="EF114" s="173">
        <f t="shared" si="410"/>
        <v>0.3501298472313778</v>
      </c>
      <c r="EG114" s="173">
        <f t="shared" si="411"/>
        <v>0.27682799871420199</v>
      </c>
      <c r="EH114" s="173"/>
      <c r="EI114" s="528">
        <f t="shared" si="412"/>
        <v>0.17136941176470591</v>
      </c>
      <c r="EJ114" s="528">
        <f t="shared" si="413"/>
        <v>0.62752071282352961</v>
      </c>
      <c r="EK114" s="528">
        <f t="shared" si="414"/>
        <v>1.9520047058823532E-2</v>
      </c>
      <c r="EL114" s="528">
        <f t="shared" si="415"/>
        <v>6.0019503814694123E-3</v>
      </c>
      <c r="EM114">
        <f t="shared" si="416"/>
        <v>4.0499999999999998E-3</v>
      </c>
      <c r="EN114" s="460">
        <f t="shared" si="417"/>
        <v>23.570047058823533</v>
      </c>
      <c r="EP114" s="460">
        <f t="shared" si="439"/>
        <v>828.46212202852837</v>
      </c>
      <c r="EQ114" s="173">
        <f t="shared" si="418"/>
        <v>1.6799999999999999E-2</v>
      </c>
      <c r="ER114" s="173">
        <f t="shared" si="419"/>
        <v>1.7359999999999997E-2</v>
      </c>
      <c r="ES114" s="528"/>
      <c r="EU114" s="460">
        <f t="shared" si="420"/>
        <v>34.159999999999997</v>
      </c>
      <c r="EV114" s="528">
        <f t="shared" si="421"/>
        <v>0.12852705882352941</v>
      </c>
      <c r="EW114" s="528">
        <f t="shared" si="422"/>
        <v>3.6777272976680386E-3</v>
      </c>
      <c r="EX114" s="528">
        <f t="shared" si="423"/>
        <v>3.8316870436055114E-4</v>
      </c>
      <c r="EY114" s="528">
        <f t="shared" si="424"/>
        <v>3.0545272753709622</v>
      </c>
      <c r="EZ114" s="528"/>
      <c r="FA114" s="625">
        <f t="shared" si="425"/>
        <v>0.43377882352941188</v>
      </c>
      <c r="FB114" s="460">
        <f t="shared" si="426"/>
        <v>3620.8940537259323</v>
      </c>
      <c r="FC114" s="173">
        <f t="shared" si="427"/>
        <v>4.4835161757544606</v>
      </c>
      <c r="FD114" s="5">
        <f t="shared" si="428"/>
        <v>4.32</v>
      </c>
      <c r="FE114" s="173">
        <f t="shared" si="429"/>
        <v>0.4907130189523139</v>
      </c>
      <c r="FF114" s="5">
        <f t="shared" si="430"/>
        <v>49.071301895231386</v>
      </c>
      <c r="FG114">
        <f t="shared" si="431"/>
        <v>4</v>
      </c>
      <c r="FI114" s="562">
        <f t="shared" si="432"/>
        <v>-50</v>
      </c>
      <c r="FJ114">
        <f t="shared" si="433"/>
        <v>-50</v>
      </c>
    </row>
    <row r="115" spans="5:166">
      <c r="E115" s="170">
        <v>5</v>
      </c>
      <c r="F115" s="217">
        <f t="shared" si="434"/>
        <v>0.03</v>
      </c>
      <c r="G115" s="217">
        <f t="shared" si="313"/>
        <v>2.5000000000000001E-2</v>
      </c>
      <c r="H115" s="217">
        <f t="shared" si="314"/>
        <v>5.0999999999999996</v>
      </c>
      <c r="I115" s="217">
        <f t="shared" si="315"/>
        <v>0.30000000000000004</v>
      </c>
      <c r="J115" s="541">
        <f t="shared" si="316"/>
        <v>8.4338224434052194</v>
      </c>
      <c r="K115" s="443">
        <f t="shared" si="317"/>
        <v>8.5386430156699316</v>
      </c>
      <c r="L115" s="172">
        <f t="shared" si="318"/>
        <v>16.972465459075153</v>
      </c>
      <c r="M115" s="443"/>
      <c r="N115" s="217">
        <f t="shared" si="319"/>
        <v>0.50308795951058083</v>
      </c>
      <c r="O115" s="172">
        <f t="shared" si="320"/>
        <v>133.57449427178452</v>
      </c>
      <c r="P115" s="172">
        <f t="shared" si="321"/>
        <v>7.8573231924579128</v>
      </c>
      <c r="Q115" s="217">
        <f t="shared" si="322"/>
        <v>0.78573231924579123</v>
      </c>
      <c r="R115" s="217">
        <f t="shared" si="323"/>
        <v>11.131207855982042</v>
      </c>
      <c r="S115" s="217">
        <f t="shared" si="324"/>
        <v>170</v>
      </c>
      <c r="T115" s="217">
        <f t="shared" si="325"/>
        <v>2.5453961241148382</v>
      </c>
      <c r="U115" s="217">
        <f t="shared" si="326"/>
        <v>0.15090406166335624</v>
      </c>
      <c r="V115" s="217">
        <f t="shared" si="327"/>
        <v>0.14905156003381231</v>
      </c>
      <c r="W115" s="197">
        <f t="shared" si="328"/>
        <v>350</v>
      </c>
      <c r="X115" s="443">
        <f t="shared" si="435"/>
        <v>350</v>
      </c>
      <c r="Z115" s="217">
        <f t="shared" si="329"/>
        <v>24.245454422441561</v>
      </c>
      <c r="AA115" s="173">
        <f t="shared" si="330"/>
        <v>1.4197486871126259</v>
      </c>
      <c r="AB115" s="173">
        <f t="shared" si="331"/>
        <v>0.28446331931114854</v>
      </c>
      <c r="AC115" s="173"/>
      <c r="AD115" s="173">
        <f t="shared" si="332"/>
        <v>0.78076418635047107</v>
      </c>
      <c r="AE115" s="545">
        <f t="shared" si="333"/>
        <v>122.05236781222314</v>
      </c>
      <c r="AF115" s="528">
        <f t="shared" si="334"/>
        <v>8.6028646458987085E-2</v>
      </c>
      <c r="AH115" s="173">
        <f t="shared" si="335"/>
        <v>7.8558440484957259</v>
      </c>
      <c r="AI115" s="173">
        <f t="shared" si="336"/>
        <v>13.333333333333334</v>
      </c>
      <c r="AJ115" s="173">
        <f t="shared" si="337"/>
        <v>1.0697442101784131</v>
      </c>
      <c r="AL115" s="545">
        <f t="shared" si="338"/>
        <v>30</v>
      </c>
      <c r="AM115" s="460">
        <f t="shared" si="339"/>
        <v>122.05236781222314</v>
      </c>
      <c r="AO115" s="460">
        <f t="shared" si="340"/>
        <v>30</v>
      </c>
      <c r="AP115" s="460">
        <f t="shared" si="341"/>
        <v>122.05236781222314</v>
      </c>
      <c r="AR115" s="5">
        <f t="shared" si="275"/>
        <v>8.1932044246654367</v>
      </c>
      <c r="AS115" s="5">
        <f t="shared" ref="AS115:AS178" si="440">L*AI115/J115*1000000</f>
        <v>0.79046798902905879</v>
      </c>
      <c r="AT115" s="5">
        <f t="shared" ref="AT115:AT178" si="441">AR115-AS115</f>
        <v>7.4027364356363776</v>
      </c>
      <c r="AU115" s="173">
        <f t="shared" ref="AU115:AU178" si="442">AS115/AR115</f>
        <v>9.6478489740763049E-2</v>
      </c>
      <c r="AW115" s="5">
        <f t="shared" si="342"/>
        <v>1.3949435100512803E-2</v>
      </c>
      <c r="AX115" s="5">
        <f t="shared" si="343"/>
        <v>0.1646808310477206</v>
      </c>
      <c r="AY115" s="5">
        <f t="shared" si="344"/>
        <v>7.1623904487137064</v>
      </c>
      <c r="AZ115" s="5"/>
      <c r="BA115" s="173">
        <f t="shared" si="345"/>
        <v>2.3910758742644829</v>
      </c>
      <c r="BB115" s="173">
        <f t="shared" si="346"/>
        <v>0.34553637917026309</v>
      </c>
      <c r="BC115" s="173">
        <f t="shared" si="347"/>
        <v>0.27319620159501584</v>
      </c>
      <c r="BD115" s="173"/>
      <c r="BE115" s="528">
        <f t="shared" si="348"/>
        <v>0.22868975345958645</v>
      </c>
      <c r="BF115" s="528">
        <f t="shared" si="349"/>
        <v>0.62145887906738806</v>
      </c>
      <c r="BG115" s="528">
        <f t="shared" si="350"/>
        <v>4.1174719957019053E-2</v>
      </c>
      <c r="BH115" s="528">
        <f t="shared" si="351"/>
        <v>7.0317929061378707E-3</v>
      </c>
      <c r="BI115">
        <f t="shared" si="352"/>
        <v>3.7952200995323487E-3</v>
      </c>
      <c r="BJ115" s="460">
        <f t="shared" si="436"/>
        <v>44.969940056551401</v>
      </c>
      <c r="BK115">
        <f t="shared" si="353"/>
        <v>0.97172708796181584</v>
      </c>
      <c r="BL115" s="460">
        <f t="shared" si="437"/>
        <v>902.15036548966373</v>
      </c>
      <c r="BM115" s="173">
        <f t="shared" si="354"/>
        <v>2.6039999999999997E-2</v>
      </c>
      <c r="BN115" s="173">
        <f t="shared" si="355"/>
        <v>2.1699999999999997E-2</v>
      </c>
      <c r="BO115" s="528"/>
      <c r="BQ115" s="460">
        <f t="shared" si="356"/>
        <v>47.739999999999988</v>
      </c>
      <c r="BR115" s="528">
        <f t="shared" si="357"/>
        <v>0.17151731509468984</v>
      </c>
      <c r="BS115" s="528">
        <f t="shared" si="358"/>
        <v>3.5818616799028744E-3</v>
      </c>
      <c r="BT115" s="528">
        <f t="shared" si="359"/>
        <v>3.7318082282972268E-4</v>
      </c>
      <c r="BU115" s="528">
        <f t="shared" si="360"/>
        <v>5.3417353633428837</v>
      </c>
      <c r="BV115" s="528"/>
      <c r="BW115" s="625">
        <f t="shared" si="361"/>
        <v>0.54245496805432514</v>
      </c>
      <c r="BX115" s="460">
        <f t="shared" si="362"/>
        <v>6059.662688994631</v>
      </c>
      <c r="BY115" s="173">
        <f t="shared" si="363"/>
        <v>7.0095530544842948</v>
      </c>
      <c r="BZ115" s="5">
        <f t="shared" si="364"/>
        <v>5.3999999999999995</v>
      </c>
      <c r="CA115" s="173">
        <f t="shared" si="365"/>
        <v>0.43514862914814362</v>
      </c>
      <c r="CB115" s="5">
        <f t="shared" si="366"/>
        <v>43.514862914814358</v>
      </c>
      <c r="CC115">
        <f t="shared" si="367"/>
        <v>5</v>
      </c>
      <c r="CE115" s="562">
        <f t="shared" si="368"/>
        <v>-50</v>
      </c>
      <c r="CF115">
        <f t="shared" si="369"/>
        <v>-50</v>
      </c>
      <c r="CG115" s="173">
        <f t="shared" si="370"/>
        <v>9.2663536325201148E-2</v>
      </c>
      <c r="CH115" s="173">
        <f t="shared" si="371"/>
        <v>2.3059441167143875E-2</v>
      </c>
      <c r="CI115" s="170">
        <v>5</v>
      </c>
      <c r="CJ115" s="217">
        <f t="shared" si="438"/>
        <v>0.03</v>
      </c>
      <c r="CK115" s="217">
        <f t="shared" si="372"/>
        <v>2.5000000000000001E-2</v>
      </c>
      <c r="CL115" s="217">
        <f t="shared" si="373"/>
        <v>5.0999999999999996</v>
      </c>
      <c r="CM115" s="217">
        <f t="shared" si="374"/>
        <v>0.30000000000000004</v>
      </c>
      <c r="CN115" s="541">
        <f t="shared" si="375"/>
        <v>9</v>
      </c>
      <c r="CO115" s="443">
        <f t="shared" si="376"/>
        <v>8.5350000000000001</v>
      </c>
      <c r="CP115" s="443">
        <f t="shared" si="377"/>
        <v>17.535</v>
      </c>
      <c r="CQ115" s="443"/>
      <c r="CR115" s="217">
        <f t="shared" si="378"/>
        <v>0.48644793152639093</v>
      </c>
      <c r="CS115" s="172">
        <f t="shared" si="379"/>
        <v>137.82691393247745</v>
      </c>
      <c r="CT115" s="172">
        <f t="shared" si="380"/>
        <v>8.1074655254398493</v>
      </c>
      <c r="CU115" s="217">
        <f t="shared" si="381"/>
        <v>0.81074655254398498</v>
      </c>
      <c r="CV115" s="217">
        <f t="shared" si="382"/>
        <v>11.485576161039788</v>
      </c>
      <c r="CW115" s="217">
        <f t="shared" si="383"/>
        <v>170</v>
      </c>
      <c r="CX115" s="217">
        <f t="shared" si="384"/>
        <v>2.466862170087976</v>
      </c>
      <c r="CY115" s="217">
        <f t="shared" si="385"/>
        <v>0.1370478983382209</v>
      </c>
      <c r="CZ115" s="217">
        <f t="shared" si="386"/>
        <v>0.14451447979425755</v>
      </c>
      <c r="DA115" s="197">
        <f t="shared" si="387"/>
        <v>350</v>
      </c>
      <c r="DB115" s="443">
        <f t="shared" si="388"/>
        <v>350</v>
      </c>
      <c r="DD115" s="217">
        <f t="shared" si="389"/>
        <v>25.032384211169504</v>
      </c>
      <c r="DE115" s="173">
        <f t="shared" si="390"/>
        <v>1.4664548454112187</v>
      </c>
      <c r="DF115" s="173">
        <f t="shared" si="391"/>
        <v>0.30335794952229944</v>
      </c>
      <c r="DG115" s="173"/>
      <c r="DH115" s="173">
        <f t="shared" si="392"/>
        <v>0.78109744190587771</v>
      </c>
      <c r="DI115" s="545">
        <f t="shared" si="393"/>
        <v>122.00029411764704</v>
      </c>
      <c r="DJ115" s="528">
        <f t="shared" si="394"/>
        <v>8.6065366284073561E-2</v>
      </c>
      <c r="DL115" s="173">
        <f t="shared" si="395"/>
        <v>7.8558440484957259</v>
      </c>
      <c r="DM115" s="173">
        <f t="shared" si="396"/>
        <v>13.333333333333334</v>
      </c>
      <c r="DN115" s="173">
        <f t="shared" si="397"/>
        <v>1.0697144537815126</v>
      </c>
      <c r="DP115" s="545">
        <f t="shared" si="398"/>
        <v>30</v>
      </c>
      <c r="DQ115" s="460">
        <f t="shared" si="399"/>
        <v>122.00029411764704</v>
      </c>
      <c r="DS115" s="460">
        <f t="shared" si="400"/>
        <v>30</v>
      </c>
      <c r="DT115" s="460">
        <f t="shared" si="401"/>
        <v>122.00029411764704</v>
      </c>
      <c r="DV115" s="5">
        <f t="shared" si="402"/>
        <v>8.1967015508641499</v>
      </c>
      <c r="DW115" s="5">
        <f t="shared" si="403"/>
        <v>0.7407407407407407</v>
      </c>
      <c r="DX115" s="5">
        <f t="shared" si="404"/>
        <v>7.4559608101234094</v>
      </c>
      <c r="DY115" s="173">
        <f t="shared" si="405"/>
        <v>9.0370588235294105E-2</v>
      </c>
      <c r="EA115" s="5">
        <f t="shared" si="406"/>
        <v>1.30718954248366E-2</v>
      </c>
      <c r="EB115" s="5">
        <f t="shared" si="407"/>
        <v>0.15432098765432098</v>
      </c>
      <c r="EC115" s="5">
        <f t="shared" si="408"/>
        <v>6.7600711345118913</v>
      </c>
      <c r="ED115" s="5"/>
      <c r="EE115" s="173">
        <f t="shared" si="409"/>
        <v>2.3141508415933174</v>
      </c>
      <c r="EF115" s="173">
        <f t="shared" si="410"/>
        <v>0.3467023433156165</v>
      </c>
      <c r="EG115" s="173">
        <f t="shared" si="411"/>
        <v>0.27411806393689553</v>
      </c>
      <c r="EH115" s="173"/>
      <c r="EI115" s="528">
        <f t="shared" si="412"/>
        <v>0.21421176470588235</v>
      </c>
      <c r="EJ115" s="528">
        <f t="shared" si="413"/>
        <v>0.78440089102941168</v>
      </c>
      <c r="EK115" s="528">
        <f t="shared" si="414"/>
        <v>2.4400058823529407E-2</v>
      </c>
      <c r="EL115" s="528">
        <f t="shared" si="415"/>
        <v>7.5024379768367632E-3</v>
      </c>
      <c r="EM115">
        <f t="shared" si="416"/>
        <v>4.0499999999999998E-3</v>
      </c>
      <c r="EN115" s="460">
        <f t="shared" si="417"/>
        <v>28.450058823529403</v>
      </c>
      <c r="EP115" s="460">
        <f t="shared" si="439"/>
        <v>1034.5651525356602</v>
      </c>
      <c r="EQ115" s="173">
        <f t="shared" si="418"/>
        <v>2.0999999999999998E-2</v>
      </c>
      <c r="ER115" s="173">
        <f t="shared" si="419"/>
        <v>2.1699999999999997E-2</v>
      </c>
      <c r="ES115" s="528"/>
      <c r="EU115" s="460">
        <f t="shared" si="420"/>
        <v>42.699999999999996</v>
      </c>
      <c r="EV115" s="528">
        <f t="shared" si="421"/>
        <v>0.16065882352941177</v>
      </c>
      <c r="EW115" s="528">
        <f t="shared" si="422"/>
        <v>3.606075445816188E-3</v>
      </c>
      <c r="EX115" s="528">
        <f t="shared" si="423"/>
        <v>3.7570356488255969E-4</v>
      </c>
      <c r="EY115" s="528">
        <f t="shared" si="424"/>
        <v>5.3360395522317869</v>
      </c>
      <c r="EZ115" s="528"/>
      <c r="FA115" s="625">
        <f t="shared" si="425"/>
        <v>0.54222352941176477</v>
      </c>
      <c r="FB115" s="460">
        <f t="shared" si="426"/>
        <v>6042.9036841836623</v>
      </c>
      <c r="FC115" s="173">
        <f t="shared" si="427"/>
        <v>7.1201688367193228</v>
      </c>
      <c r="FD115" s="5">
        <f t="shared" si="428"/>
        <v>5.3999999999999995</v>
      </c>
      <c r="FE115" s="173">
        <f t="shared" si="429"/>
        <v>0.43130408786204272</v>
      </c>
      <c r="FF115" s="5">
        <f t="shared" si="430"/>
        <v>43.130408786204271</v>
      </c>
      <c r="FG115">
        <f t="shared" si="431"/>
        <v>5</v>
      </c>
      <c r="FI115" s="562">
        <f t="shared" si="432"/>
        <v>-50</v>
      </c>
      <c r="FJ115">
        <f t="shared" si="433"/>
        <v>-50</v>
      </c>
    </row>
    <row r="116" spans="5:166">
      <c r="E116" s="170">
        <v>6</v>
      </c>
      <c r="F116" s="217">
        <f t="shared" si="434"/>
        <v>3.5999999999999997E-2</v>
      </c>
      <c r="G116" s="217">
        <f t="shared" si="313"/>
        <v>0.03</v>
      </c>
      <c r="H116" s="217">
        <f t="shared" si="314"/>
        <v>6.1199999999999992</v>
      </c>
      <c r="I116" s="217">
        <f t="shared" si="315"/>
        <v>0.36</v>
      </c>
      <c r="J116" s="541">
        <f t="shared" si="316"/>
        <v>8.4338224434052194</v>
      </c>
      <c r="K116" s="443">
        <f t="shared" si="317"/>
        <v>8.5386430156699316</v>
      </c>
      <c r="L116" s="172">
        <f t="shared" si="318"/>
        <v>16.972465459075153</v>
      </c>
      <c r="M116" s="443"/>
      <c r="N116" s="217">
        <f t="shared" si="319"/>
        <v>0.50308795951058083</v>
      </c>
      <c r="O116" s="172">
        <f t="shared" si="320"/>
        <v>133.57449427178452</v>
      </c>
      <c r="P116" s="172">
        <f t="shared" si="321"/>
        <v>7.8573231924579128</v>
      </c>
      <c r="Q116" s="217">
        <f t="shared" si="322"/>
        <v>0.78573231924579123</v>
      </c>
      <c r="R116" s="217">
        <f t="shared" si="323"/>
        <v>11.131207855982042</v>
      </c>
      <c r="S116" s="217">
        <f t="shared" si="324"/>
        <v>170</v>
      </c>
      <c r="T116" s="217">
        <f t="shared" si="325"/>
        <v>3.0544753489378058</v>
      </c>
      <c r="U116" s="217">
        <f t="shared" si="326"/>
        <v>0.18108487399602749</v>
      </c>
      <c r="V116" s="217">
        <f t="shared" si="327"/>
        <v>0.17886187204057477</v>
      </c>
      <c r="W116" s="197">
        <f t="shared" si="328"/>
        <v>350</v>
      </c>
      <c r="X116" s="443">
        <f t="shared" si="435"/>
        <v>350</v>
      </c>
      <c r="Z116" s="217">
        <f t="shared" si="329"/>
        <v>24.245454422441561</v>
      </c>
      <c r="AA116" s="173">
        <f t="shared" si="330"/>
        <v>1.4197486871126259</v>
      </c>
      <c r="AB116" s="173">
        <f t="shared" si="331"/>
        <v>0.28446331931114854</v>
      </c>
      <c r="AC116" s="173"/>
      <c r="AD116" s="173">
        <f t="shared" si="332"/>
        <v>0.78076418635047107</v>
      </c>
      <c r="AE116" s="545">
        <f t="shared" si="333"/>
        <v>146.46284137466779</v>
      </c>
      <c r="AF116" s="528">
        <f t="shared" si="334"/>
        <v>8.6028646458987085E-2</v>
      </c>
      <c r="AH116" s="173">
        <f t="shared" si="335"/>
        <v>8.6056459872076339</v>
      </c>
      <c r="AI116" s="173">
        <f t="shared" si="336"/>
        <v>13.333333333333334</v>
      </c>
      <c r="AJ116" s="173">
        <f t="shared" si="337"/>
        <v>1.083693052214096</v>
      </c>
      <c r="AL116" s="545">
        <f t="shared" si="338"/>
        <v>36</v>
      </c>
      <c r="AM116" s="460">
        <f t="shared" si="339"/>
        <v>146.46284137466779</v>
      </c>
      <c r="AO116" s="460">
        <f t="shared" si="340"/>
        <v>36</v>
      </c>
      <c r="AP116" s="460">
        <f t="shared" si="341"/>
        <v>146.46284137466779</v>
      </c>
      <c r="AR116" s="5">
        <f t="shared" si="275"/>
        <v>6.8276703538878634</v>
      </c>
      <c r="AS116" s="5">
        <f t="shared" si="440"/>
        <v>0.79046798902905879</v>
      </c>
      <c r="AT116" s="5">
        <f t="shared" si="441"/>
        <v>6.0372023648588042</v>
      </c>
      <c r="AU116" s="173">
        <f t="shared" si="442"/>
        <v>0.11577418768891568</v>
      </c>
      <c r="AW116" s="5">
        <f t="shared" si="342"/>
        <v>1.6739322120615362E-2</v>
      </c>
      <c r="AX116" s="5">
        <f t="shared" si="343"/>
        <v>0.1976169972572647</v>
      </c>
      <c r="AY116" s="5">
        <f t="shared" si="344"/>
        <v>7.009429704430528</v>
      </c>
      <c r="AZ116" s="5"/>
      <c r="BA116" s="173">
        <f t="shared" si="345"/>
        <v>2.6192923860820878</v>
      </c>
      <c r="BB116" s="173">
        <f t="shared" si="346"/>
        <v>0.34182681164923073</v>
      </c>
      <c r="BC116" s="173">
        <f t="shared" si="347"/>
        <v>0.27026325497231907</v>
      </c>
      <c r="BD116" s="173"/>
      <c r="BE116" s="528">
        <f t="shared" si="348"/>
        <v>0.27442770415150392</v>
      </c>
      <c r="BF116" s="528">
        <f t="shared" si="349"/>
        <v>0.74575065488086578</v>
      </c>
      <c r="BG116" s="528">
        <f t="shared" si="350"/>
        <v>4.9409663948422868E-2</v>
      </c>
      <c r="BH116" s="528">
        <f t="shared" si="351"/>
        <v>8.4381514873654462E-3</v>
      </c>
      <c r="BI116">
        <f t="shared" si="352"/>
        <v>3.7952200995323487E-3</v>
      </c>
      <c r="BJ116" s="460">
        <f t="shared" si="436"/>
        <v>53.204884047955218</v>
      </c>
      <c r="BK116">
        <f t="shared" si="353"/>
        <v>1.1796285148736509</v>
      </c>
      <c r="BL116" s="460">
        <f t="shared" si="437"/>
        <v>1081.8213945676905</v>
      </c>
      <c r="BM116" s="173">
        <f t="shared" si="354"/>
        <v>3.1247999999999995E-2</v>
      </c>
      <c r="BN116" s="173">
        <f t="shared" si="355"/>
        <v>2.6039999999999997E-2</v>
      </c>
      <c r="BO116" s="528"/>
      <c r="BQ116" s="460">
        <f t="shared" si="356"/>
        <v>57.28799999999999</v>
      </c>
      <c r="BR116" s="528">
        <f t="shared" si="357"/>
        <v>0.20582077811362789</v>
      </c>
      <c r="BS116" s="528">
        <f t="shared" si="358"/>
        <v>3.5053670748683595E-3</v>
      </c>
      <c r="BT116" s="528">
        <f t="shared" si="359"/>
        <v>3.6521113494116376E-4</v>
      </c>
      <c r="BU116" s="528">
        <f t="shared" si="360"/>
        <v>8.4262721896107617</v>
      </c>
      <c r="BV116" s="528"/>
      <c r="BW116" s="625">
        <f t="shared" si="361"/>
        <v>0.65094596166519025</v>
      </c>
      <c r="BX116" s="460">
        <f t="shared" si="362"/>
        <v>9286.9095075993901</v>
      </c>
      <c r="BY116" s="173">
        <f t="shared" si="363"/>
        <v>10.42601890216708</v>
      </c>
      <c r="BZ116" s="5">
        <f t="shared" si="364"/>
        <v>6.4799999999999995</v>
      </c>
      <c r="CA116" s="173">
        <f t="shared" si="365"/>
        <v>0.38329544273544897</v>
      </c>
      <c r="CB116" s="5">
        <f t="shared" si="366"/>
        <v>38.329544273544897</v>
      </c>
      <c r="CC116">
        <f t="shared" si="367"/>
        <v>6</v>
      </c>
      <c r="CE116" s="562">
        <f t="shared" si="368"/>
        <v>-50</v>
      </c>
      <c r="CF116">
        <f t="shared" si="369"/>
        <v>-50</v>
      </c>
      <c r="CG116" s="173">
        <f t="shared" si="370"/>
        <v>0.11119624359024138</v>
      </c>
      <c r="CH116" s="173">
        <f t="shared" si="371"/>
        <v>2.7671329400572653E-2</v>
      </c>
      <c r="CI116" s="170">
        <v>6</v>
      </c>
      <c r="CJ116" s="217">
        <f t="shared" si="438"/>
        <v>3.5999999999999997E-2</v>
      </c>
      <c r="CK116" s="217">
        <f t="shared" si="372"/>
        <v>0.03</v>
      </c>
      <c r="CL116" s="217">
        <f t="shared" si="373"/>
        <v>6.1199999999999992</v>
      </c>
      <c r="CM116" s="217">
        <f t="shared" si="374"/>
        <v>0.36</v>
      </c>
      <c r="CN116" s="541">
        <f t="shared" si="375"/>
        <v>9</v>
      </c>
      <c r="CO116" s="443">
        <f t="shared" si="376"/>
        <v>8.5350000000000001</v>
      </c>
      <c r="CP116" s="443">
        <f t="shared" si="377"/>
        <v>17.535</v>
      </c>
      <c r="CQ116" s="443"/>
      <c r="CR116" s="217">
        <f t="shared" si="378"/>
        <v>0.48644793152639093</v>
      </c>
      <c r="CS116" s="172">
        <f t="shared" si="379"/>
        <v>137.82691393247745</v>
      </c>
      <c r="CT116" s="172">
        <f t="shared" si="380"/>
        <v>8.1074655254398493</v>
      </c>
      <c r="CU116" s="217">
        <f t="shared" si="381"/>
        <v>0.81074655254398498</v>
      </c>
      <c r="CV116" s="217">
        <f t="shared" si="382"/>
        <v>11.485576161039788</v>
      </c>
      <c r="CW116" s="217">
        <f t="shared" si="383"/>
        <v>170</v>
      </c>
      <c r="CX116" s="217">
        <f t="shared" si="384"/>
        <v>2.9602346041055716</v>
      </c>
      <c r="CY116" s="217">
        <f t="shared" si="385"/>
        <v>0.16445747800586508</v>
      </c>
      <c r="CZ116" s="217">
        <f t="shared" si="386"/>
        <v>0.17341737575310903</v>
      </c>
      <c r="DA116" s="197">
        <f t="shared" si="387"/>
        <v>350</v>
      </c>
      <c r="DB116" s="443">
        <f t="shared" si="388"/>
        <v>350</v>
      </c>
      <c r="DD116" s="217">
        <f t="shared" si="389"/>
        <v>25.032384211169504</v>
      </c>
      <c r="DE116" s="173">
        <f t="shared" si="390"/>
        <v>1.4664548454112187</v>
      </c>
      <c r="DF116" s="173">
        <f t="shared" si="391"/>
        <v>0.30335794952229944</v>
      </c>
      <c r="DG116" s="173"/>
      <c r="DH116" s="173">
        <f t="shared" si="392"/>
        <v>0.78109744190587771</v>
      </c>
      <c r="DI116" s="545">
        <f t="shared" si="393"/>
        <v>146.40035294117646</v>
      </c>
      <c r="DJ116" s="528">
        <f t="shared" si="394"/>
        <v>8.6065366284073561E-2</v>
      </c>
      <c r="DL116" s="173">
        <f t="shared" si="395"/>
        <v>8.6056459872076339</v>
      </c>
      <c r="DM116" s="173">
        <f t="shared" si="396"/>
        <v>13.333333333333334</v>
      </c>
      <c r="DN116" s="173">
        <f t="shared" si="397"/>
        <v>1.083657344537815</v>
      </c>
      <c r="DP116" s="545">
        <f t="shared" si="398"/>
        <v>36</v>
      </c>
      <c r="DQ116" s="460">
        <f t="shared" si="399"/>
        <v>146.40035294117646</v>
      </c>
      <c r="DS116" s="460">
        <f t="shared" si="400"/>
        <v>36</v>
      </c>
      <c r="DT116" s="460">
        <f t="shared" si="401"/>
        <v>146.40035294117646</v>
      </c>
      <c r="DV116" s="5">
        <f t="shared" si="402"/>
        <v>6.8305846257201246</v>
      </c>
      <c r="DW116" s="5">
        <f t="shared" si="403"/>
        <v>0.7407407407407407</v>
      </c>
      <c r="DX116" s="5">
        <f t="shared" si="404"/>
        <v>6.0898438849793841</v>
      </c>
      <c r="DY116" s="173">
        <f t="shared" si="405"/>
        <v>0.10844470588235293</v>
      </c>
      <c r="EA116" s="5">
        <f t="shared" si="406"/>
        <v>1.5686274509803918E-2</v>
      </c>
      <c r="EB116" s="5">
        <f t="shared" si="407"/>
        <v>0.18518518518518517</v>
      </c>
      <c r="EC116" s="5">
        <f t="shared" si="408"/>
        <v>6.6257501468575697</v>
      </c>
      <c r="ED116" s="5"/>
      <c r="EE116" s="173">
        <f t="shared" si="409"/>
        <v>2.5350252348204485</v>
      </c>
      <c r="EF116" s="173">
        <f t="shared" si="410"/>
        <v>0.3432406150192765</v>
      </c>
      <c r="EG116" s="173">
        <f t="shared" si="411"/>
        <v>0.27138106986470822</v>
      </c>
      <c r="EH116" s="173"/>
      <c r="EI116" s="528">
        <f t="shared" si="412"/>
        <v>0.25705411764705877</v>
      </c>
      <c r="EJ116" s="528">
        <f t="shared" si="413"/>
        <v>0.94128106923529409</v>
      </c>
      <c r="EK116" s="528">
        <f t="shared" si="414"/>
        <v>2.9280070588235289E-2</v>
      </c>
      <c r="EL116" s="528">
        <f t="shared" si="415"/>
        <v>9.0029255722041176E-3</v>
      </c>
      <c r="EM116">
        <f t="shared" si="416"/>
        <v>4.0499999999999998E-3</v>
      </c>
      <c r="EN116" s="460">
        <f t="shared" si="417"/>
        <v>33.330070588235287</v>
      </c>
      <c r="EP116" s="460">
        <f t="shared" si="439"/>
        <v>1240.6681830427924</v>
      </c>
      <c r="EQ116" s="173">
        <f t="shared" si="418"/>
        <v>2.5199999999999997E-2</v>
      </c>
      <c r="ER116" s="173">
        <f t="shared" si="419"/>
        <v>2.6039999999999997E-2</v>
      </c>
      <c r="ES116" s="528"/>
      <c r="EU116" s="460">
        <f t="shared" si="420"/>
        <v>51.239999999999995</v>
      </c>
      <c r="EV116" s="528">
        <f t="shared" si="421"/>
        <v>0.19279058823529407</v>
      </c>
      <c r="EW116" s="528">
        <f t="shared" si="422"/>
        <v>3.5344235939643353E-3</v>
      </c>
      <c r="EX116" s="528">
        <f t="shared" si="423"/>
        <v>3.6823842540456824E-4</v>
      </c>
      <c r="EY116" s="528">
        <f t="shared" si="424"/>
        <v>8.4172873838316846</v>
      </c>
      <c r="EZ116" s="528"/>
      <c r="FA116" s="625">
        <f t="shared" si="425"/>
        <v>0.65066823529411766</v>
      </c>
      <c r="FB116" s="460">
        <f t="shared" si="426"/>
        <v>9264.6488693804658</v>
      </c>
      <c r="FC116" s="173">
        <f t="shared" si="427"/>
        <v>10.556557052423258</v>
      </c>
      <c r="FD116" s="5">
        <f t="shared" si="428"/>
        <v>6.4799999999999995</v>
      </c>
      <c r="FE116" s="173">
        <f t="shared" si="429"/>
        <v>0.3803585419319388</v>
      </c>
      <c r="FF116" s="5">
        <f t="shared" si="430"/>
        <v>38.035854193193877</v>
      </c>
      <c r="FG116">
        <f t="shared" si="431"/>
        <v>6</v>
      </c>
      <c r="FI116" s="562">
        <f t="shared" si="432"/>
        <v>-50</v>
      </c>
      <c r="FJ116">
        <f t="shared" si="433"/>
        <v>-50</v>
      </c>
    </row>
    <row r="117" spans="5:166">
      <c r="E117" s="170">
        <v>7</v>
      </c>
      <c r="F117" s="217">
        <f t="shared" si="434"/>
        <v>4.2000000000000003E-2</v>
      </c>
      <c r="G117" s="217">
        <f t="shared" si="313"/>
        <v>3.5000000000000003E-2</v>
      </c>
      <c r="H117" s="217">
        <f t="shared" si="314"/>
        <v>7.1400000000000006</v>
      </c>
      <c r="I117" s="217">
        <f t="shared" si="315"/>
        <v>0.42000000000000004</v>
      </c>
      <c r="J117" s="541">
        <f t="shared" si="316"/>
        <v>8.4338224434052194</v>
      </c>
      <c r="K117" s="443">
        <f t="shared" si="317"/>
        <v>8.5386430156699316</v>
      </c>
      <c r="L117" s="172">
        <f t="shared" si="318"/>
        <v>16.972465459075153</v>
      </c>
      <c r="M117" s="443"/>
      <c r="N117" s="217">
        <f t="shared" si="319"/>
        <v>0.50308795951058083</v>
      </c>
      <c r="O117" s="172">
        <f t="shared" si="320"/>
        <v>133.57449427178452</v>
      </c>
      <c r="P117" s="172">
        <f t="shared" si="321"/>
        <v>7.8573231924579128</v>
      </c>
      <c r="Q117" s="217">
        <f t="shared" si="322"/>
        <v>0.78573231924579123</v>
      </c>
      <c r="R117" s="217">
        <f t="shared" si="323"/>
        <v>11.131207855982042</v>
      </c>
      <c r="S117" s="217">
        <f t="shared" si="324"/>
        <v>170</v>
      </c>
      <c r="T117" s="217">
        <f t="shared" si="325"/>
        <v>3.5635545737607739</v>
      </c>
      <c r="U117" s="217">
        <f t="shared" si="326"/>
        <v>0.21126568632869877</v>
      </c>
      <c r="V117" s="217">
        <f t="shared" si="327"/>
        <v>0.20867218404733726</v>
      </c>
      <c r="W117" s="197">
        <f t="shared" si="328"/>
        <v>350</v>
      </c>
      <c r="X117" s="443">
        <f t="shared" si="435"/>
        <v>350</v>
      </c>
      <c r="Z117" s="217">
        <f t="shared" si="329"/>
        <v>24.245454422441561</v>
      </c>
      <c r="AA117" s="173">
        <f t="shared" si="330"/>
        <v>1.4197486871126259</v>
      </c>
      <c r="AB117" s="173">
        <f t="shared" si="331"/>
        <v>0.28446331931114854</v>
      </c>
      <c r="AC117" s="173"/>
      <c r="AD117" s="173">
        <f t="shared" si="332"/>
        <v>0.78076418635047107</v>
      </c>
      <c r="AE117" s="545">
        <f t="shared" si="333"/>
        <v>170.87331493711241</v>
      </c>
      <c r="AF117" s="528">
        <f t="shared" si="334"/>
        <v>8.6028646458987085E-2</v>
      </c>
      <c r="AH117" s="173">
        <f t="shared" si="335"/>
        <v>9.2951600308978009</v>
      </c>
      <c r="AI117" s="173">
        <f t="shared" si="336"/>
        <v>13.333333333333334</v>
      </c>
      <c r="AJ117" s="173">
        <f t="shared" si="337"/>
        <v>1.0976418942497785</v>
      </c>
      <c r="AL117" s="545">
        <f t="shared" si="338"/>
        <v>42</v>
      </c>
      <c r="AM117" s="460">
        <f t="shared" si="339"/>
        <v>170.87331493711241</v>
      </c>
      <c r="AO117" s="460">
        <f t="shared" si="340"/>
        <v>42</v>
      </c>
      <c r="AP117" s="460">
        <f t="shared" si="341"/>
        <v>170.87331493711241</v>
      </c>
      <c r="AR117" s="5">
        <f t="shared" si="275"/>
        <v>5.8522888747610251</v>
      </c>
      <c r="AS117" s="5">
        <f t="shared" si="440"/>
        <v>0.79046798902905879</v>
      </c>
      <c r="AT117" s="5">
        <f t="shared" si="441"/>
        <v>5.061820885731966</v>
      </c>
      <c r="AU117" s="173">
        <f t="shared" si="442"/>
        <v>0.13506988563706829</v>
      </c>
      <c r="AW117" s="5">
        <f t="shared" si="342"/>
        <v>1.9529209140717922E-2</v>
      </c>
      <c r="AX117" s="5">
        <f t="shared" si="343"/>
        <v>0.23055316346680885</v>
      </c>
      <c r="AY117" s="5">
        <f t="shared" si="344"/>
        <v>6.8564689601473514</v>
      </c>
      <c r="AZ117" s="5"/>
      <c r="BA117" s="173">
        <f t="shared" si="345"/>
        <v>2.8291591279186696</v>
      </c>
      <c r="BB117" s="173">
        <f t="shared" si="346"/>
        <v>0.33807654310002266</v>
      </c>
      <c r="BC117" s="173">
        <f t="shared" si="347"/>
        <v>0.26729812833336675</v>
      </c>
      <c r="BD117" s="173"/>
      <c r="BE117" s="528">
        <f t="shared" si="348"/>
        <v>0.32016565484342108</v>
      </c>
      <c r="BF117" s="528">
        <f t="shared" si="349"/>
        <v>0.87004243069434339</v>
      </c>
      <c r="BG117" s="528">
        <f t="shared" si="350"/>
        <v>5.7644607939826675E-2</v>
      </c>
      <c r="BH117" s="528">
        <f t="shared" si="351"/>
        <v>9.8445100685930192E-3</v>
      </c>
      <c r="BI117">
        <f t="shared" si="352"/>
        <v>3.7952200995323487E-3</v>
      </c>
      <c r="BJ117" s="460">
        <f t="shared" si="436"/>
        <v>61.439828039359028</v>
      </c>
      <c r="BK117">
        <f t="shared" si="353"/>
        <v>1.392420654742663</v>
      </c>
      <c r="BL117" s="460">
        <f t="shared" si="437"/>
        <v>1261.4924236457168</v>
      </c>
      <c r="BM117" s="173">
        <f t="shared" si="354"/>
        <v>3.6455999999999995E-2</v>
      </c>
      <c r="BN117" s="173">
        <f t="shared" si="355"/>
        <v>3.0380000000000001E-2</v>
      </c>
      <c r="BO117" s="528"/>
      <c r="BQ117" s="460">
        <f t="shared" si="356"/>
        <v>66.835999999999999</v>
      </c>
      <c r="BR117" s="528">
        <f t="shared" si="357"/>
        <v>0.24012424113256581</v>
      </c>
      <c r="BS117" s="528">
        <f t="shared" si="358"/>
        <v>3.4288724698338445E-3</v>
      </c>
      <c r="BT117" s="528">
        <f t="shared" si="359"/>
        <v>3.5724144705260501E-4</v>
      </c>
      <c r="BU117" s="528">
        <f t="shared" si="360"/>
        <v>12.388035975178536</v>
      </c>
      <c r="BV117" s="528"/>
      <c r="BW117" s="625">
        <f t="shared" si="361"/>
        <v>0.75943695527605526</v>
      </c>
      <c r="BX117" s="460">
        <f t="shared" si="362"/>
        <v>13391.383285504044</v>
      </c>
      <c r="BY117" s="173">
        <f t="shared" si="363"/>
        <v>14.71971170914976</v>
      </c>
      <c r="BZ117" s="5">
        <f t="shared" si="364"/>
        <v>7.5600000000000005</v>
      </c>
      <c r="CA117" s="173">
        <f t="shared" si="365"/>
        <v>0.33932216442887297</v>
      </c>
      <c r="CB117" s="5">
        <f t="shared" si="366"/>
        <v>33.932216442887295</v>
      </c>
      <c r="CC117">
        <f t="shared" si="367"/>
        <v>7.0000000000000009</v>
      </c>
      <c r="CE117" s="562">
        <f t="shared" si="368"/>
        <v>-50</v>
      </c>
      <c r="CF117">
        <f t="shared" si="369"/>
        <v>-50</v>
      </c>
      <c r="CG117" s="173">
        <f t="shared" si="370"/>
        <v>0.12972895085528163</v>
      </c>
      <c r="CH117" s="173">
        <f t="shared" si="371"/>
        <v>3.2283217634001431E-2</v>
      </c>
      <c r="CI117" s="170">
        <v>7</v>
      </c>
      <c r="CJ117" s="217">
        <f t="shared" si="438"/>
        <v>4.2000000000000003E-2</v>
      </c>
      <c r="CK117" s="217">
        <f t="shared" si="372"/>
        <v>3.5000000000000003E-2</v>
      </c>
      <c r="CL117" s="217">
        <f t="shared" si="373"/>
        <v>7.1400000000000006</v>
      </c>
      <c r="CM117" s="217">
        <f t="shared" si="374"/>
        <v>0.42000000000000004</v>
      </c>
      <c r="CN117" s="541">
        <f t="shared" si="375"/>
        <v>9</v>
      </c>
      <c r="CO117" s="443">
        <f t="shared" si="376"/>
        <v>8.5350000000000001</v>
      </c>
      <c r="CP117" s="443">
        <f t="shared" si="377"/>
        <v>17.535</v>
      </c>
      <c r="CQ117" s="443"/>
      <c r="CR117" s="217">
        <f t="shared" si="378"/>
        <v>0.48644793152639093</v>
      </c>
      <c r="CS117" s="172">
        <f t="shared" si="379"/>
        <v>137.82691393247745</v>
      </c>
      <c r="CT117" s="172">
        <f t="shared" si="380"/>
        <v>8.1074655254398493</v>
      </c>
      <c r="CU117" s="217">
        <f t="shared" si="381"/>
        <v>0.81074655254398498</v>
      </c>
      <c r="CV117" s="217">
        <f t="shared" si="382"/>
        <v>11.485576161039788</v>
      </c>
      <c r="CW117" s="217">
        <f t="shared" si="383"/>
        <v>170</v>
      </c>
      <c r="CX117" s="217">
        <f t="shared" si="384"/>
        <v>3.4536070381231672</v>
      </c>
      <c r="CY117" s="217">
        <f t="shared" si="385"/>
        <v>0.19186705767350928</v>
      </c>
      <c r="CZ117" s="217">
        <f t="shared" si="386"/>
        <v>0.20232027171196054</v>
      </c>
      <c r="DA117" s="197">
        <f t="shared" si="387"/>
        <v>350</v>
      </c>
      <c r="DB117" s="443">
        <f t="shared" si="388"/>
        <v>350</v>
      </c>
      <c r="DD117" s="217">
        <f t="shared" si="389"/>
        <v>25.032384211169504</v>
      </c>
      <c r="DE117" s="173">
        <f t="shared" si="390"/>
        <v>1.4664548454112187</v>
      </c>
      <c r="DF117" s="173">
        <f t="shared" si="391"/>
        <v>0.30335794952229944</v>
      </c>
      <c r="DG117" s="173"/>
      <c r="DH117" s="173">
        <f t="shared" si="392"/>
        <v>0.78109744190587771</v>
      </c>
      <c r="DI117" s="545">
        <f t="shared" si="393"/>
        <v>170.80041176470593</v>
      </c>
      <c r="DJ117" s="528">
        <f t="shared" si="394"/>
        <v>8.6065366284073561E-2</v>
      </c>
      <c r="DL117" s="173">
        <f t="shared" si="395"/>
        <v>9.2951600308978009</v>
      </c>
      <c r="DM117" s="173">
        <f t="shared" si="396"/>
        <v>13.333333333333334</v>
      </c>
      <c r="DN117" s="173">
        <f t="shared" si="397"/>
        <v>1.0976002352941177</v>
      </c>
      <c r="DP117" s="545">
        <f t="shared" si="398"/>
        <v>42</v>
      </c>
      <c r="DQ117" s="460">
        <f t="shared" si="399"/>
        <v>170.80041176470593</v>
      </c>
      <c r="DS117" s="460">
        <f t="shared" si="400"/>
        <v>42</v>
      </c>
      <c r="DT117" s="460">
        <f t="shared" si="401"/>
        <v>170.80041176470593</v>
      </c>
      <c r="DV117" s="5">
        <f t="shared" si="402"/>
        <v>5.8547868220458197</v>
      </c>
      <c r="DW117" s="5">
        <f t="shared" si="403"/>
        <v>0.7407407407407407</v>
      </c>
      <c r="DX117" s="5">
        <f t="shared" si="404"/>
        <v>5.1140460813050792</v>
      </c>
      <c r="DY117" s="173">
        <f t="shared" si="405"/>
        <v>0.12651882352941179</v>
      </c>
      <c r="EA117" s="5">
        <f t="shared" si="406"/>
        <v>1.8300653594771243E-2</v>
      </c>
      <c r="EB117" s="5">
        <f t="shared" si="407"/>
        <v>0.2160493827160494</v>
      </c>
      <c r="EC117" s="5">
        <f t="shared" si="408"/>
        <v>6.491429159203248</v>
      </c>
      <c r="ED117" s="5"/>
      <c r="EE117" s="173">
        <f t="shared" si="409"/>
        <v>2.7381402017986378</v>
      </c>
      <c r="EF117" s="173">
        <f t="shared" si="410"/>
        <v>0.33974361618297227</v>
      </c>
      <c r="EG117" s="173">
        <f t="shared" si="411"/>
        <v>0.2686161893581907</v>
      </c>
      <c r="EH117" s="173"/>
      <c r="EI117" s="528">
        <f t="shared" si="412"/>
        <v>0.29989647058823538</v>
      </c>
      <c r="EJ117" s="528">
        <f t="shared" si="413"/>
        <v>1.0981612474411768</v>
      </c>
      <c r="EK117" s="528">
        <f t="shared" si="414"/>
        <v>3.4160082352941185E-2</v>
      </c>
      <c r="EL117" s="528">
        <f t="shared" si="415"/>
        <v>1.0503413167571474E-2</v>
      </c>
      <c r="EM117">
        <f t="shared" si="416"/>
        <v>4.0499999999999998E-3</v>
      </c>
      <c r="EN117" s="460">
        <f t="shared" si="417"/>
        <v>38.210082352941185</v>
      </c>
      <c r="EP117" s="460">
        <f t="shared" si="439"/>
        <v>1446.7712135499248</v>
      </c>
      <c r="EQ117" s="173">
        <f t="shared" si="418"/>
        <v>2.9399999999999999E-2</v>
      </c>
      <c r="ER117" s="173">
        <f t="shared" si="419"/>
        <v>3.0380000000000001E-2</v>
      </c>
      <c r="ES117" s="528"/>
      <c r="EU117" s="460">
        <f t="shared" si="420"/>
        <v>59.78</v>
      </c>
      <c r="EV117" s="528">
        <f t="shared" si="421"/>
        <v>0.22492235294117655</v>
      </c>
      <c r="EW117" s="528">
        <f t="shared" si="422"/>
        <v>3.4627717421124833E-3</v>
      </c>
      <c r="EX117" s="528">
        <f t="shared" si="423"/>
        <v>3.6077328592657685E-4</v>
      </c>
      <c r="EY117" s="528">
        <f t="shared" si="424"/>
        <v>12.374826800977152</v>
      </c>
      <c r="EZ117" s="528"/>
      <c r="FA117" s="625">
        <f t="shared" si="425"/>
        <v>0.75911294117647088</v>
      </c>
      <c r="FB117" s="460">
        <f t="shared" si="426"/>
        <v>13362.685640122838</v>
      </c>
      <c r="FC117" s="173">
        <f t="shared" si="427"/>
        <v>14.869236853672762</v>
      </c>
      <c r="FD117" s="5">
        <f t="shared" si="428"/>
        <v>7.5600000000000005</v>
      </c>
      <c r="FE117" s="173">
        <f t="shared" si="429"/>
        <v>0.33706006358223728</v>
      </c>
      <c r="FF117" s="5">
        <f t="shared" si="430"/>
        <v>33.706006358223725</v>
      </c>
      <c r="FG117">
        <f t="shared" si="431"/>
        <v>7.0000000000000009</v>
      </c>
      <c r="FI117" s="562">
        <f t="shared" si="432"/>
        <v>-50</v>
      </c>
      <c r="FJ117">
        <f t="shared" si="433"/>
        <v>-50</v>
      </c>
    </row>
    <row r="118" spans="5:166">
      <c r="E118" s="170">
        <v>8</v>
      </c>
      <c r="F118" s="217">
        <f t="shared" si="434"/>
        <v>4.8000000000000001E-2</v>
      </c>
      <c r="G118" s="217">
        <f t="shared" si="313"/>
        <v>0.04</v>
      </c>
      <c r="H118" s="217">
        <f t="shared" si="314"/>
        <v>8.16</v>
      </c>
      <c r="I118" s="217">
        <f t="shared" si="315"/>
        <v>0.48</v>
      </c>
      <c r="J118" s="541">
        <f t="shared" si="316"/>
        <v>8.4338224434052194</v>
      </c>
      <c r="K118" s="443">
        <f t="shared" si="317"/>
        <v>8.5386430156699316</v>
      </c>
      <c r="L118" s="172">
        <f t="shared" si="318"/>
        <v>16.972465459075153</v>
      </c>
      <c r="M118" s="443"/>
      <c r="N118" s="217">
        <f t="shared" si="319"/>
        <v>0.50308795951058083</v>
      </c>
      <c r="O118" s="172">
        <f t="shared" si="320"/>
        <v>133.57449427178452</v>
      </c>
      <c r="P118" s="172">
        <f t="shared" si="321"/>
        <v>7.8573231924579128</v>
      </c>
      <c r="Q118" s="217">
        <f t="shared" si="322"/>
        <v>0.78573231924579123</v>
      </c>
      <c r="R118" s="217">
        <f t="shared" si="323"/>
        <v>11.131207855982042</v>
      </c>
      <c r="S118" s="217">
        <f t="shared" si="324"/>
        <v>170</v>
      </c>
      <c r="T118" s="217">
        <f t="shared" si="325"/>
        <v>4.0726337985837411</v>
      </c>
      <c r="U118" s="217">
        <f t="shared" si="326"/>
        <v>0.24144649866136997</v>
      </c>
      <c r="V118" s="217">
        <f t="shared" si="327"/>
        <v>0.23848249605409974</v>
      </c>
      <c r="W118" s="197">
        <f t="shared" si="328"/>
        <v>350</v>
      </c>
      <c r="X118" s="443">
        <f t="shared" si="435"/>
        <v>350</v>
      </c>
      <c r="Z118" s="217">
        <f t="shared" si="329"/>
        <v>24.245454422441561</v>
      </c>
      <c r="AA118" s="173">
        <f t="shared" si="330"/>
        <v>1.4197486871126259</v>
      </c>
      <c r="AB118" s="173">
        <f t="shared" si="331"/>
        <v>0.28446331931114854</v>
      </c>
      <c r="AC118" s="173"/>
      <c r="AD118" s="173">
        <f t="shared" si="332"/>
        <v>0.78076418635047107</v>
      </c>
      <c r="AE118" s="545">
        <f t="shared" si="333"/>
        <v>195.28378849955706</v>
      </c>
      <c r="AF118" s="528">
        <f t="shared" si="334"/>
        <v>8.6028646458987085E-2</v>
      </c>
      <c r="AH118" s="173">
        <f t="shared" si="335"/>
        <v>9.936944054529901</v>
      </c>
      <c r="AI118" s="173">
        <f t="shared" si="336"/>
        <v>13.333333333333334</v>
      </c>
      <c r="AJ118" s="173">
        <f t="shared" si="337"/>
        <v>1.1115907362854611</v>
      </c>
      <c r="AL118" s="545">
        <f t="shared" si="338"/>
        <v>48</v>
      </c>
      <c r="AM118" s="460">
        <f t="shared" si="339"/>
        <v>195.28378849955706</v>
      </c>
      <c r="AO118" s="460">
        <f t="shared" si="340"/>
        <v>48</v>
      </c>
      <c r="AP118" s="460">
        <f t="shared" si="341"/>
        <v>195.28378849955706</v>
      </c>
      <c r="AR118" s="5">
        <f t="shared" si="275"/>
        <v>5.1207527654158973</v>
      </c>
      <c r="AS118" s="5">
        <f t="shared" si="440"/>
        <v>0.79046798902905879</v>
      </c>
      <c r="AT118" s="5">
        <f t="shared" si="441"/>
        <v>4.3302847763868382</v>
      </c>
      <c r="AU118" s="173">
        <f t="shared" si="442"/>
        <v>0.1543655835852209</v>
      </c>
      <c r="AW118" s="5">
        <f t="shared" si="342"/>
        <v>2.2319096160820485E-2</v>
      </c>
      <c r="AX118" s="5">
        <f t="shared" si="343"/>
        <v>0.26348932967635291</v>
      </c>
      <c r="AY118" s="5">
        <f t="shared" si="344"/>
        <v>6.7035082158641739</v>
      </c>
      <c r="AZ118" s="5"/>
      <c r="BA118" s="173">
        <f t="shared" si="345"/>
        <v>3.0244983283816609</v>
      </c>
      <c r="BB118" s="173">
        <f t="shared" si="346"/>
        <v>0.33428420367502315</v>
      </c>
      <c r="BC118" s="173">
        <f t="shared" si="347"/>
        <v>0.26429973861661166</v>
      </c>
      <c r="BD118" s="173"/>
      <c r="BE118" s="528">
        <f t="shared" si="348"/>
        <v>0.36590360553533841</v>
      </c>
      <c r="BF118" s="528">
        <f t="shared" si="349"/>
        <v>0.99433420650782089</v>
      </c>
      <c r="BG118" s="528">
        <f t="shared" si="350"/>
        <v>6.587955193123049E-2</v>
      </c>
      <c r="BH118" s="528">
        <f t="shared" si="351"/>
        <v>1.1250868649820596E-2</v>
      </c>
      <c r="BI118">
        <f t="shared" si="352"/>
        <v>3.7952200995323487E-3</v>
      </c>
      <c r="BJ118" s="460">
        <f t="shared" si="436"/>
        <v>69.674772030762838</v>
      </c>
      <c r="BK118">
        <f t="shared" si="353"/>
        <v>1.6102781366745722</v>
      </c>
      <c r="BL118" s="460">
        <f t="shared" si="437"/>
        <v>1441.1634527237427</v>
      </c>
      <c r="BM118" s="173">
        <f t="shared" si="354"/>
        <v>4.1664E-2</v>
      </c>
      <c r="BN118" s="173">
        <f t="shared" si="355"/>
        <v>3.4719999999999994E-2</v>
      </c>
      <c r="BO118" s="528"/>
      <c r="BQ118" s="460">
        <f t="shared" si="356"/>
        <v>76.384</v>
      </c>
      <c r="BR118" s="528">
        <f t="shared" si="357"/>
        <v>0.2744277041515038</v>
      </c>
      <c r="BS118" s="528">
        <f t="shared" si="358"/>
        <v>3.3523778647993308E-3</v>
      </c>
      <c r="BT118" s="528">
        <f t="shared" si="359"/>
        <v>3.4927175916404625E-4</v>
      </c>
      <c r="BU118" s="528">
        <f t="shared" si="360"/>
        <v>17.297459615775384</v>
      </c>
      <c r="BV118" s="528"/>
      <c r="BW118" s="625">
        <f t="shared" si="361"/>
        <v>0.86792794888692038</v>
      </c>
      <c r="BX118" s="460">
        <f t="shared" si="362"/>
        <v>18443.51691843777</v>
      </c>
      <c r="BY118" s="173">
        <f t="shared" si="363"/>
        <v>19.961064371161513</v>
      </c>
      <c r="BZ118" s="5">
        <f t="shared" si="364"/>
        <v>8.64</v>
      </c>
      <c r="CA118" s="173">
        <f t="shared" si="365"/>
        <v>0.30208665970878074</v>
      </c>
      <c r="CB118" s="5">
        <f t="shared" si="366"/>
        <v>30.208665970878073</v>
      </c>
      <c r="CC118">
        <f t="shared" si="367"/>
        <v>8</v>
      </c>
      <c r="CE118" s="562">
        <f t="shared" si="368"/>
        <v>-50</v>
      </c>
      <c r="CF118">
        <f t="shared" si="369"/>
        <v>-50</v>
      </c>
      <c r="CG118" s="173">
        <f t="shared" si="370"/>
        <v>0.14826165812032185</v>
      </c>
      <c r="CH118" s="173">
        <f t="shared" si="371"/>
        <v>3.6895105867430202E-2</v>
      </c>
      <c r="CI118" s="170">
        <v>8</v>
      </c>
      <c r="CJ118" s="217">
        <f t="shared" si="438"/>
        <v>4.8000000000000001E-2</v>
      </c>
      <c r="CK118" s="217">
        <f t="shared" si="372"/>
        <v>0.04</v>
      </c>
      <c r="CL118" s="217">
        <f t="shared" si="373"/>
        <v>8.16</v>
      </c>
      <c r="CM118" s="217">
        <f t="shared" si="374"/>
        <v>0.48</v>
      </c>
      <c r="CN118" s="541">
        <f t="shared" si="375"/>
        <v>9</v>
      </c>
      <c r="CO118" s="443">
        <f t="shared" si="376"/>
        <v>8.5350000000000001</v>
      </c>
      <c r="CP118" s="443">
        <f t="shared" si="377"/>
        <v>17.535</v>
      </c>
      <c r="CQ118" s="443"/>
      <c r="CR118" s="217">
        <f t="shared" si="378"/>
        <v>0.48644793152639093</v>
      </c>
      <c r="CS118" s="172">
        <f t="shared" si="379"/>
        <v>137.82691393247745</v>
      </c>
      <c r="CT118" s="172">
        <f t="shared" si="380"/>
        <v>8.1074655254398493</v>
      </c>
      <c r="CU118" s="217">
        <f t="shared" si="381"/>
        <v>0.81074655254398498</v>
      </c>
      <c r="CV118" s="217">
        <f t="shared" si="382"/>
        <v>11.485576161039788</v>
      </c>
      <c r="CW118" s="217">
        <f t="shared" si="383"/>
        <v>170</v>
      </c>
      <c r="CX118" s="217">
        <f t="shared" si="384"/>
        <v>3.9469794721407623</v>
      </c>
      <c r="CY118" s="217">
        <f t="shared" si="385"/>
        <v>0.21927663734115344</v>
      </c>
      <c r="CZ118" s="217">
        <f t="shared" si="386"/>
        <v>0.23122316767081208</v>
      </c>
      <c r="DA118" s="197">
        <f t="shared" si="387"/>
        <v>350</v>
      </c>
      <c r="DB118" s="443">
        <f t="shared" si="388"/>
        <v>350</v>
      </c>
      <c r="DD118" s="217">
        <f t="shared" si="389"/>
        <v>25.032384211169504</v>
      </c>
      <c r="DE118" s="173">
        <f t="shared" si="390"/>
        <v>1.4664548454112187</v>
      </c>
      <c r="DF118" s="173">
        <f t="shared" si="391"/>
        <v>0.30335794952229944</v>
      </c>
      <c r="DG118" s="173"/>
      <c r="DH118" s="173">
        <f t="shared" si="392"/>
        <v>0.78109744190587771</v>
      </c>
      <c r="DI118" s="545">
        <f t="shared" si="393"/>
        <v>195.20047058823533</v>
      </c>
      <c r="DJ118" s="528">
        <f t="shared" si="394"/>
        <v>8.6065366284073561E-2</v>
      </c>
      <c r="DL118" s="173">
        <f t="shared" si="395"/>
        <v>9.936944054529901</v>
      </c>
      <c r="DM118" s="173">
        <f t="shared" si="396"/>
        <v>13.333333333333334</v>
      </c>
      <c r="DN118" s="173">
        <f t="shared" si="397"/>
        <v>1.1115431260504203</v>
      </c>
      <c r="DP118" s="545">
        <f t="shared" si="398"/>
        <v>48</v>
      </c>
      <c r="DQ118" s="460">
        <f t="shared" si="399"/>
        <v>195.20047058823533</v>
      </c>
      <c r="DS118" s="460">
        <f t="shared" si="400"/>
        <v>48</v>
      </c>
      <c r="DT118" s="460">
        <f t="shared" si="401"/>
        <v>195.20047058823533</v>
      </c>
      <c r="DV118" s="5">
        <f t="shared" si="402"/>
        <v>5.1229384692900926</v>
      </c>
      <c r="DW118" s="5">
        <f t="shared" si="403"/>
        <v>0.7407407407407407</v>
      </c>
      <c r="DX118" s="5">
        <f t="shared" si="404"/>
        <v>4.3821977285493521</v>
      </c>
      <c r="DY118" s="173">
        <f t="shared" si="405"/>
        <v>0.14459294117647059</v>
      </c>
      <c r="EA118" s="5">
        <f t="shared" si="406"/>
        <v>2.0915032679738564E-2</v>
      </c>
      <c r="EB118" s="5">
        <f t="shared" si="407"/>
        <v>0.24691358024691359</v>
      </c>
      <c r="EC118" s="5">
        <f t="shared" si="408"/>
        <v>6.3571081715489273</v>
      </c>
      <c r="ED118" s="5"/>
      <c r="EE118" s="173">
        <f t="shared" si="409"/>
        <v>2.9271950034521605</v>
      </c>
      <c r="EF118" s="173">
        <f t="shared" si="410"/>
        <v>0.33621024623790752</v>
      </c>
      <c r="EG118" s="173">
        <f t="shared" si="411"/>
        <v>0.26582255225942941</v>
      </c>
      <c r="EH118" s="173"/>
      <c r="EI118" s="528">
        <f t="shared" si="412"/>
        <v>0.34273882352941182</v>
      </c>
      <c r="EJ118" s="528">
        <f t="shared" si="413"/>
        <v>1.2550414256470592</v>
      </c>
      <c r="EK118" s="528">
        <f t="shared" si="414"/>
        <v>3.9040094117647063E-2</v>
      </c>
      <c r="EL118" s="528">
        <f t="shared" si="415"/>
        <v>1.2003900762938825E-2</v>
      </c>
      <c r="EM118">
        <f t="shared" si="416"/>
        <v>4.0499999999999998E-3</v>
      </c>
      <c r="EN118" s="460">
        <f t="shared" si="417"/>
        <v>43.090094117647062</v>
      </c>
      <c r="EP118" s="460">
        <f t="shared" si="439"/>
        <v>1652.874244057057</v>
      </c>
      <c r="EQ118" s="173">
        <f t="shared" si="418"/>
        <v>3.3599999999999998E-2</v>
      </c>
      <c r="ER118" s="173">
        <f t="shared" si="419"/>
        <v>3.4719999999999994E-2</v>
      </c>
      <c r="ES118" s="528"/>
      <c r="EU118" s="460">
        <f t="shared" si="420"/>
        <v>68.319999999999993</v>
      </c>
      <c r="EV118" s="528">
        <f t="shared" si="421"/>
        <v>0.25705411764705882</v>
      </c>
      <c r="EW118" s="528">
        <f t="shared" si="422"/>
        <v>3.3911198902606319E-3</v>
      </c>
      <c r="EX118" s="528">
        <f t="shared" si="423"/>
        <v>3.5330814644858545E-4</v>
      </c>
      <c r="EY118" s="528">
        <f t="shared" si="424"/>
        <v>17.279015597872601</v>
      </c>
      <c r="EZ118" s="528"/>
      <c r="FA118" s="625">
        <f t="shared" si="425"/>
        <v>0.86755764705882377</v>
      </c>
      <c r="FB118" s="460">
        <f t="shared" si="426"/>
        <v>18407.371790615194</v>
      </c>
      <c r="FC118" s="173">
        <f t="shared" si="427"/>
        <v>20.12856603467225</v>
      </c>
      <c r="FD118" s="5">
        <f t="shared" si="428"/>
        <v>8.64</v>
      </c>
      <c r="FE118" s="173">
        <f t="shared" si="429"/>
        <v>0.30032779491292544</v>
      </c>
      <c r="FF118" s="5">
        <f t="shared" si="430"/>
        <v>30.032779491292544</v>
      </c>
      <c r="FG118">
        <f t="shared" si="431"/>
        <v>8</v>
      </c>
      <c r="FI118" s="562">
        <f t="shared" si="432"/>
        <v>-50</v>
      </c>
      <c r="FJ118">
        <f t="shared" si="433"/>
        <v>-50</v>
      </c>
    </row>
    <row r="119" spans="5:166">
      <c r="E119" s="170">
        <v>9</v>
      </c>
      <c r="F119" s="217">
        <f t="shared" si="434"/>
        <v>5.3999999999999999E-2</v>
      </c>
      <c r="G119" s="217">
        <f t="shared" si="313"/>
        <v>4.4999999999999998E-2</v>
      </c>
      <c r="H119" s="217">
        <f t="shared" si="314"/>
        <v>9.18</v>
      </c>
      <c r="I119" s="217">
        <f t="shared" si="315"/>
        <v>0.54</v>
      </c>
      <c r="J119" s="541">
        <f t="shared" si="316"/>
        <v>8.4338224434052194</v>
      </c>
      <c r="K119" s="443">
        <f t="shared" si="317"/>
        <v>8.5386430156699316</v>
      </c>
      <c r="L119" s="172">
        <f t="shared" si="318"/>
        <v>16.972465459075153</v>
      </c>
      <c r="M119" s="443"/>
      <c r="N119" s="217">
        <f t="shared" si="319"/>
        <v>0.50308795951058083</v>
      </c>
      <c r="O119" s="172">
        <f t="shared" si="320"/>
        <v>133.57449427178452</v>
      </c>
      <c r="P119" s="172">
        <f t="shared" si="321"/>
        <v>7.8573231924579128</v>
      </c>
      <c r="Q119" s="217">
        <f t="shared" si="322"/>
        <v>0.78573231924579123</v>
      </c>
      <c r="R119" s="217">
        <f t="shared" si="323"/>
        <v>11.131207855982042</v>
      </c>
      <c r="S119" s="217">
        <f t="shared" si="324"/>
        <v>170</v>
      </c>
      <c r="T119" s="217">
        <f t="shared" si="325"/>
        <v>4.5817130234067083</v>
      </c>
      <c r="U119" s="217">
        <f t="shared" si="326"/>
        <v>0.27162731099404119</v>
      </c>
      <c r="V119" s="217">
        <f t="shared" si="327"/>
        <v>0.26829280806086214</v>
      </c>
      <c r="W119" s="197">
        <f t="shared" si="328"/>
        <v>350</v>
      </c>
      <c r="X119" s="443">
        <f t="shared" si="435"/>
        <v>350</v>
      </c>
      <c r="Z119" s="217">
        <f t="shared" si="329"/>
        <v>24.245454422441561</v>
      </c>
      <c r="AA119" s="173">
        <f t="shared" si="330"/>
        <v>1.4197486871126259</v>
      </c>
      <c r="AB119" s="173">
        <f t="shared" si="331"/>
        <v>0.28446331931114854</v>
      </c>
      <c r="AC119" s="173"/>
      <c r="AD119" s="173">
        <f t="shared" si="332"/>
        <v>0.78076418635047107</v>
      </c>
      <c r="AE119" s="545">
        <f t="shared" si="333"/>
        <v>219.69426206200166</v>
      </c>
      <c r="AF119" s="528">
        <f t="shared" si="334"/>
        <v>8.6028646458987085E-2</v>
      </c>
      <c r="AH119" s="173">
        <f t="shared" si="335"/>
        <v>10.539720787844157</v>
      </c>
      <c r="AI119" s="173">
        <f t="shared" si="336"/>
        <v>13.333333333333334</v>
      </c>
      <c r="AJ119" s="173">
        <f t="shared" si="337"/>
        <v>1.1255395783211437</v>
      </c>
      <c r="AL119" s="545">
        <f t="shared" si="338"/>
        <v>54</v>
      </c>
      <c r="AM119" s="460">
        <f t="shared" si="339"/>
        <v>219.69426206200166</v>
      </c>
      <c r="AO119" s="460">
        <f t="shared" si="340"/>
        <v>54</v>
      </c>
      <c r="AP119" s="460">
        <f t="shared" si="341"/>
        <v>219.69426206200166</v>
      </c>
      <c r="AR119" s="5">
        <f t="shared" si="275"/>
        <v>4.5517802359252428</v>
      </c>
      <c r="AS119" s="5">
        <f t="shared" si="440"/>
        <v>0.79046798902905879</v>
      </c>
      <c r="AT119" s="5">
        <f t="shared" si="441"/>
        <v>3.7613122468961842</v>
      </c>
      <c r="AU119" s="173">
        <f t="shared" si="442"/>
        <v>0.17366128153337348</v>
      </c>
      <c r="AW119" s="5">
        <f t="shared" si="342"/>
        <v>2.5108983180923045E-2</v>
      </c>
      <c r="AX119" s="5">
        <f t="shared" si="343"/>
        <v>0.29642549588589701</v>
      </c>
      <c r="AY119" s="5">
        <f t="shared" si="344"/>
        <v>6.5505474715809999</v>
      </c>
      <c r="AZ119" s="5"/>
      <c r="BA119" s="173">
        <f t="shared" si="345"/>
        <v>3.2079649165290749</v>
      </c>
      <c r="BB119" s="173">
        <f t="shared" si="346"/>
        <v>0.33044834491766972</v>
      </c>
      <c r="BC119" s="173">
        <f t="shared" si="347"/>
        <v>0.26126694060882921</v>
      </c>
      <c r="BD119" s="173"/>
      <c r="BE119" s="528">
        <f t="shared" si="348"/>
        <v>0.41164155622725579</v>
      </c>
      <c r="BF119" s="528">
        <f t="shared" si="349"/>
        <v>1.1186259823212983</v>
      </c>
      <c r="BG119" s="528">
        <f t="shared" si="350"/>
        <v>7.4114495922634291E-2</v>
      </c>
      <c r="BH119" s="528">
        <f t="shared" si="351"/>
        <v>1.2657227231048167E-2</v>
      </c>
      <c r="BI119">
        <f t="shared" si="352"/>
        <v>3.7952200995323487E-3</v>
      </c>
      <c r="BJ119" s="460">
        <f t="shared" si="436"/>
        <v>77.909716022166634</v>
      </c>
      <c r="BK119">
        <f t="shared" si="353"/>
        <v>1.8333840037234392</v>
      </c>
      <c r="BL119" s="460">
        <f t="shared" si="437"/>
        <v>1620.8344818017688</v>
      </c>
      <c r="BM119" s="173">
        <f t="shared" si="354"/>
        <v>4.6871999999999997E-2</v>
      </c>
      <c r="BN119" s="173">
        <f t="shared" si="355"/>
        <v>3.9059999999999997E-2</v>
      </c>
      <c r="BO119" s="528"/>
      <c r="BQ119" s="460">
        <f t="shared" si="356"/>
        <v>85.931999999999988</v>
      </c>
      <c r="BR119" s="528">
        <f t="shared" si="357"/>
        <v>0.30873116717044186</v>
      </c>
      <c r="BS119" s="528">
        <f t="shared" si="358"/>
        <v>3.2758832597648163E-3</v>
      </c>
      <c r="BT119" s="528">
        <f t="shared" si="359"/>
        <v>3.4130207127548744E-4</v>
      </c>
      <c r="BU119" s="528">
        <f t="shared" si="360"/>
        <v>23.220075710644473</v>
      </c>
      <c r="BV119" s="528"/>
      <c r="BW119" s="625">
        <f t="shared" si="361"/>
        <v>0.97641894249778527</v>
      </c>
      <c r="BX119" s="460">
        <f t="shared" si="362"/>
        <v>24508.843005643736</v>
      </c>
      <c r="BY119" s="173">
        <f t="shared" si="363"/>
        <v>26.215609487445509</v>
      </c>
      <c r="BZ119" s="5">
        <f t="shared" si="364"/>
        <v>9.7199999999999989</v>
      </c>
      <c r="CA119" s="173">
        <f t="shared" si="365"/>
        <v>0.27048379417067592</v>
      </c>
      <c r="CB119" s="5">
        <f t="shared" si="366"/>
        <v>27.048379417067594</v>
      </c>
      <c r="CC119">
        <f t="shared" si="367"/>
        <v>9</v>
      </c>
      <c r="CE119" s="562">
        <f t="shared" si="368"/>
        <v>-50</v>
      </c>
      <c r="CF119">
        <f t="shared" si="369"/>
        <v>-50</v>
      </c>
      <c r="CG119" s="173">
        <f t="shared" si="370"/>
        <v>0.16679436538536205</v>
      </c>
      <c r="CH119" s="173">
        <f t="shared" si="371"/>
        <v>4.1506994100858972E-2</v>
      </c>
      <c r="CI119" s="170">
        <v>9</v>
      </c>
      <c r="CJ119" s="217">
        <f t="shared" si="438"/>
        <v>5.3999999999999999E-2</v>
      </c>
      <c r="CK119" s="217">
        <f t="shared" si="372"/>
        <v>4.4999999999999998E-2</v>
      </c>
      <c r="CL119" s="217">
        <f t="shared" si="373"/>
        <v>9.18</v>
      </c>
      <c r="CM119" s="217">
        <f t="shared" si="374"/>
        <v>0.54</v>
      </c>
      <c r="CN119" s="541">
        <f t="shared" si="375"/>
        <v>9</v>
      </c>
      <c r="CO119" s="443">
        <f t="shared" si="376"/>
        <v>8.5350000000000001</v>
      </c>
      <c r="CP119" s="443">
        <f t="shared" si="377"/>
        <v>17.535</v>
      </c>
      <c r="CQ119" s="443"/>
      <c r="CR119" s="217">
        <f t="shared" si="378"/>
        <v>0.48644793152639093</v>
      </c>
      <c r="CS119" s="172">
        <f t="shared" si="379"/>
        <v>137.82691393247745</v>
      </c>
      <c r="CT119" s="172">
        <f t="shared" si="380"/>
        <v>8.1074655254398493</v>
      </c>
      <c r="CU119" s="217">
        <f t="shared" si="381"/>
        <v>0.81074655254398498</v>
      </c>
      <c r="CV119" s="217">
        <f t="shared" si="382"/>
        <v>11.485576161039788</v>
      </c>
      <c r="CW119" s="217">
        <f t="shared" si="383"/>
        <v>170</v>
      </c>
      <c r="CX119" s="217">
        <f t="shared" si="384"/>
        <v>4.440351906158357</v>
      </c>
      <c r="CY119" s="217">
        <f t="shared" si="385"/>
        <v>0.24668621700879759</v>
      </c>
      <c r="CZ119" s="217">
        <f t="shared" si="386"/>
        <v>0.26012606362966356</v>
      </c>
      <c r="DA119" s="197">
        <f t="shared" si="387"/>
        <v>350</v>
      </c>
      <c r="DB119" s="443">
        <f t="shared" si="388"/>
        <v>350</v>
      </c>
      <c r="DD119" s="217">
        <f t="shared" si="389"/>
        <v>25.032384211169504</v>
      </c>
      <c r="DE119" s="173">
        <f t="shared" si="390"/>
        <v>1.4664548454112187</v>
      </c>
      <c r="DF119" s="173">
        <f t="shared" si="391"/>
        <v>0.30335794952229944</v>
      </c>
      <c r="DG119" s="173"/>
      <c r="DH119" s="173">
        <f t="shared" si="392"/>
        <v>0.78109744190587771</v>
      </c>
      <c r="DI119" s="545">
        <f t="shared" si="393"/>
        <v>219.60052941176471</v>
      </c>
      <c r="DJ119" s="528">
        <f t="shared" si="394"/>
        <v>8.6065366284073561E-2</v>
      </c>
      <c r="DL119" s="173">
        <f t="shared" si="395"/>
        <v>10.539720787844157</v>
      </c>
      <c r="DM119" s="173">
        <f t="shared" si="396"/>
        <v>13.333333333333334</v>
      </c>
      <c r="DN119" s="173">
        <f t="shared" si="397"/>
        <v>1.1254860168067227</v>
      </c>
      <c r="DP119" s="545">
        <f t="shared" si="398"/>
        <v>54</v>
      </c>
      <c r="DQ119" s="460">
        <f t="shared" si="399"/>
        <v>219.60052941176471</v>
      </c>
      <c r="DS119" s="460">
        <f t="shared" si="400"/>
        <v>54</v>
      </c>
      <c r="DT119" s="460">
        <f t="shared" si="401"/>
        <v>219.60052941176471</v>
      </c>
      <c r="DV119" s="5">
        <f t="shared" si="402"/>
        <v>4.5537230838134164</v>
      </c>
      <c r="DW119" s="5">
        <f t="shared" si="403"/>
        <v>0.7407407407407407</v>
      </c>
      <c r="DX119" s="5">
        <f t="shared" si="404"/>
        <v>3.8129823430726759</v>
      </c>
      <c r="DY119" s="173">
        <f t="shared" si="405"/>
        <v>0.16266705882352939</v>
      </c>
      <c r="EA119" s="5">
        <f t="shared" si="406"/>
        <v>2.3529411764705882E-2</v>
      </c>
      <c r="EB119" s="5">
        <f t="shared" si="407"/>
        <v>0.27777777777777779</v>
      </c>
      <c r="EC119" s="5">
        <f t="shared" si="408"/>
        <v>6.2227871838946074</v>
      </c>
      <c r="ED119" s="5"/>
      <c r="EE119" s="173">
        <f t="shared" si="409"/>
        <v>3.104759155194603</v>
      </c>
      <c r="EF119" s="173">
        <f t="shared" si="410"/>
        <v>0.33263934615981017</v>
      </c>
      <c r="EG119" s="173">
        <f t="shared" si="411"/>
        <v>0.26299924219305049</v>
      </c>
      <c r="EH119" s="173"/>
      <c r="EI119" s="528">
        <f t="shared" si="412"/>
        <v>0.3855811764705882</v>
      </c>
      <c r="EJ119" s="528">
        <f t="shared" si="413"/>
        <v>1.4119216038529414</v>
      </c>
      <c r="EK119" s="528">
        <f t="shared" si="414"/>
        <v>4.3920105882352942E-2</v>
      </c>
      <c r="EL119" s="528">
        <f t="shared" si="415"/>
        <v>1.3504388358306176E-2</v>
      </c>
      <c r="EM119">
        <f t="shared" si="416"/>
        <v>4.0499999999999998E-3</v>
      </c>
      <c r="EN119" s="460">
        <f t="shared" si="417"/>
        <v>47.970105882352939</v>
      </c>
      <c r="EP119" s="460">
        <f t="shared" si="439"/>
        <v>1858.9772745641885</v>
      </c>
      <c r="EQ119" s="173">
        <f t="shared" si="418"/>
        <v>3.78E-2</v>
      </c>
      <c r="ER119" s="173">
        <f t="shared" si="419"/>
        <v>3.9059999999999997E-2</v>
      </c>
      <c r="ES119" s="528"/>
      <c r="EU119" s="460">
        <f t="shared" si="420"/>
        <v>76.86</v>
      </c>
      <c r="EV119" s="528">
        <f t="shared" si="421"/>
        <v>0.28918588235294113</v>
      </c>
      <c r="EW119" s="528">
        <f t="shared" si="422"/>
        <v>3.3194680384087804E-3</v>
      </c>
      <c r="EX119" s="528">
        <f t="shared" si="423"/>
        <v>3.4584300697059416E-4</v>
      </c>
      <c r="EY119" s="528">
        <f t="shared" si="424"/>
        <v>23.195316497348209</v>
      </c>
      <c r="EZ119" s="528"/>
      <c r="FA119" s="625">
        <f t="shared" si="425"/>
        <v>0.97600235294117665</v>
      </c>
      <c r="FB119" s="460">
        <f t="shared" si="426"/>
        <v>24464.170043687704</v>
      </c>
      <c r="FC119" s="173">
        <f t="shared" si="427"/>
        <v>26.400007318251895</v>
      </c>
      <c r="FD119" s="5">
        <f t="shared" si="428"/>
        <v>9.7199999999999989</v>
      </c>
      <c r="FE119" s="173">
        <f t="shared" si="429"/>
        <v>0.26910293551043551</v>
      </c>
      <c r="FF119" s="5">
        <f t="shared" si="430"/>
        <v>26.910293551043551</v>
      </c>
      <c r="FG119">
        <f t="shared" si="431"/>
        <v>9</v>
      </c>
      <c r="FI119" s="562">
        <f t="shared" si="432"/>
        <v>-50</v>
      </c>
      <c r="FJ119">
        <f t="shared" si="433"/>
        <v>-50</v>
      </c>
    </row>
    <row r="120" spans="5:166">
      <c r="E120" s="170">
        <v>10</v>
      </c>
      <c r="F120" s="217">
        <f t="shared" si="434"/>
        <v>0.06</v>
      </c>
      <c r="G120" s="217">
        <f t="shared" si="313"/>
        <v>0.05</v>
      </c>
      <c r="H120" s="217">
        <f t="shared" si="314"/>
        <v>10.199999999999999</v>
      </c>
      <c r="I120" s="217">
        <f t="shared" si="315"/>
        <v>0.60000000000000009</v>
      </c>
      <c r="J120" s="541">
        <f t="shared" si="316"/>
        <v>8.4338224434052194</v>
      </c>
      <c r="K120" s="443">
        <f t="shared" si="317"/>
        <v>8.5386430156699316</v>
      </c>
      <c r="L120" s="172">
        <f t="shared" si="318"/>
        <v>16.972465459075153</v>
      </c>
      <c r="M120" s="443"/>
      <c r="N120" s="217">
        <f t="shared" si="319"/>
        <v>0.50308795951058083</v>
      </c>
      <c r="O120" s="172">
        <f t="shared" si="320"/>
        <v>133.57449427178452</v>
      </c>
      <c r="P120" s="172">
        <f t="shared" si="321"/>
        <v>7.8573231924579128</v>
      </c>
      <c r="Q120" s="217">
        <f t="shared" si="322"/>
        <v>0.78573231924579123</v>
      </c>
      <c r="R120" s="217">
        <f t="shared" si="323"/>
        <v>11.131207855982042</v>
      </c>
      <c r="S120" s="217">
        <f t="shared" si="324"/>
        <v>170</v>
      </c>
      <c r="T120" s="217">
        <f t="shared" si="325"/>
        <v>5.0907922482296764</v>
      </c>
      <c r="U120" s="217">
        <f t="shared" si="326"/>
        <v>0.30180812332671247</v>
      </c>
      <c r="V120" s="217">
        <f t="shared" si="327"/>
        <v>0.29810312006762463</v>
      </c>
      <c r="W120" s="197">
        <f t="shared" si="328"/>
        <v>350</v>
      </c>
      <c r="X120" s="443">
        <f t="shared" si="435"/>
        <v>350</v>
      </c>
      <c r="Z120" s="217">
        <f t="shared" si="329"/>
        <v>24.245454422441561</v>
      </c>
      <c r="AA120" s="173">
        <f t="shared" si="330"/>
        <v>1.4197486871126259</v>
      </c>
      <c r="AB120" s="173">
        <f t="shared" si="331"/>
        <v>0.28446331931114854</v>
      </c>
      <c r="AC120" s="173"/>
      <c r="AD120" s="173">
        <f t="shared" si="332"/>
        <v>0.78076418635047107</v>
      </c>
      <c r="AE120" s="545">
        <f t="shared" si="333"/>
        <v>244.10473562444628</v>
      </c>
      <c r="AF120" s="528">
        <f t="shared" si="334"/>
        <v>8.6028646458987085E-2</v>
      </c>
      <c r="AH120" s="173">
        <f t="shared" si="335"/>
        <v>11.109841197270617</v>
      </c>
      <c r="AI120" s="173">
        <f t="shared" si="336"/>
        <v>13.333333333333334</v>
      </c>
      <c r="AJ120" s="173">
        <f t="shared" si="337"/>
        <v>1.1394884203568265</v>
      </c>
      <c r="AL120" s="545">
        <f t="shared" si="338"/>
        <v>60</v>
      </c>
      <c r="AM120" s="460">
        <f t="shared" si="339"/>
        <v>244.10473562444628</v>
      </c>
      <c r="AO120" s="460">
        <f t="shared" si="340"/>
        <v>60</v>
      </c>
      <c r="AP120" s="460">
        <f t="shared" si="341"/>
        <v>244.10473562444628</v>
      </c>
      <c r="AR120" s="5">
        <f t="shared" si="275"/>
        <v>4.0966022123327184</v>
      </c>
      <c r="AS120" s="5">
        <f t="shared" si="440"/>
        <v>0.79046798902905879</v>
      </c>
      <c r="AT120" s="5">
        <f t="shared" si="441"/>
        <v>3.3061342233036597</v>
      </c>
      <c r="AU120" s="173">
        <f t="shared" si="442"/>
        <v>0.1929569794815261</v>
      </c>
      <c r="AW120" s="5">
        <f t="shared" si="342"/>
        <v>2.7898870201025605E-2</v>
      </c>
      <c r="AX120" s="5">
        <f t="shared" si="343"/>
        <v>0.32936166209544121</v>
      </c>
      <c r="AY120" s="5">
        <f t="shared" si="344"/>
        <v>6.3975867272978224</v>
      </c>
      <c r="AZ120" s="5"/>
      <c r="BA120" s="173">
        <f t="shared" si="345"/>
        <v>3.3814919300479374</v>
      </c>
      <c r="BB120" s="173">
        <f t="shared" si="346"/>
        <v>0.32656743329825472</v>
      </c>
      <c r="BC120" s="173">
        <f t="shared" si="347"/>
        <v>0.25819852183423847</v>
      </c>
      <c r="BD120" s="173"/>
      <c r="BE120" s="528">
        <f t="shared" si="348"/>
        <v>0.45737950691917301</v>
      </c>
      <c r="BF120" s="528">
        <f t="shared" si="349"/>
        <v>1.2429177581347761</v>
      </c>
      <c r="BG120" s="528">
        <f t="shared" si="350"/>
        <v>8.2349439914038106E-2</v>
      </c>
      <c r="BH120" s="528">
        <f t="shared" si="351"/>
        <v>1.4063585812275741E-2</v>
      </c>
      <c r="BI120">
        <f t="shared" si="352"/>
        <v>3.7952200995323487E-3</v>
      </c>
      <c r="BJ120" s="460">
        <f t="shared" si="436"/>
        <v>86.144660013570444</v>
      </c>
      <c r="BK120">
        <f t="shared" si="353"/>
        <v>2.0619302258193062</v>
      </c>
      <c r="BL120" s="460">
        <f t="shared" si="437"/>
        <v>1800.5055108797953</v>
      </c>
      <c r="BM120" s="173">
        <f t="shared" si="354"/>
        <v>5.2079999999999994E-2</v>
      </c>
      <c r="BN120" s="173">
        <f t="shared" si="355"/>
        <v>4.3399999999999994E-2</v>
      </c>
      <c r="BO120" s="528"/>
      <c r="BQ120" s="460">
        <f t="shared" si="356"/>
        <v>95.479999999999976</v>
      </c>
      <c r="BR120" s="528">
        <f t="shared" si="357"/>
        <v>0.34303463018937974</v>
      </c>
      <c r="BS120" s="528">
        <f t="shared" si="358"/>
        <v>3.1993886547303013E-3</v>
      </c>
      <c r="BT120" s="528">
        <f t="shared" si="359"/>
        <v>3.3333238338692858E-4</v>
      </c>
      <c r="BU120" s="528">
        <f t="shared" si="360"/>
        <v>30.217418389789948</v>
      </c>
      <c r="BV120" s="528"/>
      <c r="BW120" s="625">
        <f t="shared" si="361"/>
        <v>1.0849099361086503</v>
      </c>
      <c r="BX120" s="460">
        <f t="shared" si="362"/>
        <v>31648.895677126096</v>
      </c>
      <c r="BY120" s="173">
        <f t="shared" si="363"/>
        <v>33.544881188005895</v>
      </c>
      <c r="BZ120" s="5">
        <f t="shared" si="364"/>
        <v>10.799999999999999</v>
      </c>
      <c r="CA120" s="173">
        <f t="shared" si="365"/>
        <v>0.24354558430796092</v>
      </c>
      <c r="CB120" s="5">
        <f t="shared" si="366"/>
        <v>24.354558430796093</v>
      </c>
      <c r="CC120">
        <f t="shared" si="367"/>
        <v>10</v>
      </c>
      <c r="CE120" s="562">
        <f t="shared" si="368"/>
        <v>-50</v>
      </c>
      <c r="CF120">
        <f t="shared" si="369"/>
        <v>-50</v>
      </c>
      <c r="CG120" s="173">
        <f t="shared" si="370"/>
        <v>0.1853270726504023</v>
      </c>
      <c r="CH120" s="173">
        <f t="shared" si="371"/>
        <v>4.611888233428775E-2</v>
      </c>
      <c r="CI120" s="170">
        <v>10</v>
      </c>
      <c r="CJ120" s="217">
        <f t="shared" si="438"/>
        <v>0.06</v>
      </c>
      <c r="CK120" s="217">
        <f t="shared" si="372"/>
        <v>0.05</v>
      </c>
      <c r="CL120" s="217">
        <f t="shared" si="373"/>
        <v>10.199999999999999</v>
      </c>
      <c r="CM120" s="217">
        <f t="shared" si="374"/>
        <v>0.60000000000000009</v>
      </c>
      <c r="CN120" s="541">
        <f t="shared" si="375"/>
        <v>9</v>
      </c>
      <c r="CO120" s="443">
        <f t="shared" si="376"/>
        <v>8.5350000000000001</v>
      </c>
      <c r="CP120" s="443">
        <f t="shared" si="377"/>
        <v>17.535</v>
      </c>
      <c r="CQ120" s="443"/>
      <c r="CR120" s="217">
        <f t="shared" si="378"/>
        <v>0.48644793152639093</v>
      </c>
      <c r="CS120" s="172">
        <f t="shared" si="379"/>
        <v>137.82691393247745</v>
      </c>
      <c r="CT120" s="172">
        <f t="shared" si="380"/>
        <v>8.1074655254398493</v>
      </c>
      <c r="CU120" s="217">
        <f t="shared" si="381"/>
        <v>0.81074655254398498</v>
      </c>
      <c r="CV120" s="217">
        <f t="shared" si="382"/>
        <v>11.485576161039788</v>
      </c>
      <c r="CW120" s="217">
        <f t="shared" si="383"/>
        <v>170</v>
      </c>
      <c r="CX120" s="217">
        <f t="shared" si="384"/>
        <v>4.9337243401759521</v>
      </c>
      <c r="CY120" s="217">
        <f t="shared" si="385"/>
        <v>0.27409579667644179</v>
      </c>
      <c r="CZ120" s="217">
        <f t="shared" si="386"/>
        <v>0.2890289595885151</v>
      </c>
      <c r="DA120" s="197">
        <f t="shared" si="387"/>
        <v>350</v>
      </c>
      <c r="DB120" s="443">
        <f t="shared" si="388"/>
        <v>350</v>
      </c>
      <c r="DD120" s="217">
        <f t="shared" si="389"/>
        <v>25.032384211169504</v>
      </c>
      <c r="DE120" s="173">
        <f t="shared" si="390"/>
        <v>1.4664548454112187</v>
      </c>
      <c r="DF120" s="173">
        <f t="shared" si="391"/>
        <v>0.30335794952229944</v>
      </c>
      <c r="DG120" s="173"/>
      <c r="DH120" s="173">
        <f t="shared" si="392"/>
        <v>0.78109744190587771</v>
      </c>
      <c r="DI120" s="545">
        <f t="shared" si="393"/>
        <v>244.00058823529409</v>
      </c>
      <c r="DJ120" s="528">
        <f t="shared" si="394"/>
        <v>8.6065366284073561E-2</v>
      </c>
      <c r="DL120" s="173">
        <f t="shared" si="395"/>
        <v>11.109841197270617</v>
      </c>
      <c r="DM120" s="173">
        <f t="shared" si="396"/>
        <v>13.333333333333334</v>
      </c>
      <c r="DN120" s="173">
        <f t="shared" si="397"/>
        <v>1.1394289075630253</v>
      </c>
      <c r="DP120" s="545">
        <f t="shared" si="398"/>
        <v>60</v>
      </c>
      <c r="DQ120" s="460">
        <f t="shared" si="399"/>
        <v>244.00058823529409</v>
      </c>
      <c r="DS120" s="460">
        <f t="shared" si="400"/>
        <v>60</v>
      </c>
      <c r="DT120" s="460">
        <f t="shared" si="401"/>
        <v>244.00058823529409</v>
      </c>
      <c r="DV120" s="5">
        <f t="shared" si="402"/>
        <v>4.0983507754320749</v>
      </c>
      <c r="DW120" s="5">
        <f t="shared" si="403"/>
        <v>0.7407407407407407</v>
      </c>
      <c r="DX120" s="5">
        <f t="shared" si="404"/>
        <v>3.3576100346913345</v>
      </c>
      <c r="DY120" s="173">
        <f t="shared" si="405"/>
        <v>0.18074117647058821</v>
      </c>
      <c r="EA120" s="5">
        <f t="shared" si="406"/>
        <v>2.61437908496732E-2</v>
      </c>
      <c r="EB120" s="5">
        <f t="shared" si="407"/>
        <v>0.30864197530864196</v>
      </c>
      <c r="EC120" s="5">
        <f t="shared" si="408"/>
        <v>6.0884661962402866</v>
      </c>
      <c r="ED120" s="5"/>
      <c r="EE120" s="173">
        <f t="shared" si="409"/>
        <v>3.2727035055583809</v>
      </c>
      <c r="EF120" s="173">
        <f t="shared" si="410"/>
        <v>0.32902969402760235</v>
      </c>
      <c r="EG120" s="173">
        <f t="shared" si="411"/>
        <v>0.26014529305470924</v>
      </c>
      <c r="EH120" s="173"/>
      <c r="EI120" s="528">
        <f t="shared" si="412"/>
        <v>0.42842352941176459</v>
      </c>
      <c r="EJ120" s="528">
        <f t="shared" si="413"/>
        <v>1.5688017820588234</v>
      </c>
      <c r="EK120" s="528">
        <f t="shared" si="414"/>
        <v>4.8800117647058813E-2</v>
      </c>
      <c r="EL120" s="528">
        <f t="shared" si="415"/>
        <v>1.5004875953673526E-2</v>
      </c>
      <c r="EM120">
        <f t="shared" si="416"/>
        <v>4.0499999999999998E-3</v>
      </c>
      <c r="EN120" s="460">
        <f t="shared" si="417"/>
        <v>52.850117647058809</v>
      </c>
      <c r="EP120" s="460">
        <f t="shared" si="439"/>
        <v>2065.0803050713203</v>
      </c>
      <c r="EQ120" s="173">
        <f t="shared" si="418"/>
        <v>4.1999999999999996E-2</v>
      </c>
      <c r="ER120" s="173">
        <f t="shared" si="419"/>
        <v>4.3399999999999994E-2</v>
      </c>
      <c r="ES120" s="528"/>
      <c r="EU120" s="460">
        <f t="shared" si="420"/>
        <v>85.399999999999991</v>
      </c>
      <c r="EV120" s="528">
        <f t="shared" si="421"/>
        <v>0.32131764705882343</v>
      </c>
      <c r="EW120" s="528">
        <f t="shared" si="422"/>
        <v>3.2478161865569285E-3</v>
      </c>
      <c r="EX120" s="528">
        <f t="shared" si="423"/>
        <v>3.3837786749260277E-4</v>
      </c>
      <c r="EY120" s="528">
        <f t="shared" si="424"/>
        <v>30.18519801650173</v>
      </c>
      <c r="EZ120" s="528"/>
      <c r="FA120" s="625">
        <f t="shared" si="425"/>
        <v>1.0844470588235295</v>
      </c>
      <c r="FB120" s="460">
        <f t="shared" si="426"/>
        <v>31594.548916438132</v>
      </c>
      <c r="FC120" s="173">
        <f t="shared" si="427"/>
        <v>33.745029221509448</v>
      </c>
      <c r="FD120" s="5">
        <f t="shared" si="428"/>
        <v>10.799999999999999</v>
      </c>
      <c r="FE120" s="173">
        <f t="shared" si="429"/>
        <v>0.2424512945382693</v>
      </c>
      <c r="FF120" s="5">
        <f t="shared" si="430"/>
        <v>24.24512945382693</v>
      </c>
      <c r="FG120">
        <f t="shared" si="431"/>
        <v>10</v>
      </c>
      <c r="FI120" s="562">
        <f t="shared" si="432"/>
        <v>-50</v>
      </c>
      <c r="FJ120">
        <f t="shared" si="433"/>
        <v>-50</v>
      </c>
    </row>
    <row r="121" spans="5:166">
      <c r="E121" s="170">
        <v>11</v>
      </c>
      <c r="F121" s="217">
        <f t="shared" si="434"/>
        <v>6.6000000000000003E-2</v>
      </c>
      <c r="G121" s="217">
        <f t="shared" si="313"/>
        <v>5.5E-2</v>
      </c>
      <c r="H121" s="217">
        <f t="shared" si="314"/>
        <v>11.22</v>
      </c>
      <c r="I121" s="217">
        <f t="shared" si="315"/>
        <v>0.66</v>
      </c>
      <c r="J121" s="541">
        <f t="shared" si="316"/>
        <v>8.4338224434052194</v>
      </c>
      <c r="K121" s="443">
        <f t="shared" si="317"/>
        <v>8.5386430156699316</v>
      </c>
      <c r="L121" s="172">
        <f t="shared" si="318"/>
        <v>16.972465459075153</v>
      </c>
      <c r="M121" s="443"/>
      <c r="N121" s="217">
        <f t="shared" si="319"/>
        <v>0.50308795951058083</v>
      </c>
      <c r="O121" s="172">
        <f t="shared" si="320"/>
        <v>133.57449427178452</v>
      </c>
      <c r="P121" s="172">
        <f t="shared" si="321"/>
        <v>7.8573231924579128</v>
      </c>
      <c r="Q121" s="217">
        <f t="shared" si="322"/>
        <v>0.78573231924579123</v>
      </c>
      <c r="R121" s="217">
        <f t="shared" si="323"/>
        <v>11.131207855982042</v>
      </c>
      <c r="S121" s="217">
        <f t="shared" si="324"/>
        <v>170</v>
      </c>
      <c r="T121" s="217">
        <f t="shared" si="325"/>
        <v>5.5998714730526444</v>
      </c>
      <c r="U121" s="217">
        <f t="shared" si="326"/>
        <v>0.33198893565938375</v>
      </c>
      <c r="V121" s="217">
        <f t="shared" si="327"/>
        <v>0.32791343207438717</v>
      </c>
      <c r="W121" s="197">
        <f t="shared" si="328"/>
        <v>350</v>
      </c>
      <c r="X121" s="443">
        <f t="shared" si="435"/>
        <v>350</v>
      </c>
      <c r="Z121" s="217">
        <f t="shared" si="329"/>
        <v>24.245454422441561</v>
      </c>
      <c r="AA121" s="173">
        <f t="shared" si="330"/>
        <v>1.4197486871126259</v>
      </c>
      <c r="AB121" s="173">
        <f t="shared" si="331"/>
        <v>0.28446331931114854</v>
      </c>
      <c r="AC121" s="173"/>
      <c r="AD121" s="173">
        <f t="shared" si="332"/>
        <v>0.78076418635047107</v>
      </c>
      <c r="AE121" s="545">
        <f t="shared" si="333"/>
        <v>268.51520918689096</v>
      </c>
      <c r="AF121" s="528">
        <f t="shared" si="334"/>
        <v>8.6028646458987085E-2</v>
      </c>
      <c r="AH121" s="173">
        <f t="shared" si="335"/>
        <v>11.652099749462694</v>
      </c>
      <c r="AI121" s="173">
        <f t="shared" si="336"/>
        <v>13.333333333333334</v>
      </c>
      <c r="AJ121" s="173">
        <f t="shared" si="337"/>
        <v>1.1534372623925091</v>
      </c>
      <c r="AL121" s="545">
        <f t="shared" si="338"/>
        <v>66</v>
      </c>
      <c r="AM121" s="460">
        <f t="shared" si="339"/>
        <v>268.51520918689096</v>
      </c>
      <c r="AO121" s="460">
        <f t="shared" si="340"/>
        <v>66</v>
      </c>
      <c r="AP121" s="460">
        <f t="shared" si="341"/>
        <v>268.51520918689096</v>
      </c>
      <c r="AR121" s="5">
        <f t="shared" si="275"/>
        <v>3.7241838293933798</v>
      </c>
      <c r="AS121" s="5">
        <f t="shared" si="440"/>
        <v>0.79046798902905879</v>
      </c>
      <c r="AT121" s="5">
        <f t="shared" si="441"/>
        <v>2.9337158403643211</v>
      </c>
      <c r="AU121" s="173">
        <f t="shared" si="442"/>
        <v>0.21225267742967874</v>
      </c>
      <c r="AW121" s="5">
        <f t="shared" si="342"/>
        <v>3.0688757221128168E-2</v>
      </c>
      <c r="AX121" s="5">
        <f t="shared" si="343"/>
        <v>0.3622978283049853</v>
      </c>
      <c r="AY121" s="5">
        <f t="shared" si="344"/>
        <v>6.2446259830146449</v>
      </c>
      <c r="AZ121" s="5"/>
      <c r="BA121" s="173">
        <f t="shared" si="345"/>
        <v>3.5465386562502399</v>
      </c>
      <c r="BB121" s="173">
        <f t="shared" si="346"/>
        <v>0.32263984304978971</v>
      </c>
      <c r="BC121" s="173">
        <f t="shared" si="347"/>
        <v>0.25509319689022281</v>
      </c>
      <c r="BD121" s="173"/>
      <c r="BE121" s="528">
        <f t="shared" si="348"/>
        <v>0.50311745761109028</v>
      </c>
      <c r="BF121" s="528">
        <f t="shared" si="349"/>
        <v>1.367209533948254</v>
      </c>
      <c r="BG121" s="528">
        <f t="shared" si="350"/>
        <v>9.058438390544192E-2</v>
      </c>
      <c r="BH121" s="528">
        <f t="shared" si="351"/>
        <v>1.5469944393503318E-2</v>
      </c>
      <c r="BI121">
        <f t="shared" si="352"/>
        <v>3.7952200995323487E-3</v>
      </c>
      <c r="BJ121" s="460">
        <f t="shared" si="436"/>
        <v>94.379604004974269</v>
      </c>
      <c r="BK121">
        <f t="shared" si="353"/>
        <v>2.2961182506816322</v>
      </c>
      <c r="BL121" s="460">
        <f t="shared" si="437"/>
        <v>1980.1765399578219</v>
      </c>
      <c r="BM121" s="173">
        <f t="shared" si="354"/>
        <v>5.7287999999999999E-2</v>
      </c>
      <c r="BN121" s="173">
        <f t="shared" si="355"/>
        <v>4.7739999999999998E-2</v>
      </c>
      <c r="BO121" s="528"/>
      <c r="BQ121" s="460">
        <f t="shared" si="356"/>
        <v>105.02799999999999</v>
      </c>
      <c r="BR121" s="528">
        <f t="shared" si="357"/>
        <v>0.37733809320831774</v>
      </c>
      <c r="BS121" s="528">
        <f t="shared" si="358"/>
        <v>3.122894049695788E-3</v>
      </c>
      <c r="BT121" s="528">
        <f t="shared" si="359"/>
        <v>3.2536269549836988E-4</v>
      </c>
      <c r="BU121" s="528">
        <f t="shared" si="360"/>
        <v>38.347677889046103</v>
      </c>
      <c r="BV121" s="528"/>
      <c r="BW121" s="625">
        <f t="shared" si="361"/>
        <v>1.1934009297195154</v>
      </c>
      <c r="BX121" s="460">
        <f t="shared" si="362"/>
        <v>39921.86516871913</v>
      </c>
      <c r="BY121" s="173">
        <f t="shared" si="363"/>
        <v>42.007069708676951</v>
      </c>
      <c r="BZ121" s="5">
        <f t="shared" si="364"/>
        <v>11.88</v>
      </c>
      <c r="CA121" s="173">
        <f t="shared" si="365"/>
        <v>0.2204610505678892</v>
      </c>
      <c r="CB121" s="5">
        <f t="shared" si="366"/>
        <v>22.046105056788921</v>
      </c>
      <c r="CC121">
        <f t="shared" si="367"/>
        <v>11.000000000000002</v>
      </c>
      <c r="CE121" s="562">
        <f t="shared" si="368"/>
        <v>-50</v>
      </c>
      <c r="CF121">
        <f t="shared" si="369"/>
        <v>-50</v>
      </c>
      <c r="CG121" s="173">
        <f t="shared" si="370"/>
        <v>0.20385977991544252</v>
      </c>
      <c r="CH121" s="173">
        <f t="shared" si="371"/>
        <v>5.0730770567716528E-2</v>
      </c>
      <c r="CI121" s="170">
        <v>11</v>
      </c>
      <c r="CJ121" s="217">
        <f t="shared" si="438"/>
        <v>6.6000000000000003E-2</v>
      </c>
      <c r="CK121" s="217">
        <f t="shared" si="372"/>
        <v>5.5E-2</v>
      </c>
      <c r="CL121" s="217">
        <f t="shared" si="373"/>
        <v>11.22</v>
      </c>
      <c r="CM121" s="217">
        <f t="shared" si="374"/>
        <v>0.66</v>
      </c>
      <c r="CN121" s="541">
        <f t="shared" si="375"/>
        <v>9</v>
      </c>
      <c r="CO121" s="443">
        <f t="shared" si="376"/>
        <v>8.5350000000000001</v>
      </c>
      <c r="CP121" s="443">
        <f t="shared" si="377"/>
        <v>17.535</v>
      </c>
      <c r="CQ121" s="443"/>
      <c r="CR121" s="217">
        <f t="shared" si="378"/>
        <v>0.48644793152639093</v>
      </c>
      <c r="CS121" s="172">
        <f t="shared" si="379"/>
        <v>137.82691393247745</v>
      </c>
      <c r="CT121" s="172">
        <f t="shared" si="380"/>
        <v>8.1074655254398493</v>
      </c>
      <c r="CU121" s="217">
        <f t="shared" si="381"/>
        <v>0.81074655254398498</v>
      </c>
      <c r="CV121" s="217">
        <f t="shared" si="382"/>
        <v>11.485576161039788</v>
      </c>
      <c r="CW121" s="217">
        <f t="shared" si="383"/>
        <v>170</v>
      </c>
      <c r="CX121" s="217">
        <f t="shared" si="384"/>
        <v>5.4270967741935481</v>
      </c>
      <c r="CY121" s="217">
        <f t="shared" si="385"/>
        <v>0.30150537634408597</v>
      </c>
      <c r="CZ121" s="217">
        <f t="shared" si="386"/>
        <v>0.31793185554736658</v>
      </c>
      <c r="DA121" s="197">
        <f t="shared" si="387"/>
        <v>350</v>
      </c>
      <c r="DB121" s="443">
        <f t="shared" si="388"/>
        <v>350</v>
      </c>
      <c r="DD121" s="217">
        <f t="shared" si="389"/>
        <v>25.032384211169504</v>
      </c>
      <c r="DE121" s="173">
        <f t="shared" si="390"/>
        <v>1.4664548454112187</v>
      </c>
      <c r="DF121" s="173">
        <f t="shared" si="391"/>
        <v>0.30335794952229944</v>
      </c>
      <c r="DG121" s="173"/>
      <c r="DH121" s="173">
        <f t="shared" si="392"/>
        <v>0.78109744190587771</v>
      </c>
      <c r="DI121" s="545">
        <f t="shared" si="393"/>
        <v>268.40064705882355</v>
      </c>
      <c r="DJ121" s="528">
        <f t="shared" si="394"/>
        <v>8.6065366284073561E-2</v>
      </c>
      <c r="DL121" s="173">
        <f t="shared" si="395"/>
        <v>11.652099749462694</v>
      </c>
      <c r="DM121" s="173">
        <f t="shared" si="396"/>
        <v>13.333333333333334</v>
      </c>
      <c r="DN121" s="173">
        <f t="shared" si="397"/>
        <v>1.1533717983193277</v>
      </c>
      <c r="DP121" s="545">
        <f t="shared" si="398"/>
        <v>66</v>
      </c>
      <c r="DQ121" s="460">
        <f t="shared" si="399"/>
        <v>268.40064705882355</v>
      </c>
      <c r="DS121" s="460">
        <f t="shared" si="400"/>
        <v>66</v>
      </c>
      <c r="DT121" s="460">
        <f t="shared" si="401"/>
        <v>268.40064705882355</v>
      </c>
      <c r="DV121" s="5">
        <f t="shared" si="402"/>
        <v>3.7257734322109766</v>
      </c>
      <c r="DW121" s="5">
        <f t="shared" si="403"/>
        <v>0.7407407407407407</v>
      </c>
      <c r="DX121" s="5">
        <f t="shared" si="404"/>
        <v>2.9850326914702361</v>
      </c>
      <c r="DY121" s="173">
        <f t="shared" si="405"/>
        <v>0.19881529411764706</v>
      </c>
      <c r="EA121" s="5">
        <f t="shared" si="406"/>
        <v>2.8758169934640525E-2</v>
      </c>
      <c r="EB121" s="5">
        <f t="shared" si="407"/>
        <v>0.33950617283950618</v>
      </c>
      <c r="EC121" s="5">
        <f t="shared" si="408"/>
        <v>5.954145208585965</v>
      </c>
      <c r="ED121" s="5"/>
      <c r="EE121" s="173">
        <f t="shared" si="409"/>
        <v>3.4324403940671031</v>
      </c>
      <c r="EF121" s="173">
        <f t="shared" si="410"/>
        <v>0.32538000013855983</v>
      </c>
      <c r="EG121" s="173">
        <f t="shared" si="411"/>
        <v>0.25725968514892156</v>
      </c>
      <c r="EH121" s="173"/>
      <c r="EI121" s="528">
        <f t="shared" si="412"/>
        <v>0.4712658823529412</v>
      </c>
      <c r="EJ121" s="528">
        <f t="shared" si="413"/>
        <v>1.7256819602647062</v>
      </c>
      <c r="EK121" s="528">
        <f t="shared" si="414"/>
        <v>5.3680129411764706E-2</v>
      </c>
      <c r="EL121" s="528">
        <f t="shared" si="415"/>
        <v>1.6505363549040884E-2</v>
      </c>
      <c r="EM121">
        <f t="shared" si="416"/>
        <v>4.0499999999999998E-3</v>
      </c>
      <c r="EN121" s="460">
        <f t="shared" si="417"/>
        <v>57.7301294117647</v>
      </c>
      <c r="EP121" s="460">
        <f t="shared" si="439"/>
        <v>2271.1833355784534</v>
      </c>
      <c r="EQ121" s="173">
        <f t="shared" si="418"/>
        <v>4.6199999999999998E-2</v>
      </c>
      <c r="ER121" s="173">
        <f t="shared" si="419"/>
        <v>4.7739999999999998E-2</v>
      </c>
      <c r="ES121" s="528"/>
      <c r="EU121" s="460">
        <f t="shared" si="420"/>
        <v>93.94</v>
      </c>
      <c r="EV121" s="528">
        <f t="shared" si="421"/>
        <v>0.3534494117647059</v>
      </c>
      <c r="EW121" s="528">
        <f t="shared" si="422"/>
        <v>3.1761643347050757E-3</v>
      </c>
      <c r="EX121" s="528">
        <f t="shared" si="423"/>
        <v>3.3091272801461126E-4</v>
      </c>
      <c r="EY121" s="528">
        <f t="shared" si="424"/>
        <v>38.306788343805039</v>
      </c>
      <c r="EZ121" s="528"/>
      <c r="FA121" s="625">
        <f t="shared" si="425"/>
        <v>1.1928917647058825</v>
      </c>
      <c r="FB121" s="460">
        <f t="shared" si="426"/>
        <v>39856.636597338351</v>
      </c>
      <c r="FC121" s="173">
        <f t="shared" si="427"/>
        <v>42.221759932916804</v>
      </c>
      <c r="FD121" s="5">
        <f t="shared" si="428"/>
        <v>11.88</v>
      </c>
      <c r="FE121" s="173">
        <f t="shared" si="429"/>
        <v>0.21958620227383627</v>
      </c>
      <c r="FF121" s="5">
        <f t="shared" si="430"/>
        <v>21.958620227383626</v>
      </c>
      <c r="FG121">
        <f t="shared" si="431"/>
        <v>11.000000000000002</v>
      </c>
      <c r="FI121" s="562">
        <f t="shared" si="432"/>
        <v>-50</v>
      </c>
      <c r="FJ121">
        <f t="shared" si="433"/>
        <v>-50</v>
      </c>
    </row>
    <row r="122" spans="5:166">
      <c r="E122" s="170">
        <v>12</v>
      </c>
      <c r="F122" s="217">
        <f t="shared" si="434"/>
        <v>7.1999999999999995E-2</v>
      </c>
      <c r="G122" s="217">
        <f t="shared" si="313"/>
        <v>0.06</v>
      </c>
      <c r="H122" s="217">
        <f t="shared" si="314"/>
        <v>12.239999999999998</v>
      </c>
      <c r="I122" s="217">
        <f t="shared" si="315"/>
        <v>0.72</v>
      </c>
      <c r="J122" s="541">
        <f t="shared" si="316"/>
        <v>8.4338224434052194</v>
      </c>
      <c r="K122" s="443">
        <f t="shared" si="317"/>
        <v>8.5386430156699316</v>
      </c>
      <c r="L122" s="172">
        <f t="shared" si="318"/>
        <v>16.972465459075153</v>
      </c>
      <c r="M122" s="443"/>
      <c r="N122" s="217">
        <f t="shared" si="319"/>
        <v>0.50308795951058083</v>
      </c>
      <c r="O122" s="172">
        <f t="shared" si="320"/>
        <v>133.57449427178452</v>
      </c>
      <c r="P122" s="172">
        <f t="shared" si="321"/>
        <v>7.8573231924579128</v>
      </c>
      <c r="Q122" s="217">
        <f t="shared" si="322"/>
        <v>0.78573231924579123</v>
      </c>
      <c r="R122" s="217">
        <f t="shared" si="323"/>
        <v>11.131207855982042</v>
      </c>
      <c r="S122" s="217">
        <f t="shared" si="324"/>
        <v>170</v>
      </c>
      <c r="T122" s="217">
        <f t="shared" si="325"/>
        <v>6.1089506978756116</v>
      </c>
      <c r="U122" s="217">
        <f t="shared" si="326"/>
        <v>0.36216974799205498</v>
      </c>
      <c r="V122" s="217">
        <f t="shared" si="327"/>
        <v>0.35772374408114954</v>
      </c>
      <c r="W122" s="197">
        <f t="shared" si="328"/>
        <v>350</v>
      </c>
      <c r="X122" s="443">
        <f t="shared" si="435"/>
        <v>350</v>
      </c>
      <c r="Z122" s="217">
        <f t="shared" si="329"/>
        <v>24.245454422441561</v>
      </c>
      <c r="AA122" s="173">
        <f t="shared" si="330"/>
        <v>1.4197486871126259</v>
      </c>
      <c r="AB122" s="173">
        <f t="shared" si="331"/>
        <v>0.28446331931114854</v>
      </c>
      <c r="AC122" s="173"/>
      <c r="AD122" s="173">
        <f t="shared" si="332"/>
        <v>0.78076418635047107</v>
      </c>
      <c r="AE122" s="545">
        <f t="shared" si="333"/>
        <v>292.92568274933558</v>
      </c>
      <c r="AF122" s="528">
        <f t="shared" si="334"/>
        <v>8.6028646458987085E-2</v>
      </c>
      <c r="AH122" s="173">
        <f t="shared" si="335"/>
        <v>12.170221268090637</v>
      </c>
      <c r="AI122" s="173">
        <f t="shared" si="336"/>
        <v>13.333333333333334</v>
      </c>
      <c r="AJ122" s="173">
        <f t="shared" si="337"/>
        <v>1.1673861044281917</v>
      </c>
      <c r="AL122" s="545">
        <f t="shared" si="338"/>
        <v>72</v>
      </c>
      <c r="AM122" s="460">
        <f t="shared" si="339"/>
        <v>292.92568274933558</v>
      </c>
      <c r="AO122" s="460">
        <f t="shared" si="340"/>
        <v>72</v>
      </c>
      <c r="AP122" s="460">
        <f t="shared" si="341"/>
        <v>292.92568274933558</v>
      </c>
      <c r="AR122" s="5">
        <f t="shared" si="275"/>
        <v>3.4138351769439317</v>
      </c>
      <c r="AS122" s="5">
        <f t="shared" si="440"/>
        <v>0.79046798902905879</v>
      </c>
      <c r="AT122" s="5">
        <f t="shared" si="441"/>
        <v>2.623367187914873</v>
      </c>
      <c r="AU122" s="173">
        <f t="shared" si="442"/>
        <v>0.23154837537783135</v>
      </c>
      <c r="AW122" s="5">
        <f t="shared" si="342"/>
        <v>3.3478644241230725E-2</v>
      </c>
      <c r="AX122" s="5">
        <f t="shared" si="343"/>
        <v>0.3952339945145294</v>
      </c>
      <c r="AY122" s="5">
        <f t="shared" si="344"/>
        <v>6.0916652387314674</v>
      </c>
      <c r="AZ122" s="5"/>
      <c r="BA122" s="173">
        <f t="shared" si="345"/>
        <v>3.704238816217873</v>
      </c>
      <c r="BB122" s="173">
        <f t="shared" si="346"/>
        <v>0.31866384820901122</v>
      </c>
      <c r="BC122" s="173">
        <f t="shared" si="347"/>
        <v>0.25194960115460036</v>
      </c>
      <c r="BD122" s="173"/>
      <c r="BE122" s="528">
        <f t="shared" si="348"/>
        <v>0.54885540830300761</v>
      </c>
      <c r="BF122" s="528">
        <f t="shared" si="349"/>
        <v>1.4915013097617316</v>
      </c>
      <c r="BG122" s="528">
        <f t="shared" si="350"/>
        <v>9.8819327896845735E-2</v>
      </c>
      <c r="BH122" s="528">
        <f t="shared" si="351"/>
        <v>1.6876302974730892E-2</v>
      </c>
      <c r="BI122">
        <f t="shared" si="352"/>
        <v>3.7952200995323487E-3</v>
      </c>
      <c r="BJ122" s="460">
        <f t="shared" si="436"/>
        <v>102.61454799637808</v>
      </c>
      <c r="BK122">
        <f t="shared" si="353"/>
        <v>2.5361595960414918</v>
      </c>
      <c r="BL122" s="460">
        <f t="shared" si="437"/>
        <v>2159.8475690358482</v>
      </c>
      <c r="BM122" s="173">
        <f t="shared" si="354"/>
        <v>6.2495999999999989E-2</v>
      </c>
      <c r="BN122" s="173">
        <f t="shared" si="355"/>
        <v>5.2079999999999994E-2</v>
      </c>
      <c r="BO122" s="528"/>
      <c r="BQ122" s="460">
        <f t="shared" si="356"/>
        <v>114.57599999999998</v>
      </c>
      <c r="BR122" s="528">
        <f t="shared" si="357"/>
        <v>0.41164155622725562</v>
      </c>
      <c r="BS122" s="528">
        <f t="shared" si="358"/>
        <v>3.0463994446612722E-3</v>
      </c>
      <c r="BT122" s="528">
        <f t="shared" si="359"/>
        <v>3.1739300760981096E-4</v>
      </c>
      <c r="BU122" s="528">
        <f t="shared" si="360"/>
        <v>47.666193643178993</v>
      </c>
      <c r="BV122" s="528"/>
      <c r="BW122" s="625">
        <f t="shared" si="361"/>
        <v>1.3018919233303805</v>
      </c>
      <c r="BX122" s="460">
        <f t="shared" si="362"/>
        <v>49383.090915188899</v>
      </c>
      <c r="BY122" s="173">
        <f t="shared" si="363"/>
        <v>51.657514484224748</v>
      </c>
      <c r="BZ122" s="5">
        <f t="shared" si="364"/>
        <v>12.959999999999999</v>
      </c>
      <c r="CA122" s="173">
        <f t="shared" si="365"/>
        <v>0.20056481750259769</v>
      </c>
      <c r="CB122" s="5">
        <f t="shared" si="366"/>
        <v>20.056481750259771</v>
      </c>
      <c r="CC122">
        <f t="shared" si="367"/>
        <v>12</v>
      </c>
      <c r="CE122" s="562">
        <f t="shared" si="368"/>
        <v>-50</v>
      </c>
      <c r="CF122">
        <f t="shared" si="369"/>
        <v>-50</v>
      </c>
      <c r="CG122" s="173">
        <f t="shared" si="370"/>
        <v>0.22239248718048277</v>
      </c>
      <c r="CH122" s="173">
        <f t="shared" si="371"/>
        <v>5.5342658801145306E-2</v>
      </c>
      <c r="CI122" s="170">
        <v>12</v>
      </c>
      <c r="CJ122" s="217">
        <f t="shared" si="438"/>
        <v>7.1999999999999995E-2</v>
      </c>
      <c r="CK122" s="217">
        <f t="shared" si="372"/>
        <v>0.06</v>
      </c>
      <c r="CL122" s="217">
        <f t="shared" si="373"/>
        <v>12.239999999999998</v>
      </c>
      <c r="CM122" s="217">
        <f t="shared" si="374"/>
        <v>0.72</v>
      </c>
      <c r="CN122" s="541">
        <f t="shared" si="375"/>
        <v>9</v>
      </c>
      <c r="CO122" s="443">
        <f t="shared" si="376"/>
        <v>8.5350000000000001</v>
      </c>
      <c r="CP122" s="443">
        <f t="shared" si="377"/>
        <v>17.535</v>
      </c>
      <c r="CQ122" s="443"/>
      <c r="CR122" s="217">
        <f t="shared" si="378"/>
        <v>0.48644793152639093</v>
      </c>
      <c r="CS122" s="172">
        <f t="shared" si="379"/>
        <v>137.82691393247745</v>
      </c>
      <c r="CT122" s="172">
        <f t="shared" si="380"/>
        <v>8.1074655254398493</v>
      </c>
      <c r="CU122" s="217">
        <f t="shared" si="381"/>
        <v>0.81074655254398498</v>
      </c>
      <c r="CV122" s="217">
        <f t="shared" si="382"/>
        <v>11.485576161039788</v>
      </c>
      <c r="CW122" s="217">
        <f t="shared" si="383"/>
        <v>170</v>
      </c>
      <c r="CX122" s="217">
        <f t="shared" si="384"/>
        <v>5.9204692082111432</v>
      </c>
      <c r="CY122" s="217">
        <f t="shared" si="385"/>
        <v>0.32891495601173015</v>
      </c>
      <c r="CZ122" s="217">
        <f t="shared" si="386"/>
        <v>0.34683475150621806</v>
      </c>
      <c r="DA122" s="197">
        <f t="shared" si="387"/>
        <v>350</v>
      </c>
      <c r="DB122" s="443">
        <f t="shared" si="388"/>
        <v>350</v>
      </c>
      <c r="DD122" s="217">
        <f t="shared" si="389"/>
        <v>25.032384211169504</v>
      </c>
      <c r="DE122" s="173">
        <f t="shared" si="390"/>
        <v>1.4664548454112187</v>
      </c>
      <c r="DF122" s="173">
        <f t="shared" si="391"/>
        <v>0.30335794952229944</v>
      </c>
      <c r="DG122" s="173"/>
      <c r="DH122" s="173">
        <f t="shared" si="392"/>
        <v>0.78109744190587771</v>
      </c>
      <c r="DI122" s="545">
        <f t="shared" si="393"/>
        <v>292.80070588235293</v>
      </c>
      <c r="DJ122" s="528">
        <f t="shared" si="394"/>
        <v>8.6065366284073561E-2</v>
      </c>
      <c r="DL122" s="173">
        <f t="shared" si="395"/>
        <v>12.170221268090637</v>
      </c>
      <c r="DM122" s="173">
        <f t="shared" si="396"/>
        <v>13.333333333333334</v>
      </c>
      <c r="DN122" s="173">
        <f t="shared" si="397"/>
        <v>1.1673146890756303</v>
      </c>
      <c r="DP122" s="545">
        <f t="shared" si="398"/>
        <v>72</v>
      </c>
      <c r="DQ122" s="460">
        <f t="shared" si="399"/>
        <v>292.80070588235293</v>
      </c>
      <c r="DS122" s="460">
        <f t="shared" si="400"/>
        <v>72</v>
      </c>
      <c r="DT122" s="460">
        <f t="shared" si="401"/>
        <v>292.80070588235293</v>
      </c>
      <c r="DV122" s="5">
        <f t="shared" si="402"/>
        <v>3.4152923128600623</v>
      </c>
      <c r="DW122" s="5">
        <f t="shared" si="403"/>
        <v>0.7407407407407407</v>
      </c>
      <c r="DX122" s="5">
        <f t="shared" si="404"/>
        <v>2.6745515721193218</v>
      </c>
      <c r="DY122" s="173">
        <f t="shared" si="405"/>
        <v>0.21688941176470586</v>
      </c>
      <c r="EA122" s="5">
        <f t="shared" si="406"/>
        <v>3.1372549019607836E-2</v>
      </c>
      <c r="EB122" s="5">
        <f t="shared" si="407"/>
        <v>0.37037037037037035</v>
      </c>
      <c r="EC122" s="5">
        <f t="shared" si="408"/>
        <v>5.8198242209316442</v>
      </c>
      <c r="ED122" s="5"/>
      <c r="EE122" s="173">
        <f t="shared" si="409"/>
        <v>3.5850670680411185</v>
      </c>
      <c r="EF122" s="173">
        <f t="shared" si="410"/>
        <v>0.32168890162459879</v>
      </c>
      <c r="EG122" s="173">
        <f t="shared" si="411"/>
        <v>0.25434134093246419</v>
      </c>
      <c r="EH122" s="173"/>
      <c r="EI122" s="528">
        <f t="shared" si="412"/>
        <v>0.51410823529411764</v>
      </c>
      <c r="EJ122" s="528">
        <f t="shared" si="413"/>
        <v>1.8825621384705882</v>
      </c>
      <c r="EK122" s="528">
        <f t="shared" si="414"/>
        <v>5.8560141176470577E-2</v>
      </c>
      <c r="EL122" s="528">
        <f t="shared" si="415"/>
        <v>1.8005851144408235E-2</v>
      </c>
      <c r="EM122">
        <f t="shared" si="416"/>
        <v>4.0499999999999998E-3</v>
      </c>
      <c r="EN122" s="460">
        <f t="shared" si="417"/>
        <v>62.610141176470584</v>
      </c>
      <c r="EP122" s="460">
        <f t="shared" si="439"/>
        <v>2477.2863660855842</v>
      </c>
      <c r="EQ122" s="173">
        <f t="shared" si="418"/>
        <v>5.0399999999999993E-2</v>
      </c>
      <c r="ER122" s="173">
        <f t="shared" si="419"/>
        <v>5.2079999999999994E-2</v>
      </c>
      <c r="ES122" s="528"/>
      <c r="EU122" s="460">
        <f t="shared" si="420"/>
        <v>102.47999999999999</v>
      </c>
      <c r="EV122" s="528">
        <f t="shared" si="421"/>
        <v>0.3855811764705882</v>
      </c>
      <c r="EW122" s="528">
        <f t="shared" si="422"/>
        <v>3.1045124828532238E-3</v>
      </c>
      <c r="EX122" s="528">
        <f t="shared" si="423"/>
        <v>3.2344758853661992E-4</v>
      </c>
      <c r="EY122" s="528">
        <f t="shared" si="424"/>
        <v>47.615367906426918</v>
      </c>
      <c r="EZ122" s="528"/>
      <c r="FA122" s="625">
        <f t="shared" si="425"/>
        <v>1.3013364705882353</v>
      </c>
      <c r="FB122" s="460">
        <f t="shared" si="426"/>
        <v>49305.71351355713</v>
      </c>
      <c r="FC122" s="173">
        <f t="shared" si="427"/>
        <v>51.885479879642716</v>
      </c>
      <c r="FD122" s="5">
        <f t="shared" si="428"/>
        <v>12.959999999999999</v>
      </c>
      <c r="FE122" s="173">
        <f t="shared" si="429"/>
        <v>0.19985972845068883</v>
      </c>
      <c r="FF122" s="5">
        <f t="shared" si="430"/>
        <v>19.985972845068883</v>
      </c>
      <c r="FG122">
        <f t="shared" si="431"/>
        <v>12</v>
      </c>
      <c r="FI122" s="562">
        <f t="shared" si="432"/>
        <v>-50</v>
      </c>
      <c r="FJ122">
        <f t="shared" si="433"/>
        <v>-50</v>
      </c>
    </row>
    <row r="123" spans="5:166">
      <c r="E123" s="170">
        <v>13</v>
      </c>
      <c r="F123" s="217">
        <f t="shared" si="434"/>
        <v>7.8E-2</v>
      </c>
      <c r="G123" s="217">
        <f t="shared" si="313"/>
        <v>6.5000000000000002E-2</v>
      </c>
      <c r="H123" s="217">
        <f t="shared" si="314"/>
        <v>13.26</v>
      </c>
      <c r="I123" s="217">
        <f t="shared" si="315"/>
        <v>0.78</v>
      </c>
      <c r="J123" s="541">
        <f t="shared" si="316"/>
        <v>8.4338224434052194</v>
      </c>
      <c r="K123" s="443">
        <f t="shared" si="317"/>
        <v>8.5386430156699316</v>
      </c>
      <c r="L123" s="172">
        <f t="shared" si="318"/>
        <v>16.972465459075153</v>
      </c>
      <c r="M123" s="443"/>
      <c r="N123" s="217">
        <f t="shared" si="319"/>
        <v>0.50308795951058083</v>
      </c>
      <c r="O123" s="172">
        <f t="shared" si="320"/>
        <v>133.57449427178452</v>
      </c>
      <c r="P123" s="172">
        <f t="shared" si="321"/>
        <v>7.8573231924579128</v>
      </c>
      <c r="Q123" s="217">
        <f t="shared" si="322"/>
        <v>0.78573231924579123</v>
      </c>
      <c r="R123" s="217">
        <f t="shared" si="323"/>
        <v>11.131207855982042</v>
      </c>
      <c r="S123" s="217">
        <f t="shared" si="324"/>
        <v>170</v>
      </c>
      <c r="T123" s="217">
        <f t="shared" si="325"/>
        <v>6.6180299226985788</v>
      </c>
      <c r="U123" s="217">
        <f t="shared" si="326"/>
        <v>0.39235056032472621</v>
      </c>
      <c r="V123" s="217">
        <f t="shared" si="327"/>
        <v>0.38753405608791197</v>
      </c>
      <c r="W123" s="197">
        <f t="shared" si="328"/>
        <v>350</v>
      </c>
      <c r="X123" s="443">
        <f t="shared" si="435"/>
        <v>350</v>
      </c>
      <c r="Z123" s="217">
        <f t="shared" si="329"/>
        <v>24.245454422441561</v>
      </c>
      <c r="AA123" s="173">
        <f t="shared" si="330"/>
        <v>1.4197486871126259</v>
      </c>
      <c r="AB123" s="173">
        <f t="shared" si="331"/>
        <v>0.28446331931114854</v>
      </c>
      <c r="AC123" s="173"/>
      <c r="AD123" s="173">
        <f t="shared" si="332"/>
        <v>0.78076418635047107</v>
      </c>
      <c r="AE123" s="545">
        <f t="shared" si="333"/>
        <v>317.3361563117802</v>
      </c>
      <c r="AF123" s="528">
        <f t="shared" si="334"/>
        <v>8.6028646458987085E-2</v>
      </c>
      <c r="AH123" s="173">
        <f t="shared" si="335"/>
        <v>12.667167909881943</v>
      </c>
      <c r="AI123" s="173">
        <f t="shared" si="336"/>
        <v>13.333333333333334</v>
      </c>
      <c r="AJ123" s="173">
        <f t="shared" si="337"/>
        <v>1.1813349464638745</v>
      </c>
      <c r="AL123" s="545">
        <f t="shared" si="338"/>
        <v>78</v>
      </c>
      <c r="AM123" s="460">
        <f t="shared" si="339"/>
        <v>317.3361563117802</v>
      </c>
      <c r="AO123" s="460">
        <f t="shared" si="340"/>
        <v>78</v>
      </c>
      <c r="AP123" s="460">
        <f t="shared" si="341"/>
        <v>317.3361563117802</v>
      </c>
      <c r="AR123" s="5">
        <f t="shared" si="275"/>
        <v>3.1512324710251676</v>
      </c>
      <c r="AS123" s="5">
        <f t="shared" si="440"/>
        <v>0.79046798902905879</v>
      </c>
      <c r="AT123" s="5">
        <f t="shared" si="441"/>
        <v>2.3607644819961089</v>
      </c>
      <c r="AU123" s="173">
        <f t="shared" si="442"/>
        <v>0.25084407332598396</v>
      </c>
      <c r="AW123" s="5">
        <f t="shared" si="342"/>
        <v>3.6268531261333281E-2</v>
      </c>
      <c r="AX123" s="5">
        <f t="shared" si="343"/>
        <v>0.42817016072407349</v>
      </c>
      <c r="AY123" s="5">
        <f t="shared" si="344"/>
        <v>5.9387044944482907</v>
      </c>
      <c r="AZ123" s="5"/>
      <c r="BA123" s="173">
        <f t="shared" si="345"/>
        <v>3.8554939988117121</v>
      </c>
      <c r="BB123" s="173">
        <f t="shared" si="346"/>
        <v>0.31463761375200933</v>
      </c>
      <c r="BC123" s="173">
        <f t="shared" si="347"/>
        <v>0.24876628377706345</v>
      </c>
      <c r="BD123" s="173"/>
      <c r="BE123" s="528">
        <f t="shared" si="348"/>
        <v>0.59459335899492505</v>
      </c>
      <c r="BF123" s="528">
        <f t="shared" si="349"/>
        <v>1.6157930855752092</v>
      </c>
      <c r="BG123" s="528">
        <f t="shared" si="350"/>
        <v>0.10705427188824954</v>
      </c>
      <c r="BH123" s="528">
        <f t="shared" si="351"/>
        <v>1.8282661555958465E-2</v>
      </c>
      <c r="BI123">
        <f t="shared" si="352"/>
        <v>3.7952200995323487E-3</v>
      </c>
      <c r="BJ123" s="460">
        <f t="shared" si="436"/>
        <v>110.84949198778187</v>
      </c>
      <c r="BK123">
        <f t="shared" si="353"/>
        <v>2.7822764868319441</v>
      </c>
      <c r="BL123" s="460">
        <f t="shared" si="437"/>
        <v>2339.5185981138743</v>
      </c>
      <c r="BM123" s="173">
        <f t="shared" si="354"/>
        <v>6.7704E-2</v>
      </c>
      <c r="BN123" s="173">
        <f t="shared" si="355"/>
        <v>5.6419999999999998E-2</v>
      </c>
      <c r="BO123" s="528"/>
      <c r="BQ123" s="460">
        <f t="shared" si="356"/>
        <v>124.124</v>
      </c>
      <c r="BR123" s="528">
        <f t="shared" si="357"/>
        <v>0.44594501924619373</v>
      </c>
      <c r="BS123" s="528">
        <f t="shared" si="358"/>
        <v>2.9699048396267585E-3</v>
      </c>
      <c r="BT123" s="528">
        <f t="shared" si="359"/>
        <v>3.0942331972125232E-4</v>
      </c>
      <c r="BU123" s="528">
        <f t="shared" si="360"/>
        <v>58.225836779981456</v>
      </c>
      <c r="BV123" s="528"/>
      <c r="BW123" s="625">
        <f t="shared" si="361"/>
        <v>1.4103829169412456</v>
      </c>
      <c r="BX123" s="460">
        <f t="shared" si="362"/>
        <v>60085.444044328244</v>
      </c>
      <c r="BY123" s="173">
        <f t="shared" si="363"/>
        <v>62.54908664244212</v>
      </c>
      <c r="BZ123" s="5">
        <f t="shared" si="364"/>
        <v>14.04</v>
      </c>
      <c r="CA123" s="173">
        <f t="shared" si="365"/>
        <v>0.18331593462585677</v>
      </c>
      <c r="CB123" s="5">
        <f t="shared" si="366"/>
        <v>18.331593462585676</v>
      </c>
      <c r="CC123">
        <f t="shared" si="367"/>
        <v>13</v>
      </c>
      <c r="CE123" s="562">
        <f t="shared" si="368"/>
        <v>-50</v>
      </c>
      <c r="CF123">
        <f t="shared" si="369"/>
        <v>-50</v>
      </c>
      <c r="CG123" s="173">
        <f t="shared" si="370"/>
        <v>0.24092519444552302</v>
      </c>
      <c r="CH123" s="173">
        <f t="shared" si="371"/>
        <v>5.995454703457407E-2</v>
      </c>
      <c r="CI123" s="170">
        <v>13</v>
      </c>
      <c r="CJ123" s="217">
        <f t="shared" si="438"/>
        <v>7.8E-2</v>
      </c>
      <c r="CK123" s="217">
        <f t="shared" si="372"/>
        <v>6.5000000000000002E-2</v>
      </c>
      <c r="CL123" s="217">
        <f t="shared" si="373"/>
        <v>13.26</v>
      </c>
      <c r="CM123" s="217">
        <f t="shared" si="374"/>
        <v>0.78</v>
      </c>
      <c r="CN123" s="541">
        <f t="shared" si="375"/>
        <v>9</v>
      </c>
      <c r="CO123" s="443">
        <f t="shared" si="376"/>
        <v>8.5350000000000001</v>
      </c>
      <c r="CP123" s="443">
        <f t="shared" si="377"/>
        <v>17.535</v>
      </c>
      <c r="CQ123" s="443"/>
      <c r="CR123" s="217">
        <f t="shared" si="378"/>
        <v>0.48644793152639093</v>
      </c>
      <c r="CS123" s="172">
        <f t="shared" si="379"/>
        <v>137.82691393247745</v>
      </c>
      <c r="CT123" s="172">
        <f t="shared" si="380"/>
        <v>8.1074655254398493</v>
      </c>
      <c r="CU123" s="217">
        <f t="shared" si="381"/>
        <v>0.81074655254398498</v>
      </c>
      <c r="CV123" s="217">
        <f t="shared" si="382"/>
        <v>11.485576161039788</v>
      </c>
      <c r="CW123" s="217">
        <f t="shared" si="383"/>
        <v>170</v>
      </c>
      <c r="CX123" s="217">
        <f t="shared" si="384"/>
        <v>6.4138416422287383</v>
      </c>
      <c r="CY123" s="217">
        <f t="shared" si="385"/>
        <v>0.35632453567937433</v>
      </c>
      <c r="CZ123" s="217">
        <f t="shared" si="386"/>
        <v>0.3757376474650696</v>
      </c>
      <c r="DA123" s="197">
        <f t="shared" si="387"/>
        <v>350</v>
      </c>
      <c r="DB123" s="443">
        <f t="shared" si="388"/>
        <v>350</v>
      </c>
      <c r="DD123" s="217">
        <f t="shared" si="389"/>
        <v>25.032384211169504</v>
      </c>
      <c r="DE123" s="173">
        <f t="shared" si="390"/>
        <v>1.4664548454112187</v>
      </c>
      <c r="DF123" s="173">
        <f t="shared" si="391"/>
        <v>0.30335794952229944</v>
      </c>
      <c r="DG123" s="173"/>
      <c r="DH123" s="173">
        <f t="shared" si="392"/>
        <v>0.78109744190587771</v>
      </c>
      <c r="DI123" s="545">
        <f t="shared" si="393"/>
        <v>317.20076470588236</v>
      </c>
      <c r="DJ123" s="528">
        <f t="shared" si="394"/>
        <v>8.6065366284073561E-2</v>
      </c>
      <c r="DL123" s="173">
        <f t="shared" si="395"/>
        <v>12.667167909881943</v>
      </c>
      <c r="DM123" s="173">
        <f t="shared" si="396"/>
        <v>13.333333333333334</v>
      </c>
      <c r="DN123" s="173">
        <f t="shared" si="397"/>
        <v>1.1812575798319327</v>
      </c>
      <c r="DP123" s="545">
        <f t="shared" si="398"/>
        <v>78</v>
      </c>
      <c r="DQ123" s="460">
        <f t="shared" si="399"/>
        <v>317.20076470588236</v>
      </c>
      <c r="DS123" s="460">
        <f t="shared" si="400"/>
        <v>78</v>
      </c>
      <c r="DT123" s="460">
        <f t="shared" si="401"/>
        <v>317.20076470588236</v>
      </c>
      <c r="DV123" s="5">
        <f t="shared" si="402"/>
        <v>3.1525775195631343</v>
      </c>
      <c r="DW123" s="5">
        <f t="shared" si="403"/>
        <v>0.7407407407407407</v>
      </c>
      <c r="DX123" s="5">
        <f t="shared" si="404"/>
        <v>2.4118367788223933</v>
      </c>
      <c r="DY123" s="173">
        <f t="shared" si="405"/>
        <v>0.23496352941176471</v>
      </c>
      <c r="EA123" s="5">
        <f t="shared" si="406"/>
        <v>3.3986928104575161E-2</v>
      </c>
      <c r="EB123" s="5">
        <f t="shared" si="407"/>
        <v>0.40123456790123452</v>
      </c>
      <c r="EC123" s="5">
        <f t="shared" si="408"/>
        <v>5.6855032332773217</v>
      </c>
      <c r="ED123" s="5"/>
      <c r="EE123" s="173">
        <f t="shared" si="409"/>
        <v>3.7314561106734665</v>
      </c>
      <c r="EF123" s="173">
        <f t="shared" si="410"/>
        <v>0.31795495650596867</v>
      </c>
      <c r="EG123" s="173">
        <f t="shared" si="411"/>
        <v>0.25138912031296368</v>
      </c>
      <c r="EH123" s="173"/>
      <c r="EI123" s="528">
        <f t="shared" si="412"/>
        <v>0.5569505882352942</v>
      </c>
      <c r="EJ123" s="528">
        <f t="shared" si="413"/>
        <v>2.0394423166764706</v>
      </c>
      <c r="EK123" s="528">
        <f t="shared" si="414"/>
        <v>6.344015294117647E-2</v>
      </c>
      <c r="EL123" s="528">
        <f t="shared" si="415"/>
        <v>1.950633873977559E-2</v>
      </c>
      <c r="EM123">
        <f t="shared" si="416"/>
        <v>4.0499999999999998E-3</v>
      </c>
      <c r="EN123" s="460">
        <f t="shared" si="417"/>
        <v>67.490152941176461</v>
      </c>
      <c r="EP123" s="460">
        <f t="shared" si="439"/>
        <v>2683.3893965927168</v>
      </c>
      <c r="EQ123" s="173">
        <f t="shared" si="418"/>
        <v>5.4599999999999996E-2</v>
      </c>
      <c r="ER123" s="173">
        <f t="shared" si="419"/>
        <v>5.6419999999999998E-2</v>
      </c>
      <c r="ES123" s="528"/>
      <c r="EU123" s="460">
        <f t="shared" si="420"/>
        <v>111.02</v>
      </c>
      <c r="EV123" s="528">
        <f t="shared" si="421"/>
        <v>0.41771294117647062</v>
      </c>
      <c r="EW123" s="528">
        <f t="shared" si="422"/>
        <v>3.0328606310013728E-3</v>
      </c>
      <c r="EX123" s="528">
        <f t="shared" si="423"/>
        <v>3.1598244905862863E-4</v>
      </c>
      <c r="EY123" s="528">
        <f t="shared" si="424"/>
        <v>58.163751456481492</v>
      </c>
      <c r="EZ123" s="528"/>
      <c r="FA123" s="625">
        <f t="shared" si="425"/>
        <v>1.4097811764705885</v>
      </c>
      <c r="FB123" s="460">
        <f t="shared" si="426"/>
        <v>59994.594417208609</v>
      </c>
      <c r="FC123" s="173">
        <f t="shared" si="427"/>
        <v>62.78900381380133</v>
      </c>
      <c r="FD123" s="5">
        <f t="shared" si="428"/>
        <v>14.04</v>
      </c>
      <c r="FE123" s="173">
        <f t="shared" si="429"/>
        <v>0.18274348622333556</v>
      </c>
      <c r="FF123" s="5">
        <f t="shared" si="430"/>
        <v>18.274348622333555</v>
      </c>
      <c r="FG123">
        <f t="shared" si="431"/>
        <v>13</v>
      </c>
      <c r="FI123" s="562">
        <f t="shared" si="432"/>
        <v>-50</v>
      </c>
      <c r="FJ123">
        <f t="shared" si="433"/>
        <v>-50</v>
      </c>
    </row>
    <row r="124" spans="5:166">
      <c r="E124" s="170">
        <v>14</v>
      </c>
      <c r="F124" s="217">
        <f t="shared" si="434"/>
        <v>8.4000000000000005E-2</v>
      </c>
      <c r="G124" s="217">
        <f t="shared" si="313"/>
        <v>7.0000000000000007E-2</v>
      </c>
      <c r="H124" s="217">
        <f t="shared" si="314"/>
        <v>14.280000000000001</v>
      </c>
      <c r="I124" s="217">
        <f t="shared" si="315"/>
        <v>0.84000000000000008</v>
      </c>
      <c r="J124" s="541">
        <f t="shared" si="316"/>
        <v>8.4338224434052194</v>
      </c>
      <c r="K124" s="443">
        <f t="shared" si="317"/>
        <v>8.5386430156699316</v>
      </c>
      <c r="L124" s="172">
        <f t="shared" si="318"/>
        <v>16.972465459075153</v>
      </c>
      <c r="M124" s="443"/>
      <c r="N124" s="217">
        <f t="shared" si="319"/>
        <v>0.50308795951058083</v>
      </c>
      <c r="O124" s="172">
        <f t="shared" si="320"/>
        <v>133.57449427178452</v>
      </c>
      <c r="P124" s="172">
        <f t="shared" si="321"/>
        <v>7.8573231924579128</v>
      </c>
      <c r="Q124" s="217">
        <f t="shared" si="322"/>
        <v>0.78573231924579123</v>
      </c>
      <c r="R124" s="217">
        <f t="shared" si="323"/>
        <v>11.131207855982042</v>
      </c>
      <c r="S124" s="217">
        <f t="shared" si="324"/>
        <v>170</v>
      </c>
      <c r="T124" s="217">
        <f t="shared" si="325"/>
        <v>7.1271091475215478</v>
      </c>
      <c r="U124" s="217">
        <f t="shared" si="326"/>
        <v>0.42253137265739754</v>
      </c>
      <c r="V124" s="217">
        <f t="shared" si="327"/>
        <v>0.41734436809467451</v>
      </c>
      <c r="W124" s="197">
        <f t="shared" si="328"/>
        <v>350</v>
      </c>
      <c r="X124" s="443">
        <f t="shared" si="435"/>
        <v>350</v>
      </c>
      <c r="Z124" s="217">
        <f t="shared" si="329"/>
        <v>24.245454422441561</v>
      </c>
      <c r="AA124" s="173">
        <f t="shared" si="330"/>
        <v>1.4197486871126259</v>
      </c>
      <c r="AB124" s="173">
        <f t="shared" si="331"/>
        <v>0.28446331931114854</v>
      </c>
      <c r="AC124" s="173"/>
      <c r="AD124" s="173">
        <f t="shared" si="332"/>
        <v>0.78076418635047107</v>
      </c>
      <c r="AE124" s="545">
        <f t="shared" si="333"/>
        <v>341.74662987422482</v>
      </c>
      <c r="AF124" s="528">
        <f t="shared" si="334"/>
        <v>8.6028646458987085E-2</v>
      </c>
      <c r="AH124" s="173">
        <f t="shared" si="335"/>
        <v>13.145341380123988</v>
      </c>
      <c r="AI124" s="173">
        <f t="shared" si="336"/>
        <v>13.333333333333334</v>
      </c>
      <c r="AJ124" s="173">
        <f t="shared" si="337"/>
        <v>1.1952837884995571</v>
      </c>
      <c r="AL124" s="545">
        <f t="shared" si="338"/>
        <v>84</v>
      </c>
      <c r="AM124" s="460">
        <f t="shared" si="339"/>
        <v>341.74662987422482</v>
      </c>
      <c r="AO124" s="460">
        <f t="shared" si="340"/>
        <v>84</v>
      </c>
      <c r="AP124" s="460">
        <f t="shared" si="341"/>
        <v>341.74662987422482</v>
      </c>
      <c r="AR124" s="5">
        <f t="shared" si="275"/>
        <v>2.9261444373805126</v>
      </c>
      <c r="AS124" s="5">
        <f t="shared" si="440"/>
        <v>0.79046798902905879</v>
      </c>
      <c r="AT124" s="5">
        <f t="shared" si="441"/>
        <v>2.1356764483514539</v>
      </c>
      <c r="AU124" s="173">
        <f t="shared" si="442"/>
        <v>0.27013977127413658</v>
      </c>
      <c r="AW124" s="5">
        <f t="shared" si="342"/>
        <v>3.9058418281435844E-2</v>
      </c>
      <c r="AX124" s="5">
        <f t="shared" si="343"/>
        <v>0.46110632693361769</v>
      </c>
      <c r="AY124" s="5">
        <f t="shared" si="344"/>
        <v>5.7857437501651141</v>
      </c>
      <c r="AZ124" s="5"/>
      <c r="BA124" s="173">
        <f t="shared" si="345"/>
        <v>4.0010352088142209</v>
      </c>
      <c r="BB124" s="173">
        <f t="shared" si="346"/>
        <v>0.31055918569532198</v>
      </c>
      <c r="BC124" s="173">
        <f t="shared" si="347"/>
        <v>0.24554169985267005</v>
      </c>
      <c r="BD124" s="173"/>
      <c r="BE124" s="528">
        <f t="shared" si="348"/>
        <v>0.64033130968684215</v>
      </c>
      <c r="BF124" s="528">
        <f t="shared" si="349"/>
        <v>1.7400848613886868</v>
      </c>
      <c r="BG124" s="528">
        <f t="shared" si="350"/>
        <v>0.11528921587965335</v>
      </c>
      <c r="BH124" s="528">
        <f t="shared" si="351"/>
        <v>1.9689020137186038E-2</v>
      </c>
      <c r="BI124">
        <f t="shared" si="352"/>
        <v>3.7952200995323487E-3</v>
      </c>
      <c r="BJ124" s="460">
        <f t="shared" si="436"/>
        <v>119.0844359791857</v>
      </c>
      <c r="BK124">
        <f t="shared" si="353"/>
        <v>3.034702541381189</v>
      </c>
      <c r="BL124" s="460">
        <f t="shared" si="437"/>
        <v>2519.1896271919009</v>
      </c>
      <c r="BM124" s="173">
        <f t="shared" si="354"/>
        <v>7.2911999999999991E-2</v>
      </c>
      <c r="BN124" s="173">
        <f t="shared" si="355"/>
        <v>6.0760000000000002E-2</v>
      </c>
      <c r="BO124" s="528"/>
      <c r="BQ124" s="460">
        <f t="shared" si="356"/>
        <v>133.672</v>
      </c>
      <c r="BR124" s="528">
        <f t="shared" si="357"/>
        <v>0.48024848226513162</v>
      </c>
      <c r="BS124" s="528">
        <f t="shared" si="358"/>
        <v>2.8934102345922444E-3</v>
      </c>
      <c r="BT124" s="528">
        <f t="shared" si="359"/>
        <v>3.0145363183269351E-4</v>
      </c>
      <c r="BU124" s="528">
        <f t="shared" si="360"/>
        <v>70.077313949053135</v>
      </c>
      <c r="BV124" s="528"/>
      <c r="BW124" s="625">
        <f t="shared" si="361"/>
        <v>1.5188739105521105</v>
      </c>
      <c r="BX124" s="460">
        <f t="shared" si="362"/>
        <v>72079.631205736805</v>
      </c>
      <c r="BY124" s="173">
        <f t="shared" si="363"/>
        <v>74.732492832928713</v>
      </c>
      <c r="BZ124" s="5">
        <f t="shared" si="364"/>
        <v>15.120000000000001</v>
      </c>
      <c r="CA124" s="173">
        <f t="shared" si="365"/>
        <v>0.16827579873731555</v>
      </c>
      <c r="CB124" s="5">
        <f t="shared" si="366"/>
        <v>16.827579873731555</v>
      </c>
      <c r="CC124">
        <f t="shared" si="367"/>
        <v>14.000000000000002</v>
      </c>
      <c r="CE124" s="562">
        <f t="shared" si="368"/>
        <v>-50</v>
      </c>
      <c r="CF124">
        <f t="shared" si="369"/>
        <v>-50</v>
      </c>
      <c r="CG124" s="173">
        <f t="shared" si="370"/>
        <v>0.25945790171056327</v>
      </c>
      <c r="CH124" s="173">
        <f t="shared" si="371"/>
        <v>6.4566435268002861E-2</v>
      </c>
      <c r="CI124" s="170">
        <v>14</v>
      </c>
      <c r="CJ124" s="217">
        <f t="shared" si="438"/>
        <v>8.4000000000000005E-2</v>
      </c>
      <c r="CK124" s="217">
        <f t="shared" si="372"/>
        <v>7.0000000000000007E-2</v>
      </c>
      <c r="CL124" s="217">
        <f t="shared" si="373"/>
        <v>14.280000000000001</v>
      </c>
      <c r="CM124" s="217">
        <f t="shared" si="374"/>
        <v>0.84000000000000008</v>
      </c>
      <c r="CN124" s="541">
        <f t="shared" si="375"/>
        <v>9</v>
      </c>
      <c r="CO124" s="443">
        <f t="shared" si="376"/>
        <v>8.5350000000000001</v>
      </c>
      <c r="CP124" s="443">
        <f t="shared" si="377"/>
        <v>17.535</v>
      </c>
      <c r="CQ124" s="443"/>
      <c r="CR124" s="217">
        <f t="shared" si="378"/>
        <v>0.48644793152639093</v>
      </c>
      <c r="CS124" s="172">
        <f t="shared" si="379"/>
        <v>137.82691393247745</v>
      </c>
      <c r="CT124" s="172">
        <f t="shared" si="380"/>
        <v>8.1074655254398493</v>
      </c>
      <c r="CU124" s="217">
        <f t="shared" si="381"/>
        <v>0.81074655254398498</v>
      </c>
      <c r="CV124" s="217">
        <f t="shared" si="382"/>
        <v>11.485576161039788</v>
      </c>
      <c r="CW124" s="217">
        <f t="shared" si="383"/>
        <v>170</v>
      </c>
      <c r="CX124" s="217">
        <f t="shared" si="384"/>
        <v>6.9072140762463343</v>
      </c>
      <c r="CY124" s="217">
        <f t="shared" si="385"/>
        <v>0.38373411534701857</v>
      </c>
      <c r="CZ124" s="217">
        <f t="shared" si="386"/>
        <v>0.40464054342392108</v>
      </c>
      <c r="DA124" s="197">
        <f t="shared" si="387"/>
        <v>350</v>
      </c>
      <c r="DB124" s="443">
        <f t="shared" si="388"/>
        <v>350</v>
      </c>
      <c r="DD124" s="217">
        <f t="shared" si="389"/>
        <v>25.032384211169504</v>
      </c>
      <c r="DE124" s="173">
        <f t="shared" si="390"/>
        <v>1.4664548454112187</v>
      </c>
      <c r="DF124" s="173">
        <f t="shared" si="391"/>
        <v>0.30335794952229944</v>
      </c>
      <c r="DG124" s="173"/>
      <c r="DH124" s="173">
        <f t="shared" si="392"/>
        <v>0.78109744190587771</v>
      </c>
      <c r="DI124" s="545">
        <f t="shared" si="393"/>
        <v>341.60082352941185</v>
      </c>
      <c r="DJ124" s="528">
        <f t="shared" si="394"/>
        <v>8.6065366284073561E-2</v>
      </c>
      <c r="DL124" s="173">
        <f t="shared" si="395"/>
        <v>13.145341380123988</v>
      </c>
      <c r="DM124" s="173">
        <f t="shared" si="396"/>
        <v>13.333333333333334</v>
      </c>
      <c r="DN124" s="173">
        <f t="shared" si="397"/>
        <v>1.1952004705882353</v>
      </c>
      <c r="DP124" s="545">
        <f t="shared" si="398"/>
        <v>84</v>
      </c>
      <c r="DQ124" s="460">
        <f t="shared" si="399"/>
        <v>341.60082352941185</v>
      </c>
      <c r="DS124" s="460">
        <f t="shared" si="400"/>
        <v>84</v>
      </c>
      <c r="DT124" s="460">
        <f t="shared" si="401"/>
        <v>341.60082352941185</v>
      </c>
      <c r="DV124" s="5">
        <f t="shared" si="402"/>
        <v>2.9273934110229098</v>
      </c>
      <c r="DW124" s="5">
        <f t="shared" si="403"/>
        <v>0.7407407407407407</v>
      </c>
      <c r="DX124" s="5">
        <f t="shared" si="404"/>
        <v>2.1866526702821689</v>
      </c>
      <c r="DY124" s="173">
        <f t="shared" si="405"/>
        <v>0.25303764705882359</v>
      </c>
      <c r="EA124" s="5">
        <f t="shared" si="406"/>
        <v>3.6601307189542485E-2</v>
      </c>
      <c r="EB124" s="5">
        <f t="shared" si="407"/>
        <v>0.4320987654320988</v>
      </c>
      <c r="EC124" s="5">
        <f t="shared" si="408"/>
        <v>5.551182245623</v>
      </c>
      <c r="ED124" s="5"/>
      <c r="EE124" s="173">
        <f t="shared" si="409"/>
        <v>3.8723150090626368</v>
      </c>
      <c r="EF124" s="173">
        <f t="shared" si="410"/>
        <v>0.31417663710878313</v>
      </c>
      <c r="EG124" s="173">
        <f t="shared" si="411"/>
        <v>0.24840181544450801</v>
      </c>
      <c r="EH124" s="173"/>
      <c r="EI124" s="528">
        <f t="shared" si="412"/>
        <v>0.59979294117647075</v>
      </c>
      <c r="EJ124" s="528">
        <f t="shared" si="413"/>
        <v>2.1963224948823536</v>
      </c>
      <c r="EK124" s="528">
        <f t="shared" si="414"/>
        <v>6.8320164705882369E-2</v>
      </c>
      <c r="EL124" s="528">
        <f t="shared" si="415"/>
        <v>2.1006826335142947E-2</v>
      </c>
      <c r="EM124">
        <f t="shared" si="416"/>
        <v>4.0499999999999998E-3</v>
      </c>
      <c r="EN124" s="460">
        <f t="shared" si="417"/>
        <v>72.370164705882374</v>
      </c>
      <c r="EP124" s="460">
        <f t="shared" si="439"/>
        <v>2889.4924270998495</v>
      </c>
      <c r="EQ124" s="173">
        <f t="shared" si="418"/>
        <v>5.8799999999999998E-2</v>
      </c>
      <c r="ER124" s="173">
        <f t="shared" si="419"/>
        <v>6.0760000000000002E-2</v>
      </c>
      <c r="ES124" s="528"/>
      <c r="EU124" s="460">
        <f t="shared" si="420"/>
        <v>119.56</v>
      </c>
      <c r="EV124" s="528">
        <f t="shared" si="421"/>
        <v>0.44984470588235309</v>
      </c>
      <c r="EW124" s="528">
        <f t="shared" si="422"/>
        <v>2.96120877914952E-3</v>
      </c>
      <c r="EX124" s="528">
        <f t="shared" si="423"/>
        <v>3.0851730958063707E-4</v>
      </c>
      <c r="EY124" s="528">
        <f t="shared" si="424"/>
        <v>70.002591575839745</v>
      </c>
      <c r="EZ124" s="528"/>
      <c r="FA124" s="625">
        <f t="shared" si="425"/>
        <v>1.5182258823529418</v>
      </c>
      <c r="FB124" s="460">
        <f t="shared" si="426"/>
        <v>71973.931890163774</v>
      </c>
      <c r="FC124" s="173">
        <f t="shared" si="427"/>
        <v>74.982984317263615</v>
      </c>
      <c r="FD124" s="5">
        <f t="shared" si="428"/>
        <v>15.120000000000001</v>
      </c>
      <c r="FE124" s="173">
        <f t="shared" si="429"/>
        <v>0.16780798232787311</v>
      </c>
      <c r="FF124" s="5">
        <f t="shared" si="430"/>
        <v>16.780798232787312</v>
      </c>
      <c r="FG124">
        <f t="shared" si="431"/>
        <v>14.000000000000002</v>
      </c>
      <c r="FI124" s="562">
        <f t="shared" si="432"/>
        <v>-50</v>
      </c>
      <c r="FJ124">
        <f t="shared" si="433"/>
        <v>-50</v>
      </c>
    </row>
    <row r="125" spans="5:166">
      <c r="E125" s="170">
        <v>15</v>
      </c>
      <c r="F125" s="217">
        <f t="shared" si="434"/>
        <v>0.09</v>
      </c>
      <c r="G125" s="217">
        <f t="shared" si="313"/>
        <v>7.4999999999999997E-2</v>
      </c>
      <c r="H125" s="217">
        <f t="shared" si="314"/>
        <v>15.299999999999999</v>
      </c>
      <c r="I125" s="217">
        <f t="shared" si="315"/>
        <v>0.89999999999999991</v>
      </c>
      <c r="J125" s="541">
        <f t="shared" si="316"/>
        <v>8.4210251567000451</v>
      </c>
      <c r="K125" s="443">
        <f t="shared" si="317"/>
        <v>8.5387253585947924</v>
      </c>
      <c r="L125" s="172">
        <f t="shared" si="318"/>
        <v>16.959750515294836</v>
      </c>
      <c r="M125" s="443"/>
      <c r="N125" s="217">
        <f t="shared" si="319"/>
        <v>0.50346998624150174</v>
      </c>
      <c r="O125" s="172">
        <f t="shared" si="320"/>
        <v>133.4730891413202</v>
      </c>
      <c r="P125" s="172">
        <f t="shared" si="321"/>
        <v>7.8513581847835399</v>
      </c>
      <c r="Q125" s="217">
        <f t="shared" si="322"/>
        <v>0.78513581847835412</v>
      </c>
      <c r="R125" s="217">
        <f t="shared" si="323"/>
        <v>11.12275742844335</v>
      </c>
      <c r="S125" s="217">
        <f t="shared" si="324"/>
        <v>170</v>
      </c>
      <c r="T125" s="217">
        <f t="shared" si="325"/>
        <v>7.641989906444981</v>
      </c>
      <c r="U125" s="217">
        <f t="shared" si="326"/>
        <v>0.45374463110140228</v>
      </c>
      <c r="V125" s="217">
        <f t="shared" si="327"/>
        <v>0.44749008695734732</v>
      </c>
      <c r="W125" s="197">
        <f t="shared" si="328"/>
        <v>350</v>
      </c>
      <c r="X125" s="443">
        <f t="shared" si="435"/>
        <v>350</v>
      </c>
      <c r="Z125" s="217">
        <f t="shared" si="329"/>
        <v>24.227048113046347</v>
      </c>
      <c r="AA125" s="173">
        <f t="shared" si="330"/>
        <v>1.4186571821671381</v>
      </c>
      <c r="AB125" s="173">
        <f t="shared" si="331"/>
        <v>0.28402883480455277</v>
      </c>
      <c r="AC125" s="173"/>
      <c r="AD125" s="173">
        <f t="shared" si="332"/>
        <v>0.78075665707601483</v>
      </c>
      <c r="AE125" s="545">
        <f t="shared" si="333"/>
        <v>366.16063449503548</v>
      </c>
      <c r="AF125" s="528">
        <f t="shared" si="334"/>
        <v>8.6027816844486835E-2</v>
      </c>
      <c r="AH125" s="173">
        <f t="shared" si="335"/>
        <v>13.60672102833218</v>
      </c>
      <c r="AI125" s="173">
        <f t="shared" si="336"/>
        <v>13.60672102833218</v>
      </c>
      <c r="AJ125" s="173">
        <f t="shared" si="337"/>
        <v>1.4025094037028487</v>
      </c>
      <c r="AL125" s="545">
        <f t="shared" si="338"/>
        <v>90</v>
      </c>
      <c r="AM125" s="460">
        <f t="shared" si="339"/>
        <v>350</v>
      </c>
      <c r="AO125" s="460">
        <f t="shared" si="340"/>
        <v>90</v>
      </c>
      <c r="AP125" s="460">
        <f t="shared" si="341"/>
        <v>350</v>
      </c>
      <c r="AR125" s="5">
        <f t="shared" si="275"/>
        <v>2.8571428571428572</v>
      </c>
      <c r="AS125" s="5">
        <f t="shared" si="440"/>
        <v>0.80790169695112612</v>
      </c>
      <c r="AT125" s="5">
        <f t="shared" si="441"/>
        <v>2.0492411601917313</v>
      </c>
      <c r="AU125" s="173">
        <f t="shared" si="442"/>
        <v>0.28276559393289413</v>
      </c>
      <c r="AW125" s="5">
        <f t="shared" si="342"/>
        <v>4.2771266309177262E-2</v>
      </c>
      <c r="AX125" s="5">
        <f t="shared" si="343"/>
        <v>0.50493856059445386</v>
      </c>
      <c r="AY125" s="5">
        <f t="shared" si="344"/>
        <v>5.9571634887683853</v>
      </c>
      <c r="AZ125" s="5"/>
      <c r="BA125" s="173">
        <f t="shared" si="345"/>
        <v>4.1774007054799425</v>
      </c>
      <c r="BB125" s="173">
        <f t="shared" si="346"/>
        <v>0.31417370335941291</v>
      </c>
      <c r="BC125" s="173">
        <f t="shared" si="347"/>
        <v>0.24839949589370908</v>
      </c>
      <c r="BD125" s="173"/>
      <c r="BE125" s="528">
        <f t="shared" si="348"/>
        <v>0.69802706616577281</v>
      </c>
      <c r="BF125" s="528">
        <f t="shared" si="349"/>
        <v>1.8172869275273718</v>
      </c>
      <c r="BG125" s="528">
        <f t="shared" si="350"/>
        <v>0.11789435219380064</v>
      </c>
      <c r="BH125" s="528">
        <f t="shared" si="351"/>
        <v>2.0134319627873039E-2</v>
      </c>
      <c r="BI125">
        <f t="shared" si="352"/>
        <v>3.7894613205150204E-3</v>
      </c>
      <c r="BJ125" s="460">
        <f t="shared" si="436"/>
        <v>121.68381351431566</v>
      </c>
      <c r="BK125">
        <f t="shared" si="353"/>
        <v>3.265503375606805</v>
      </c>
      <c r="BL125" s="460">
        <f t="shared" si="437"/>
        <v>2657.1321268353331</v>
      </c>
      <c r="BM125" s="173">
        <f t="shared" si="354"/>
        <v>7.8119999999999995E-2</v>
      </c>
      <c r="BN125" s="173">
        <f t="shared" si="355"/>
        <v>6.5099999999999991E-2</v>
      </c>
      <c r="BO125" s="528"/>
      <c r="BQ125" s="460">
        <f t="shared" si="356"/>
        <v>143.22</v>
      </c>
      <c r="BR125" s="528">
        <f t="shared" si="357"/>
        <v>0.52352029962432955</v>
      </c>
      <c r="BS125" s="528">
        <f t="shared" si="358"/>
        <v>2.9611534764770512E-3</v>
      </c>
      <c r="BT125" s="528">
        <f t="shared" si="359"/>
        <v>3.0851154780124401E-4</v>
      </c>
      <c r="BU125" s="528">
        <f t="shared" si="360"/>
        <v>78.257112081576665</v>
      </c>
      <c r="BV125" s="528"/>
      <c r="BW125" s="625">
        <f t="shared" si="361"/>
        <v>1.62</v>
      </c>
      <c r="BX125" s="460">
        <f t="shared" si="362"/>
        <v>80403.902046225281</v>
      </c>
      <c r="BY125" s="173">
        <f t="shared" si="363"/>
        <v>83.204254173060605</v>
      </c>
      <c r="BZ125" s="5">
        <f t="shared" si="364"/>
        <v>16.2</v>
      </c>
      <c r="CA125" s="173">
        <f t="shared" si="365"/>
        <v>0.16297089228994321</v>
      </c>
      <c r="CB125" s="5">
        <f t="shared" si="366"/>
        <v>16.29708922899432</v>
      </c>
      <c r="CC125">
        <f t="shared" si="367"/>
        <v>15</v>
      </c>
      <c r="CE125" s="562">
        <f t="shared" si="368"/>
        <v>-50</v>
      </c>
      <c r="CF125">
        <f t="shared" si="369"/>
        <v>-50</v>
      </c>
      <c r="CG125" s="173">
        <f t="shared" si="370"/>
        <v>0.27184608375904912</v>
      </c>
      <c r="CH125" s="173">
        <f t="shared" si="371"/>
        <v>6.7649250433964067E-2</v>
      </c>
      <c r="CI125" s="170">
        <v>15</v>
      </c>
      <c r="CJ125" s="217">
        <f t="shared" si="438"/>
        <v>0.09</v>
      </c>
      <c r="CK125" s="217">
        <f t="shared" si="372"/>
        <v>7.4999999999999997E-2</v>
      </c>
      <c r="CL125" s="217">
        <f t="shared" si="373"/>
        <v>15.299999999999999</v>
      </c>
      <c r="CM125" s="217">
        <f t="shared" si="374"/>
        <v>0.89999999999999991</v>
      </c>
      <c r="CN125" s="541">
        <f t="shared" si="375"/>
        <v>9</v>
      </c>
      <c r="CO125" s="443">
        <f t="shared" si="376"/>
        <v>8.5350000000000001</v>
      </c>
      <c r="CP125" s="443">
        <f t="shared" si="377"/>
        <v>17.535</v>
      </c>
      <c r="CQ125" s="443"/>
      <c r="CR125" s="217">
        <f t="shared" si="378"/>
        <v>0.48644793152639093</v>
      </c>
      <c r="CS125" s="172">
        <f t="shared" si="379"/>
        <v>137.82691393247745</v>
      </c>
      <c r="CT125" s="172">
        <f t="shared" si="380"/>
        <v>8.1074655254398493</v>
      </c>
      <c r="CU125" s="217">
        <f t="shared" si="381"/>
        <v>0.81074655254398498</v>
      </c>
      <c r="CV125" s="217">
        <f t="shared" si="382"/>
        <v>11.485576161039788</v>
      </c>
      <c r="CW125" s="217">
        <f t="shared" si="383"/>
        <v>170</v>
      </c>
      <c r="CX125" s="217">
        <f t="shared" si="384"/>
        <v>7.4005865102639286</v>
      </c>
      <c r="CY125" s="217">
        <f t="shared" si="385"/>
        <v>0.41114369501466269</v>
      </c>
      <c r="CZ125" s="217">
        <f t="shared" si="386"/>
        <v>0.43354343938277257</v>
      </c>
      <c r="DA125" s="197">
        <f t="shared" si="387"/>
        <v>350</v>
      </c>
      <c r="DB125" s="443">
        <f t="shared" si="388"/>
        <v>350</v>
      </c>
      <c r="DD125" s="217">
        <f t="shared" si="389"/>
        <v>25.032384211169504</v>
      </c>
      <c r="DE125" s="173">
        <f t="shared" si="390"/>
        <v>1.4664548454112187</v>
      </c>
      <c r="DF125" s="173">
        <f t="shared" si="391"/>
        <v>0.30335794952229944</v>
      </c>
      <c r="DG125" s="173"/>
      <c r="DH125" s="173">
        <f t="shared" si="392"/>
        <v>0.78109744190587771</v>
      </c>
      <c r="DI125" s="545">
        <f t="shared" si="393"/>
        <v>366.00088235294123</v>
      </c>
      <c r="DJ125" s="528">
        <f t="shared" si="394"/>
        <v>8.6065366284073561E-2</v>
      </c>
      <c r="DL125" s="173">
        <f t="shared" si="395"/>
        <v>13.60672102833218</v>
      </c>
      <c r="DM125" s="173">
        <f t="shared" si="396"/>
        <v>13.60672102833218</v>
      </c>
      <c r="DN125" s="173">
        <f t="shared" si="397"/>
        <v>1.4025094037028487</v>
      </c>
      <c r="DP125" s="545">
        <f t="shared" si="398"/>
        <v>90</v>
      </c>
      <c r="DQ125" s="460">
        <f t="shared" si="399"/>
        <v>350</v>
      </c>
      <c r="DS125" s="460">
        <f t="shared" si="400"/>
        <v>90</v>
      </c>
      <c r="DT125" s="460">
        <f t="shared" si="401"/>
        <v>350</v>
      </c>
      <c r="DV125" s="5">
        <f t="shared" si="402"/>
        <v>2.8571428571428572</v>
      </c>
      <c r="DW125" s="5">
        <f t="shared" si="403"/>
        <v>0.75592894601845428</v>
      </c>
      <c r="DX125" s="5">
        <f t="shared" si="404"/>
        <v>2.101213911124403</v>
      </c>
      <c r="DY125" s="173">
        <f t="shared" si="405"/>
        <v>0.26457513110645897</v>
      </c>
      <c r="EA125" s="5">
        <f t="shared" si="406"/>
        <v>4.0019767730388761E-2</v>
      </c>
      <c r="EB125" s="5">
        <f t="shared" si="407"/>
        <v>0.47245559126153391</v>
      </c>
      <c r="EC125" s="5">
        <f t="shared" si="408"/>
        <v>5.7153018382583758</v>
      </c>
      <c r="ED125" s="5"/>
      <c r="EE125" s="173">
        <f t="shared" si="409"/>
        <v>4.0408000735001242</v>
      </c>
      <c r="EF125" s="173">
        <f t="shared" si="410"/>
        <v>0.31813278682413743</v>
      </c>
      <c r="EG125" s="173">
        <f t="shared" si="411"/>
        <v>0.25152972075442454</v>
      </c>
      <c r="EH125" s="173"/>
      <c r="EI125" s="528">
        <f t="shared" si="412"/>
        <v>0.65312260935994437</v>
      </c>
      <c r="EJ125" s="528">
        <f t="shared" si="413"/>
        <v>2.2964658373561209</v>
      </c>
      <c r="EK125" s="528">
        <f t="shared" si="414"/>
        <v>6.9999999999999993E-2</v>
      </c>
      <c r="EL125" s="528">
        <f t="shared" si="415"/>
        <v>2.1523335750000001E-2</v>
      </c>
      <c r="EM125">
        <f t="shared" si="416"/>
        <v>4.0499999999999998E-3</v>
      </c>
      <c r="EN125" s="460">
        <f t="shared" si="417"/>
        <v>74.05</v>
      </c>
      <c r="EP125" s="460">
        <f t="shared" si="439"/>
        <v>3045.1617824660652</v>
      </c>
      <c r="EQ125" s="173">
        <f t="shared" si="418"/>
        <v>6.3E-2</v>
      </c>
      <c r="ER125" s="173">
        <f t="shared" si="419"/>
        <v>6.5099999999999991E-2</v>
      </c>
      <c r="ES125" s="528"/>
      <c r="EU125" s="460">
        <f t="shared" si="420"/>
        <v>128.1</v>
      </c>
      <c r="EV125" s="528">
        <f t="shared" si="421"/>
        <v>0.4898419570199582</v>
      </c>
      <c r="EW125" s="528">
        <f t="shared" si="422"/>
        <v>3.0362541015747616E-3</v>
      </c>
      <c r="EX125" s="528">
        <f t="shared" si="423"/>
        <v>3.1633600211399389E-4</v>
      </c>
      <c r="EY125" s="528">
        <f t="shared" si="424"/>
        <v>78.257112081576665</v>
      </c>
      <c r="EZ125" s="528"/>
      <c r="FA125" s="625">
        <f t="shared" si="425"/>
        <v>1.62</v>
      </c>
      <c r="FB125" s="460">
        <f t="shared" si="426"/>
        <v>80370.306628700317</v>
      </c>
      <c r="FC125" s="173">
        <f t="shared" si="427"/>
        <v>83.543568411166376</v>
      </c>
      <c r="FD125" s="5">
        <f t="shared" si="428"/>
        <v>16.2</v>
      </c>
      <c r="FE125" s="173">
        <f t="shared" si="429"/>
        <v>0.16241648717859983</v>
      </c>
      <c r="FF125" s="5">
        <f t="shared" si="430"/>
        <v>16.241648717859984</v>
      </c>
      <c r="FG125">
        <f t="shared" si="431"/>
        <v>15</v>
      </c>
      <c r="FI125" s="562">
        <f t="shared" si="432"/>
        <v>-50</v>
      </c>
      <c r="FJ125">
        <f t="shared" si="433"/>
        <v>-50</v>
      </c>
    </row>
    <row r="126" spans="5:166">
      <c r="E126" s="170">
        <v>16</v>
      </c>
      <c r="F126" s="217">
        <f t="shared" si="434"/>
        <v>9.6000000000000002E-2</v>
      </c>
      <c r="G126" s="217">
        <f t="shared" si="313"/>
        <v>0.08</v>
      </c>
      <c r="H126" s="217">
        <f t="shared" si="314"/>
        <v>16.32</v>
      </c>
      <c r="I126" s="217">
        <f t="shared" si="315"/>
        <v>0.96</v>
      </c>
      <c r="J126" s="541">
        <f t="shared" si="316"/>
        <v>8.4020373530736592</v>
      </c>
      <c r="K126" s="443">
        <f t="shared" si="317"/>
        <v>8.5388475338123406</v>
      </c>
      <c r="L126" s="172">
        <f t="shared" si="318"/>
        <v>16.940884886886</v>
      </c>
      <c r="M126" s="443"/>
      <c r="N126" s="217">
        <f t="shared" si="319"/>
        <v>0.50403786997114264</v>
      </c>
      <c r="O126" s="172">
        <f t="shared" si="320"/>
        <v>133.32234293452007</v>
      </c>
      <c r="P126" s="172">
        <f t="shared" si="321"/>
        <v>7.8424907608541199</v>
      </c>
      <c r="Q126" s="217">
        <f t="shared" si="322"/>
        <v>0.78424907608541217</v>
      </c>
      <c r="R126" s="217">
        <f t="shared" si="323"/>
        <v>11.110195244543339</v>
      </c>
      <c r="S126" s="217">
        <f t="shared" si="324"/>
        <v>170</v>
      </c>
      <c r="T126" s="217">
        <f t="shared" si="325"/>
        <v>8.1606726678540351</v>
      </c>
      <c r="U126" s="217">
        <f t="shared" si="326"/>
        <v>0.48563653819443403</v>
      </c>
      <c r="V126" s="217">
        <f t="shared" si="327"/>
        <v>0.47785562603965004</v>
      </c>
      <c r="W126" s="197">
        <f t="shared" si="328"/>
        <v>350</v>
      </c>
      <c r="X126" s="443">
        <f t="shared" si="435"/>
        <v>350</v>
      </c>
      <c r="Z126" s="217">
        <f t="shared" si="329"/>
        <v>24.199685776349853</v>
      </c>
      <c r="AA126" s="173">
        <f t="shared" si="330"/>
        <v>1.4170346572253067</v>
      </c>
      <c r="AB126" s="173">
        <f t="shared" si="331"/>
        <v>0.2833835707810386</v>
      </c>
      <c r="AC126" s="173"/>
      <c r="AD126" s="173">
        <f t="shared" si="332"/>
        <v>0.78074548588294079</v>
      </c>
      <c r="AE126" s="545">
        <f t="shared" si="333"/>
        <v>390.57693189955734</v>
      </c>
      <c r="AF126" s="528">
        <f t="shared" si="334"/>
        <v>8.6026585944509223E-2</v>
      </c>
      <c r="AH126" s="173">
        <f t="shared" si="335"/>
        <v>14.05296105045888</v>
      </c>
      <c r="AI126" s="173">
        <f t="shared" si="336"/>
        <v>14.05296105045888</v>
      </c>
      <c r="AJ126" s="173">
        <f t="shared" si="337"/>
        <v>1.7330575682411449</v>
      </c>
      <c r="AL126" s="545">
        <f t="shared" si="338"/>
        <v>96</v>
      </c>
      <c r="AM126" s="460">
        <f t="shared" si="339"/>
        <v>350</v>
      </c>
      <c r="AO126" s="460">
        <f t="shared" si="340"/>
        <v>96</v>
      </c>
      <c r="AP126" s="460">
        <f t="shared" si="341"/>
        <v>350</v>
      </c>
      <c r="AR126" s="5">
        <f t="shared" si="275"/>
        <v>2.8571428571428572</v>
      </c>
      <c r="AS126" s="5">
        <f t="shared" si="440"/>
        <v>0.83628294304821094</v>
      </c>
      <c r="AT126" s="5">
        <f t="shared" si="441"/>
        <v>2.0208599140946464</v>
      </c>
      <c r="AU126" s="173">
        <f t="shared" si="442"/>
        <v>0.29269903006687381</v>
      </c>
      <c r="AW126" s="5">
        <f t="shared" si="342"/>
        <v>4.7225389725075444E-2</v>
      </c>
      <c r="AX126" s="5">
        <f t="shared" si="343"/>
        <v>0.55752196203214055</v>
      </c>
      <c r="AY126" s="5">
        <f t="shared" si="344"/>
        <v>6.2804641135682884</v>
      </c>
      <c r="AZ126" s="5"/>
      <c r="BA126" s="173">
        <f t="shared" si="345"/>
        <v>4.3895283354627956</v>
      </c>
      <c r="BB126" s="173">
        <f t="shared" si="346"/>
        <v>0.32222242564162706</v>
      </c>
      <c r="BC126" s="173">
        <f t="shared" si="347"/>
        <v>0.25476316839752544</v>
      </c>
      <c r="BD126" s="173"/>
      <c r="BE126" s="528">
        <f t="shared" si="348"/>
        <v>0.77071836031323127</v>
      </c>
      <c r="BF126" s="528">
        <f t="shared" si="349"/>
        <v>1.8747980643712667</v>
      </c>
      <c r="BG126" s="528">
        <f t="shared" si="350"/>
        <v>0.11762852294303122</v>
      </c>
      <c r="BH126" s="528">
        <f t="shared" si="351"/>
        <v>2.0089550652550574E-2</v>
      </c>
      <c r="BI126">
        <f t="shared" si="352"/>
        <v>3.7809168088831467E-3</v>
      </c>
      <c r="BJ126" s="460">
        <f t="shared" si="436"/>
        <v>121.40943975191438</v>
      </c>
      <c r="BK126">
        <f t="shared" si="353"/>
        <v>3.5179088349536647</v>
      </c>
      <c r="BL126" s="460">
        <f t="shared" si="437"/>
        <v>2787.015415088963</v>
      </c>
      <c r="BM126" s="173">
        <f t="shared" si="354"/>
        <v>8.3327999999999999E-2</v>
      </c>
      <c r="BN126" s="173">
        <f t="shared" si="355"/>
        <v>6.9439999999999988E-2</v>
      </c>
      <c r="BO126" s="528"/>
      <c r="BQ126" s="460">
        <f t="shared" si="356"/>
        <v>152.768</v>
      </c>
      <c r="BR126" s="528">
        <f t="shared" si="357"/>
        <v>0.57803877023492345</v>
      </c>
      <c r="BS126" s="528">
        <f t="shared" si="358"/>
        <v>3.1148187475912165E-3</v>
      </c>
      <c r="BT126" s="528">
        <f t="shared" si="359"/>
        <v>3.2452135985972956E-4</v>
      </c>
      <c r="BU126" s="528">
        <f t="shared" si="360"/>
        <v>84.83200303926462</v>
      </c>
      <c r="BV126" s="528"/>
      <c r="BW126" s="625">
        <f t="shared" si="361"/>
        <v>1.7280000000000006</v>
      </c>
      <c r="BX126" s="460">
        <f t="shared" si="362"/>
        <v>87141.481149606989</v>
      </c>
      <c r="BY126" s="173">
        <f t="shared" si="363"/>
        <v>90.081264564695957</v>
      </c>
      <c r="BZ126" s="5">
        <f t="shared" si="364"/>
        <v>17.28</v>
      </c>
      <c r="CA126" s="173">
        <f t="shared" si="365"/>
        <v>0.16095190448867211</v>
      </c>
      <c r="CB126" s="5">
        <f t="shared" si="366"/>
        <v>16.095190448867211</v>
      </c>
      <c r="CC126">
        <f t="shared" si="367"/>
        <v>16</v>
      </c>
      <c r="CE126" s="562">
        <f t="shared" si="368"/>
        <v>-50</v>
      </c>
      <c r="CF126">
        <f t="shared" si="369"/>
        <v>-50</v>
      </c>
      <c r="CG126" s="173">
        <f t="shared" si="370"/>
        <v>0.28076142803480103</v>
      </c>
      <c r="CH126" s="173">
        <f t="shared" si="371"/>
        <v>6.986784541710872E-2</v>
      </c>
      <c r="CI126" s="170">
        <v>16</v>
      </c>
      <c r="CJ126" s="217">
        <f t="shared" si="438"/>
        <v>9.6000000000000002E-2</v>
      </c>
      <c r="CK126" s="217">
        <f t="shared" si="372"/>
        <v>0.08</v>
      </c>
      <c r="CL126" s="217">
        <f t="shared" si="373"/>
        <v>16.32</v>
      </c>
      <c r="CM126" s="217">
        <f t="shared" si="374"/>
        <v>0.96</v>
      </c>
      <c r="CN126" s="541">
        <f t="shared" si="375"/>
        <v>9</v>
      </c>
      <c r="CO126" s="443">
        <f t="shared" si="376"/>
        <v>8.5350000000000001</v>
      </c>
      <c r="CP126" s="443">
        <f t="shared" si="377"/>
        <v>17.535</v>
      </c>
      <c r="CQ126" s="443"/>
      <c r="CR126" s="217">
        <f t="shared" si="378"/>
        <v>0.48644793152639093</v>
      </c>
      <c r="CS126" s="172">
        <f t="shared" si="379"/>
        <v>137.82691393247745</v>
      </c>
      <c r="CT126" s="172">
        <f t="shared" si="380"/>
        <v>8.1074655254398493</v>
      </c>
      <c r="CU126" s="217">
        <f t="shared" si="381"/>
        <v>0.81074655254398498</v>
      </c>
      <c r="CV126" s="217">
        <f t="shared" si="382"/>
        <v>11.485576161039788</v>
      </c>
      <c r="CW126" s="217">
        <f t="shared" si="383"/>
        <v>170</v>
      </c>
      <c r="CX126" s="217">
        <f t="shared" si="384"/>
        <v>7.8939589442815246</v>
      </c>
      <c r="CY126" s="217">
        <f t="shared" si="385"/>
        <v>0.43855327468230687</v>
      </c>
      <c r="CZ126" s="217">
        <f t="shared" si="386"/>
        <v>0.46244633534162416</v>
      </c>
      <c r="DA126" s="197">
        <f t="shared" si="387"/>
        <v>350</v>
      </c>
      <c r="DB126" s="443">
        <f t="shared" si="388"/>
        <v>350</v>
      </c>
      <c r="DD126" s="217">
        <f t="shared" si="389"/>
        <v>25.032384211169504</v>
      </c>
      <c r="DE126" s="173">
        <f t="shared" si="390"/>
        <v>1.4664548454112187</v>
      </c>
      <c r="DF126" s="173">
        <f t="shared" si="391"/>
        <v>0.30335794952229944</v>
      </c>
      <c r="DG126" s="173"/>
      <c r="DH126" s="173">
        <f t="shared" si="392"/>
        <v>0.78109744190587771</v>
      </c>
      <c r="DI126" s="545">
        <f t="shared" si="393"/>
        <v>390.40094117647067</v>
      </c>
      <c r="DJ126" s="528">
        <f t="shared" si="394"/>
        <v>8.6065366284073561E-2</v>
      </c>
      <c r="DL126" s="173">
        <f t="shared" si="395"/>
        <v>14.05296105045888</v>
      </c>
      <c r="DM126" s="173">
        <f t="shared" si="396"/>
        <v>14.05296105045888</v>
      </c>
      <c r="DN126" s="173">
        <f t="shared" si="397"/>
        <v>1.7330575682411449</v>
      </c>
      <c r="DP126" s="545">
        <f t="shared" si="398"/>
        <v>96</v>
      </c>
      <c r="DQ126" s="460">
        <f t="shared" si="399"/>
        <v>350</v>
      </c>
      <c r="DS126" s="460">
        <f t="shared" si="400"/>
        <v>96</v>
      </c>
      <c r="DT126" s="460">
        <f t="shared" si="401"/>
        <v>350</v>
      </c>
      <c r="DV126" s="5">
        <f t="shared" si="402"/>
        <v>2.8571428571428572</v>
      </c>
      <c r="DW126" s="5">
        <f t="shared" si="403"/>
        <v>0.78072005835882652</v>
      </c>
      <c r="DX126" s="5">
        <f t="shared" si="404"/>
        <v>2.0764227987840309</v>
      </c>
      <c r="DY126" s="173">
        <f t="shared" si="405"/>
        <v>0.27325202042558927</v>
      </c>
      <c r="EA126" s="5">
        <f t="shared" si="406"/>
        <v>4.4087720942616086E-2</v>
      </c>
      <c r="EB126" s="5">
        <f t="shared" si="407"/>
        <v>0.52048003890588446</v>
      </c>
      <c r="EC126" s="5">
        <f t="shared" si="408"/>
        <v>6.0243946802054023</v>
      </c>
      <c r="ED126" s="5"/>
      <c r="EE126" s="173">
        <f t="shared" si="409"/>
        <v>4.2412014977583139</v>
      </c>
      <c r="EF126" s="173">
        <f t="shared" si="410"/>
        <v>0.32662208916213453</v>
      </c>
      <c r="EG126" s="173">
        <f t="shared" si="411"/>
        <v>0.25824173515505494</v>
      </c>
      <c r="EH126" s="173"/>
      <c r="EI126" s="528">
        <f t="shared" si="412"/>
        <v>0.7195116057834946</v>
      </c>
      <c r="EJ126" s="528">
        <f t="shared" si="413"/>
        <v>2.3717797181905409</v>
      </c>
      <c r="EK126" s="528">
        <f t="shared" si="414"/>
        <v>6.9999999999999993E-2</v>
      </c>
      <c r="EL126" s="528">
        <f t="shared" si="415"/>
        <v>2.1523335750000001E-2</v>
      </c>
      <c r="EM126">
        <f t="shared" si="416"/>
        <v>4.0499999999999998E-3</v>
      </c>
      <c r="EN126" s="460">
        <f t="shared" si="417"/>
        <v>74.05</v>
      </c>
      <c r="EP126" s="460">
        <f t="shared" si="439"/>
        <v>3186.8646597240354</v>
      </c>
      <c r="EQ126" s="173">
        <f t="shared" si="418"/>
        <v>6.7199999999999996E-2</v>
      </c>
      <c r="ER126" s="173">
        <f t="shared" si="419"/>
        <v>6.9439999999999988E-2</v>
      </c>
      <c r="ES126" s="528"/>
      <c r="EU126" s="460">
        <f t="shared" si="420"/>
        <v>136.63999999999999</v>
      </c>
      <c r="EV126" s="528">
        <f t="shared" si="421"/>
        <v>0.53963370433762092</v>
      </c>
      <c r="EW126" s="528">
        <f t="shared" si="422"/>
        <v>3.2004596738591205E-3</v>
      </c>
      <c r="EX126" s="528">
        <f t="shared" si="423"/>
        <v>3.334439688794677E-4</v>
      </c>
      <c r="EY126" s="528">
        <f t="shared" si="424"/>
        <v>84.83200303926462</v>
      </c>
      <c r="EZ126" s="528"/>
      <c r="FA126" s="625">
        <f t="shared" si="425"/>
        <v>1.7280000000000006</v>
      </c>
      <c r="FB126" s="460">
        <f t="shared" si="426"/>
        <v>87103.170647244973</v>
      </c>
      <c r="FC126" s="173">
        <f t="shared" si="427"/>
        <v>90.426675306969017</v>
      </c>
      <c r="FD126" s="5">
        <f t="shared" si="428"/>
        <v>17.28</v>
      </c>
      <c r="FE126" s="173">
        <f t="shared" si="429"/>
        <v>0.16043573855335522</v>
      </c>
      <c r="FF126" s="5">
        <f t="shared" si="430"/>
        <v>16.04357385533552</v>
      </c>
      <c r="FG126">
        <f t="shared" si="431"/>
        <v>16</v>
      </c>
      <c r="FI126" s="562">
        <f t="shared" si="432"/>
        <v>-50</v>
      </c>
      <c r="FJ126">
        <f t="shared" si="433"/>
        <v>-50</v>
      </c>
    </row>
    <row r="127" spans="5:166">
      <c r="E127" s="170">
        <v>17</v>
      </c>
      <c r="F127" s="217">
        <f t="shared" si="434"/>
        <v>0.10200000000000001</v>
      </c>
      <c r="G127" s="217">
        <f t="shared" si="313"/>
        <v>8.5000000000000006E-2</v>
      </c>
      <c r="H127" s="217">
        <f t="shared" si="314"/>
        <v>17.34</v>
      </c>
      <c r="I127" s="217">
        <f t="shared" si="315"/>
        <v>1.02</v>
      </c>
      <c r="J127" s="541">
        <f t="shared" si="316"/>
        <v>8.3836342116371938</v>
      </c>
      <c r="K127" s="443">
        <f t="shared" si="317"/>
        <v>8.5389659470766031</v>
      </c>
      <c r="L127" s="172">
        <f t="shared" si="318"/>
        <v>16.922600158713799</v>
      </c>
      <c r="M127" s="443"/>
      <c r="N127" s="217">
        <f t="shared" si="319"/>
        <v>0.50458947602562787</v>
      </c>
      <c r="O127" s="172">
        <f t="shared" si="320"/>
        <v>133.17590944201697</v>
      </c>
      <c r="P127" s="172">
        <f t="shared" si="321"/>
        <v>7.833877026000998</v>
      </c>
      <c r="Q127" s="217">
        <f t="shared" si="322"/>
        <v>0.78338770260009982</v>
      </c>
      <c r="R127" s="217">
        <f t="shared" si="323"/>
        <v>11.097992453501414</v>
      </c>
      <c r="S127" s="217">
        <f t="shared" si="324"/>
        <v>170</v>
      </c>
      <c r="T127" s="217">
        <f t="shared" si="325"/>
        <v>8.6802485888283503</v>
      </c>
      <c r="U127" s="217">
        <f t="shared" si="326"/>
        <v>0.51769008342345324</v>
      </c>
      <c r="V127" s="217">
        <f t="shared" si="327"/>
        <v>0.50827281913450628</v>
      </c>
      <c r="W127" s="197">
        <f t="shared" si="328"/>
        <v>350</v>
      </c>
      <c r="X127" s="443">
        <f t="shared" si="435"/>
        <v>350</v>
      </c>
      <c r="Z127" s="217">
        <f t="shared" si="329"/>
        <v>24.173106251660229</v>
      </c>
      <c r="AA127" s="173">
        <f t="shared" si="330"/>
        <v>1.4154586399267772</v>
      </c>
      <c r="AB127" s="173">
        <f t="shared" si="331"/>
        <v>0.28275748747471358</v>
      </c>
      <c r="AC127" s="173"/>
      <c r="AD127" s="173">
        <f t="shared" si="332"/>
        <v>0.78073465897226857</v>
      </c>
      <c r="AE127" s="545">
        <f t="shared" si="333"/>
        <v>414.9937450279229</v>
      </c>
      <c r="AF127" s="528">
        <f t="shared" si="334"/>
        <v>8.6025392979351828E-2</v>
      </c>
      <c r="AH127" s="173">
        <f t="shared" si="335"/>
        <v>14.485460690933216</v>
      </c>
      <c r="AI127" s="173">
        <f t="shared" si="336"/>
        <v>14.485460690933216</v>
      </c>
      <c r="AJ127" s="173">
        <f t="shared" si="337"/>
        <v>2.053427672296209</v>
      </c>
      <c r="AL127" s="545">
        <f t="shared" si="338"/>
        <v>102.00000000000001</v>
      </c>
      <c r="AM127" s="460">
        <f t="shared" si="339"/>
        <v>350</v>
      </c>
      <c r="AO127" s="460">
        <f t="shared" si="340"/>
        <v>102.00000000000001</v>
      </c>
      <c r="AP127" s="460">
        <f t="shared" si="341"/>
        <v>350</v>
      </c>
      <c r="AR127" s="5">
        <f t="shared" si="275"/>
        <v>2.8571428571428572</v>
      </c>
      <c r="AS127" s="5">
        <f t="shared" si="440"/>
        <v>0.86391297170540737</v>
      </c>
      <c r="AT127" s="5">
        <f t="shared" si="441"/>
        <v>1.9932298854374499</v>
      </c>
      <c r="AU127" s="173">
        <f t="shared" si="442"/>
        <v>0.3023695400968926</v>
      </c>
      <c r="AW127" s="5">
        <f t="shared" si="342"/>
        <v>5.1834778302324448E-2</v>
      </c>
      <c r="AX127" s="5">
        <f t="shared" si="343"/>
        <v>0.61193835495799698</v>
      </c>
      <c r="AY127" s="5">
        <f t="shared" si="344"/>
        <v>6.5962050043661602</v>
      </c>
      <c r="AZ127" s="5"/>
      <c r="BA127" s="173">
        <f t="shared" si="345"/>
        <v>4.5987595661600276</v>
      </c>
      <c r="BB127" s="173">
        <f t="shared" si="346"/>
        <v>0.32986088696018145</v>
      </c>
      <c r="BC127" s="173">
        <f t="shared" si="347"/>
        <v>0.26080247060723938</v>
      </c>
      <c r="BD127" s="173"/>
      <c r="BE127" s="528">
        <f t="shared" si="348"/>
        <v>0.84594358189393459</v>
      </c>
      <c r="BF127" s="528">
        <f t="shared" si="349"/>
        <v>1.9304118176760028</v>
      </c>
      <c r="BG127" s="528">
        <f t="shared" si="350"/>
        <v>0.11737087896292073</v>
      </c>
      <c r="BH127" s="528">
        <f t="shared" si="351"/>
        <v>2.0046207729219018E-2</v>
      </c>
      <c r="BI127">
        <f t="shared" si="352"/>
        <v>3.7726353952367373E-3</v>
      </c>
      <c r="BJ127" s="460">
        <f t="shared" si="436"/>
        <v>121.14351435815747</v>
      </c>
      <c r="BK127">
        <f t="shared" si="353"/>
        <v>3.7857221150906608</v>
      </c>
      <c r="BL127" s="460">
        <f t="shared" si="437"/>
        <v>2917.5451216573138</v>
      </c>
      <c r="BM127" s="173">
        <f t="shared" si="354"/>
        <v>8.8536000000000004E-2</v>
      </c>
      <c r="BN127" s="173">
        <f t="shared" si="355"/>
        <v>7.3779999999999998E-2</v>
      </c>
      <c r="BO127" s="528"/>
      <c r="BQ127" s="460">
        <f t="shared" si="356"/>
        <v>162.316</v>
      </c>
      <c r="BR127" s="528">
        <f t="shared" si="357"/>
        <v>0.63445768642045097</v>
      </c>
      <c r="BS127" s="528">
        <f t="shared" si="358"/>
        <v>3.2642461423847283E-3</v>
      </c>
      <c r="BT127" s="528">
        <f t="shared" si="359"/>
        <v>3.400896433741998E-4</v>
      </c>
      <c r="BU127" s="528">
        <f t="shared" si="360"/>
        <v>91.510492991022005</v>
      </c>
      <c r="BV127" s="528"/>
      <c r="BW127" s="625">
        <f t="shared" si="361"/>
        <v>1.8359999999999999</v>
      </c>
      <c r="BX127" s="460">
        <f t="shared" si="362"/>
        <v>93984.555013228222</v>
      </c>
      <c r="BY127" s="173">
        <f t="shared" si="363"/>
        <v>97.064416134885533</v>
      </c>
      <c r="BZ127" s="5">
        <f t="shared" si="364"/>
        <v>18.36</v>
      </c>
      <c r="CA127" s="173">
        <f t="shared" si="365"/>
        <v>0.15906513209947204</v>
      </c>
      <c r="CB127" s="5">
        <f t="shared" si="366"/>
        <v>15.906513209947203</v>
      </c>
      <c r="CC127">
        <f t="shared" si="367"/>
        <v>17</v>
      </c>
      <c r="CE127" s="562">
        <f t="shared" si="368"/>
        <v>-50</v>
      </c>
      <c r="CF127">
        <f t="shared" si="369"/>
        <v>-50</v>
      </c>
      <c r="CG127" s="173">
        <f t="shared" si="370"/>
        <v>0.289402255846684</v>
      </c>
      <c r="CH127" s="173">
        <f t="shared" si="371"/>
        <v>7.2018126622266504E-2</v>
      </c>
      <c r="CI127" s="170">
        <v>17</v>
      </c>
      <c r="CJ127" s="217">
        <f t="shared" si="438"/>
        <v>0.10200000000000001</v>
      </c>
      <c r="CK127" s="217">
        <f t="shared" si="372"/>
        <v>8.5000000000000006E-2</v>
      </c>
      <c r="CL127" s="217">
        <f t="shared" si="373"/>
        <v>17.34</v>
      </c>
      <c r="CM127" s="217">
        <f t="shared" si="374"/>
        <v>1.02</v>
      </c>
      <c r="CN127" s="541">
        <f t="shared" si="375"/>
        <v>9</v>
      </c>
      <c r="CO127" s="443">
        <f t="shared" si="376"/>
        <v>8.5350000000000001</v>
      </c>
      <c r="CP127" s="443">
        <f t="shared" si="377"/>
        <v>17.535</v>
      </c>
      <c r="CQ127" s="443"/>
      <c r="CR127" s="217">
        <f t="shared" si="378"/>
        <v>0.48644793152639093</v>
      </c>
      <c r="CS127" s="172">
        <f t="shared" si="379"/>
        <v>137.82691393247745</v>
      </c>
      <c r="CT127" s="172">
        <f t="shared" si="380"/>
        <v>8.1074655254398493</v>
      </c>
      <c r="CU127" s="217">
        <f t="shared" si="381"/>
        <v>0.81074655254398498</v>
      </c>
      <c r="CV127" s="217">
        <f t="shared" si="382"/>
        <v>11.485576161039788</v>
      </c>
      <c r="CW127" s="217">
        <f t="shared" si="383"/>
        <v>170</v>
      </c>
      <c r="CX127" s="217">
        <f t="shared" si="384"/>
        <v>8.3873313782991197</v>
      </c>
      <c r="CY127" s="217">
        <f t="shared" si="385"/>
        <v>0.46596285434995105</v>
      </c>
      <c r="CZ127" s="217">
        <f t="shared" si="386"/>
        <v>0.49134923130047564</v>
      </c>
      <c r="DA127" s="197">
        <f t="shared" si="387"/>
        <v>350</v>
      </c>
      <c r="DB127" s="443">
        <f t="shared" si="388"/>
        <v>350</v>
      </c>
      <c r="DD127" s="217">
        <f t="shared" si="389"/>
        <v>25.032384211169504</v>
      </c>
      <c r="DE127" s="173">
        <f t="shared" si="390"/>
        <v>1.4664548454112187</v>
      </c>
      <c r="DF127" s="173">
        <f t="shared" si="391"/>
        <v>0.30335794952229944</v>
      </c>
      <c r="DG127" s="173"/>
      <c r="DH127" s="173">
        <f t="shared" si="392"/>
        <v>0.78109744190587771</v>
      </c>
      <c r="DI127" s="545">
        <f t="shared" si="393"/>
        <v>414.80100000000004</v>
      </c>
      <c r="DJ127" s="528">
        <f t="shared" si="394"/>
        <v>8.6065366284073561E-2</v>
      </c>
      <c r="DL127" s="173">
        <f t="shared" si="395"/>
        <v>14.485460690933216</v>
      </c>
      <c r="DM127" s="173">
        <f t="shared" si="396"/>
        <v>14.485460690933216</v>
      </c>
      <c r="DN127" s="173">
        <f t="shared" si="397"/>
        <v>2.053427672296209</v>
      </c>
      <c r="DP127" s="545">
        <f t="shared" si="398"/>
        <v>102.00000000000001</v>
      </c>
      <c r="DQ127" s="460">
        <f t="shared" si="399"/>
        <v>350</v>
      </c>
      <c r="DS127" s="460">
        <f t="shared" si="400"/>
        <v>102.00000000000001</v>
      </c>
      <c r="DT127" s="460">
        <f t="shared" si="401"/>
        <v>350</v>
      </c>
      <c r="DV127" s="5">
        <f t="shared" si="402"/>
        <v>2.8571428571428572</v>
      </c>
      <c r="DW127" s="5">
        <f t="shared" si="403"/>
        <v>0.80474781616295643</v>
      </c>
      <c r="DX127" s="5">
        <f t="shared" si="404"/>
        <v>2.052395040979901</v>
      </c>
      <c r="DY127" s="173">
        <f t="shared" si="405"/>
        <v>0.28166173565703473</v>
      </c>
      <c r="EA127" s="5">
        <f t="shared" si="406"/>
        <v>4.8284868969777392E-2</v>
      </c>
      <c r="EB127" s="5">
        <f t="shared" si="407"/>
        <v>0.57002970311542744</v>
      </c>
      <c r="EC127" s="5">
        <f t="shared" si="408"/>
        <v>6.3268497796607086</v>
      </c>
      <c r="ED127" s="5"/>
      <c r="EE127" s="173">
        <f t="shared" si="409"/>
        <v>4.4384937241894535</v>
      </c>
      <c r="EF127" s="173">
        <f t="shared" si="410"/>
        <v>0.33472072664858737</v>
      </c>
      <c r="EG127" s="173">
        <f t="shared" si="411"/>
        <v>0.26464487280645604</v>
      </c>
      <c r="EH127" s="173"/>
      <c r="EI127" s="528">
        <f t="shared" si="412"/>
        <v>0.78800906158676653</v>
      </c>
      <c r="EJ127" s="528">
        <f t="shared" si="413"/>
        <v>2.4447745746993221</v>
      </c>
      <c r="EK127" s="528">
        <f t="shared" si="414"/>
        <v>6.9999999999999993E-2</v>
      </c>
      <c r="EL127" s="528">
        <f t="shared" si="415"/>
        <v>2.1523335750000001E-2</v>
      </c>
      <c r="EM127">
        <f t="shared" si="416"/>
        <v>4.0499999999999998E-3</v>
      </c>
      <c r="EN127" s="460">
        <f t="shared" si="417"/>
        <v>74.05</v>
      </c>
      <c r="EP127" s="460">
        <f t="shared" si="439"/>
        <v>3328.3569720360883</v>
      </c>
      <c r="EQ127" s="173">
        <f t="shared" si="418"/>
        <v>7.1400000000000005E-2</v>
      </c>
      <c r="ER127" s="173">
        <f t="shared" si="419"/>
        <v>7.3779999999999998E-2</v>
      </c>
      <c r="ES127" s="528"/>
      <c r="EU127" s="460">
        <f t="shared" si="420"/>
        <v>145.18</v>
      </c>
      <c r="EV127" s="528">
        <f t="shared" si="421"/>
        <v>0.5910067961900749</v>
      </c>
      <c r="EW127" s="528">
        <f t="shared" si="422"/>
        <v>3.3611389454447503E-3</v>
      </c>
      <c r="EX127" s="528">
        <f t="shared" si="423"/>
        <v>3.501845435137265E-4</v>
      </c>
      <c r="EY127" s="528">
        <f t="shared" si="424"/>
        <v>91.510492991022005</v>
      </c>
      <c r="EZ127" s="528"/>
      <c r="FA127" s="625">
        <f t="shared" si="425"/>
        <v>1.8359999999999999</v>
      </c>
      <c r="FB127" s="460">
        <f t="shared" si="426"/>
        <v>93941.211110701028</v>
      </c>
      <c r="FC127" s="173">
        <f t="shared" si="427"/>
        <v>97.41474808273712</v>
      </c>
      <c r="FD127" s="5">
        <f t="shared" si="428"/>
        <v>18.36</v>
      </c>
      <c r="FE127" s="173">
        <f t="shared" si="429"/>
        <v>0.15858380436189101</v>
      </c>
      <c r="FF127" s="5">
        <f t="shared" si="430"/>
        <v>15.858380436189101</v>
      </c>
      <c r="FG127">
        <f t="shared" si="431"/>
        <v>17</v>
      </c>
      <c r="FI127" s="562">
        <f t="shared" si="432"/>
        <v>-50</v>
      </c>
      <c r="FJ127">
        <f t="shared" si="433"/>
        <v>-50</v>
      </c>
    </row>
    <row r="128" spans="5:166">
      <c r="E128" s="170">
        <v>18</v>
      </c>
      <c r="F128" s="217">
        <f t="shared" si="434"/>
        <v>0.108</v>
      </c>
      <c r="G128" s="217">
        <f t="shared" si="313"/>
        <v>0.09</v>
      </c>
      <c r="H128" s="217">
        <f t="shared" si="314"/>
        <v>18.36</v>
      </c>
      <c r="I128" s="217">
        <f t="shared" si="315"/>
        <v>1.08</v>
      </c>
      <c r="J128" s="541">
        <f t="shared" si="316"/>
        <v>8.3657648361931916</v>
      </c>
      <c r="K128" s="443">
        <f t="shared" si="317"/>
        <v>8.5390809258743268</v>
      </c>
      <c r="L128" s="172">
        <f t="shared" si="318"/>
        <v>16.904845762067517</v>
      </c>
      <c r="M128" s="443"/>
      <c r="N128" s="217">
        <f t="shared" si="319"/>
        <v>0.5051262251108507</v>
      </c>
      <c r="O128" s="172">
        <f t="shared" si="320"/>
        <v>133.03341222557989</v>
      </c>
      <c r="P128" s="172">
        <f t="shared" si="321"/>
        <v>7.8254948367988169</v>
      </c>
      <c r="Q128" s="217">
        <f t="shared" si="322"/>
        <v>0.78254948367988175</v>
      </c>
      <c r="R128" s="217">
        <f t="shared" si="323"/>
        <v>11.086117685464991</v>
      </c>
      <c r="S128" s="217">
        <f t="shared" si="324"/>
        <v>170</v>
      </c>
      <c r="T128" s="217">
        <f t="shared" si="325"/>
        <v>9.2006961222982682</v>
      </c>
      <c r="U128" s="217">
        <f t="shared" si="326"/>
        <v>0.5499016708246971</v>
      </c>
      <c r="V128" s="217">
        <f t="shared" si="327"/>
        <v>0.53874042195918159</v>
      </c>
      <c r="W128" s="197">
        <f t="shared" si="328"/>
        <v>350</v>
      </c>
      <c r="X128" s="443">
        <f t="shared" si="435"/>
        <v>350</v>
      </c>
      <c r="Z128" s="217">
        <f t="shared" si="329"/>
        <v>24.14724121069349</v>
      </c>
      <c r="AA128" s="173">
        <f t="shared" si="330"/>
        <v>1.4139250711118552</v>
      </c>
      <c r="AB128" s="173">
        <f t="shared" si="331"/>
        <v>0.28214891526195868</v>
      </c>
      <c r="AC128" s="173"/>
      <c r="AD128" s="173">
        <f t="shared" si="332"/>
        <v>0.78072414637340593</v>
      </c>
      <c r="AE128" s="545">
        <f t="shared" si="333"/>
        <v>439.41105846793295</v>
      </c>
      <c r="AF128" s="528">
        <f t="shared" si="334"/>
        <v>8.6024234646699366E-2</v>
      </c>
      <c r="AH128" s="173">
        <f t="shared" si="335"/>
        <v>14.905416081794851</v>
      </c>
      <c r="AI128" s="173">
        <f t="shared" si="336"/>
        <v>14.905416081794851</v>
      </c>
      <c r="AJ128" s="173">
        <f t="shared" si="337"/>
        <v>2.3645057396011233</v>
      </c>
      <c r="AL128" s="545">
        <f t="shared" si="338"/>
        <v>108</v>
      </c>
      <c r="AM128" s="460">
        <f t="shared" si="339"/>
        <v>350</v>
      </c>
      <c r="AO128" s="460">
        <f t="shared" si="340"/>
        <v>108</v>
      </c>
      <c r="AP128" s="460">
        <f t="shared" si="341"/>
        <v>350</v>
      </c>
      <c r="AR128" s="5">
        <f t="shared" si="275"/>
        <v>2.8571428571428572</v>
      </c>
      <c r="AS128" s="5">
        <f t="shared" si="440"/>
        <v>0.89085794148246111</v>
      </c>
      <c r="AT128" s="5">
        <f t="shared" si="441"/>
        <v>1.9662849156603961</v>
      </c>
      <c r="AU128" s="173">
        <f t="shared" si="442"/>
        <v>0.31180027951886136</v>
      </c>
      <c r="AW128" s="5">
        <f t="shared" si="342"/>
        <v>5.659568098829753E-2</v>
      </c>
      <c r="AX128" s="5">
        <f t="shared" si="343"/>
        <v>0.66814345611184578</v>
      </c>
      <c r="AY128" s="5">
        <f t="shared" si="344"/>
        <v>6.904519408977789</v>
      </c>
      <c r="AZ128" s="5"/>
      <c r="BA128" s="173">
        <f t="shared" si="345"/>
        <v>4.8053135010345986</v>
      </c>
      <c r="BB128" s="173">
        <f t="shared" si="346"/>
        <v>0.3371220374362538</v>
      </c>
      <c r="BC128" s="173">
        <f t="shared" si="347"/>
        <v>0.26654345433241555</v>
      </c>
      <c r="BD128" s="173"/>
      <c r="BE128" s="528">
        <f t="shared" si="348"/>
        <v>0.9236415137290156</v>
      </c>
      <c r="BF128" s="528">
        <f t="shared" si="349"/>
        <v>1.9842933590721887</v>
      </c>
      <c r="BG128" s="528">
        <f t="shared" si="350"/>
        <v>0.11712070770670467</v>
      </c>
      <c r="BH128" s="528">
        <f t="shared" si="351"/>
        <v>2.0004166716750444E-2</v>
      </c>
      <c r="BI128">
        <f t="shared" si="352"/>
        <v>3.764594176286936E-3</v>
      </c>
      <c r="BJ128" s="460">
        <f t="shared" si="436"/>
        <v>120.88530188299161</v>
      </c>
      <c r="BK128">
        <f t="shared" si="353"/>
        <v>4.0706574252491246</v>
      </c>
      <c r="BL128" s="460">
        <f t="shared" si="437"/>
        <v>3048.8243414009457</v>
      </c>
      <c r="BM128" s="173">
        <f t="shared" si="354"/>
        <v>9.3743999999999994E-2</v>
      </c>
      <c r="BN128" s="173">
        <f t="shared" si="355"/>
        <v>7.8119999999999995E-2</v>
      </c>
      <c r="BO128" s="528"/>
      <c r="BQ128" s="460">
        <f t="shared" si="356"/>
        <v>171.86399999999998</v>
      </c>
      <c r="BR128" s="528">
        <f t="shared" si="357"/>
        <v>0.69273113529676167</v>
      </c>
      <c r="BS128" s="528">
        <f t="shared" si="358"/>
        <v>3.4095380437551268E-3</v>
      </c>
      <c r="BT128" s="528">
        <f t="shared" si="359"/>
        <v>3.5522706523728249E-4</v>
      </c>
      <c r="BU128" s="528">
        <f t="shared" si="360"/>
        <v>98.287972094309595</v>
      </c>
      <c r="BV128" s="528"/>
      <c r="BW128" s="625">
        <f t="shared" si="361"/>
        <v>1.944</v>
      </c>
      <c r="BX128" s="460">
        <f t="shared" si="362"/>
        <v>100928.46799471535</v>
      </c>
      <c r="BY128" s="173">
        <f t="shared" si="363"/>
        <v>104.14915633611629</v>
      </c>
      <c r="BZ128" s="5">
        <f t="shared" si="364"/>
        <v>19.439999999999998</v>
      </c>
      <c r="CA128" s="173">
        <f t="shared" si="365"/>
        <v>0.1572953532195856</v>
      </c>
      <c r="CB128" s="5">
        <f t="shared" si="366"/>
        <v>15.72953532195856</v>
      </c>
      <c r="CC128">
        <f t="shared" si="367"/>
        <v>18</v>
      </c>
      <c r="CE128" s="562">
        <f t="shared" si="368"/>
        <v>-50</v>
      </c>
      <c r="CF128">
        <f t="shared" si="369"/>
        <v>-50</v>
      </c>
      <c r="CG128" s="173">
        <f t="shared" si="370"/>
        <v>0.29779246448853997</v>
      </c>
      <c r="CH128" s="173">
        <f t="shared" si="371"/>
        <v>7.4106040921996533E-2</v>
      </c>
      <c r="CI128" s="170">
        <v>18</v>
      </c>
      <c r="CJ128" s="217">
        <f t="shared" si="438"/>
        <v>0.108</v>
      </c>
      <c r="CK128" s="217">
        <f t="shared" si="372"/>
        <v>0.09</v>
      </c>
      <c r="CL128" s="217">
        <f t="shared" si="373"/>
        <v>18.36</v>
      </c>
      <c r="CM128" s="217">
        <f t="shared" si="374"/>
        <v>1.08</v>
      </c>
      <c r="CN128" s="541">
        <f t="shared" si="375"/>
        <v>9</v>
      </c>
      <c r="CO128" s="443">
        <f t="shared" si="376"/>
        <v>8.5350000000000001</v>
      </c>
      <c r="CP128" s="443">
        <f t="shared" si="377"/>
        <v>17.535</v>
      </c>
      <c r="CQ128" s="443"/>
      <c r="CR128" s="217">
        <f t="shared" si="378"/>
        <v>0.48644793152639093</v>
      </c>
      <c r="CS128" s="172">
        <f t="shared" si="379"/>
        <v>137.82691393247745</v>
      </c>
      <c r="CT128" s="172">
        <f t="shared" si="380"/>
        <v>8.1074655254398493</v>
      </c>
      <c r="CU128" s="217">
        <f t="shared" si="381"/>
        <v>0.81074655254398498</v>
      </c>
      <c r="CV128" s="217">
        <f t="shared" si="382"/>
        <v>11.485576161039788</v>
      </c>
      <c r="CW128" s="217">
        <f t="shared" si="383"/>
        <v>170</v>
      </c>
      <c r="CX128" s="217">
        <f t="shared" si="384"/>
        <v>8.8807038123167139</v>
      </c>
      <c r="CY128" s="217">
        <f t="shared" si="385"/>
        <v>0.49337243401759517</v>
      </c>
      <c r="CZ128" s="217">
        <f t="shared" si="386"/>
        <v>0.52025212725932712</v>
      </c>
      <c r="DA128" s="197">
        <f t="shared" si="387"/>
        <v>350</v>
      </c>
      <c r="DB128" s="443">
        <f t="shared" si="388"/>
        <v>350</v>
      </c>
      <c r="DD128" s="217">
        <f t="shared" si="389"/>
        <v>25.032384211169504</v>
      </c>
      <c r="DE128" s="173">
        <f t="shared" si="390"/>
        <v>1.4664548454112187</v>
      </c>
      <c r="DF128" s="173">
        <f t="shared" si="391"/>
        <v>0.30335794952229944</v>
      </c>
      <c r="DG128" s="173"/>
      <c r="DH128" s="173">
        <f t="shared" si="392"/>
        <v>0.78109744190587771</v>
      </c>
      <c r="DI128" s="545">
        <f t="shared" si="393"/>
        <v>439.20105882352942</v>
      </c>
      <c r="DJ128" s="528">
        <f t="shared" si="394"/>
        <v>8.6065366284073561E-2</v>
      </c>
      <c r="DL128" s="173">
        <f t="shared" si="395"/>
        <v>14.905416081794851</v>
      </c>
      <c r="DM128" s="173">
        <f t="shared" si="396"/>
        <v>14.905416081794851</v>
      </c>
      <c r="DN128" s="173">
        <f t="shared" si="397"/>
        <v>2.3645057396011233</v>
      </c>
      <c r="DP128" s="545">
        <f t="shared" si="398"/>
        <v>108</v>
      </c>
      <c r="DQ128" s="460">
        <f t="shared" si="399"/>
        <v>350</v>
      </c>
      <c r="DS128" s="460">
        <f t="shared" si="400"/>
        <v>108</v>
      </c>
      <c r="DT128" s="460">
        <f t="shared" si="401"/>
        <v>350</v>
      </c>
      <c r="DV128" s="5">
        <f t="shared" si="402"/>
        <v>2.8571428571428572</v>
      </c>
      <c r="DW128" s="5">
        <f t="shared" si="403"/>
        <v>0.82807867121082501</v>
      </c>
      <c r="DX128" s="5">
        <f t="shared" si="404"/>
        <v>2.0290641859320324</v>
      </c>
      <c r="DY128" s="173">
        <f t="shared" si="405"/>
        <v>0.28982753492378877</v>
      </c>
      <c r="EA128" s="5">
        <f t="shared" si="406"/>
        <v>5.2607350876923004E-2</v>
      </c>
      <c r="EB128" s="5">
        <f t="shared" si="407"/>
        <v>0.62105900340811881</v>
      </c>
      <c r="EC128" s="5">
        <f t="shared" si="408"/>
        <v>6.6228655028821537</v>
      </c>
      <c r="ED128" s="5"/>
      <c r="EE128" s="173">
        <f t="shared" si="409"/>
        <v>4.6329039659574844</v>
      </c>
      <c r="EF128" s="173">
        <f t="shared" si="410"/>
        <v>0.34246154520890582</v>
      </c>
      <c r="EG128" s="173">
        <f t="shared" si="411"/>
        <v>0.27076510313645313</v>
      </c>
      <c r="EH128" s="173"/>
      <c r="EI128" s="528">
        <f t="shared" si="412"/>
        <v>0.85855196631138353</v>
      </c>
      <c r="EJ128" s="528">
        <f t="shared" si="413"/>
        <v>2.5156522833198749</v>
      </c>
      <c r="EK128" s="528">
        <f t="shared" si="414"/>
        <v>6.9999999999999993E-2</v>
      </c>
      <c r="EL128" s="528">
        <f t="shared" si="415"/>
        <v>2.1523335750000001E-2</v>
      </c>
      <c r="EM128">
        <f t="shared" si="416"/>
        <v>4.0499999999999998E-3</v>
      </c>
      <c r="EN128" s="460">
        <f t="shared" si="417"/>
        <v>74.05</v>
      </c>
      <c r="EP128" s="460">
        <f t="shared" si="439"/>
        <v>3469.7775853812582</v>
      </c>
      <c r="EQ128" s="173">
        <f t="shared" si="418"/>
        <v>7.5600000000000001E-2</v>
      </c>
      <c r="ER128" s="173">
        <f t="shared" si="419"/>
        <v>7.8119999999999995E-2</v>
      </c>
      <c r="ES128" s="528"/>
      <c r="EU128" s="460">
        <f t="shared" si="420"/>
        <v>153.72</v>
      </c>
      <c r="EV128" s="528">
        <f t="shared" si="421"/>
        <v>0.64391397473353762</v>
      </c>
      <c r="EW128" s="528">
        <f t="shared" si="422"/>
        <v>3.518397298406143E-3</v>
      </c>
      <c r="EX128" s="528">
        <f t="shared" si="423"/>
        <v>3.6656870538247054E-4</v>
      </c>
      <c r="EY128" s="528">
        <f t="shared" si="424"/>
        <v>98.287972094309595</v>
      </c>
      <c r="EZ128" s="528"/>
      <c r="FA128" s="625">
        <f t="shared" si="425"/>
        <v>1.944</v>
      </c>
      <c r="FB128" s="460">
        <f t="shared" si="426"/>
        <v>100879.77103504693</v>
      </c>
      <c r="FC128" s="173">
        <f t="shared" si="427"/>
        <v>104.50326862042819</v>
      </c>
      <c r="FD128" s="5">
        <f t="shared" si="428"/>
        <v>19.439999999999998</v>
      </c>
      <c r="FE128" s="173">
        <f t="shared" si="429"/>
        <v>0.15684595231657397</v>
      </c>
      <c r="FF128" s="5">
        <f t="shared" si="430"/>
        <v>15.684595231657397</v>
      </c>
      <c r="FG128">
        <f t="shared" si="431"/>
        <v>18</v>
      </c>
      <c r="FI128" s="562">
        <f t="shared" si="432"/>
        <v>-50</v>
      </c>
      <c r="FJ128">
        <f t="shared" si="433"/>
        <v>-50</v>
      </c>
    </row>
    <row r="129" spans="5:166">
      <c r="E129" s="170">
        <v>19</v>
      </c>
      <c r="F129" s="217">
        <f t="shared" si="434"/>
        <v>0.11399999999999999</v>
      </c>
      <c r="G129" s="217">
        <f t="shared" si="313"/>
        <v>9.5000000000000001E-2</v>
      </c>
      <c r="H129" s="217">
        <f t="shared" si="314"/>
        <v>19.38</v>
      </c>
      <c r="I129" s="217">
        <f t="shared" si="315"/>
        <v>1.1400000000000001</v>
      </c>
      <c r="J129" s="541">
        <f t="shared" si="316"/>
        <v>8.3483853125089968</v>
      </c>
      <c r="K129" s="443">
        <f t="shared" si="317"/>
        <v>8.5391927527674625</v>
      </c>
      <c r="L129" s="172">
        <f t="shared" si="318"/>
        <v>16.887578065276458</v>
      </c>
      <c r="M129" s="443"/>
      <c r="N129" s="217">
        <f t="shared" si="319"/>
        <v>0.50564934295258113</v>
      </c>
      <c r="O129" s="172">
        <f t="shared" si="320"/>
        <v>132.89452651064371</v>
      </c>
      <c r="P129" s="172">
        <f t="shared" si="321"/>
        <v>7.817325088861395</v>
      </c>
      <c r="Q129" s="217">
        <f t="shared" si="322"/>
        <v>0.78173250888613954</v>
      </c>
      <c r="R129" s="217">
        <f t="shared" si="323"/>
        <v>11.074543875886976</v>
      </c>
      <c r="S129" s="217">
        <f t="shared" si="324"/>
        <v>170</v>
      </c>
      <c r="T129" s="217">
        <f t="shared" si="325"/>
        <v>9.7219955849462458</v>
      </c>
      <c r="U129" s="217">
        <f t="shared" si="326"/>
        <v>0.58226802076199491</v>
      </c>
      <c r="V129" s="217">
        <f t="shared" si="327"/>
        <v>0.56925729787487511</v>
      </c>
      <c r="W129" s="197">
        <f t="shared" si="328"/>
        <v>350</v>
      </c>
      <c r="X129" s="443">
        <f t="shared" si="435"/>
        <v>350</v>
      </c>
      <c r="Z129" s="217">
        <f t="shared" si="329"/>
        <v>24.122031702772304</v>
      </c>
      <c r="AA129" s="173">
        <f t="shared" si="330"/>
        <v>1.4124304487069113</v>
      </c>
      <c r="AB129" s="173">
        <f t="shared" si="331"/>
        <v>0.28155641356518152</v>
      </c>
      <c r="AC129" s="173"/>
      <c r="AD129" s="173">
        <f t="shared" si="332"/>
        <v>0.78071392222714142</v>
      </c>
      <c r="AE129" s="545">
        <f t="shared" si="333"/>
        <v>463.82885811208666</v>
      </c>
      <c r="AF129" s="528">
        <f t="shared" si="334"/>
        <v>8.6023108097249848E-2</v>
      </c>
      <c r="AH129" s="173">
        <f t="shared" si="335"/>
        <v>15.313859269115859</v>
      </c>
      <c r="AI129" s="173">
        <f t="shared" si="336"/>
        <v>15.313859269115859</v>
      </c>
      <c r="AJ129" s="173">
        <f t="shared" si="337"/>
        <v>2.6670562487277962</v>
      </c>
      <c r="AL129" s="545">
        <f t="shared" si="338"/>
        <v>113.99999999999999</v>
      </c>
      <c r="AM129" s="460">
        <f t="shared" si="339"/>
        <v>350</v>
      </c>
      <c r="AO129" s="460">
        <f t="shared" si="340"/>
        <v>113.99999999999999</v>
      </c>
      <c r="AP129" s="460">
        <f t="shared" si="341"/>
        <v>350</v>
      </c>
      <c r="AR129" s="5">
        <f t="shared" si="275"/>
        <v>2.8571428571428572</v>
      </c>
      <c r="AS129" s="5">
        <f t="shared" si="440"/>
        <v>0.91717492041065618</v>
      </c>
      <c r="AT129" s="5">
        <f t="shared" si="441"/>
        <v>1.9399679367322009</v>
      </c>
      <c r="AU129" s="173">
        <f t="shared" si="442"/>
        <v>0.32101122214372968</v>
      </c>
      <c r="AW129" s="5">
        <f t="shared" si="342"/>
        <v>6.1504671133420473E-2</v>
      </c>
      <c r="AX129" s="5">
        <f t="shared" si="343"/>
        <v>0.72609681199176945</v>
      </c>
      <c r="AY129" s="5">
        <f t="shared" si="344"/>
        <v>7.2055281986156228</v>
      </c>
      <c r="AZ129" s="5"/>
      <c r="BA129" s="173">
        <f t="shared" si="345"/>
        <v>5.00938178046309</v>
      </c>
      <c r="BB129" s="173">
        <f t="shared" si="346"/>
        <v>0.34403429965624255</v>
      </c>
      <c r="BC129" s="173">
        <f t="shared" si="347"/>
        <v>0.27200859171524133</v>
      </c>
      <c r="BD129" s="173"/>
      <c r="BE129" s="528">
        <f t="shared" si="348"/>
        <v>1.0037562328974223</v>
      </c>
      <c r="BF129" s="528">
        <f t="shared" si="349"/>
        <v>2.0365852018668313</v>
      </c>
      <c r="BG129" s="528">
        <f t="shared" si="350"/>
        <v>0.11687739437512597</v>
      </c>
      <c r="BH129" s="528">
        <f t="shared" si="351"/>
        <v>1.9963320503756456E-2</v>
      </c>
      <c r="BI129">
        <f t="shared" si="352"/>
        <v>3.7567733906290483E-3</v>
      </c>
      <c r="BJ129" s="460">
        <f t="shared" si="436"/>
        <v>120.63416776575501</v>
      </c>
      <c r="BK129">
        <f t="shared" si="353"/>
        <v>4.3746369599171455</v>
      </c>
      <c r="BL129" s="460">
        <f t="shared" si="437"/>
        <v>3180.9389230337651</v>
      </c>
      <c r="BM129" s="173">
        <f t="shared" si="354"/>
        <v>9.8951999999999971E-2</v>
      </c>
      <c r="BN129" s="173">
        <f t="shared" si="355"/>
        <v>8.2459999999999992E-2</v>
      </c>
      <c r="BO129" s="528"/>
      <c r="BQ129" s="460">
        <f t="shared" si="356"/>
        <v>181.41199999999995</v>
      </c>
      <c r="BR129" s="528">
        <f t="shared" si="357"/>
        <v>0.75281717467306675</v>
      </c>
      <c r="BS129" s="528">
        <f t="shared" si="358"/>
        <v>3.5507879801988385E-3</v>
      </c>
      <c r="BT129" s="528">
        <f t="shared" si="359"/>
        <v>3.6994336983454425E-4</v>
      </c>
      <c r="BU129" s="528">
        <f t="shared" si="360"/>
        <v>105.1602825894994</v>
      </c>
      <c r="BV129" s="528"/>
      <c r="BW129" s="625">
        <f t="shared" si="361"/>
        <v>2.052</v>
      </c>
      <c r="BX129" s="460">
        <f t="shared" si="362"/>
        <v>107969.02049552252</v>
      </c>
      <c r="BY129" s="173">
        <f t="shared" si="363"/>
        <v>111.33137141855627</v>
      </c>
      <c r="BZ129" s="5">
        <f t="shared" si="364"/>
        <v>20.52</v>
      </c>
      <c r="CA129" s="173">
        <f t="shared" si="365"/>
        <v>0.15562978055692858</v>
      </c>
      <c r="CB129" s="5">
        <f t="shared" si="366"/>
        <v>15.562978055692858</v>
      </c>
      <c r="CC129">
        <f t="shared" si="367"/>
        <v>19</v>
      </c>
      <c r="CE129" s="562">
        <f t="shared" si="368"/>
        <v>-50</v>
      </c>
      <c r="CF129">
        <f t="shared" si="369"/>
        <v>-50</v>
      </c>
      <c r="CG129" s="173">
        <f t="shared" si="370"/>
        <v>0.30595267301196621</v>
      </c>
      <c r="CH129" s="173">
        <f t="shared" si="371"/>
        <v>7.6136719394024568E-2</v>
      </c>
      <c r="CI129" s="170">
        <v>19</v>
      </c>
      <c r="CJ129" s="217">
        <f t="shared" si="438"/>
        <v>0.11399999999999999</v>
      </c>
      <c r="CK129" s="217">
        <f t="shared" si="372"/>
        <v>9.5000000000000001E-2</v>
      </c>
      <c r="CL129" s="217">
        <f t="shared" si="373"/>
        <v>19.38</v>
      </c>
      <c r="CM129" s="217">
        <f t="shared" si="374"/>
        <v>1.1400000000000001</v>
      </c>
      <c r="CN129" s="541">
        <f t="shared" si="375"/>
        <v>9</v>
      </c>
      <c r="CO129" s="443">
        <f t="shared" si="376"/>
        <v>8.5350000000000001</v>
      </c>
      <c r="CP129" s="443">
        <f t="shared" si="377"/>
        <v>17.535</v>
      </c>
      <c r="CQ129" s="443"/>
      <c r="CR129" s="217">
        <f t="shared" si="378"/>
        <v>0.48644793152639093</v>
      </c>
      <c r="CS129" s="172">
        <f t="shared" si="379"/>
        <v>137.82691393247745</v>
      </c>
      <c r="CT129" s="172">
        <f t="shared" si="380"/>
        <v>8.1074655254398493</v>
      </c>
      <c r="CU129" s="217">
        <f t="shared" si="381"/>
        <v>0.81074655254398498</v>
      </c>
      <c r="CV129" s="217">
        <f t="shared" si="382"/>
        <v>11.485576161039788</v>
      </c>
      <c r="CW129" s="217">
        <f t="shared" si="383"/>
        <v>170</v>
      </c>
      <c r="CX129" s="217">
        <f t="shared" si="384"/>
        <v>9.3740762463343099</v>
      </c>
      <c r="CY129" s="217">
        <f t="shared" si="385"/>
        <v>0.52078201368523946</v>
      </c>
      <c r="CZ129" s="217">
        <f t="shared" si="386"/>
        <v>0.54915502321817866</v>
      </c>
      <c r="DA129" s="197">
        <f t="shared" si="387"/>
        <v>350</v>
      </c>
      <c r="DB129" s="443">
        <f t="shared" si="388"/>
        <v>350</v>
      </c>
      <c r="DD129" s="217">
        <f t="shared" si="389"/>
        <v>25.032384211169504</v>
      </c>
      <c r="DE129" s="173">
        <f t="shared" si="390"/>
        <v>1.4664548454112187</v>
      </c>
      <c r="DF129" s="173">
        <f t="shared" si="391"/>
        <v>0.30335794952229944</v>
      </c>
      <c r="DG129" s="173"/>
      <c r="DH129" s="173">
        <f t="shared" si="392"/>
        <v>0.78109744190587771</v>
      </c>
      <c r="DI129" s="545">
        <f t="shared" si="393"/>
        <v>463.6011176470588</v>
      </c>
      <c r="DJ129" s="528">
        <f t="shared" si="394"/>
        <v>8.6065366284073561E-2</v>
      </c>
      <c r="DL129" s="173">
        <f t="shared" si="395"/>
        <v>15.313859269115859</v>
      </c>
      <c r="DM129" s="173">
        <f t="shared" si="396"/>
        <v>15.313859269115859</v>
      </c>
      <c r="DN129" s="173">
        <f t="shared" si="397"/>
        <v>2.6670562487277962</v>
      </c>
      <c r="DP129" s="545">
        <f t="shared" si="398"/>
        <v>113.99999999999999</v>
      </c>
      <c r="DQ129" s="460">
        <f t="shared" si="399"/>
        <v>350</v>
      </c>
      <c r="DS129" s="460">
        <f t="shared" si="400"/>
        <v>113.99999999999999</v>
      </c>
      <c r="DT129" s="460">
        <f t="shared" si="401"/>
        <v>350</v>
      </c>
      <c r="DV129" s="5">
        <f t="shared" si="402"/>
        <v>2.8571428571428572</v>
      </c>
      <c r="DW129" s="5">
        <f t="shared" si="403"/>
        <v>0.85076995939532551</v>
      </c>
      <c r="DX129" s="5">
        <f t="shared" si="404"/>
        <v>2.0063728977475317</v>
      </c>
      <c r="DY129" s="173">
        <f t="shared" si="405"/>
        <v>0.29776948578836393</v>
      </c>
      <c r="EA129" s="5">
        <f t="shared" si="406"/>
        <v>5.7051632571215941E-2</v>
      </c>
      <c r="EB129" s="5">
        <f t="shared" si="407"/>
        <v>0.67352621785463274</v>
      </c>
      <c r="EC129" s="5">
        <f t="shared" si="408"/>
        <v>6.9126234237061626</v>
      </c>
      <c r="ED129" s="5"/>
      <c r="EE129" s="173">
        <f t="shared" si="409"/>
        <v>4.8246311868427938</v>
      </c>
      <c r="EF129" s="173">
        <f t="shared" si="410"/>
        <v>0.3498728909115375</v>
      </c>
      <c r="EG129" s="173">
        <f t="shared" si="411"/>
        <v>0.2766248377887886</v>
      </c>
      <c r="EH129" s="173"/>
      <c r="EI129" s="528">
        <f t="shared" si="412"/>
        <v>0.93108264356224424</v>
      </c>
      <c r="EJ129" s="528">
        <f t="shared" si="413"/>
        <v>2.5845870269829865</v>
      </c>
      <c r="EK129" s="528">
        <f t="shared" si="414"/>
        <v>6.9999999999999993E-2</v>
      </c>
      <c r="EL129" s="528">
        <f t="shared" si="415"/>
        <v>2.1523335750000001E-2</v>
      </c>
      <c r="EM129">
        <f t="shared" si="416"/>
        <v>4.0499999999999998E-3</v>
      </c>
      <c r="EN129" s="460">
        <f t="shared" si="417"/>
        <v>74.05</v>
      </c>
      <c r="EP129" s="460">
        <f t="shared" si="439"/>
        <v>3611.2430062952303</v>
      </c>
      <c r="EQ129" s="173">
        <f t="shared" si="418"/>
        <v>7.9799999999999982E-2</v>
      </c>
      <c r="ER129" s="173">
        <f t="shared" si="419"/>
        <v>8.2459999999999992E-2</v>
      </c>
      <c r="ES129" s="528"/>
      <c r="EU129" s="460">
        <f t="shared" si="420"/>
        <v>162.25999999999996</v>
      </c>
      <c r="EV129" s="528">
        <f t="shared" si="421"/>
        <v>0.69831198267168315</v>
      </c>
      <c r="EW129" s="528">
        <f t="shared" si="422"/>
        <v>3.6723311938438984E-3</v>
      </c>
      <c r="EX129" s="528">
        <f t="shared" si="423"/>
        <v>3.8260650440836806E-4</v>
      </c>
      <c r="EY129" s="528">
        <f t="shared" si="424"/>
        <v>105.1602825894994</v>
      </c>
      <c r="EZ129" s="528"/>
      <c r="FA129" s="625">
        <f t="shared" si="425"/>
        <v>2.052</v>
      </c>
      <c r="FB129" s="460">
        <f t="shared" si="426"/>
        <v>107914.64950986936</v>
      </c>
      <c r="FC129" s="173">
        <f t="shared" si="427"/>
        <v>111.68815251616458</v>
      </c>
      <c r="FD129" s="5">
        <f t="shared" si="428"/>
        <v>20.52</v>
      </c>
      <c r="FE129" s="173">
        <f t="shared" si="429"/>
        <v>0.15520979311386338</v>
      </c>
      <c r="FF129" s="5">
        <f t="shared" si="430"/>
        <v>15.520979311386338</v>
      </c>
      <c r="FG129">
        <f t="shared" si="431"/>
        <v>19</v>
      </c>
      <c r="FI129" s="562">
        <f t="shared" si="432"/>
        <v>-50</v>
      </c>
      <c r="FJ129">
        <f t="shared" si="433"/>
        <v>-50</v>
      </c>
    </row>
    <row r="130" spans="5:166">
      <c r="E130" s="170">
        <v>20</v>
      </c>
      <c r="F130" s="217">
        <f t="shared" si="434"/>
        <v>0.12</v>
      </c>
      <c r="G130" s="217">
        <f t="shared" si="313"/>
        <v>0.1</v>
      </c>
      <c r="H130" s="217">
        <f t="shared" si="314"/>
        <v>20.399999999999999</v>
      </c>
      <c r="I130" s="217">
        <f t="shared" si="315"/>
        <v>1.2000000000000002</v>
      </c>
      <c r="J130" s="541">
        <f t="shared" si="316"/>
        <v>8.3314574367334977</v>
      </c>
      <c r="K130" s="443">
        <f t="shared" si="317"/>
        <v>8.5393016735750624</v>
      </c>
      <c r="L130" s="172">
        <f t="shared" si="318"/>
        <v>16.870759110308562</v>
      </c>
      <c r="M130" s="443"/>
      <c r="N130" s="217">
        <f t="shared" si="319"/>
        <v>0.50615989581389265</v>
      </c>
      <c r="O130" s="172">
        <f t="shared" si="320"/>
        <v>132.75896977524712</v>
      </c>
      <c r="P130" s="172">
        <f t="shared" si="321"/>
        <v>7.80935116324983</v>
      </c>
      <c r="Q130" s="217">
        <f t="shared" si="322"/>
        <v>0.78093511632498314</v>
      </c>
      <c r="R130" s="217">
        <f t="shared" si="323"/>
        <v>11.063247481270594</v>
      </c>
      <c r="S130" s="217">
        <f t="shared" si="324"/>
        <v>170</v>
      </c>
      <c r="T130" s="217">
        <f t="shared" si="325"/>
        <v>10.244128907465894</v>
      </c>
      <c r="U130" s="217">
        <f t="shared" si="326"/>
        <v>0.6147861274726919</v>
      </c>
      <c r="V130" s="217">
        <f t="shared" si="327"/>
        <v>0.59982240346224291</v>
      </c>
      <c r="W130" s="197">
        <f t="shared" si="328"/>
        <v>350</v>
      </c>
      <c r="X130" s="443">
        <f t="shared" si="435"/>
        <v>350</v>
      </c>
      <c r="Z130" s="217">
        <f t="shared" si="329"/>
        <v>24.097426446599478</v>
      </c>
      <c r="AA130" s="173">
        <f t="shared" si="330"/>
        <v>1.4109717262460206</v>
      </c>
      <c r="AB130" s="173">
        <f t="shared" si="331"/>
        <v>0.2809787291376355</v>
      </c>
      <c r="AC130" s="173"/>
      <c r="AD130" s="173">
        <f t="shared" si="332"/>
        <v>0.7807039640368626</v>
      </c>
      <c r="AE130" s="545">
        <f t="shared" si="333"/>
        <v>488.24713098323292</v>
      </c>
      <c r="AF130" s="528">
        <f t="shared" si="334"/>
        <v>8.6022010852209868E-2</v>
      </c>
      <c r="AH130" s="173">
        <f t="shared" si="335"/>
        <v>15.711688096991452</v>
      </c>
      <c r="AI130" s="173">
        <f t="shared" si="336"/>
        <v>15.711688096991452</v>
      </c>
      <c r="AJ130" s="173">
        <f t="shared" si="337"/>
        <v>2.9617442693763838</v>
      </c>
      <c r="AL130" s="545">
        <f t="shared" si="338"/>
        <v>120</v>
      </c>
      <c r="AM130" s="460">
        <f t="shared" si="339"/>
        <v>350</v>
      </c>
      <c r="AO130" s="460">
        <f t="shared" si="340"/>
        <v>120</v>
      </c>
      <c r="AP130" s="460">
        <f t="shared" si="341"/>
        <v>350</v>
      </c>
      <c r="AR130" s="5">
        <f t="shared" si="275"/>
        <v>2.8571428571428572</v>
      </c>
      <c r="AS130" s="5">
        <f t="shared" si="440"/>
        <v>0.94291354281655604</v>
      </c>
      <c r="AT130" s="5">
        <f t="shared" si="441"/>
        <v>1.9142293143263012</v>
      </c>
      <c r="AU130" s="173">
        <f t="shared" si="442"/>
        <v>0.33001973998579459</v>
      </c>
      <c r="AW130" s="5">
        <f t="shared" si="342"/>
        <v>6.6558603022345134E-2</v>
      </c>
      <c r="AX130" s="5">
        <f t="shared" si="343"/>
        <v>0.78576128568046344</v>
      </c>
      <c r="AY130" s="5">
        <f t="shared" si="344"/>
        <v>7.4993415370681031</v>
      </c>
      <c r="AZ130" s="5"/>
      <c r="BA130" s="173">
        <f t="shared" si="345"/>
        <v>5.2111332772360379</v>
      </c>
      <c r="BB130" s="173">
        <f t="shared" si="346"/>
        <v>0.35062239005653334</v>
      </c>
      <c r="BC130" s="173">
        <f t="shared" si="347"/>
        <v>0.27721742465331284</v>
      </c>
      <c r="BD130" s="173"/>
      <c r="BE130" s="528">
        <f t="shared" si="348"/>
        <v>1.0862364013246724</v>
      </c>
      <c r="BF130" s="528">
        <f t="shared" si="349"/>
        <v>2.0874113276675805</v>
      </c>
      <c r="BG130" s="528">
        <f t="shared" si="350"/>
        <v>0.11664040411426897</v>
      </c>
      <c r="BH130" s="528">
        <f t="shared" si="351"/>
        <v>1.9923575907064155E-2</v>
      </c>
      <c r="BI130">
        <f t="shared" si="352"/>
        <v>3.749155846530074E-3</v>
      </c>
      <c r="BJ130" s="460">
        <f t="shared" si="436"/>
        <v>120.38955996079905</v>
      </c>
      <c r="BK130">
        <f t="shared" si="353"/>
        <v>4.699834275562476</v>
      </c>
      <c r="BL130" s="460">
        <f t="shared" si="437"/>
        <v>3313.9608648601161</v>
      </c>
      <c r="BM130" s="173">
        <f t="shared" si="354"/>
        <v>0.10415999999999999</v>
      </c>
      <c r="BN130" s="173">
        <f t="shared" si="355"/>
        <v>8.6799999999999988E-2</v>
      </c>
      <c r="BO130" s="528"/>
      <c r="BQ130" s="460">
        <f t="shared" si="356"/>
        <v>190.95999999999995</v>
      </c>
      <c r="BR130" s="528">
        <f t="shared" si="357"/>
        <v>0.81467730099350422</v>
      </c>
      <c r="BS130" s="528">
        <f t="shared" si="358"/>
        <v>3.6880818122686744E-3</v>
      </c>
      <c r="BT130" s="528">
        <f t="shared" si="359"/>
        <v>3.842475026570759E-4</v>
      </c>
      <c r="BU130" s="528">
        <f t="shared" si="360"/>
        <v>112.12365279227633</v>
      </c>
      <c r="BV130" s="528"/>
      <c r="BW130" s="625">
        <f t="shared" si="361"/>
        <v>2.16</v>
      </c>
      <c r="BX130" s="460">
        <f t="shared" si="362"/>
        <v>115102.40242258475</v>
      </c>
      <c r="BY130" s="173">
        <f t="shared" si="363"/>
        <v>118.60732328744487</v>
      </c>
      <c r="BZ130" s="5">
        <f t="shared" si="364"/>
        <v>21.599999999999998</v>
      </c>
      <c r="CA130" s="173">
        <f t="shared" si="365"/>
        <v>0.15405757341017728</v>
      </c>
      <c r="CB130" s="5">
        <f t="shared" si="366"/>
        <v>15.405757341017729</v>
      </c>
      <c r="CC130">
        <f t="shared" si="367"/>
        <v>20</v>
      </c>
      <c r="CE130" s="562">
        <f t="shared" si="368"/>
        <v>-50</v>
      </c>
      <c r="CF130">
        <f t="shared" si="369"/>
        <v>-50</v>
      </c>
      <c r="CG130" s="173">
        <f t="shared" si="370"/>
        <v>0.31390081927286512</v>
      </c>
      <c r="CH130" s="173">
        <f t="shared" si="371"/>
        <v>7.8114625897051135E-2</v>
      </c>
      <c r="CI130" s="170">
        <v>20</v>
      </c>
      <c r="CJ130" s="217">
        <f t="shared" si="438"/>
        <v>0.12</v>
      </c>
      <c r="CK130" s="217">
        <f t="shared" si="372"/>
        <v>0.1</v>
      </c>
      <c r="CL130" s="217">
        <f t="shared" si="373"/>
        <v>20.399999999999999</v>
      </c>
      <c r="CM130" s="217">
        <f t="shared" si="374"/>
        <v>1.2000000000000002</v>
      </c>
      <c r="CN130" s="541">
        <f t="shared" si="375"/>
        <v>9</v>
      </c>
      <c r="CO130" s="443">
        <f t="shared" si="376"/>
        <v>8.5350000000000001</v>
      </c>
      <c r="CP130" s="443">
        <f t="shared" si="377"/>
        <v>17.535</v>
      </c>
      <c r="CQ130" s="443"/>
      <c r="CR130" s="217">
        <f t="shared" si="378"/>
        <v>0.48644793152639093</v>
      </c>
      <c r="CS130" s="172">
        <f t="shared" si="379"/>
        <v>137.82691393247745</v>
      </c>
      <c r="CT130" s="172">
        <f t="shared" si="380"/>
        <v>8.1074655254398493</v>
      </c>
      <c r="CU130" s="217">
        <f t="shared" si="381"/>
        <v>0.81074655254398498</v>
      </c>
      <c r="CV130" s="217">
        <f t="shared" si="382"/>
        <v>11.485576161039788</v>
      </c>
      <c r="CW130" s="217">
        <f t="shared" si="383"/>
        <v>170</v>
      </c>
      <c r="CX130" s="217">
        <f t="shared" si="384"/>
        <v>9.8674486803519041</v>
      </c>
      <c r="CY130" s="217">
        <f t="shared" si="385"/>
        <v>0.54819159335288359</v>
      </c>
      <c r="CZ130" s="217">
        <f t="shared" si="386"/>
        <v>0.5780579191770302</v>
      </c>
      <c r="DA130" s="197">
        <f t="shared" si="387"/>
        <v>350</v>
      </c>
      <c r="DB130" s="443">
        <f t="shared" si="388"/>
        <v>350</v>
      </c>
      <c r="DD130" s="217">
        <f t="shared" si="389"/>
        <v>25.032384211169504</v>
      </c>
      <c r="DE130" s="173">
        <f t="shared" si="390"/>
        <v>1.4664548454112187</v>
      </c>
      <c r="DF130" s="173">
        <f t="shared" si="391"/>
        <v>0.30335794952229944</v>
      </c>
      <c r="DG130" s="173"/>
      <c r="DH130" s="173">
        <f t="shared" si="392"/>
        <v>0.78109744190587771</v>
      </c>
      <c r="DI130" s="545">
        <f t="shared" si="393"/>
        <v>488.00117647058818</v>
      </c>
      <c r="DJ130" s="528">
        <f t="shared" si="394"/>
        <v>8.6065366284073561E-2</v>
      </c>
      <c r="DL130" s="173">
        <f t="shared" si="395"/>
        <v>15.711688096991452</v>
      </c>
      <c r="DM130" s="173">
        <f t="shared" si="396"/>
        <v>15.711688096991452</v>
      </c>
      <c r="DN130" s="173">
        <f t="shared" si="397"/>
        <v>2.9617442693763838</v>
      </c>
      <c r="DP130" s="545">
        <f t="shared" si="398"/>
        <v>120</v>
      </c>
      <c r="DQ130" s="460">
        <f t="shared" si="399"/>
        <v>350</v>
      </c>
      <c r="DS130" s="460">
        <f t="shared" si="400"/>
        <v>120</v>
      </c>
      <c r="DT130" s="460">
        <f t="shared" si="401"/>
        <v>350</v>
      </c>
      <c r="DV130" s="5">
        <f t="shared" si="402"/>
        <v>2.8571428571428572</v>
      </c>
      <c r="DW130" s="5">
        <f t="shared" si="403"/>
        <v>0.87287156094396945</v>
      </c>
      <c r="DX130" s="5">
        <f t="shared" si="404"/>
        <v>1.9842712961988878</v>
      </c>
      <c r="DY130" s="173">
        <f t="shared" si="405"/>
        <v>0.30550504633038927</v>
      </c>
      <c r="EA130" s="5">
        <f t="shared" si="406"/>
        <v>6.1614463125456667E-2</v>
      </c>
      <c r="EB130" s="5">
        <f t="shared" si="407"/>
        <v>0.72739296745330795</v>
      </c>
      <c r="EC130" s="5">
        <f t="shared" si="408"/>
        <v>7.1962905675479663</v>
      </c>
      <c r="ED130" s="5"/>
      <c r="EE130" s="173">
        <f t="shared" si="409"/>
        <v>5.0138509107457834</v>
      </c>
      <c r="EF130" s="173">
        <f t="shared" si="410"/>
        <v>0.35697942816591255</v>
      </c>
      <c r="EG130" s="173">
        <f t="shared" si="411"/>
        <v>0.282243577526268</v>
      </c>
      <c r="EH130" s="173"/>
      <c r="EI130" s="528">
        <f t="shared" si="412"/>
        <v>1.0055480382074529</v>
      </c>
      <c r="EJ130" s="528">
        <f t="shared" si="413"/>
        <v>2.6517303387646716</v>
      </c>
      <c r="EK130" s="528">
        <f t="shared" si="414"/>
        <v>6.9999999999999993E-2</v>
      </c>
      <c r="EL130" s="528">
        <f t="shared" si="415"/>
        <v>2.1523335750000001E-2</v>
      </c>
      <c r="EM130">
        <f t="shared" si="416"/>
        <v>4.0499999999999998E-3</v>
      </c>
      <c r="EN130" s="460">
        <f t="shared" si="417"/>
        <v>74.05</v>
      </c>
      <c r="EP130" s="460">
        <f t="shared" si="439"/>
        <v>3752.8517127221239</v>
      </c>
      <c r="EQ130" s="173">
        <f t="shared" si="418"/>
        <v>8.3999999999999991E-2</v>
      </c>
      <c r="ER130" s="173">
        <f t="shared" si="419"/>
        <v>8.6799999999999988E-2</v>
      </c>
      <c r="ES130" s="528"/>
      <c r="EU130" s="460">
        <f t="shared" si="420"/>
        <v>170.79999999999998</v>
      </c>
      <c r="EV130" s="528">
        <f t="shared" si="421"/>
        <v>0.75416102865558965</v>
      </c>
      <c r="EW130" s="528">
        <f t="shared" si="422"/>
        <v>3.8230293640098573E-3</v>
      </c>
      <c r="EX130" s="528">
        <f t="shared" si="423"/>
        <v>3.9830718527413228E-4</v>
      </c>
      <c r="EY130" s="528">
        <f t="shared" si="424"/>
        <v>112.12365279227633</v>
      </c>
      <c r="EZ130" s="528"/>
      <c r="FA130" s="625">
        <f t="shared" si="425"/>
        <v>2.16</v>
      </c>
      <c r="FB130" s="460">
        <f t="shared" si="426"/>
        <v>115042.03515748121</v>
      </c>
      <c r="FC130" s="173">
        <f t="shared" si="427"/>
        <v>118.96568687020333</v>
      </c>
      <c r="FD130" s="5">
        <f t="shared" si="428"/>
        <v>21.599999999999998</v>
      </c>
      <c r="FE130" s="173">
        <f t="shared" si="429"/>
        <v>0.15366481309158456</v>
      </c>
      <c r="FF130" s="5">
        <f t="shared" si="430"/>
        <v>15.366481309158456</v>
      </c>
      <c r="FG130">
        <f t="shared" si="431"/>
        <v>20</v>
      </c>
      <c r="FI130" s="562">
        <f t="shared" si="432"/>
        <v>-50</v>
      </c>
      <c r="FJ130">
        <f t="shared" si="433"/>
        <v>-50</v>
      </c>
    </row>
    <row r="131" spans="5:166">
      <c r="E131" s="170">
        <v>21</v>
      </c>
      <c r="F131" s="217">
        <f t="shared" si="434"/>
        <v>0.126</v>
      </c>
      <c r="G131" s="217">
        <f t="shared" si="313"/>
        <v>0.105</v>
      </c>
      <c r="H131" s="217">
        <f t="shared" si="314"/>
        <v>21.42</v>
      </c>
      <c r="I131" s="217">
        <f t="shared" si="315"/>
        <v>1.26</v>
      </c>
      <c r="J131" s="541">
        <f t="shared" si="316"/>
        <v>8.3149477269259737</v>
      </c>
      <c r="K131" s="443">
        <f t="shared" si="317"/>
        <v>8.5394079037334905</v>
      </c>
      <c r="L131" s="172">
        <f t="shared" si="318"/>
        <v>16.854355630659462</v>
      </c>
      <c r="M131" s="443"/>
      <c r="N131" s="217">
        <f t="shared" si="319"/>
        <v>0.50665881810394475</v>
      </c>
      <c r="O131" s="172">
        <f t="shared" si="320"/>
        <v>132.626494434531</v>
      </c>
      <c r="P131" s="172">
        <f t="shared" si="321"/>
        <v>7.801558496148882</v>
      </c>
      <c r="Q131" s="217">
        <f t="shared" si="322"/>
        <v>0.78015584961488826</v>
      </c>
      <c r="R131" s="217">
        <f t="shared" si="323"/>
        <v>11.052207869544249</v>
      </c>
      <c r="S131" s="217">
        <f t="shared" si="324"/>
        <v>170</v>
      </c>
      <c r="T131" s="217">
        <f t="shared" si="325"/>
        <v>10.767079429253181</v>
      </c>
      <c r="U131" s="217">
        <f t="shared" si="326"/>
        <v>0.64745322417280893</v>
      </c>
      <c r="V131" s="217">
        <f t="shared" si="327"/>
        <v>0.6304347766632471</v>
      </c>
      <c r="W131" s="197">
        <f t="shared" si="328"/>
        <v>350</v>
      </c>
      <c r="X131" s="443">
        <f t="shared" si="435"/>
        <v>350</v>
      </c>
      <c r="Z131" s="217">
        <f t="shared" si="329"/>
        <v>24.073380502402262</v>
      </c>
      <c r="AA131" s="173">
        <f t="shared" si="330"/>
        <v>1.4095462339887295</v>
      </c>
      <c r="AB131" s="173">
        <f t="shared" si="331"/>
        <v>0.28041476363598045</v>
      </c>
      <c r="AC131" s="173"/>
      <c r="AD131" s="173">
        <f t="shared" si="332"/>
        <v>0.78069425208648868</v>
      </c>
      <c r="AE131" s="545">
        <f t="shared" si="333"/>
        <v>512.66586509120009</v>
      </c>
      <c r="AF131" s="528">
        <f t="shared" si="334"/>
        <v>8.6020940739159391E-2</v>
      </c>
      <c r="AH131" s="173">
        <f t="shared" si="335"/>
        <v>16.099689437998489</v>
      </c>
      <c r="AI131" s="173">
        <f t="shared" si="336"/>
        <v>16.099689437998489</v>
      </c>
      <c r="AJ131" s="173">
        <f t="shared" si="337"/>
        <v>3.2491526701223368</v>
      </c>
      <c r="AL131" s="545">
        <f t="shared" si="338"/>
        <v>126</v>
      </c>
      <c r="AM131" s="460">
        <f t="shared" si="339"/>
        <v>350</v>
      </c>
      <c r="AO131" s="460">
        <f t="shared" si="340"/>
        <v>126</v>
      </c>
      <c r="AP131" s="460">
        <f t="shared" si="341"/>
        <v>350</v>
      </c>
      <c r="AR131" s="5">
        <f t="shared" si="275"/>
        <v>2.8571428571428572</v>
      </c>
      <c r="AS131" s="5">
        <f t="shared" si="440"/>
        <v>0.96811729710960692</v>
      </c>
      <c r="AT131" s="5">
        <f t="shared" si="441"/>
        <v>1.8890255600332502</v>
      </c>
      <c r="AU131" s="173">
        <f t="shared" si="442"/>
        <v>0.3388410539883624</v>
      </c>
      <c r="AW131" s="5">
        <f t="shared" si="342"/>
        <v>7.1754576138712042E-2</v>
      </c>
      <c r="AX131" s="5">
        <f t="shared" si="343"/>
        <v>0.84710263497090599</v>
      </c>
      <c r="AY131" s="5">
        <f t="shared" si="344"/>
        <v>7.7860602519258535</v>
      </c>
      <c r="AZ131" s="5"/>
      <c r="BA131" s="173">
        <f t="shared" si="345"/>
        <v>5.4107177956898216</v>
      </c>
      <c r="BB131" s="173">
        <f t="shared" si="346"/>
        <v>0.35690795769344918</v>
      </c>
      <c r="BC131" s="173">
        <f t="shared" si="347"/>
        <v>0.28218706983914671</v>
      </c>
      <c r="BD131" s="173"/>
      <c r="BE131" s="528">
        <f t="shared" si="348"/>
        <v>1.171034682583781</v>
      </c>
      <c r="BF131" s="528">
        <f t="shared" si="349"/>
        <v>2.136880394233188</v>
      </c>
      <c r="BG131" s="528">
        <f t="shared" si="350"/>
        <v>0.11640926817696363</v>
      </c>
      <c r="BH131" s="528">
        <f t="shared" si="351"/>
        <v>1.9884851260731962E-2</v>
      </c>
      <c r="BI131">
        <f t="shared" si="352"/>
        <v>3.7417264771166881E-3</v>
      </c>
      <c r="BJ131" s="460">
        <f t="shared" si="436"/>
        <v>120.15099465408034</v>
      </c>
      <c r="BK131">
        <f t="shared" si="353"/>
        <v>5.0487258784988223</v>
      </c>
      <c r="BL131" s="460">
        <f t="shared" si="437"/>
        <v>3447.9509227317817</v>
      </c>
      <c r="BM131" s="173">
        <f t="shared" si="354"/>
        <v>0.10936800000000001</v>
      </c>
      <c r="BN131" s="173">
        <f t="shared" si="355"/>
        <v>9.1139999999999999E-2</v>
      </c>
      <c r="BO131" s="528"/>
      <c r="BQ131" s="460">
        <f t="shared" si="356"/>
        <v>200.50800000000001</v>
      </c>
      <c r="BR131" s="528">
        <f t="shared" si="357"/>
        <v>0.87827601193783567</v>
      </c>
      <c r="BS131" s="528">
        <f t="shared" si="358"/>
        <v>3.8214987079472672E-3</v>
      </c>
      <c r="BT131" s="528">
        <f t="shared" si="359"/>
        <v>3.9814771192201733E-4</v>
      </c>
      <c r="BU131" s="528">
        <f t="shared" si="360"/>
        <v>119.17464357160253</v>
      </c>
      <c r="BV131" s="528"/>
      <c r="BW131" s="625">
        <f t="shared" si="361"/>
        <v>2.2680000000000011</v>
      </c>
      <c r="BX131" s="460">
        <f t="shared" si="362"/>
        <v>122325.13922996024</v>
      </c>
      <c r="BY131" s="173">
        <f t="shared" si="363"/>
        <v>125.97359815269202</v>
      </c>
      <c r="BZ131" s="5">
        <f t="shared" si="364"/>
        <v>22.680000000000003</v>
      </c>
      <c r="CA131" s="173">
        <f t="shared" si="365"/>
        <v>0.15256946540038582</v>
      </c>
      <c r="CB131" s="5">
        <f t="shared" si="366"/>
        <v>15.256946540038582</v>
      </c>
      <c r="CC131">
        <f t="shared" si="367"/>
        <v>21.000000000000004</v>
      </c>
      <c r="CE131" s="562">
        <f t="shared" si="368"/>
        <v>-50</v>
      </c>
      <c r="CF131">
        <f t="shared" si="369"/>
        <v>-50</v>
      </c>
      <c r="CG131" s="173">
        <f t="shared" si="370"/>
        <v>0.32165262404834311</v>
      </c>
      <c r="CH131" s="173">
        <f t="shared" si="371"/>
        <v>8.0043672566843541E-2</v>
      </c>
      <c r="CI131" s="170">
        <v>21</v>
      </c>
      <c r="CJ131" s="217">
        <f t="shared" si="438"/>
        <v>0.126</v>
      </c>
      <c r="CK131" s="217">
        <f t="shared" si="372"/>
        <v>0.105</v>
      </c>
      <c r="CL131" s="217">
        <f t="shared" si="373"/>
        <v>21.42</v>
      </c>
      <c r="CM131" s="217">
        <f t="shared" si="374"/>
        <v>1.26</v>
      </c>
      <c r="CN131" s="541">
        <f t="shared" si="375"/>
        <v>9</v>
      </c>
      <c r="CO131" s="443">
        <f t="shared" si="376"/>
        <v>8.5350000000000001</v>
      </c>
      <c r="CP131" s="443">
        <f t="shared" si="377"/>
        <v>17.535</v>
      </c>
      <c r="CQ131" s="443"/>
      <c r="CR131" s="217">
        <f t="shared" si="378"/>
        <v>0.48644793152639093</v>
      </c>
      <c r="CS131" s="172">
        <f t="shared" si="379"/>
        <v>137.82691393247745</v>
      </c>
      <c r="CT131" s="172">
        <f t="shared" si="380"/>
        <v>8.1074655254398493</v>
      </c>
      <c r="CU131" s="217">
        <f t="shared" si="381"/>
        <v>0.81074655254398498</v>
      </c>
      <c r="CV131" s="217">
        <f t="shared" si="382"/>
        <v>11.485576161039788</v>
      </c>
      <c r="CW131" s="217">
        <f t="shared" si="383"/>
        <v>170</v>
      </c>
      <c r="CX131" s="217">
        <f t="shared" si="384"/>
        <v>10.360821114369502</v>
      </c>
      <c r="CY131" s="217">
        <f t="shared" si="385"/>
        <v>0.57560117302052793</v>
      </c>
      <c r="CZ131" s="217">
        <f t="shared" si="386"/>
        <v>0.60696081513588174</v>
      </c>
      <c r="DA131" s="197">
        <f t="shared" si="387"/>
        <v>350</v>
      </c>
      <c r="DB131" s="443">
        <f t="shared" si="388"/>
        <v>350</v>
      </c>
      <c r="DD131" s="217">
        <f t="shared" si="389"/>
        <v>25.032384211169504</v>
      </c>
      <c r="DE131" s="173">
        <f t="shared" si="390"/>
        <v>1.4664548454112187</v>
      </c>
      <c r="DF131" s="173">
        <f t="shared" si="391"/>
        <v>0.30335794952229944</v>
      </c>
      <c r="DG131" s="173"/>
      <c r="DH131" s="173">
        <f t="shared" si="392"/>
        <v>0.78109744190587771</v>
      </c>
      <c r="DI131" s="545">
        <f t="shared" si="393"/>
        <v>512.40123529411767</v>
      </c>
      <c r="DJ131" s="528">
        <f t="shared" si="394"/>
        <v>8.6065366284073561E-2</v>
      </c>
      <c r="DL131" s="173">
        <f t="shared" si="395"/>
        <v>16.099689437998489</v>
      </c>
      <c r="DM131" s="173">
        <f t="shared" si="396"/>
        <v>16.099689437998489</v>
      </c>
      <c r="DN131" s="173">
        <f t="shared" si="397"/>
        <v>3.2491526701223368</v>
      </c>
      <c r="DP131" s="545">
        <f t="shared" si="398"/>
        <v>126</v>
      </c>
      <c r="DQ131" s="460">
        <f t="shared" si="399"/>
        <v>350</v>
      </c>
      <c r="DS131" s="460">
        <f t="shared" si="400"/>
        <v>126</v>
      </c>
      <c r="DT131" s="460">
        <f t="shared" si="401"/>
        <v>350</v>
      </c>
      <c r="DV131" s="5">
        <f t="shared" si="402"/>
        <v>2.8571428571428572</v>
      </c>
      <c r="DW131" s="5">
        <f t="shared" si="403"/>
        <v>0.89442719099991608</v>
      </c>
      <c r="DX131" s="5">
        <f t="shared" si="404"/>
        <v>1.962715666142941</v>
      </c>
      <c r="DY131" s="173">
        <f t="shared" si="405"/>
        <v>0.31304951684997062</v>
      </c>
      <c r="EA131" s="5">
        <f t="shared" si="406"/>
        <v>6.6292838862346715E-2</v>
      </c>
      <c r="EB131" s="5">
        <f t="shared" si="407"/>
        <v>0.7826237921249265</v>
      </c>
      <c r="EC131" s="5">
        <f t="shared" si="408"/>
        <v>7.4740212566723203</v>
      </c>
      <c r="ED131" s="5"/>
      <c r="EE131" s="173">
        <f t="shared" si="409"/>
        <v>5.2007190133516605</v>
      </c>
      <c r="EF131" s="173">
        <f t="shared" si="410"/>
        <v>0.36380277590141114</v>
      </c>
      <c r="EG131" s="173">
        <f t="shared" si="411"/>
        <v>0.28763841522172712</v>
      </c>
      <c r="EH131" s="173"/>
      <c r="EI131" s="528">
        <f t="shared" si="412"/>
        <v>1.0818991302334988</v>
      </c>
      <c r="EJ131" s="528">
        <f t="shared" si="413"/>
        <v>2.7172150225922964</v>
      </c>
      <c r="EK131" s="528">
        <f t="shared" si="414"/>
        <v>6.9999999999999993E-2</v>
      </c>
      <c r="EL131" s="528">
        <f t="shared" si="415"/>
        <v>2.1523335750000001E-2</v>
      </c>
      <c r="EM131">
        <f t="shared" si="416"/>
        <v>4.0499999999999998E-3</v>
      </c>
      <c r="EN131" s="460">
        <f t="shared" si="417"/>
        <v>74.05</v>
      </c>
      <c r="EP131" s="460">
        <f t="shared" si="439"/>
        <v>3894.6874885757948</v>
      </c>
      <c r="EQ131" s="173">
        <f t="shared" si="418"/>
        <v>8.8200000000000001E-2</v>
      </c>
      <c r="ER131" s="173">
        <f t="shared" si="419"/>
        <v>9.1139999999999999E-2</v>
      </c>
      <c r="ES131" s="528"/>
      <c r="EU131" s="460">
        <f t="shared" si="420"/>
        <v>179.34</v>
      </c>
      <c r="EV131" s="528">
        <f t="shared" si="421"/>
        <v>0.81142434767512406</v>
      </c>
      <c r="EW131" s="528">
        <f t="shared" si="422"/>
        <v>3.9705737926071715E-3</v>
      </c>
      <c r="EX131" s="528">
        <f t="shared" si="423"/>
        <v>4.1367928955633347E-4</v>
      </c>
      <c r="EY131" s="528">
        <f t="shared" si="424"/>
        <v>119.17464357160253</v>
      </c>
      <c r="EZ131" s="528"/>
      <c r="FA131" s="625">
        <f t="shared" si="425"/>
        <v>2.2680000000000011</v>
      </c>
      <c r="FB131" s="460">
        <f t="shared" si="426"/>
        <v>122258.45217235983</v>
      </c>
      <c r="FC131" s="173">
        <f t="shared" si="427"/>
        <v>126.33247966093562</v>
      </c>
      <c r="FD131" s="5">
        <f t="shared" si="428"/>
        <v>22.680000000000003</v>
      </c>
      <c r="FE131" s="173">
        <f t="shared" si="429"/>
        <v>0.15220201725121471</v>
      </c>
      <c r="FF131" s="5">
        <f t="shared" si="430"/>
        <v>15.220201725121472</v>
      </c>
      <c r="FG131">
        <f t="shared" si="431"/>
        <v>21.000000000000004</v>
      </c>
      <c r="FI131" s="562">
        <f t="shared" si="432"/>
        <v>-50</v>
      </c>
      <c r="FJ131">
        <f t="shared" si="433"/>
        <v>-50</v>
      </c>
    </row>
    <row r="132" spans="5:166">
      <c r="E132" s="170">
        <v>22</v>
      </c>
      <c r="F132" s="217">
        <f t="shared" si="434"/>
        <v>0.13200000000000001</v>
      </c>
      <c r="G132" s="217">
        <f t="shared" si="313"/>
        <v>0.11</v>
      </c>
      <c r="H132" s="217">
        <f t="shared" si="314"/>
        <v>22.44</v>
      </c>
      <c r="I132" s="217">
        <f t="shared" si="315"/>
        <v>1.32</v>
      </c>
      <c r="J132" s="541">
        <f t="shared" si="316"/>
        <v>8.2988266442677396</v>
      </c>
      <c r="K132" s="443">
        <f t="shared" si="317"/>
        <v>8.5395116333074661</v>
      </c>
      <c r="L132" s="172">
        <f t="shared" si="318"/>
        <v>16.838338277575204</v>
      </c>
      <c r="M132" s="443"/>
      <c r="N132" s="217">
        <f t="shared" si="319"/>
        <v>0.50714693412948786</v>
      </c>
      <c r="O132" s="172">
        <f t="shared" si="320"/>
        <v>132.49688207724509</v>
      </c>
      <c r="P132" s="172">
        <f t="shared" si="321"/>
        <v>7.7939342398379452</v>
      </c>
      <c r="Q132" s="217">
        <f t="shared" si="322"/>
        <v>0.77939342398379463</v>
      </c>
      <c r="R132" s="217">
        <f t="shared" si="323"/>
        <v>11.041406839770424</v>
      </c>
      <c r="S132" s="217">
        <f t="shared" si="324"/>
        <v>170</v>
      </c>
      <c r="T132" s="217">
        <f t="shared" si="325"/>
        <v>11.29083172785786</v>
      </c>
      <c r="U132" s="217">
        <f t="shared" si="326"/>
        <v>0.68026675407521564</v>
      </c>
      <c r="V132" s="217">
        <f t="shared" si="327"/>
        <v>0.66109352693069467</v>
      </c>
      <c r="W132" s="197">
        <f t="shared" si="328"/>
        <v>350</v>
      </c>
      <c r="X132" s="443">
        <f t="shared" si="435"/>
        <v>350</v>
      </c>
      <c r="Z132" s="217">
        <f t="shared" si="329"/>
        <v>24.049854225785655</v>
      </c>
      <c r="AA132" s="173">
        <f t="shared" si="330"/>
        <v>1.4081516167728918</v>
      </c>
      <c r="AB132" s="173">
        <f t="shared" si="331"/>
        <v>0.27986354807165964</v>
      </c>
      <c r="AC132" s="173"/>
      <c r="AD132" s="173">
        <f t="shared" si="332"/>
        <v>0.78068476898187422</v>
      </c>
      <c r="AE132" s="545">
        <f t="shared" si="333"/>
        <v>537.08504931366724</v>
      </c>
      <c r="AF132" s="528">
        <f t="shared" si="334"/>
        <v>8.6019895841521338E-2</v>
      </c>
      <c r="AH132" s="173">
        <f t="shared" si="335"/>
        <v>16.478557495814286</v>
      </c>
      <c r="AI132" s="173">
        <f t="shared" si="336"/>
        <v>16.478557495814286</v>
      </c>
      <c r="AJ132" s="173">
        <f t="shared" si="337"/>
        <v>3.5297956759118163</v>
      </c>
      <c r="AL132" s="545">
        <f t="shared" si="338"/>
        <v>132</v>
      </c>
      <c r="AM132" s="460">
        <f t="shared" si="339"/>
        <v>350</v>
      </c>
      <c r="AO132" s="460">
        <f t="shared" si="340"/>
        <v>132</v>
      </c>
      <c r="AP132" s="460">
        <f t="shared" si="341"/>
        <v>350</v>
      </c>
      <c r="AR132" s="5">
        <f t="shared" si="275"/>
        <v>2.8571428571428572</v>
      </c>
      <c r="AS132" s="5">
        <f t="shared" si="440"/>
        <v>0.99282454027380729</v>
      </c>
      <c r="AT132" s="5">
        <f t="shared" si="441"/>
        <v>1.86431831686905</v>
      </c>
      <c r="AU132" s="173">
        <f t="shared" si="442"/>
        <v>0.34748858909583252</v>
      </c>
      <c r="AW132" s="5">
        <f t="shared" si="342"/>
        <v>7.7089905480083862E-2</v>
      </c>
      <c r="AX132" s="5">
        <f t="shared" si="343"/>
        <v>0.91008916191765665</v>
      </c>
      <c r="AY132" s="5">
        <f t="shared" si="344"/>
        <v>8.0657769728328415</v>
      </c>
      <c r="AZ132" s="5"/>
      <c r="BA132" s="173">
        <f t="shared" si="345"/>
        <v>5.6082690231366588</v>
      </c>
      <c r="BB132" s="173">
        <f t="shared" si="346"/>
        <v>0.36291008771156502</v>
      </c>
      <c r="BC132" s="173">
        <f t="shared" si="347"/>
        <v>0.28693261682428967</v>
      </c>
      <c r="BD132" s="173"/>
      <c r="BE132" s="528">
        <f t="shared" si="348"/>
        <v>1.2581072574349685</v>
      </c>
      <c r="BF132" s="528">
        <f t="shared" si="349"/>
        <v>2.1850882628478239</v>
      </c>
      <c r="BG132" s="528">
        <f t="shared" si="350"/>
        <v>0.11618357301974834</v>
      </c>
      <c r="BH132" s="528">
        <f t="shared" si="351"/>
        <v>1.9847074516503797E-2</v>
      </c>
      <c r="BI132">
        <f t="shared" si="352"/>
        <v>3.7344719899204829E-3</v>
      </c>
      <c r="BJ132" s="460">
        <f t="shared" si="436"/>
        <v>119.91804500966882</v>
      </c>
      <c r="BK132">
        <f t="shared" si="353"/>
        <v>5.4241536510476642</v>
      </c>
      <c r="BL132" s="460">
        <f t="shared" si="437"/>
        <v>3582.960639808965</v>
      </c>
      <c r="BM132" s="173">
        <f t="shared" si="354"/>
        <v>0.114576</v>
      </c>
      <c r="BN132" s="173">
        <f t="shared" si="355"/>
        <v>9.5479999999999995E-2</v>
      </c>
      <c r="BO132" s="528"/>
      <c r="BQ132" s="460">
        <f t="shared" si="356"/>
        <v>210.05599999999998</v>
      </c>
      <c r="BR132" s="528">
        <f t="shared" si="357"/>
        <v>0.94358044307622635</v>
      </c>
      <c r="BS132" s="528">
        <f t="shared" si="358"/>
        <v>3.9511119528844747E-3</v>
      </c>
      <c r="BT132" s="528">
        <f t="shared" si="359"/>
        <v>4.1165163298817318E-4</v>
      </c>
      <c r="BU132" s="528">
        <f t="shared" si="360"/>
        <v>126.3101044641936</v>
      </c>
      <c r="BV132" s="528"/>
      <c r="BW132" s="625">
        <f t="shared" si="361"/>
        <v>2.3760000000000003</v>
      </c>
      <c r="BX132" s="460">
        <f t="shared" si="362"/>
        <v>129634.0476708557</v>
      </c>
      <c r="BY132" s="173">
        <f t="shared" si="363"/>
        <v>133.42706431066466</v>
      </c>
      <c r="BZ132" s="5">
        <f t="shared" si="364"/>
        <v>23.76</v>
      </c>
      <c r="CA132" s="173">
        <f t="shared" si="365"/>
        <v>0.15115747662950635</v>
      </c>
      <c r="CB132" s="5">
        <f t="shared" si="366"/>
        <v>15.115747662950636</v>
      </c>
      <c r="CC132">
        <f t="shared" si="367"/>
        <v>22.000000000000004</v>
      </c>
      <c r="CE132" s="562">
        <f t="shared" si="368"/>
        <v>-50</v>
      </c>
      <c r="CF132">
        <f t="shared" si="369"/>
        <v>-50</v>
      </c>
      <c r="CG132" s="173">
        <f t="shared" si="370"/>
        <v>0.32922195670124055</v>
      </c>
      <c r="CH132" s="173">
        <f t="shared" si="371"/>
        <v>8.1927310812328472E-2</v>
      </c>
      <c r="CI132" s="170">
        <v>22</v>
      </c>
      <c r="CJ132" s="217">
        <f t="shared" si="438"/>
        <v>0.13200000000000001</v>
      </c>
      <c r="CK132" s="217">
        <f t="shared" si="372"/>
        <v>0.11</v>
      </c>
      <c r="CL132" s="217">
        <f t="shared" si="373"/>
        <v>22.44</v>
      </c>
      <c r="CM132" s="217">
        <f t="shared" si="374"/>
        <v>1.32</v>
      </c>
      <c r="CN132" s="541">
        <f t="shared" si="375"/>
        <v>9</v>
      </c>
      <c r="CO132" s="443">
        <f t="shared" si="376"/>
        <v>8.5350000000000001</v>
      </c>
      <c r="CP132" s="443">
        <f t="shared" si="377"/>
        <v>17.535</v>
      </c>
      <c r="CQ132" s="443"/>
      <c r="CR132" s="217">
        <f t="shared" si="378"/>
        <v>0.48644793152639093</v>
      </c>
      <c r="CS132" s="172">
        <f t="shared" si="379"/>
        <v>137.82691393247745</v>
      </c>
      <c r="CT132" s="172">
        <f t="shared" si="380"/>
        <v>8.1074655254398493</v>
      </c>
      <c r="CU132" s="217">
        <f t="shared" si="381"/>
        <v>0.81074655254398498</v>
      </c>
      <c r="CV132" s="217">
        <f t="shared" si="382"/>
        <v>11.485576161039788</v>
      </c>
      <c r="CW132" s="217">
        <f t="shared" si="383"/>
        <v>170</v>
      </c>
      <c r="CX132" s="217">
        <f t="shared" si="384"/>
        <v>10.854193548387096</v>
      </c>
      <c r="CY132" s="217">
        <f t="shared" si="385"/>
        <v>0.60301075268817195</v>
      </c>
      <c r="CZ132" s="217">
        <f t="shared" si="386"/>
        <v>0.63586371109473316</v>
      </c>
      <c r="DA132" s="197">
        <f t="shared" si="387"/>
        <v>350</v>
      </c>
      <c r="DB132" s="443">
        <f t="shared" si="388"/>
        <v>350</v>
      </c>
      <c r="DD132" s="217">
        <f t="shared" si="389"/>
        <v>25.032384211169504</v>
      </c>
      <c r="DE132" s="173">
        <f t="shared" si="390"/>
        <v>1.4664548454112187</v>
      </c>
      <c r="DF132" s="173">
        <f t="shared" si="391"/>
        <v>0.30335794952229944</v>
      </c>
      <c r="DG132" s="173"/>
      <c r="DH132" s="173">
        <f t="shared" si="392"/>
        <v>0.78109744190587771</v>
      </c>
      <c r="DI132" s="545">
        <f t="shared" si="393"/>
        <v>536.8012941176471</v>
      </c>
      <c r="DJ132" s="528">
        <f t="shared" si="394"/>
        <v>8.6065366284073561E-2</v>
      </c>
      <c r="DL132" s="173">
        <f t="shared" si="395"/>
        <v>16.478557495814286</v>
      </c>
      <c r="DM132" s="173">
        <f t="shared" si="396"/>
        <v>16.478557495814286</v>
      </c>
      <c r="DN132" s="173">
        <f t="shared" si="397"/>
        <v>3.5297956759118163</v>
      </c>
      <c r="DP132" s="545">
        <f t="shared" si="398"/>
        <v>132</v>
      </c>
      <c r="DQ132" s="460">
        <f t="shared" si="399"/>
        <v>350</v>
      </c>
      <c r="DS132" s="460">
        <f t="shared" si="400"/>
        <v>132</v>
      </c>
      <c r="DT132" s="460">
        <f t="shared" si="401"/>
        <v>350</v>
      </c>
      <c r="DV132" s="5">
        <f t="shared" si="402"/>
        <v>2.8571428571428572</v>
      </c>
      <c r="DW132" s="5">
        <f t="shared" si="403"/>
        <v>0.91547541643412689</v>
      </c>
      <c r="DX132" s="5">
        <f t="shared" si="404"/>
        <v>1.9416674407087302</v>
      </c>
      <c r="DY132" s="173">
        <f t="shared" si="405"/>
        <v>0.32041639575194442</v>
      </c>
      <c r="EA132" s="5">
        <f t="shared" si="406"/>
        <v>7.1083973511355744E-2</v>
      </c>
      <c r="EB132" s="5">
        <f t="shared" si="407"/>
        <v>0.8391857983979496</v>
      </c>
      <c r="EC132" s="5">
        <f t="shared" si="408"/>
        <v>7.7459586434673628</v>
      </c>
      <c r="ED132" s="5"/>
      <c r="EE132" s="173">
        <f t="shared" si="409"/>
        <v>5.385374749507517</v>
      </c>
      <c r="EF132" s="173">
        <f t="shared" si="410"/>
        <v>0.37036200891119297</v>
      </c>
      <c r="EG132" s="173">
        <f t="shared" si="411"/>
        <v>0.29282443224242999</v>
      </c>
      <c r="EH132" s="173"/>
      <c r="EI132" s="528">
        <f t="shared" si="412"/>
        <v>1.1600904477053262</v>
      </c>
      <c r="EJ132" s="528">
        <f t="shared" si="413"/>
        <v>2.7811582422576215</v>
      </c>
      <c r="EK132" s="528">
        <f t="shared" si="414"/>
        <v>6.9999999999999993E-2</v>
      </c>
      <c r="EL132" s="528">
        <f t="shared" si="415"/>
        <v>2.1523335750000001E-2</v>
      </c>
      <c r="EM132">
        <f t="shared" si="416"/>
        <v>4.0499999999999998E-3</v>
      </c>
      <c r="EN132" s="460">
        <f t="shared" si="417"/>
        <v>74.05</v>
      </c>
      <c r="EP132" s="460">
        <f t="shared" si="439"/>
        <v>4036.8220257129492</v>
      </c>
      <c r="EQ132" s="173">
        <f t="shared" si="418"/>
        <v>9.2399999999999996E-2</v>
      </c>
      <c r="ER132" s="173">
        <f t="shared" si="419"/>
        <v>9.5479999999999995E-2</v>
      </c>
      <c r="ES132" s="528"/>
      <c r="EU132" s="460">
        <f t="shared" si="420"/>
        <v>187.88</v>
      </c>
      <c r="EV132" s="528">
        <f t="shared" si="421"/>
        <v>0.8700678357789946</v>
      </c>
      <c r="EW132" s="528">
        <f t="shared" si="422"/>
        <v>4.1150405293420367E-3</v>
      </c>
      <c r="EX132" s="528">
        <f t="shared" si="423"/>
        <v>4.2873074059050732E-4</v>
      </c>
      <c r="EY132" s="528">
        <f t="shared" si="424"/>
        <v>126.3101044641936</v>
      </c>
      <c r="EZ132" s="528"/>
      <c r="FA132" s="625">
        <f t="shared" si="425"/>
        <v>2.3760000000000003</v>
      </c>
      <c r="FB132" s="460">
        <f t="shared" si="426"/>
        <v>129560.71607124252</v>
      </c>
      <c r="FC132" s="173">
        <f t="shared" si="427"/>
        <v>133.78541809695548</v>
      </c>
      <c r="FD132" s="5">
        <f t="shared" si="428"/>
        <v>23.76</v>
      </c>
      <c r="FE132" s="173">
        <f t="shared" si="429"/>
        <v>0.15081365289454368</v>
      </c>
      <c r="FF132" s="5">
        <f t="shared" si="430"/>
        <v>15.081365289454368</v>
      </c>
      <c r="FG132">
        <f t="shared" si="431"/>
        <v>22.000000000000004</v>
      </c>
      <c r="FI132" s="562">
        <f t="shared" si="432"/>
        <v>-50</v>
      </c>
      <c r="FJ132">
        <f t="shared" si="433"/>
        <v>-50</v>
      </c>
    </row>
    <row r="133" spans="5:166">
      <c r="E133" s="170">
        <v>23</v>
      </c>
      <c r="F133" s="217">
        <f t="shared" si="434"/>
        <v>0.13800000000000001</v>
      </c>
      <c r="G133" s="217">
        <f t="shared" si="313"/>
        <v>0.115</v>
      </c>
      <c r="H133" s="217">
        <f t="shared" si="314"/>
        <v>23.46</v>
      </c>
      <c r="I133" s="217">
        <f t="shared" si="315"/>
        <v>1.3800000000000001</v>
      </c>
      <c r="J133" s="541">
        <f t="shared" si="316"/>
        <v>8.2830679720267852</v>
      </c>
      <c r="K133" s="443">
        <f t="shared" si="317"/>
        <v>8.5396130309860592</v>
      </c>
      <c r="L133" s="172">
        <f t="shared" si="318"/>
        <v>16.822681003012846</v>
      </c>
      <c r="M133" s="443"/>
      <c r="N133" s="217">
        <f t="shared" si="319"/>
        <v>0.50762497543980434</v>
      </c>
      <c r="O133" s="172">
        <f t="shared" si="320"/>
        <v>132.36993886986585</v>
      </c>
      <c r="P133" s="172">
        <f t="shared" si="321"/>
        <v>7.7864669923450496</v>
      </c>
      <c r="Q133" s="217">
        <f t="shared" si="322"/>
        <v>0.77864669923450502</v>
      </c>
      <c r="R133" s="217">
        <f t="shared" si="323"/>
        <v>11.030828239155488</v>
      </c>
      <c r="S133" s="217">
        <f t="shared" si="324"/>
        <v>170</v>
      </c>
      <c r="T133" s="217">
        <f t="shared" si="325"/>
        <v>11.815371475978269</v>
      </c>
      <c r="U133" s="217">
        <f t="shared" si="326"/>
        <v>0.71322434609257246</v>
      </c>
      <c r="V133" s="217">
        <f t="shared" si="327"/>
        <v>0.6917978269686279</v>
      </c>
      <c r="W133" s="197">
        <f t="shared" si="328"/>
        <v>350</v>
      </c>
      <c r="X133" s="443">
        <f t="shared" si="435"/>
        <v>350</v>
      </c>
      <c r="Z133" s="217">
        <f t="shared" si="329"/>
        <v>24.026812433521869</v>
      </c>
      <c r="AA133" s="173">
        <f t="shared" si="330"/>
        <v>1.4067857844577016</v>
      </c>
      <c r="AB133" s="173">
        <f t="shared" si="331"/>
        <v>0.27932422243749339</v>
      </c>
      <c r="AC133" s="173"/>
      <c r="AD133" s="173">
        <f t="shared" si="332"/>
        <v>0.78067549928510926</v>
      </c>
      <c r="AE133" s="545">
        <f t="shared" si="333"/>
        <v>561.50467329624803</v>
      </c>
      <c r="AF133" s="528">
        <f t="shared" si="334"/>
        <v>8.601887445826667E-2</v>
      </c>
      <c r="AH133" s="173">
        <f t="shared" si="335"/>
        <v>16.848908400419131</v>
      </c>
      <c r="AI133" s="173">
        <f t="shared" si="336"/>
        <v>16.848908400419131</v>
      </c>
      <c r="AJ133" s="173">
        <f t="shared" si="337"/>
        <v>3.8041296793228119</v>
      </c>
      <c r="AL133" s="545">
        <f t="shared" si="338"/>
        <v>138</v>
      </c>
      <c r="AM133" s="460">
        <f t="shared" si="339"/>
        <v>350</v>
      </c>
      <c r="AO133" s="460">
        <f t="shared" si="340"/>
        <v>138</v>
      </c>
      <c r="AP133" s="460">
        <f t="shared" si="341"/>
        <v>350</v>
      </c>
      <c r="AR133" s="5">
        <f t="shared" si="275"/>
        <v>2.8571428571428572</v>
      </c>
      <c r="AS133" s="5">
        <f t="shared" si="440"/>
        <v>1.0170693067665584</v>
      </c>
      <c r="AT133" s="5">
        <f t="shared" si="441"/>
        <v>1.8400735503762988</v>
      </c>
      <c r="AU133" s="173">
        <f t="shared" si="442"/>
        <v>0.35597425736829541</v>
      </c>
      <c r="AW133" s="5">
        <f t="shared" si="342"/>
        <v>8.25620966669324E-2</v>
      </c>
      <c r="AX133" s="5">
        <f t="shared" si="343"/>
        <v>0.97469141898461853</v>
      </c>
      <c r="AY133" s="5">
        <f t="shared" si="344"/>
        <v>8.3385770852275449</v>
      </c>
      <c r="AZ133" s="5"/>
      <c r="BA133" s="173">
        <f t="shared" si="345"/>
        <v>5.8039069117369912</v>
      </c>
      <c r="BB133" s="173">
        <f t="shared" si="346"/>
        <v>0.36864570298068733</v>
      </c>
      <c r="BC133" s="173">
        <f t="shared" si="347"/>
        <v>0.29146744557111315</v>
      </c>
      <c r="BD133" s="173"/>
      <c r="BE133" s="528">
        <f t="shared" si="348"/>
        <v>1.3474134176043366</v>
      </c>
      <c r="BF133" s="528">
        <f t="shared" si="349"/>
        <v>2.2321200137452215</v>
      </c>
      <c r="BG133" s="528">
        <f t="shared" si="350"/>
        <v>0.115962951608375</v>
      </c>
      <c r="BH133" s="528">
        <f t="shared" si="351"/>
        <v>1.9810181729039051E-2</v>
      </c>
      <c r="BI133">
        <f t="shared" si="352"/>
        <v>3.7273805874120532E-3</v>
      </c>
      <c r="BJ133" s="460">
        <f t="shared" si="436"/>
        <v>119.69033219578705</v>
      </c>
      <c r="BK133">
        <f t="shared" si="353"/>
        <v>5.8294014620006447</v>
      </c>
      <c r="BL133" s="460">
        <f t="shared" si="437"/>
        <v>3719.0339452743842</v>
      </c>
      <c r="BM133" s="173">
        <f t="shared" si="354"/>
        <v>0.119784</v>
      </c>
      <c r="BN133" s="173">
        <f t="shared" si="355"/>
        <v>9.9820000000000006E-2</v>
      </c>
      <c r="BO133" s="528"/>
      <c r="BQ133" s="460">
        <f t="shared" si="356"/>
        <v>219.60400000000001</v>
      </c>
      <c r="BR133" s="528">
        <f t="shared" si="357"/>
        <v>1.0105600632032525</v>
      </c>
      <c r="BS133" s="528">
        <f t="shared" si="358"/>
        <v>4.0769896297837543E-3</v>
      </c>
      <c r="BT133" s="528">
        <f t="shared" si="359"/>
        <v>4.2476635913874905E-4</v>
      </c>
      <c r="BU133" s="528">
        <f t="shared" si="360"/>
        <v>133.52713732766031</v>
      </c>
      <c r="BV133" s="528"/>
      <c r="BW133" s="625">
        <f t="shared" si="361"/>
        <v>2.4840000000000009</v>
      </c>
      <c r="BX133" s="460">
        <f t="shared" si="362"/>
        <v>137026.19914685248</v>
      </c>
      <c r="BY133" s="173">
        <f t="shared" si="363"/>
        <v>140.96483709212688</v>
      </c>
      <c r="BZ133" s="5">
        <f t="shared" si="364"/>
        <v>24.84</v>
      </c>
      <c r="CA133" s="173">
        <f t="shared" si="365"/>
        <v>0.14981468837485146</v>
      </c>
      <c r="CB133" s="5">
        <f t="shared" si="366"/>
        <v>14.981468837485146</v>
      </c>
      <c r="CC133">
        <f t="shared" si="367"/>
        <v>23.000000000000004</v>
      </c>
      <c r="CE133" s="562">
        <f t="shared" si="368"/>
        <v>-50</v>
      </c>
      <c r="CF133">
        <f t="shared" si="369"/>
        <v>-50</v>
      </c>
      <c r="CG133" s="173">
        <f t="shared" si="370"/>
        <v>0.33662112677489858</v>
      </c>
      <c r="CH133" s="173">
        <f t="shared" si="371"/>
        <v>8.3768603879327538E-2</v>
      </c>
      <c r="CI133" s="170">
        <v>23</v>
      </c>
      <c r="CJ133" s="217">
        <f t="shared" si="438"/>
        <v>0.13800000000000001</v>
      </c>
      <c r="CK133" s="217">
        <f t="shared" si="372"/>
        <v>0.115</v>
      </c>
      <c r="CL133" s="217">
        <f t="shared" si="373"/>
        <v>23.46</v>
      </c>
      <c r="CM133" s="217">
        <f t="shared" si="374"/>
        <v>1.3800000000000001</v>
      </c>
      <c r="CN133" s="541">
        <f t="shared" si="375"/>
        <v>9</v>
      </c>
      <c r="CO133" s="443">
        <f t="shared" si="376"/>
        <v>8.5350000000000001</v>
      </c>
      <c r="CP133" s="443">
        <f t="shared" si="377"/>
        <v>17.535</v>
      </c>
      <c r="CQ133" s="443"/>
      <c r="CR133" s="217">
        <f t="shared" si="378"/>
        <v>0.48644793152639093</v>
      </c>
      <c r="CS133" s="172">
        <f t="shared" si="379"/>
        <v>137.82691393247745</v>
      </c>
      <c r="CT133" s="172">
        <f t="shared" si="380"/>
        <v>8.1074655254398493</v>
      </c>
      <c r="CU133" s="217">
        <f t="shared" si="381"/>
        <v>0.81074655254398498</v>
      </c>
      <c r="CV133" s="217">
        <f t="shared" si="382"/>
        <v>11.485576161039788</v>
      </c>
      <c r="CW133" s="217">
        <f t="shared" si="383"/>
        <v>170</v>
      </c>
      <c r="CX133" s="217">
        <f t="shared" si="384"/>
        <v>11.34756598240469</v>
      </c>
      <c r="CY133" s="217">
        <f t="shared" si="385"/>
        <v>0.63042033235581607</v>
      </c>
      <c r="CZ133" s="217">
        <f t="shared" si="386"/>
        <v>0.66476660705358459</v>
      </c>
      <c r="DA133" s="197">
        <f t="shared" si="387"/>
        <v>350</v>
      </c>
      <c r="DB133" s="443">
        <f t="shared" si="388"/>
        <v>350</v>
      </c>
      <c r="DD133" s="217">
        <f t="shared" si="389"/>
        <v>25.032384211169504</v>
      </c>
      <c r="DE133" s="173">
        <f t="shared" si="390"/>
        <v>1.4664548454112187</v>
      </c>
      <c r="DF133" s="173">
        <f t="shared" si="391"/>
        <v>0.30335794952229944</v>
      </c>
      <c r="DG133" s="173"/>
      <c r="DH133" s="173">
        <f t="shared" si="392"/>
        <v>0.78109744190587771</v>
      </c>
      <c r="DI133" s="545">
        <f t="shared" si="393"/>
        <v>561.20135294117665</v>
      </c>
      <c r="DJ133" s="528">
        <f t="shared" si="394"/>
        <v>8.6065366284073561E-2</v>
      </c>
      <c r="DL133" s="173">
        <f t="shared" si="395"/>
        <v>16.848908400419131</v>
      </c>
      <c r="DM133" s="173">
        <f t="shared" si="396"/>
        <v>16.848908400419131</v>
      </c>
      <c r="DN133" s="173">
        <f t="shared" si="397"/>
        <v>3.8041296793228119</v>
      </c>
      <c r="DP133" s="545">
        <f t="shared" si="398"/>
        <v>138</v>
      </c>
      <c r="DQ133" s="460">
        <f t="shared" si="399"/>
        <v>350</v>
      </c>
      <c r="DS133" s="460">
        <f t="shared" si="400"/>
        <v>138</v>
      </c>
      <c r="DT133" s="460">
        <f t="shared" si="401"/>
        <v>350</v>
      </c>
      <c r="DV133" s="5">
        <f t="shared" si="402"/>
        <v>2.8571428571428572</v>
      </c>
      <c r="DW133" s="5">
        <f t="shared" si="403"/>
        <v>0.93605046668995173</v>
      </c>
      <c r="DX133" s="5">
        <f t="shared" si="404"/>
        <v>1.9210923904529054</v>
      </c>
      <c r="DY133" s="173">
        <f t="shared" si="405"/>
        <v>0.32761766334148312</v>
      </c>
      <c r="EA133" s="5">
        <f t="shared" si="406"/>
        <v>7.5985273178360804E-2</v>
      </c>
      <c r="EB133" s="5">
        <f t="shared" si="407"/>
        <v>0.89704836391120379</v>
      </c>
      <c r="EC133" s="5">
        <f t="shared" si="408"/>
        <v>8.0122359964489185</v>
      </c>
      <c r="ED133" s="5"/>
      <c r="EE133" s="173">
        <f t="shared" si="409"/>
        <v>5.5679431980553833</v>
      </c>
      <c r="EF133" s="173">
        <f t="shared" si="410"/>
        <v>0.37667405773486656</v>
      </c>
      <c r="EG133" s="173">
        <f t="shared" si="411"/>
        <v>0.29781501461482968</v>
      </c>
      <c r="EH133" s="173"/>
      <c r="EI133" s="528">
        <f t="shared" si="412"/>
        <v>1.2400796582708484</v>
      </c>
      <c r="EJ133" s="528">
        <f t="shared" si="413"/>
        <v>2.8436639847129888</v>
      </c>
      <c r="EK133" s="528">
        <f t="shared" si="414"/>
        <v>6.9999999999999993E-2</v>
      </c>
      <c r="EL133" s="528">
        <f t="shared" si="415"/>
        <v>2.1523335750000001E-2</v>
      </c>
      <c r="EM133">
        <f t="shared" si="416"/>
        <v>4.0499999999999998E-3</v>
      </c>
      <c r="EN133" s="460">
        <f t="shared" si="417"/>
        <v>74.05</v>
      </c>
      <c r="EP133" s="460">
        <f t="shared" si="439"/>
        <v>4179.3169787338384</v>
      </c>
      <c r="EQ133" s="173">
        <f t="shared" si="418"/>
        <v>9.6600000000000005E-2</v>
      </c>
      <c r="ER133" s="173">
        <f t="shared" si="419"/>
        <v>9.9820000000000006E-2</v>
      </c>
      <c r="ES133" s="528"/>
      <c r="EU133" s="460">
        <f t="shared" si="420"/>
        <v>196.42000000000002</v>
      </c>
      <c r="EV133" s="528">
        <f t="shared" si="421"/>
        <v>0.93005974370313615</v>
      </c>
      <c r="EW133" s="528">
        <f t="shared" si="422"/>
        <v>4.256500373113487E-3</v>
      </c>
      <c r="EX133" s="528">
        <f t="shared" si="423"/>
        <v>4.434689146501561E-4</v>
      </c>
      <c r="EY133" s="528">
        <f t="shared" si="424"/>
        <v>133.52713732766031</v>
      </c>
      <c r="EZ133" s="528"/>
      <c r="FA133" s="625">
        <f t="shared" si="425"/>
        <v>2.4840000000000009</v>
      </c>
      <c r="FB133" s="460">
        <f t="shared" si="426"/>
        <v>136945.89704065124</v>
      </c>
      <c r="FC133" s="173">
        <f t="shared" si="427"/>
        <v>141.32163401938507</v>
      </c>
      <c r="FD133" s="5">
        <f t="shared" si="428"/>
        <v>24.84</v>
      </c>
      <c r="FE133" s="173">
        <f t="shared" si="429"/>
        <v>0.14949299305218716</v>
      </c>
      <c r="FF133" s="5">
        <f t="shared" si="430"/>
        <v>14.949299305218716</v>
      </c>
      <c r="FG133">
        <f t="shared" si="431"/>
        <v>23.000000000000004</v>
      </c>
      <c r="FI133" s="562">
        <f t="shared" si="432"/>
        <v>-50</v>
      </c>
      <c r="FJ133">
        <f t="shared" si="433"/>
        <v>-50</v>
      </c>
    </row>
    <row r="134" spans="5:166">
      <c r="E134" s="170">
        <v>24</v>
      </c>
      <c r="F134" s="217">
        <f t="shared" si="434"/>
        <v>0.14399999999999999</v>
      </c>
      <c r="G134" s="217">
        <f t="shared" si="313"/>
        <v>0.12</v>
      </c>
      <c r="H134" s="217">
        <f t="shared" si="314"/>
        <v>24.479999999999997</v>
      </c>
      <c r="I134" s="217">
        <f t="shared" si="315"/>
        <v>1.44</v>
      </c>
      <c r="J134" s="541">
        <f t="shared" si="316"/>
        <v>8.2676483148932256</v>
      </c>
      <c r="K134" s="443">
        <f t="shared" si="317"/>
        <v>8.5397122473041716</v>
      </c>
      <c r="L134" s="172">
        <f t="shared" si="318"/>
        <v>16.807360562197395</v>
      </c>
      <c r="M134" s="443"/>
      <c r="N134" s="217">
        <f t="shared" si="319"/>
        <v>0.50809359480937377</v>
      </c>
      <c r="O134" s="172">
        <f t="shared" si="320"/>
        <v>132.24549185161843</v>
      </c>
      <c r="P134" s="172">
        <f t="shared" si="321"/>
        <v>7.7791465795069641</v>
      </c>
      <c r="Q134" s="217">
        <f t="shared" si="322"/>
        <v>0.77791465795069659</v>
      </c>
      <c r="R134" s="217">
        <f t="shared" si="323"/>
        <v>11.020457654301536</v>
      </c>
      <c r="S134" s="217">
        <f t="shared" si="324"/>
        <v>170</v>
      </c>
      <c r="T134" s="217">
        <f t="shared" si="325"/>
        <v>12.340685320533503</v>
      </c>
      <c r="U134" s="217">
        <f t="shared" si="326"/>
        <v>0.74632379429487616</v>
      </c>
      <c r="V134" s="217">
        <f t="shared" si="327"/>
        <v>0.72254690574786218</v>
      </c>
      <c r="W134" s="197">
        <f t="shared" si="328"/>
        <v>350</v>
      </c>
      <c r="X134" s="443">
        <f t="shared" si="435"/>
        <v>350</v>
      </c>
      <c r="Z134" s="217">
        <f t="shared" si="329"/>
        <v>24.004223731050057</v>
      </c>
      <c r="AA134" s="173">
        <f t="shared" si="330"/>
        <v>1.405446871973218</v>
      </c>
      <c r="AB134" s="173">
        <f t="shared" si="331"/>
        <v>0.27879601928312514</v>
      </c>
      <c r="AC134" s="173"/>
      <c r="AD134" s="173">
        <f t="shared" si="332"/>
        <v>0.78066642921969753</v>
      </c>
      <c r="AE134" s="545">
        <f t="shared" si="333"/>
        <v>585.92472736797549</v>
      </c>
      <c r="AF134" s="528">
        <f t="shared" si="334"/>
        <v>8.6017875071429648E-2</v>
      </c>
      <c r="AH134" s="173">
        <f t="shared" si="335"/>
        <v>17.211291974415268</v>
      </c>
      <c r="AI134" s="173">
        <f t="shared" si="336"/>
        <v>17.211291974415268</v>
      </c>
      <c r="AJ134" s="173">
        <f t="shared" si="337"/>
        <v>4.0725619563569877</v>
      </c>
      <c r="AL134" s="545">
        <f t="shared" si="338"/>
        <v>144</v>
      </c>
      <c r="AM134" s="460">
        <f t="shared" si="339"/>
        <v>350</v>
      </c>
      <c r="AO134" s="460">
        <f t="shared" si="340"/>
        <v>144</v>
      </c>
      <c r="AP134" s="460">
        <f t="shared" si="341"/>
        <v>350</v>
      </c>
      <c r="AR134" s="5">
        <f t="shared" ref="AR134:AR197" si="443">1/AM134*1000</f>
        <v>2.8571428571428572</v>
      </c>
      <c r="AS134" s="5">
        <f t="shared" si="440"/>
        <v>1.0408819605577009</v>
      </c>
      <c r="AT134" s="5">
        <f t="shared" si="441"/>
        <v>1.8162608965851563</v>
      </c>
      <c r="AU134" s="173">
        <f t="shared" si="442"/>
        <v>0.3643086861951953</v>
      </c>
      <c r="AW134" s="5">
        <f t="shared" si="342"/>
        <v>8.8168824894299364E-2</v>
      </c>
      <c r="AX134" s="5">
        <f t="shared" si="343"/>
        <v>1.0408819605577009</v>
      </c>
      <c r="AY134" s="5">
        <f t="shared" si="344"/>
        <v>8.6045395362666852</v>
      </c>
      <c r="AZ134" s="5"/>
      <c r="BA134" s="173">
        <f t="shared" si="345"/>
        <v>5.9977396206299369</v>
      </c>
      <c r="BB134" s="173">
        <f t="shared" si="346"/>
        <v>0.37412988800258845</v>
      </c>
      <c r="BC134" s="173">
        <f t="shared" si="347"/>
        <v>0.29580348254766958</v>
      </c>
      <c r="BD134" s="173"/>
      <c r="BE134" s="528">
        <f t="shared" si="348"/>
        <v>1.4389152222749655</v>
      </c>
      <c r="BF134" s="528">
        <f t="shared" si="349"/>
        <v>2.2780515708976075</v>
      </c>
      <c r="BG134" s="528">
        <f t="shared" si="350"/>
        <v>0.11574707640850515</v>
      </c>
      <c r="BH134" s="528">
        <f t="shared" si="351"/>
        <v>1.9774115834739588E-2</v>
      </c>
      <c r="BI134">
        <f t="shared" si="352"/>
        <v>3.7204417417019513E-3</v>
      </c>
      <c r="BJ134" s="460">
        <f t="shared" si="436"/>
        <v>119.4675181502071</v>
      </c>
      <c r="BK134">
        <f t="shared" si="353"/>
        <v>6.2682903399670353</v>
      </c>
      <c r="BL134" s="460">
        <f t="shared" si="437"/>
        <v>3856.2084271575195</v>
      </c>
      <c r="BM134" s="173">
        <f t="shared" si="354"/>
        <v>0.12499199999999998</v>
      </c>
      <c r="BN134" s="173">
        <f t="shared" si="355"/>
        <v>0.10415999999999999</v>
      </c>
      <c r="BO134" s="528"/>
      <c r="BQ134" s="460">
        <f t="shared" si="356"/>
        <v>229.15199999999996</v>
      </c>
      <c r="BR134" s="528">
        <f t="shared" si="357"/>
        <v>1.0791864167062242</v>
      </c>
      <c r="BS134" s="528">
        <f t="shared" si="358"/>
        <v>4.1991951929048815E-3</v>
      </c>
      <c r="BT134" s="528">
        <f t="shared" si="359"/>
        <v>4.3749850143664734E-4</v>
      </c>
      <c r="BU134" s="528">
        <f t="shared" si="360"/>
        <v>140.82306596327518</v>
      </c>
      <c r="BV134" s="528"/>
      <c r="BW134" s="625">
        <f t="shared" si="361"/>
        <v>2.5919999999999996</v>
      </c>
      <c r="BX134" s="460">
        <f t="shared" si="362"/>
        <v>144498.88907367576</v>
      </c>
      <c r="BY134" s="173">
        <f t="shared" si="363"/>
        <v>148.58424950083329</v>
      </c>
      <c r="BZ134" s="5">
        <f t="shared" si="364"/>
        <v>25.919999999999998</v>
      </c>
      <c r="CA134" s="173">
        <f t="shared" si="365"/>
        <v>0.1485350647571263</v>
      </c>
      <c r="CB134" s="5">
        <f t="shared" si="366"/>
        <v>14.85350647571263</v>
      </c>
      <c r="CC134">
        <f t="shared" si="367"/>
        <v>24</v>
      </c>
      <c r="CE134" s="562">
        <f t="shared" si="368"/>
        <v>-50</v>
      </c>
      <c r="CF134">
        <f t="shared" si="369"/>
        <v>-50</v>
      </c>
      <c r="CG134" s="173">
        <f t="shared" si="370"/>
        <v>0.34386111907020123</v>
      </c>
      <c r="CH134" s="173">
        <f t="shared" si="371"/>
        <v>8.5570285349784253E-2</v>
      </c>
      <c r="CI134" s="170">
        <v>24</v>
      </c>
      <c r="CJ134" s="217">
        <f t="shared" si="438"/>
        <v>0.14399999999999999</v>
      </c>
      <c r="CK134" s="217">
        <f t="shared" si="372"/>
        <v>0.12</v>
      </c>
      <c r="CL134" s="217">
        <f t="shared" si="373"/>
        <v>24.479999999999997</v>
      </c>
      <c r="CM134" s="217">
        <f t="shared" si="374"/>
        <v>1.44</v>
      </c>
      <c r="CN134" s="541">
        <f t="shared" si="375"/>
        <v>9</v>
      </c>
      <c r="CO134" s="443">
        <f t="shared" si="376"/>
        <v>8.5350000000000001</v>
      </c>
      <c r="CP134" s="443">
        <f t="shared" si="377"/>
        <v>17.535</v>
      </c>
      <c r="CQ134" s="443"/>
      <c r="CR134" s="217">
        <f t="shared" si="378"/>
        <v>0.48644793152639093</v>
      </c>
      <c r="CS134" s="172">
        <f t="shared" si="379"/>
        <v>137.82691393247745</v>
      </c>
      <c r="CT134" s="172">
        <f t="shared" si="380"/>
        <v>8.1074655254398493</v>
      </c>
      <c r="CU134" s="217">
        <f t="shared" si="381"/>
        <v>0.81074655254398498</v>
      </c>
      <c r="CV134" s="217">
        <f t="shared" si="382"/>
        <v>11.485576161039788</v>
      </c>
      <c r="CW134" s="217">
        <f t="shared" si="383"/>
        <v>170</v>
      </c>
      <c r="CX134" s="217">
        <f t="shared" si="384"/>
        <v>11.840938416422286</v>
      </c>
      <c r="CY134" s="217">
        <f t="shared" si="385"/>
        <v>0.65782991202346031</v>
      </c>
      <c r="CZ134" s="217">
        <f t="shared" si="386"/>
        <v>0.69366950301243613</v>
      </c>
      <c r="DA134" s="197">
        <f t="shared" si="387"/>
        <v>350</v>
      </c>
      <c r="DB134" s="443">
        <f t="shared" si="388"/>
        <v>350</v>
      </c>
      <c r="DD134" s="217">
        <f t="shared" si="389"/>
        <v>25.032384211169504</v>
      </c>
      <c r="DE134" s="173">
        <f t="shared" si="390"/>
        <v>1.4664548454112187</v>
      </c>
      <c r="DF134" s="173">
        <f t="shared" si="391"/>
        <v>0.30335794952229944</v>
      </c>
      <c r="DG134" s="173"/>
      <c r="DH134" s="173">
        <f t="shared" si="392"/>
        <v>0.78109744190587771</v>
      </c>
      <c r="DI134" s="545">
        <f t="shared" si="393"/>
        <v>585.60141176470586</v>
      </c>
      <c r="DJ134" s="528">
        <f t="shared" si="394"/>
        <v>8.6065366284073561E-2</v>
      </c>
      <c r="DL134" s="173">
        <f t="shared" si="395"/>
        <v>17.211291974415268</v>
      </c>
      <c r="DM134" s="173">
        <f t="shared" si="396"/>
        <v>17.211291974415268</v>
      </c>
      <c r="DN134" s="173">
        <f t="shared" si="397"/>
        <v>4.0725619563569877</v>
      </c>
      <c r="DP134" s="545">
        <f t="shared" si="398"/>
        <v>144</v>
      </c>
      <c r="DQ134" s="460">
        <f t="shared" si="399"/>
        <v>350</v>
      </c>
      <c r="DS134" s="460">
        <f t="shared" si="400"/>
        <v>144</v>
      </c>
      <c r="DT134" s="460">
        <f t="shared" si="401"/>
        <v>350</v>
      </c>
      <c r="DV134" s="5">
        <f t="shared" si="402"/>
        <v>2.8571428571428572</v>
      </c>
      <c r="DW134" s="5">
        <f t="shared" si="403"/>
        <v>0.95618288746751467</v>
      </c>
      <c r="DX134" s="5">
        <f t="shared" si="404"/>
        <v>1.9009599696753425</v>
      </c>
      <c r="DY134" s="173">
        <f t="shared" si="405"/>
        <v>0.3346640106136301</v>
      </c>
      <c r="EA134" s="5">
        <f t="shared" si="406"/>
        <v>8.0994315173718884E-2</v>
      </c>
      <c r="EB134" s="5">
        <f t="shared" si="407"/>
        <v>0.95618288746751456</v>
      </c>
      <c r="EC134" s="5">
        <f t="shared" si="408"/>
        <v>8.2729777880270898</v>
      </c>
      <c r="ED134" s="5"/>
      <c r="EE134" s="173">
        <f t="shared" si="409"/>
        <v>5.7485372566312289</v>
      </c>
      <c r="EF134" s="173">
        <f t="shared" si="410"/>
        <v>0.3827540311082907</v>
      </c>
      <c r="EG134" s="173">
        <f t="shared" si="411"/>
        <v>0.30262210796750916</v>
      </c>
      <c r="EH134" s="173"/>
      <c r="EI134" s="528">
        <f t="shared" si="412"/>
        <v>1.3218272236350919</v>
      </c>
      <c r="EJ134" s="528">
        <f t="shared" si="413"/>
        <v>2.9048250459244533</v>
      </c>
      <c r="EK134" s="528">
        <f t="shared" si="414"/>
        <v>6.9999999999999993E-2</v>
      </c>
      <c r="EL134" s="528">
        <f t="shared" si="415"/>
        <v>2.1523335750000001E-2</v>
      </c>
      <c r="EM134">
        <f t="shared" si="416"/>
        <v>4.0499999999999998E-3</v>
      </c>
      <c r="EN134" s="460">
        <f t="shared" si="417"/>
        <v>74.05</v>
      </c>
      <c r="EP134" s="460">
        <f t="shared" si="439"/>
        <v>4322.2256053095462</v>
      </c>
      <c r="EQ134" s="173">
        <f t="shared" si="418"/>
        <v>0.10079999999999999</v>
      </c>
      <c r="ER134" s="173">
        <f t="shared" si="419"/>
        <v>0.10415999999999999</v>
      </c>
      <c r="ES134" s="528"/>
      <c r="EU134" s="460">
        <f t="shared" si="420"/>
        <v>204.95999999999998</v>
      </c>
      <c r="EV134" s="528">
        <f t="shared" si="421"/>
        <v>0.99137041772631884</v>
      </c>
      <c r="EW134" s="528">
        <f t="shared" si="422"/>
        <v>4.3950194498893914E-3</v>
      </c>
      <c r="EX134" s="528">
        <f t="shared" si="423"/>
        <v>4.5790070115349384E-4</v>
      </c>
      <c r="EY134" s="528">
        <f t="shared" si="424"/>
        <v>140.82306596327518</v>
      </c>
      <c r="EZ134" s="528"/>
      <c r="FA134" s="625">
        <f t="shared" si="425"/>
        <v>2.5919999999999996</v>
      </c>
      <c r="FB134" s="460">
        <f t="shared" si="426"/>
        <v>144411.28930115254</v>
      </c>
      <c r="FC134" s="173">
        <f t="shared" si="427"/>
        <v>148.93847490646212</v>
      </c>
      <c r="FD134" s="5">
        <f t="shared" si="428"/>
        <v>25.919999999999998</v>
      </c>
      <c r="FE134" s="173">
        <f t="shared" si="429"/>
        <v>0.14823416488028682</v>
      </c>
      <c r="FF134" s="5">
        <f t="shared" si="430"/>
        <v>14.823416488028682</v>
      </c>
      <c r="FG134">
        <f t="shared" si="431"/>
        <v>24</v>
      </c>
      <c r="FI134" s="562">
        <f t="shared" si="432"/>
        <v>-50</v>
      </c>
      <c r="FJ134">
        <f t="shared" si="433"/>
        <v>-50</v>
      </c>
    </row>
    <row r="135" spans="5:166">
      <c r="E135" s="170">
        <v>25</v>
      </c>
      <c r="F135" s="217">
        <f t="shared" si="434"/>
        <v>0.15</v>
      </c>
      <c r="G135" s="217">
        <f t="shared" si="313"/>
        <v>0.125</v>
      </c>
      <c r="H135" s="217">
        <f t="shared" si="314"/>
        <v>25.5</v>
      </c>
      <c r="I135" s="217">
        <f t="shared" si="315"/>
        <v>1.5</v>
      </c>
      <c r="J135" s="541">
        <f t="shared" si="316"/>
        <v>8.252546691342074</v>
      </c>
      <c r="K135" s="443">
        <f t="shared" si="317"/>
        <v>8.5398094172654275</v>
      </c>
      <c r="L135" s="172">
        <f t="shared" si="318"/>
        <v>16.7923561086075</v>
      </c>
      <c r="M135" s="443"/>
      <c r="N135" s="217">
        <f t="shared" si="319"/>
        <v>0.50855337762209885</v>
      </c>
      <c r="O135" s="172">
        <f t="shared" si="320"/>
        <v>132.12338591800651</v>
      </c>
      <c r="P135" s="172">
        <f t="shared" si="321"/>
        <v>7.7719638775297941</v>
      </c>
      <c r="Q135" s="217">
        <f t="shared" si="322"/>
        <v>0.77719638775297939</v>
      </c>
      <c r="R135" s="217">
        <f t="shared" si="323"/>
        <v>11.010282159833876</v>
      </c>
      <c r="S135" s="217">
        <f t="shared" si="324"/>
        <v>170</v>
      </c>
      <c r="T135" s="217">
        <f t="shared" si="325"/>
        <v>12.866760779616948</v>
      </c>
      <c r="U135" s="217">
        <f t="shared" si="326"/>
        <v>0.77956304040762014</v>
      </c>
      <c r="V135" s="217">
        <f t="shared" si="327"/>
        <v>0.75334004255431464</v>
      </c>
      <c r="W135" s="197">
        <f t="shared" si="328"/>
        <v>350</v>
      </c>
      <c r="X135" s="443">
        <f t="shared" si="435"/>
        <v>350</v>
      </c>
      <c r="Z135" s="217">
        <f t="shared" si="329"/>
        <v>23.982059964949077</v>
      </c>
      <c r="AA135" s="173">
        <f t="shared" si="330"/>
        <v>1.4041332067940038</v>
      </c>
      <c r="AB135" s="173">
        <f t="shared" si="331"/>
        <v>0.27827825034229825</v>
      </c>
      <c r="AC135" s="173"/>
      <c r="AD135" s="173">
        <f t="shared" si="332"/>
        <v>0.78065754643051877</v>
      </c>
      <c r="AE135" s="545">
        <f t="shared" si="333"/>
        <v>610.34520246926422</v>
      </c>
      <c r="AF135" s="528">
        <f t="shared" si="334"/>
        <v>8.6016896319659017E-2</v>
      </c>
      <c r="AH135" s="173">
        <f t="shared" si="335"/>
        <v>17.566201313073599</v>
      </c>
      <c r="AI135" s="173">
        <f t="shared" si="336"/>
        <v>17.566201313073599</v>
      </c>
      <c r="AJ135" s="173">
        <f t="shared" si="337"/>
        <v>4.3354577627705666</v>
      </c>
      <c r="AL135" s="545">
        <f t="shared" si="338"/>
        <v>150</v>
      </c>
      <c r="AM135" s="460">
        <f t="shared" si="339"/>
        <v>350</v>
      </c>
      <c r="AO135" s="460">
        <f t="shared" si="340"/>
        <v>150</v>
      </c>
      <c r="AP135" s="460">
        <f t="shared" si="341"/>
        <v>350</v>
      </c>
      <c r="AR135" s="5">
        <f t="shared" si="443"/>
        <v>2.8571428571428572</v>
      </c>
      <c r="AS135" s="5">
        <f t="shared" si="440"/>
        <v>1.0642897259522737</v>
      </c>
      <c r="AT135" s="5">
        <f t="shared" si="441"/>
        <v>1.7928531311905835</v>
      </c>
      <c r="AU135" s="173">
        <f t="shared" si="442"/>
        <v>0.3725014040832958</v>
      </c>
      <c r="AW135" s="5">
        <f t="shared" si="342"/>
        <v>9.3907916995788848E-2</v>
      </c>
      <c r="AX135" s="5">
        <f t="shared" si="343"/>
        <v>1.1086351312002849</v>
      </c>
      <c r="AY135" s="5">
        <f t="shared" si="344"/>
        <v>8.8637375210875682</v>
      </c>
      <c r="AZ135" s="5"/>
      <c r="BA135" s="173">
        <f t="shared" si="345"/>
        <v>6.1898651143851149</v>
      </c>
      <c r="BB135" s="173">
        <f t="shared" si="346"/>
        <v>0.37937615272168956</v>
      </c>
      <c r="BC135" s="173">
        <f t="shared" si="347"/>
        <v>0.29995140930797781</v>
      </c>
      <c r="BD135" s="173"/>
      <c r="BE135" s="528">
        <f t="shared" si="348"/>
        <v>1.5325772053712741</v>
      </c>
      <c r="BF135" s="528">
        <f t="shared" si="349"/>
        <v>2.3229510249063869</v>
      </c>
      <c r="BG135" s="528">
        <f t="shared" si="350"/>
        <v>0.11553565367878904</v>
      </c>
      <c r="BH135" s="528">
        <f t="shared" si="351"/>
        <v>1.9738825657480138E-2</v>
      </c>
      <c r="BI135">
        <f t="shared" si="352"/>
        <v>3.713646011103933E-3</v>
      </c>
      <c r="BJ135" s="460">
        <f t="shared" si="436"/>
        <v>119.24929968989298</v>
      </c>
      <c r="BK135">
        <f t="shared" si="353"/>
        <v>6.7452980557707409</v>
      </c>
      <c r="BL135" s="460">
        <f t="shared" si="437"/>
        <v>3994.5163556250341</v>
      </c>
      <c r="BM135" s="173">
        <f t="shared" si="354"/>
        <v>0.13019999999999998</v>
      </c>
      <c r="BN135" s="173">
        <f t="shared" si="355"/>
        <v>0.1085</v>
      </c>
      <c r="BO135" s="528"/>
      <c r="BQ135" s="460">
        <f t="shared" si="356"/>
        <v>238.69999999999996</v>
      </c>
      <c r="BR135" s="528">
        <f t="shared" si="357"/>
        <v>1.1494329040284554</v>
      </c>
      <c r="BS135" s="528">
        <f t="shared" si="358"/>
        <v>4.3177879576173214E-3</v>
      </c>
      <c r="BT135" s="528">
        <f t="shared" si="359"/>
        <v>4.4985423972921019E-4</v>
      </c>
      <c r="BU135" s="528">
        <f t="shared" si="360"/>
        <v>148.19541051817541</v>
      </c>
      <c r="BV135" s="528"/>
      <c r="BW135" s="625">
        <f t="shared" si="361"/>
        <v>2.7000000000000006</v>
      </c>
      <c r="BX135" s="460">
        <f t="shared" si="362"/>
        <v>152049.61106440119</v>
      </c>
      <c r="BY135" s="173">
        <f t="shared" si="363"/>
        <v>156.28282742002622</v>
      </c>
      <c r="BZ135" s="5">
        <f t="shared" si="364"/>
        <v>27</v>
      </c>
      <c r="CA135" s="173">
        <f t="shared" si="365"/>
        <v>0.14731331014511548</v>
      </c>
      <c r="CB135" s="5">
        <f t="shared" si="366"/>
        <v>14.731331014511548</v>
      </c>
      <c r="CC135">
        <f t="shared" si="367"/>
        <v>25</v>
      </c>
      <c r="CE135" s="562">
        <f t="shared" si="368"/>
        <v>-50</v>
      </c>
      <c r="CF135">
        <f t="shared" si="369"/>
        <v>-50</v>
      </c>
      <c r="CG135" s="173">
        <f t="shared" si="370"/>
        <v>0.35095178504350122</v>
      </c>
      <c r="CH135" s="173">
        <f t="shared" si="371"/>
        <v>8.7334806771385901E-2</v>
      </c>
      <c r="CI135" s="170">
        <v>25</v>
      </c>
      <c r="CJ135" s="217">
        <f t="shared" si="438"/>
        <v>0.15</v>
      </c>
      <c r="CK135" s="217">
        <f t="shared" si="372"/>
        <v>0.125</v>
      </c>
      <c r="CL135" s="217">
        <f t="shared" si="373"/>
        <v>25.5</v>
      </c>
      <c r="CM135" s="217">
        <f t="shared" si="374"/>
        <v>1.5</v>
      </c>
      <c r="CN135" s="541">
        <f t="shared" si="375"/>
        <v>9</v>
      </c>
      <c r="CO135" s="443">
        <f t="shared" si="376"/>
        <v>8.5350000000000001</v>
      </c>
      <c r="CP135" s="443">
        <f t="shared" si="377"/>
        <v>17.535</v>
      </c>
      <c r="CQ135" s="443"/>
      <c r="CR135" s="217">
        <f t="shared" si="378"/>
        <v>0.48644793152639093</v>
      </c>
      <c r="CS135" s="172">
        <f t="shared" si="379"/>
        <v>137.82691393247745</v>
      </c>
      <c r="CT135" s="172">
        <f t="shared" si="380"/>
        <v>8.1074655254398493</v>
      </c>
      <c r="CU135" s="217">
        <f t="shared" si="381"/>
        <v>0.81074655254398498</v>
      </c>
      <c r="CV135" s="217">
        <f t="shared" si="382"/>
        <v>11.485576161039788</v>
      </c>
      <c r="CW135" s="217">
        <f t="shared" si="383"/>
        <v>170</v>
      </c>
      <c r="CX135" s="217">
        <f t="shared" si="384"/>
        <v>12.334310850439882</v>
      </c>
      <c r="CY135" s="217">
        <f t="shared" si="385"/>
        <v>0.68523949169110454</v>
      </c>
      <c r="CZ135" s="217">
        <f t="shared" si="386"/>
        <v>0.72257239897128767</v>
      </c>
      <c r="DA135" s="197">
        <f t="shared" si="387"/>
        <v>350</v>
      </c>
      <c r="DB135" s="443">
        <f t="shared" si="388"/>
        <v>350</v>
      </c>
      <c r="DD135" s="217">
        <f t="shared" si="389"/>
        <v>25.032384211169504</v>
      </c>
      <c r="DE135" s="173">
        <f t="shared" si="390"/>
        <v>1.4664548454112187</v>
      </c>
      <c r="DF135" s="173">
        <f t="shared" si="391"/>
        <v>0.30335794952229944</v>
      </c>
      <c r="DG135" s="173"/>
      <c r="DH135" s="173">
        <f t="shared" si="392"/>
        <v>0.78109744190587771</v>
      </c>
      <c r="DI135" s="545">
        <f t="shared" si="393"/>
        <v>610.00147058823529</v>
      </c>
      <c r="DJ135" s="528">
        <f t="shared" si="394"/>
        <v>8.6065366284073561E-2</v>
      </c>
      <c r="DL135" s="173">
        <f t="shared" si="395"/>
        <v>17.566201313073599</v>
      </c>
      <c r="DM135" s="173">
        <f t="shared" si="396"/>
        <v>17.566201313073599</v>
      </c>
      <c r="DN135" s="173">
        <f t="shared" si="397"/>
        <v>4.3354577627705666</v>
      </c>
      <c r="DP135" s="545">
        <f t="shared" si="398"/>
        <v>150</v>
      </c>
      <c r="DQ135" s="460">
        <f t="shared" si="399"/>
        <v>350</v>
      </c>
      <c r="DS135" s="460">
        <f t="shared" si="400"/>
        <v>150</v>
      </c>
      <c r="DT135" s="460">
        <f t="shared" si="401"/>
        <v>350</v>
      </c>
      <c r="DV135" s="5">
        <f t="shared" si="402"/>
        <v>2.8571428571428572</v>
      </c>
      <c r="DW135" s="5">
        <f t="shared" si="403"/>
        <v>0.9759000729485332</v>
      </c>
      <c r="DX135" s="5">
        <f t="shared" si="404"/>
        <v>1.881242784194324</v>
      </c>
      <c r="DY135" s="173">
        <f t="shared" si="405"/>
        <v>0.34156502553198659</v>
      </c>
      <c r="EA135" s="5">
        <f t="shared" si="406"/>
        <v>8.610882996604706E-2</v>
      </c>
      <c r="EB135" s="5">
        <f t="shared" si="407"/>
        <v>1.0165625759880554</v>
      </c>
      <c r="EC135" s="5">
        <f t="shared" si="408"/>
        <v>8.5283006216809358</v>
      </c>
      <c r="ED135" s="5"/>
      <c r="EE135" s="173">
        <f t="shared" si="409"/>
        <v>5.9272592845384446</v>
      </c>
      <c r="EF135" s="173">
        <f t="shared" si="410"/>
        <v>0.38861547855894768</v>
      </c>
      <c r="EG135" s="173">
        <f t="shared" si="411"/>
        <v>0.30725642515058993</v>
      </c>
      <c r="EH135" s="173"/>
      <c r="EI135" s="528">
        <f t="shared" si="412"/>
        <v>1.4052961050458879</v>
      </c>
      <c r="EJ135" s="528">
        <f t="shared" si="413"/>
        <v>2.9647246477381759</v>
      </c>
      <c r="EK135" s="528">
        <f t="shared" si="414"/>
        <v>6.9999999999999993E-2</v>
      </c>
      <c r="EL135" s="528">
        <f t="shared" si="415"/>
        <v>2.1523335750000001E-2</v>
      </c>
      <c r="EM135">
        <f t="shared" si="416"/>
        <v>4.0499999999999998E-3</v>
      </c>
      <c r="EN135" s="460">
        <f t="shared" si="417"/>
        <v>74.05</v>
      </c>
      <c r="EP135" s="460">
        <f t="shared" si="439"/>
        <v>4465.5940885340651</v>
      </c>
      <c r="EQ135" s="173">
        <f t="shared" si="418"/>
        <v>0.105</v>
      </c>
      <c r="ER135" s="173">
        <f t="shared" si="419"/>
        <v>0.1085</v>
      </c>
      <c r="ES135" s="528"/>
      <c r="EU135" s="460">
        <f t="shared" si="420"/>
        <v>213.5</v>
      </c>
      <c r="EV135" s="528">
        <f t="shared" si="421"/>
        <v>1.0539720787844158</v>
      </c>
      <c r="EW135" s="528">
        <f t="shared" si="422"/>
        <v>4.530659705267997E-3</v>
      </c>
      <c r="EX135" s="528">
        <f t="shared" si="423"/>
        <v>4.7203255398160039E-4</v>
      </c>
      <c r="EY135" s="528">
        <f t="shared" si="424"/>
        <v>148.19541051817541</v>
      </c>
      <c r="EZ135" s="528"/>
      <c r="FA135" s="625">
        <f t="shared" si="425"/>
        <v>2.7000000000000006</v>
      </c>
      <c r="FB135" s="460">
        <f t="shared" si="426"/>
        <v>151954.38528921906</v>
      </c>
      <c r="FC135" s="173">
        <f t="shared" si="427"/>
        <v>156.63347937775313</v>
      </c>
      <c r="FD135" s="5">
        <f t="shared" si="428"/>
        <v>27</v>
      </c>
      <c r="FE135" s="173">
        <f t="shared" si="429"/>
        <v>0.14703201230783303</v>
      </c>
      <c r="FF135" s="5">
        <f t="shared" si="430"/>
        <v>14.703201230783304</v>
      </c>
      <c r="FG135">
        <f t="shared" si="431"/>
        <v>25</v>
      </c>
      <c r="FI135" s="562">
        <f t="shared" si="432"/>
        <v>-50</v>
      </c>
      <c r="FJ135">
        <f t="shared" si="433"/>
        <v>-50</v>
      </c>
    </row>
    <row r="136" spans="5:166">
      <c r="E136" s="170">
        <v>26</v>
      </c>
      <c r="F136" s="217">
        <f t="shared" si="434"/>
        <v>0.156</v>
      </c>
      <c r="G136" s="217">
        <f t="shared" si="313"/>
        <v>0.13</v>
      </c>
      <c r="H136" s="217">
        <f t="shared" si="314"/>
        <v>26.52</v>
      </c>
      <c r="I136" s="217">
        <f t="shared" si="315"/>
        <v>1.56</v>
      </c>
      <c r="J136" s="541">
        <f t="shared" si="316"/>
        <v>8.2377441987307485</v>
      </c>
      <c r="K136" s="443">
        <f t="shared" si="317"/>
        <v>8.5399046624970829</v>
      </c>
      <c r="L136" s="172">
        <f t="shared" si="318"/>
        <v>16.777648861227831</v>
      </c>
      <c r="M136" s="443"/>
      <c r="N136" s="217">
        <f t="shared" si="319"/>
        <v>0.50900485122395811</v>
      </c>
      <c r="O136" s="172">
        <f t="shared" si="320"/>
        <v>132.00348134265087</v>
      </c>
      <c r="P136" s="172">
        <f t="shared" si="321"/>
        <v>7.7649106672147568</v>
      </c>
      <c r="Q136" s="217">
        <f t="shared" si="322"/>
        <v>0.77649106672147572</v>
      </c>
      <c r="R136" s="217">
        <f t="shared" si="323"/>
        <v>11.000290111887573</v>
      </c>
      <c r="S136" s="217">
        <f t="shared" si="324"/>
        <v>170</v>
      </c>
      <c r="T136" s="217">
        <f t="shared" si="325"/>
        <v>13.393586154070254</v>
      </c>
      <c r="U136" s="217">
        <f t="shared" si="326"/>
        <v>0.81294015879577231</v>
      </c>
      <c r="V136" s="217">
        <f t="shared" si="327"/>
        <v>0.78417656188177787</v>
      </c>
      <c r="W136" s="197">
        <f t="shared" si="328"/>
        <v>350</v>
      </c>
      <c r="X136" s="443">
        <f t="shared" si="435"/>
        <v>350</v>
      </c>
      <c r="Z136" s="217">
        <f t="shared" si="329"/>
        <v>23.960295773119825</v>
      </c>
      <c r="AA136" s="173">
        <f t="shared" si="330"/>
        <v>1.4028432822172625</v>
      </c>
      <c r="AB136" s="173">
        <f t="shared" si="331"/>
        <v>0.27777029554624427</v>
      </c>
      <c r="AC136" s="173"/>
      <c r="AD136" s="173">
        <f t="shared" si="332"/>
        <v>0.7806488397866167</v>
      </c>
      <c r="AE136" s="545">
        <f t="shared" si="333"/>
        <v>634.76609009007723</v>
      </c>
      <c r="AF136" s="528">
        <f t="shared" si="334"/>
        <v>8.6015936976488336E-2</v>
      </c>
      <c r="AH136" s="173">
        <f t="shared" si="335"/>
        <v>17.914080655012295</v>
      </c>
      <c r="AI136" s="173">
        <f t="shared" si="336"/>
        <v>17.914080655012295</v>
      </c>
      <c r="AJ136" s="173">
        <f t="shared" si="337"/>
        <v>4.5931461642066385</v>
      </c>
      <c r="AL136" s="545">
        <f t="shared" si="338"/>
        <v>156</v>
      </c>
      <c r="AM136" s="460">
        <f t="shared" si="339"/>
        <v>350</v>
      </c>
      <c r="AO136" s="460">
        <f t="shared" si="340"/>
        <v>156</v>
      </c>
      <c r="AP136" s="460">
        <f t="shared" si="341"/>
        <v>350</v>
      </c>
      <c r="AR136" s="5">
        <f t="shared" si="443"/>
        <v>2.8571428571428572</v>
      </c>
      <c r="AS136" s="5">
        <f t="shared" si="440"/>
        <v>1.0873171236472998</v>
      </c>
      <c r="AT136" s="5">
        <f t="shared" si="441"/>
        <v>1.7698257334955574</v>
      </c>
      <c r="AU136" s="173">
        <f t="shared" si="442"/>
        <v>0.3805609932765549</v>
      </c>
      <c r="AW136" s="5">
        <f t="shared" si="342"/>
        <v>9.977733605234046E-2</v>
      </c>
      <c r="AX136" s="5">
        <f t="shared" si="343"/>
        <v>1.1779268839512416</v>
      </c>
      <c r="AY136" s="5">
        <f t="shared" si="344"/>
        <v>9.1162390712804946</v>
      </c>
      <c r="AZ136" s="5"/>
      <c r="BA136" s="173">
        <f t="shared" si="345"/>
        <v>6.3803724898594201</v>
      </c>
      <c r="BB136" s="173">
        <f t="shared" si="346"/>
        <v>0.38439664933048895</v>
      </c>
      <c r="BC136" s="173">
        <f t="shared" si="347"/>
        <v>0.30392083390789465</v>
      </c>
      <c r="BD136" s="173"/>
      <c r="BE136" s="528">
        <f t="shared" si="348"/>
        <v>1.6283661243741958</v>
      </c>
      <c r="BF136" s="528">
        <f t="shared" si="349"/>
        <v>2.3668797198493956</v>
      </c>
      <c r="BG136" s="528">
        <f t="shared" si="350"/>
        <v>0.11532841878223048</v>
      </c>
      <c r="BH136" s="528">
        <f t="shared" si="351"/>
        <v>1.9704265091746168E-2</v>
      </c>
      <c r="BI136">
        <f t="shared" si="352"/>
        <v>3.7069848894288365E-3</v>
      </c>
      <c r="BJ136" s="460">
        <f t="shared" si="436"/>
        <v>119.03540367165931</v>
      </c>
      <c r="BK136">
        <f t="shared" si="353"/>
        <v>7.2657110511533638</v>
      </c>
      <c r="BL136" s="460">
        <f t="shared" si="437"/>
        <v>4133.9855129869957</v>
      </c>
      <c r="BM136" s="173">
        <f t="shared" si="354"/>
        <v>0.135408</v>
      </c>
      <c r="BN136" s="173">
        <f t="shared" si="355"/>
        <v>0.11284</v>
      </c>
      <c r="BO136" s="528"/>
      <c r="BQ136" s="460">
        <f t="shared" si="356"/>
        <v>248.24799999999999</v>
      </c>
      <c r="BR136" s="528">
        <f t="shared" si="357"/>
        <v>1.2212745932806468</v>
      </c>
      <c r="BS136" s="528">
        <f t="shared" si="358"/>
        <v>4.4328235204952066E-3</v>
      </c>
      <c r="BT136" s="528">
        <f t="shared" si="359"/>
        <v>4.6183936641635046E-4</v>
      </c>
      <c r="BU136" s="528">
        <f t="shared" si="360"/>
        <v>155.64186575257025</v>
      </c>
      <c r="BV136" s="528"/>
      <c r="BW136" s="625">
        <f t="shared" si="361"/>
        <v>2.8080000000000007</v>
      </c>
      <c r="BX136" s="460">
        <f t="shared" si="362"/>
        <v>159676.03500873782</v>
      </c>
      <c r="BY136" s="173">
        <f t="shared" si="363"/>
        <v>164.05826852172481</v>
      </c>
      <c r="BZ136" s="5">
        <f t="shared" si="364"/>
        <v>28.08</v>
      </c>
      <c r="CA136" s="173">
        <f t="shared" si="365"/>
        <v>0.14614475406717342</v>
      </c>
      <c r="CB136" s="5">
        <f t="shared" si="366"/>
        <v>14.614475406717343</v>
      </c>
      <c r="CC136">
        <f t="shared" si="367"/>
        <v>26</v>
      </c>
      <c r="CE136" s="562">
        <f t="shared" si="368"/>
        <v>-50</v>
      </c>
      <c r="CF136">
        <f t="shared" si="369"/>
        <v>-50</v>
      </c>
      <c r="CG136" s="173">
        <f t="shared" si="370"/>
        <v>0.35790200005340667</v>
      </c>
      <c r="CH136" s="173">
        <f t="shared" si="371"/>
        <v>8.9064376788630398E-2</v>
      </c>
      <c r="CI136" s="170">
        <v>26</v>
      </c>
      <c r="CJ136" s="217">
        <f t="shared" si="438"/>
        <v>0.156</v>
      </c>
      <c r="CK136" s="217">
        <f t="shared" si="372"/>
        <v>0.13</v>
      </c>
      <c r="CL136" s="217">
        <f t="shared" si="373"/>
        <v>26.52</v>
      </c>
      <c r="CM136" s="217">
        <f t="shared" si="374"/>
        <v>1.56</v>
      </c>
      <c r="CN136" s="541">
        <f t="shared" si="375"/>
        <v>9</v>
      </c>
      <c r="CO136" s="443">
        <f t="shared" si="376"/>
        <v>8.5350000000000001</v>
      </c>
      <c r="CP136" s="443">
        <f t="shared" si="377"/>
        <v>17.535</v>
      </c>
      <c r="CQ136" s="443"/>
      <c r="CR136" s="217">
        <f t="shared" si="378"/>
        <v>0.48644793152639093</v>
      </c>
      <c r="CS136" s="172">
        <f t="shared" si="379"/>
        <v>137.82691393247745</v>
      </c>
      <c r="CT136" s="172">
        <f t="shared" si="380"/>
        <v>8.1074655254398493</v>
      </c>
      <c r="CU136" s="217">
        <f t="shared" si="381"/>
        <v>0.81074655254398498</v>
      </c>
      <c r="CV136" s="217">
        <f t="shared" si="382"/>
        <v>11.485576161039788</v>
      </c>
      <c r="CW136" s="217">
        <f t="shared" si="383"/>
        <v>170</v>
      </c>
      <c r="CX136" s="217">
        <f t="shared" si="384"/>
        <v>12.827683284457477</v>
      </c>
      <c r="CY136" s="217">
        <f t="shared" si="385"/>
        <v>0.71264907135874866</v>
      </c>
      <c r="CZ136" s="217">
        <f t="shared" si="386"/>
        <v>0.7514752949301392</v>
      </c>
      <c r="DA136" s="197">
        <f t="shared" si="387"/>
        <v>350</v>
      </c>
      <c r="DB136" s="443">
        <f t="shared" si="388"/>
        <v>350</v>
      </c>
      <c r="DD136" s="217">
        <f t="shared" si="389"/>
        <v>25.032384211169504</v>
      </c>
      <c r="DE136" s="173">
        <f t="shared" si="390"/>
        <v>1.4664548454112187</v>
      </c>
      <c r="DF136" s="173">
        <f t="shared" si="391"/>
        <v>0.30335794952229944</v>
      </c>
      <c r="DG136" s="173"/>
      <c r="DH136" s="173">
        <f t="shared" si="392"/>
        <v>0.78109744190587771</v>
      </c>
      <c r="DI136" s="545">
        <f t="shared" si="393"/>
        <v>634.40152941176473</v>
      </c>
      <c r="DJ136" s="528">
        <f t="shared" si="394"/>
        <v>8.6065366284073561E-2</v>
      </c>
      <c r="DL136" s="173">
        <f t="shared" si="395"/>
        <v>17.914080655012295</v>
      </c>
      <c r="DM136" s="173">
        <f t="shared" si="396"/>
        <v>17.914080655012295</v>
      </c>
      <c r="DN136" s="173">
        <f t="shared" si="397"/>
        <v>4.5931461642066385</v>
      </c>
      <c r="DP136" s="545">
        <f t="shared" si="398"/>
        <v>156</v>
      </c>
      <c r="DQ136" s="460">
        <f t="shared" si="399"/>
        <v>350</v>
      </c>
      <c r="DS136" s="460">
        <f t="shared" si="400"/>
        <v>156</v>
      </c>
      <c r="DT136" s="460">
        <f t="shared" si="401"/>
        <v>350</v>
      </c>
      <c r="DV136" s="5">
        <f t="shared" si="402"/>
        <v>2.8571428571428572</v>
      </c>
      <c r="DW136" s="5">
        <f t="shared" si="403"/>
        <v>0.9952267030562385</v>
      </c>
      <c r="DX136" s="5">
        <f t="shared" si="404"/>
        <v>1.8619161540866187</v>
      </c>
      <c r="DY136" s="173">
        <f t="shared" si="405"/>
        <v>0.34832934606968347</v>
      </c>
      <c r="EA136" s="5">
        <f t="shared" si="406"/>
        <v>9.1326685692219522E-2</v>
      </c>
      <c r="EB136" s="5">
        <f t="shared" si="407"/>
        <v>1.0781622616442585</v>
      </c>
      <c r="EC136" s="5">
        <f t="shared" si="408"/>
        <v>8.7783140278003788</v>
      </c>
      <c r="ED136" s="5"/>
      <c r="EE136" s="173">
        <f t="shared" si="409"/>
        <v>6.1042024673519455</v>
      </c>
      <c r="EF136" s="173">
        <f t="shared" si="410"/>
        <v>0.39427060619448295</v>
      </c>
      <c r="EG136" s="173">
        <f t="shared" si="411"/>
        <v>0.31172761684760647</v>
      </c>
      <c r="EH136" s="173"/>
      <c r="EI136" s="528">
        <f t="shared" si="412"/>
        <v>1.4904515104970233</v>
      </c>
      <c r="EJ136" s="528">
        <f t="shared" si="413"/>
        <v>3.0234377662492911</v>
      </c>
      <c r="EK136" s="528">
        <f t="shared" si="414"/>
        <v>6.9999999999999993E-2</v>
      </c>
      <c r="EL136" s="528">
        <f t="shared" si="415"/>
        <v>2.1523335750000001E-2</v>
      </c>
      <c r="EM136">
        <f t="shared" si="416"/>
        <v>4.0499999999999998E-3</v>
      </c>
      <c r="EN136" s="460">
        <f t="shared" si="417"/>
        <v>74.05</v>
      </c>
      <c r="EP136" s="460">
        <f t="shared" si="439"/>
        <v>4609.4626124963161</v>
      </c>
      <c r="EQ136" s="173">
        <f t="shared" si="418"/>
        <v>0.10919999999999999</v>
      </c>
      <c r="ER136" s="173">
        <f t="shared" si="419"/>
        <v>0.11284</v>
      </c>
      <c r="ES136" s="528"/>
      <c r="EU136" s="460">
        <f t="shared" si="420"/>
        <v>222.04</v>
      </c>
      <c r="EV136" s="528">
        <f t="shared" si="421"/>
        <v>1.1178386328727674</v>
      </c>
      <c r="EW136" s="528">
        <f t="shared" si="422"/>
        <v>4.6634793272689514E-3</v>
      </c>
      <c r="EX136" s="528">
        <f t="shared" si="423"/>
        <v>4.8587053552744071E-4</v>
      </c>
      <c r="EY136" s="528">
        <f t="shared" si="424"/>
        <v>155.64186575257025</v>
      </c>
      <c r="EZ136" s="528"/>
      <c r="FA136" s="625">
        <f t="shared" si="425"/>
        <v>2.8080000000000007</v>
      </c>
      <c r="FB136" s="460">
        <f t="shared" si="426"/>
        <v>159572.85373530581</v>
      </c>
      <c r="FC136" s="173">
        <f t="shared" si="427"/>
        <v>164.40435634780212</v>
      </c>
      <c r="FD136" s="5">
        <f t="shared" si="428"/>
        <v>28.08</v>
      </c>
      <c r="FE136" s="173">
        <f t="shared" si="429"/>
        <v>0.14588198507551406</v>
      </c>
      <c r="FF136" s="5">
        <f t="shared" si="430"/>
        <v>14.588198507551406</v>
      </c>
      <c r="FG136">
        <f t="shared" si="431"/>
        <v>26</v>
      </c>
      <c r="FI136" s="562">
        <f t="shared" si="432"/>
        <v>-50</v>
      </c>
      <c r="FJ136">
        <f t="shared" si="433"/>
        <v>-50</v>
      </c>
    </row>
    <row r="137" spans="5:166">
      <c r="E137" s="170">
        <v>27</v>
      </c>
      <c r="F137" s="217">
        <f t="shared" si="434"/>
        <v>0.16200000000000001</v>
      </c>
      <c r="G137" s="217">
        <f t="shared" si="313"/>
        <v>0.13500000000000001</v>
      </c>
      <c r="H137" s="217">
        <f t="shared" si="314"/>
        <v>27.54</v>
      </c>
      <c r="I137" s="217">
        <f t="shared" si="315"/>
        <v>1.62</v>
      </c>
      <c r="J137" s="541">
        <f t="shared" si="316"/>
        <v>8.2232237358714073</v>
      </c>
      <c r="K137" s="443">
        <f t="shared" si="317"/>
        <v>8.5399980930351109</v>
      </c>
      <c r="L137" s="172">
        <f t="shared" si="318"/>
        <v>16.763221828906516</v>
      </c>
      <c r="M137" s="443"/>
      <c r="N137" s="217">
        <f t="shared" si="319"/>
        <v>0.50944849267034875</v>
      </c>
      <c r="O137" s="172">
        <f t="shared" si="320"/>
        <v>131.88565172448574</v>
      </c>
      <c r="P137" s="172">
        <f t="shared" si="321"/>
        <v>7.7579795132050435</v>
      </c>
      <c r="Q137" s="217">
        <f t="shared" si="322"/>
        <v>0.77579795132050433</v>
      </c>
      <c r="R137" s="217">
        <f t="shared" si="323"/>
        <v>10.990470977040479</v>
      </c>
      <c r="S137" s="217">
        <f t="shared" si="324"/>
        <v>170</v>
      </c>
      <c r="T137" s="217">
        <f t="shared" si="325"/>
        <v>13.921150451115606</v>
      </c>
      <c r="U137" s="217">
        <f t="shared" si="326"/>
        <v>0.84645334349767598</v>
      </c>
      <c r="V137" s="217">
        <f t="shared" si="327"/>
        <v>0.81505582902115359</v>
      </c>
      <c r="W137" s="197">
        <f t="shared" si="328"/>
        <v>350</v>
      </c>
      <c r="X137" s="443">
        <f t="shared" si="435"/>
        <v>350</v>
      </c>
      <c r="Z137" s="217">
        <f t="shared" si="329"/>
        <v>23.938908212175555</v>
      </c>
      <c r="AA137" s="173">
        <f t="shared" si="330"/>
        <v>1.4015757352275753</v>
      </c>
      <c r="AB137" s="173">
        <f t="shared" si="331"/>
        <v>0.27727159392257095</v>
      </c>
      <c r="AC137" s="173"/>
      <c r="AD137" s="173">
        <f t="shared" si="332"/>
        <v>0.78064029921783473</v>
      </c>
      <c r="AE137" s="545">
        <f t="shared" si="333"/>
        <v>659.18738221651006</v>
      </c>
      <c r="AF137" s="528">
        <f t="shared" si="334"/>
        <v>8.6014995932335511E-2</v>
      </c>
      <c r="AH137" s="173">
        <f t="shared" si="335"/>
        <v>18.255331902135957</v>
      </c>
      <c r="AI137" s="173">
        <f t="shared" si="336"/>
        <v>18.255331902135957</v>
      </c>
      <c r="AJ137" s="173">
        <f t="shared" si="337"/>
        <v>4.8459248657797209</v>
      </c>
      <c r="AL137" s="545">
        <f t="shared" si="338"/>
        <v>162</v>
      </c>
      <c r="AM137" s="460">
        <f t="shared" si="339"/>
        <v>350</v>
      </c>
      <c r="AO137" s="460">
        <f t="shared" si="340"/>
        <v>162</v>
      </c>
      <c r="AP137" s="460">
        <f t="shared" si="341"/>
        <v>350</v>
      </c>
      <c r="AR137" s="5">
        <f t="shared" si="443"/>
        <v>2.8571428571428572</v>
      </c>
      <c r="AS137" s="5">
        <f t="shared" si="440"/>
        <v>1.1099863319115599</v>
      </c>
      <c r="AT137" s="5">
        <f t="shared" si="441"/>
        <v>1.7471565252312973</v>
      </c>
      <c r="AU137" s="173">
        <f t="shared" si="442"/>
        <v>0.38849521616904598</v>
      </c>
      <c r="AW137" s="5">
        <f t="shared" si="342"/>
        <v>0.10577516809980748</v>
      </c>
      <c r="AX137" s="5">
        <f t="shared" si="343"/>
        <v>1.248734623400505</v>
      </c>
      <c r="AY137" s="5">
        <f t="shared" si="344"/>
        <v>9.362107562750591</v>
      </c>
      <c r="AZ137" s="5"/>
      <c r="BA137" s="173">
        <f t="shared" si="345"/>
        <v>6.5693430862394022</v>
      </c>
      <c r="BB137" s="173">
        <f t="shared" si="346"/>
        <v>0.38920235191678049</v>
      </c>
      <c r="BC137" s="173">
        <f t="shared" si="347"/>
        <v>0.30772043294207707</v>
      </c>
      <c r="BD137" s="173"/>
      <c r="BE137" s="528">
        <f t="shared" si="348"/>
        <v>1.7262507433888572</v>
      </c>
      <c r="BF137" s="528">
        <f t="shared" si="349"/>
        <v>2.4098931536070745</v>
      </c>
      <c r="BG137" s="528">
        <f t="shared" si="350"/>
        <v>0.1151251323021997</v>
      </c>
      <c r="BH137" s="528">
        <f t="shared" si="351"/>
        <v>1.9670392425958954E-2</v>
      </c>
      <c r="BI137">
        <f t="shared" si="352"/>
        <v>3.7004506811421332E-3</v>
      </c>
      <c r="BJ137" s="460">
        <f t="shared" si="436"/>
        <v>118.82558298334183</v>
      </c>
      <c r="BK137">
        <f t="shared" si="353"/>
        <v>7.8358196573857448</v>
      </c>
      <c r="BL137" s="460">
        <f t="shared" si="437"/>
        <v>4274.6398724052324</v>
      </c>
      <c r="BM137" s="173">
        <f t="shared" si="354"/>
        <v>0.14061599999999999</v>
      </c>
      <c r="BN137" s="173">
        <f t="shared" si="355"/>
        <v>0.11718000000000001</v>
      </c>
      <c r="BO137" s="528"/>
      <c r="BQ137" s="460">
        <f t="shared" si="356"/>
        <v>257.79600000000005</v>
      </c>
      <c r="BR137" s="528">
        <f t="shared" si="357"/>
        <v>1.2946880575416428</v>
      </c>
      <c r="BS137" s="528">
        <f t="shared" si="358"/>
        <v>4.5443541221266027E-3</v>
      </c>
      <c r="BT137" s="528">
        <f t="shared" si="359"/>
        <v>4.7345932425029677E-4</v>
      </c>
      <c r="BU137" s="528">
        <f t="shared" si="360"/>
        <v>163.1602824611733</v>
      </c>
      <c r="BV137" s="528"/>
      <c r="BW137" s="625">
        <f t="shared" si="361"/>
        <v>2.9160000000000004</v>
      </c>
      <c r="BX137" s="460">
        <f t="shared" si="362"/>
        <v>167375.9883321613</v>
      </c>
      <c r="BY137" s="173">
        <f t="shared" si="363"/>
        <v>171.90842420456656</v>
      </c>
      <c r="BZ137" s="5">
        <f t="shared" si="364"/>
        <v>29.16</v>
      </c>
      <c r="CA137" s="173">
        <f t="shared" si="365"/>
        <v>0.14502525752294493</v>
      </c>
      <c r="CB137" s="5">
        <f t="shared" si="366"/>
        <v>14.502525752294492</v>
      </c>
      <c r="CC137">
        <f t="shared" si="367"/>
        <v>27</v>
      </c>
      <c r="CE137" s="562">
        <f t="shared" si="368"/>
        <v>-50</v>
      </c>
      <c r="CF137">
        <f t="shared" si="369"/>
        <v>-50</v>
      </c>
      <c r="CG137" s="173">
        <f t="shared" si="370"/>
        <v>0.36471979362140122</v>
      </c>
      <c r="CH137" s="173">
        <f t="shared" si="371"/>
        <v>9.0760993558350489E-2</v>
      </c>
      <c r="CI137" s="170">
        <v>27</v>
      </c>
      <c r="CJ137" s="217">
        <f t="shared" si="438"/>
        <v>0.16200000000000001</v>
      </c>
      <c r="CK137" s="217">
        <f t="shared" si="372"/>
        <v>0.13500000000000001</v>
      </c>
      <c r="CL137" s="217">
        <f t="shared" si="373"/>
        <v>27.54</v>
      </c>
      <c r="CM137" s="217">
        <f t="shared" si="374"/>
        <v>1.62</v>
      </c>
      <c r="CN137" s="541">
        <f t="shared" si="375"/>
        <v>9</v>
      </c>
      <c r="CO137" s="443">
        <f t="shared" si="376"/>
        <v>8.5350000000000001</v>
      </c>
      <c r="CP137" s="443">
        <f t="shared" si="377"/>
        <v>17.535</v>
      </c>
      <c r="CQ137" s="443"/>
      <c r="CR137" s="217">
        <f t="shared" si="378"/>
        <v>0.48644793152639093</v>
      </c>
      <c r="CS137" s="172">
        <f t="shared" si="379"/>
        <v>137.82691393247745</v>
      </c>
      <c r="CT137" s="172">
        <f t="shared" si="380"/>
        <v>8.1074655254398493</v>
      </c>
      <c r="CU137" s="217">
        <f t="shared" si="381"/>
        <v>0.81074655254398498</v>
      </c>
      <c r="CV137" s="217">
        <f t="shared" si="382"/>
        <v>11.485576161039788</v>
      </c>
      <c r="CW137" s="217">
        <f t="shared" si="383"/>
        <v>170</v>
      </c>
      <c r="CX137" s="217">
        <f t="shared" si="384"/>
        <v>13.321055718475073</v>
      </c>
      <c r="CY137" s="217">
        <f t="shared" si="385"/>
        <v>0.74005865102639301</v>
      </c>
      <c r="CZ137" s="217">
        <f t="shared" si="386"/>
        <v>0.78037819088899074</v>
      </c>
      <c r="DA137" s="197">
        <f t="shared" si="387"/>
        <v>350</v>
      </c>
      <c r="DB137" s="443">
        <f t="shared" si="388"/>
        <v>350</v>
      </c>
      <c r="DD137" s="217">
        <f t="shared" si="389"/>
        <v>25.032384211169504</v>
      </c>
      <c r="DE137" s="173">
        <f t="shared" si="390"/>
        <v>1.4664548454112187</v>
      </c>
      <c r="DF137" s="173">
        <f t="shared" si="391"/>
        <v>0.30335794952229944</v>
      </c>
      <c r="DG137" s="173"/>
      <c r="DH137" s="173">
        <f t="shared" si="392"/>
        <v>0.78109744190587771</v>
      </c>
      <c r="DI137" s="545">
        <f t="shared" si="393"/>
        <v>658.80158823529416</v>
      </c>
      <c r="DJ137" s="528">
        <f t="shared" si="394"/>
        <v>8.6065366284073561E-2</v>
      </c>
      <c r="DL137" s="173">
        <f t="shared" si="395"/>
        <v>18.255331902135957</v>
      </c>
      <c r="DM137" s="173">
        <f t="shared" si="396"/>
        <v>18.255331902135957</v>
      </c>
      <c r="DN137" s="173">
        <f t="shared" si="397"/>
        <v>4.8459248657797209</v>
      </c>
      <c r="DP137" s="545">
        <f t="shared" si="398"/>
        <v>162</v>
      </c>
      <c r="DQ137" s="460">
        <f t="shared" si="399"/>
        <v>350</v>
      </c>
      <c r="DS137" s="460">
        <f t="shared" si="400"/>
        <v>162</v>
      </c>
      <c r="DT137" s="460">
        <f t="shared" si="401"/>
        <v>350</v>
      </c>
      <c r="DV137" s="5">
        <f t="shared" si="402"/>
        <v>2.8571428571428572</v>
      </c>
      <c r="DW137" s="5">
        <f t="shared" si="403"/>
        <v>1.0141851056742199</v>
      </c>
      <c r="DX137" s="5">
        <f t="shared" si="404"/>
        <v>1.8429577514686373</v>
      </c>
      <c r="DY137" s="173">
        <f t="shared" si="405"/>
        <v>0.35496478698597694</v>
      </c>
      <c r="EA137" s="5">
        <f t="shared" si="406"/>
        <v>9.6645874776013913E-2</v>
      </c>
      <c r="EB137" s="5">
        <f t="shared" si="407"/>
        <v>1.1409582438834975</v>
      </c>
      <c r="EC137" s="5">
        <f t="shared" si="408"/>
        <v>9.0231211511904483</v>
      </c>
      <c r="ED137" s="5"/>
      <c r="EE137" s="173">
        <f t="shared" si="409"/>
        <v>6.2794519592567681</v>
      </c>
      <c r="EF137" s="173">
        <f t="shared" si="410"/>
        <v>0.3997304554976151</v>
      </c>
      <c r="EG137" s="173">
        <f t="shared" si="411"/>
        <v>0.31604441293859609</v>
      </c>
      <c r="EH137" s="173"/>
      <c r="EI137" s="528">
        <f t="shared" si="412"/>
        <v>1.5772606763445467</v>
      </c>
      <c r="EJ137" s="528">
        <f t="shared" si="413"/>
        <v>3.081032232200557</v>
      </c>
      <c r="EK137" s="528">
        <f t="shared" si="414"/>
        <v>6.9999999999999993E-2</v>
      </c>
      <c r="EL137" s="528">
        <f t="shared" si="415"/>
        <v>2.1523335750000001E-2</v>
      </c>
      <c r="EM137">
        <f t="shared" si="416"/>
        <v>4.0499999999999998E-3</v>
      </c>
      <c r="EN137" s="460">
        <f t="shared" si="417"/>
        <v>74.05</v>
      </c>
      <c r="EP137" s="460">
        <f t="shared" si="439"/>
        <v>4753.8662442951045</v>
      </c>
      <c r="EQ137" s="173">
        <f t="shared" si="418"/>
        <v>0.1134</v>
      </c>
      <c r="ER137" s="173">
        <f t="shared" si="419"/>
        <v>0.11718000000000001</v>
      </c>
      <c r="ES137" s="528"/>
      <c r="EU137" s="460">
        <f t="shared" si="420"/>
        <v>230.58</v>
      </c>
      <c r="EV137" s="528">
        <f t="shared" si="421"/>
        <v>1.1829455072584099</v>
      </c>
      <c r="EW137" s="528">
        <f t="shared" si="422"/>
        <v>4.7935331115699252E-3</v>
      </c>
      <c r="EX137" s="528">
        <f t="shared" si="423"/>
        <v>4.994203547485092E-4</v>
      </c>
      <c r="EY137" s="528">
        <f t="shared" si="424"/>
        <v>163.1602824611733</v>
      </c>
      <c r="EZ137" s="528"/>
      <c r="FA137" s="625">
        <f t="shared" si="425"/>
        <v>2.9160000000000004</v>
      </c>
      <c r="FB137" s="460">
        <f t="shared" si="426"/>
        <v>167264.52092189802</v>
      </c>
      <c r="FC137" s="173">
        <f t="shared" si="427"/>
        <v>172.24896716619313</v>
      </c>
      <c r="FD137" s="5">
        <f t="shared" si="428"/>
        <v>29.16</v>
      </c>
      <c r="FE137" s="173">
        <f t="shared" si="429"/>
        <v>0.14478004832793046</v>
      </c>
      <c r="FF137" s="5">
        <f t="shared" si="430"/>
        <v>14.478004832793046</v>
      </c>
      <c r="FG137">
        <f t="shared" si="431"/>
        <v>27</v>
      </c>
      <c r="FI137" s="562">
        <f t="shared" si="432"/>
        <v>-50</v>
      </c>
      <c r="FJ137">
        <f t="shared" si="433"/>
        <v>-50</v>
      </c>
    </row>
    <row r="138" spans="5:166">
      <c r="E138" s="170">
        <v>28</v>
      </c>
      <c r="F138" s="217">
        <f t="shared" si="434"/>
        <v>0.16800000000000001</v>
      </c>
      <c r="G138" s="217">
        <f t="shared" si="313"/>
        <v>0.14000000000000001</v>
      </c>
      <c r="H138" s="217">
        <f t="shared" si="314"/>
        <v>28.560000000000002</v>
      </c>
      <c r="I138" s="217">
        <f t="shared" si="315"/>
        <v>1.6800000000000002</v>
      </c>
      <c r="J138" s="541">
        <f t="shared" si="316"/>
        <v>8.2089697714634902</v>
      </c>
      <c r="K138" s="443">
        <f t="shared" si="317"/>
        <v>8.5400898088141854</v>
      </c>
      <c r="L138" s="172">
        <f t="shared" si="318"/>
        <v>16.749059580277674</v>
      </c>
      <c r="M138" s="443"/>
      <c r="N138" s="217">
        <f t="shared" si="319"/>
        <v>0.50988473519255362</v>
      </c>
      <c r="O138" s="172">
        <f t="shared" si="320"/>
        <v>131.76978227434776</v>
      </c>
      <c r="P138" s="172">
        <f t="shared" si="321"/>
        <v>7.7511636631969258</v>
      </c>
      <c r="Q138" s="217">
        <f t="shared" si="322"/>
        <v>0.77511636631969272</v>
      </c>
      <c r="R138" s="217">
        <f t="shared" si="323"/>
        <v>10.980815189528981</v>
      </c>
      <c r="S138" s="217">
        <f t="shared" si="324"/>
        <v>170</v>
      </c>
      <c r="T138" s="217">
        <f t="shared" si="325"/>
        <v>14.44944331801223</v>
      </c>
      <c r="U138" s="217">
        <f t="shared" si="326"/>
        <v>0.88010089696287142</v>
      </c>
      <c r="V138" s="217">
        <f t="shared" si="327"/>
        <v>0.84597724622866555</v>
      </c>
      <c r="W138" s="197">
        <f t="shared" si="328"/>
        <v>350</v>
      </c>
      <c r="X138" s="443">
        <f t="shared" si="435"/>
        <v>350</v>
      </c>
      <c r="Z138" s="217">
        <f t="shared" si="329"/>
        <v>23.917876446436225</v>
      </c>
      <c r="AA138" s="173">
        <f t="shared" si="330"/>
        <v>1.4003293280212756</v>
      </c>
      <c r="AB138" s="173">
        <f t="shared" si="331"/>
        <v>0.27678163599862071</v>
      </c>
      <c r="AC138" s="173"/>
      <c r="AD138" s="173">
        <f t="shared" si="332"/>
        <v>0.7806319155784559</v>
      </c>
      <c r="AE138" s="545">
        <f t="shared" si="333"/>
        <v>683.60907128437316</v>
      </c>
      <c r="AF138" s="528">
        <f t="shared" si="334"/>
        <v>8.6014072179477999E-2</v>
      </c>
      <c r="AH138" s="173">
        <f t="shared" si="335"/>
        <v>18.590320061795602</v>
      </c>
      <c r="AI138" s="173">
        <f t="shared" si="336"/>
        <v>18.590320061795602</v>
      </c>
      <c r="AJ138" s="173">
        <f t="shared" si="337"/>
        <v>5.0940642433053833</v>
      </c>
      <c r="AL138" s="545">
        <f t="shared" si="338"/>
        <v>168</v>
      </c>
      <c r="AM138" s="460">
        <f t="shared" si="339"/>
        <v>350</v>
      </c>
      <c r="AO138" s="460">
        <f t="shared" si="340"/>
        <v>168</v>
      </c>
      <c r="AP138" s="460">
        <f t="shared" si="341"/>
        <v>350</v>
      </c>
      <c r="AR138" s="5">
        <f t="shared" si="443"/>
        <v>2.8571428571428572</v>
      </c>
      <c r="AS138" s="5">
        <f t="shared" si="440"/>
        <v>1.1323174880251345</v>
      </c>
      <c r="AT138" s="5">
        <f t="shared" si="441"/>
        <v>1.7248253691177227</v>
      </c>
      <c r="AU138" s="173">
        <f t="shared" si="442"/>
        <v>0.3963111208087971</v>
      </c>
      <c r="AW138" s="5">
        <f t="shared" si="342"/>
        <v>0.11189961058130742</v>
      </c>
      <c r="AX138" s="5">
        <f t="shared" si="343"/>
        <v>1.3210370693626572</v>
      </c>
      <c r="AY138" s="5">
        <f t="shared" si="344"/>
        <v>9.601402156601182</v>
      </c>
      <c r="AZ138" s="5"/>
      <c r="BA138" s="173">
        <f t="shared" si="345"/>
        <v>6.7568514203860834</v>
      </c>
      <c r="BB138" s="173">
        <f t="shared" si="346"/>
        <v>0.39380320644962608</v>
      </c>
      <c r="BC138" s="173">
        <f t="shared" si="347"/>
        <v>0.31135807012946354</v>
      </c>
      <c r="BD138" s="173"/>
      <c r="BE138" s="528">
        <f t="shared" si="348"/>
        <v>1.8262016446869374</v>
      </c>
      <c r="BF138" s="528">
        <f t="shared" si="349"/>
        <v>2.4520417293601358</v>
      </c>
      <c r="BG138" s="528">
        <f t="shared" si="350"/>
        <v>0.11492557680048886</v>
      </c>
      <c r="BH138" s="528">
        <f t="shared" si="351"/>
        <v>1.9637169777658395E-2</v>
      </c>
      <c r="BI138">
        <f t="shared" si="352"/>
        <v>3.6940363971585703E-3</v>
      </c>
      <c r="BJ138" s="460">
        <f t="shared" si="436"/>
        <v>118.61961319764742</v>
      </c>
      <c r="BK138">
        <f t="shared" si="353"/>
        <v>8.4631719246574963</v>
      </c>
      <c r="BL138" s="460">
        <f t="shared" si="437"/>
        <v>4416.5001570223785</v>
      </c>
      <c r="BM138" s="173">
        <f t="shared" si="354"/>
        <v>0.14582399999999998</v>
      </c>
      <c r="BN138" s="173">
        <f t="shared" si="355"/>
        <v>0.12152</v>
      </c>
      <c r="BO138" s="528"/>
      <c r="BQ138" s="460">
        <f t="shared" si="356"/>
        <v>267.34399999999999</v>
      </c>
      <c r="BR138" s="528">
        <f t="shared" si="357"/>
        <v>1.3696512335152029</v>
      </c>
      <c r="BS138" s="528">
        <f t="shared" si="358"/>
        <v>4.6524289623002041E-3</v>
      </c>
      <c r="BT138" s="528">
        <f t="shared" si="359"/>
        <v>4.8471923917371972E-4</v>
      </c>
      <c r="BU138" s="528">
        <f t="shared" si="360"/>
        <v>170.7486514904424</v>
      </c>
      <c r="BV138" s="528"/>
      <c r="BW138" s="625">
        <f t="shared" si="361"/>
        <v>3.0240000000000005</v>
      </c>
      <c r="BX138" s="460">
        <f t="shared" si="362"/>
        <v>175147.43987215907</v>
      </c>
      <c r="BY138" s="173">
        <f t="shared" si="363"/>
        <v>179.83128402918146</v>
      </c>
      <c r="BZ138" s="5">
        <f t="shared" si="364"/>
        <v>30.240000000000002</v>
      </c>
      <c r="CA138" s="173">
        <f t="shared" si="365"/>
        <v>0.14395113610958504</v>
      </c>
      <c r="CB138" s="5">
        <f t="shared" si="366"/>
        <v>14.395113610958504</v>
      </c>
      <c r="CC138">
        <f t="shared" si="367"/>
        <v>28.000000000000004</v>
      </c>
      <c r="CE138" s="562">
        <f t="shared" si="368"/>
        <v>-50</v>
      </c>
      <c r="CF138">
        <f t="shared" si="369"/>
        <v>-50</v>
      </c>
      <c r="CG138" s="173">
        <f t="shared" si="370"/>
        <v>0.37141245815972074</v>
      </c>
      <c r="CH138" s="173">
        <f t="shared" si="371"/>
        <v>9.2426471806786772E-2</v>
      </c>
      <c r="CI138" s="170">
        <v>28</v>
      </c>
      <c r="CJ138" s="217">
        <f t="shared" si="438"/>
        <v>0.16800000000000001</v>
      </c>
      <c r="CK138" s="217">
        <f t="shared" si="372"/>
        <v>0.14000000000000001</v>
      </c>
      <c r="CL138" s="217">
        <f t="shared" si="373"/>
        <v>28.560000000000002</v>
      </c>
      <c r="CM138" s="217">
        <f t="shared" si="374"/>
        <v>1.6800000000000002</v>
      </c>
      <c r="CN138" s="541">
        <f t="shared" si="375"/>
        <v>9</v>
      </c>
      <c r="CO138" s="443">
        <f t="shared" si="376"/>
        <v>8.5350000000000001</v>
      </c>
      <c r="CP138" s="443">
        <f t="shared" si="377"/>
        <v>17.535</v>
      </c>
      <c r="CQ138" s="443"/>
      <c r="CR138" s="217">
        <f t="shared" si="378"/>
        <v>0.48644793152639093</v>
      </c>
      <c r="CS138" s="172">
        <f t="shared" si="379"/>
        <v>137.82691393247745</v>
      </c>
      <c r="CT138" s="172">
        <f t="shared" si="380"/>
        <v>8.1074655254398493</v>
      </c>
      <c r="CU138" s="217">
        <f t="shared" si="381"/>
        <v>0.81074655254398498</v>
      </c>
      <c r="CV138" s="217">
        <f t="shared" si="382"/>
        <v>11.485576161039788</v>
      </c>
      <c r="CW138" s="217">
        <f t="shared" si="383"/>
        <v>170</v>
      </c>
      <c r="CX138" s="217">
        <f t="shared" si="384"/>
        <v>13.814428152492669</v>
      </c>
      <c r="CY138" s="217">
        <f t="shared" si="385"/>
        <v>0.76746823069403713</v>
      </c>
      <c r="CZ138" s="217">
        <f t="shared" si="386"/>
        <v>0.80928108684784217</v>
      </c>
      <c r="DA138" s="197">
        <f t="shared" si="387"/>
        <v>350</v>
      </c>
      <c r="DB138" s="443">
        <f t="shared" si="388"/>
        <v>350</v>
      </c>
      <c r="DD138" s="217">
        <f t="shared" si="389"/>
        <v>25.032384211169504</v>
      </c>
      <c r="DE138" s="173">
        <f t="shared" si="390"/>
        <v>1.4664548454112187</v>
      </c>
      <c r="DF138" s="173">
        <f t="shared" si="391"/>
        <v>0.30335794952229944</v>
      </c>
      <c r="DG138" s="173"/>
      <c r="DH138" s="173">
        <f t="shared" si="392"/>
        <v>0.78109744190587771</v>
      </c>
      <c r="DI138" s="545">
        <f t="shared" si="393"/>
        <v>683.20164705882371</v>
      </c>
      <c r="DJ138" s="528">
        <f t="shared" si="394"/>
        <v>8.6065366284073561E-2</v>
      </c>
      <c r="DL138" s="173">
        <f t="shared" si="395"/>
        <v>18.590320061795602</v>
      </c>
      <c r="DM138" s="173">
        <f t="shared" si="396"/>
        <v>18.590320061795602</v>
      </c>
      <c r="DN138" s="173">
        <f t="shared" si="397"/>
        <v>5.0940642433053833</v>
      </c>
      <c r="DP138" s="545">
        <f t="shared" si="398"/>
        <v>168</v>
      </c>
      <c r="DQ138" s="460">
        <f t="shared" si="399"/>
        <v>350</v>
      </c>
      <c r="DS138" s="460">
        <f t="shared" si="400"/>
        <v>168</v>
      </c>
      <c r="DT138" s="460">
        <f t="shared" si="401"/>
        <v>350</v>
      </c>
      <c r="DV138" s="5">
        <f t="shared" si="402"/>
        <v>2.8571428571428572</v>
      </c>
      <c r="DW138" s="5">
        <f t="shared" si="403"/>
        <v>1.0327955589886446</v>
      </c>
      <c r="DX138" s="5">
        <f t="shared" si="404"/>
        <v>1.8243472981542126</v>
      </c>
      <c r="DY138" s="173">
        <f t="shared" si="405"/>
        <v>0.3614784456460256</v>
      </c>
      <c r="EA138" s="5">
        <f t="shared" si="406"/>
        <v>0.10206450230005429</v>
      </c>
      <c r="EB138" s="5">
        <f t="shared" si="407"/>
        <v>1.2049281521534188</v>
      </c>
      <c r="EC138" s="5">
        <f t="shared" si="408"/>
        <v>9.2628193484949897</v>
      </c>
      <c r="ED138" s="5"/>
      <c r="EE138" s="173">
        <f t="shared" si="409"/>
        <v>6.4530858461996417</v>
      </c>
      <c r="EF138" s="173">
        <f t="shared" si="410"/>
        <v>0.40500505259761732</v>
      </c>
      <c r="EG138" s="173">
        <f t="shared" si="411"/>
        <v>0.32021474052067289</v>
      </c>
      <c r="EH138" s="173"/>
      <c r="EI138" s="528">
        <f t="shared" si="412"/>
        <v>1.6656926775368859</v>
      </c>
      <c r="EJ138" s="528">
        <f t="shared" si="413"/>
        <v>3.1375696494795142</v>
      </c>
      <c r="EK138" s="528">
        <f t="shared" si="414"/>
        <v>6.9999999999999993E-2</v>
      </c>
      <c r="EL138" s="528">
        <f t="shared" si="415"/>
        <v>2.1523335750000001E-2</v>
      </c>
      <c r="EM138">
        <f t="shared" si="416"/>
        <v>4.0499999999999998E-3</v>
      </c>
      <c r="EN138" s="460">
        <f t="shared" si="417"/>
        <v>74.05</v>
      </c>
      <c r="EP138" s="460">
        <f t="shared" si="439"/>
        <v>4898.8356627664007</v>
      </c>
      <c r="EQ138" s="173">
        <f t="shared" si="418"/>
        <v>0.1176</v>
      </c>
      <c r="ER138" s="173">
        <f t="shared" si="419"/>
        <v>0.12152</v>
      </c>
      <c r="ES138" s="528"/>
      <c r="EU138" s="460">
        <f t="shared" si="420"/>
        <v>239.12</v>
      </c>
      <c r="EV138" s="528">
        <f t="shared" si="421"/>
        <v>1.2492695081526644</v>
      </c>
      <c r="EW138" s="528">
        <f t="shared" si="422"/>
        <v>4.9208727788879634E-3</v>
      </c>
      <c r="EX138" s="528">
        <f t="shared" si="423"/>
        <v>5.1268740023360934E-4</v>
      </c>
      <c r="EY138" s="528">
        <f t="shared" si="424"/>
        <v>170.7486514904424</v>
      </c>
      <c r="EZ138" s="528"/>
      <c r="FA138" s="625">
        <f t="shared" si="425"/>
        <v>3.0240000000000005</v>
      </c>
      <c r="FB138" s="460">
        <f t="shared" si="426"/>
        <v>175027.35455877418</v>
      </c>
      <c r="FC138" s="173">
        <f t="shared" si="427"/>
        <v>180.16531022154058</v>
      </c>
      <c r="FD138" s="5">
        <f t="shared" si="428"/>
        <v>30.240000000000002</v>
      </c>
      <c r="FE138" s="173">
        <f t="shared" si="429"/>
        <v>0.14372260837029072</v>
      </c>
      <c r="FF138" s="5">
        <f t="shared" si="430"/>
        <v>14.372260837029071</v>
      </c>
      <c r="FG138">
        <f t="shared" si="431"/>
        <v>28.000000000000004</v>
      </c>
      <c r="FI138" s="562">
        <f t="shared" si="432"/>
        <v>-50</v>
      </c>
      <c r="FJ138">
        <f t="shared" si="433"/>
        <v>-50</v>
      </c>
    </row>
    <row r="139" spans="5:166">
      <c r="E139" s="170">
        <v>29</v>
      </c>
      <c r="F139" s="217">
        <f t="shared" si="434"/>
        <v>0.17399999999999999</v>
      </c>
      <c r="G139" s="217">
        <f t="shared" si="313"/>
        <v>0.14499999999999999</v>
      </c>
      <c r="H139" s="217">
        <f t="shared" si="314"/>
        <v>29.58</v>
      </c>
      <c r="I139" s="217">
        <f t="shared" si="315"/>
        <v>1.7399999999999998</v>
      </c>
      <c r="J139" s="541">
        <f t="shared" si="316"/>
        <v>8.1949681494478188</v>
      </c>
      <c r="K139" s="443">
        <f t="shared" si="317"/>
        <v>8.5401799009201209</v>
      </c>
      <c r="L139" s="172">
        <f t="shared" si="318"/>
        <v>16.73514805036794</v>
      </c>
      <c r="M139" s="443"/>
      <c r="N139" s="217">
        <f t="shared" si="319"/>
        <v>0.51031397363301823</v>
      </c>
      <c r="O139" s="172">
        <f t="shared" si="320"/>
        <v>131.65576837480103</v>
      </c>
      <c r="P139" s="172">
        <f t="shared" si="321"/>
        <v>7.7444569632235902</v>
      </c>
      <c r="Q139" s="217">
        <f t="shared" si="322"/>
        <v>0.77444569632235893</v>
      </c>
      <c r="R139" s="217">
        <f t="shared" si="323"/>
        <v>10.971314031233419</v>
      </c>
      <c r="S139" s="217">
        <f t="shared" si="324"/>
        <v>170</v>
      </c>
      <c r="T139" s="217">
        <f t="shared" si="325"/>
        <v>14.978454984107188</v>
      </c>
      <c r="U139" s="217">
        <f t="shared" si="326"/>
        <v>0.91388122021660589</v>
      </c>
      <c r="V139" s="217">
        <f t="shared" si="327"/>
        <v>0.87694024937890391</v>
      </c>
      <c r="W139" s="197">
        <f t="shared" si="328"/>
        <v>350</v>
      </c>
      <c r="X139" s="443">
        <f t="shared" si="435"/>
        <v>350</v>
      </c>
      <c r="Z139" s="217">
        <f t="shared" si="329"/>
        <v>23.897181486518509</v>
      </c>
      <c r="AA139" s="173">
        <f t="shared" si="330"/>
        <v>1.3991029324770909</v>
      </c>
      <c r="AB139" s="173">
        <f t="shared" si="331"/>
        <v>0.27629995741606322</v>
      </c>
      <c r="AC139" s="173"/>
      <c r="AD139" s="173">
        <f t="shared" si="332"/>
        <v>0.78062368053258435</v>
      </c>
      <c r="AE139" s="545">
        <f t="shared" si="333"/>
        <v>708.03115013863624</v>
      </c>
      <c r="AF139" s="528">
        <f t="shared" si="334"/>
        <v>8.6013164799423655E-2</v>
      </c>
      <c r="AH139" s="173">
        <f t="shared" si="335"/>
        <v>18.919377821240769</v>
      </c>
      <c r="AI139" s="173">
        <f t="shared" si="336"/>
        <v>18.919377821240769</v>
      </c>
      <c r="AJ139" s="173">
        <f t="shared" si="337"/>
        <v>5.3378107317832857</v>
      </c>
      <c r="AL139" s="545">
        <f t="shared" si="338"/>
        <v>174</v>
      </c>
      <c r="AM139" s="460">
        <f t="shared" si="339"/>
        <v>350</v>
      </c>
      <c r="AO139" s="460">
        <f t="shared" si="340"/>
        <v>174</v>
      </c>
      <c r="AP139" s="460">
        <f t="shared" si="341"/>
        <v>350</v>
      </c>
      <c r="AR139" s="5">
        <f t="shared" si="443"/>
        <v>2.8571428571428572</v>
      </c>
      <c r="AS139" s="5">
        <f t="shared" si="440"/>
        <v>1.1543289416271596</v>
      </c>
      <c r="AT139" s="5">
        <f t="shared" si="441"/>
        <v>1.7028139155156976</v>
      </c>
      <c r="AU139" s="173">
        <f t="shared" si="442"/>
        <v>0.40401512956950586</v>
      </c>
      <c r="AW139" s="5">
        <f t="shared" si="342"/>
        <v>0.11814896226066221</v>
      </c>
      <c r="AX139" s="5">
        <f t="shared" si="343"/>
        <v>1.3948141377994843</v>
      </c>
      <c r="AY139" s="5">
        <f t="shared" si="344"/>
        <v>9.8341781839575759</v>
      </c>
      <c r="AZ139" s="5"/>
      <c r="BA139" s="173">
        <f t="shared" si="345"/>
        <v>6.9429659802097676</v>
      </c>
      <c r="BB139" s="173">
        <f t="shared" si="346"/>
        <v>0.39820825687540073</v>
      </c>
      <c r="BC139" s="173">
        <f t="shared" si="347"/>
        <v>0.31484089601033299</v>
      </c>
      <c r="BD139" s="173"/>
      <c r="BE139" s="528">
        <f t="shared" si="348"/>
        <v>1.9281910640940072</v>
      </c>
      <c r="BF139" s="528">
        <f t="shared" si="349"/>
        <v>2.4933713872670813</v>
      </c>
      <c r="BG139" s="528">
        <f t="shared" si="350"/>
        <v>0.11472955409226947</v>
      </c>
      <c r="BH139" s="528">
        <f t="shared" si="351"/>
        <v>1.960456261874137E-2</v>
      </c>
      <c r="BI139">
        <f t="shared" si="352"/>
        <v>3.6877356672515185E-3</v>
      </c>
      <c r="BJ139" s="460">
        <f t="shared" si="436"/>
        <v>118.41728975952098</v>
      </c>
      <c r="BK139">
        <f t="shared" si="353"/>
        <v>9.1569078540805826</v>
      </c>
      <c r="BL139" s="460">
        <f t="shared" si="437"/>
        <v>4559.5843037393515</v>
      </c>
      <c r="BM139" s="173">
        <f t="shared" si="354"/>
        <v>0.15103199999999997</v>
      </c>
      <c r="BN139" s="173">
        <f t="shared" si="355"/>
        <v>0.12586</v>
      </c>
      <c r="BO139" s="528"/>
      <c r="BQ139" s="460">
        <f t="shared" si="356"/>
        <v>276.892</v>
      </c>
      <c r="BR139" s="528">
        <f t="shared" si="357"/>
        <v>1.4461432980705053</v>
      </c>
      <c r="BS139" s="528">
        <f t="shared" si="358"/>
        <v>4.7570944753123536E-3</v>
      </c>
      <c r="BT139" s="528">
        <f t="shared" si="359"/>
        <v>4.9562394900294659E-4</v>
      </c>
      <c r="BU139" s="528">
        <f t="shared" si="360"/>
        <v>178.40508990862335</v>
      </c>
      <c r="BV139" s="528"/>
      <c r="BW139" s="625">
        <f t="shared" si="361"/>
        <v>3.1319999999999992</v>
      </c>
      <c r="BX139" s="460">
        <f t="shared" si="362"/>
        <v>182988.48592511818</v>
      </c>
      <c r="BY139" s="173">
        <f t="shared" si="363"/>
        <v>187.82496222885754</v>
      </c>
      <c r="BZ139" s="5">
        <f t="shared" si="364"/>
        <v>31.319999999999997</v>
      </c>
      <c r="CA139" s="173">
        <f t="shared" si="365"/>
        <v>0.14291909648049259</v>
      </c>
      <c r="CB139" s="5">
        <f t="shared" si="366"/>
        <v>14.291909648049259</v>
      </c>
      <c r="CC139">
        <f t="shared" si="367"/>
        <v>28.999999999999996</v>
      </c>
      <c r="CE139" s="562">
        <f t="shared" si="368"/>
        <v>-50</v>
      </c>
      <c r="CF139">
        <f t="shared" si="369"/>
        <v>-50</v>
      </c>
      <c r="CG139" s="173">
        <f t="shared" si="370"/>
        <v>0.37798664036345925</v>
      </c>
      <c r="CH139" s="173">
        <f t="shared" si="371"/>
        <v>9.4062465572631898E-2</v>
      </c>
      <c r="CI139" s="170">
        <v>29</v>
      </c>
      <c r="CJ139" s="217">
        <f t="shared" si="438"/>
        <v>0.17399999999999999</v>
      </c>
      <c r="CK139" s="217">
        <f t="shared" si="372"/>
        <v>0.14499999999999999</v>
      </c>
      <c r="CL139" s="217">
        <f t="shared" si="373"/>
        <v>29.58</v>
      </c>
      <c r="CM139" s="217">
        <f t="shared" si="374"/>
        <v>1.7399999999999998</v>
      </c>
      <c r="CN139" s="541">
        <f t="shared" si="375"/>
        <v>9</v>
      </c>
      <c r="CO139" s="443">
        <f t="shared" si="376"/>
        <v>8.5350000000000001</v>
      </c>
      <c r="CP139" s="443">
        <f t="shared" si="377"/>
        <v>17.535</v>
      </c>
      <c r="CQ139" s="443"/>
      <c r="CR139" s="217">
        <f t="shared" si="378"/>
        <v>0.48644793152639093</v>
      </c>
      <c r="CS139" s="172">
        <f t="shared" si="379"/>
        <v>137.82691393247745</v>
      </c>
      <c r="CT139" s="172">
        <f t="shared" si="380"/>
        <v>8.1074655254398493</v>
      </c>
      <c r="CU139" s="217">
        <f t="shared" si="381"/>
        <v>0.81074655254398498</v>
      </c>
      <c r="CV139" s="217">
        <f t="shared" si="382"/>
        <v>11.485576161039788</v>
      </c>
      <c r="CW139" s="217">
        <f t="shared" si="383"/>
        <v>170</v>
      </c>
      <c r="CX139" s="217">
        <f t="shared" si="384"/>
        <v>14.307800586510261</v>
      </c>
      <c r="CY139" s="217">
        <f t="shared" si="385"/>
        <v>0.79487781036168115</v>
      </c>
      <c r="CZ139" s="217">
        <f t="shared" si="386"/>
        <v>0.83818398280669359</v>
      </c>
      <c r="DA139" s="197">
        <f t="shared" si="387"/>
        <v>350</v>
      </c>
      <c r="DB139" s="443">
        <f t="shared" si="388"/>
        <v>350</v>
      </c>
      <c r="DD139" s="217">
        <f t="shared" si="389"/>
        <v>25.032384211169504</v>
      </c>
      <c r="DE139" s="173">
        <f t="shared" si="390"/>
        <v>1.4664548454112187</v>
      </c>
      <c r="DF139" s="173">
        <f t="shared" si="391"/>
        <v>0.30335794952229944</v>
      </c>
      <c r="DG139" s="173"/>
      <c r="DH139" s="173">
        <f t="shared" si="392"/>
        <v>0.78109744190587771</v>
      </c>
      <c r="DI139" s="545">
        <f t="shared" si="393"/>
        <v>707.60170588235292</v>
      </c>
      <c r="DJ139" s="528">
        <f t="shared" si="394"/>
        <v>8.6065366284073561E-2</v>
      </c>
      <c r="DL139" s="173">
        <f t="shared" si="395"/>
        <v>18.919377821240769</v>
      </c>
      <c r="DM139" s="173">
        <f t="shared" si="396"/>
        <v>18.919377821240769</v>
      </c>
      <c r="DN139" s="173">
        <f t="shared" si="397"/>
        <v>5.3378107317832857</v>
      </c>
      <c r="DP139" s="545">
        <f t="shared" si="398"/>
        <v>174</v>
      </c>
      <c r="DQ139" s="460">
        <f t="shared" si="399"/>
        <v>350</v>
      </c>
      <c r="DS139" s="460">
        <f t="shared" si="400"/>
        <v>174</v>
      </c>
      <c r="DT139" s="460">
        <f t="shared" si="401"/>
        <v>350</v>
      </c>
      <c r="DV139" s="5">
        <f t="shared" si="402"/>
        <v>2.8571428571428572</v>
      </c>
      <c r="DW139" s="5">
        <f t="shared" si="403"/>
        <v>1.051076545624487</v>
      </c>
      <c r="DX139" s="5">
        <f t="shared" si="404"/>
        <v>1.8060663115183702</v>
      </c>
      <c r="DY139" s="173">
        <f t="shared" si="405"/>
        <v>0.36787679096857046</v>
      </c>
      <c r="EA139" s="5">
        <f t="shared" si="406"/>
        <v>0.10758077584627102</v>
      </c>
      <c r="EB139" s="5">
        <f t="shared" si="407"/>
        <v>1.2700508259629217</v>
      </c>
      <c r="EC139" s="5">
        <f t="shared" si="408"/>
        <v>9.4975007101712698</v>
      </c>
      <c r="ED139" s="5"/>
      <c r="EE139" s="173">
        <f t="shared" si="409"/>
        <v>6.6251759633445637</v>
      </c>
      <c r="EF139" s="173">
        <f t="shared" si="410"/>
        <v>0.41010353376834352</v>
      </c>
      <c r="EG139" s="173">
        <f t="shared" si="411"/>
        <v>0.32424582313226602</v>
      </c>
      <c r="EH139" s="173"/>
      <c r="EI139" s="528">
        <f t="shared" si="412"/>
        <v>1.7557182618111427</v>
      </c>
      <c r="EJ139" s="528">
        <f t="shared" si="413"/>
        <v>3.1931061671687724</v>
      </c>
      <c r="EK139" s="528">
        <f t="shared" si="414"/>
        <v>6.9999999999999993E-2</v>
      </c>
      <c r="EL139" s="528">
        <f t="shared" si="415"/>
        <v>2.1523335750000001E-2</v>
      </c>
      <c r="EM139">
        <f t="shared" si="416"/>
        <v>4.0499999999999998E-3</v>
      </c>
      <c r="EN139" s="460">
        <f t="shared" si="417"/>
        <v>74.05</v>
      </c>
      <c r="EP139" s="460">
        <f t="shared" si="439"/>
        <v>5044.3977647299162</v>
      </c>
      <c r="EQ139" s="173">
        <f t="shared" si="418"/>
        <v>0.12179999999999998</v>
      </c>
      <c r="ER139" s="173">
        <f t="shared" si="419"/>
        <v>0.12586</v>
      </c>
      <c r="ES139" s="528"/>
      <c r="EU139" s="460">
        <f t="shared" si="420"/>
        <v>247.66</v>
      </c>
      <c r="EV139" s="528">
        <f t="shared" si="421"/>
        <v>1.3167886963583568</v>
      </c>
      <c r="EW139" s="528">
        <f t="shared" si="422"/>
        <v>5.0455472522784863E-3</v>
      </c>
      <c r="EX139" s="528">
        <f t="shared" si="423"/>
        <v>5.2567676909360378E-4</v>
      </c>
      <c r="EY139" s="528">
        <f t="shared" si="424"/>
        <v>178.40508990862335</v>
      </c>
      <c r="EZ139" s="528"/>
      <c r="FA139" s="625">
        <f t="shared" si="425"/>
        <v>3.1319999999999992</v>
      </c>
      <c r="FB139" s="460">
        <f t="shared" si="426"/>
        <v>182859.4498290031</v>
      </c>
      <c r="FC139" s="173">
        <f t="shared" si="427"/>
        <v>188.15150759373302</v>
      </c>
      <c r="FD139" s="5">
        <f t="shared" si="428"/>
        <v>31.319999999999997</v>
      </c>
      <c r="FE139" s="173">
        <f t="shared" si="429"/>
        <v>0.14270645125369494</v>
      </c>
      <c r="FF139" s="5">
        <f t="shared" si="430"/>
        <v>14.270645125369494</v>
      </c>
      <c r="FG139">
        <f t="shared" si="431"/>
        <v>28.999999999999996</v>
      </c>
      <c r="FI139" s="562">
        <f t="shared" si="432"/>
        <v>-50</v>
      </c>
      <c r="FJ139">
        <f t="shared" si="433"/>
        <v>-50</v>
      </c>
    </row>
    <row r="140" spans="5:166">
      <c r="E140" s="170">
        <v>30</v>
      </c>
      <c r="F140" s="217">
        <f t="shared" si="434"/>
        <v>0.18</v>
      </c>
      <c r="G140" s="217">
        <f t="shared" si="313"/>
        <v>0.15</v>
      </c>
      <c r="H140" s="217">
        <f t="shared" si="314"/>
        <v>30.599999999999998</v>
      </c>
      <c r="I140" s="217">
        <f t="shared" si="315"/>
        <v>1.7999999999999998</v>
      </c>
      <c r="J140" s="541">
        <f t="shared" si="316"/>
        <v>8.1812059243323656</v>
      </c>
      <c r="K140" s="443">
        <f t="shared" si="317"/>
        <v>8.5402684526494586</v>
      </c>
      <c r="L140" s="172">
        <f t="shared" si="318"/>
        <v>16.721474376981824</v>
      </c>
      <c r="M140" s="443"/>
      <c r="N140" s="217">
        <f t="shared" si="319"/>
        <v>0.51073656904355769</v>
      </c>
      <c r="O140" s="172">
        <f t="shared" si="320"/>
        <v>131.54351436175889</v>
      </c>
      <c r="P140" s="172">
        <f t="shared" si="321"/>
        <v>7.7378537859858163</v>
      </c>
      <c r="Q140" s="217">
        <f t="shared" si="322"/>
        <v>0.77378537859858176</v>
      </c>
      <c r="R140" s="217">
        <f t="shared" si="323"/>
        <v>10.961959530146574</v>
      </c>
      <c r="S140" s="217">
        <f t="shared" si="324"/>
        <v>170</v>
      </c>
      <c r="T140" s="217">
        <f t="shared" si="325"/>
        <v>15.50817620996334</v>
      </c>
      <c r="U140" s="217">
        <f t="shared" si="326"/>
        <v>0.9477928042270185</v>
      </c>
      <c r="V140" s="217">
        <f t="shared" si="327"/>
        <v>0.90794430502663048</v>
      </c>
      <c r="W140" s="197">
        <f t="shared" si="328"/>
        <v>350</v>
      </c>
      <c r="X140" s="443">
        <f t="shared" si="435"/>
        <v>350</v>
      </c>
      <c r="Z140" s="217">
        <f t="shared" si="329"/>
        <v>23.876805968184808</v>
      </c>
      <c r="AA140" s="173">
        <f t="shared" si="330"/>
        <v>1.3978955170184069</v>
      </c>
      <c r="AB140" s="173">
        <f t="shared" si="331"/>
        <v>0.27582613352872382</v>
      </c>
      <c r="AC140" s="173"/>
      <c r="AD140" s="173">
        <f t="shared" si="332"/>
        <v>0.78061558645717488</v>
      </c>
      <c r="AE140" s="545">
        <f t="shared" si="333"/>
        <v>732.45361199781803</v>
      </c>
      <c r="AF140" s="528">
        <f t="shared" si="334"/>
        <v>8.6012272952225771E-2</v>
      </c>
      <c r="AH140" s="173">
        <f t="shared" si="335"/>
        <v>19.242809417694556</v>
      </c>
      <c r="AI140" s="173">
        <f t="shared" si="336"/>
        <v>19.242809417694556</v>
      </c>
      <c r="AJ140" s="173">
        <f t="shared" si="337"/>
        <v>5.5773896921194233</v>
      </c>
      <c r="AL140" s="545">
        <f t="shared" si="338"/>
        <v>180</v>
      </c>
      <c r="AM140" s="460">
        <f t="shared" si="339"/>
        <v>350</v>
      </c>
      <c r="AO140" s="460">
        <f t="shared" si="340"/>
        <v>180</v>
      </c>
      <c r="AP140" s="460">
        <f t="shared" si="341"/>
        <v>350</v>
      </c>
      <c r="AR140" s="5">
        <f t="shared" si="443"/>
        <v>2.8571428571428572</v>
      </c>
      <c r="AS140" s="5">
        <f t="shared" si="440"/>
        <v>1.1760374690278244</v>
      </c>
      <c r="AT140" s="5">
        <f t="shared" si="441"/>
        <v>1.6811053881150329</v>
      </c>
      <c r="AU140" s="173">
        <f t="shared" si="442"/>
        <v>0.4116131141597385</v>
      </c>
      <c r="AW140" s="5">
        <f t="shared" si="342"/>
        <v>0.12452161436765199</v>
      </c>
      <c r="AX140" s="5">
        <f t="shared" si="343"/>
        <v>1.4700468362847803</v>
      </c>
      <c r="AY140" s="5">
        <f t="shared" si="344"/>
        <v>10.060487483552583</v>
      </c>
      <c r="AZ140" s="5"/>
      <c r="BA140" s="173">
        <f t="shared" si="345"/>
        <v>7.1277499017573573</v>
      </c>
      <c r="BB140" s="173">
        <f t="shared" si="346"/>
        <v>0.40242575181236617</v>
      </c>
      <c r="BC140" s="173">
        <f t="shared" si="347"/>
        <v>0.31817543230370959</v>
      </c>
      <c r="BD140" s="173"/>
      <c r="BE140" s="528">
        <f t="shared" si="348"/>
        <v>2.0321927464800806</v>
      </c>
      <c r="BF140" s="528">
        <f t="shared" si="349"/>
        <v>2.5339241388756015</v>
      </c>
      <c r="BG140" s="528">
        <f t="shared" si="350"/>
        <v>0.11453688294065312</v>
      </c>
      <c r="BH140" s="528">
        <f t="shared" si="351"/>
        <v>1.9572539373804182E-2</v>
      </c>
      <c r="BI140">
        <f t="shared" si="352"/>
        <v>3.6815426659495645E-3</v>
      </c>
      <c r="BJ140" s="460">
        <f t="shared" si="436"/>
        <v>118.21842560660269</v>
      </c>
      <c r="BK140">
        <f t="shared" si="353"/>
        <v>9.9282055572985239</v>
      </c>
      <c r="BL140" s="460">
        <f t="shared" si="437"/>
        <v>4703.9078503360897</v>
      </c>
      <c r="BM140" s="173">
        <f t="shared" si="354"/>
        <v>0.15623999999999999</v>
      </c>
      <c r="BN140" s="173">
        <f t="shared" si="355"/>
        <v>0.13019999999999998</v>
      </c>
      <c r="BO140" s="528"/>
      <c r="BQ140" s="460">
        <f t="shared" si="356"/>
        <v>286.44</v>
      </c>
      <c r="BR140" s="528">
        <f t="shared" si="357"/>
        <v>1.5241445598600605</v>
      </c>
      <c r="BS140" s="528">
        <f t="shared" si="358"/>
        <v>4.8583945716524435E-3</v>
      </c>
      <c r="BT140" s="528">
        <f t="shared" si="359"/>
        <v>5.0617802860826238E-4</v>
      </c>
      <c r="BU140" s="528">
        <f t="shared" si="360"/>
        <v>186.12782897395272</v>
      </c>
      <c r="BV140" s="528"/>
      <c r="BW140" s="625">
        <f t="shared" si="361"/>
        <v>3.24</v>
      </c>
      <c r="BX140" s="460">
        <f t="shared" si="362"/>
        <v>190897.33810641305</v>
      </c>
      <c r="BY140" s="173">
        <f t="shared" si="363"/>
        <v>195.88768595674912</v>
      </c>
      <c r="BZ140" s="5">
        <f t="shared" si="364"/>
        <v>32.4</v>
      </c>
      <c r="CA140" s="173">
        <f t="shared" si="365"/>
        <v>0.14192618346544733</v>
      </c>
      <c r="CB140" s="5">
        <f t="shared" si="366"/>
        <v>14.192618346544734</v>
      </c>
      <c r="CC140">
        <f t="shared" si="367"/>
        <v>30</v>
      </c>
      <c r="CE140" s="562">
        <f t="shared" si="368"/>
        <v>-50</v>
      </c>
      <c r="CF140">
        <f t="shared" si="369"/>
        <v>-50</v>
      </c>
      <c r="CG140" s="173">
        <f t="shared" si="370"/>
        <v>0.38444841853005962</v>
      </c>
      <c r="CH140" s="173">
        <f t="shared" si="371"/>
        <v>9.5670487448085956E-2</v>
      </c>
      <c r="CI140" s="170">
        <v>30</v>
      </c>
      <c r="CJ140" s="217">
        <f t="shared" si="438"/>
        <v>0.18</v>
      </c>
      <c r="CK140" s="217">
        <f t="shared" si="372"/>
        <v>0.15</v>
      </c>
      <c r="CL140" s="217">
        <f t="shared" si="373"/>
        <v>30.599999999999998</v>
      </c>
      <c r="CM140" s="217">
        <f t="shared" si="374"/>
        <v>1.7999999999999998</v>
      </c>
      <c r="CN140" s="541">
        <f t="shared" si="375"/>
        <v>9</v>
      </c>
      <c r="CO140" s="443">
        <f t="shared" si="376"/>
        <v>8.5350000000000001</v>
      </c>
      <c r="CP140" s="443">
        <f t="shared" si="377"/>
        <v>17.535</v>
      </c>
      <c r="CQ140" s="443"/>
      <c r="CR140" s="217">
        <f t="shared" si="378"/>
        <v>0.48644793152639093</v>
      </c>
      <c r="CS140" s="172">
        <f t="shared" si="379"/>
        <v>137.82691393247745</v>
      </c>
      <c r="CT140" s="172">
        <f t="shared" si="380"/>
        <v>8.1074655254398493</v>
      </c>
      <c r="CU140" s="217">
        <f t="shared" si="381"/>
        <v>0.81074655254398498</v>
      </c>
      <c r="CV140" s="217">
        <f t="shared" si="382"/>
        <v>11.485576161039788</v>
      </c>
      <c r="CW140" s="217">
        <f t="shared" si="383"/>
        <v>170</v>
      </c>
      <c r="CX140" s="217">
        <f t="shared" si="384"/>
        <v>14.801173020527857</v>
      </c>
      <c r="CY140" s="217">
        <f t="shared" si="385"/>
        <v>0.82228739002932538</v>
      </c>
      <c r="CZ140" s="217">
        <f t="shared" si="386"/>
        <v>0.86708687876554513</v>
      </c>
      <c r="DA140" s="197">
        <f t="shared" si="387"/>
        <v>350</v>
      </c>
      <c r="DB140" s="443">
        <f t="shared" si="388"/>
        <v>350</v>
      </c>
      <c r="DD140" s="217">
        <f t="shared" si="389"/>
        <v>25.032384211169504</v>
      </c>
      <c r="DE140" s="173">
        <f t="shared" si="390"/>
        <v>1.4664548454112187</v>
      </c>
      <c r="DF140" s="173">
        <f t="shared" si="391"/>
        <v>0.30335794952229944</v>
      </c>
      <c r="DG140" s="173"/>
      <c r="DH140" s="173">
        <f t="shared" si="392"/>
        <v>0.78109744190587771</v>
      </c>
      <c r="DI140" s="545">
        <f t="shared" si="393"/>
        <v>732.00176470588247</v>
      </c>
      <c r="DJ140" s="528">
        <f t="shared" si="394"/>
        <v>8.6065366284073561E-2</v>
      </c>
      <c r="DL140" s="173">
        <f t="shared" si="395"/>
        <v>19.242809417694556</v>
      </c>
      <c r="DM140" s="173">
        <f t="shared" si="396"/>
        <v>19.242809417694556</v>
      </c>
      <c r="DN140" s="173">
        <f t="shared" si="397"/>
        <v>5.5773896921194233</v>
      </c>
      <c r="DP140" s="545">
        <f t="shared" si="398"/>
        <v>180</v>
      </c>
      <c r="DQ140" s="460">
        <f t="shared" si="399"/>
        <v>350</v>
      </c>
      <c r="DS140" s="460">
        <f t="shared" si="400"/>
        <v>180</v>
      </c>
      <c r="DT140" s="460">
        <f t="shared" si="401"/>
        <v>350</v>
      </c>
      <c r="DV140" s="5">
        <f t="shared" si="402"/>
        <v>2.8571428571428572</v>
      </c>
      <c r="DW140" s="5">
        <f t="shared" si="403"/>
        <v>1.0690449676496976</v>
      </c>
      <c r="DX140" s="5">
        <f t="shared" si="404"/>
        <v>1.7880978894931596</v>
      </c>
      <c r="DY140" s="173">
        <f t="shared" si="405"/>
        <v>0.37416573867739417</v>
      </c>
      <c r="EA140" s="5">
        <f t="shared" si="406"/>
        <v>0.11319299657467385</v>
      </c>
      <c r="EB140" s="5">
        <f t="shared" si="407"/>
        <v>1.3363062095621221</v>
      </c>
      <c r="EC140" s="5">
        <f t="shared" si="408"/>
        <v>9.7272525188427874</v>
      </c>
      <c r="ED140" s="5"/>
      <c r="EE140" s="173">
        <f t="shared" si="409"/>
        <v>6.795788593126403</v>
      </c>
      <c r="EF140" s="173">
        <f t="shared" si="410"/>
        <v>0.41503425162409713</v>
      </c>
      <c r="EG140" s="173">
        <f t="shared" si="411"/>
        <v>0.32814426471622682</v>
      </c>
      <c r="EH140" s="173"/>
      <c r="EI140" s="528">
        <f t="shared" si="412"/>
        <v>1.8473097040986775</v>
      </c>
      <c r="EJ140" s="528">
        <f t="shared" si="413"/>
        <v>3.2476931327155132</v>
      </c>
      <c r="EK140" s="528">
        <f t="shared" si="414"/>
        <v>6.9999999999999993E-2</v>
      </c>
      <c r="EL140" s="528">
        <f t="shared" si="415"/>
        <v>2.1523335750000001E-2</v>
      </c>
      <c r="EM140">
        <f t="shared" si="416"/>
        <v>4.0499999999999998E-3</v>
      </c>
      <c r="EN140" s="460">
        <f t="shared" si="417"/>
        <v>74.05</v>
      </c>
      <c r="EP140" s="460">
        <f t="shared" si="439"/>
        <v>5190.5761725641914</v>
      </c>
      <c r="EQ140" s="173">
        <f t="shared" si="418"/>
        <v>0.126</v>
      </c>
      <c r="ER140" s="173">
        <f t="shared" si="419"/>
        <v>0.13019999999999998</v>
      </c>
      <c r="ES140" s="528"/>
      <c r="EU140" s="460">
        <f t="shared" si="420"/>
        <v>256.2</v>
      </c>
      <c r="EV140" s="528">
        <f t="shared" si="421"/>
        <v>1.3854822780740081</v>
      </c>
      <c r="EW140" s="528">
        <f t="shared" si="422"/>
        <v>5.1676029006352316E-3</v>
      </c>
      <c r="EX140" s="528">
        <f t="shared" si="423"/>
        <v>5.3839329233076568E-4</v>
      </c>
      <c r="EY140" s="528">
        <f t="shared" si="424"/>
        <v>186.12782897395272</v>
      </c>
      <c r="EZ140" s="528"/>
      <c r="FA140" s="625">
        <f t="shared" si="425"/>
        <v>3.24</v>
      </c>
      <c r="FB140" s="460">
        <f t="shared" si="426"/>
        <v>190759.01724821969</v>
      </c>
      <c r="FC140" s="173">
        <f t="shared" si="427"/>
        <v>196.20579342078389</v>
      </c>
      <c r="FD140" s="5">
        <f t="shared" si="428"/>
        <v>32.4</v>
      </c>
      <c r="FE140" s="173">
        <f t="shared" si="429"/>
        <v>0.14172869162752516</v>
      </c>
      <c r="FF140" s="5">
        <f t="shared" si="430"/>
        <v>14.172869162752516</v>
      </c>
      <c r="FG140">
        <f t="shared" si="431"/>
        <v>30</v>
      </c>
      <c r="FI140" s="562">
        <f t="shared" si="432"/>
        <v>-50</v>
      </c>
      <c r="FJ140">
        <f t="shared" si="433"/>
        <v>-50</v>
      </c>
    </row>
    <row r="141" spans="5:166">
      <c r="E141" s="170">
        <v>31</v>
      </c>
      <c r="F141" s="217">
        <f t="shared" si="434"/>
        <v>0.186</v>
      </c>
      <c r="G141" s="217">
        <f t="shared" si="313"/>
        <v>0.155</v>
      </c>
      <c r="H141" s="217">
        <f t="shared" si="314"/>
        <v>31.62</v>
      </c>
      <c r="I141" s="217">
        <f t="shared" si="315"/>
        <v>1.8599999999999999</v>
      </c>
      <c r="J141" s="541">
        <f t="shared" si="316"/>
        <v>8.1676712210350022</v>
      </c>
      <c r="K141" s="443">
        <f t="shared" si="317"/>
        <v>8.5403555404112836</v>
      </c>
      <c r="L141" s="172">
        <f t="shared" si="318"/>
        <v>16.708026761446284</v>
      </c>
      <c r="M141" s="443"/>
      <c r="N141" s="217">
        <f t="shared" si="319"/>
        <v>0.51115285259885535</v>
      </c>
      <c r="O141" s="172">
        <f t="shared" si="320"/>
        <v>131.43293248753241</v>
      </c>
      <c r="P141" s="172">
        <f t="shared" si="321"/>
        <v>7.7313489698548477</v>
      </c>
      <c r="Q141" s="217">
        <f t="shared" si="322"/>
        <v>0.77313489698548477</v>
      </c>
      <c r="R141" s="217">
        <f t="shared" si="323"/>
        <v>10.952744373961034</v>
      </c>
      <c r="S141" s="217">
        <f t="shared" si="324"/>
        <v>170</v>
      </c>
      <c r="T141" s="217">
        <f t="shared" si="325"/>
        <v>16.03859824249119</v>
      </c>
      <c r="U141" s="217">
        <f t="shared" si="326"/>
        <v>0.98183422229248274</v>
      </c>
      <c r="V141" s="217">
        <f t="shared" si="327"/>
        <v>0.93898890781535338</v>
      </c>
      <c r="W141" s="197">
        <f t="shared" si="328"/>
        <v>350</v>
      </c>
      <c r="X141" s="443">
        <f t="shared" si="435"/>
        <v>350</v>
      </c>
      <c r="Z141" s="217">
        <f t="shared" si="329"/>
        <v>23.856733964123528</v>
      </c>
      <c r="AA141" s="173">
        <f t="shared" si="330"/>
        <v>1.396706135431842</v>
      </c>
      <c r="AB141" s="173">
        <f t="shared" si="331"/>
        <v>0.27535977480470336</v>
      </c>
      <c r="AC141" s="173"/>
      <c r="AD141" s="173">
        <f t="shared" si="332"/>
        <v>0.78060762635950109</v>
      </c>
      <c r="AE141" s="545">
        <f t="shared" si="333"/>
        <v>756.87645042256713</v>
      </c>
      <c r="AF141" s="528">
        <f t="shared" si="334"/>
        <v>8.601139586738947E-2</v>
      </c>
      <c r="AH141" s="173">
        <f t="shared" si="335"/>
        <v>19.560893932245826</v>
      </c>
      <c r="AI141" s="173">
        <f t="shared" si="336"/>
        <v>19.560893932245826</v>
      </c>
      <c r="AJ141" s="173">
        <f t="shared" si="337"/>
        <v>5.8130078510462901</v>
      </c>
      <c r="AL141" s="545">
        <f t="shared" si="338"/>
        <v>186</v>
      </c>
      <c r="AM141" s="460">
        <f t="shared" si="339"/>
        <v>350</v>
      </c>
      <c r="AO141" s="460">
        <f t="shared" si="340"/>
        <v>186</v>
      </c>
      <c r="AP141" s="460">
        <f t="shared" si="341"/>
        <v>350</v>
      </c>
      <c r="AR141" s="5">
        <f t="shared" si="443"/>
        <v>2.8571428571428572</v>
      </c>
      <c r="AS141" s="5">
        <f t="shared" si="440"/>
        <v>1.1974584555918915</v>
      </c>
      <c r="AT141" s="5">
        <f t="shared" si="441"/>
        <v>1.6596844015509657</v>
      </c>
      <c r="AU141" s="173">
        <f t="shared" si="442"/>
        <v>0.41911045945716202</v>
      </c>
      <c r="AW141" s="5">
        <f t="shared" si="342"/>
        <v>0.13101604278828929</v>
      </c>
      <c r="AX141" s="5">
        <f t="shared" si="343"/>
        <v>1.5467171718061932</v>
      </c>
      <c r="AY141" s="5">
        <f t="shared" si="344"/>
        <v>10.280378699257467</v>
      </c>
      <c r="AZ141" s="5"/>
      <c r="BA141" s="173">
        <f t="shared" si="345"/>
        <v>7.3112615503497107</v>
      </c>
      <c r="BB141" s="173">
        <f t="shared" si="346"/>
        <v>0.40646323536760515</v>
      </c>
      <c r="BC141" s="173">
        <f t="shared" si="347"/>
        <v>0.32136764371120985</v>
      </c>
      <c r="BD141" s="173"/>
      <c r="BE141" s="528">
        <f t="shared" si="348"/>
        <v>2.138181818304882</v>
      </c>
      <c r="BF141" s="528">
        <f t="shared" si="349"/>
        <v>2.573738521969982</v>
      </c>
      <c r="BG141" s="528">
        <f t="shared" si="350"/>
        <v>0.11434739709449004</v>
      </c>
      <c r="BH141" s="528">
        <f t="shared" si="351"/>
        <v>1.9541071078284362E-2</v>
      </c>
      <c r="BI141">
        <f t="shared" si="352"/>
        <v>3.675452049465751E-3</v>
      </c>
      <c r="BJ141" s="460">
        <f t="shared" si="436"/>
        <v>118.0228491439558</v>
      </c>
      <c r="BK141">
        <f t="shared" si="353"/>
        <v>10.79088579462687</v>
      </c>
      <c r="BL141" s="460">
        <f t="shared" si="437"/>
        <v>4849.4842604971036</v>
      </c>
      <c r="BM141" s="173">
        <f t="shared" si="354"/>
        <v>0.16144799999999998</v>
      </c>
      <c r="BN141" s="173">
        <f t="shared" si="355"/>
        <v>0.13453999999999999</v>
      </c>
      <c r="BO141" s="528"/>
      <c r="BQ141" s="460">
        <f t="shared" si="356"/>
        <v>295.988</v>
      </c>
      <c r="BR141" s="528">
        <f t="shared" si="357"/>
        <v>1.6036363637286615</v>
      </c>
      <c r="BS141" s="528">
        <f t="shared" si="358"/>
        <v>4.956370851165035E-3</v>
      </c>
      <c r="BT141" s="528">
        <f t="shared" si="359"/>
        <v>5.1638581212247556E-4</v>
      </c>
      <c r="BU141" s="528">
        <f t="shared" si="360"/>
        <v>193.91520361474042</v>
      </c>
      <c r="BV141" s="528"/>
      <c r="BW141" s="625">
        <f t="shared" si="361"/>
        <v>3.3480000000000016</v>
      </c>
      <c r="BX141" s="460">
        <f t="shared" si="362"/>
        <v>198872.31273513238</v>
      </c>
      <c r="BY141" s="173">
        <f t="shared" si="363"/>
        <v>204.01778499562948</v>
      </c>
      <c r="BZ141" s="5">
        <f t="shared" si="364"/>
        <v>33.480000000000004</v>
      </c>
      <c r="CA141" s="173">
        <f t="shared" si="365"/>
        <v>0.14096973578349842</v>
      </c>
      <c r="CB141" s="5">
        <f t="shared" si="366"/>
        <v>14.096973578349841</v>
      </c>
      <c r="CC141">
        <f t="shared" si="367"/>
        <v>31</v>
      </c>
      <c r="CE141" s="562">
        <f t="shared" si="368"/>
        <v>-50</v>
      </c>
      <c r="CF141">
        <f t="shared" si="369"/>
        <v>-50</v>
      </c>
      <c r="CG141" s="173">
        <f t="shared" si="370"/>
        <v>0.39080336836735768</v>
      </c>
      <c r="CH141" s="173">
        <f t="shared" si="371"/>
        <v>9.7251924955273697E-2</v>
      </c>
      <c r="CI141" s="170">
        <v>31</v>
      </c>
      <c r="CJ141" s="217">
        <f t="shared" si="438"/>
        <v>0.186</v>
      </c>
      <c r="CK141" s="217">
        <f t="shared" si="372"/>
        <v>0.155</v>
      </c>
      <c r="CL141" s="217">
        <f t="shared" si="373"/>
        <v>31.62</v>
      </c>
      <c r="CM141" s="217">
        <f t="shared" si="374"/>
        <v>1.8599999999999999</v>
      </c>
      <c r="CN141" s="541">
        <f t="shared" si="375"/>
        <v>9</v>
      </c>
      <c r="CO141" s="443">
        <f t="shared" si="376"/>
        <v>8.5350000000000001</v>
      </c>
      <c r="CP141" s="443">
        <f t="shared" si="377"/>
        <v>17.535</v>
      </c>
      <c r="CQ141" s="443"/>
      <c r="CR141" s="217">
        <f t="shared" si="378"/>
        <v>0.48644793152639093</v>
      </c>
      <c r="CS141" s="172">
        <f t="shared" si="379"/>
        <v>137.82691393247745</v>
      </c>
      <c r="CT141" s="172">
        <f t="shared" si="380"/>
        <v>8.1074655254398493</v>
      </c>
      <c r="CU141" s="217">
        <f t="shared" si="381"/>
        <v>0.81074655254398498</v>
      </c>
      <c r="CV141" s="217">
        <f t="shared" si="382"/>
        <v>11.485576161039788</v>
      </c>
      <c r="CW141" s="217">
        <f t="shared" si="383"/>
        <v>170</v>
      </c>
      <c r="CX141" s="217">
        <f t="shared" si="384"/>
        <v>15.294545454545455</v>
      </c>
      <c r="CY141" s="217">
        <f t="shared" si="385"/>
        <v>0.84969696969696962</v>
      </c>
      <c r="CZ141" s="217">
        <f t="shared" si="386"/>
        <v>0.89598977472439667</v>
      </c>
      <c r="DA141" s="197">
        <f t="shared" si="387"/>
        <v>350</v>
      </c>
      <c r="DB141" s="443">
        <f t="shared" si="388"/>
        <v>350</v>
      </c>
      <c r="DD141" s="217">
        <f t="shared" si="389"/>
        <v>25.032384211169504</v>
      </c>
      <c r="DE141" s="173">
        <f t="shared" si="390"/>
        <v>1.4664548454112187</v>
      </c>
      <c r="DF141" s="173">
        <f t="shared" si="391"/>
        <v>0.30335794952229944</v>
      </c>
      <c r="DG141" s="173"/>
      <c r="DH141" s="173">
        <f t="shared" si="392"/>
        <v>0.78109744190587771</v>
      </c>
      <c r="DI141" s="545">
        <f t="shared" si="393"/>
        <v>756.40182352941179</v>
      </c>
      <c r="DJ141" s="528">
        <f t="shared" si="394"/>
        <v>8.6065366284073561E-2</v>
      </c>
      <c r="DL141" s="173">
        <f t="shared" si="395"/>
        <v>19.560893932245826</v>
      </c>
      <c r="DM141" s="173">
        <f t="shared" si="396"/>
        <v>19.560893932245826</v>
      </c>
      <c r="DN141" s="173">
        <f t="shared" si="397"/>
        <v>5.8130078510462901</v>
      </c>
      <c r="DP141" s="545">
        <f t="shared" si="398"/>
        <v>186</v>
      </c>
      <c r="DQ141" s="460">
        <f t="shared" si="399"/>
        <v>350</v>
      </c>
      <c r="DS141" s="460">
        <f t="shared" si="400"/>
        <v>186</v>
      </c>
      <c r="DT141" s="460">
        <f t="shared" si="401"/>
        <v>350</v>
      </c>
      <c r="DV141" s="5">
        <f t="shared" si="402"/>
        <v>2.8571428571428572</v>
      </c>
      <c r="DW141" s="5">
        <f t="shared" si="403"/>
        <v>1.0867163295692124</v>
      </c>
      <c r="DX141" s="5">
        <f t="shared" si="404"/>
        <v>1.7704265275736448</v>
      </c>
      <c r="DY141" s="173">
        <f t="shared" si="405"/>
        <v>0.38035071534922432</v>
      </c>
      <c r="EA141" s="5">
        <f t="shared" si="406"/>
        <v>0.11889955135286677</v>
      </c>
      <c r="EB141" s="5">
        <f t="shared" si="407"/>
        <v>1.4036752590268995</v>
      </c>
      <c r="EC141" s="5">
        <f t="shared" si="408"/>
        <v>9.9521576536673173</v>
      </c>
      <c r="ED141" s="5"/>
      <c r="EE141" s="173">
        <f t="shared" si="409"/>
        <v>6.9649850647341411</v>
      </c>
      <c r="EF141" s="173">
        <f t="shared" si="410"/>
        <v>0.4198048655232875</v>
      </c>
      <c r="EG141" s="173">
        <f t="shared" si="411"/>
        <v>0.33191612109692065</v>
      </c>
      <c r="EH141" s="173"/>
      <c r="EI141" s="528">
        <f t="shared" si="412"/>
        <v>1.9404406780787862</v>
      </c>
      <c r="EJ141" s="528">
        <f t="shared" si="413"/>
        <v>3.3013776478560812</v>
      </c>
      <c r="EK141" s="528">
        <f t="shared" si="414"/>
        <v>6.9999999999999993E-2</v>
      </c>
      <c r="EL141" s="528">
        <f t="shared" si="415"/>
        <v>2.1523335750000001E-2</v>
      </c>
      <c r="EM141">
        <f t="shared" si="416"/>
        <v>4.0499999999999998E-3</v>
      </c>
      <c r="EN141" s="460">
        <f t="shared" si="417"/>
        <v>74.05</v>
      </c>
      <c r="EP141" s="460">
        <f t="shared" si="439"/>
        <v>5337.3916616848683</v>
      </c>
      <c r="EQ141" s="173">
        <f t="shared" si="418"/>
        <v>0.13019999999999998</v>
      </c>
      <c r="ER141" s="173">
        <f t="shared" si="419"/>
        <v>0.13453999999999999</v>
      </c>
      <c r="ES141" s="528"/>
      <c r="EU141" s="460">
        <f t="shared" si="420"/>
        <v>264.73999999999995</v>
      </c>
      <c r="EV141" s="528">
        <f t="shared" si="421"/>
        <v>1.4553305085590895</v>
      </c>
      <c r="EW141" s="528">
        <f t="shared" si="422"/>
        <v>5.2870837535107648E-3</v>
      </c>
      <c r="EX141" s="528">
        <f t="shared" si="423"/>
        <v>5.5084155722012848E-4</v>
      </c>
      <c r="EY141" s="528">
        <f t="shared" si="424"/>
        <v>193.91520361474042</v>
      </c>
      <c r="EZ141" s="528"/>
      <c r="FA141" s="625">
        <f t="shared" si="425"/>
        <v>3.3480000000000016</v>
      </c>
      <c r="FB141" s="460">
        <f t="shared" si="426"/>
        <v>198724.37204861027</v>
      </c>
      <c r="FC141" s="173">
        <f t="shared" si="427"/>
        <v>204.32650371029513</v>
      </c>
      <c r="FD141" s="5">
        <f t="shared" si="428"/>
        <v>33.480000000000004</v>
      </c>
      <c r="FE141" s="173">
        <f t="shared" si="429"/>
        <v>0.14078672987340415</v>
      </c>
      <c r="FF141" s="5">
        <f t="shared" si="430"/>
        <v>14.078672987340415</v>
      </c>
      <c r="FG141">
        <f t="shared" si="431"/>
        <v>31</v>
      </c>
      <c r="FI141" s="562">
        <f t="shared" si="432"/>
        <v>-50</v>
      </c>
      <c r="FJ141">
        <f t="shared" si="433"/>
        <v>-50</v>
      </c>
    </row>
    <row r="142" spans="5:166">
      <c r="E142" s="170">
        <v>32</v>
      </c>
      <c r="F142" s="217">
        <f t="shared" si="434"/>
        <v>0.192</v>
      </c>
      <c r="G142" s="217">
        <f t="shared" ref="G142:G173" si="444">IF(PLOT_TYPE=1, E142/100*Iout2, min_I*EXP(Q142*rr/100))</f>
        <v>0.16</v>
      </c>
      <c r="H142" s="217">
        <f t="shared" ref="H142:H173" si="445">F142*Vout</f>
        <v>32.64</v>
      </c>
      <c r="I142" s="217">
        <f t="shared" ref="I142:I173" si="446">Vout2*G142</f>
        <v>1.92</v>
      </c>
      <c r="J142" s="541">
        <f t="shared" ref="J142:J173" si="447">VIN_min-(F142/CG142/Nps+G142/CH142/(Nps/Nsec1sec2))*(Rdcr_pri+RON/1000)</f>
        <v>8.1543531149242554</v>
      </c>
      <c r="K142" s="443">
        <f t="shared" ref="K142:K173" si="448">MAX((S142+Vfwd2+Rdcr_sec*F142/CG142)*Nps,(Vout2+Vfwd22+Rdcr_sec2*G142/CH142)*Nps/Nsec1sec2)</f>
        <v>8.5404412344991023</v>
      </c>
      <c r="L142" s="172">
        <f t="shared" ref="L142:L173" si="449">MAX((Vout+Vfwd2+F142/CG142*Rdcr_sec)*Nps+J142, (Vout2+Vfwd22+G142/CH142*Rdcr_sec2)*Nps/Nsec1sec2+J142)</f>
        <v>16.694794349423358</v>
      </c>
      <c r="M142" s="443"/>
      <c r="N142" s="217">
        <f t="shared" ref="N142:N173" si="450">MAX((Vout+Vfwd2+F142/CG142*Rdcr_sec)*Nps/((Vout+Vfwd2+F142/CG142*Rdcr_sec)*Nps+J142), (Vout2+Vfwd22+G142/CH142*Rdcr_sec2)*Nps/Nsec1sec2/((Vout2+Vfwd22+G142/CH142*Rdcr_sec2)*Nps/Nsec1sec2+J142))</f>
        <v>0.51156312894588551</v>
      </c>
      <c r="O142" s="172">
        <f t="shared" ref="O142:O173" si="451">N142*J142*Isw_max*0.5*Efficiency*Pout/(Pout+Pout2)</f>
        <v>131.32394203334218</v>
      </c>
      <c r="P142" s="172">
        <f t="shared" ref="P142:P173" si="452">N142*J142*Isw_max*0.5*Efficiency*(Pout2/Pout_total)</f>
        <v>7.7249377666671863</v>
      </c>
      <c r="Q142" s="217">
        <f t="shared" si="322"/>
        <v>0.7724937766667187</v>
      </c>
      <c r="R142" s="217">
        <f t="shared" ref="R142:R173" si="453">O142/Vout2</f>
        <v>10.943661836111849</v>
      </c>
      <c r="S142" s="217">
        <f t="shared" ref="S142:S173" si="454">MIN(Vout,O142/F142)</f>
        <v>170</v>
      </c>
      <c r="T142" s="217">
        <f t="shared" ref="T142:T173" si="455">MIN(2*(Vout*F142+Vout2*G142)/(Efficiency*J142*N142), Isw_max)</f>
        <v>16.569712775203858</v>
      </c>
      <c r="U142" s="217">
        <f t="shared" si="326"/>
        <v>1.0160041232993484</v>
      </c>
      <c r="V142" s="217">
        <f t="shared" si="327"/>
        <v>0.9700735781817994</v>
      </c>
      <c r="W142" s="197">
        <f t="shared" si="328"/>
        <v>350</v>
      </c>
      <c r="X142" s="443">
        <f t="shared" si="435"/>
        <v>350</v>
      </c>
      <c r="Z142" s="217">
        <f t="shared" si="329"/>
        <v>23.836950822858746</v>
      </c>
      <c r="AA142" s="173">
        <f t="shared" si="330"/>
        <v>1.3955339172974699</v>
      </c>
      <c r="AB142" s="173">
        <f t="shared" ref="AB142:AB173" si="456">0.5*AA142*Z142*Nps*W142/1000*(Pout/(Pout+Pout2))</f>
        <v>0.27490052289110378</v>
      </c>
      <c r="AC142" s="173"/>
      <c r="AD142" s="173">
        <f t="shared" si="332"/>
        <v>0.78059979380651601</v>
      </c>
      <c r="AE142" s="545">
        <f t="shared" ref="AE142:AE173" si="457">MAX(10, F142/(0.5*AD142/1000000*Isw_min*Nps)/1000*Pout_total/Pout)</f>
        <v>781.2996592878236</v>
      </c>
      <c r="AF142" s="528">
        <f t="shared" ref="AF142:AF173" si="458">0.5*AD142/1000000*Isw_min*Nps*W142*1000*(Pout/Pout_total)</f>
        <v>8.6010532836088338E-2</v>
      </c>
      <c r="AH142" s="173">
        <f t="shared" ref="AH142:AH173" si="459">SQRT((H142+I142)/(0.5*L*Fsw_DCM))</f>
        <v>19.873888109059802</v>
      </c>
      <c r="AI142" s="173">
        <f t="shared" ref="AI142:AI173" si="460">MAX(IF(F142&gt;AB142,T142,AH142),Isw_min)</f>
        <v>19.873888109059802</v>
      </c>
      <c r="AJ142" s="173">
        <f t="shared" ref="AJ142:AJ173" si="461">IF(F142&gt;AF142, (AI142-Isw_min)/1.08*0.8+1.2, AE142*0.2/350+1)</f>
        <v>6.0448553894270143</v>
      </c>
      <c r="AL142" s="545">
        <f t="shared" ref="AL142:AL173" si="462">F142*1000</f>
        <v>192</v>
      </c>
      <c r="AM142" s="460">
        <f t="shared" ref="AM142:AM173" si="463">IF(F142&gt;AF142, X142, AE142)</f>
        <v>350</v>
      </c>
      <c r="AO142" s="460">
        <f t="shared" si="340"/>
        <v>192</v>
      </c>
      <c r="AP142" s="460">
        <f t="shared" si="341"/>
        <v>350</v>
      </c>
      <c r="AR142" s="5">
        <f t="shared" si="443"/>
        <v>2.8571428571428572</v>
      </c>
      <c r="AS142" s="5">
        <f t="shared" si="440"/>
        <v>1.2186060518207278</v>
      </c>
      <c r="AT142" s="5">
        <f t="shared" si="441"/>
        <v>1.6385368053221294</v>
      </c>
      <c r="AU142" s="173">
        <f t="shared" si="442"/>
        <v>0.4265121181372547</v>
      </c>
      <c r="AW142" s="5">
        <f t="shared" si="342"/>
        <v>0.13763080114681162</v>
      </c>
      <c r="AX142" s="5">
        <f t="shared" si="343"/>
        <v>1.6248080690943039</v>
      </c>
      <c r="AY142" s="5">
        <f t="shared" si="344"/>
        <v>10.493897543451887</v>
      </c>
      <c r="AZ142" s="5"/>
      <c r="BA142" s="173">
        <f t="shared" si="345"/>
        <v>7.4935550220105238</v>
      </c>
      <c r="BB142" s="173">
        <f t="shared" si="346"/>
        <v>0.41032762486713054</v>
      </c>
      <c r="BC142" s="173">
        <f t="shared" si="347"/>
        <v>0.32442299937387303</v>
      </c>
      <c r="BD142" s="173"/>
      <c r="BE142" s="528">
        <f t="shared" si="348"/>
        <v>2.2461346747159658</v>
      </c>
      <c r="BF142" s="528">
        <f t="shared" ref="BF142:BF173" si="464">0.5*L142*AI142*AM142*1000*Tfall</f>
        <v>2.612849989870603</v>
      </c>
      <c r="BG142" s="528">
        <f t="shared" ref="BG142:BG173" si="465">Qg*Vdd*AM142*1000*0+Qg*J142*AM142*1000</f>
        <v>0.11416094360893958</v>
      </c>
      <c r="BH142" s="528">
        <f t="shared" si="351"/>
        <v>1.9510131085867667E-2</v>
      </c>
      <c r="BI142">
        <f t="shared" si="352"/>
        <v>3.6694589017159146E-3</v>
      </c>
      <c r="BJ142" s="460">
        <f t="shared" si="436"/>
        <v>117.83040251065549</v>
      </c>
      <c r="BK142">
        <f t="shared" ref="BK142:BK173" si="466">(BF142+BG142*0+BH142+BI142*0+BE142*(1+RdsonTC*(Ta-25)))/(1-BE142*RdsonTC*ThetaJA)</f>
        <v>11.762244729571073</v>
      </c>
      <c r="BL142" s="460">
        <f t="shared" si="437"/>
        <v>4996.3251981830917</v>
      </c>
      <c r="BM142" s="173">
        <f t="shared" ref="BM142:BM173" si="467">Vfwd2*F142*(1+Diode_TC/1000*(Ta-25))</f>
        <v>0.166656</v>
      </c>
      <c r="BN142" s="173">
        <f t="shared" ref="BN142:BN173" si="468">Vfwd2*G142*(1+Diode_TC/1000*(Ta-25))</f>
        <v>0.13887999999999998</v>
      </c>
      <c r="BO142" s="528"/>
      <c r="BQ142" s="460">
        <f t="shared" si="356"/>
        <v>305.536</v>
      </c>
      <c r="BR142" s="528">
        <f t="shared" si="357"/>
        <v>1.6846010060369743</v>
      </c>
      <c r="BS142" s="528">
        <f t="shared" si="358"/>
        <v>5.0510627918730179E-3</v>
      </c>
      <c r="BT142" s="528">
        <f t="shared" si="359"/>
        <v>5.2625141261370008E-4</v>
      </c>
      <c r="BU142" s="528">
        <f t="shared" si="360"/>
        <v>201.76564318845161</v>
      </c>
      <c r="BV142" s="528"/>
      <c r="BW142" s="625">
        <f t="shared" ref="BW142:BW173" si="469">0.5*Lleak*0.000000001*AI142^2*AM142*1000</f>
        <v>3.4560000000000004</v>
      </c>
      <c r="BX142" s="460">
        <f t="shared" si="362"/>
        <v>206911.82150869307</v>
      </c>
      <c r="BY142" s="173">
        <f t="shared" si="363"/>
        <v>212.21368270687614</v>
      </c>
      <c r="BZ142" s="5">
        <f t="shared" si="364"/>
        <v>34.56</v>
      </c>
      <c r="CA142" s="173">
        <f t="shared" si="365"/>
        <v>0.14004734873228447</v>
      </c>
      <c r="CB142" s="5">
        <f t="shared" si="366"/>
        <v>14.004734873228447</v>
      </c>
      <c r="CC142">
        <f t="shared" si="367"/>
        <v>32</v>
      </c>
      <c r="CE142" s="562">
        <f t="shared" ref="CE142:CE173" si="470">IF(ABS(F142-Ioutmax_Vinmin)&lt;Iout/200, AM142, -50)</f>
        <v>-50</v>
      </c>
      <c r="CF142">
        <f t="shared" ref="CF142:CF173" si="471">IF(ABS(F142-Ioutmax_Vinmin)&lt;Iout/200, (O142+P142)*CA142, -50)</f>
        <v>-50</v>
      </c>
      <c r="CG142" s="173">
        <f t="shared" si="370"/>
        <v>0.39705661931805325</v>
      </c>
      <c r="CH142" s="173">
        <f t="shared" ref="CH142:CH173" si="472">MIN(SQRT(2*DT142*1000*Ls2_*(CM142+CK142*Vfwd22))/(Vout2+Vfwd22), 1-DY142)</f>
        <v>9.8808054562662034E-2</v>
      </c>
      <c r="CI142" s="170">
        <v>32</v>
      </c>
      <c r="CJ142" s="217">
        <f t="shared" si="438"/>
        <v>0.192</v>
      </c>
      <c r="CK142" s="217">
        <f t="shared" si="372"/>
        <v>0.16</v>
      </c>
      <c r="CL142" s="217">
        <f t="shared" si="373"/>
        <v>32.64</v>
      </c>
      <c r="CM142" s="217">
        <f t="shared" si="374"/>
        <v>1.92</v>
      </c>
      <c r="CN142" s="541">
        <f t="shared" si="375"/>
        <v>9</v>
      </c>
      <c r="CO142" s="443">
        <f t="shared" ref="CO142:CO173" si="473">(CW142+Vfwd2)*Nps</f>
        <v>8.5350000000000001</v>
      </c>
      <c r="CP142" s="443">
        <f t="shared" ref="CP142:CP173" si="474">(Vout+Vfwd2)*Nps+CN142</f>
        <v>17.535</v>
      </c>
      <c r="CQ142" s="443"/>
      <c r="CR142" s="217">
        <f t="shared" si="378"/>
        <v>0.48644793152639093</v>
      </c>
      <c r="CS142" s="172">
        <f t="shared" si="379"/>
        <v>137.82691393247745</v>
      </c>
      <c r="CT142" s="172">
        <f t="shared" si="380"/>
        <v>8.1074655254398493</v>
      </c>
      <c r="CU142" s="217">
        <f t="shared" si="381"/>
        <v>0.81074655254398498</v>
      </c>
      <c r="CV142" s="217">
        <f t="shared" si="382"/>
        <v>11.485576161039788</v>
      </c>
      <c r="CW142" s="217">
        <f t="shared" si="383"/>
        <v>170</v>
      </c>
      <c r="CX142" s="217">
        <f t="shared" si="384"/>
        <v>15.787917888563049</v>
      </c>
      <c r="CY142" s="217">
        <f t="shared" si="385"/>
        <v>0.87710654936461374</v>
      </c>
      <c r="CZ142" s="217">
        <f t="shared" si="386"/>
        <v>0.92489267068324832</v>
      </c>
      <c r="DA142" s="197">
        <f t="shared" si="387"/>
        <v>350</v>
      </c>
      <c r="DB142" s="443">
        <f t="shared" si="388"/>
        <v>350</v>
      </c>
      <c r="DD142" s="217">
        <f t="shared" si="389"/>
        <v>25.032384211169504</v>
      </c>
      <c r="DE142" s="173">
        <f t="shared" si="390"/>
        <v>1.4664548454112187</v>
      </c>
      <c r="DF142" s="173">
        <f t="shared" si="391"/>
        <v>0.30335794952229944</v>
      </c>
      <c r="DG142" s="173"/>
      <c r="DH142" s="173">
        <f t="shared" si="392"/>
        <v>0.78109744190587771</v>
      </c>
      <c r="DI142" s="545">
        <f t="shared" si="393"/>
        <v>780.80188235294133</v>
      </c>
      <c r="DJ142" s="528">
        <f t="shared" si="394"/>
        <v>8.6065366284073561E-2</v>
      </c>
      <c r="DL142" s="173">
        <f t="shared" si="395"/>
        <v>19.873888109059802</v>
      </c>
      <c r="DM142" s="173">
        <f t="shared" si="396"/>
        <v>19.873888109059802</v>
      </c>
      <c r="DN142" s="173">
        <f t="shared" si="397"/>
        <v>6.0448553894270143</v>
      </c>
      <c r="DP142" s="545">
        <f t="shared" si="398"/>
        <v>192</v>
      </c>
      <c r="DQ142" s="460">
        <f t="shared" si="399"/>
        <v>350</v>
      </c>
      <c r="DS142" s="460">
        <f t="shared" si="400"/>
        <v>192</v>
      </c>
      <c r="DT142" s="460">
        <f t="shared" si="401"/>
        <v>350</v>
      </c>
      <c r="DV142" s="5">
        <f t="shared" si="402"/>
        <v>2.8571428571428572</v>
      </c>
      <c r="DW142" s="5">
        <f t="shared" si="403"/>
        <v>1.1041048949477668</v>
      </c>
      <c r="DX142" s="5">
        <f t="shared" si="404"/>
        <v>1.7530379621950904</v>
      </c>
      <c r="DY142" s="173">
        <f t="shared" si="405"/>
        <v>0.38643671323171835</v>
      </c>
      <c r="EA142" s="5">
        <f t="shared" si="406"/>
        <v>0.12469890578233601</v>
      </c>
      <c r="EB142" s="5">
        <f t="shared" si="407"/>
        <v>1.4721398599303557</v>
      </c>
      <c r="EC142" s="5">
        <f t="shared" si="408"/>
        <v>10.172294948630713</v>
      </c>
      <c r="ED142" s="5"/>
      <c r="EE142" s="173">
        <f t="shared" si="409"/>
        <v>7.132822271667302</v>
      </c>
      <c r="EF142" s="173">
        <f t="shared" si="410"/>
        <v>0.42442241895938476</v>
      </c>
      <c r="EG142" s="173">
        <f t="shared" si="411"/>
        <v>0.33556696116890677</v>
      </c>
      <c r="EH142" s="173"/>
      <c r="EI142" s="528">
        <f t="shared" si="412"/>
        <v>2.0350861423677236</v>
      </c>
      <c r="EJ142" s="528">
        <f t="shared" si="413"/>
        <v>3.3542030444264999</v>
      </c>
      <c r="EK142" s="528">
        <f t="shared" si="414"/>
        <v>6.9999999999999993E-2</v>
      </c>
      <c r="EL142" s="528">
        <f t="shared" si="415"/>
        <v>2.1523335750000001E-2</v>
      </c>
      <c r="EM142">
        <f t="shared" si="416"/>
        <v>4.0499999999999998E-3</v>
      </c>
      <c r="EN142" s="460">
        <f t="shared" si="417"/>
        <v>74.05</v>
      </c>
      <c r="EP142" s="460">
        <f t="shared" si="439"/>
        <v>5484.8625225442247</v>
      </c>
      <c r="EQ142" s="173">
        <f t="shared" si="418"/>
        <v>0.13439999999999999</v>
      </c>
      <c r="ER142" s="173">
        <f t="shared" ref="ER142:ER173" si="475">Vfwd22*CK142*(1+Diode_TC/1000*(Ta-25))</f>
        <v>0.13887999999999998</v>
      </c>
      <c r="ES142" s="528"/>
      <c r="EU142" s="460">
        <f t="shared" si="420"/>
        <v>273.27999999999997</v>
      </c>
      <c r="EV142" s="528">
        <f t="shared" si="421"/>
        <v>1.5263146067757927</v>
      </c>
      <c r="EW142" s="528">
        <f t="shared" si="422"/>
        <v>5.4040316914600655E-3</v>
      </c>
      <c r="EX142" s="528">
        <f t="shared" si="423"/>
        <v>5.6302592714067303E-4</v>
      </c>
      <c r="EY142" s="528">
        <f t="shared" si="424"/>
        <v>201.76564318845161</v>
      </c>
      <c r="EZ142" s="528"/>
      <c r="FA142" s="625">
        <f t="shared" si="425"/>
        <v>3.4560000000000004</v>
      </c>
      <c r="FB142" s="460">
        <f t="shared" si="426"/>
        <v>206753.92485284599</v>
      </c>
      <c r="FC142" s="173">
        <f t="shared" si="427"/>
        <v>212.51206737539022</v>
      </c>
      <c r="FD142" s="5">
        <f t="shared" si="428"/>
        <v>34.56</v>
      </c>
      <c r="FE142" s="173">
        <f t="shared" si="429"/>
        <v>0.13987821596801991</v>
      </c>
      <c r="FF142" s="5">
        <f t="shared" si="430"/>
        <v>13.987821596801991</v>
      </c>
      <c r="FG142">
        <f t="shared" si="431"/>
        <v>32</v>
      </c>
      <c r="FI142" s="562">
        <f t="shared" si="432"/>
        <v>-50</v>
      </c>
      <c r="FJ142">
        <f t="shared" si="433"/>
        <v>-50</v>
      </c>
    </row>
    <row r="143" spans="5:166">
      <c r="E143" s="170">
        <v>33</v>
      </c>
      <c r="F143" s="217">
        <f t="shared" ref="F143:F174" si="476">IF(PLOT_TYPE=1, E143/100*Iout_max, min_I*EXP(O143*rr/100))</f>
        <v>0.19800000000000001</v>
      </c>
      <c r="G143" s="217">
        <f t="shared" si="444"/>
        <v>0.16500000000000001</v>
      </c>
      <c r="H143" s="217">
        <f t="shared" si="445"/>
        <v>33.660000000000004</v>
      </c>
      <c r="I143" s="217">
        <f t="shared" si="446"/>
        <v>1.98</v>
      </c>
      <c r="J143" s="541">
        <f t="shared" si="447"/>
        <v>8.1412415286104842</v>
      </c>
      <c r="K143" s="443">
        <f t="shared" si="448"/>
        <v>8.5405255997549165</v>
      </c>
      <c r="L143" s="172">
        <f t="shared" si="449"/>
        <v>16.681767128365401</v>
      </c>
      <c r="M143" s="443"/>
      <c r="N143" s="217">
        <f t="shared" si="450"/>
        <v>0.51196767908555374</v>
      </c>
      <c r="O143" s="172">
        <f t="shared" si="451"/>
        <v>131.21646854577742</v>
      </c>
      <c r="P143" s="172">
        <f t="shared" si="452"/>
        <v>7.7186157968104361</v>
      </c>
      <c r="Q143" s="217">
        <f t="shared" si="322"/>
        <v>0.77186157968104363</v>
      </c>
      <c r="R143" s="217">
        <f t="shared" si="453"/>
        <v>10.934705712148117</v>
      </c>
      <c r="S143" s="217">
        <f t="shared" si="454"/>
        <v>170</v>
      </c>
      <c r="T143" s="217">
        <f t="shared" si="455"/>
        <v>17.101511912867377</v>
      </c>
      <c r="U143" s="217">
        <f t="shared" si="326"/>
        <v>1.0503012257263296</v>
      </c>
      <c r="V143" s="217">
        <f t="shared" si="327"/>
        <v>1.0011978603142486</v>
      </c>
      <c r="W143" s="197">
        <f t="shared" si="328"/>
        <v>350</v>
      </c>
      <c r="X143" s="443">
        <f t="shared" si="435"/>
        <v>350</v>
      </c>
      <c r="Z143" s="217">
        <f t="shared" si="329"/>
        <v>23.817443030157918</v>
      </c>
      <c r="AA143" s="173">
        <f t="shared" si="330"/>
        <v>1.3943780597555608</v>
      </c>
      <c r="AB143" s="173">
        <f t="shared" si="456"/>
        <v>0.2744480472282565</v>
      </c>
      <c r="AC143" s="173"/>
      <c r="AD143" s="173">
        <f t="shared" si="332"/>
        <v>0.78059208286407766</v>
      </c>
      <c r="AE143" s="545">
        <f t="shared" si="457"/>
        <v>805.72323275805502</v>
      </c>
      <c r="AF143" s="528">
        <f t="shared" si="458"/>
        <v>8.6009683204467807E-2</v>
      </c>
      <c r="AH143" s="173">
        <f t="shared" si="459"/>
        <v>20.182028780929972</v>
      </c>
      <c r="AI143" s="173">
        <f t="shared" si="460"/>
        <v>20.182028780929972</v>
      </c>
      <c r="AJ143" s="173">
        <f t="shared" si="461"/>
        <v>6.2731077389604728</v>
      </c>
      <c r="AL143" s="545">
        <f t="shared" si="462"/>
        <v>198</v>
      </c>
      <c r="AM143" s="460">
        <f t="shared" si="463"/>
        <v>350</v>
      </c>
      <c r="AO143" s="460">
        <f t="shared" si="340"/>
        <v>198</v>
      </c>
      <c r="AP143" s="460">
        <f t="shared" si="341"/>
        <v>350</v>
      </c>
      <c r="AR143" s="5">
        <f t="shared" si="443"/>
        <v>2.8571428571428572</v>
      </c>
      <c r="AS143" s="5">
        <f t="shared" si="440"/>
        <v>1.2394933076242096</v>
      </c>
      <c r="AT143" s="5">
        <f t="shared" si="441"/>
        <v>1.6176495495186476</v>
      </c>
      <c r="AU143" s="173">
        <f t="shared" si="442"/>
        <v>0.43382265766847333</v>
      </c>
      <c r="AW143" s="5">
        <f t="shared" si="342"/>
        <v>0.14436451465270206</v>
      </c>
      <c r="AX143" s="5">
        <f t="shared" si="343"/>
        <v>1.7043032979832884</v>
      </c>
      <c r="AY143" s="5">
        <f t="shared" si="344"/>
        <v>10.701087031101217</v>
      </c>
      <c r="AZ143" s="5"/>
      <c r="BA143" s="173">
        <f t="shared" si="345"/>
        <v>7.6746805782587755</v>
      </c>
      <c r="BB143" s="173">
        <f t="shared" si="346"/>
        <v>0.41402527772749093</v>
      </c>
      <c r="BC143" s="173">
        <f t="shared" si="347"/>
        <v>0.32734652574378276</v>
      </c>
      <c r="BD143" s="173"/>
      <c r="BE143" s="528">
        <f t="shared" si="348"/>
        <v>2.356028879132098</v>
      </c>
      <c r="BF143" s="528">
        <f t="shared" si="464"/>
        <v>2.651291246373856</v>
      </c>
      <c r="BG143" s="528">
        <f t="shared" si="465"/>
        <v>0.11397738140054679</v>
      </c>
      <c r="BH143" s="528">
        <f t="shared" si="351"/>
        <v>1.9479694816750871E-2</v>
      </c>
      <c r="BI143">
        <f t="shared" si="352"/>
        <v>3.6635586878747176E-3</v>
      </c>
      <c r="BJ143" s="460">
        <f t="shared" si="436"/>
        <v>117.6409400884215</v>
      </c>
      <c r="BK143">
        <f t="shared" si="466"/>
        <v>12.864222269621383</v>
      </c>
      <c r="BL143" s="460">
        <f t="shared" si="437"/>
        <v>5144.4407604111275</v>
      </c>
      <c r="BM143" s="173">
        <f t="shared" si="467"/>
        <v>0.17186399999999999</v>
      </c>
      <c r="BN143" s="173">
        <f t="shared" si="468"/>
        <v>0.14321999999999999</v>
      </c>
      <c r="BO143" s="528"/>
      <c r="BQ143" s="460">
        <f t="shared" si="356"/>
        <v>315.084</v>
      </c>
      <c r="BR143" s="528">
        <f t="shared" si="357"/>
        <v>1.7670216593490735</v>
      </c>
      <c r="BS143" s="528">
        <f t="shared" si="358"/>
        <v>5.1425079179197794E-3</v>
      </c>
      <c r="BT143" s="528">
        <f t="shared" si="359"/>
        <v>5.3577873958262517E-4</v>
      </c>
      <c r="BU143" s="528">
        <f t="shared" si="360"/>
        <v>209.67766332897276</v>
      </c>
      <c r="BV143" s="528"/>
      <c r="BW143" s="625">
        <f t="shared" si="469"/>
        <v>3.5640000000000005</v>
      </c>
      <c r="BX143" s="460">
        <f t="shared" si="362"/>
        <v>215014.36327497932</v>
      </c>
      <c r="BY143" s="173">
        <f t="shared" si="363"/>
        <v>220.47388803539044</v>
      </c>
      <c r="BZ143" s="5">
        <f t="shared" si="364"/>
        <v>35.64</v>
      </c>
      <c r="CA143" s="173">
        <f t="shared" si="365"/>
        <v>0.13915684258041944</v>
      </c>
      <c r="CB143" s="5">
        <f t="shared" si="366"/>
        <v>13.915684258041944</v>
      </c>
      <c r="CC143">
        <f t="shared" si="367"/>
        <v>33</v>
      </c>
      <c r="CE143" s="562">
        <f t="shared" si="470"/>
        <v>-50</v>
      </c>
      <c r="CF143">
        <f t="shared" si="471"/>
        <v>-50</v>
      </c>
      <c r="CG143" s="173">
        <f t="shared" si="370"/>
        <v>0.4032129030193482</v>
      </c>
      <c r="CH143" s="173">
        <f t="shared" si="472"/>
        <v>0.10034005374430398</v>
      </c>
      <c r="CI143" s="170">
        <v>33</v>
      </c>
      <c r="CJ143" s="217">
        <f t="shared" si="438"/>
        <v>0.19800000000000001</v>
      </c>
      <c r="CK143" s="217">
        <f t="shared" si="372"/>
        <v>0.16500000000000001</v>
      </c>
      <c r="CL143" s="217">
        <f t="shared" si="373"/>
        <v>33.660000000000004</v>
      </c>
      <c r="CM143" s="217">
        <f t="shared" si="374"/>
        <v>1.98</v>
      </c>
      <c r="CN143" s="541">
        <f t="shared" si="375"/>
        <v>9</v>
      </c>
      <c r="CO143" s="443">
        <f t="shared" si="473"/>
        <v>8.5350000000000001</v>
      </c>
      <c r="CP143" s="443">
        <f t="shared" si="474"/>
        <v>17.535</v>
      </c>
      <c r="CQ143" s="443"/>
      <c r="CR143" s="217">
        <f t="shared" si="378"/>
        <v>0.48644793152639093</v>
      </c>
      <c r="CS143" s="172">
        <f t="shared" si="379"/>
        <v>137.82691393247745</v>
      </c>
      <c r="CT143" s="172">
        <f t="shared" si="380"/>
        <v>8.1074655254398493</v>
      </c>
      <c r="CU143" s="217">
        <f t="shared" si="381"/>
        <v>0.81074655254398498</v>
      </c>
      <c r="CV143" s="217">
        <f t="shared" si="382"/>
        <v>11.485576161039788</v>
      </c>
      <c r="CW143" s="217">
        <f t="shared" si="383"/>
        <v>170</v>
      </c>
      <c r="CX143" s="217">
        <f t="shared" si="384"/>
        <v>16.281290322580645</v>
      </c>
      <c r="CY143" s="217">
        <f t="shared" si="385"/>
        <v>0.90451612903225798</v>
      </c>
      <c r="CZ143" s="217">
        <f t="shared" si="386"/>
        <v>0.95379556664209975</v>
      </c>
      <c r="DA143" s="197">
        <f t="shared" si="387"/>
        <v>350</v>
      </c>
      <c r="DB143" s="443">
        <f t="shared" si="388"/>
        <v>350</v>
      </c>
      <c r="DD143" s="217">
        <f t="shared" si="389"/>
        <v>25.032384211169504</v>
      </c>
      <c r="DE143" s="173">
        <f t="shared" si="390"/>
        <v>1.4664548454112187</v>
      </c>
      <c r="DF143" s="173">
        <f t="shared" si="391"/>
        <v>0.30335794952229944</v>
      </c>
      <c r="DG143" s="173"/>
      <c r="DH143" s="173">
        <f t="shared" si="392"/>
        <v>0.78109744190587771</v>
      </c>
      <c r="DI143" s="545">
        <f t="shared" si="393"/>
        <v>805.20194117647077</v>
      </c>
      <c r="DJ143" s="528">
        <f t="shared" si="394"/>
        <v>8.6065366284073561E-2</v>
      </c>
      <c r="DL143" s="173">
        <f t="shared" si="395"/>
        <v>20.182028780929972</v>
      </c>
      <c r="DM143" s="173">
        <f t="shared" si="396"/>
        <v>20.182028780929972</v>
      </c>
      <c r="DN143" s="173">
        <f t="shared" si="397"/>
        <v>6.2731077389604728</v>
      </c>
      <c r="DP143" s="545">
        <f t="shared" si="398"/>
        <v>198</v>
      </c>
      <c r="DQ143" s="460">
        <f t="shared" si="399"/>
        <v>350</v>
      </c>
      <c r="DS143" s="460">
        <f t="shared" si="400"/>
        <v>198</v>
      </c>
      <c r="DT143" s="460">
        <f t="shared" si="401"/>
        <v>350</v>
      </c>
      <c r="DV143" s="5">
        <f t="shared" si="402"/>
        <v>2.8571428571428572</v>
      </c>
      <c r="DW143" s="5">
        <f t="shared" si="403"/>
        <v>1.1212238211627763</v>
      </c>
      <c r="DX143" s="5">
        <f t="shared" si="404"/>
        <v>1.7359190359800809</v>
      </c>
      <c r="DY143" s="173">
        <f t="shared" si="405"/>
        <v>0.39242833740697169</v>
      </c>
      <c r="EA143" s="5">
        <f t="shared" si="406"/>
        <v>0.13058959799425279</v>
      </c>
      <c r="EB143" s="5">
        <f t="shared" si="407"/>
        <v>1.5416827540988174</v>
      </c>
      <c r="EC143" s="5">
        <f t="shared" si="408"/>
        <v>10.387739511304805</v>
      </c>
      <c r="ED143" s="5"/>
      <c r="EE143" s="173">
        <f t="shared" si="409"/>
        <v>7.2993531207672868</v>
      </c>
      <c r="EF143" s="173">
        <f t="shared" si="410"/>
        <v>0.4288934061582465</v>
      </c>
      <c r="EG143" s="173">
        <f t="shared" si="411"/>
        <v>0.33910191955170299</v>
      </c>
      <c r="EH143" s="173"/>
      <c r="EI143" s="528">
        <f t="shared" si="412"/>
        <v>2.1312222392662052</v>
      </c>
      <c r="EJ143" s="528">
        <f t="shared" si="413"/>
        <v>3.4062092937334683</v>
      </c>
      <c r="EK143" s="528">
        <f t="shared" si="414"/>
        <v>6.9999999999999993E-2</v>
      </c>
      <c r="EL143" s="528">
        <f t="shared" si="415"/>
        <v>2.1523335750000001E-2</v>
      </c>
      <c r="EM143">
        <f t="shared" si="416"/>
        <v>4.0499999999999998E-3</v>
      </c>
      <c r="EN143" s="460">
        <f t="shared" si="417"/>
        <v>74.05</v>
      </c>
      <c r="EP143" s="460">
        <f t="shared" si="439"/>
        <v>5633.0048687496746</v>
      </c>
      <c r="EQ143" s="173">
        <f t="shared" si="418"/>
        <v>0.1386</v>
      </c>
      <c r="ER143" s="173">
        <f t="shared" si="475"/>
        <v>0.14321999999999999</v>
      </c>
      <c r="ES143" s="528"/>
      <c r="EU143" s="460">
        <f t="shared" si="420"/>
        <v>281.81999999999994</v>
      </c>
      <c r="EV143" s="528">
        <f t="shared" si="421"/>
        <v>1.5984166794496537</v>
      </c>
      <c r="EW143" s="528">
        <f t="shared" si="422"/>
        <v>5.5184866153806782E-3</v>
      </c>
      <c r="EX143" s="528">
        <f t="shared" si="423"/>
        <v>5.7495055921824828E-4</v>
      </c>
      <c r="EY143" s="528">
        <f t="shared" si="424"/>
        <v>209.67766332897276</v>
      </c>
      <c r="EZ143" s="528"/>
      <c r="FA143" s="625">
        <f t="shared" si="425"/>
        <v>3.5640000000000005</v>
      </c>
      <c r="FB143" s="460">
        <f t="shared" si="426"/>
        <v>214846.173445597</v>
      </c>
      <c r="FC143" s="173">
        <f t="shared" si="427"/>
        <v>220.76099831434666</v>
      </c>
      <c r="FD143" s="5">
        <f t="shared" si="428"/>
        <v>35.64</v>
      </c>
      <c r="FE143" s="173">
        <f t="shared" si="429"/>
        <v>0.13900101885057986</v>
      </c>
      <c r="FF143" s="5">
        <f t="shared" si="430"/>
        <v>13.900101885057985</v>
      </c>
      <c r="FG143">
        <f t="shared" si="431"/>
        <v>33</v>
      </c>
      <c r="FI143" s="562">
        <f t="shared" si="432"/>
        <v>-50</v>
      </c>
      <c r="FJ143">
        <f t="shared" si="433"/>
        <v>-50</v>
      </c>
    </row>
    <row r="144" spans="5:166">
      <c r="E144" s="170">
        <v>34</v>
      </c>
      <c r="F144" s="217">
        <f t="shared" si="476"/>
        <v>0.20400000000000001</v>
      </c>
      <c r="G144" s="217">
        <f t="shared" si="444"/>
        <v>0.17</v>
      </c>
      <c r="H144" s="217">
        <f t="shared" si="445"/>
        <v>34.68</v>
      </c>
      <c r="I144" s="217">
        <f t="shared" si="446"/>
        <v>2.04</v>
      </c>
      <c r="J144" s="541">
        <f t="shared" si="447"/>
        <v>8.1283271427145358</v>
      </c>
      <c r="K144" s="443">
        <f t="shared" si="448"/>
        <v>8.5406086961433871</v>
      </c>
      <c r="L144" s="172">
        <f t="shared" si="449"/>
        <v>16.668935838857923</v>
      </c>
      <c r="M144" s="443"/>
      <c r="N144" s="217">
        <f t="shared" si="450"/>
        <v>0.51236676286400229</v>
      </c>
      <c r="O144" s="172">
        <f t="shared" si="451"/>
        <v>131.110443176682</v>
      </c>
      <c r="P144" s="172">
        <f t="shared" si="452"/>
        <v>7.7123790103930592</v>
      </c>
      <c r="Q144" s="217">
        <f t="shared" si="322"/>
        <v>0.7712379010393059</v>
      </c>
      <c r="R144" s="217">
        <f t="shared" si="453"/>
        <v>10.9258702647235</v>
      </c>
      <c r="S144" s="217">
        <f t="shared" si="454"/>
        <v>170</v>
      </c>
      <c r="T144" s="217">
        <f t="shared" si="455"/>
        <v>17.633988139940858</v>
      </c>
      <c r="U144" s="217">
        <f t="shared" si="326"/>
        <v>1.0847243122926158</v>
      </c>
      <c r="V144" s="217">
        <f t="shared" si="327"/>
        <v>1.0323613203297612</v>
      </c>
      <c r="W144" s="197">
        <f t="shared" si="328"/>
        <v>350</v>
      </c>
      <c r="X144" s="443">
        <f t="shared" si="435"/>
        <v>350</v>
      </c>
      <c r="Z144" s="217">
        <f t="shared" si="329"/>
        <v>23.798198089212868</v>
      </c>
      <c r="AA144" s="173">
        <f t="shared" si="330"/>
        <v>1.3932378203885647</v>
      </c>
      <c r="AB144" s="173">
        <f t="shared" si="456"/>
        <v>0.27400204212248885</v>
      </c>
      <c r="AC144" s="173"/>
      <c r="AD144" s="173">
        <f t="shared" si="332"/>
        <v>0.7805844880444035</v>
      </c>
      <c r="AE144" s="545">
        <f t="shared" si="457"/>
        <v>830.14716526513712</v>
      </c>
      <c r="AF144" s="528">
        <f t="shared" si="458"/>
        <v>8.6008846367855593E-2</v>
      </c>
      <c r="AH144" s="173">
        <f t="shared" si="459"/>
        <v>20.485534966340101</v>
      </c>
      <c r="AI144" s="173">
        <f t="shared" si="460"/>
        <v>20.485534966340101</v>
      </c>
      <c r="AJ144" s="173">
        <f t="shared" si="461"/>
        <v>6.4979271355605679</v>
      </c>
      <c r="AL144" s="545">
        <f t="shared" si="462"/>
        <v>204.00000000000003</v>
      </c>
      <c r="AM144" s="460">
        <f t="shared" si="463"/>
        <v>350</v>
      </c>
      <c r="AO144" s="460">
        <f t="shared" si="340"/>
        <v>204.00000000000003</v>
      </c>
      <c r="AP144" s="460">
        <f t="shared" si="341"/>
        <v>350</v>
      </c>
      <c r="AR144" s="5">
        <f t="shared" si="443"/>
        <v>2.8571428571428572</v>
      </c>
      <c r="AS144" s="5">
        <f t="shared" si="440"/>
        <v>1.2601322883947528</v>
      </c>
      <c r="AT144" s="5">
        <f t="shared" si="441"/>
        <v>1.5970105687481044</v>
      </c>
      <c r="AU144" s="173">
        <f t="shared" si="442"/>
        <v>0.44104630093816344</v>
      </c>
      <c r="AW144" s="5">
        <f t="shared" si="342"/>
        <v>0.15121587460737035</v>
      </c>
      <c r="AX144" s="5">
        <f t="shared" si="343"/>
        <v>1.7851874085592332</v>
      </c>
      <c r="AY144" s="5">
        <f t="shared" si="344"/>
        <v>10.901987688588649</v>
      </c>
      <c r="AZ144" s="5"/>
      <c r="BA144" s="173">
        <f t="shared" si="345"/>
        <v>7.8546850248630022</v>
      </c>
      <c r="BB144" s="173">
        <f t="shared" si="346"/>
        <v>0.4175620492615954</v>
      </c>
      <c r="BC144" s="173">
        <f t="shared" si="347"/>
        <v>0.33014285228788487</v>
      </c>
      <c r="BD144" s="173"/>
      <c r="BE144" s="528">
        <f t="shared" si="348"/>
        <v>2.4678430735922841</v>
      </c>
      <c r="BF144" s="528">
        <f t="shared" si="464"/>
        <v>2.6890925353315041</v>
      </c>
      <c r="BG144" s="528">
        <f t="shared" si="465"/>
        <v>0.11379657999800352</v>
      </c>
      <c r="BH144" s="528">
        <f t="shared" si="351"/>
        <v>1.944973953999735E-2</v>
      </c>
      <c r="BI144">
        <f t="shared" si="352"/>
        <v>3.6577472142215409E-3</v>
      </c>
      <c r="BJ144" s="460">
        <f t="shared" si="436"/>
        <v>117.45432721222507</v>
      </c>
      <c r="BK144">
        <f t="shared" si="466"/>
        <v>14.125075228653486</v>
      </c>
      <c r="BL144" s="460">
        <f t="shared" si="437"/>
        <v>5293.8396756760103</v>
      </c>
      <c r="BM144" s="173">
        <f t="shared" si="467"/>
        <v>0.17707200000000001</v>
      </c>
      <c r="BN144" s="173">
        <f t="shared" si="468"/>
        <v>0.14756</v>
      </c>
      <c r="BO144" s="528"/>
      <c r="BQ144" s="460">
        <f t="shared" si="356"/>
        <v>324.63200000000001</v>
      </c>
      <c r="BR144" s="528">
        <f t="shared" si="357"/>
        <v>1.8508823051942132</v>
      </c>
      <c r="BS144" s="528">
        <f t="shared" si="358"/>
        <v>5.230741949506291E-3</v>
      </c>
      <c r="BT144" s="528">
        <f t="shared" si="359"/>
        <v>5.4497151458390088E-4</v>
      </c>
      <c r="BU144" s="528">
        <f t="shared" si="360"/>
        <v>217.64985872466013</v>
      </c>
      <c r="BV144" s="528"/>
      <c r="BW144" s="625">
        <f t="shared" si="469"/>
        <v>3.6720000000000002</v>
      </c>
      <c r="BX144" s="460">
        <f t="shared" si="362"/>
        <v>223178.51674331844</v>
      </c>
      <c r="BY144" s="173">
        <f t="shared" si="363"/>
        <v>228.79698841899446</v>
      </c>
      <c r="BZ144" s="5">
        <f t="shared" si="364"/>
        <v>36.72</v>
      </c>
      <c r="CA144" s="173">
        <f t="shared" si="365"/>
        <v>0.13829623565199015</v>
      </c>
      <c r="CB144" s="5">
        <f t="shared" si="366"/>
        <v>13.829623565199014</v>
      </c>
      <c r="CC144">
        <f t="shared" si="367"/>
        <v>34</v>
      </c>
      <c r="CE144" s="562">
        <f t="shared" si="470"/>
        <v>-50</v>
      </c>
      <c r="CF144">
        <f t="shared" si="471"/>
        <v>-50</v>
      </c>
      <c r="CG144" s="173">
        <f t="shared" si="370"/>
        <v>0.40927659519974879</v>
      </c>
      <c r="CH144" s="173">
        <f t="shared" si="472"/>
        <v>0.10184901140591214</v>
      </c>
      <c r="CI144" s="170">
        <v>34</v>
      </c>
      <c r="CJ144" s="217">
        <f t="shared" si="438"/>
        <v>0.20400000000000001</v>
      </c>
      <c r="CK144" s="217">
        <f t="shared" si="372"/>
        <v>0.17</v>
      </c>
      <c r="CL144" s="217">
        <f t="shared" si="373"/>
        <v>34.68</v>
      </c>
      <c r="CM144" s="217">
        <f t="shared" si="374"/>
        <v>2.04</v>
      </c>
      <c r="CN144" s="541">
        <f t="shared" si="375"/>
        <v>9</v>
      </c>
      <c r="CO144" s="443">
        <f t="shared" si="473"/>
        <v>8.5350000000000001</v>
      </c>
      <c r="CP144" s="443">
        <f t="shared" si="474"/>
        <v>17.535</v>
      </c>
      <c r="CQ144" s="443"/>
      <c r="CR144" s="217">
        <f t="shared" si="378"/>
        <v>0.48644793152639093</v>
      </c>
      <c r="CS144" s="172">
        <f t="shared" si="379"/>
        <v>137.82691393247745</v>
      </c>
      <c r="CT144" s="172">
        <f t="shared" si="380"/>
        <v>8.1074655254398493</v>
      </c>
      <c r="CU144" s="217">
        <f t="shared" si="381"/>
        <v>0.81074655254398498</v>
      </c>
      <c r="CV144" s="217">
        <f t="shared" si="382"/>
        <v>11.485576161039788</v>
      </c>
      <c r="CW144" s="217">
        <f t="shared" si="383"/>
        <v>170</v>
      </c>
      <c r="CX144" s="217">
        <f t="shared" si="384"/>
        <v>16.774662756598239</v>
      </c>
      <c r="CY144" s="217">
        <f t="shared" si="385"/>
        <v>0.9319257086999021</v>
      </c>
      <c r="CZ144" s="217">
        <f t="shared" si="386"/>
        <v>0.98269846260095128</v>
      </c>
      <c r="DA144" s="197">
        <f t="shared" si="387"/>
        <v>350</v>
      </c>
      <c r="DB144" s="443">
        <f t="shared" si="388"/>
        <v>350</v>
      </c>
      <c r="DD144" s="217">
        <f t="shared" si="389"/>
        <v>25.032384211169504</v>
      </c>
      <c r="DE144" s="173">
        <f t="shared" si="390"/>
        <v>1.4664548454112187</v>
      </c>
      <c r="DF144" s="173">
        <f t="shared" si="391"/>
        <v>0.30335794952229944</v>
      </c>
      <c r="DG144" s="173"/>
      <c r="DH144" s="173">
        <f t="shared" si="392"/>
        <v>0.78109744190587771</v>
      </c>
      <c r="DI144" s="545">
        <f t="shared" si="393"/>
        <v>829.60200000000009</v>
      </c>
      <c r="DJ144" s="528">
        <f t="shared" si="394"/>
        <v>8.6065366284073561E-2</v>
      </c>
      <c r="DL144" s="173">
        <f t="shared" si="395"/>
        <v>20.485534966340101</v>
      </c>
      <c r="DM144" s="173">
        <f t="shared" si="396"/>
        <v>20.485534966340101</v>
      </c>
      <c r="DN144" s="173">
        <f t="shared" si="397"/>
        <v>6.4979271355605679</v>
      </c>
      <c r="DP144" s="545">
        <f t="shared" si="398"/>
        <v>204.00000000000003</v>
      </c>
      <c r="DQ144" s="460">
        <f t="shared" si="399"/>
        <v>350</v>
      </c>
      <c r="DS144" s="460">
        <f t="shared" si="400"/>
        <v>204.00000000000003</v>
      </c>
      <c r="DT144" s="460">
        <f t="shared" si="401"/>
        <v>350</v>
      </c>
      <c r="DV144" s="5">
        <f t="shared" si="402"/>
        <v>2.8571428571428572</v>
      </c>
      <c r="DW144" s="5">
        <f t="shared" si="403"/>
        <v>1.1380852759077835</v>
      </c>
      <c r="DX144" s="5">
        <f t="shared" si="404"/>
        <v>1.7190575812350737</v>
      </c>
      <c r="DY144" s="173">
        <f t="shared" si="405"/>
        <v>0.39832984656772424</v>
      </c>
      <c r="EA144" s="5">
        <f t="shared" si="406"/>
        <v>0.13657023310893404</v>
      </c>
      <c r="EB144" s="5">
        <f t="shared" si="407"/>
        <v>1.6122874742026936</v>
      </c>
      <c r="EC144" s="5">
        <f t="shared" si="408"/>
        <v>10.598563007507975</v>
      </c>
      <c r="ED144" s="5"/>
      <c r="EE144" s="173">
        <f t="shared" si="409"/>
        <v>7.4646269235940448</v>
      </c>
      <c r="EF144" s="173">
        <f t="shared" si="410"/>
        <v>0.43322382966693679</v>
      </c>
      <c r="EG144" s="173">
        <f t="shared" si="411"/>
        <v>0.34252574212202924</v>
      </c>
      <c r="EH144" s="173"/>
      <c r="EI144" s="528">
        <f t="shared" si="412"/>
        <v>2.2288262043378038</v>
      </c>
      <c r="EJ144" s="528">
        <f t="shared" si="413"/>
        <v>3.4574333604846967</v>
      </c>
      <c r="EK144" s="528">
        <f t="shared" si="414"/>
        <v>6.9999999999999993E-2</v>
      </c>
      <c r="EL144" s="528">
        <f t="shared" si="415"/>
        <v>2.1523335750000001E-2</v>
      </c>
      <c r="EM144">
        <f t="shared" si="416"/>
        <v>4.0499999999999998E-3</v>
      </c>
      <c r="EN144" s="460">
        <f t="shared" si="417"/>
        <v>74.05</v>
      </c>
      <c r="EP144" s="460">
        <f t="shared" si="439"/>
        <v>5781.8329005725018</v>
      </c>
      <c r="EQ144" s="173">
        <f t="shared" si="418"/>
        <v>0.14280000000000001</v>
      </c>
      <c r="ER144" s="173">
        <f t="shared" si="475"/>
        <v>0.14756</v>
      </c>
      <c r="ES144" s="528"/>
      <c r="EU144" s="460">
        <f t="shared" si="420"/>
        <v>290.36</v>
      </c>
      <c r="EV144" s="528">
        <f t="shared" si="421"/>
        <v>1.6716196532533527</v>
      </c>
      <c r="EW144" s="528">
        <f t="shared" si="422"/>
        <v>5.6304865977386117E-3</v>
      </c>
      <c r="EX144" s="528">
        <f t="shared" si="423"/>
        <v>5.8661942008123448E-4</v>
      </c>
      <c r="EY144" s="528">
        <f t="shared" si="424"/>
        <v>217.64985872466013</v>
      </c>
      <c r="EZ144" s="528"/>
      <c r="FA144" s="625">
        <f t="shared" si="425"/>
        <v>3.6720000000000002</v>
      </c>
      <c r="FB144" s="460">
        <f t="shared" si="426"/>
        <v>222999.69548393131</v>
      </c>
      <c r="FC144" s="173">
        <f t="shared" si="427"/>
        <v>229.07188838450381</v>
      </c>
      <c r="FD144" s="5">
        <f t="shared" si="428"/>
        <v>36.72</v>
      </c>
      <c r="FE144" s="173">
        <f t="shared" si="429"/>
        <v>0.13815320032219933</v>
      </c>
      <c r="FF144" s="5">
        <f t="shared" si="430"/>
        <v>13.815320032219933</v>
      </c>
      <c r="FG144">
        <f t="shared" si="431"/>
        <v>34</v>
      </c>
      <c r="FI144" s="562">
        <f t="shared" si="432"/>
        <v>-50</v>
      </c>
      <c r="FJ144">
        <f t="shared" si="433"/>
        <v>-50</v>
      </c>
    </row>
    <row r="145" spans="5:166">
      <c r="E145" s="170">
        <v>35</v>
      </c>
      <c r="F145" s="217">
        <f t="shared" si="476"/>
        <v>0.21</v>
      </c>
      <c r="G145" s="217">
        <f t="shared" si="444"/>
        <v>0.17499999999999999</v>
      </c>
      <c r="H145" s="217">
        <f t="shared" si="445"/>
        <v>35.699999999999996</v>
      </c>
      <c r="I145" s="217">
        <f t="shared" si="446"/>
        <v>2.0999999999999996</v>
      </c>
      <c r="J145" s="541">
        <f t="shared" si="447"/>
        <v>8.1156013183675864</v>
      </c>
      <c r="K145" s="443">
        <f t="shared" si="448"/>
        <v>8.5406905792504961</v>
      </c>
      <c r="L145" s="172">
        <f t="shared" si="449"/>
        <v>16.656291897618082</v>
      </c>
      <c r="M145" s="443"/>
      <c r="N145" s="217">
        <f t="shared" si="450"/>
        <v>0.51276062113631959</v>
      </c>
      <c r="O145" s="172">
        <f t="shared" si="451"/>
        <v>131.0058021098431</v>
      </c>
      <c r="P145" s="172">
        <f t="shared" si="452"/>
        <v>7.7062236535201816</v>
      </c>
      <c r="Q145" s="217">
        <f t="shared" si="322"/>
        <v>0.77062236535201822</v>
      </c>
      <c r="R145" s="217">
        <f t="shared" si="453"/>
        <v>10.917150175820259</v>
      </c>
      <c r="S145" s="217">
        <f t="shared" si="454"/>
        <v>170</v>
      </c>
      <c r="T145" s="217">
        <f t="shared" si="455"/>
        <v>18.167134292300013</v>
      </c>
      <c r="U145" s="217">
        <f t="shared" si="326"/>
        <v>1.1192722251636089</v>
      </c>
      <c r="V145" s="217">
        <f t="shared" si="327"/>
        <v>1.0635635446410412</v>
      </c>
      <c r="W145" s="197">
        <f t="shared" si="328"/>
        <v>350</v>
      </c>
      <c r="X145" s="443">
        <f t="shared" si="435"/>
        <v>350</v>
      </c>
      <c r="Z145" s="217">
        <f t="shared" si="329"/>
        <v>23.779204416576562</v>
      </c>
      <c r="AA145" s="173">
        <f t="shared" si="330"/>
        <v>1.3921125110390866</v>
      </c>
      <c r="AB145" s="173">
        <f t="shared" si="456"/>
        <v>0.27356222420373505</v>
      </c>
      <c r="AC145" s="173"/>
      <c r="AD145" s="173">
        <f t="shared" si="332"/>
        <v>0.78057700426043453</v>
      </c>
      <c r="AE145" s="545">
        <f t="shared" si="457"/>
        <v>854.57145148853465</v>
      </c>
      <c r="AF145" s="528">
        <f t="shared" si="458"/>
        <v>8.6008021765733064E-2</v>
      </c>
      <c r="AH145" s="173">
        <f t="shared" si="459"/>
        <v>20.784609690826528</v>
      </c>
      <c r="AI145" s="173">
        <f t="shared" si="460"/>
        <v>20.784609690826528</v>
      </c>
      <c r="AJ145" s="173">
        <f t="shared" si="461"/>
        <v>6.7194639685134776</v>
      </c>
      <c r="AL145" s="545">
        <f t="shared" si="462"/>
        <v>210</v>
      </c>
      <c r="AM145" s="460">
        <f t="shared" si="463"/>
        <v>350</v>
      </c>
      <c r="AO145" s="460">
        <f t="shared" si="340"/>
        <v>210</v>
      </c>
      <c r="AP145" s="460">
        <f t="shared" si="341"/>
        <v>350</v>
      </c>
      <c r="AR145" s="5">
        <f t="shared" si="443"/>
        <v>2.8571428571428572</v>
      </c>
      <c r="AS145" s="5">
        <f t="shared" si="440"/>
        <v>1.2805341758093689</v>
      </c>
      <c r="AT145" s="5">
        <f t="shared" si="441"/>
        <v>1.5766086813334883</v>
      </c>
      <c r="AU145" s="173">
        <f t="shared" si="442"/>
        <v>0.44818696153327908</v>
      </c>
      <c r="AW145" s="5">
        <f t="shared" si="342"/>
        <v>0.15818363348233377</v>
      </c>
      <c r="AX145" s="5">
        <f t="shared" si="343"/>
        <v>1.8674456730553295</v>
      </c>
      <c r="AY145" s="5">
        <f t="shared" si="344"/>
        <v>11.096637740687235</v>
      </c>
      <c r="AZ145" s="5"/>
      <c r="BA145" s="173">
        <f t="shared" si="345"/>
        <v>8.0336120432089686</v>
      </c>
      <c r="BB145" s="173">
        <f t="shared" si="346"/>
        <v>0.42094334287127888</v>
      </c>
      <c r="BC145" s="173">
        <f t="shared" si="347"/>
        <v>0.33281625117242847</v>
      </c>
      <c r="BD145" s="173"/>
      <c r="BE145" s="528">
        <f t="shared" si="348"/>
        <v>2.5815568984316872</v>
      </c>
      <c r="BF145" s="528">
        <f t="shared" si="464"/>
        <v>2.7262818921591871</v>
      </c>
      <c r="BG145" s="528">
        <f t="shared" si="465"/>
        <v>0.11361841845714621</v>
      </c>
      <c r="BH145" s="528">
        <f t="shared" si="351"/>
        <v>1.9420244184506049E-2</v>
      </c>
      <c r="BI145">
        <f t="shared" si="352"/>
        <v>3.652020593265414E-3</v>
      </c>
      <c r="BJ145" s="460">
        <f t="shared" si="436"/>
        <v>117.27043905041162</v>
      </c>
      <c r="BK145">
        <f t="shared" si="466"/>
        <v>15.581829632751022</v>
      </c>
      <c r="BL145" s="460">
        <f t="shared" si="437"/>
        <v>5444.5294738257917</v>
      </c>
      <c r="BM145" s="173">
        <f t="shared" si="467"/>
        <v>0.18228</v>
      </c>
      <c r="BN145" s="173">
        <f t="shared" si="468"/>
        <v>0.15189999999999998</v>
      </c>
      <c r="BO145" s="528"/>
      <c r="BQ145" s="460">
        <f t="shared" si="356"/>
        <v>334.17999999999995</v>
      </c>
      <c r="BR145" s="528">
        <f t="shared" si="357"/>
        <v>1.9361676738237652</v>
      </c>
      <c r="BS145" s="528">
        <f t="shared" si="358"/>
        <v>5.3157989372294113E-3</v>
      </c>
      <c r="BT145" s="528">
        <f t="shared" si="359"/>
        <v>5.5383328522234498E-4</v>
      </c>
      <c r="BU145" s="528">
        <f t="shared" si="360"/>
        <v>225.68089669652699</v>
      </c>
      <c r="BV145" s="528"/>
      <c r="BW145" s="625">
        <f t="shared" si="469"/>
        <v>3.7800000000000002</v>
      </c>
      <c r="BX145" s="460">
        <f t="shared" si="362"/>
        <v>231402.93400257319</v>
      </c>
      <c r="BY145" s="173">
        <f t="shared" si="363"/>
        <v>237.18164347639899</v>
      </c>
      <c r="BZ145" s="5">
        <f t="shared" si="364"/>
        <v>37.799999999999997</v>
      </c>
      <c r="CA145" s="173">
        <f t="shared" si="365"/>
        <v>0.1374637212947063</v>
      </c>
      <c r="CB145" s="5">
        <f t="shared" si="366"/>
        <v>13.746372129470629</v>
      </c>
      <c r="CC145">
        <f t="shared" si="367"/>
        <v>35</v>
      </c>
      <c r="CE145" s="562">
        <f t="shared" si="470"/>
        <v>-50</v>
      </c>
      <c r="CF145">
        <f t="shared" si="471"/>
        <v>-50</v>
      </c>
      <c r="CG145" s="173">
        <f t="shared" si="370"/>
        <v>0.41525175206771597</v>
      </c>
      <c r="CH145" s="173">
        <f t="shared" si="472"/>
        <v>0.1033359369402215</v>
      </c>
      <c r="CI145" s="170">
        <v>35</v>
      </c>
      <c r="CJ145" s="217">
        <f t="shared" si="438"/>
        <v>0.21</v>
      </c>
      <c r="CK145" s="217">
        <f t="shared" si="372"/>
        <v>0.17499999999999999</v>
      </c>
      <c r="CL145" s="217">
        <f t="shared" si="373"/>
        <v>35.699999999999996</v>
      </c>
      <c r="CM145" s="217">
        <f t="shared" si="374"/>
        <v>2.0999999999999996</v>
      </c>
      <c r="CN145" s="541">
        <f t="shared" si="375"/>
        <v>9</v>
      </c>
      <c r="CO145" s="443">
        <f t="shared" si="473"/>
        <v>8.5350000000000001</v>
      </c>
      <c r="CP145" s="443">
        <f t="shared" si="474"/>
        <v>17.535</v>
      </c>
      <c r="CQ145" s="443"/>
      <c r="CR145" s="217">
        <f t="shared" si="378"/>
        <v>0.48644793152639093</v>
      </c>
      <c r="CS145" s="172">
        <f t="shared" si="379"/>
        <v>137.82691393247745</v>
      </c>
      <c r="CT145" s="172">
        <f t="shared" si="380"/>
        <v>8.1074655254398493</v>
      </c>
      <c r="CU145" s="217">
        <f t="shared" si="381"/>
        <v>0.81074655254398498</v>
      </c>
      <c r="CV145" s="217">
        <f t="shared" si="382"/>
        <v>11.485576161039788</v>
      </c>
      <c r="CW145" s="217">
        <f t="shared" si="383"/>
        <v>170</v>
      </c>
      <c r="CX145" s="217">
        <f t="shared" si="384"/>
        <v>17.268035190615834</v>
      </c>
      <c r="CY145" s="217">
        <f t="shared" si="385"/>
        <v>0.95933528836754645</v>
      </c>
      <c r="CZ145" s="217">
        <f t="shared" si="386"/>
        <v>1.0116013585598029</v>
      </c>
      <c r="DA145" s="197">
        <f t="shared" si="387"/>
        <v>350</v>
      </c>
      <c r="DB145" s="443">
        <f t="shared" si="388"/>
        <v>350</v>
      </c>
      <c r="DD145" s="217">
        <f t="shared" si="389"/>
        <v>25.032384211169504</v>
      </c>
      <c r="DE145" s="173">
        <f t="shared" si="390"/>
        <v>1.4664548454112187</v>
      </c>
      <c r="DF145" s="173">
        <f t="shared" si="391"/>
        <v>0.30335794952229944</v>
      </c>
      <c r="DG145" s="173"/>
      <c r="DH145" s="173">
        <f t="shared" si="392"/>
        <v>0.78109744190587771</v>
      </c>
      <c r="DI145" s="545">
        <f t="shared" si="393"/>
        <v>854.00205882352952</v>
      </c>
      <c r="DJ145" s="528">
        <f t="shared" si="394"/>
        <v>8.6065366284073561E-2</v>
      </c>
      <c r="DL145" s="173">
        <f t="shared" si="395"/>
        <v>20.784609690826528</v>
      </c>
      <c r="DM145" s="173">
        <f t="shared" si="396"/>
        <v>20.784609690826528</v>
      </c>
      <c r="DN145" s="173">
        <f t="shared" si="397"/>
        <v>6.7194639685134776</v>
      </c>
      <c r="DP145" s="545">
        <f t="shared" si="398"/>
        <v>210</v>
      </c>
      <c r="DQ145" s="460">
        <f t="shared" si="399"/>
        <v>350</v>
      </c>
      <c r="DS145" s="460">
        <f t="shared" si="400"/>
        <v>210</v>
      </c>
      <c r="DT145" s="460">
        <f t="shared" si="401"/>
        <v>350</v>
      </c>
      <c r="DV145" s="5">
        <f t="shared" si="402"/>
        <v>2.8571428571428572</v>
      </c>
      <c r="DW145" s="5">
        <f t="shared" si="403"/>
        <v>1.1547005383792515</v>
      </c>
      <c r="DX145" s="5">
        <f t="shared" si="404"/>
        <v>1.7024423187636057</v>
      </c>
      <c r="DY145" s="173">
        <f t="shared" si="405"/>
        <v>0.404145188432738</v>
      </c>
      <c r="EA145" s="5">
        <f t="shared" si="406"/>
        <v>0.14263947827037812</v>
      </c>
      <c r="EB145" s="5">
        <f t="shared" si="407"/>
        <v>1.6839382851364082</v>
      </c>
      <c r="EC145" s="5">
        <f t="shared" si="408"/>
        <v>10.804833916419684</v>
      </c>
      <c r="ED145" s="5"/>
      <c r="EE145" s="173">
        <f t="shared" si="409"/>
        <v>7.628689739025587</v>
      </c>
      <c r="EF145" s="173">
        <f t="shared" si="410"/>
        <v>0.43741925038030188</v>
      </c>
      <c r="EG145" s="173">
        <f t="shared" si="411"/>
        <v>0.34584282556701035</v>
      </c>
      <c r="EH145" s="173"/>
      <c r="EI145" s="528">
        <f t="shared" si="412"/>
        <v>2.3278762853725712</v>
      </c>
      <c r="EJ145" s="528">
        <f t="shared" si="413"/>
        <v>3.5079095101881905</v>
      </c>
      <c r="EK145" s="528">
        <f t="shared" si="414"/>
        <v>6.9999999999999993E-2</v>
      </c>
      <c r="EL145" s="528">
        <f t="shared" si="415"/>
        <v>2.1523335750000001E-2</v>
      </c>
      <c r="EM145">
        <f t="shared" si="416"/>
        <v>4.0499999999999998E-3</v>
      </c>
      <c r="EN145" s="460">
        <f t="shared" si="417"/>
        <v>74.05</v>
      </c>
      <c r="EP145" s="460">
        <f t="shared" si="439"/>
        <v>5931.3591313107627</v>
      </c>
      <c r="EQ145" s="173">
        <f t="shared" si="418"/>
        <v>0.14699999999999999</v>
      </c>
      <c r="ER145" s="173">
        <f t="shared" si="475"/>
        <v>0.15189999999999998</v>
      </c>
      <c r="ES145" s="528"/>
      <c r="EU145" s="460">
        <f t="shared" si="420"/>
        <v>298.89999999999992</v>
      </c>
      <c r="EV145" s="528">
        <f t="shared" si="421"/>
        <v>1.7459072140294283</v>
      </c>
      <c r="EW145" s="528">
        <f t="shared" si="422"/>
        <v>5.7400680180979572E-3</v>
      </c>
      <c r="EX145" s="528">
        <f t="shared" si="423"/>
        <v>5.9803629998086776E-4</v>
      </c>
      <c r="EY145" s="528">
        <f t="shared" si="424"/>
        <v>225.68089669652699</v>
      </c>
      <c r="EZ145" s="528"/>
      <c r="FA145" s="625">
        <f t="shared" si="425"/>
        <v>3.7800000000000002</v>
      </c>
      <c r="FB145" s="460">
        <f t="shared" si="426"/>
        <v>231213.14201487449</v>
      </c>
      <c r="FC145" s="173">
        <f t="shared" si="427"/>
        <v>237.44340114618527</v>
      </c>
      <c r="FD145" s="5">
        <f t="shared" si="428"/>
        <v>37.799999999999997</v>
      </c>
      <c r="FE145" s="173">
        <f t="shared" si="429"/>
        <v>0.13733299269879296</v>
      </c>
      <c r="FF145" s="5">
        <f t="shared" si="430"/>
        <v>13.733299269879296</v>
      </c>
      <c r="FG145">
        <f t="shared" si="431"/>
        <v>35</v>
      </c>
      <c r="FI145" s="562">
        <f t="shared" si="432"/>
        <v>-50</v>
      </c>
      <c r="FJ145">
        <f t="shared" si="433"/>
        <v>-50</v>
      </c>
    </row>
    <row r="146" spans="5:166">
      <c r="E146" s="170">
        <v>36</v>
      </c>
      <c r="F146" s="217">
        <f t="shared" si="476"/>
        <v>0.216</v>
      </c>
      <c r="G146" s="217">
        <f t="shared" si="444"/>
        <v>0.18</v>
      </c>
      <c r="H146" s="217">
        <f t="shared" si="445"/>
        <v>36.72</v>
      </c>
      <c r="I146" s="217">
        <f t="shared" si="446"/>
        <v>2.16</v>
      </c>
      <c r="J146" s="541">
        <f t="shared" si="447"/>
        <v>8.1030560296104888</v>
      </c>
      <c r="K146" s="443">
        <f t="shared" si="448"/>
        <v>8.5407713007185126</v>
      </c>
      <c r="L146" s="172">
        <f t="shared" si="449"/>
        <v>16.643827330329003</v>
      </c>
      <c r="M146" s="443"/>
      <c r="N146" s="217">
        <f t="shared" si="450"/>
        <v>0.51314947765380869</v>
      </c>
      <c r="O146" s="172">
        <f t="shared" si="451"/>
        <v>130.90248606092749</v>
      </c>
      <c r="P146" s="172">
        <f t="shared" si="452"/>
        <v>7.7001462388780872</v>
      </c>
      <c r="Q146" s="217">
        <f t="shared" si="322"/>
        <v>0.77001462388780872</v>
      </c>
      <c r="R146" s="217">
        <f t="shared" si="453"/>
        <v>10.908540505077291</v>
      </c>
      <c r="S146" s="217">
        <f t="shared" si="454"/>
        <v>170</v>
      </c>
      <c r="T146" s="217">
        <f t="shared" si="455"/>
        <v>18.700943531818016</v>
      </c>
      <c r="U146" s="217">
        <f t="shared" si="326"/>
        <v>1.1539438616418505</v>
      </c>
      <c r="V146" s="217">
        <f t="shared" si="327"/>
        <v>1.0948041384883325</v>
      </c>
      <c r="W146" s="197">
        <f t="shared" si="328"/>
        <v>350</v>
      </c>
      <c r="X146" s="443">
        <f t="shared" si="435"/>
        <v>350</v>
      </c>
      <c r="Z146" s="217">
        <f t="shared" si="329"/>
        <v>23.760451251395246</v>
      </c>
      <c r="AA146" s="173">
        <f t="shared" si="330"/>
        <v>1.3910014924176894</v>
      </c>
      <c r="AB146" s="173">
        <f t="shared" si="456"/>
        <v>0.27312833020790395</v>
      </c>
      <c r="AC146" s="173"/>
      <c r="AD146" s="173">
        <f t="shared" si="332"/>
        <v>0.7805696267860277</v>
      </c>
      <c r="AE146" s="545">
        <f t="shared" si="457"/>
        <v>878.99608633747698</v>
      </c>
      <c r="AF146" s="528">
        <f t="shared" si="458"/>
        <v>8.6007208877349361E-2</v>
      </c>
      <c r="AH146" s="173">
        <f t="shared" si="459"/>
        <v>21.079441575688314</v>
      </c>
      <c r="AI146" s="173">
        <f t="shared" si="460"/>
        <v>21.079441575688314</v>
      </c>
      <c r="AJ146" s="173">
        <f t="shared" si="461"/>
        <v>6.9378579572999852</v>
      </c>
      <c r="AL146" s="545">
        <f t="shared" si="462"/>
        <v>216</v>
      </c>
      <c r="AM146" s="460">
        <f t="shared" si="463"/>
        <v>350</v>
      </c>
      <c r="AO146" s="460">
        <f t="shared" si="340"/>
        <v>216</v>
      </c>
      <c r="AP146" s="460">
        <f t="shared" si="341"/>
        <v>350</v>
      </c>
      <c r="AR146" s="5">
        <f t="shared" si="443"/>
        <v>2.8571428571428572</v>
      </c>
      <c r="AS146" s="5">
        <f t="shared" si="440"/>
        <v>1.3007093557454763</v>
      </c>
      <c r="AT146" s="5">
        <f t="shared" si="441"/>
        <v>1.5564335013973809</v>
      </c>
      <c r="AU146" s="173">
        <f t="shared" si="442"/>
        <v>0.45524827451091671</v>
      </c>
      <c r="AW146" s="5">
        <f t="shared" si="342"/>
        <v>0.16526660049471933</v>
      </c>
      <c r="AX146" s="5">
        <f t="shared" si="343"/>
        <v>1.9510640336182143</v>
      </c>
      <c r="AY146" s="5">
        <f t="shared" si="344"/>
        <v>11.285073278518917</v>
      </c>
      <c r="AZ146" s="5"/>
      <c r="BA146" s="173">
        <f t="shared" si="345"/>
        <v>8.2115024813882549</v>
      </c>
      <c r="BB146" s="173">
        <f t="shared" si="346"/>
        <v>0.42417415381130569</v>
      </c>
      <c r="BC146" s="173">
        <f t="shared" si="347"/>
        <v>0.33537067186470526</v>
      </c>
      <c r="BD146" s="173"/>
      <c r="BE146" s="528">
        <f t="shared" si="348"/>
        <v>2.6971509200738191</v>
      </c>
      <c r="BF146" s="528">
        <f t="shared" si="464"/>
        <v>2.7628853632184276</v>
      </c>
      <c r="BG146" s="528">
        <f t="shared" si="465"/>
        <v>0.11344278441454685</v>
      </c>
      <c r="BH146" s="528">
        <f t="shared" si="351"/>
        <v>1.939118917412647E-2</v>
      </c>
      <c r="BI146">
        <f t="shared" si="352"/>
        <v>3.6463752133247197E-3</v>
      </c>
      <c r="BJ146" s="460">
        <f t="shared" si="436"/>
        <v>117.08915962787157</v>
      </c>
      <c r="BK146">
        <f t="shared" si="466"/>
        <v>17.283971171080868</v>
      </c>
      <c r="BL146" s="460">
        <f t="shared" si="437"/>
        <v>5596.5166320942453</v>
      </c>
      <c r="BM146" s="173">
        <f t="shared" si="467"/>
        <v>0.18748799999999999</v>
      </c>
      <c r="BN146" s="173">
        <f t="shared" si="468"/>
        <v>0.15623999999999999</v>
      </c>
      <c r="BO146" s="528"/>
      <c r="BQ146" s="460">
        <f t="shared" si="356"/>
        <v>343.72799999999995</v>
      </c>
      <c r="BR146" s="528">
        <f t="shared" si="357"/>
        <v>2.022863190055364</v>
      </c>
      <c r="BS146" s="528">
        <f t="shared" si="358"/>
        <v>5.3977113828461163E-3</v>
      </c>
      <c r="BT146" s="528">
        <f t="shared" si="359"/>
        <v>5.6236743773491898E-4</v>
      </c>
      <c r="BU146" s="528">
        <f t="shared" si="360"/>
        <v>233.76951146748385</v>
      </c>
      <c r="BV146" s="528"/>
      <c r="BW146" s="625">
        <f t="shared" si="469"/>
        <v>3.8879999999999995</v>
      </c>
      <c r="BX146" s="460">
        <f t="shared" si="362"/>
        <v>239686.3347363598</v>
      </c>
      <c r="BY146" s="173">
        <f t="shared" si="363"/>
        <v>245.62657936845406</v>
      </c>
      <c r="BZ146" s="5">
        <f t="shared" si="364"/>
        <v>38.879999999999995</v>
      </c>
      <c r="CA146" s="173">
        <f t="shared" si="365"/>
        <v>0.13665764808077754</v>
      </c>
      <c r="CB146" s="5">
        <f t="shared" si="366"/>
        <v>13.665764808077755</v>
      </c>
      <c r="CC146">
        <f t="shared" si="367"/>
        <v>36</v>
      </c>
      <c r="CE146" s="562">
        <f t="shared" si="470"/>
        <v>-50</v>
      </c>
      <c r="CF146">
        <f t="shared" si="471"/>
        <v>-50</v>
      </c>
      <c r="CG146" s="173">
        <f t="shared" si="370"/>
        <v>0.42114214205220146</v>
      </c>
      <c r="CH146" s="173">
        <f t="shared" si="472"/>
        <v>0.10480176812566308</v>
      </c>
      <c r="CI146" s="170">
        <v>36</v>
      </c>
      <c r="CJ146" s="217">
        <f t="shared" si="438"/>
        <v>0.216</v>
      </c>
      <c r="CK146" s="217">
        <f t="shared" si="372"/>
        <v>0.18</v>
      </c>
      <c r="CL146" s="217">
        <f t="shared" si="373"/>
        <v>36.72</v>
      </c>
      <c r="CM146" s="217">
        <f t="shared" si="374"/>
        <v>2.16</v>
      </c>
      <c r="CN146" s="541">
        <f t="shared" si="375"/>
        <v>9</v>
      </c>
      <c r="CO146" s="443">
        <f t="shared" si="473"/>
        <v>8.5350000000000001</v>
      </c>
      <c r="CP146" s="443">
        <f t="shared" si="474"/>
        <v>17.535</v>
      </c>
      <c r="CQ146" s="443"/>
      <c r="CR146" s="217">
        <f t="shared" si="378"/>
        <v>0.48644793152639093</v>
      </c>
      <c r="CS146" s="172">
        <f t="shared" si="379"/>
        <v>137.82691393247745</v>
      </c>
      <c r="CT146" s="172">
        <f t="shared" si="380"/>
        <v>8.1074655254398493</v>
      </c>
      <c r="CU146" s="217">
        <f t="shared" si="381"/>
        <v>0.81074655254398498</v>
      </c>
      <c r="CV146" s="217">
        <f t="shared" si="382"/>
        <v>11.485576161039788</v>
      </c>
      <c r="CW146" s="217">
        <f t="shared" si="383"/>
        <v>170</v>
      </c>
      <c r="CX146" s="217">
        <f t="shared" si="384"/>
        <v>17.761407624633428</v>
      </c>
      <c r="CY146" s="217">
        <f t="shared" si="385"/>
        <v>0.98674486803519035</v>
      </c>
      <c r="CZ146" s="217">
        <f t="shared" si="386"/>
        <v>1.0405042545186542</v>
      </c>
      <c r="DA146" s="197">
        <f t="shared" si="387"/>
        <v>350</v>
      </c>
      <c r="DB146" s="443">
        <f t="shared" si="388"/>
        <v>350</v>
      </c>
      <c r="DD146" s="217">
        <f t="shared" si="389"/>
        <v>25.032384211169504</v>
      </c>
      <c r="DE146" s="173">
        <f t="shared" si="390"/>
        <v>1.4664548454112187</v>
      </c>
      <c r="DF146" s="173">
        <f t="shared" si="391"/>
        <v>0.30335794952229944</v>
      </c>
      <c r="DG146" s="173"/>
      <c r="DH146" s="173">
        <f t="shared" si="392"/>
        <v>0.78109744190587771</v>
      </c>
      <c r="DI146" s="545">
        <f t="shared" si="393"/>
        <v>878.40211764705884</v>
      </c>
      <c r="DJ146" s="528">
        <f t="shared" si="394"/>
        <v>8.6065366284073561E-2</v>
      </c>
      <c r="DL146" s="173">
        <f t="shared" si="395"/>
        <v>21.079441575688314</v>
      </c>
      <c r="DM146" s="173">
        <f t="shared" si="396"/>
        <v>21.079441575688314</v>
      </c>
      <c r="DN146" s="173">
        <f t="shared" si="397"/>
        <v>6.9378579572999852</v>
      </c>
      <c r="DP146" s="545">
        <f t="shared" si="398"/>
        <v>216</v>
      </c>
      <c r="DQ146" s="460">
        <f t="shared" si="399"/>
        <v>350</v>
      </c>
      <c r="DS146" s="460">
        <f t="shared" si="400"/>
        <v>216</v>
      </c>
      <c r="DT146" s="460">
        <f t="shared" si="401"/>
        <v>350</v>
      </c>
      <c r="DV146" s="5">
        <f t="shared" si="402"/>
        <v>2.8571428571428572</v>
      </c>
      <c r="DW146" s="5">
        <f t="shared" si="403"/>
        <v>1.1710800875382397</v>
      </c>
      <c r="DX146" s="5">
        <f t="shared" si="404"/>
        <v>1.6860627696046175</v>
      </c>
      <c r="DY146" s="173">
        <f t="shared" si="405"/>
        <v>0.40987803063838385</v>
      </c>
      <c r="EA146" s="5">
        <f t="shared" si="406"/>
        <v>0.14879605818132924</v>
      </c>
      <c r="EB146" s="5">
        <f t="shared" si="407"/>
        <v>1.7566201313073593</v>
      </c>
      <c r="EC146" s="5">
        <f t="shared" si="408"/>
        <v>11.006617759978944</v>
      </c>
      <c r="ED146" s="5"/>
      <c r="EE146" s="173">
        <f t="shared" si="409"/>
        <v>7.791584674376729</v>
      </c>
      <c r="EF146" s="173">
        <f t="shared" si="410"/>
        <v>0.4414848311848254</v>
      </c>
      <c r="EG146" s="173">
        <f t="shared" si="411"/>
        <v>0.34905725189092029</v>
      </c>
      <c r="EH146" s="173"/>
      <c r="EI146" s="528">
        <f t="shared" si="412"/>
        <v>2.4283516695192926</v>
      </c>
      <c r="EJ146" s="528">
        <f t="shared" si="413"/>
        <v>3.5576695772858105</v>
      </c>
      <c r="EK146" s="528">
        <f t="shared" si="414"/>
        <v>6.9999999999999993E-2</v>
      </c>
      <c r="EL146" s="528">
        <f t="shared" si="415"/>
        <v>2.1523335750000001E-2</v>
      </c>
      <c r="EM146">
        <f t="shared" si="416"/>
        <v>4.0499999999999998E-3</v>
      </c>
      <c r="EN146" s="460">
        <f t="shared" si="417"/>
        <v>74.05</v>
      </c>
      <c r="EP146" s="460">
        <f t="shared" si="439"/>
        <v>6081.5945825551044</v>
      </c>
      <c r="EQ146" s="173">
        <f t="shared" si="418"/>
        <v>0.1512</v>
      </c>
      <c r="ER146" s="173">
        <f t="shared" si="475"/>
        <v>0.15623999999999999</v>
      </c>
      <c r="ES146" s="528"/>
      <c r="EU146" s="460">
        <f t="shared" si="420"/>
        <v>307.44</v>
      </c>
      <c r="EV146" s="528">
        <f t="shared" si="421"/>
        <v>1.8212637521394694</v>
      </c>
      <c r="EW146" s="528">
        <f t="shared" si="422"/>
        <v>5.847265684988813E-3</v>
      </c>
      <c r="EX146" s="528">
        <f t="shared" si="423"/>
        <v>6.0920482548820689E-4</v>
      </c>
      <c r="EY146" s="528">
        <f t="shared" si="424"/>
        <v>233.76951146748385</v>
      </c>
      <c r="EZ146" s="528"/>
      <c r="FA146" s="625">
        <f t="shared" si="425"/>
        <v>3.8879999999999995</v>
      </c>
      <c r="FB146" s="460">
        <f t="shared" si="426"/>
        <v>239485.23169013381</v>
      </c>
      <c r="FC146" s="173">
        <f t="shared" si="427"/>
        <v>245.87426627268891</v>
      </c>
      <c r="FD146" s="5">
        <f t="shared" si="428"/>
        <v>38.879999999999995</v>
      </c>
      <c r="FE146" s="173">
        <f t="shared" si="429"/>
        <v>0.13653877959028499</v>
      </c>
      <c r="FF146" s="5">
        <f t="shared" si="430"/>
        <v>13.653877959028499</v>
      </c>
      <c r="FG146">
        <f t="shared" si="431"/>
        <v>36</v>
      </c>
      <c r="FI146" s="562">
        <f t="shared" si="432"/>
        <v>-50</v>
      </c>
      <c r="FJ146">
        <f t="shared" si="433"/>
        <v>-50</v>
      </c>
    </row>
    <row r="147" spans="5:166">
      <c r="E147" s="170">
        <v>37</v>
      </c>
      <c r="F147" s="217">
        <f t="shared" si="476"/>
        <v>0.222</v>
      </c>
      <c r="G147" s="217">
        <f t="shared" si="444"/>
        <v>0.185</v>
      </c>
      <c r="H147" s="217">
        <f t="shared" si="445"/>
        <v>37.74</v>
      </c>
      <c r="I147" s="217">
        <f t="shared" si="446"/>
        <v>2.2199999999999998</v>
      </c>
      <c r="J147" s="541">
        <f t="shared" si="447"/>
        <v>8.0906838041896272</v>
      </c>
      <c r="K147" s="443">
        <f t="shared" si="448"/>
        <v>8.5408509086269415</v>
      </c>
      <c r="L147" s="172">
        <f t="shared" si="449"/>
        <v>16.631534712816567</v>
      </c>
      <c r="M147" s="443"/>
      <c r="N147" s="217">
        <f t="shared" si="450"/>
        <v>0.51353354071679291</v>
      </c>
      <c r="O147" s="172">
        <f t="shared" si="451"/>
        <v>130.80043983954386</v>
      </c>
      <c r="P147" s="172">
        <f t="shared" si="452"/>
        <v>7.694143519973168</v>
      </c>
      <c r="Q147" s="217">
        <f t="shared" si="322"/>
        <v>0.76941435199731678</v>
      </c>
      <c r="R147" s="217">
        <f t="shared" si="453"/>
        <v>10.900036653295322</v>
      </c>
      <c r="S147" s="217">
        <f t="shared" si="454"/>
        <v>170</v>
      </c>
      <c r="T147" s="217">
        <f t="shared" si="455"/>
        <v>19.235409323442948</v>
      </c>
      <c r="U147" s="217">
        <f t="shared" si="326"/>
        <v>1.1887381702818622</v>
      </c>
      <c r="V147" s="217">
        <f t="shared" si="327"/>
        <v>1.1260827246155092</v>
      </c>
      <c r="W147" s="197">
        <f t="shared" si="328"/>
        <v>350</v>
      </c>
      <c r="X147" s="443">
        <f t="shared" si="435"/>
        <v>350</v>
      </c>
      <c r="Z147" s="217">
        <f t="shared" si="329"/>
        <v>23.741928575917207</v>
      </c>
      <c r="AA147" s="173">
        <f t="shared" si="330"/>
        <v>1.389904169380592</v>
      </c>
      <c r="AB147" s="173">
        <f t="shared" si="456"/>
        <v>0.27270011503469604</v>
      </c>
      <c r="AC147" s="173"/>
      <c r="AD147" s="173">
        <f t="shared" si="332"/>
        <v>0.78056235122109441</v>
      </c>
      <c r="AE147" s="545">
        <f t="shared" si="457"/>
        <v>903.42106493488029</v>
      </c>
      <c r="AF147" s="528">
        <f t="shared" si="458"/>
        <v>8.6006407217879874E-2</v>
      </c>
      <c r="AH147" s="173">
        <f t="shared" si="459"/>
        <v>21.370206229367895</v>
      </c>
      <c r="AI147" s="173">
        <f t="shared" si="460"/>
        <v>21.370206229367895</v>
      </c>
      <c r="AJ147" s="173">
        <f t="shared" si="461"/>
        <v>7.1532391822478232</v>
      </c>
      <c r="AL147" s="545">
        <f t="shared" si="462"/>
        <v>222</v>
      </c>
      <c r="AM147" s="460">
        <f t="shared" si="463"/>
        <v>350</v>
      </c>
      <c r="AO147" s="460">
        <f t="shared" si="340"/>
        <v>222</v>
      </c>
      <c r="AP147" s="460">
        <f t="shared" si="341"/>
        <v>350</v>
      </c>
      <c r="AR147" s="5">
        <f t="shared" si="443"/>
        <v>2.8571428571428572</v>
      </c>
      <c r="AS147" s="5">
        <f t="shared" si="440"/>
        <v>1.3206674952679331</v>
      </c>
      <c r="AT147" s="5">
        <f t="shared" si="441"/>
        <v>1.5364753618749241</v>
      </c>
      <c r="AU147" s="173">
        <f t="shared" si="442"/>
        <v>0.4622336233437766</v>
      </c>
      <c r="AW147" s="5">
        <f t="shared" si="342"/>
        <v>0.17246363761734185</v>
      </c>
      <c r="AX147" s="5">
        <f t="shared" si="343"/>
        <v>2.0360290552047302</v>
      </c>
      <c r="AY147" s="5">
        <f t="shared" si="344"/>
        <v>11.467328410907815</v>
      </c>
      <c r="AZ147" s="5"/>
      <c r="BA147" s="173">
        <f t="shared" si="345"/>
        <v>8.388394610882079</v>
      </c>
      <c r="BB147" s="173">
        <f t="shared" si="346"/>
        <v>0.42725910749708579</v>
      </c>
      <c r="BC147" s="173">
        <f t="shared" si="347"/>
        <v>0.33780977142080848</v>
      </c>
      <c r="BD147" s="173"/>
      <c r="BE147" s="528">
        <f t="shared" si="348"/>
        <v>2.8146065659150201</v>
      </c>
      <c r="BF147" s="528">
        <f t="shared" si="464"/>
        <v>2.7989271979497752</v>
      </c>
      <c r="BG147" s="528">
        <f t="shared" si="465"/>
        <v>0.11326957325865476</v>
      </c>
      <c r="BH147" s="528">
        <f t="shared" si="351"/>
        <v>1.9362556283253573E-2</v>
      </c>
      <c r="BI147">
        <f t="shared" si="352"/>
        <v>3.6408077118853322E-3</v>
      </c>
      <c r="BJ147" s="460">
        <f t="shared" si="436"/>
        <v>116.9103809705401</v>
      </c>
      <c r="BK147">
        <f t="shared" si="466"/>
        <v>19.299170202864147</v>
      </c>
      <c r="BL147" s="460">
        <f t="shared" si="437"/>
        <v>5749.8067011185894</v>
      </c>
      <c r="BM147" s="173">
        <f t="shared" si="467"/>
        <v>0.19269599999999998</v>
      </c>
      <c r="BN147" s="173">
        <f t="shared" si="468"/>
        <v>0.16058</v>
      </c>
      <c r="BO147" s="528"/>
      <c r="BQ147" s="460">
        <f t="shared" si="356"/>
        <v>353.27599999999995</v>
      </c>
      <c r="BR147" s="528">
        <f t="shared" si="357"/>
        <v>2.1109549244362649</v>
      </c>
      <c r="BS147" s="528">
        <f t="shared" si="358"/>
        <v>5.4765103481761888E-3</v>
      </c>
      <c r="BT147" s="528">
        <f t="shared" si="359"/>
        <v>5.7057720833689435E-4</v>
      </c>
      <c r="BU147" s="528">
        <f t="shared" si="360"/>
        <v>241.91449903105124</v>
      </c>
      <c r="BV147" s="528"/>
      <c r="BW147" s="625">
        <f t="shared" si="469"/>
        <v>3.9960000000000013</v>
      </c>
      <c r="BX147" s="460">
        <f t="shared" si="362"/>
        <v>248027.50104304403</v>
      </c>
      <c r="BY147" s="173">
        <f t="shared" si="363"/>
        <v>254.13058374416261</v>
      </c>
      <c r="BZ147" s="5">
        <f t="shared" si="364"/>
        <v>39.96</v>
      </c>
      <c r="CA147" s="173">
        <f t="shared" si="365"/>
        <v>0.13587650271306304</v>
      </c>
      <c r="CB147" s="5">
        <f t="shared" si="366"/>
        <v>13.587650271306304</v>
      </c>
      <c r="CC147">
        <f t="shared" si="367"/>
        <v>37</v>
      </c>
      <c r="CE147" s="562">
        <f t="shared" si="470"/>
        <v>-50</v>
      </c>
      <c r="CF147">
        <f t="shared" si="471"/>
        <v>-50</v>
      </c>
      <c r="CG147" s="173">
        <f t="shared" si="370"/>
        <v>0.42695127360077689</v>
      </c>
      <c r="CH147" s="173">
        <f t="shared" si="472"/>
        <v>0.10624737804396427</v>
      </c>
      <c r="CI147" s="170">
        <v>37</v>
      </c>
      <c r="CJ147" s="217">
        <f t="shared" si="438"/>
        <v>0.222</v>
      </c>
      <c r="CK147" s="217">
        <f t="shared" si="372"/>
        <v>0.185</v>
      </c>
      <c r="CL147" s="217">
        <f t="shared" si="373"/>
        <v>37.74</v>
      </c>
      <c r="CM147" s="217">
        <f t="shared" si="374"/>
        <v>2.2199999999999998</v>
      </c>
      <c r="CN147" s="541">
        <f t="shared" si="375"/>
        <v>9</v>
      </c>
      <c r="CO147" s="443">
        <f t="shared" si="473"/>
        <v>8.5350000000000001</v>
      </c>
      <c r="CP147" s="443">
        <f t="shared" si="474"/>
        <v>17.535</v>
      </c>
      <c r="CQ147" s="443"/>
      <c r="CR147" s="217">
        <f t="shared" si="378"/>
        <v>0.48644793152639093</v>
      </c>
      <c r="CS147" s="172">
        <f t="shared" si="379"/>
        <v>137.82691393247745</v>
      </c>
      <c r="CT147" s="172">
        <f t="shared" si="380"/>
        <v>8.1074655254398493</v>
      </c>
      <c r="CU147" s="217">
        <f t="shared" si="381"/>
        <v>0.81074655254398498</v>
      </c>
      <c r="CV147" s="217">
        <f t="shared" si="382"/>
        <v>11.485576161039788</v>
      </c>
      <c r="CW147" s="217">
        <f t="shared" si="383"/>
        <v>170</v>
      </c>
      <c r="CX147" s="217">
        <f t="shared" si="384"/>
        <v>18.254780058651026</v>
      </c>
      <c r="CY147" s="217">
        <f t="shared" si="385"/>
        <v>1.0141544477028346</v>
      </c>
      <c r="CZ147" s="217">
        <f t="shared" si="386"/>
        <v>1.0694071504775058</v>
      </c>
      <c r="DA147" s="197">
        <f t="shared" si="387"/>
        <v>350</v>
      </c>
      <c r="DB147" s="443">
        <f t="shared" si="388"/>
        <v>350</v>
      </c>
      <c r="DD147" s="217">
        <f t="shared" si="389"/>
        <v>25.032384211169504</v>
      </c>
      <c r="DE147" s="173">
        <f t="shared" si="390"/>
        <v>1.4664548454112187</v>
      </c>
      <c r="DF147" s="173">
        <f t="shared" si="391"/>
        <v>0.30335794952229944</v>
      </c>
      <c r="DG147" s="173"/>
      <c r="DH147" s="173">
        <f t="shared" si="392"/>
        <v>0.78109744190587771</v>
      </c>
      <c r="DI147" s="545">
        <f t="shared" si="393"/>
        <v>902.80217647058828</v>
      </c>
      <c r="DJ147" s="528">
        <f t="shared" si="394"/>
        <v>8.6065366284073561E-2</v>
      </c>
      <c r="DL147" s="173">
        <f t="shared" si="395"/>
        <v>21.370206229367895</v>
      </c>
      <c r="DM147" s="173">
        <f t="shared" si="396"/>
        <v>21.370206229367895</v>
      </c>
      <c r="DN147" s="173">
        <f t="shared" si="397"/>
        <v>7.1532391822478232</v>
      </c>
      <c r="DP147" s="545">
        <f t="shared" si="398"/>
        <v>222</v>
      </c>
      <c r="DQ147" s="460">
        <f t="shared" si="399"/>
        <v>350</v>
      </c>
      <c r="DS147" s="460">
        <f t="shared" si="400"/>
        <v>222</v>
      </c>
      <c r="DT147" s="460">
        <f t="shared" si="401"/>
        <v>350</v>
      </c>
      <c r="DV147" s="5">
        <f t="shared" si="402"/>
        <v>2.8571428571428572</v>
      </c>
      <c r="DW147" s="5">
        <f t="shared" si="403"/>
        <v>1.1872336794093272</v>
      </c>
      <c r="DX147" s="5">
        <f t="shared" si="404"/>
        <v>1.66990917773353</v>
      </c>
      <c r="DY147" s="173">
        <f t="shared" si="405"/>
        <v>0.4155317877932645</v>
      </c>
      <c r="EA147" s="5">
        <f t="shared" si="406"/>
        <v>0.15503875107580628</v>
      </c>
      <c r="EB147" s="5">
        <f t="shared" si="407"/>
        <v>1.8303185890893794</v>
      </c>
      <c r="EC147" s="5">
        <f t="shared" si="408"/>
        <v>11.203977309806831</v>
      </c>
      <c r="ED147" s="5"/>
      <c r="EE147" s="173">
        <f t="shared" si="409"/>
        <v>7.9533521510699474</v>
      </c>
      <c r="EF147" s="173">
        <f t="shared" si="410"/>
        <v>0.44542537518776659</v>
      </c>
      <c r="EG147" s="173">
        <f t="shared" si="411"/>
        <v>0.35217281864081412</v>
      </c>
      <c r="EH147" s="173"/>
      <c r="EI147" s="528">
        <f t="shared" si="412"/>
        <v>2.5302324175571584</v>
      </c>
      <c r="EJ147" s="528">
        <f t="shared" si="413"/>
        <v>3.6067431999826733</v>
      </c>
      <c r="EK147" s="528">
        <f t="shared" si="414"/>
        <v>6.9999999999999993E-2</v>
      </c>
      <c r="EL147" s="528">
        <f t="shared" si="415"/>
        <v>2.1523335750000001E-2</v>
      </c>
      <c r="EM147">
        <f t="shared" si="416"/>
        <v>4.0499999999999998E-3</v>
      </c>
      <c r="EN147" s="460">
        <f t="shared" si="417"/>
        <v>74.05</v>
      </c>
      <c r="EP147" s="460">
        <f t="shared" si="439"/>
        <v>6232.5489532898337</v>
      </c>
      <c r="EQ147" s="173">
        <f t="shared" si="418"/>
        <v>0.15539999999999998</v>
      </c>
      <c r="ER147" s="173">
        <f t="shared" si="475"/>
        <v>0.16058</v>
      </c>
      <c r="ES147" s="528"/>
      <c r="EU147" s="460">
        <f t="shared" si="420"/>
        <v>315.97999999999996</v>
      </c>
      <c r="EV147" s="528">
        <f t="shared" si="421"/>
        <v>1.8976743131678688</v>
      </c>
      <c r="EW147" s="528">
        <f t="shared" si="422"/>
        <v>5.9521129458348782E-3</v>
      </c>
      <c r="EX147" s="528">
        <f t="shared" si="423"/>
        <v>6.2012847094707882E-4</v>
      </c>
      <c r="EY147" s="528">
        <f t="shared" si="424"/>
        <v>241.91449903105124</v>
      </c>
      <c r="EZ147" s="528"/>
      <c r="FA147" s="625">
        <f t="shared" si="425"/>
        <v>3.9960000000000013</v>
      </c>
      <c r="FB147" s="460">
        <f t="shared" si="426"/>
        <v>247814.74558563592</v>
      </c>
      <c r="FC147" s="173">
        <f t="shared" si="427"/>
        <v>254.36327453892574</v>
      </c>
      <c r="FD147" s="5">
        <f t="shared" si="428"/>
        <v>39.96</v>
      </c>
      <c r="FE147" s="173">
        <f t="shared" si="429"/>
        <v>0.13576907929758403</v>
      </c>
      <c r="FF147" s="5">
        <f t="shared" si="430"/>
        <v>13.576907929758402</v>
      </c>
      <c r="FG147">
        <f t="shared" si="431"/>
        <v>37</v>
      </c>
      <c r="FI147" s="562">
        <f t="shared" si="432"/>
        <v>-50</v>
      </c>
      <c r="FJ147">
        <f t="shared" si="433"/>
        <v>-50</v>
      </c>
    </row>
    <row r="148" spans="5:166">
      <c r="E148" s="170">
        <v>38</v>
      </c>
      <c r="F148" s="217">
        <f t="shared" si="476"/>
        <v>0.22799999999999998</v>
      </c>
      <c r="G148" s="217">
        <f t="shared" si="444"/>
        <v>0.19</v>
      </c>
      <c r="H148" s="217">
        <f t="shared" si="445"/>
        <v>38.76</v>
      </c>
      <c r="I148" s="217">
        <f t="shared" si="446"/>
        <v>2.2800000000000002</v>
      </c>
      <c r="J148" s="541">
        <f t="shared" si="447"/>
        <v>8.0784776715087183</v>
      </c>
      <c r="K148" s="443">
        <f t="shared" si="448"/>
        <v>8.5409294478274251</v>
      </c>
      <c r="L148" s="172">
        <f t="shared" si="449"/>
        <v>16.619407119336145</v>
      </c>
      <c r="M148" s="443"/>
      <c r="N148" s="217">
        <f t="shared" si="450"/>
        <v>0.51391300462760359</v>
      </c>
      <c r="O148" s="172">
        <f t="shared" si="451"/>
        <v>130.69961196424981</v>
      </c>
      <c r="P148" s="172">
        <f t="shared" si="452"/>
        <v>7.6882124684852826</v>
      </c>
      <c r="Q148" s="217">
        <f t="shared" si="322"/>
        <v>0.76882124684852826</v>
      </c>
      <c r="R148" s="217">
        <f t="shared" si="453"/>
        <v>10.891634330354151</v>
      </c>
      <c r="S148" s="217">
        <f t="shared" si="454"/>
        <v>170</v>
      </c>
      <c r="T148" s="217">
        <f t="shared" si="455"/>
        <v>19.770525414465656</v>
      </c>
      <c r="U148" s="217">
        <f t="shared" si="326"/>
        <v>1.2236541473768383</v>
      </c>
      <c r="V148" s="217">
        <f t="shared" si="327"/>
        <v>1.157398942072676</v>
      </c>
      <c r="W148" s="197">
        <f t="shared" si="328"/>
        <v>350</v>
      </c>
      <c r="X148" s="443">
        <f t="shared" si="435"/>
        <v>350</v>
      </c>
      <c r="Z148" s="217">
        <f t="shared" si="329"/>
        <v>23.723627045611732</v>
      </c>
      <c r="AA148" s="173">
        <f t="shared" si="330"/>
        <v>1.3888199867782751</v>
      </c>
      <c r="AB148" s="173">
        <f t="shared" si="456"/>
        <v>0.27227735004017273</v>
      </c>
      <c r="AC148" s="173"/>
      <c r="AD148" s="173">
        <f t="shared" si="332"/>
        <v>0.78055517346094938</v>
      </c>
      <c r="AE148" s="545">
        <f t="shared" si="457"/>
        <v>927.84638260280519</v>
      </c>
      <c r="AF148" s="528">
        <f t="shared" si="458"/>
        <v>8.6005616335049051E-2</v>
      </c>
      <c r="AH148" s="173">
        <f t="shared" si="459"/>
        <v>21.657067470656582</v>
      </c>
      <c r="AI148" s="173">
        <f t="shared" si="460"/>
        <v>21.657067470656582</v>
      </c>
      <c r="AJ148" s="173">
        <f t="shared" si="461"/>
        <v>7.3657289906098136</v>
      </c>
      <c r="AL148" s="545">
        <f t="shared" si="462"/>
        <v>227.99999999999997</v>
      </c>
      <c r="AM148" s="460">
        <f t="shared" si="463"/>
        <v>350</v>
      </c>
      <c r="AO148" s="460">
        <f t="shared" si="340"/>
        <v>227.99999999999997</v>
      </c>
      <c r="AP148" s="460">
        <f t="shared" si="341"/>
        <v>350</v>
      </c>
      <c r="AR148" s="5">
        <f t="shared" si="443"/>
        <v>2.8571428571428572</v>
      </c>
      <c r="AS148" s="5">
        <f t="shared" si="440"/>
        <v>1.3404176103028056</v>
      </c>
      <c r="AT148" s="5">
        <f t="shared" si="441"/>
        <v>1.5167252468400516</v>
      </c>
      <c r="AU148" s="173">
        <f t="shared" si="442"/>
        <v>0.46914616360598194</v>
      </c>
      <c r="AW148" s="5">
        <f t="shared" si="342"/>
        <v>0.17977365597002332</v>
      </c>
      <c r="AX148" s="5">
        <f t="shared" si="343"/>
        <v>2.1223278829794419</v>
      </c>
      <c r="AY148" s="5">
        <f t="shared" si="344"/>
        <v>11.643435401173296</v>
      </c>
      <c r="AZ148" s="5"/>
      <c r="BA148" s="173">
        <f t="shared" si="345"/>
        <v>8.5643243537228031</v>
      </c>
      <c r="BB148" s="173">
        <f t="shared" si="346"/>
        <v>0.43020249315871201</v>
      </c>
      <c r="BC148" s="173">
        <f t="shared" si="347"/>
        <v>0.34013694109398862</v>
      </c>
      <c r="BD148" s="173"/>
      <c r="BE148" s="528">
        <f t="shared" si="348"/>
        <v>2.9339060654307803</v>
      </c>
      <c r="BF148" s="528">
        <f t="shared" si="464"/>
        <v>2.8344300177829642</v>
      </c>
      <c r="BG148" s="528">
        <f t="shared" si="465"/>
        <v>0.11309868740112206</v>
      </c>
      <c r="BH148" s="528">
        <f t="shared" si="351"/>
        <v>1.9334328509876868E-2</v>
      </c>
      <c r="BI148">
        <f t="shared" si="352"/>
        <v>3.6353149521789231E-3</v>
      </c>
      <c r="BJ148" s="460">
        <f t="shared" si="436"/>
        <v>116.73400235330098</v>
      </c>
      <c r="BK148">
        <f t="shared" si="466"/>
        <v>21.722482410566261</v>
      </c>
      <c r="BL148" s="460">
        <f t="shared" si="437"/>
        <v>5904.4044140769229</v>
      </c>
      <c r="BM148" s="173">
        <f t="shared" si="467"/>
        <v>0.19790399999999994</v>
      </c>
      <c r="BN148" s="173">
        <f t="shared" si="468"/>
        <v>0.16491999999999998</v>
      </c>
      <c r="BO148" s="528"/>
      <c r="BQ148" s="460">
        <f t="shared" si="356"/>
        <v>362.8239999999999</v>
      </c>
      <c r="BR148" s="528">
        <f t="shared" si="357"/>
        <v>2.200429549073085</v>
      </c>
      <c r="BS148" s="528">
        <f t="shared" si="358"/>
        <v>5.5522255535991492E-3</v>
      </c>
      <c r="BT148" s="528">
        <f t="shared" si="359"/>
        <v>5.7846569348387743E-4</v>
      </c>
      <c r="BU148" s="528">
        <f t="shared" si="360"/>
        <v>250.11471254225887</v>
      </c>
      <c r="BV148" s="528"/>
      <c r="BW148" s="625">
        <f t="shared" si="469"/>
        <v>4.104000000000001</v>
      </c>
      <c r="BX148" s="460">
        <f t="shared" si="362"/>
        <v>256425.27278257904</v>
      </c>
      <c r="BY148" s="173">
        <f t="shared" si="363"/>
        <v>262.69250119665594</v>
      </c>
      <c r="BZ148" s="5">
        <f t="shared" si="364"/>
        <v>41.04</v>
      </c>
      <c r="CA148" s="173">
        <f t="shared" si="365"/>
        <v>0.135118895206503</v>
      </c>
      <c r="CB148" s="5">
        <f t="shared" si="366"/>
        <v>13.5118895206503</v>
      </c>
      <c r="CC148">
        <f t="shared" si="367"/>
        <v>38</v>
      </c>
      <c r="CE148" s="562">
        <f t="shared" si="470"/>
        <v>-50</v>
      </c>
      <c r="CF148">
        <f t="shared" si="471"/>
        <v>-50</v>
      </c>
      <c r="CG148" s="173">
        <f t="shared" si="370"/>
        <v>0.43268241961782344</v>
      </c>
      <c r="CH148" s="173">
        <f t="shared" si="472"/>
        <v>0.10767358116162422</v>
      </c>
      <c r="CI148" s="170">
        <v>38</v>
      </c>
      <c r="CJ148" s="217">
        <f t="shared" si="438"/>
        <v>0.22799999999999998</v>
      </c>
      <c r="CK148" s="217">
        <f t="shared" si="372"/>
        <v>0.19</v>
      </c>
      <c r="CL148" s="217">
        <f t="shared" si="373"/>
        <v>38.76</v>
      </c>
      <c r="CM148" s="217">
        <f t="shared" si="374"/>
        <v>2.2800000000000002</v>
      </c>
      <c r="CN148" s="541">
        <f t="shared" si="375"/>
        <v>9</v>
      </c>
      <c r="CO148" s="443">
        <f t="shared" si="473"/>
        <v>8.5350000000000001</v>
      </c>
      <c r="CP148" s="443">
        <f t="shared" si="474"/>
        <v>17.535</v>
      </c>
      <c r="CQ148" s="443"/>
      <c r="CR148" s="217">
        <f t="shared" si="378"/>
        <v>0.48644793152639093</v>
      </c>
      <c r="CS148" s="172">
        <f t="shared" si="379"/>
        <v>137.82691393247745</v>
      </c>
      <c r="CT148" s="172">
        <f t="shared" si="380"/>
        <v>8.1074655254398493</v>
      </c>
      <c r="CU148" s="217">
        <f t="shared" si="381"/>
        <v>0.81074655254398498</v>
      </c>
      <c r="CV148" s="217">
        <f t="shared" si="382"/>
        <v>11.485576161039788</v>
      </c>
      <c r="CW148" s="217">
        <f t="shared" si="383"/>
        <v>170</v>
      </c>
      <c r="CX148" s="217">
        <f t="shared" si="384"/>
        <v>18.74815249266862</v>
      </c>
      <c r="CY148" s="217">
        <f t="shared" si="385"/>
        <v>1.0415640273704789</v>
      </c>
      <c r="CZ148" s="217">
        <f t="shared" si="386"/>
        <v>1.0983100464363573</v>
      </c>
      <c r="DA148" s="197">
        <f t="shared" si="387"/>
        <v>350</v>
      </c>
      <c r="DB148" s="443">
        <f t="shared" si="388"/>
        <v>350</v>
      </c>
      <c r="DD148" s="217">
        <f t="shared" si="389"/>
        <v>25.032384211169504</v>
      </c>
      <c r="DE148" s="173">
        <f t="shared" si="390"/>
        <v>1.4664548454112187</v>
      </c>
      <c r="DF148" s="173">
        <f t="shared" si="391"/>
        <v>0.30335794952229944</v>
      </c>
      <c r="DG148" s="173"/>
      <c r="DH148" s="173">
        <f t="shared" si="392"/>
        <v>0.78109744190587771</v>
      </c>
      <c r="DI148" s="545">
        <f t="shared" si="393"/>
        <v>927.2022352941176</v>
      </c>
      <c r="DJ148" s="528">
        <f t="shared" si="394"/>
        <v>8.6065366284073561E-2</v>
      </c>
      <c r="DL148" s="173">
        <f t="shared" si="395"/>
        <v>21.657067470656582</v>
      </c>
      <c r="DM148" s="173">
        <f t="shared" si="396"/>
        <v>21.657067470656582</v>
      </c>
      <c r="DN148" s="173">
        <f t="shared" si="397"/>
        <v>7.3657289906098136</v>
      </c>
      <c r="DP148" s="545">
        <f t="shared" si="398"/>
        <v>227.99999999999997</v>
      </c>
      <c r="DQ148" s="460">
        <f t="shared" si="399"/>
        <v>350</v>
      </c>
      <c r="DS148" s="460">
        <f t="shared" si="400"/>
        <v>227.99999999999997</v>
      </c>
      <c r="DT148" s="460">
        <f t="shared" si="401"/>
        <v>350</v>
      </c>
      <c r="DV148" s="5">
        <f t="shared" si="402"/>
        <v>2.8571428571428572</v>
      </c>
      <c r="DW148" s="5">
        <f t="shared" si="403"/>
        <v>1.2031704150364768</v>
      </c>
      <c r="DX148" s="5">
        <f t="shared" si="404"/>
        <v>1.6539724421063804</v>
      </c>
      <c r="DY148" s="173">
        <f t="shared" si="405"/>
        <v>0.4211096452627669</v>
      </c>
      <c r="EA148" s="5">
        <f t="shared" si="406"/>
        <v>0.1613663850754804</v>
      </c>
      <c r="EB148" s="5">
        <f t="shared" si="407"/>
        <v>1.9050198238077551</v>
      </c>
      <c r="EC148" s="5">
        <f t="shared" si="408"/>
        <v>11.396972774407699</v>
      </c>
      <c r="ED148" s="5"/>
      <c r="EE148" s="173">
        <f t="shared" si="409"/>
        <v>8.1140301398747603</v>
      </c>
      <c r="EF148" s="173">
        <f t="shared" si="410"/>
        <v>0.44924535933066279</v>
      </c>
      <c r="EG148" s="173">
        <f t="shared" si="411"/>
        <v>0.3551930654828353</v>
      </c>
      <c r="EH148" s="173"/>
      <c r="EI148" s="528">
        <f t="shared" si="412"/>
        <v>2.6334994044318409</v>
      </c>
      <c r="EJ148" s="528">
        <f t="shared" si="413"/>
        <v>3.655158026692896</v>
      </c>
      <c r="EK148" s="528">
        <f t="shared" si="414"/>
        <v>6.9999999999999993E-2</v>
      </c>
      <c r="EL148" s="528">
        <f t="shared" si="415"/>
        <v>2.1523335750000001E-2</v>
      </c>
      <c r="EM148">
        <f t="shared" si="416"/>
        <v>4.0499999999999998E-3</v>
      </c>
      <c r="EN148" s="460">
        <f t="shared" si="417"/>
        <v>74.05</v>
      </c>
      <c r="EP148" s="460">
        <f t="shared" si="439"/>
        <v>6384.2307668747371</v>
      </c>
      <c r="EQ148" s="173">
        <f t="shared" si="418"/>
        <v>0.15959999999999996</v>
      </c>
      <c r="ER148" s="173">
        <f t="shared" si="475"/>
        <v>0.16491999999999998</v>
      </c>
      <c r="ES148" s="528"/>
      <c r="EU148" s="460">
        <f t="shared" si="420"/>
        <v>324.51999999999992</v>
      </c>
      <c r="EV148" s="528">
        <f t="shared" si="421"/>
        <v>1.9751245533238806</v>
      </c>
      <c r="EW148" s="528">
        <f t="shared" si="422"/>
        <v>6.0546417864040889E-3</v>
      </c>
      <c r="EX148" s="528">
        <f t="shared" si="423"/>
        <v>6.3081056883546862E-4</v>
      </c>
      <c r="EY148" s="528">
        <f t="shared" si="424"/>
        <v>250.11471254225887</v>
      </c>
      <c r="EZ148" s="528"/>
      <c r="FA148" s="625">
        <f t="shared" si="425"/>
        <v>4.104000000000001</v>
      </c>
      <c r="FB148" s="460">
        <f t="shared" si="426"/>
        <v>256200.52254793796</v>
      </c>
      <c r="FC148" s="173">
        <f t="shared" si="427"/>
        <v>262.90927331481271</v>
      </c>
      <c r="FD148" s="5">
        <f t="shared" si="428"/>
        <v>41.04</v>
      </c>
      <c r="FE148" s="173">
        <f t="shared" si="429"/>
        <v>0.13502253041247836</v>
      </c>
      <c r="FF148" s="5">
        <f t="shared" si="430"/>
        <v>13.502253041247837</v>
      </c>
      <c r="FG148">
        <f t="shared" si="431"/>
        <v>38</v>
      </c>
      <c r="FI148" s="562">
        <f t="shared" si="432"/>
        <v>-50</v>
      </c>
      <c r="FJ148">
        <f t="shared" si="433"/>
        <v>-50</v>
      </c>
    </row>
    <row r="149" spans="5:166">
      <c r="E149" s="170">
        <v>39</v>
      </c>
      <c r="F149" s="217">
        <f t="shared" si="476"/>
        <v>0.23399999999999999</v>
      </c>
      <c r="G149" s="217">
        <f t="shared" si="444"/>
        <v>0.19500000000000001</v>
      </c>
      <c r="H149" s="217">
        <f t="shared" si="445"/>
        <v>39.78</v>
      </c>
      <c r="I149" s="217">
        <f t="shared" si="446"/>
        <v>2.34</v>
      </c>
      <c r="J149" s="541">
        <f t="shared" si="447"/>
        <v>8.0664311167069993</v>
      </c>
      <c r="K149" s="443">
        <f t="shared" si="448"/>
        <v>8.5410069602392102</v>
      </c>
      <c r="L149" s="172">
        <f t="shared" si="449"/>
        <v>16.60743807694621</v>
      </c>
      <c r="M149" s="443"/>
      <c r="N149" s="217">
        <f t="shared" si="450"/>
        <v>0.51428805097250363</v>
      </c>
      <c r="O149" s="172">
        <f t="shared" si="451"/>
        <v>130.59995432288591</v>
      </c>
      <c r="P149" s="172">
        <f t="shared" si="452"/>
        <v>7.6823502542874058</v>
      </c>
      <c r="Q149" s="217">
        <f t="shared" si="322"/>
        <v>0.76823502542874067</v>
      </c>
      <c r="R149" s="217">
        <f t="shared" si="453"/>
        <v>10.883329526907159</v>
      </c>
      <c r="S149" s="217">
        <f t="shared" si="454"/>
        <v>170</v>
      </c>
      <c r="T149" s="217">
        <f t="shared" si="455"/>
        <v>20.306285815716194</v>
      </c>
      <c r="U149" s="217">
        <f t="shared" si="326"/>
        <v>1.2586908337727138</v>
      </c>
      <c r="V149" s="217">
        <f t="shared" si="327"/>
        <v>1.1887524451301623</v>
      </c>
      <c r="W149" s="197">
        <f t="shared" si="328"/>
        <v>350</v>
      </c>
      <c r="X149" s="443">
        <f t="shared" si="435"/>
        <v>350</v>
      </c>
      <c r="Z149" s="217">
        <f t="shared" si="329"/>
        <v>23.705537927515426</v>
      </c>
      <c r="AA149" s="173">
        <f t="shared" si="330"/>
        <v>1.3877484257928467</v>
      </c>
      <c r="AB149" s="173">
        <f t="shared" si="456"/>
        <v>0.27185982153030391</v>
      </c>
      <c r="AC149" s="173"/>
      <c r="AD149" s="173">
        <f t="shared" si="332"/>
        <v>0.78054808966927147</v>
      </c>
      <c r="AE149" s="545">
        <f t="shared" si="457"/>
        <v>952.2720348492586</v>
      </c>
      <c r="AF149" s="528">
        <f t="shared" si="458"/>
        <v>8.6004835806151217E-2</v>
      </c>
      <c r="AH149" s="173">
        <f t="shared" si="459"/>
        <v>21.940178407921589</v>
      </c>
      <c r="AI149" s="173">
        <f t="shared" si="460"/>
        <v>21.940178407921589</v>
      </c>
      <c r="AJ149" s="173">
        <f t="shared" si="461"/>
        <v>7.5754407959912999</v>
      </c>
      <c r="AL149" s="545">
        <f t="shared" si="462"/>
        <v>234</v>
      </c>
      <c r="AM149" s="460">
        <f t="shared" si="463"/>
        <v>350</v>
      </c>
      <c r="AO149" s="460">
        <f t="shared" si="340"/>
        <v>234</v>
      </c>
      <c r="AP149" s="460">
        <f t="shared" si="341"/>
        <v>350</v>
      </c>
      <c r="AR149" s="5">
        <f t="shared" si="443"/>
        <v>2.8571428571428572</v>
      </c>
      <c r="AS149" s="5">
        <f t="shared" si="440"/>
        <v>1.3599681253385785</v>
      </c>
      <c r="AT149" s="5">
        <f t="shared" si="441"/>
        <v>1.4971747318042787</v>
      </c>
      <c r="AU149" s="173">
        <f t="shared" si="442"/>
        <v>0.47598884386850243</v>
      </c>
      <c r="AW149" s="5">
        <f t="shared" si="342"/>
        <v>0.1871956125466043</v>
      </c>
      <c r="AX149" s="5">
        <f t="shared" si="343"/>
        <v>2.2099482036751903</v>
      </c>
      <c r="AY149" s="5">
        <f t="shared" si="344"/>
        <v>11.813424791108904</v>
      </c>
      <c r="AZ149" s="5"/>
      <c r="BA149" s="173">
        <f t="shared" si="345"/>
        <v>8.7393254842129888</v>
      </c>
      <c r="BB149" s="173">
        <f t="shared" si="346"/>
        <v>0.43300829350751385</v>
      </c>
      <c r="BC149" s="173">
        <f t="shared" si="347"/>
        <v>0.34235532979033167</v>
      </c>
      <c r="BD149" s="173"/>
      <c r="BE149" s="528">
        <f t="shared" si="348"/>
        <v>3.0550323967605837</v>
      </c>
      <c r="BF149" s="528">
        <f t="shared" si="464"/>
        <v>2.8694149651653418</v>
      </c>
      <c r="BG149" s="528">
        <f t="shared" si="465"/>
        <v>0.112930035633898</v>
      </c>
      <c r="BH149" s="528">
        <f t="shared" si="351"/>
        <v>1.9306489963572201E-2</v>
      </c>
      <c r="BI149">
        <f t="shared" si="352"/>
        <v>3.6298940025181496E-3</v>
      </c>
      <c r="BJ149" s="460">
        <f t="shared" si="436"/>
        <v>116.55992963641614</v>
      </c>
      <c r="BK149">
        <f t="shared" si="466"/>
        <v>24.691764052119634</v>
      </c>
      <c r="BL149" s="460">
        <f t="shared" si="437"/>
        <v>6060.3137815259142</v>
      </c>
      <c r="BM149" s="173">
        <f t="shared" si="467"/>
        <v>0.20311199999999996</v>
      </c>
      <c r="BN149" s="173">
        <f t="shared" si="468"/>
        <v>0.16925999999999997</v>
      </c>
      <c r="BO149" s="528"/>
      <c r="BQ149" s="460">
        <f t="shared" si="356"/>
        <v>372.3719999999999</v>
      </c>
      <c r="BR149" s="528">
        <f t="shared" si="357"/>
        <v>2.2912742975704377</v>
      </c>
      <c r="BS149" s="528">
        <f t="shared" si="358"/>
        <v>5.6248854673886777E-3</v>
      </c>
      <c r="BT149" s="528">
        <f t="shared" si="359"/>
        <v>5.8603585917923388E-4</v>
      </c>
      <c r="BU149" s="528">
        <f t="shared" si="360"/>
        <v>258.36905816519129</v>
      </c>
      <c r="BV149" s="528"/>
      <c r="BW149" s="625">
        <f t="shared" si="469"/>
        <v>4.2120000000000024</v>
      </c>
      <c r="BX149" s="460">
        <f t="shared" si="362"/>
        <v>264878.54338408826</v>
      </c>
      <c r="BY149" s="173">
        <f t="shared" si="363"/>
        <v>271.31122916561418</v>
      </c>
      <c r="BZ149" s="5">
        <f t="shared" si="364"/>
        <v>42.120000000000005</v>
      </c>
      <c r="CA149" s="173">
        <f t="shared" si="365"/>
        <v>0.13438354599229863</v>
      </c>
      <c r="CB149" s="5">
        <f t="shared" si="366"/>
        <v>13.438354599229863</v>
      </c>
      <c r="CC149">
        <f t="shared" si="367"/>
        <v>39</v>
      </c>
      <c r="CE149" s="562">
        <f t="shared" si="470"/>
        <v>-50</v>
      </c>
      <c r="CF149">
        <f t="shared" si="471"/>
        <v>-50</v>
      </c>
      <c r="CG149" s="173">
        <f t="shared" si="370"/>
        <v>0.43833863902620207</v>
      </c>
      <c r="CH149" s="173">
        <f t="shared" si="472"/>
        <v>0.10908113869556314</v>
      </c>
      <c r="CI149" s="170">
        <v>39</v>
      </c>
      <c r="CJ149" s="217">
        <f t="shared" si="438"/>
        <v>0.23399999999999999</v>
      </c>
      <c r="CK149" s="217">
        <f t="shared" si="372"/>
        <v>0.19500000000000001</v>
      </c>
      <c r="CL149" s="217">
        <f t="shared" si="373"/>
        <v>39.78</v>
      </c>
      <c r="CM149" s="217">
        <f t="shared" si="374"/>
        <v>2.34</v>
      </c>
      <c r="CN149" s="541">
        <f t="shared" si="375"/>
        <v>9</v>
      </c>
      <c r="CO149" s="443">
        <f t="shared" si="473"/>
        <v>8.5350000000000001</v>
      </c>
      <c r="CP149" s="443">
        <f t="shared" si="474"/>
        <v>17.535</v>
      </c>
      <c r="CQ149" s="443"/>
      <c r="CR149" s="217">
        <f t="shared" si="378"/>
        <v>0.48644793152639093</v>
      </c>
      <c r="CS149" s="172">
        <f t="shared" si="379"/>
        <v>137.82691393247745</v>
      </c>
      <c r="CT149" s="172">
        <f t="shared" si="380"/>
        <v>8.1074655254398493</v>
      </c>
      <c r="CU149" s="217">
        <f t="shared" si="381"/>
        <v>0.81074655254398498</v>
      </c>
      <c r="CV149" s="217">
        <f t="shared" si="382"/>
        <v>11.485576161039788</v>
      </c>
      <c r="CW149" s="217">
        <f t="shared" si="383"/>
        <v>170</v>
      </c>
      <c r="CX149" s="217">
        <f t="shared" si="384"/>
        <v>19.241524926686218</v>
      </c>
      <c r="CY149" s="217">
        <f t="shared" si="385"/>
        <v>1.0689736070381233</v>
      </c>
      <c r="CZ149" s="217">
        <f t="shared" si="386"/>
        <v>1.1272129423952089</v>
      </c>
      <c r="DA149" s="197">
        <f t="shared" si="387"/>
        <v>350</v>
      </c>
      <c r="DB149" s="443">
        <f t="shared" si="388"/>
        <v>350</v>
      </c>
      <c r="DD149" s="217">
        <f t="shared" si="389"/>
        <v>25.032384211169504</v>
      </c>
      <c r="DE149" s="173">
        <f t="shared" si="390"/>
        <v>1.4664548454112187</v>
      </c>
      <c r="DF149" s="173">
        <f t="shared" si="391"/>
        <v>0.30335794952229944</v>
      </c>
      <c r="DG149" s="173"/>
      <c r="DH149" s="173">
        <f t="shared" si="392"/>
        <v>0.78109744190587771</v>
      </c>
      <c r="DI149" s="545">
        <f t="shared" si="393"/>
        <v>951.60229411764703</v>
      </c>
      <c r="DJ149" s="528">
        <f t="shared" si="394"/>
        <v>8.6065366284073561E-2</v>
      </c>
      <c r="DL149" s="173">
        <f t="shared" si="395"/>
        <v>21.940178407921589</v>
      </c>
      <c r="DM149" s="173">
        <f t="shared" si="396"/>
        <v>21.940178407921589</v>
      </c>
      <c r="DN149" s="173">
        <f t="shared" si="397"/>
        <v>7.5754407959912999</v>
      </c>
      <c r="DP149" s="545">
        <f t="shared" si="398"/>
        <v>234</v>
      </c>
      <c r="DQ149" s="460">
        <f t="shared" si="399"/>
        <v>350</v>
      </c>
      <c r="DS149" s="460">
        <f t="shared" si="400"/>
        <v>234</v>
      </c>
      <c r="DT149" s="460">
        <f t="shared" si="401"/>
        <v>350</v>
      </c>
      <c r="DV149" s="5">
        <f t="shared" si="402"/>
        <v>2.8571428571428572</v>
      </c>
      <c r="DW149" s="5">
        <f t="shared" si="403"/>
        <v>1.2188988004400882</v>
      </c>
      <c r="DX149" s="5">
        <f t="shared" si="404"/>
        <v>1.638244056702769</v>
      </c>
      <c r="DY149" s="173">
        <f t="shared" si="405"/>
        <v>0.42661458015403086</v>
      </c>
      <c r="EA149" s="5">
        <f t="shared" si="406"/>
        <v>0.16777783488410627</v>
      </c>
      <c r="EB149" s="5">
        <f t="shared" si="407"/>
        <v>1.9807105507151432</v>
      </c>
      <c r="EC149" s="5">
        <f t="shared" si="408"/>
        <v>11.585661969001981</v>
      </c>
      <c r="ED149" s="5"/>
      <c r="EE149" s="173">
        <f t="shared" si="409"/>
        <v>8.2736543699090657</v>
      </c>
      <c r="EF149" s="173">
        <f t="shared" si="410"/>
        <v>0.45294896405048796</v>
      </c>
      <c r="EG149" s="173">
        <f t="shared" si="411"/>
        <v>0.35812129765362805</v>
      </c>
      <c r="EH149" s="173"/>
      <c r="EI149" s="528">
        <f t="shared" si="412"/>
        <v>2.7381342653086156</v>
      </c>
      <c r="EJ149" s="528">
        <f t="shared" si="413"/>
        <v>3.7029398981854613</v>
      </c>
      <c r="EK149" s="528">
        <f t="shared" si="414"/>
        <v>6.9999999999999993E-2</v>
      </c>
      <c r="EL149" s="528">
        <f t="shared" si="415"/>
        <v>2.1523335750000001E-2</v>
      </c>
      <c r="EM149">
        <f t="shared" si="416"/>
        <v>4.0499999999999998E-3</v>
      </c>
      <c r="EN149" s="460">
        <f t="shared" si="417"/>
        <v>74.05</v>
      </c>
      <c r="EP149" s="460">
        <f t="shared" si="439"/>
        <v>6536.6474992440781</v>
      </c>
      <c r="EQ149" s="173">
        <f t="shared" si="418"/>
        <v>0.16379999999999997</v>
      </c>
      <c r="ER149" s="173">
        <f t="shared" si="475"/>
        <v>0.16925999999999997</v>
      </c>
      <c r="ES149" s="528"/>
      <c r="EU149" s="460">
        <f t="shared" si="420"/>
        <v>333.05999999999989</v>
      </c>
      <c r="EV149" s="528">
        <f t="shared" si="421"/>
        <v>2.0536006989814615</v>
      </c>
      <c r="EW149" s="528">
        <f t="shared" si="422"/>
        <v>6.1548829210323064E-3</v>
      </c>
      <c r="EX149" s="528">
        <f t="shared" si="423"/>
        <v>6.4125431916559224E-4</v>
      </c>
      <c r="EY149" s="528">
        <f t="shared" si="424"/>
        <v>258.36905816519129</v>
      </c>
      <c r="EZ149" s="528"/>
      <c r="FA149" s="625">
        <f t="shared" si="425"/>
        <v>4.2120000000000024</v>
      </c>
      <c r="FB149" s="460">
        <f t="shared" si="426"/>
        <v>264641.45500141295</v>
      </c>
      <c r="FC149" s="173">
        <f t="shared" si="427"/>
        <v>271.51116250065701</v>
      </c>
      <c r="FD149" s="5">
        <f t="shared" si="428"/>
        <v>42.120000000000005</v>
      </c>
      <c r="FE149" s="173">
        <f t="shared" si="429"/>
        <v>0.13429787928012979</v>
      </c>
      <c r="FF149" s="5">
        <f t="shared" si="430"/>
        <v>13.429787928012979</v>
      </c>
      <c r="FG149">
        <f t="shared" si="431"/>
        <v>39</v>
      </c>
      <c r="FI149" s="562">
        <f t="shared" si="432"/>
        <v>-50</v>
      </c>
      <c r="FJ149">
        <f t="shared" si="433"/>
        <v>-50</v>
      </c>
    </row>
    <row r="150" spans="5:166">
      <c r="E150" s="170">
        <v>40</v>
      </c>
      <c r="F150" s="217">
        <f t="shared" si="476"/>
        <v>0.24</v>
      </c>
      <c r="G150" s="217">
        <f t="shared" si="444"/>
        <v>0.2</v>
      </c>
      <c r="H150" s="217">
        <f t="shared" si="445"/>
        <v>40.799999999999997</v>
      </c>
      <c r="I150" s="217">
        <f t="shared" si="446"/>
        <v>2.4000000000000004</v>
      </c>
      <c r="J150" s="541">
        <f t="shared" si="447"/>
        <v>8.0545380400048412</v>
      </c>
      <c r="K150" s="443">
        <f t="shared" si="448"/>
        <v>8.5410834851107555</v>
      </c>
      <c r="L150" s="172">
        <f t="shared" si="449"/>
        <v>16.595621525115597</v>
      </c>
      <c r="M150" s="443"/>
      <c r="N150" s="217">
        <f t="shared" si="450"/>
        <v>0.5146588497565332</v>
      </c>
      <c r="O150" s="172">
        <f t="shared" si="451"/>
        <v>130.50142187188013</v>
      </c>
      <c r="P150" s="172">
        <f t="shared" si="452"/>
        <v>7.6765542277576548</v>
      </c>
      <c r="Q150" s="217">
        <f t="shared" si="322"/>
        <v>0.76765542277576548</v>
      </c>
      <c r="R150" s="217">
        <f t="shared" si="453"/>
        <v>10.875118489323343</v>
      </c>
      <c r="S150" s="217">
        <f t="shared" si="454"/>
        <v>170</v>
      </c>
      <c r="T150" s="217">
        <f t="shared" si="455"/>
        <v>20.842684784464357</v>
      </c>
      <c r="U150" s="217">
        <f t="shared" si="326"/>
        <v>1.2938473119714653</v>
      </c>
      <c r="V150" s="217">
        <f t="shared" si="327"/>
        <v>1.2201429022909311</v>
      </c>
      <c r="W150" s="197">
        <f t="shared" si="328"/>
        <v>350</v>
      </c>
      <c r="X150" s="443">
        <f t="shared" si="435"/>
        <v>350</v>
      </c>
      <c r="Z150" s="217">
        <f t="shared" si="329"/>
        <v>23.687653045652191</v>
      </c>
      <c r="AA150" s="173">
        <f t="shared" si="330"/>
        <v>1.3866890006956198</v>
      </c>
      <c r="AB150" s="173">
        <f t="shared" si="456"/>
        <v>0.27144732942731242</v>
      </c>
      <c r="AC150" s="173"/>
      <c r="AD150" s="173">
        <f t="shared" si="332"/>
        <v>0.7805410962541619</v>
      </c>
      <c r="AE150" s="545">
        <f t="shared" si="457"/>
        <v>976.69801735619433</v>
      </c>
      <c r="AF150" s="528">
        <f t="shared" si="458"/>
        <v>8.6004065235412291E-2</v>
      </c>
      <c r="AH150" s="173">
        <f t="shared" si="459"/>
        <v>22.219682394541234</v>
      </c>
      <c r="AI150" s="173">
        <f t="shared" si="460"/>
        <v>22.219682394541234</v>
      </c>
      <c r="AJ150" s="173">
        <f t="shared" si="461"/>
        <v>7.7824807860799261</v>
      </c>
      <c r="AL150" s="545">
        <f t="shared" si="462"/>
        <v>240</v>
      </c>
      <c r="AM150" s="460">
        <f t="shared" si="463"/>
        <v>350</v>
      </c>
      <c r="AO150" s="460">
        <f t="shared" si="340"/>
        <v>240</v>
      </c>
      <c r="AP150" s="460">
        <f t="shared" si="341"/>
        <v>350</v>
      </c>
      <c r="AR150" s="5">
        <f t="shared" si="443"/>
        <v>2.8571428571428572</v>
      </c>
      <c r="AS150" s="5">
        <f t="shared" si="440"/>
        <v>1.3793269262732215</v>
      </c>
      <c r="AT150" s="5">
        <f t="shared" si="441"/>
        <v>1.4778159308696357</v>
      </c>
      <c r="AU150" s="173">
        <f t="shared" si="442"/>
        <v>0.48276442419562754</v>
      </c>
      <c r="AW150" s="5">
        <f t="shared" si="342"/>
        <v>0.19472850723857246</v>
      </c>
      <c r="AX150" s="5">
        <f t="shared" si="343"/>
        <v>2.2988782104553698</v>
      </c>
      <c r="AY150" s="5">
        <f t="shared" si="344"/>
        <v>11.977325513644459</v>
      </c>
      <c r="AZ150" s="5"/>
      <c r="BA150" s="173">
        <f t="shared" si="345"/>
        <v>8.9134298086279653</v>
      </c>
      <c r="BB150" s="173">
        <f t="shared" si="346"/>
        <v>0.4356802109709596</v>
      </c>
      <c r="BC150" s="173">
        <f t="shared" si="347"/>
        <v>0.34446786481122188</v>
      </c>
      <c r="BD150" s="173"/>
      <c r="BE150" s="528">
        <f t="shared" si="348"/>
        <v>3.1779692381335027</v>
      </c>
      <c r="BF150" s="528">
        <f t="shared" si="464"/>
        <v>2.9039018354961343</v>
      </c>
      <c r="BG150" s="528">
        <f t="shared" si="465"/>
        <v>0.11276353256006778</v>
      </c>
      <c r="BH150" s="528">
        <f t="shared" si="351"/>
        <v>1.927902576634161E-2</v>
      </c>
      <c r="BI150">
        <f t="shared" si="352"/>
        <v>3.6245421180021785E-3</v>
      </c>
      <c r="BJ150" s="460">
        <f t="shared" si="436"/>
        <v>116.38807467806996</v>
      </c>
      <c r="BK150">
        <f t="shared" si="466"/>
        <v>28.414820426741265</v>
      </c>
      <c r="BL150" s="460">
        <f t="shared" si="437"/>
        <v>6217.5381740740495</v>
      </c>
      <c r="BM150" s="173">
        <f t="shared" si="467"/>
        <v>0.20831999999999998</v>
      </c>
      <c r="BN150" s="173">
        <f t="shared" si="468"/>
        <v>0.17359999999999998</v>
      </c>
      <c r="BO150" s="528"/>
      <c r="BQ150" s="460">
        <f t="shared" si="356"/>
        <v>381.9199999999999</v>
      </c>
      <c r="BR150" s="528">
        <f t="shared" si="357"/>
        <v>2.3834769286001269</v>
      </c>
      <c r="BS150" s="528">
        <f t="shared" si="358"/>
        <v>5.6945173869509961E-3</v>
      </c>
      <c r="BT150" s="528">
        <f t="shared" si="359"/>
        <v>5.9329054943801126E-4</v>
      </c>
      <c r="BU150" s="528">
        <f t="shared" si="360"/>
        <v>266.67649132133914</v>
      </c>
      <c r="BV150" s="528"/>
      <c r="BW150" s="625">
        <f t="shared" si="469"/>
        <v>4.32</v>
      </c>
      <c r="BX150" s="460">
        <f t="shared" si="362"/>
        <v>273386.25605787564</v>
      </c>
      <c r="BY150" s="173">
        <f t="shared" si="363"/>
        <v>279.98571423194971</v>
      </c>
      <c r="BZ150" s="5">
        <f t="shared" si="364"/>
        <v>43.199999999999996</v>
      </c>
      <c r="CA150" s="173">
        <f t="shared" si="365"/>
        <v>0.13366927465424863</v>
      </c>
      <c r="CB150" s="5">
        <f t="shared" si="366"/>
        <v>13.366927465424864</v>
      </c>
      <c r="CC150">
        <f t="shared" si="367"/>
        <v>40</v>
      </c>
      <c r="CE150" s="562">
        <f t="shared" si="470"/>
        <v>-50</v>
      </c>
      <c r="CF150">
        <f t="shared" si="471"/>
        <v>-50</v>
      </c>
      <c r="CG150" s="173">
        <f t="shared" si="370"/>
        <v>0.44392279585571165</v>
      </c>
      <c r="CH150" s="173">
        <f t="shared" si="472"/>
        <v>0.11047076336331031</v>
      </c>
      <c r="CI150" s="170">
        <v>40</v>
      </c>
      <c r="CJ150" s="217">
        <f t="shared" si="438"/>
        <v>0.24</v>
      </c>
      <c r="CK150" s="217">
        <f t="shared" si="372"/>
        <v>0.2</v>
      </c>
      <c r="CL150" s="217">
        <f t="shared" si="373"/>
        <v>40.799999999999997</v>
      </c>
      <c r="CM150" s="217">
        <f t="shared" si="374"/>
        <v>2.4000000000000004</v>
      </c>
      <c r="CN150" s="541">
        <f t="shared" si="375"/>
        <v>9</v>
      </c>
      <c r="CO150" s="443">
        <f t="shared" si="473"/>
        <v>8.5350000000000001</v>
      </c>
      <c r="CP150" s="443">
        <f t="shared" si="474"/>
        <v>17.535</v>
      </c>
      <c r="CQ150" s="443"/>
      <c r="CR150" s="217">
        <f t="shared" si="378"/>
        <v>0.48644793152639093</v>
      </c>
      <c r="CS150" s="172">
        <f t="shared" si="379"/>
        <v>137.82691393247745</v>
      </c>
      <c r="CT150" s="172">
        <f t="shared" si="380"/>
        <v>8.1074655254398493</v>
      </c>
      <c r="CU150" s="217">
        <f t="shared" si="381"/>
        <v>0.81074655254398498</v>
      </c>
      <c r="CV150" s="217">
        <f t="shared" si="382"/>
        <v>11.485576161039788</v>
      </c>
      <c r="CW150" s="217">
        <f t="shared" si="383"/>
        <v>170</v>
      </c>
      <c r="CX150" s="217">
        <f t="shared" si="384"/>
        <v>19.734897360703808</v>
      </c>
      <c r="CY150" s="217">
        <f t="shared" si="385"/>
        <v>1.0963831867057672</v>
      </c>
      <c r="CZ150" s="217">
        <f t="shared" si="386"/>
        <v>1.1561158383540604</v>
      </c>
      <c r="DA150" s="197">
        <f t="shared" si="387"/>
        <v>350</v>
      </c>
      <c r="DB150" s="443">
        <f t="shared" si="388"/>
        <v>350</v>
      </c>
      <c r="DD150" s="217">
        <f t="shared" si="389"/>
        <v>25.032384211169504</v>
      </c>
      <c r="DE150" s="173">
        <f t="shared" si="390"/>
        <v>1.4664548454112187</v>
      </c>
      <c r="DF150" s="173">
        <f t="shared" si="391"/>
        <v>0.30335794952229944</v>
      </c>
      <c r="DG150" s="173"/>
      <c r="DH150" s="173">
        <f t="shared" si="392"/>
        <v>0.78109744190587771</v>
      </c>
      <c r="DI150" s="545">
        <f t="shared" si="393"/>
        <v>976.00235294117635</v>
      </c>
      <c r="DJ150" s="528">
        <f t="shared" si="394"/>
        <v>8.6065366284073561E-2</v>
      </c>
      <c r="DL150" s="173">
        <f t="shared" si="395"/>
        <v>22.219682394541234</v>
      </c>
      <c r="DM150" s="173">
        <f t="shared" si="396"/>
        <v>22.219682394541234</v>
      </c>
      <c r="DN150" s="173">
        <f t="shared" si="397"/>
        <v>7.7824807860799261</v>
      </c>
      <c r="DP150" s="545">
        <f t="shared" si="398"/>
        <v>240</v>
      </c>
      <c r="DQ150" s="460">
        <f t="shared" si="399"/>
        <v>350</v>
      </c>
      <c r="DS150" s="460">
        <f t="shared" si="400"/>
        <v>240</v>
      </c>
      <c r="DT150" s="460">
        <f t="shared" si="401"/>
        <v>350</v>
      </c>
      <c r="DV150" s="5">
        <f t="shared" si="402"/>
        <v>2.8571428571428572</v>
      </c>
      <c r="DW150" s="5">
        <f t="shared" si="403"/>
        <v>1.2344267996967351</v>
      </c>
      <c r="DX150" s="5">
        <f t="shared" si="404"/>
        <v>1.6227160574461221</v>
      </c>
      <c r="DY150" s="173">
        <f t="shared" si="405"/>
        <v>0.43204937989385728</v>
      </c>
      <c r="EA150" s="5">
        <f t="shared" si="406"/>
        <v>0.17427201878071555</v>
      </c>
      <c r="EB150" s="5">
        <f t="shared" si="407"/>
        <v>2.0573779994945585</v>
      </c>
      <c r="EC150" s="5">
        <f t="shared" si="408"/>
        <v>11.770100470009206</v>
      </c>
      <c r="ED150" s="5"/>
      <c r="EE150" s="173">
        <f t="shared" si="409"/>
        <v>8.432258514925401</v>
      </c>
      <c r="EF150" s="173">
        <f t="shared" si="410"/>
        <v>0.45654009954192015</v>
      </c>
      <c r="EG150" s="173">
        <f t="shared" si="411"/>
        <v>0.36096060672443614</v>
      </c>
      <c r="EH150" s="173"/>
      <c r="EI150" s="528">
        <f t="shared" si="412"/>
        <v>2.8441193465012771</v>
      </c>
      <c r="EJ150" s="528">
        <f t="shared" si="413"/>
        <v>3.7501130088372006</v>
      </c>
      <c r="EK150" s="528">
        <f t="shared" si="414"/>
        <v>6.9999999999999993E-2</v>
      </c>
      <c r="EL150" s="528">
        <f t="shared" si="415"/>
        <v>2.1523335750000001E-2</v>
      </c>
      <c r="EM150">
        <f t="shared" si="416"/>
        <v>4.0499999999999998E-3</v>
      </c>
      <c r="EN150" s="460">
        <f t="shared" si="417"/>
        <v>74.05</v>
      </c>
      <c r="EP150" s="460">
        <f t="shared" si="439"/>
        <v>6689.8056910884789</v>
      </c>
      <c r="EQ150" s="173">
        <f t="shared" si="418"/>
        <v>0.16799999999999998</v>
      </c>
      <c r="ER150" s="173">
        <f t="shared" si="475"/>
        <v>0.17359999999999998</v>
      </c>
      <c r="ES150" s="528"/>
      <c r="EU150" s="460">
        <f t="shared" si="420"/>
        <v>341.59999999999997</v>
      </c>
      <c r="EV150" s="528">
        <f t="shared" si="421"/>
        <v>2.1330895098759579</v>
      </c>
      <c r="EW150" s="528">
        <f t="shared" si="422"/>
        <v>6.2528658746923912E-3</v>
      </c>
      <c r="EX150" s="528">
        <f t="shared" si="423"/>
        <v>6.5146279803436527E-4</v>
      </c>
      <c r="EY150" s="528">
        <f t="shared" si="424"/>
        <v>266.67649132133914</v>
      </c>
      <c r="EZ150" s="528"/>
      <c r="FA150" s="625">
        <f t="shared" si="425"/>
        <v>4.32</v>
      </c>
      <c r="FB150" s="460">
        <f t="shared" si="426"/>
        <v>273136.48515988782</v>
      </c>
      <c r="FC150" s="173">
        <f t="shared" si="427"/>
        <v>280.16789085097628</v>
      </c>
      <c r="FD150" s="5">
        <f t="shared" si="428"/>
        <v>43.199999999999996</v>
      </c>
      <c r="FE150" s="173">
        <f t="shared" si="429"/>
        <v>0.1335939690434777</v>
      </c>
      <c r="FF150" s="5">
        <f t="shared" si="430"/>
        <v>13.35939690434777</v>
      </c>
      <c r="FG150">
        <f t="shared" si="431"/>
        <v>40</v>
      </c>
      <c r="FI150" s="562">
        <f t="shared" si="432"/>
        <v>-50</v>
      </c>
      <c r="FJ150">
        <f t="shared" si="433"/>
        <v>-50</v>
      </c>
    </row>
    <row r="151" spans="5:166">
      <c r="E151" s="170">
        <v>41</v>
      </c>
      <c r="F151" s="217">
        <f t="shared" si="476"/>
        <v>0.24599999999999997</v>
      </c>
      <c r="G151" s="217">
        <f t="shared" si="444"/>
        <v>0.20499999999999999</v>
      </c>
      <c r="H151" s="217">
        <f t="shared" si="445"/>
        <v>41.819999999999993</v>
      </c>
      <c r="I151" s="217">
        <f t="shared" si="446"/>
        <v>2.46</v>
      </c>
      <c r="J151" s="541">
        <f t="shared" si="447"/>
        <v>8.0427927205966121</v>
      </c>
      <c r="K151" s="443">
        <f t="shared" si="448"/>
        <v>8.5411590592520366</v>
      </c>
      <c r="L151" s="172">
        <f t="shared" si="449"/>
        <v>16.583951779848647</v>
      </c>
      <c r="M151" s="443"/>
      <c r="N151" s="217">
        <f t="shared" si="450"/>
        <v>0.51502556041139114</v>
      </c>
      <c r="O151" s="172">
        <f t="shared" si="451"/>
        <v>130.40397236919404</v>
      </c>
      <c r="P151" s="172">
        <f t="shared" si="452"/>
        <v>7.6708219040702375</v>
      </c>
      <c r="Q151" s="217">
        <f t="shared" si="322"/>
        <v>0.76708219040702375</v>
      </c>
      <c r="R151" s="217">
        <f t="shared" si="453"/>
        <v>10.866997697432836</v>
      </c>
      <c r="S151" s="217">
        <f t="shared" si="454"/>
        <v>170</v>
      </c>
      <c r="T151" s="217">
        <f t="shared" si="455"/>
        <v>21.37971680883107</v>
      </c>
      <c r="U151" s="217">
        <f t="shared" si="326"/>
        <v>1.3291227034908049</v>
      </c>
      <c r="V151" s="217">
        <f t="shared" si="327"/>
        <v>1.2515699953902584</v>
      </c>
      <c r="W151" s="197">
        <f t="shared" si="328"/>
        <v>350</v>
      </c>
      <c r="X151" s="443">
        <f t="shared" si="435"/>
        <v>350</v>
      </c>
      <c r="Z151" s="217">
        <f t="shared" si="329"/>
        <v>23.669964732559581</v>
      </c>
      <c r="AA151" s="173">
        <f t="shared" si="330"/>
        <v>1.3856412559674538</v>
      </c>
      <c r="AB151" s="173">
        <f t="shared" si="456"/>
        <v>0.27103968608519263</v>
      </c>
      <c r="AC151" s="173"/>
      <c r="AD151" s="173">
        <f t="shared" si="332"/>
        <v>0.7805341898468845</v>
      </c>
      <c r="AE151" s="545">
        <f t="shared" si="457"/>
        <v>1001.1243259685651</v>
      </c>
      <c r="AF151" s="528">
        <f t="shared" si="458"/>
        <v>8.6003304251647469E-2</v>
      </c>
      <c r="AH151" s="173">
        <f t="shared" si="459"/>
        <v>22.495713877473257</v>
      </c>
      <c r="AI151" s="173">
        <f t="shared" si="460"/>
        <v>22.495713877473257</v>
      </c>
      <c r="AJ151" s="173">
        <f t="shared" si="461"/>
        <v>7.9869485512147582</v>
      </c>
      <c r="AL151" s="545">
        <f t="shared" si="462"/>
        <v>245.99999999999997</v>
      </c>
      <c r="AM151" s="460">
        <f t="shared" si="463"/>
        <v>350</v>
      </c>
      <c r="AO151" s="460">
        <f t="shared" si="340"/>
        <v>245.99999999999997</v>
      </c>
      <c r="AP151" s="460">
        <f t="shared" si="341"/>
        <v>350</v>
      </c>
      <c r="AR151" s="5">
        <f t="shared" si="443"/>
        <v>2.8571428571428572</v>
      </c>
      <c r="AS151" s="5">
        <f t="shared" si="440"/>
        <v>1.3985014073447692</v>
      </c>
      <c r="AT151" s="5">
        <f t="shared" si="441"/>
        <v>1.458641449798088</v>
      </c>
      <c r="AU151" s="173">
        <f t="shared" si="442"/>
        <v>0.48947549257066925</v>
      </c>
      <c r="AW151" s="5">
        <f t="shared" si="342"/>
        <v>0.20237138012165481</v>
      </c>
      <c r="AX151" s="5">
        <f t="shared" si="343"/>
        <v>2.3891065708806476</v>
      </c>
      <c r="AY151" s="5">
        <f t="shared" si="344"/>
        <v>12.135164995480533</v>
      </c>
      <c r="AZ151" s="5"/>
      <c r="BA151" s="173">
        <f t="shared" si="345"/>
        <v>9.0866673257930586</v>
      </c>
      <c r="BB151" s="173">
        <f t="shared" si="346"/>
        <v>0.43822169096192426</v>
      </c>
      <c r="BC151" s="173">
        <f t="shared" si="347"/>
        <v>0.34647727025104436</v>
      </c>
      <c r="BD151" s="173"/>
      <c r="BE151" s="528">
        <f t="shared" si="348"/>
        <v>3.302700923585407</v>
      </c>
      <c r="BF151" s="528">
        <f t="shared" si="464"/>
        <v>2.9379091943036468</v>
      </c>
      <c r="BG151" s="528">
        <f t="shared" si="465"/>
        <v>0.11259909808835257</v>
      </c>
      <c r="BH151" s="528">
        <f t="shared" si="351"/>
        <v>1.9251921964544158E-2</v>
      </c>
      <c r="BI151">
        <f t="shared" si="352"/>
        <v>3.6192567242684754E-3</v>
      </c>
      <c r="BJ151" s="460">
        <f t="shared" si="436"/>
        <v>116.21835481262104</v>
      </c>
      <c r="BK151">
        <f t="shared" si="466"/>
        <v>33.220220521791873</v>
      </c>
      <c r="BL151" s="460">
        <f t="shared" si="437"/>
        <v>6376.080394666219</v>
      </c>
      <c r="BM151" s="173">
        <f t="shared" si="467"/>
        <v>0.21352799999999997</v>
      </c>
      <c r="BN151" s="173">
        <f t="shared" si="468"/>
        <v>0.17793999999999999</v>
      </c>
      <c r="BO151" s="528"/>
      <c r="BQ151" s="460">
        <f t="shared" si="356"/>
        <v>391.4679999999999</v>
      </c>
      <c r="BR151" s="528">
        <f t="shared" si="357"/>
        <v>2.4770256926890553</v>
      </c>
      <c r="BS151" s="528">
        <f t="shared" si="358"/>
        <v>5.761147512885847E-3</v>
      </c>
      <c r="BT151" s="528">
        <f t="shared" si="359"/>
        <v>6.0023249400307621E-4</v>
      </c>
      <c r="BU151" s="528">
        <f t="shared" si="360"/>
        <v>275.03601329097876</v>
      </c>
      <c r="BV151" s="528"/>
      <c r="BW151" s="625">
        <f t="shared" si="469"/>
        <v>4.4280000000000008</v>
      </c>
      <c r="BX151" s="460">
        <f t="shared" si="362"/>
        <v>281947.40036367474</v>
      </c>
      <c r="BY151" s="173">
        <f t="shared" si="363"/>
        <v>288.71494875834094</v>
      </c>
      <c r="BZ151" s="5">
        <f t="shared" si="364"/>
        <v>44.279999999999994</v>
      </c>
      <c r="CA151" s="173">
        <f t="shared" si="365"/>
        <v>0.13297499005648464</v>
      </c>
      <c r="CB151" s="5">
        <f t="shared" si="366"/>
        <v>13.297499005648463</v>
      </c>
      <c r="CC151">
        <f t="shared" si="367"/>
        <v>41</v>
      </c>
      <c r="CE151" s="562">
        <f t="shared" si="470"/>
        <v>-50</v>
      </c>
      <c r="CF151">
        <f t="shared" si="471"/>
        <v>-50</v>
      </c>
      <c r="CG151" s="173">
        <f t="shared" si="370"/>
        <v>0.44943757619647318</v>
      </c>
      <c r="CH151" s="173">
        <f t="shared" si="472"/>
        <v>0.11184312360187511</v>
      </c>
      <c r="CI151" s="170">
        <v>41</v>
      </c>
      <c r="CJ151" s="217">
        <f t="shared" si="438"/>
        <v>0.24599999999999997</v>
      </c>
      <c r="CK151" s="217">
        <f t="shared" si="372"/>
        <v>0.20499999999999999</v>
      </c>
      <c r="CL151" s="217">
        <f t="shared" si="373"/>
        <v>41.819999999999993</v>
      </c>
      <c r="CM151" s="217">
        <f t="shared" si="374"/>
        <v>2.46</v>
      </c>
      <c r="CN151" s="541">
        <f t="shared" si="375"/>
        <v>9</v>
      </c>
      <c r="CO151" s="443">
        <f t="shared" si="473"/>
        <v>8.5350000000000001</v>
      </c>
      <c r="CP151" s="443">
        <f t="shared" si="474"/>
        <v>17.535</v>
      </c>
      <c r="CQ151" s="443"/>
      <c r="CR151" s="217">
        <f t="shared" si="378"/>
        <v>0.48644793152639093</v>
      </c>
      <c r="CS151" s="172">
        <f t="shared" si="379"/>
        <v>137.82691393247745</v>
      </c>
      <c r="CT151" s="172">
        <f t="shared" si="380"/>
        <v>8.1074655254398493</v>
      </c>
      <c r="CU151" s="217">
        <f t="shared" si="381"/>
        <v>0.81074655254398498</v>
      </c>
      <c r="CV151" s="217">
        <f t="shared" si="382"/>
        <v>11.485576161039788</v>
      </c>
      <c r="CW151" s="217">
        <f t="shared" si="383"/>
        <v>170</v>
      </c>
      <c r="CX151" s="217">
        <f t="shared" si="384"/>
        <v>20.228269794721403</v>
      </c>
      <c r="CY151" s="217">
        <f t="shared" si="385"/>
        <v>1.1237927663734113</v>
      </c>
      <c r="CZ151" s="217">
        <f t="shared" si="386"/>
        <v>1.1850187343129117</v>
      </c>
      <c r="DA151" s="197">
        <f t="shared" si="387"/>
        <v>350</v>
      </c>
      <c r="DB151" s="443">
        <f t="shared" si="388"/>
        <v>350</v>
      </c>
      <c r="DD151" s="217">
        <f t="shared" si="389"/>
        <v>25.032384211169504</v>
      </c>
      <c r="DE151" s="173">
        <f t="shared" si="390"/>
        <v>1.4664548454112187</v>
      </c>
      <c r="DF151" s="173">
        <f t="shared" si="391"/>
        <v>0.30335794952229944</v>
      </c>
      <c r="DG151" s="173"/>
      <c r="DH151" s="173">
        <f t="shared" si="392"/>
        <v>0.78109744190587771</v>
      </c>
      <c r="DI151" s="545">
        <f t="shared" si="393"/>
        <v>1000.4024117647058</v>
      </c>
      <c r="DJ151" s="528">
        <f t="shared" si="394"/>
        <v>8.6065366284073561E-2</v>
      </c>
      <c r="DL151" s="173">
        <f t="shared" si="395"/>
        <v>22.495713877473257</v>
      </c>
      <c r="DM151" s="173">
        <f t="shared" si="396"/>
        <v>22.495713877473257</v>
      </c>
      <c r="DN151" s="173">
        <f t="shared" si="397"/>
        <v>7.9869485512147582</v>
      </c>
      <c r="DP151" s="545">
        <f t="shared" si="398"/>
        <v>245.99999999999997</v>
      </c>
      <c r="DQ151" s="460">
        <f t="shared" si="399"/>
        <v>350</v>
      </c>
      <c r="DS151" s="460">
        <f t="shared" si="400"/>
        <v>245.99999999999997</v>
      </c>
      <c r="DT151" s="460">
        <f t="shared" si="401"/>
        <v>350</v>
      </c>
      <c r="DV151" s="5">
        <f t="shared" si="402"/>
        <v>2.8571428571428572</v>
      </c>
      <c r="DW151" s="5">
        <f t="shared" si="403"/>
        <v>1.2497618820818477</v>
      </c>
      <c r="DX151" s="5">
        <f t="shared" si="404"/>
        <v>1.6073809750610095</v>
      </c>
      <c r="DY151" s="173">
        <f t="shared" si="405"/>
        <v>0.43741665872864666</v>
      </c>
      <c r="EA151" s="5">
        <f t="shared" si="406"/>
        <v>0.18084789587772618</v>
      </c>
      <c r="EB151" s="5">
        <f t="shared" si="407"/>
        <v>2.1350098818898231</v>
      </c>
      <c r="EC151" s="5">
        <f t="shared" si="408"/>
        <v>11.950341755920249</v>
      </c>
      <c r="ED151" s="5"/>
      <c r="EE151" s="173">
        <f t="shared" si="409"/>
        <v>8.5898743598560436</v>
      </c>
      <c r="EF151" s="173">
        <f t="shared" si="410"/>
        <v>0.46002242908480867</v>
      </c>
      <c r="EG151" s="173">
        <f t="shared" si="411"/>
        <v>0.36371388904482094</v>
      </c>
      <c r="EH151" s="173"/>
      <c r="EI151" s="528">
        <f t="shared" si="412"/>
        <v>2.9514376607244914</v>
      </c>
      <c r="EJ151" s="528">
        <f t="shared" si="413"/>
        <v>3.7967000498493757</v>
      </c>
      <c r="EK151" s="528">
        <f t="shared" si="414"/>
        <v>6.9999999999999993E-2</v>
      </c>
      <c r="EL151" s="528">
        <f t="shared" si="415"/>
        <v>2.1523335750000001E-2</v>
      </c>
      <c r="EM151">
        <f t="shared" si="416"/>
        <v>4.0499999999999998E-3</v>
      </c>
      <c r="EN151" s="460">
        <f t="shared" si="417"/>
        <v>74.05</v>
      </c>
      <c r="EP151" s="460">
        <f t="shared" si="439"/>
        <v>6843.7110463238678</v>
      </c>
      <c r="EQ151" s="173">
        <f t="shared" si="418"/>
        <v>0.17219999999999996</v>
      </c>
      <c r="ER151" s="173">
        <f t="shared" si="475"/>
        <v>0.17793999999999999</v>
      </c>
      <c r="ES151" s="528"/>
      <c r="EU151" s="460">
        <f t="shared" si="420"/>
        <v>350.13999999999993</v>
      </c>
      <c r="EV151" s="528">
        <f t="shared" si="421"/>
        <v>2.2135782455433684</v>
      </c>
      <c r="EW151" s="528">
        <f t="shared" si="422"/>
        <v>6.3486190578326343E-3</v>
      </c>
      <c r="EX151" s="528">
        <f t="shared" si="423"/>
        <v>6.6143896542054156E-4</v>
      </c>
      <c r="EY151" s="528">
        <f t="shared" si="424"/>
        <v>275.03601329097876</v>
      </c>
      <c r="EZ151" s="528"/>
      <c r="FA151" s="625">
        <f t="shared" si="425"/>
        <v>4.4280000000000008</v>
      </c>
      <c r="FB151" s="460">
        <f t="shared" si="426"/>
        <v>281684.60159454535</v>
      </c>
      <c r="FC151" s="173">
        <f t="shared" si="427"/>
        <v>288.87845264086923</v>
      </c>
      <c r="FD151" s="5">
        <f t="shared" si="428"/>
        <v>44.279999999999994</v>
      </c>
      <c r="FE151" s="173">
        <f t="shared" si="429"/>
        <v>0.1329097300368722</v>
      </c>
      <c r="FF151" s="5">
        <f t="shared" si="430"/>
        <v>13.29097300368722</v>
      </c>
      <c r="FG151">
        <f t="shared" si="431"/>
        <v>41</v>
      </c>
      <c r="FI151" s="562">
        <f t="shared" si="432"/>
        <v>-50</v>
      </c>
      <c r="FJ151">
        <f t="shared" si="433"/>
        <v>-50</v>
      </c>
    </row>
    <row r="152" spans="5:166">
      <c r="E152" s="170">
        <v>42</v>
      </c>
      <c r="F152" s="217">
        <f t="shared" si="476"/>
        <v>0.252</v>
      </c>
      <c r="G152" s="217">
        <f t="shared" si="444"/>
        <v>0.21</v>
      </c>
      <c r="H152" s="217">
        <f t="shared" si="445"/>
        <v>42.84</v>
      </c>
      <c r="I152" s="217">
        <f t="shared" si="446"/>
        <v>2.52</v>
      </c>
      <c r="J152" s="541">
        <f t="shared" si="447"/>
        <v>8.0311897844841944</v>
      </c>
      <c r="K152" s="443">
        <f t="shared" si="448"/>
        <v>8.5412337172415356</v>
      </c>
      <c r="L152" s="172">
        <f t="shared" si="449"/>
        <v>16.57242350172573</v>
      </c>
      <c r="M152" s="443"/>
      <c r="N152" s="217">
        <f t="shared" si="450"/>
        <v>0.51538833269329098</v>
      </c>
      <c r="O152" s="172">
        <f t="shared" si="451"/>
        <v>130.30756613642205</v>
      </c>
      <c r="P152" s="172">
        <f t="shared" si="452"/>
        <v>7.6651509492012968</v>
      </c>
      <c r="Q152" s="217">
        <f t="shared" si="322"/>
        <v>0.7665150949201297</v>
      </c>
      <c r="R152" s="217">
        <f t="shared" si="453"/>
        <v>10.858963844701838</v>
      </c>
      <c r="S152" s="217">
        <f t="shared" si="454"/>
        <v>170</v>
      </c>
      <c r="T152" s="217">
        <f t="shared" si="455"/>
        <v>21.91737659354321</v>
      </c>
      <c r="U152" s="217">
        <f t="shared" si="326"/>
        <v>1.3645161664518466</v>
      </c>
      <c r="V152" s="217">
        <f t="shared" si="327"/>
        <v>1.2830334187729973</v>
      </c>
      <c r="W152" s="197">
        <f t="shared" si="328"/>
        <v>350</v>
      </c>
      <c r="X152" s="443">
        <f t="shared" si="435"/>
        <v>350</v>
      </c>
      <c r="Z152" s="217">
        <f t="shared" si="329"/>
        <v>23.652465786106859</v>
      </c>
      <c r="AA152" s="173">
        <f t="shared" si="330"/>
        <v>1.3846047637334542</v>
      </c>
      <c r="AB152" s="173">
        <f t="shared" si="456"/>
        <v>0.27063671523450317</v>
      </c>
      <c r="AC152" s="173"/>
      <c r="AD152" s="173">
        <f t="shared" si="332"/>
        <v>0.7805273672829226</v>
      </c>
      <c r="AE152" s="545">
        <f t="shared" si="457"/>
        <v>1025.5509566843189</v>
      </c>
      <c r="AF152" s="528">
        <f t="shared" si="458"/>
        <v>8.600255250617389E-2</v>
      </c>
      <c r="AH152" s="173">
        <f t="shared" si="459"/>
        <v>22.768399153212332</v>
      </c>
      <c r="AI152" s="173">
        <f t="shared" si="460"/>
        <v>22.768399153212332</v>
      </c>
      <c r="AJ152" s="173">
        <f t="shared" si="461"/>
        <v>8.1889376443548123</v>
      </c>
      <c r="AL152" s="545">
        <f t="shared" si="462"/>
        <v>252</v>
      </c>
      <c r="AM152" s="460">
        <f t="shared" si="463"/>
        <v>350</v>
      </c>
      <c r="AO152" s="460">
        <f t="shared" si="340"/>
        <v>252</v>
      </c>
      <c r="AP152" s="460">
        <f t="shared" si="341"/>
        <v>350</v>
      </c>
      <c r="AR152" s="5">
        <f t="shared" si="443"/>
        <v>2.8571428571428572</v>
      </c>
      <c r="AS152" s="5">
        <f t="shared" si="440"/>
        <v>1.4174985129351314</v>
      </c>
      <c r="AT152" s="5">
        <f t="shared" si="441"/>
        <v>1.4396443442077258</v>
      </c>
      <c r="AU152" s="173">
        <f t="shared" si="442"/>
        <v>0.49612447952729599</v>
      </c>
      <c r="AW152" s="5">
        <f t="shared" si="342"/>
        <v>0.21012330897626652</v>
      </c>
      <c r="AX152" s="5">
        <f t="shared" si="343"/>
        <v>2.4806223976364796</v>
      </c>
      <c r="AY152" s="5">
        <f t="shared" si="344"/>
        <v>12.28696925080971</v>
      </c>
      <c r="AZ152" s="5"/>
      <c r="BA152" s="173">
        <f t="shared" si="345"/>
        <v>9.2590663709856162</v>
      </c>
      <c r="BB152" s="173">
        <f t="shared" si="346"/>
        <v>0.44063594257483724</v>
      </c>
      <c r="BC152" s="173">
        <f t="shared" si="347"/>
        <v>0.3483860833604665</v>
      </c>
      <c r="BD152" s="173"/>
      <c r="BE152" s="528">
        <f t="shared" si="348"/>
        <v>3.42921240249267</v>
      </c>
      <c r="BF152" s="528">
        <f t="shared" si="464"/>
        <v>2.9714544816340251</v>
      </c>
      <c r="BG152" s="528">
        <f t="shared" si="465"/>
        <v>0.11243665698277872</v>
      </c>
      <c r="BH152" s="528">
        <f t="shared" si="351"/>
        <v>1.9225165450438595E-2</v>
      </c>
      <c r="BI152">
        <f t="shared" si="352"/>
        <v>3.6140354030178875E-3</v>
      </c>
      <c r="BJ152" s="460">
        <f t="shared" si="436"/>
        <v>116.05069238579659</v>
      </c>
      <c r="BK152">
        <f t="shared" si="466"/>
        <v>39.659938326120596</v>
      </c>
      <c r="BL152" s="460">
        <f t="shared" si="437"/>
        <v>6535.942741962931</v>
      </c>
      <c r="BM152" s="173">
        <f t="shared" si="467"/>
        <v>0.21873600000000001</v>
      </c>
      <c r="BN152" s="173">
        <f t="shared" si="468"/>
        <v>0.18228</v>
      </c>
      <c r="BO152" s="528"/>
      <c r="BQ152" s="460">
        <f t="shared" si="356"/>
        <v>401.01600000000002</v>
      </c>
      <c r="BR152" s="528">
        <f t="shared" si="357"/>
        <v>2.5719093018695025</v>
      </c>
      <c r="BS152" s="528">
        <f t="shared" si="358"/>
        <v>5.8248010166644573E-3</v>
      </c>
      <c r="BT152" s="528">
        <f t="shared" si="359"/>
        <v>6.0686431539622957E-4</v>
      </c>
      <c r="BU152" s="528">
        <f t="shared" si="360"/>
        <v>283.44666812652571</v>
      </c>
      <c r="BV152" s="528"/>
      <c r="BW152" s="625">
        <f t="shared" si="469"/>
        <v>4.5360000000000014</v>
      </c>
      <c r="BX152" s="460">
        <f t="shared" si="362"/>
        <v>290561.00909372728</v>
      </c>
      <c r="BY152" s="173">
        <f t="shared" si="363"/>
        <v>297.49796783569019</v>
      </c>
      <c r="BZ152" s="5">
        <f t="shared" si="364"/>
        <v>45.360000000000007</v>
      </c>
      <c r="CA152" s="173">
        <f t="shared" si="365"/>
        <v>0.13229968166216904</v>
      </c>
      <c r="CB152" s="5">
        <f t="shared" si="366"/>
        <v>13.229968166216905</v>
      </c>
      <c r="CC152">
        <f t="shared" si="367"/>
        <v>42.000000000000007</v>
      </c>
      <c r="CE152" s="562">
        <f t="shared" si="470"/>
        <v>-50</v>
      </c>
      <c r="CF152">
        <f t="shared" si="471"/>
        <v>-50</v>
      </c>
      <c r="CG152" s="173">
        <f t="shared" si="370"/>
        <v>0.45488550330206118</v>
      </c>
      <c r="CH152" s="173">
        <f t="shared" si="472"/>
        <v>0.11319884732618139</v>
      </c>
      <c r="CI152" s="170">
        <v>42</v>
      </c>
      <c r="CJ152" s="217">
        <f t="shared" si="438"/>
        <v>0.252</v>
      </c>
      <c r="CK152" s="217">
        <f t="shared" si="372"/>
        <v>0.21</v>
      </c>
      <c r="CL152" s="217">
        <f t="shared" si="373"/>
        <v>42.84</v>
      </c>
      <c r="CM152" s="217">
        <f t="shared" si="374"/>
        <v>2.52</v>
      </c>
      <c r="CN152" s="541">
        <f t="shared" si="375"/>
        <v>9</v>
      </c>
      <c r="CO152" s="443">
        <f t="shared" si="473"/>
        <v>8.5350000000000001</v>
      </c>
      <c r="CP152" s="443">
        <f t="shared" si="474"/>
        <v>17.535</v>
      </c>
      <c r="CQ152" s="443"/>
      <c r="CR152" s="217">
        <f t="shared" si="378"/>
        <v>0.48644793152639093</v>
      </c>
      <c r="CS152" s="172">
        <f t="shared" si="379"/>
        <v>137.82691393247745</v>
      </c>
      <c r="CT152" s="172">
        <f t="shared" si="380"/>
        <v>8.1074655254398493</v>
      </c>
      <c r="CU152" s="217">
        <f t="shared" si="381"/>
        <v>0.81074655254398498</v>
      </c>
      <c r="CV152" s="217">
        <f t="shared" si="382"/>
        <v>11.485576161039788</v>
      </c>
      <c r="CW152" s="217">
        <f t="shared" si="383"/>
        <v>170</v>
      </c>
      <c r="CX152" s="217">
        <f t="shared" si="384"/>
        <v>20.721642228739004</v>
      </c>
      <c r="CY152" s="217">
        <f t="shared" si="385"/>
        <v>1.1512023460410559</v>
      </c>
      <c r="CZ152" s="217">
        <f t="shared" si="386"/>
        <v>1.2139216302717635</v>
      </c>
      <c r="DA152" s="197">
        <f t="shared" si="387"/>
        <v>350</v>
      </c>
      <c r="DB152" s="443">
        <f t="shared" si="388"/>
        <v>350</v>
      </c>
      <c r="DD152" s="217">
        <f t="shared" si="389"/>
        <v>25.032384211169504</v>
      </c>
      <c r="DE152" s="173">
        <f t="shared" si="390"/>
        <v>1.4664548454112187</v>
      </c>
      <c r="DF152" s="173">
        <f t="shared" si="391"/>
        <v>0.30335794952229944</v>
      </c>
      <c r="DG152" s="173"/>
      <c r="DH152" s="173">
        <f t="shared" si="392"/>
        <v>0.78109744190587771</v>
      </c>
      <c r="DI152" s="545">
        <f t="shared" si="393"/>
        <v>1024.8024705882353</v>
      </c>
      <c r="DJ152" s="528">
        <f t="shared" si="394"/>
        <v>8.6065366284073561E-2</v>
      </c>
      <c r="DL152" s="173">
        <f t="shared" si="395"/>
        <v>22.768399153212332</v>
      </c>
      <c r="DM152" s="173">
        <f t="shared" si="396"/>
        <v>22.768399153212332</v>
      </c>
      <c r="DN152" s="173">
        <f t="shared" si="397"/>
        <v>8.1889376443548123</v>
      </c>
      <c r="DP152" s="545">
        <f t="shared" si="398"/>
        <v>252</v>
      </c>
      <c r="DQ152" s="460">
        <f t="shared" si="399"/>
        <v>350</v>
      </c>
      <c r="DS152" s="460">
        <f t="shared" si="400"/>
        <v>252</v>
      </c>
      <c r="DT152" s="460">
        <f t="shared" si="401"/>
        <v>350</v>
      </c>
      <c r="DV152" s="5">
        <f t="shared" si="402"/>
        <v>2.8571428571428572</v>
      </c>
      <c r="DW152" s="5">
        <f t="shared" si="403"/>
        <v>1.2649110640673518</v>
      </c>
      <c r="DX152" s="5">
        <f t="shared" si="404"/>
        <v>1.5922317930755054</v>
      </c>
      <c r="DY152" s="173">
        <f t="shared" si="405"/>
        <v>0.44271887242357311</v>
      </c>
      <c r="EA152" s="5">
        <f t="shared" si="406"/>
        <v>0.18750446361468978</v>
      </c>
      <c r="EB152" s="5">
        <f t="shared" si="407"/>
        <v>2.2135943621178655</v>
      </c>
      <c r="EC152" s="5">
        <f t="shared" si="408"/>
        <v>12.126437336063052</v>
      </c>
      <c r="ED152" s="5"/>
      <c r="EE152" s="173">
        <f t="shared" si="409"/>
        <v>8.7465319501384915</v>
      </c>
      <c r="EF152" s="173">
        <f t="shared" si="410"/>
        <v>0.46339938982780632</v>
      </c>
      <c r="EG152" s="173">
        <f t="shared" si="411"/>
        <v>0.36638386217511132</v>
      </c>
      <c r="EH152" s="173"/>
      <c r="EI152" s="528">
        <f t="shared" si="412"/>
        <v>3.0600728461917379</v>
      </c>
      <c r="EJ152" s="528">
        <f t="shared" si="413"/>
        <v>3.8427223368339414</v>
      </c>
      <c r="EK152" s="528">
        <f t="shared" si="414"/>
        <v>6.9999999999999993E-2</v>
      </c>
      <c r="EL152" s="528">
        <f t="shared" si="415"/>
        <v>2.1523335750000001E-2</v>
      </c>
      <c r="EM152">
        <f t="shared" si="416"/>
        <v>4.0499999999999998E-3</v>
      </c>
      <c r="EN152" s="460">
        <f t="shared" si="417"/>
        <v>74.05</v>
      </c>
      <c r="EP152" s="460">
        <f t="shared" si="439"/>
        <v>6998.3685187756801</v>
      </c>
      <c r="EQ152" s="173">
        <f t="shared" si="418"/>
        <v>0.1764</v>
      </c>
      <c r="ER152" s="173">
        <f t="shared" si="475"/>
        <v>0.18228</v>
      </c>
      <c r="ES152" s="528"/>
      <c r="EU152" s="460">
        <f t="shared" si="420"/>
        <v>358.68</v>
      </c>
      <c r="EV152" s="528">
        <f t="shared" si="421"/>
        <v>2.2950546346438032</v>
      </c>
      <c r="EW152" s="528">
        <f t="shared" si="422"/>
        <v>6.442169834783496E-3</v>
      </c>
      <c r="EX152" s="528">
        <f t="shared" si="423"/>
        <v>6.7118567231175491E-4</v>
      </c>
      <c r="EY152" s="528">
        <f t="shared" si="424"/>
        <v>283.44666812652571</v>
      </c>
      <c r="EZ152" s="528"/>
      <c r="FA152" s="625">
        <f t="shared" si="425"/>
        <v>4.5360000000000014</v>
      </c>
      <c r="FB152" s="460">
        <f t="shared" si="426"/>
        <v>290284.83611667663</v>
      </c>
      <c r="FC152" s="173">
        <f t="shared" si="427"/>
        <v>297.6418846354523</v>
      </c>
      <c r="FD152" s="5">
        <f t="shared" si="428"/>
        <v>45.360000000000007</v>
      </c>
      <c r="FE152" s="173">
        <f t="shared" si="429"/>
        <v>0.13224417133512054</v>
      </c>
      <c r="FF152" s="5">
        <f t="shared" si="430"/>
        <v>13.224417133512054</v>
      </c>
      <c r="FG152">
        <f t="shared" si="431"/>
        <v>42.000000000000007</v>
      </c>
      <c r="FI152" s="562">
        <f t="shared" si="432"/>
        <v>-50</v>
      </c>
      <c r="FJ152">
        <f t="shared" si="433"/>
        <v>-50</v>
      </c>
    </row>
    <row r="153" spans="5:166">
      <c r="E153" s="170">
        <v>43</v>
      </c>
      <c r="F153" s="217">
        <f t="shared" si="476"/>
        <v>0.25800000000000001</v>
      </c>
      <c r="G153" s="217">
        <f t="shared" si="444"/>
        <v>0.215</v>
      </c>
      <c r="H153" s="217">
        <f t="shared" si="445"/>
        <v>43.86</v>
      </c>
      <c r="I153" s="217">
        <f t="shared" si="446"/>
        <v>2.58</v>
      </c>
      <c r="J153" s="541">
        <f t="shared" si="447"/>
        <v>8.0197241757379043</v>
      </c>
      <c r="K153" s="443">
        <f t="shared" si="448"/>
        <v>8.5413074916111515</v>
      </c>
      <c r="L153" s="172">
        <f t="shared" si="449"/>
        <v>16.561031667349056</v>
      </c>
      <c r="M153" s="443"/>
      <c r="N153" s="217">
        <f t="shared" si="450"/>
        <v>0.5157473074851241</v>
      </c>
      <c r="O153" s="172">
        <f t="shared" si="451"/>
        <v>130.21216584624642</v>
      </c>
      <c r="P153" s="172">
        <f t="shared" si="452"/>
        <v>7.6595391674262601</v>
      </c>
      <c r="Q153" s="217">
        <f t="shared" si="322"/>
        <v>0.76595391674262603</v>
      </c>
      <c r="R153" s="217">
        <f t="shared" si="453"/>
        <v>10.851013820520535</v>
      </c>
      <c r="S153" s="217">
        <f t="shared" si="454"/>
        <v>170</v>
      </c>
      <c r="T153" s="217">
        <f t="shared" si="455"/>
        <v>22.455659046886893</v>
      </c>
      <c r="U153" s="217">
        <f t="shared" si="326"/>
        <v>1.4000268933701028</v>
      </c>
      <c r="V153" s="217">
        <f t="shared" si="327"/>
        <v>1.314532878540067</v>
      </c>
      <c r="W153" s="197">
        <f t="shared" si="328"/>
        <v>350</v>
      </c>
      <c r="X153" s="443">
        <f t="shared" si="435"/>
        <v>343.10498952114853</v>
      </c>
      <c r="Z153" s="217">
        <f t="shared" si="329"/>
        <v>23.635149430915316</v>
      </c>
      <c r="AA153" s="173">
        <f t="shared" si="330"/>
        <v>1.3835791214710738</v>
      </c>
      <c r="AB153" s="173">
        <f t="shared" si="456"/>
        <v>0.27023825103959309</v>
      </c>
      <c r="AC153" s="173"/>
      <c r="AD153" s="173">
        <f t="shared" si="332"/>
        <v>0.78052062558505664</v>
      </c>
      <c r="AE153" s="545">
        <f t="shared" si="457"/>
        <v>1049.9779056452342</v>
      </c>
      <c r="AF153" s="528">
        <f t="shared" si="458"/>
        <v>8.6001809670946061E-2</v>
      </c>
      <c r="AH153" s="173">
        <f t="shared" si="459"/>
        <v>23.037857043198638</v>
      </c>
      <c r="AI153" s="173">
        <f t="shared" si="460"/>
        <v>23.037857043198638</v>
      </c>
      <c r="AJ153" s="173">
        <f t="shared" si="461"/>
        <v>8.3885360813817051</v>
      </c>
      <c r="AL153" s="545">
        <f t="shared" si="462"/>
        <v>258</v>
      </c>
      <c r="AM153" s="460">
        <f t="shared" si="463"/>
        <v>343.10498952114853</v>
      </c>
      <c r="AO153" s="460">
        <f t="shared" si="340"/>
        <v>258</v>
      </c>
      <c r="AP153" s="460">
        <f t="shared" si="341"/>
        <v>343.10498952114853</v>
      </c>
      <c r="AR153" s="5">
        <f t="shared" si="443"/>
        <v>2.9145597719101701</v>
      </c>
      <c r="AS153" s="5">
        <f t="shared" si="440"/>
        <v>1.4363247749152728</v>
      </c>
      <c r="AT153" s="5">
        <f t="shared" si="441"/>
        <v>1.4782349969948974</v>
      </c>
      <c r="AU153" s="173">
        <f t="shared" si="442"/>
        <v>0.4928101968462707</v>
      </c>
      <c r="AW153" s="5">
        <f t="shared" si="342"/>
        <v>0.21798340701655317</v>
      </c>
      <c r="AX153" s="5">
        <f t="shared" si="343"/>
        <v>2.5734152217231969</v>
      </c>
      <c r="AY153" s="5">
        <f t="shared" si="344"/>
        <v>12.935185409860932</v>
      </c>
      <c r="AZ153" s="5"/>
      <c r="BA153" s="173">
        <f t="shared" si="345"/>
        <v>9.3372996079045532</v>
      </c>
      <c r="BB153" s="173">
        <f t="shared" si="346"/>
        <v>0.44731465732752845</v>
      </c>
      <c r="BC153" s="173">
        <f t="shared" si="347"/>
        <v>0.35366656788239514</v>
      </c>
      <c r="BD153" s="173"/>
      <c r="BE153" s="528">
        <f t="shared" si="348"/>
        <v>3.487406558710981</v>
      </c>
      <c r="BF153" s="528">
        <f t="shared" si="464"/>
        <v>2.9453642994873284</v>
      </c>
      <c r="BG153" s="528">
        <f t="shared" si="465"/>
        <v>0.11006429517116222</v>
      </c>
      <c r="BH153" s="528">
        <f t="shared" si="351"/>
        <v>1.8820528062609344E-2</v>
      </c>
      <c r="BI153">
        <f t="shared" si="352"/>
        <v>3.6088758790820568E-3</v>
      </c>
      <c r="BJ153" s="460">
        <f t="shared" si="436"/>
        <v>113.67317105024426</v>
      </c>
      <c r="BK153">
        <f t="shared" si="466"/>
        <v>43.136100043797988</v>
      </c>
      <c r="BL153" s="460">
        <f t="shared" si="437"/>
        <v>6565.2645573111631</v>
      </c>
      <c r="BM153" s="173">
        <f t="shared" si="467"/>
        <v>0.22394399999999998</v>
      </c>
      <c r="BN153" s="173">
        <f t="shared" si="468"/>
        <v>0.18661999999999998</v>
      </c>
      <c r="BO153" s="528"/>
      <c r="BQ153" s="460">
        <f t="shared" si="356"/>
        <v>410.56399999999991</v>
      </c>
      <c r="BR153" s="528">
        <f t="shared" si="357"/>
        <v>2.6155549190332357</v>
      </c>
      <c r="BS153" s="528">
        <f t="shared" si="358"/>
        <v>6.0027120798013265E-3</v>
      </c>
      <c r="BT153" s="528">
        <f t="shared" si="359"/>
        <v>6.2540020618856418E-4</v>
      </c>
      <c r="BU153" s="528">
        <f t="shared" si="360"/>
        <v>277.74278514631123</v>
      </c>
      <c r="BV153" s="528"/>
      <c r="BW153" s="625">
        <f t="shared" si="469"/>
        <v>4.552513060960611</v>
      </c>
      <c r="BX153" s="460">
        <f t="shared" si="362"/>
        <v>284917.48123859114</v>
      </c>
      <c r="BY153" s="173">
        <f t="shared" si="363"/>
        <v>291.89330979590227</v>
      </c>
      <c r="BZ153" s="5">
        <f t="shared" si="364"/>
        <v>46.44</v>
      </c>
      <c r="CA153" s="173">
        <f t="shared" si="365"/>
        <v>0.13726109329292666</v>
      </c>
      <c r="CB153" s="5">
        <f t="shared" si="366"/>
        <v>13.726109329292665</v>
      </c>
      <c r="CC153">
        <f t="shared" si="367"/>
        <v>43.000000000000007</v>
      </c>
      <c r="CE153" s="562">
        <f t="shared" si="470"/>
        <v>-50</v>
      </c>
      <c r="CF153">
        <f t="shared" si="471"/>
        <v>-50</v>
      </c>
      <c r="CG153" s="173">
        <f t="shared" si="370"/>
        <v>0.46026895108336197</v>
      </c>
      <c r="CH153" s="173">
        <f t="shared" si="472"/>
        <v>0.11453852528703141</v>
      </c>
      <c r="CI153" s="170">
        <v>43</v>
      </c>
      <c r="CJ153" s="217">
        <f t="shared" si="438"/>
        <v>0.25800000000000001</v>
      </c>
      <c r="CK153" s="217">
        <f t="shared" si="372"/>
        <v>0.215</v>
      </c>
      <c r="CL153" s="217">
        <f t="shared" si="373"/>
        <v>43.86</v>
      </c>
      <c r="CM153" s="217">
        <f t="shared" si="374"/>
        <v>2.58</v>
      </c>
      <c r="CN153" s="541">
        <f t="shared" si="375"/>
        <v>9</v>
      </c>
      <c r="CO153" s="443">
        <f t="shared" si="473"/>
        <v>8.5350000000000001</v>
      </c>
      <c r="CP153" s="443">
        <f t="shared" si="474"/>
        <v>17.535</v>
      </c>
      <c r="CQ153" s="443"/>
      <c r="CR153" s="217">
        <f t="shared" si="378"/>
        <v>0.48644793152639093</v>
      </c>
      <c r="CS153" s="172">
        <f t="shared" si="379"/>
        <v>137.82691393247745</v>
      </c>
      <c r="CT153" s="172">
        <f t="shared" si="380"/>
        <v>8.1074655254398493</v>
      </c>
      <c r="CU153" s="217">
        <f t="shared" si="381"/>
        <v>0.81074655254398498</v>
      </c>
      <c r="CV153" s="217">
        <f t="shared" si="382"/>
        <v>11.485576161039788</v>
      </c>
      <c r="CW153" s="217">
        <f t="shared" si="383"/>
        <v>170</v>
      </c>
      <c r="CX153" s="217">
        <f t="shared" si="384"/>
        <v>21.215014662756595</v>
      </c>
      <c r="CY153" s="217">
        <f t="shared" si="385"/>
        <v>1.1786119257086998</v>
      </c>
      <c r="CZ153" s="217">
        <f t="shared" si="386"/>
        <v>1.2428245262306148</v>
      </c>
      <c r="DA153" s="197">
        <f t="shared" si="387"/>
        <v>350</v>
      </c>
      <c r="DB153" s="443">
        <f t="shared" si="388"/>
        <v>350</v>
      </c>
      <c r="DD153" s="217">
        <f t="shared" si="389"/>
        <v>25.032384211169504</v>
      </c>
      <c r="DE153" s="173">
        <f t="shared" si="390"/>
        <v>1.4664548454112187</v>
      </c>
      <c r="DF153" s="173">
        <f t="shared" si="391"/>
        <v>0.30335794952229944</v>
      </c>
      <c r="DG153" s="173"/>
      <c r="DH153" s="173">
        <f t="shared" si="392"/>
        <v>0.78109744190587771</v>
      </c>
      <c r="DI153" s="545">
        <f t="shared" si="393"/>
        <v>1049.2025294117648</v>
      </c>
      <c r="DJ153" s="528">
        <f t="shared" si="394"/>
        <v>8.6065366284073561E-2</v>
      </c>
      <c r="DL153" s="173">
        <f t="shared" si="395"/>
        <v>23.037857043198638</v>
      </c>
      <c r="DM153" s="173">
        <f t="shared" si="396"/>
        <v>23.037857043198638</v>
      </c>
      <c r="DN153" s="173">
        <f t="shared" si="397"/>
        <v>8.3885360813817051</v>
      </c>
      <c r="DP153" s="545">
        <f t="shared" si="398"/>
        <v>258</v>
      </c>
      <c r="DQ153" s="460">
        <f t="shared" si="399"/>
        <v>350</v>
      </c>
      <c r="DS153" s="460">
        <f t="shared" si="400"/>
        <v>258</v>
      </c>
      <c r="DT153" s="460">
        <f t="shared" si="401"/>
        <v>350</v>
      </c>
      <c r="DV153" s="5">
        <f t="shared" si="402"/>
        <v>2.8571428571428572</v>
      </c>
      <c r="DW153" s="5">
        <f t="shared" si="403"/>
        <v>1.2798809468443688</v>
      </c>
      <c r="DX153" s="5">
        <f t="shared" si="404"/>
        <v>1.5772619102984884</v>
      </c>
      <c r="DY153" s="173">
        <f t="shared" si="405"/>
        <v>0.4479583313955291</v>
      </c>
      <c r="EA153" s="5">
        <f t="shared" si="406"/>
        <v>0.19424075546226305</v>
      </c>
      <c r="EB153" s="5">
        <f t="shared" si="407"/>
        <v>2.2931200297628274</v>
      </c>
      <c r="EC153" s="5">
        <f t="shared" si="408"/>
        <v>12.298436868567412</v>
      </c>
      <c r="ED153" s="5"/>
      <c r="EE153" s="173">
        <f t="shared" si="409"/>
        <v>8.9022597259686425</v>
      </c>
      <c r="EF153" s="173">
        <f t="shared" si="410"/>
        <v>0.46667421135900355</v>
      </c>
      <c r="EG153" s="173">
        <f t="shared" si="411"/>
        <v>0.36897307956916126</v>
      </c>
      <c r="EH153" s="173"/>
      <c r="EI153" s="528">
        <f t="shared" si="412"/>
        <v>3.1700091291441317</v>
      </c>
      <c r="EJ153" s="528">
        <f t="shared" si="413"/>
        <v>3.8881999238051983</v>
      </c>
      <c r="EK153" s="528">
        <f t="shared" si="414"/>
        <v>6.9999999999999993E-2</v>
      </c>
      <c r="EL153" s="528">
        <f t="shared" si="415"/>
        <v>2.1523335750000001E-2</v>
      </c>
      <c r="EM153">
        <f t="shared" si="416"/>
        <v>4.0499999999999998E-3</v>
      </c>
      <c r="EN153" s="460">
        <f t="shared" si="417"/>
        <v>74.05</v>
      </c>
      <c r="EP153" s="460">
        <f t="shared" si="439"/>
        <v>7153.782388699331</v>
      </c>
      <c r="EQ153" s="173">
        <f t="shared" si="418"/>
        <v>0.18059999999999998</v>
      </c>
      <c r="ER153" s="173">
        <f t="shared" si="475"/>
        <v>0.18661999999999998</v>
      </c>
      <c r="ES153" s="528"/>
      <c r="EU153" s="460">
        <f t="shared" si="420"/>
        <v>367.21999999999997</v>
      </c>
      <c r="EV153" s="528">
        <f t="shared" si="421"/>
        <v>2.3775068468580987</v>
      </c>
      <c r="EW153" s="528">
        <f t="shared" si="422"/>
        <v>6.5335445864264374E-3</v>
      </c>
      <c r="EX153" s="528">
        <f t="shared" si="423"/>
        <v>6.8070566723375304E-4</v>
      </c>
      <c r="EY153" s="528">
        <f t="shared" si="424"/>
        <v>291.90753984245282</v>
      </c>
      <c r="EZ153" s="528"/>
      <c r="FA153" s="625">
        <f t="shared" si="425"/>
        <v>4.6440000000000001</v>
      </c>
      <c r="FB153" s="460">
        <f t="shared" si="426"/>
        <v>298936.26093956461</v>
      </c>
      <c r="FC153" s="173">
        <f t="shared" si="427"/>
        <v>306.45726332826393</v>
      </c>
      <c r="FD153" s="5">
        <f t="shared" si="428"/>
        <v>46.44</v>
      </c>
      <c r="FE153" s="173">
        <f t="shared" si="429"/>
        <v>0.13159637329576471</v>
      </c>
      <c r="FF153" s="5">
        <f t="shared" si="430"/>
        <v>13.159637329576471</v>
      </c>
      <c r="FG153">
        <f t="shared" si="431"/>
        <v>43.000000000000007</v>
      </c>
      <c r="FI153" s="562">
        <f t="shared" si="432"/>
        <v>-50</v>
      </c>
      <c r="FJ153">
        <f t="shared" si="433"/>
        <v>-50</v>
      </c>
    </row>
    <row r="154" spans="5:166">
      <c r="E154" s="170">
        <v>44</v>
      </c>
      <c r="F154" s="217">
        <f t="shared" si="476"/>
        <v>0.26400000000000001</v>
      </c>
      <c r="G154" s="217">
        <f t="shared" si="444"/>
        <v>0.22</v>
      </c>
      <c r="H154" s="217">
        <f t="shared" si="445"/>
        <v>44.88</v>
      </c>
      <c r="I154" s="217">
        <f t="shared" si="446"/>
        <v>2.64</v>
      </c>
      <c r="J154" s="541">
        <f t="shared" si="447"/>
        <v>8.0083911307487838</v>
      </c>
      <c r="K154" s="443">
        <f t="shared" si="448"/>
        <v>8.541380413011872</v>
      </c>
      <c r="L154" s="172">
        <f t="shared" si="449"/>
        <v>16.549771543760656</v>
      </c>
      <c r="M154" s="443"/>
      <c r="N154" s="217">
        <f t="shared" si="450"/>
        <v>0.51610261751510489</v>
      </c>
      <c r="O154" s="172">
        <f t="shared" si="451"/>
        <v>130.11773633202105</v>
      </c>
      <c r="P154" s="172">
        <f t="shared" si="452"/>
        <v>7.6539844901188854</v>
      </c>
      <c r="Q154" s="217">
        <f t="shared" si="322"/>
        <v>0.76539844901188858</v>
      </c>
      <c r="R154" s="217">
        <f t="shared" si="453"/>
        <v>10.843144694335088</v>
      </c>
      <c r="S154" s="217">
        <f t="shared" si="454"/>
        <v>170</v>
      </c>
      <c r="T154" s="217">
        <f t="shared" si="455"/>
        <v>22.994559268732765</v>
      </c>
      <c r="U154" s="217">
        <f t="shared" si="326"/>
        <v>1.4356541091283319</v>
      </c>
      <c r="V154" s="217">
        <f t="shared" si="327"/>
        <v>1.3460680918568522</v>
      </c>
      <c r="W154" s="197">
        <f t="shared" si="328"/>
        <v>350</v>
      </c>
      <c r="X154" s="443">
        <f t="shared" si="435"/>
        <v>335.37664899486344</v>
      </c>
      <c r="Z154" s="217">
        <f t="shared" si="329"/>
        <v>23.618009283795416</v>
      </c>
      <c r="AA154" s="173">
        <f t="shared" si="330"/>
        <v>1.3825639499568432</v>
      </c>
      <c r="AB154" s="173">
        <f t="shared" si="456"/>
        <v>0.26984413725396311</v>
      </c>
      <c r="AC154" s="173"/>
      <c r="AD154" s="173">
        <f t="shared" si="332"/>
        <v>0.780513961948202</v>
      </c>
      <c r="AE154" s="545">
        <f t="shared" si="457"/>
        <v>1074.4051691285051</v>
      </c>
      <c r="AF154" s="528">
        <f t="shared" si="458"/>
        <v>8.6001075436885219E-2</v>
      </c>
      <c r="AH154" s="173">
        <f t="shared" si="459"/>
        <v>23.304199498925389</v>
      </c>
      <c r="AI154" s="173">
        <f t="shared" si="460"/>
        <v>23.304199498925389</v>
      </c>
      <c r="AJ154" s="173">
        <f t="shared" si="461"/>
        <v>8.5858267893274469</v>
      </c>
      <c r="AL154" s="545">
        <f t="shared" si="462"/>
        <v>264</v>
      </c>
      <c r="AM154" s="460">
        <f t="shared" si="463"/>
        <v>335.37664899486344</v>
      </c>
      <c r="AO154" s="460">
        <f t="shared" si="340"/>
        <v>264</v>
      </c>
      <c r="AP154" s="460">
        <f t="shared" si="341"/>
        <v>335.37664899486344</v>
      </c>
      <c r="AR154" s="5">
        <f t="shared" si="443"/>
        <v>2.9817222009851845</v>
      </c>
      <c r="AS154" s="5">
        <f t="shared" si="440"/>
        <v>1.4549863460993597</v>
      </c>
      <c r="AT154" s="5">
        <f t="shared" si="441"/>
        <v>1.5267358548858248</v>
      </c>
      <c r="AU154" s="173">
        <f t="shared" si="442"/>
        <v>0.4879684450880839</v>
      </c>
      <c r="AW154" s="5">
        <f t="shared" si="342"/>
        <v>0.22595082080601825</v>
      </c>
      <c r="AX154" s="5">
        <f t="shared" si="343"/>
        <v>2.6674749678488263</v>
      </c>
      <c r="AY154" s="5">
        <f t="shared" si="344"/>
        <v>13.689622107329658</v>
      </c>
      <c r="AZ154" s="5"/>
      <c r="BA154" s="173">
        <f t="shared" si="345"/>
        <v>9.3987355807319712</v>
      </c>
      <c r="BB154" s="173">
        <f t="shared" si="346"/>
        <v>0.4546407356192822</v>
      </c>
      <c r="BC154" s="173">
        <f t="shared" si="347"/>
        <v>0.35945888638356399</v>
      </c>
      <c r="BD154" s="173"/>
      <c r="BE154" s="528">
        <f t="shared" si="348"/>
        <v>3.5334492206606858</v>
      </c>
      <c r="BF154" s="528">
        <f t="shared" si="464"/>
        <v>2.9103252797242876</v>
      </c>
      <c r="BG154" s="528">
        <f t="shared" si="465"/>
        <v>0.10743309525082849</v>
      </c>
      <c r="BH154" s="528">
        <f t="shared" si="351"/>
        <v>1.8371593306725414E-2</v>
      </c>
      <c r="BI154">
        <f t="shared" si="352"/>
        <v>3.6037760088369528E-3</v>
      </c>
      <c r="BJ154" s="460">
        <f t="shared" si="436"/>
        <v>111.03687125966543</v>
      </c>
      <c r="BK154">
        <f t="shared" si="466"/>
        <v>46.220401633377278</v>
      </c>
      <c r="BL154" s="460">
        <f t="shared" si="437"/>
        <v>6573.1829649513647</v>
      </c>
      <c r="BM154" s="173">
        <f t="shared" si="467"/>
        <v>0.22915199999999999</v>
      </c>
      <c r="BN154" s="173">
        <f t="shared" si="468"/>
        <v>0.19095999999999999</v>
      </c>
      <c r="BO154" s="528"/>
      <c r="BQ154" s="460">
        <f t="shared" si="356"/>
        <v>420.11199999999997</v>
      </c>
      <c r="BR154" s="528">
        <f t="shared" si="357"/>
        <v>2.6500869154955145</v>
      </c>
      <c r="BS154" s="528">
        <f t="shared" si="358"/>
        <v>6.2009459545332608E-3</v>
      </c>
      <c r="BT154" s="528">
        <f t="shared" si="359"/>
        <v>6.4605345500055975E-4</v>
      </c>
      <c r="BU154" s="528">
        <f t="shared" si="360"/>
        <v>270.01477597359656</v>
      </c>
      <c r="BV154" s="528"/>
      <c r="BW154" s="625">
        <f t="shared" si="469"/>
        <v>4.553456674353118</v>
      </c>
      <c r="BX154" s="460">
        <f t="shared" si="362"/>
        <v>277225.16656285472</v>
      </c>
      <c r="BY154" s="173">
        <f t="shared" si="363"/>
        <v>284.21846152780608</v>
      </c>
      <c r="BZ154" s="5">
        <f t="shared" si="364"/>
        <v>47.52</v>
      </c>
      <c r="CA154" s="173">
        <f t="shared" si="365"/>
        <v>0.14324537402491364</v>
      </c>
      <c r="CB154" s="5">
        <f t="shared" si="366"/>
        <v>14.324537402491364</v>
      </c>
      <c r="CC154">
        <f t="shared" si="367"/>
        <v>44.000000000000007</v>
      </c>
      <c r="CE154" s="562">
        <f t="shared" si="470"/>
        <v>-50</v>
      </c>
      <c r="CF154">
        <f t="shared" si="471"/>
        <v>-50</v>
      </c>
      <c r="CG154" s="173">
        <f t="shared" si="370"/>
        <v>0.46559015619790228</v>
      </c>
      <c r="CH154" s="173">
        <f t="shared" si="472"/>
        <v>0.11586271407955084</v>
      </c>
      <c r="CI154" s="170">
        <v>44</v>
      </c>
      <c r="CJ154" s="217">
        <f t="shared" si="438"/>
        <v>0.26400000000000001</v>
      </c>
      <c r="CK154" s="217">
        <f t="shared" si="372"/>
        <v>0.22</v>
      </c>
      <c r="CL154" s="217">
        <f t="shared" si="373"/>
        <v>44.88</v>
      </c>
      <c r="CM154" s="217">
        <f t="shared" si="374"/>
        <v>2.64</v>
      </c>
      <c r="CN154" s="541">
        <f t="shared" si="375"/>
        <v>9</v>
      </c>
      <c r="CO154" s="443">
        <f t="shared" si="473"/>
        <v>8.5350000000000001</v>
      </c>
      <c r="CP154" s="443">
        <f t="shared" si="474"/>
        <v>17.535</v>
      </c>
      <c r="CQ154" s="443"/>
      <c r="CR154" s="217">
        <f t="shared" si="378"/>
        <v>0.48644793152639093</v>
      </c>
      <c r="CS154" s="172">
        <f t="shared" si="379"/>
        <v>137.82691393247745</v>
      </c>
      <c r="CT154" s="172">
        <f t="shared" si="380"/>
        <v>8.1074655254398493</v>
      </c>
      <c r="CU154" s="217">
        <f t="shared" si="381"/>
        <v>0.81074655254398498</v>
      </c>
      <c r="CV154" s="217">
        <f t="shared" si="382"/>
        <v>11.485576161039788</v>
      </c>
      <c r="CW154" s="217">
        <f t="shared" si="383"/>
        <v>170</v>
      </c>
      <c r="CX154" s="217">
        <f t="shared" si="384"/>
        <v>21.708387096774192</v>
      </c>
      <c r="CY154" s="217">
        <f t="shared" si="385"/>
        <v>1.2060215053763439</v>
      </c>
      <c r="CZ154" s="217">
        <f t="shared" si="386"/>
        <v>1.2717274221894663</v>
      </c>
      <c r="DA154" s="197">
        <f t="shared" si="387"/>
        <v>350</v>
      </c>
      <c r="DB154" s="443">
        <f t="shared" si="388"/>
        <v>350</v>
      </c>
      <c r="DD154" s="217">
        <f t="shared" si="389"/>
        <v>25.032384211169504</v>
      </c>
      <c r="DE154" s="173">
        <f t="shared" si="390"/>
        <v>1.4664548454112187</v>
      </c>
      <c r="DF154" s="173">
        <f t="shared" si="391"/>
        <v>0.30335794952229944</v>
      </c>
      <c r="DG154" s="173"/>
      <c r="DH154" s="173">
        <f t="shared" si="392"/>
        <v>0.78109744190587771</v>
      </c>
      <c r="DI154" s="545">
        <f t="shared" si="393"/>
        <v>1073.6025882352942</v>
      </c>
      <c r="DJ154" s="528">
        <f t="shared" si="394"/>
        <v>8.6065366284073561E-2</v>
      </c>
      <c r="DL154" s="173">
        <f t="shared" si="395"/>
        <v>23.304199498925389</v>
      </c>
      <c r="DM154" s="173">
        <f t="shared" si="396"/>
        <v>23.304199498925389</v>
      </c>
      <c r="DN154" s="173">
        <f t="shared" si="397"/>
        <v>8.5858267893274469</v>
      </c>
      <c r="DP154" s="545">
        <f t="shared" si="398"/>
        <v>264</v>
      </c>
      <c r="DQ154" s="460">
        <f t="shared" si="399"/>
        <v>350</v>
      </c>
      <c r="DS154" s="460">
        <f t="shared" si="400"/>
        <v>264</v>
      </c>
      <c r="DT154" s="460">
        <f t="shared" si="401"/>
        <v>350</v>
      </c>
      <c r="DV154" s="5">
        <f t="shared" si="402"/>
        <v>2.8571428571428572</v>
      </c>
      <c r="DW154" s="5">
        <f t="shared" si="403"/>
        <v>1.2946777499402993</v>
      </c>
      <c r="DX154" s="5">
        <f t="shared" si="404"/>
        <v>1.5624651072025579</v>
      </c>
      <c r="DY154" s="173">
        <f t="shared" si="405"/>
        <v>0.45313721247910471</v>
      </c>
      <c r="EA154" s="5">
        <f t="shared" si="406"/>
        <v>0.20105583881425826</v>
      </c>
      <c r="EB154" s="5">
        <f t="shared" si="407"/>
        <v>2.3735758748905491</v>
      </c>
      <c r="EC154" s="5">
        <f t="shared" si="408"/>
        <v>12.46638826866681</v>
      </c>
      <c r="ED154" s="5"/>
      <c r="EE154" s="173">
        <f t="shared" si="409"/>
        <v>9.0570846433174825</v>
      </c>
      <c r="EF154" s="173">
        <f t="shared" si="410"/>
        <v>0.46984993234468825</v>
      </c>
      <c r="EG154" s="173">
        <f t="shared" si="411"/>
        <v>0.37148394372968169</v>
      </c>
      <c r="EH154" s="173"/>
      <c r="EI154" s="528">
        <f t="shared" si="412"/>
        <v>3.2812312894486952</v>
      </c>
      <c r="EJ154" s="528">
        <f t="shared" si="413"/>
        <v>3.9331517053064462</v>
      </c>
      <c r="EK154" s="528">
        <f t="shared" si="414"/>
        <v>6.9999999999999993E-2</v>
      </c>
      <c r="EL154" s="528">
        <f t="shared" si="415"/>
        <v>2.1523335750000001E-2</v>
      </c>
      <c r="EM154">
        <f t="shared" si="416"/>
        <v>4.0499999999999998E-3</v>
      </c>
      <c r="EN154" s="460">
        <f t="shared" si="417"/>
        <v>74.05</v>
      </c>
      <c r="EP154" s="460">
        <f t="shared" si="439"/>
        <v>7309.9563305051424</v>
      </c>
      <c r="EQ154" s="173">
        <f t="shared" si="418"/>
        <v>0.18479999999999999</v>
      </c>
      <c r="ER154" s="173">
        <f t="shared" si="475"/>
        <v>0.19095999999999999</v>
      </c>
      <c r="ES154" s="528"/>
      <c r="EU154" s="460">
        <f t="shared" si="420"/>
        <v>375.76</v>
      </c>
      <c r="EV154" s="528">
        <f t="shared" si="421"/>
        <v>2.4609234670865212</v>
      </c>
      <c r="EW154" s="528">
        <f t="shared" si="422"/>
        <v>6.6227687677292441E-3</v>
      </c>
      <c r="EX154" s="528">
        <f t="shared" si="423"/>
        <v>6.9000160224478647E-4</v>
      </c>
      <c r="EY154" s="528">
        <f t="shared" si="424"/>
        <v>300.41774985111215</v>
      </c>
      <c r="EZ154" s="528"/>
      <c r="FA154" s="625">
        <f t="shared" si="425"/>
        <v>4.7520000000000007</v>
      </c>
      <c r="FB154" s="460">
        <f t="shared" si="426"/>
        <v>307637.98608856864</v>
      </c>
      <c r="FC154" s="173">
        <f t="shared" si="427"/>
        <v>315.32370241907381</v>
      </c>
      <c r="FD154" s="5">
        <f t="shared" si="428"/>
        <v>47.52</v>
      </c>
      <c r="FE154" s="173">
        <f t="shared" si="429"/>
        <v>0.13096548095828822</v>
      </c>
      <c r="FF154" s="5">
        <f t="shared" si="430"/>
        <v>13.096548095828823</v>
      </c>
      <c r="FG154">
        <f t="shared" si="431"/>
        <v>44.000000000000007</v>
      </c>
      <c r="FI154" s="562">
        <f t="shared" si="432"/>
        <v>-50</v>
      </c>
      <c r="FJ154">
        <f t="shared" si="433"/>
        <v>-50</v>
      </c>
    </row>
    <row r="155" spans="5:166">
      <c r="E155" s="170">
        <v>45</v>
      </c>
      <c r="F155" s="217">
        <f t="shared" si="476"/>
        <v>0.27</v>
      </c>
      <c r="G155" s="217">
        <f t="shared" si="444"/>
        <v>0.22500000000000001</v>
      </c>
      <c r="H155" s="217">
        <f t="shared" si="445"/>
        <v>45.900000000000006</v>
      </c>
      <c r="I155" s="217">
        <f t="shared" si="446"/>
        <v>2.7</v>
      </c>
      <c r="J155" s="541">
        <f t="shared" si="447"/>
        <v>7.9971861551002483</v>
      </c>
      <c r="K155" s="443">
        <f t="shared" si="448"/>
        <v>8.5414525103625927</v>
      </c>
      <c r="L155" s="172">
        <f t="shared" si="449"/>
        <v>16.538638665462841</v>
      </c>
      <c r="M155" s="443"/>
      <c r="N155" s="217">
        <f t="shared" si="450"/>
        <v>0.51645438800228827</v>
      </c>
      <c r="O155" s="172">
        <f t="shared" si="451"/>
        <v>130.02424441673224</v>
      </c>
      <c r="P155" s="172">
        <f t="shared" si="452"/>
        <v>7.6484849656901313</v>
      </c>
      <c r="Q155" s="217">
        <f t="shared" si="322"/>
        <v>0.76484849656901321</v>
      </c>
      <c r="R155" s="217">
        <f t="shared" si="453"/>
        <v>10.835353701394354</v>
      </c>
      <c r="S155" s="217">
        <f t="shared" si="454"/>
        <v>170</v>
      </c>
      <c r="T155" s="217">
        <f t="shared" si="455"/>
        <v>23.534072539522658</v>
      </c>
      <c r="U155" s="217">
        <f t="shared" si="326"/>
        <v>1.47139706911247</v>
      </c>
      <c r="V155" s="217">
        <f t="shared" si="327"/>
        <v>1.3776387863171302</v>
      </c>
      <c r="W155" s="197">
        <f t="shared" si="328"/>
        <v>350</v>
      </c>
      <c r="X155" s="443">
        <f t="shared" si="435"/>
        <v>327.97252883046298</v>
      </c>
      <c r="Z155" s="217">
        <f t="shared" si="329"/>
        <v>23.601039322700981</v>
      </c>
      <c r="AA155" s="173">
        <f t="shared" si="330"/>
        <v>1.3815588914220336</v>
      </c>
      <c r="AB155" s="173">
        <f t="shared" si="456"/>
        <v>0.2694542264615522</v>
      </c>
      <c r="AC155" s="173"/>
      <c r="AD155" s="173">
        <f t="shared" si="332"/>
        <v>0.78050737372579038</v>
      </c>
      <c r="AE155" s="545">
        <f t="shared" si="457"/>
        <v>1098.8327435389992</v>
      </c>
      <c r="AF155" s="528">
        <f t="shared" si="458"/>
        <v>8.6000349512378782E-2</v>
      </c>
      <c r="AH155" s="173">
        <f t="shared" si="459"/>
        <v>23.567532145487181</v>
      </c>
      <c r="AI155" s="173">
        <f t="shared" si="460"/>
        <v>23.534072539522658</v>
      </c>
      <c r="AJ155" s="173">
        <f t="shared" si="461"/>
        <v>8.7561031156957956</v>
      </c>
      <c r="AL155" s="545">
        <f t="shared" si="462"/>
        <v>270</v>
      </c>
      <c r="AM155" s="460">
        <f t="shared" si="463"/>
        <v>327.97252883046298</v>
      </c>
      <c r="AO155" s="460">
        <f t="shared" si="340"/>
        <v>270</v>
      </c>
      <c r="AP155" s="460">
        <f t="shared" si="341"/>
        <v>327.97252883046298</v>
      </c>
      <c r="AR155" s="5">
        <f t="shared" si="443"/>
        <v>3.0490358554296009</v>
      </c>
      <c r="AS155" s="5">
        <f t="shared" si="440"/>
        <v>1.47139706911247</v>
      </c>
      <c r="AT155" s="5">
        <f t="shared" si="441"/>
        <v>1.5776387863171308</v>
      </c>
      <c r="AU155" s="173">
        <f t="shared" si="442"/>
        <v>0.48257781767054825</v>
      </c>
      <c r="AW155" s="5">
        <f t="shared" si="342"/>
        <v>0.23369247568256876</v>
      </c>
      <c r="AX155" s="5">
        <f t="shared" si="343"/>
        <v>2.7588695045858813</v>
      </c>
      <c r="AY155" s="5">
        <f t="shared" si="344"/>
        <v>14.487819868146826</v>
      </c>
      <c r="AZ155" s="5"/>
      <c r="BA155" s="173">
        <f t="shared" si="345"/>
        <v>9.4388728967752158</v>
      </c>
      <c r="BB155" s="173">
        <f t="shared" si="346"/>
        <v>0.46153580961124169</v>
      </c>
      <c r="BC155" s="173">
        <f t="shared" si="347"/>
        <v>0.36491043400018042</v>
      </c>
      <c r="BD155" s="173"/>
      <c r="BE155" s="528">
        <f t="shared" si="348"/>
        <v>3.5636928624591104</v>
      </c>
      <c r="BF155" s="528">
        <f t="shared" si="464"/>
        <v>2.8722142544532723</v>
      </c>
      <c r="BG155" s="528">
        <f t="shared" si="465"/>
        <v>0.10491429467264782</v>
      </c>
      <c r="BH155" s="528">
        <f t="shared" si="351"/>
        <v>1.7941840101332845E-2</v>
      </c>
      <c r="BI155">
        <f t="shared" si="352"/>
        <v>3.5987337697951116E-3</v>
      </c>
      <c r="BJ155" s="460">
        <f t="shared" si="436"/>
        <v>108.51302844244293</v>
      </c>
      <c r="BK155">
        <f t="shared" si="466"/>
        <v>48.386583880479108</v>
      </c>
      <c r="BL155" s="460">
        <f t="shared" si="437"/>
        <v>6562.3619854561584</v>
      </c>
      <c r="BM155" s="173">
        <f t="shared" si="467"/>
        <v>0.23436000000000001</v>
      </c>
      <c r="BN155" s="173">
        <f t="shared" si="468"/>
        <v>0.1953</v>
      </c>
      <c r="BO155" s="528"/>
      <c r="BQ155" s="460">
        <f t="shared" si="356"/>
        <v>429.66</v>
      </c>
      <c r="BR155" s="528">
        <f t="shared" si="357"/>
        <v>2.6727696468443325</v>
      </c>
      <c r="BS155" s="528">
        <f t="shared" si="358"/>
        <v>6.3904591066051303E-3</v>
      </c>
      <c r="BT155" s="528">
        <f t="shared" si="359"/>
        <v>6.6579812421100021E-4</v>
      </c>
      <c r="BU155" s="528">
        <f t="shared" si="360"/>
        <v>261.70161028094316</v>
      </c>
      <c r="BV155" s="528"/>
      <c r="BW155" s="625">
        <f t="shared" si="469"/>
        <v>4.5412107019767909</v>
      </c>
      <c r="BX155" s="460">
        <f t="shared" si="362"/>
        <v>268922.64688699512</v>
      </c>
      <c r="BY155" s="173">
        <f t="shared" si="363"/>
        <v>275.91466887245127</v>
      </c>
      <c r="BZ155" s="5">
        <f t="shared" si="364"/>
        <v>48.600000000000009</v>
      </c>
      <c r="CA155" s="173">
        <f t="shared" si="365"/>
        <v>0.14976210526588543</v>
      </c>
      <c r="CB155" s="5">
        <f t="shared" si="366"/>
        <v>14.976210526588543</v>
      </c>
      <c r="CC155">
        <f t="shared" si="367"/>
        <v>45.000000000000007</v>
      </c>
      <c r="CE155" s="562">
        <f t="shared" si="470"/>
        <v>-50</v>
      </c>
      <c r="CF155">
        <f t="shared" si="471"/>
        <v>-50</v>
      </c>
      <c r="CG155" s="173">
        <f t="shared" si="370"/>
        <v>0.47085122890929776</v>
      </c>
      <c r="CH155" s="173">
        <f t="shared" si="472"/>
        <v>0.1171719388455767</v>
      </c>
      <c r="CI155" s="170">
        <v>45</v>
      </c>
      <c r="CJ155" s="217">
        <f t="shared" si="438"/>
        <v>0.27</v>
      </c>
      <c r="CK155" s="217">
        <f t="shared" si="372"/>
        <v>0.22500000000000001</v>
      </c>
      <c r="CL155" s="217">
        <f t="shared" si="373"/>
        <v>45.900000000000006</v>
      </c>
      <c r="CM155" s="217">
        <f t="shared" si="374"/>
        <v>2.7</v>
      </c>
      <c r="CN155" s="541">
        <f t="shared" si="375"/>
        <v>9</v>
      </c>
      <c r="CO155" s="443">
        <f t="shared" si="473"/>
        <v>8.5350000000000001</v>
      </c>
      <c r="CP155" s="443">
        <f t="shared" si="474"/>
        <v>17.535</v>
      </c>
      <c r="CQ155" s="443"/>
      <c r="CR155" s="217">
        <f t="shared" si="378"/>
        <v>0.48644793152639093</v>
      </c>
      <c r="CS155" s="172">
        <f t="shared" si="379"/>
        <v>137.82691393247745</v>
      </c>
      <c r="CT155" s="172">
        <f t="shared" si="380"/>
        <v>8.1074655254398493</v>
      </c>
      <c r="CU155" s="217">
        <f t="shared" si="381"/>
        <v>0.81074655254398498</v>
      </c>
      <c r="CV155" s="217">
        <f t="shared" si="382"/>
        <v>11.485576161039788</v>
      </c>
      <c r="CW155" s="217">
        <f t="shared" si="383"/>
        <v>170</v>
      </c>
      <c r="CX155" s="217">
        <f t="shared" si="384"/>
        <v>22.20175953079179</v>
      </c>
      <c r="CY155" s="217">
        <f t="shared" si="385"/>
        <v>1.2334310850439882</v>
      </c>
      <c r="CZ155" s="217">
        <f t="shared" si="386"/>
        <v>1.3006303181483179</v>
      </c>
      <c r="DA155" s="197">
        <f t="shared" si="387"/>
        <v>350</v>
      </c>
      <c r="DB155" s="443">
        <f t="shared" si="388"/>
        <v>350</v>
      </c>
      <c r="DD155" s="217">
        <f t="shared" si="389"/>
        <v>25.032384211169504</v>
      </c>
      <c r="DE155" s="173">
        <f t="shared" si="390"/>
        <v>1.4664548454112187</v>
      </c>
      <c r="DF155" s="173">
        <f t="shared" si="391"/>
        <v>0.30335794952229944</v>
      </c>
      <c r="DG155" s="173"/>
      <c r="DH155" s="173">
        <f t="shared" si="392"/>
        <v>0.78109744190587771</v>
      </c>
      <c r="DI155" s="545">
        <f t="shared" si="393"/>
        <v>1098.0026470588236</v>
      </c>
      <c r="DJ155" s="528">
        <f t="shared" si="394"/>
        <v>8.6065366284073561E-2</v>
      </c>
      <c r="DL155" s="173">
        <f t="shared" si="395"/>
        <v>23.567532145487181</v>
      </c>
      <c r="DM155" s="173">
        <f t="shared" si="396"/>
        <v>23.567532145487181</v>
      </c>
      <c r="DN155" s="173">
        <f t="shared" si="397"/>
        <v>8.7808880090028492</v>
      </c>
      <c r="DP155" s="545">
        <f t="shared" si="398"/>
        <v>270</v>
      </c>
      <c r="DQ155" s="460">
        <f t="shared" si="399"/>
        <v>350</v>
      </c>
      <c r="DS155" s="460">
        <f t="shared" si="400"/>
        <v>270</v>
      </c>
      <c r="DT155" s="460">
        <f t="shared" si="401"/>
        <v>350</v>
      </c>
      <c r="DV155" s="5">
        <f t="shared" si="402"/>
        <v>2.8571428571428572</v>
      </c>
      <c r="DW155" s="5">
        <f t="shared" si="403"/>
        <v>1.3093073414159546</v>
      </c>
      <c r="DX155" s="5">
        <f t="shared" si="404"/>
        <v>1.5478355157269026</v>
      </c>
      <c r="DY155" s="173">
        <f t="shared" si="405"/>
        <v>0.45825756949558411</v>
      </c>
      <c r="EA155" s="5">
        <f t="shared" si="406"/>
        <v>0.20794881304841634</v>
      </c>
      <c r="EB155" s="5">
        <f t="shared" si="407"/>
        <v>2.4549512651549148</v>
      </c>
      <c r="EC155" s="5">
        <f t="shared" si="408"/>
        <v>12.630337808331527</v>
      </c>
      <c r="ED155" s="5"/>
      <c r="EE155" s="173">
        <f t="shared" si="409"/>
        <v>9.2110322832869223</v>
      </c>
      <c r="EF155" s="173">
        <f t="shared" si="410"/>
        <v>0.47292941547607026</v>
      </c>
      <c r="EG155" s="173">
        <f t="shared" si="411"/>
        <v>0.37391871802577675</v>
      </c>
      <c r="EH155" s="173"/>
      <c r="EI155" s="528">
        <f t="shared" si="412"/>
        <v>3.3937246289501561</v>
      </c>
      <c r="EJ155" s="528">
        <f t="shared" si="413"/>
        <v>3.9775955081470089</v>
      </c>
      <c r="EK155" s="528">
        <f t="shared" si="414"/>
        <v>6.9999999999999993E-2</v>
      </c>
      <c r="EL155" s="528">
        <f t="shared" si="415"/>
        <v>2.1523335750000001E-2</v>
      </c>
      <c r="EM155">
        <f t="shared" si="416"/>
        <v>4.0499999999999998E-3</v>
      </c>
      <c r="EN155" s="460">
        <f t="shared" si="417"/>
        <v>74.05</v>
      </c>
      <c r="EP155" s="460">
        <f t="shared" si="439"/>
        <v>7466.8934728471659</v>
      </c>
      <c r="EQ155" s="173">
        <f t="shared" si="418"/>
        <v>0.189</v>
      </c>
      <c r="ER155" s="173">
        <f t="shared" si="475"/>
        <v>0.1953</v>
      </c>
      <c r="ES155" s="528"/>
      <c r="EU155" s="460">
        <f t="shared" si="420"/>
        <v>384.29999999999995</v>
      </c>
      <c r="EV155" s="528">
        <f t="shared" si="421"/>
        <v>2.545293471712617</v>
      </c>
      <c r="EW155" s="528">
        <f t="shared" si="422"/>
        <v>6.7098669606761247E-3</v>
      </c>
      <c r="EX155" s="528">
        <f t="shared" si="423"/>
        <v>6.9907603845020176E-4</v>
      </c>
      <c r="EY155" s="528">
        <f t="shared" si="424"/>
        <v>308.97645461782099</v>
      </c>
      <c r="EZ155" s="528"/>
      <c r="FA155" s="625">
        <f t="shared" si="425"/>
        <v>4.8600000000000021</v>
      </c>
      <c r="FB155" s="460">
        <f t="shared" si="426"/>
        <v>316389.15703253273</v>
      </c>
      <c r="FC155" s="173">
        <f t="shared" si="427"/>
        <v>324.24035050537992</v>
      </c>
      <c r="FD155" s="5">
        <f t="shared" si="428"/>
        <v>48.600000000000009</v>
      </c>
      <c r="FE155" s="173">
        <f t="shared" si="429"/>
        <v>0.13035069818522427</v>
      </c>
      <c r="FF155" s="5">
        <f t="shared" si="430"/>
        <v>13.035069818522427</v>
      </c>
      <c r="FG155">
        <f t="shared" si="431"/>
        <v>45.000000000000007</v>
      </c>
      <c r="FI155" s="562">
        <f t="shared" si="432"/>
        <v>-50</v>
      </c>
      <c r="FJ155">
        <f t="shared" si="433"/>
        <v>-50</v>
      </c>
    </row>
    <row r="156" spans="5:166" s="76" customFormat="1">
      <c r="E156" s="189">
        <v>46</v>
      </c>
      <c r="F156" s="329">
        <f t="shared" si="476"/>
        <v>0.27600000000000002</v>
      </c>
      <c r="G156" s="217">
        <f t="shared" si="444"/>
        <v>0.23</v>
      </c>
      <c r="H156" s="329">
        <f t="shared" si="445"/>
        <v>46.92</v>
      </c>
      <c r="I156" s="217">
        <f t="shared" si="446"/>
        <v>2.7600000000000002</v>
      </c>
      <c r="J156" s="541">
        <f t="shared" si="447"/>
        <v>7.9861050027406328</v>
      </c>
      <c r="K156" s="443">
        <f t="shared" si="448"/>
        <v>8.5415238109841329</v>
      </c>
      <c r="L156" s="172">
        <f t="shared" si="449"/>
        <v>16.527628813724768</v>
      </c>
      <c r="M156" s="443"/>
      <c r="N156" s="217">
        <f t="shared" si="450"/>
        <v>0.51680273723785086</v>
      </c>
      <c r="O156" s="172">
        <f t="shared" si="451"/>
        <v>129.93165875898023</v>
      </c>
      <c r="P156" s="172">
        <f t="shared" si="452"/>
        <v>7.6430387505282482</v>
      </c>
      <c r="Q156" s="329">
        <f t="shared" si="322"/>
        <v>0.76430387505282493</v>
      </c>
      <c r="R156" s="217">
        <f t="shared" si="453"/>
        <v>10.827638229915019</v>
      </c>
      <c r="S156" s="329">
        <f t="shared" si="454"/>
        <v>170</v>
      </c>
      <c r="T156" s="217">
        <f t="shared" si="455"/>
        <v>24.074194310120813</v>
      </c>
      <c r="U156" s="329">
        <f t="shared" si="326"/>
        <v>1.5072550574941819</v>
      </c>
      <c r="V156" s="329">
        <f t="shared" si="327"/>
        <v>1.4092446993569314</v>
      </c>
      <c r="W156" s="537">
        <f t="shared" si="328"/>
        <v>350</v>
      </c>
      <c r="X156" s="443">
        <f t="shared" si="435"/>
        <v>320.87279897958086</v>
      </c>
      <c r="Z156" s="329">
        <f t="shared" si="329"/>
        <v>23.584233858772876</v>
      </c>
      <c r="AA156" s="538">
        <f t="shared" si="330"/>
        <v>1.3805636078918546</v>
      </c>
      <c r="AB156" s="173">
        <f t="shared" si="456"/>
        <v>0.26906837939350653</v>
      </c>
      <c r="AC156" s="538"/>
      <c r="AD156" s="538">
        <f t="shared" si="332"/>
        <v>0.78050085841750405</v>
      </c>
      <c r="AE156" s="545">
        <f t="shared" si="457"/>
        <v>1123.260625402125</v>
      </c>
      <c r="AF156" s="528">
        <f t="shared" si="458"/>
        <v>8.5999631621928696E-2</v>
      </c>
      <c r="AH156" s="173">
        <f t="shared" si="459"/>
        <v>23.827954771054703</v>
      </c>
      <c r="AI156" s="538">
        <f t="shared" si="460"/>
        <v>24.074194310120813</v>
      </c>
      <c r="AJ156" s="538">
        <f t="shared" si="461"/>
        <v>9.1561933161388716</v>
      </c>
      <c r="AL156" s="563">
        <f t="shared" si="462"/>
        <v>276</v>
      </c>
      <c r="AM156" s="564">
        <f t="shared" si="463"/>
        <v>320.87279897958086</v>
      </c>
      <c r="AO156" s="76">
        <f t="shared" si="340"/>
        <v>276</v>
      </c>
      <c r="AP156" s="76">
        <f t="shared" si="341"/>
        <v>320.87279897958086</v>
      </c>
      <c r="AR156" s="534">
        <f t="shared" si="443"/>
        <v>3.1164997568511135</v>
      </c>
      <c r="AS156" s="5">
        <f t="shared" si="440"/>
        <v>1.5072550574941819</v>
      </c>
      <c r="AT156" s="5">
        <f t="shared" si="441"/>
        <v>1.6092446993569316</v>
      </c>
      <c r="AU156" s="173">
        <f t="shared" si="442"/>
        <v>0.48363714907428723</v>
      </c>
      <c r="AW156" s="5">
        <f t="shared" si="342"/>
        <v>0.24470729168729075</v>
      </c>
      <c r="AX156" s="5">
        <f t="shared" si="343"/>
        <v>2.8889055268638488</v>
      </c>
      <c r="AY156" s="5">
        <f t="shared" si="344"/>
        <v>15.127426702837599</v>
      </c>
      <c r="AZ156" s="5"/>
      <c r="BA156" s="173">
        <f t="shared" si="345"/>
        <v>9.6660928020311534</v>
      </c>
      <c r="BB156" s="173">
        <f t="shared" si="346"/>
        <v>0.47164479908330459</v>
      </c>
      <c r="BC156" s="173">
        <f t="shared" si="347"/>
        <v>0.37290304401815705</v>
      </c>
      <c r="BD156" s="173"/>
      <c r="BE156" s="528">
        <f t="shared" si="348"/>
        <v>3.7373340022991393</v>
      </c>
      <c r="BF156" s="528">
        <f t="shared" si="464"/>
        <v>2.8726170442113821</v>
      </c>
      <c r="BG156" s="528">
        <f t="shared" si="465"/>
        <v>0.10250095460696881</v>
      </c>
      <c r="BH156" s="528">
        <f t="shared" si="351"/>
        <v>1.7530084101804417E-2</v>
      </c>
      <c r="BI156">
        <f t="shared" si="352"/>
        <v>3.5937472512332846E-3</v>
      </c>
      <c r="BJ156" s="460">
        <f t="shared" si="436"/>
        <v>106.09470185820209</v>
      </c>
      <c r="BK156">
        <f t="shared" si="466"/>
        <v>68.177836076963032</v>
      </c>
      <c r="BL156" s="460">
        <f t="shared" si="437"/>
        <v>6733.5758324705275</v>
      </c>
      <c r="BM156" s="173">
        <f t="shared" si="467"/>
        <v>0.239568</v>
      </c>
      <c r="BN156" s="173">
        <f t="shared" si="468"/>
        <v>0.19964000000000001</v>
      </c>
      <c r="BO156" s="528"/>
      <c r="BP156"/>
      <c r="BQ156" s="460">
        <f t="shared" si="356"/>
        <v>439.20800000000003</v>
      </c>
      <c r="BR156" s="528">
        <f t="shared" si="357"/>
        <v>2.8030005017243544</v>
      </c>
      <c r="BS156" s="528">
        <f t="shared" si="358"/>
        <v>6.6734644950699222E-3</v>
      </c>
      <c r="BT156" s="528">
        <f t="shared" si="359"/>
        <v>6.9528340119003789E-4</v>
      </c>
      <c r="BU156" s="528">
        <f t="shared" si="360"/>
        <v>262.2295711998911</v>
      </c>
      <c r="BV156" s="528"/>
      <c r="BW156" s="625">
        <f t="shared" si="469"/>
        <v>4.649180786933889</v>
      </c>
      <c r="BX156" s="460">
        <f t="shared" si="362"/>
        <v>269689.12123644562</v>
      </c>
      <c r="BY156" s="173">
        <f t="shared" si="363"/>
        <v>276.86190506891609</v>
      </c>
      <c r="BZ156" s="5">
        <f t="shared" si="364"/>
        <v>49.68</v>
      </c>
      <c r="CA156" s="173">
        <f t="shared" si="365"/>
        <v>0.15213973835766997</v>
      </c>
      <c r="CB156" s="5">
        <f t="shared" si="366"/>
        <v>15.213973835766998</v>
      </c>
      <c r="CC156">
        <f t="shared" si="367"/>
        <v>46.000000000000007</v>
      </c>
      <c r="CE156" s="562">
        <f t="shared" si="470"/>
        <v>-50</v>
      </c>
      <c r="CF156">
        <f t="shared" si="471"/>
        <v>-50</v>
      </c>
      <c r="CG156" s="173">
        <f t="shared" si="370"/>
        <v>0.47605416286637448</v>
      </c>
      <c r="CH156" s="173">
        <f t="shared" si="472"/>
        <v>0.11846669570720446</v>
      </c>
      <c r="CI156" s="189">
        <v>46</v>
      </c>
      <c r="CJ156" s="329">
        <f t="shared" si="438"/>
        <v>0.27600000000000002</v>
      </c>
      <c r="CK156" s="217">
        <f t="shared" si="372"/>
        <v>0.23</v>
      </c>
      <c r="CL156" s="329">
        <f t="shared" si="373"/>
        <v>46.92</v>
      </c>
      <c r="CM156" s="217">
        <f t="shared" si="374"/>
        <v>2.7600000000000002</v>
      </c>
      <c r="CN156" s="541">
        <f t="shared" si="375"/>
        <v>9</v>
      </c>
      <c r="CO156" s="443">
        <f t="shared" si="473"/>
        <v>8.5350000000000001</v>
      </c>
      <c r="CP156" s="443">
        <f t="shared" si="474"/>
        <v>17.535</v>
      </c>
      <c r="CQ156" s="535"/>
      <c r="CR156" s="329">
        <f t="shared" si="378"/>
        <v>0.48644793152639093</v>
      </c>
      <c r="CS156" s="172">
        <f t="shared" si="379"/>
        <v>137.82691393247745</v>
      </c>
      <c r="CT156" s="172">
        <f t="shared" si="380"/>
        <v>8.1074655254398493</v>
      </c>
      <c r="CU156" s="329">
        <f t="shared" si="381"/>
        <v>0.81074655254398498</v>
      </c>
      <c r="CV156" s="217">
        <f t="shared" si="382"/>
        <v>11.485576161039788</v>
      </c>
      <c r="CW156" s="329">
        <f t="shared" si="383"/>
        <v>170</v>
      </c>
      <c r="CX156" s="217">
        <f t="shared" si="384"/>
        <v>22.695131964809381</v>
      </c>
      <c r="CY156" s="329">
        <f t="shared" si="385"/>
        <v>1.2608406647116321</v>
      </c>
      <c r="CZ156" s="329">
        <f t="shared" si="386"/>
        <v>1.3295332141071692</v>
      </c>
      <c r="DA156" s="537">
        <f t="shared" si="387"/>
        <v>350</v>
      </c>
      <c r="DB156" s="535">
        <f t="shared" si="388"/>
        <v>350</v>
      </c>
      <c r="DD156" s="329">
        <f t="shared" si="389"/>
        <v>25.032384211169504</v>
      </c>
      <c r="DE156" s="538">
        <f t="shared" si="390"/>
        <v>1.4664548454112187</v>
      </c>
      <c r="DF156" s="173">
        <f t="shared" si="391"/>
        <v>0.30335794952229944</v>
      </c>
      <c r="DG156" s="538"/>
      <c r="DH156" s="538">
        <f t="shared" si="392"/>
        <v>0.78109744190587771</v>
      </c>
      <c r="DI156" s="545">
        <f t="shared" si="393"/>
        <v>1122.4027058823533</v>
      </c>
      <c r="DJ156" s="528">
        <f t="shared" si="394"/>
        <v>8.6065366284073561E-2</v>
      </c>
      <c r="DL156" s="173">
        <f t="shared" si="395"/>
        <v>23.827954771054703</v>
      </c>
      <c r="DM156" s="538">
        <f t="shared" si="396"/>
        <v>23.827954771054703</v>
      </c>
      <c r="DN156" s="538">
        <f t="shared" si="397"/>
        <v>8.9737936575713828</v>
      </c>
      <c r="DP156" s="563">
        <f t="shared" si="398"/>
        <v>276</v>
      </c>
      <c r="DQ156" s="564">
        <f t="shared" si="399"/>
        <v>350</v>
      </c>
      <c r="DS156" s="76">
        <f t="shared" si="400"/>
        <v>276</v>
      </c>
      <c r="DT156" s="76">
        <f t="shared" si="401"/>
        <v>350</v>
      </c>
      <c r="DV156" s="534">
        <f t="shared" si="402"/>
        <v>2.8571428571428572</v>
      </c>
      <c r="DW156" s="5">
        <f t="shared" si="403"/>
        <v>1.3237752650585946</v>
      </c>
      <c r="DX156" s="5">
        <f t="shared" si="404"/>
        <v>1.5333675920842627</v>
      </c>
      <c r="DY156" s="173">
        <f t="shared" si="405"/>
        <v>0.46332134277050807</v>
      </c>
      <c r="EA156" s="5">
        <f t="shared" si="406"/>
        <v>0.2149188077389248</v>
      </c>
      <c r="EB156" s="5">
        <f t="shared" si="407"/>
        <v>2.5372359246956395</v>
      </c>
      <c r="EC156" s="5">
        <f t="shared" si="408"/>
        <v>12.79033020810553</v>
      </c>
      <c r="ED156" s="5"/>
      <c r="EE156" s="173">
        <f t="shared" si="409"/>
        <v>9.3641269511621488</v>
      </c>
      <c r="EF156" s="173">
        <f t="shared" si="410"/>
        <v>0.47591536092937303</v>
      </c>
      <c r="EG156" s="173">
        <f t="shared" si="411"/>
        <v>0.37627953733508096</v>
      </c>
      <c r="EH156" s="173"/>
      <c r="EI156" s="528">
        <f t="shared" si="412"/>
        <v>3.5074749422992531</v>
      </c>
      <c r="EJ156" s="528">
        <f t="shared" si="413"/>
        <v>4.0215481740130263</v>
      </c>
      <c r="EK156" s="528">
        <f t="shared" si="414"/>
        <v>6.9999999999999993E-2</v>
      </c>
      <c r="EL156" s="528">
        <f t="shared" si="415"/>
        <v>2.1523335750000001E-2</v>
      </c>
      <c r="EM156">
        <f t="shared" si="416"/>
        <v>4.0499999999999998E-3</v>
      </c>
      <c r="EN156" s="460">
        <f t="shared" si="417"/>
        <v>74.05</v>
      </c>
      <c r="EO156"/>
      <c r="EP156" s="460">
        <f t="shared" si="439"/>
        <v>7624.5964520622802</v>
      </c>
      <c r="EQ156" s="173">
        <f t="shared" si="418"/>
        <v>0.19320000000000001</v>
      </c>
      <c r="ER156" s="173">
        <f t="shared" si="475"/>
        <v>0.19964000000000001</v>
      </c>
      <c r="ES156" s="528"/>
      <c r="ET156"/>
      <c r="EU156" s="460">
        <f t="shared" si="420"/>
        <v>392.84000000000003</v>
      </c>
      <c r="EV156" s="528">
        <f t="shared" si="421"/>
        <v>2.6306062067244396</v>
      </c>
      <c r="EW156" s="528">
        <f t="shared" si="422"/>
        <v>6.7948629230560617E-3</v>
      </c>
      <c r="EX156" s="528">
        <f t="shared" si="423"/>
        <v>7.0793145108551299E-4</v>
      </c>
      <c r="EY156" s="528">
        <f t="shared" si="424"/>
        <v>317.58284351199831</v>
      </c>
      <c r="EZ156" s="528"/>
      <c r="FA156" s="625">
        <f t="shared" si="425"/>
        <v>4.9680000000000009</v>
      </c>
      <c r="FB156" s="460">
        <f t="shared" si="426"/>
        <v>325188.95251309691</v>
      </c>
      <c r="FC156" s="173">
        <f t="shared" si="427"/>
        <v>333.20638896515919</v>
      </c>
      <c r="FD156" s="5">
        <f t="shared" si="428"/>
        <v>49.68</v>
      </c>
      <c r="FE156" s="173">
        <f t="shared" si="429"/>
        <v>0.12975128244770445</v>
      </c>
      <c r="FF156" s="5">
        <f t="shared" si="430"/>
        <v>12.975128244770445</v>
      </c>
      <c r="FG156">
        <f t="shared" si="431"/>
        <v>46.000000000000007</v>
      </c>
      <c r="FI156" s="562">
        <f t="shared" si="432"/>
        <v>-50</v>
      </c>
      <c r="FJ156">
        <f t="shared" si="433"/>
        <v>-50</v>
      </c>
    </row>
    <row r="157" spans="5:166">
      <c r="E157" s="170">
        <v>47</v>
      </c>
      <c r="F157" s="217">
        <f t="shared" si="476"/>
        <v>0.28199999999999997</v>
      </c>
      <c r="G157" s="217">
        <f t="shared" si="444"/>
        <v>0.23499999999999999</v>
      </c>
      <c r="H157" s="217">
        <f t="shared" si="445"/>
        <v>47.94</v>
      </c>
      <c r="I157" s="217">
        <f t="shared" si="446"/>
        <v>2.82</v>
      </c>
      <c r="J157" s="541">
        <f t="shared" si="447"/>
        <v>7.975143657182862</v>
      </c>
      <c r="K157" s="443">
        <f t="shared" si="448"/>
        <v>8.5415943407201951</v>
      </c>
      <c r="L157" s="172">
        <f t="shared" si="449"/>
        <v>16.516737997903057</v>
      </c>
      <c r="M157" s="443"/>
      <c r="N157" s="217">
        <f t="shared" si="450"/>
        <v>0.51714777710977944</v>
      </c>
      <c r="O157" s="172">
        <f t="shared" si="451"/>
        <v>129.83994971395492</v>
      </c>
      <c r="P157" s="172">
        <f t="shared" si="452"/>
        <v>7.6376441008208786</v>
      </c>
      <c r="Q157" s="217">
        <f t="shared" si="322"/>
        <v>0.76376441008208773</v>
      </c>
      <c r="R157" s="217">
        <f t="shared" si="453"/>
        <v>10.819995809496243</v>
      </c>
      <c r="S157" s="217">
        <f t="shared" si="454"/>
        <v>170</v>
      </c>
      <c r="T157" s="217">
        <f t="shared" si="455"/>
        <v>24.614920192444444</v>
      </c>
      <c r="U157" s="217">
        <f t="shared" si="326"/>
        <v>1.543227385645578</v>
      </c>
      <c r="V157" s="217">
        <f t="shared" si="327"/>
        <v>1.4408855777134113</v>
      </c>
      <c r="W157" s="197">
        <f t="shared" si="328"/>
        <v>350</v>
      </c>
      <c r="X157" s="443">
        <f t="shared" si="435"/>
        <v>314.05920942738106</v>
      </c>
      <c r="Z157" s="217">
        <f t="shared" si="329"/>
        <v>23.567587511104424</v>
      </c>
      <c r="AA157" s="173">
        <f t="shared" si="330"/>
        <v>1.3795777796863442</v>
      </c>
      <c r="AB157" s="173">
        <f t="shared" si="456"/>
        <v>0.26868646431144683</v>
      </c>
      <c r="AC157" s="173"/>
      <c r="AD157" s="173">
        <f t="shared" si="332"/>
        <v>0.78049441365820693</v>
      </c>
      <c r="AE157" s="545">
        <f t="shared" si="457"/>
        <v>1147.6888113572393</v>
      </c>
      <c r="AF157" s="528">
        <f t="shared" si="458"/>
        <v>8.5998921504932047E-2</v>
      </c>
      <c r="AH157" s="173">
        <f t="shared" si="459"/>
        <v>24.085561768708775</v>
      </c>
      <c r="AI157" s="173">
        <f t="shared" si="460"/>
        <v>24.614920192444444</v>
      </c>
      <c r="AJ157" s="173">
        <f t="shared" si="461"/>
        <v>9.5567310067489704</v>
      </c>
      <c r="AL157" s="545">
        <f t="shared" si="462"/>
        <v>282</v>
      </c>
      <c r="AM157" s="460">
        <f t="shared" si="463"/>
        <v>314.05920942738106</v>
      </c>
      <c r="AO157">
        <f t="shared" si="340"/>
        <v>282</v>
      </c>
      <c r="AP157">
        <f t="shared" si="341"/>
        <v>314.05920942738106</v>
      </c>
      <c r="AR157" s="5">
        <f t="shared" si="443"/>
        <v>3.1841129633589902</v>
      </c>
      <c r="AS157" s="5">
        <f t="shared" si="440"/>
        <v>1.543227385645578</v>
      </c>
      <c r="AT157" s="5">
        <f t="shared" si="441"/>
        <v>1.6408855777134121</v>
      </c>
      <c r="AU157" s="173">
        <f t="shared" si="442"/>
        <v>0.48466477270253433</v>
      </c>
      <c r="AW157" s="5">
        <f t="shared" si="342"/>
        <v>0.25599418985414885</v>
      </c>
      <c r="AX157" s="5">
        <f t="shared" si="343"/>
        <v>3.02215363022259</v>
      </c>
      <c r="AY157" s="5">
        <f t="shared" si="344"/>
        <v>15.781845790272474</v>
      </c>
      <c r="AZ157" s="5"/>
      <c r="BA157" s="173">
        <f t="shared" si="345"/>
        <v>9.8936953206166187</v>
      </c>
      <c r="BB157" s="173">
        <f t="shared" si="346"/>
        <v>0.4817582280172053</v>
      </c>
      <c r="BC157" s="173">
        <f t="shared" si="347"/>
        <v>0.3808991640691845</v>
      </c>
      <c r="BD157" s="173"/>
      <c r="BE157" s="528">
        <f t="shared" si="348"/>
        <v>3.9154082838876474</v>
      </c>
      <c r="BF157" s="528">
        <f t="shared" si="464"/>
        <v>2.8728752175465391</v>
      </c>
      <c r="BG157" s="528">
        <f t="shared" si="465"/>
        <v>0.10018669248178569</v>
      </c>
      <c r="BH157" s="528">
        <f t="shared" si="351"/>
        <v>1.713523591848885E-2</v>
      </c>
      <c r="BI157">
        <f t="shared" si="352"/>
        <v>3.5888146457322876E-3</v>
      </c>
      <c r="BJ157" s="460">
        <f t="shared" si="436"/>
        <v>103.77550712751797</v>
      </c>
      <c r="BK157">
        <f t="shared" si="466"/>
        <v>112.80764293401229</v>
      </c>
      <c r="BL157" s="460">
        <f t="shared" si="437"/>
        <v>6909.1942444801925</v>
      </c>
      <c r="BM157" s="173">
        <f t="shared" si="467"/>
        <v>0.24477599999999997</v>
      </c>
      <c r="BN157" s="173">
        <f t="shared" si="468"/>
        <v>0.20397999999999997</v>
      </c>
      <c r="BO157" s="528"/>
      <c r="BQ157" s="460">
        <f t="shared" si="356"/>
        <v>448.75599999999991</v>
      </c>
      <c r="BR157" s="528">
        <f t="shared" si="357"/>
        <v>2.9365562129157352</v>
      </c>
      <c r="BS157" s="528">
        <f t="shared" si="358"/>
        <v>6.9627297078683273E-3</v>
      </c>
      <c r="BT157" s="528">
        <f t="shared" si="359"/>
        <v>7.2542086594301765E-4</v>
      </c>
      <c r="BU157" s="528">
        <f t="shared" si="360"/>
        <v>262.72107784176467</v>
      </c>
      <c r="BV157" s="528"/>
      <c r="BW157" s="625">
        <f t="shared" si="469"/>
        <v>4.7571670905893226</v>
      </c>
      <c r="BX157" s="460">
        <f t="shared" si="362"/>
        <v>270422.48929584352</v>
      </c>
      <c r="BY157" s="173">
        <f t="shared" si="363"/>
        <v>277.78043954032375</v>
      </c>
      <c r="BZ157" s="5">
        <f t="shared" si="364"/>
        <v>50.76</v>
      </c>
      <c r="CA157" s="173">
        <f t="shared" si="365"/>
        <v>0.15450152824724006</v>
      </c>
      <c r="CB157" s="5">
        <f t="shared" si="366"/>
        <v>15.450152824724006</v>
      </c>
      <c r="CC157">
        <f t="shared" si="367"/>
        <v>47</v>
      </c>
      <c r="CE157" s="562">
        <f t="shared" si="470"/>
        <v>-50</v>
      </c>
      <c r="CF157">
        <f t="shared" si="471"/>
        <v>-50</v>
      </c>
      <c r="CG157" s="173">
        <f t="shared" si="370"/>
        <v>0.48120084393048757</v>
      </c>
      <c r="CH157" s="173">
        <f t="shared" si="472"/>
        <v>0.11974745396347758</v>
      </c>
      <c r="CI157" s="170">
        <v>47</v>
      </c>
      <c r="CJ157" s="217">
        <f t="shared" si="438"/>
        <v>0.28199999999999997</v>
      </c>
      <c r="CK157" s="217">
        <f t="shared" si="372"/>
        <v>0.23499999999999999</v>
      </c>
      <c r="CL157" s="217">
        <f t="shared" si="373"/>
        <v>47.94</v>
      </c>
      <c r="CM157" s="217">
        <f t="shared" si="374"/>
        <v>2.82</v>
      </c>
      <c r="CN157" s="541">
        <f t="shared" si="375"/>
        <v>9</v>
      </c>
      <c r="CO157" s="443">
        <f t="shared" si="473"/>
        <v>8.5350000000000001</v>
      </c>
      <c r="CP157" s="443">
        <f t="shared" si="474"/>
        <v>17.535</v>
      </c>
      <c r="CQ157" s="443"/>
      <c r="CR157" s="217">
        <f t="shared" si="378"/>
        <v>0.48644793152639093</v>
      </c>
      <c r="CS157" s="172">
        <f t="shared" si="379"/>
        <v>137.82691393247745</v>
      </c>
      <c r="CT157" s="172">
        <f t="shared" si="380"/>
        <v>8.1074655254398493</v>
      </c>
      <c r="CU157" s="217">
        <f t="shared" si="381"/>
        <v>0.81074655254398498</v>
      </c>
      <c r="CV157" s="217">
        <f t="shared" si="382"/>
        <v>11.485576161039788</v>
      </c>
      <c r="CW157" s="217">
        <f t="shared" si="383"/>
        <v>170</v>
      </c>
      <c r="CX157" s="217">
        <f t="shared" si="384"/>
        <v>23.188504398826975</v>
      </c>
      <c r="CY157" s="217">
        <f t="shared" si="385"/>
        <v>1.2882502443792763</v>
      </c>
      <c r="CZ157" s="217">
        <f t="shared" si="386"/>
        <v>1.3584361100660207</v>
      </c>
      <c r="DA157" s="197">
        <f t="shared" si="387"/>
        <v>350</v>
      </c>
      <c r="DB157" s="443">
        <f t="shared" si="388"/>
        <v>350</v>
      </c>
      <c r="DD157" s="217">
        <f t="shared" si="389"/>
        <v>25.032384211169504</v>
      </c>
      <c r="DE157" s="173">
        <f t="shared" si="390"/>
        <v>1.4664548454112187</v>
      </c>
      <c r="DF157" s="173">
        <f t="shared" si="391"/>
        <v>0.30335794952229944</v>
      </c>
      <c r="DG157" s="173"/>
      <c r="DH157" s="173">
        <f t="shared" si="392"/>
        <v>0.78109744190587771</v>
      </c>
      <c r="DI157" s="545">
        <f t="shared" si="393"/>
        <v>1146.8027647058823</v>
      </c>
      <c r="DJ157" s="528">
        <f t="shared" si="394"/>
        <v>8.6065366284073561E-2</v>
      </c>
      <c r="DL157" s="173">
        <f t="shared" si="395"/>
        <v>24.085561768708775</v>
      </c>
      <c r="DM157" s="173">
        <f t="shared" si="396"/>
        <v>24.085561768708775</v>
      </c>
      <c r="DN157" s="173">
        <f t="shared" si="397"/>
        <v>9.1646136558336586</v>
      </c>
      <c r="DP157" s="545">
        <f t="shared" si="398"/>
        <v>282</v>
      </c>
      <c r="DQ157" s="460">
        <f t="shared" si="399"/>
        <v>350</v>
      </c>
      <c r="DS157">
        <f t="shared" si="400"/>
        <v>282</v>
      </c>
      <c r="DT157">
        <f t="shared" si="401"/>
        <v>350</v>
      </c>
      <c r="DV157" s="5">
        <f t="shared" si="402"/>
        <v>2.8571428571428572</v>
      </c>
      <c r="DW157" s="5">
        <f t="shared" si="403"/>
        <v>1.3380867649282653</v>
      </c>
      <c r="DX157" s="5">
        <f t="shared" si="404"/>
        <v>1.5190560922145919</v>
      </c>
      <c r="DY157" s="173">
        <f t="shared" si="405"/>
        <v>0.46833036772489284</v>
      </c>
      <c r="EA157" s="5">
        <f t="shared" si="406"/>
        <v>0.22196498100574752</v>
      </c>
      <c r="EB157" s="5">
        <f t="shared" si="407"/>
        <v>2.620419914651186</v>
      </c>
      <c r="EC157" s="5">
        <f t="shared" si="408"/>
        <v>12.946408721914228</v>
      </c>
      <c r="ED157" s="5"/>
      <c r="EE157" s="173">
        <f t="shared" si="409"/>
        <v>9.5163917663337614</v>
      </c>
      <c r="EF157" s="173">
        <f t="shared" si="410"/>
        <v>0.47881031851583061</v>
      </c>
      <c r="EG157" s="173">
        <f t="shared" si="411"/>
        <v>0.37856841765008004</v>
      </c>
      <c r="EH157" s="173"/>
      <c r="EI157" s="528">
        <f t="shared" si="412"/>
        <v>3.6224684900138007</v>
      </c>
      <c r="EJ157" s="528">
        <f t="shared" si="413"/>
        <v>4.0650256340377187</v>
      </c>
      <c r="EK157" s="528">
        <f t="shared" si="414"/>
        <v>6.9999999999999993E-2</v>
      </c>
      <c r="EL157" s="528">
        <f t="shared" si="415"/>
        <v>2.1523335750000001E-2</v>
      </c>
      <c r="EM157">
        <f t="shared" si="416"/>
        <v>4.0499999999999998E-3</v>
      </c>
      <c r="EN157" s="460">
        <f t="shared" si="417"/>
        <v>74.05</v>
      </c>
      <c r="EP157" s="460">
        <f t="shared" si="439"/>
        <v>7783.0674598015203</v>
      </c>
      <c r="EQ157" s="173">
        <f t="shared" si="418"/>
        <v>0.19739999999999996</v>
      </c>
      <c r="ER157" s="173">
        <f t="shared" si="475"/>
        <v>0.20397999999999997</v>
      </c>
      <c r="ES157" s="528"/>
      <c r="EU157" s="460">
        <f t="shared" si="420"/>
        <v>401.37999999999994</v>
      </c>
      <c r="EV157" s="528">
        <f t="shared" si="421"/>
        <v>2.7168513675103503</v>
      </c>
      <c r="EW157" s="528">
        <f t="shared" si="422"/>
        <v>6.8777796335169348E-3</v>
      </c>
      <c r="EX157" s="528">
        <f t="shared" si="423"/>
        <v>7.1657023421042713E-4</v>
      </c>
      <c r="EY157" s="528">
        <f t="shared" si="424"/>
        <v>326.23613683402874</v>
      </c>
      <c r="EZ157" s="528"/>
      <c r="FA157" s="625">
        <f t="shared" si="425"/>
        <v>5.0760000000000005</v>
      </c>
      <c r="FB157" s="460">
        <f t="shared" si="426"/>
        <v>334036.58255140687</v>
      </c>
      <c r="FC157" s="173">
        <f t="shared" si="427"/>
        <v>342.22103001120837</v>
      </c>
      <c r="FD157" s="5">
        <f t="shared" si="428"/>
        <v>50.76</v>
      </c>
      <c r="FE157" s="173">
        <f t="shared" si="429"/>
        <v>0.12916654017256826</v>
      </c>
      <c r="FF157" s="5">
        <f t="shared" si="430"/>
        <v>12.916654017256826</v>
      </c>
      <c r="FG157">
        <f t="shared" si="431"/>
        <v>47</v>
      </c>
      <c r="FI157" s="562">
        <f t="shared" si="432"/>
        <v>-50</v>
      </c>
      <c r="FJ157">
        <f t="shared" si="433"/>
        <v>-50</v>
      </c>
    </row>
    <row r="158" spans="5:166">
      <c r="E158" s="170">
        <v>48</v>
      </c>
      <c r="F158" s="217">
        <f t="shared" si="476"/>
        <v>0.28799999999999998</v>
      </c>
      <c r="G158" s="217">
        <f t="shared" si="444"/>
        <v>0.24</v>
      </c>
      <c r="H158" s="217">
        <f t="shared" si="445"/>
        <v>48.959999999999994</v>
      </c>
      <c r="I158" s="217">
        <f t="shared" si="446"/>
        <v>2.88</v>
      </c>
      <c r="J158" s="541">
        <f t="shared" si="447"/>
        <v>7.964298314495208</v>
      </c>
      <c r="K158" s="443">
        <f t="shared" si="448"/>
        <v>8.5416641240468163</v>
      </c>
      <c r="L158" s="172">
        <f t="shared" si="449"/>
        <v>16.505962438542024</v>
      </c>
      <c r="M158" s="443"/>
      <c r="N158" s="217">
        <f t="shared" si="450"/>
        <v>0.51748961357755907</v>
      </c>
      <c r="O158" s="172">
        <f t="shared" si="451"/>
        <v>129.74908920766114</v>
      </c>
      <c r="P158" s="172">
        <f t="shared" si="452"/>
        <v>7.6322993651565376</v>
      </c>
      <c r="Q158" s="217">
        <f t="shared" si="322"/>
        <v>0.76322993651565374</v>
      </c>
      <c r="R158" s="217">
        <f t="shared" si="453"/>
        <v>10.812424100638429</v>
      </c>
      <c r="S158" s="217">
        <f t="shared" si="454"/>
        <v>170</v>
      </c>
      <c r="T158" s="217">
        <f t="shared" si="455"/>
        <v>25.156245950798354</v>
      </c>
      <c r="U158" s="217">
        <f t="shared" si="326"/>
        <v>1.5793133906733128</v>
      </c>
      <c r="V158" s="217">
        <f t="shared" si="327"/>
        <v>1.4725611769243852</v>
      </c>
      <c r="W158" s="197">
        <f t="shared" si="328"/>
        <v>350</v>
      </c>
      <c r="X158" s="443">
        <f t="shared" si="435"/>
        <v>307.51493614304553</v>
      </c>
      <c r="Z158" s="217">
        <f t="shared" si="329"/>
        <v>23.551095183911599</v>
      </c>
      <c r="AA158" s="173">
        <f t="shared" si="330"/>
        <v>1.3786011040641168</v>
      </c>
      <c r="AB158" s="173">
        <f t="shared" si="456"/>
        <v>0.2683083564494928</v>
      </c>
      <c r="AC158" s="173"/>
      <c r="AD158" s="173">
        <f t="shared" si="332"/>
        <v>0.78048803720792703</v>
      </c>
      <c r="AE158" s="545">
        <f t="shared" si="457"/>
        <v>1172.1172981515538</v>
      </c>
      <c r="AF158" s="528">
        <f t="shared" si="458"/>
        <v>8.5998218914577138E-2</v>
      </c>
      <c r="AH158" s="173">
        <f t="shared" si="459"/>
        <v>24.340442536181275</v>
      </c>
      <c r="AI158" s="173">
        <f t="shared" si="460"/>
        <v>25.156245950798354</v>
      </c>
      <c r="AJ158" s="173">
        <f t="shared" si="461"/>
        <v>9.9577130499740889</v>
      </c>
      <c r="AL158" s="545">
        <f t="shared" si="462"/>
        <v>288</v>
      </c>
      <c r="AM158" s="460">
        <f t="shared" si="463"/>
        <v>307.51493614304553</v>
      </c>
      <c r="AO158">
        <f t="shared" si="340"/>
        <v>288</v>
      </c>
      <c r="AP158">
        <f t="shared" si="341"/>
        <v>307.51493614304553</v>
      </c>
      <c r="AR158" s="5">
        <f t="shared" si="443"/>
        <v>3.2518745675976986</v>
      </c>
      <c r="AS158" s="5">
        <f t="shared" si="440"/>
        <v>1.5793133906733128</v>
      </c>
      <c r="AT158" s="5">
        <f t="shared" si="441"/>
        <v>1.6725611769243858</v>
      </c>
      <c r="AU158" s="173">
        <f t="shared" si="442"/>
        <v>0.48566245648276046</v>
      </c>
      <c r="AW158" s="5">
        <f t="shared" si="342"/>
        <v>0.26755426853759651</v>
      </c>
      <c r="AX158" s="5">
        <f t="shared" si="343"/>
        <v>3.1586267813466251</v>
      </c>
      <c r="AY158" s="5">
        <f t="shared" si="344"/>
        <v>16.451135703579315</v>
      </c>
      <c r="AZ158" s="5"/>
      <c r="BA158" s="173">
        <f t="shared" si="345"/>
        <v>10.121676924547714</v>
      </c>
      <c r="BB158" s="173">
        <f t="shared" si="346"/>
        <v>0.49187611996835179</v>
      </c>
      <c r="BC158" s="173">
        <f t="shared" si="347"/>
        <v>0.38889881277720079</v>
      </c>
      <c r="BD158" s="173"/>
      <c r="BE158" s="528">
        <f t="shared" si="348"/>
        <v>4.0979337505968667</v>
      </c>
      <c r="BF158" s="528">
        <f t="shared" si="464"/>
        <v>2.8729986190612409</v>
      </c>
      <c r="BG158" s="528">
        <f t="shared" si="465"/>
        <v>9.796562750424638E-2</v>
      </c>
      <c r="BH158" s="528">
        <f t="shared" si="351"/>
        <v>1.675629181625099E-2</v>
      </c>
      <c r="BI158">
        <f t="shared" si="352"/>
        <v>3.5839342415228434E-3</v>
      </c>
      <c r="BJ158" s="460">
        <f t="shared" si="436"/>
        <v>101.54956174576922</v>
      </c>
      <c r="BK158">
        <f t="shared" si="466"/>
        <v>307.39998307426919</v>
      </c>
      <c r="BL158" s="460">
        <f t="shared" si="437"/>
        <v>7089.2382232201289</v>
      </c>
      <c r="BM158" s="173">
        <f t="shared" si="467"/>
        <v>0.24998399999999996</v>
      </c>
      <c r="BN158" s="173">
        <f t="shared" si="468"/>
        <v>0.20831999999999998</v>
      </c>
      <c r="BO158" s="528"/>
      <c r="BQ158" s="460">
        <f t="shared" si="356"/>
        <v>458.30399999999992</v>
      </c>
      <c r="BR158" s="528">
        <f t="shared" si="357"/>
        <v>3.0734503129476498</v>
      </c>
      <c r="BS158" s="528">
        <f t="shared" si="358"/>
        <v>7.2582635218536116E-3</v>
      </c>
      <c r="BT158" s="528">
        <f t="shared" si="359"/>
        <v>7.562114328975814E-4</v>
      </c>
      <c r="BU158" s="528">
        <f t="shared" si="360"/>
        <v>263.17832647694752</v>
      </c>
      <c r="BV158" s="528"/>
      <c r="BW158" s="625">
        <f t="shared" si="469"/>
        <v>4.8651685142068901</v>
      </c>
      <c r="BX158" s="460">
        <f t="shared" si="362"/>
        <v>271124.95977905684</v>
      </c>
      <c r="BY158" s="173">
        <f t="shared" si="363"/>
        <v>278.67250200227699</v>
      </c>
      <c r="BZ158" s="5">
        <f t="shared" si="364"/>
        <v>51.839999999999996</v>
      </c>
      <c r="CA158" s="173">
        <f t="shared" si="365"/>
        <v>0.15684731949910585</v>
      </c>
      <c r="CB158" s="5">
        <f t="shared" si="366"/>
        <v>15.684731949910585</v>
      </c>
      <c r="CC158">
        <f t="shared" si="367"/>
        <v>48</v>
      </c>
      <c r="CE158" s="562">
        <f t="shared" si="470"/>
        <v>-50</v>
      </c>
      <c r="CF158">
        <f t="shared" si="471"/>
        <v>-50</v>
      </c>
      <c r="CG158" s="173">
        <f t="shared" si="370"/>
        <v>0.48629305816186824</v>
      </c>
      <c r="CH158" s="173">
        <f t="shared" si="472"/>
        <v>0.12101465807780065</v>
      </c>
      <c r="CI158" s="170">
        <v>48</v>
      </c>
      <c r="CJ158" s="217">
        <f t="shared" si="438"/>
        <v>0.28799999999999998</v>
      </c>
      <c r="CK158" s="217">
        <f t="shared" si="372"/>
        <v>0.24</v>
      </c>
      <c r="CL158" s="217">
        <f t="shared" si="373"/>
        <v>48.959999999999994</v>
      </c>
      <c r="CM158" s="217">
        <f t="shared" si="374"/>
        <v>2.88</v>
      </c>
      <c r="CN158" s="541">
        <f t="shared" si="375"/>
        <v>9</v>
      </c>
      <c r="CO158" s="443">
        <f t="shared" si="473"/>
        <v>8.5350000000000001</v>
      </c>
      <c r="CP158" s="443">
        <f t="shared" si="474"/>
        <v>17.535</v>
      </c>
      <c r="CQ158" s="443"/>
      <c r="CR158" s="217">
        <f t="shared" si="378"/>
        <v>0.48644793152639093</v>
      </c>
      <c r="CS158" s="172">
        <f t="shared" si="379"/>
        <v>137.82691393247745</v>
      </c>
      <c r="CT158" s="172">
        <f t="shared" si="380"/>
        <v>8.1074655254398493</v>
      </c>
      <c r="CU158" s="217">
        <f t="shared" si="381"/>
        <v>0.81074655254398498</v>
      </c>
      <c r="CV158" s="217">
        <f t="shared" si="382"/>
        <v>11.485576161039788</v>
      </c>
      <c r="CW158" s="217">
        <f t="shared" si="383"/>
        <v>170</v>
      </c>
      <c r="CX158" s="217">
        <f t="shared" si="384"/>
        <v>23.681876832844573</v>
      </c>
      <c r="CY158" s="217">
        <f t="shared" si="385"/>
        <v>1.3156598240469206</v>
      </c>
      <c r="CZ158" s="217">
        <f t="shared" si="386"/>
        <v>1.3873390060248723</v>
      </c>
      <c r="DA158" s="197">
        <f t="shared" si="387"/>
        <v>350</v>
      </c>
      <c r="DB158" s="443">
        <f t="shared" si="388"/>
        <v>350</v>
      </c>
      <c r="DD158" s="217">
        <f t="shared" si="389"/>
        <v>25.032384211169504</v>
      </c>
      <c r="DE158" s="173">
        <f t="shared" si="390"/>
        <v>1.4664548454112187</v>
      </c>
      <c r="DF158" s="173">
        <f t="shared" si="391"/>
        <v>0.30335794952229944</v>
      </c>
      <c r="DG158" s="173"/>
      <c r="DH158" s="173">
        <f t="shared" si="392"/>
        <v>0.78109744190587771</v>
      </c>
      <c r="DI158" s="545">
        <f t="shared" si="393"/>
        <v>1171.2028235294117</v>
      </c>
      <c r="DJ158" s="528">
        <f t="shared" si="394"/>
        <v>8.6065366284073561E-2</v>
      </c>
      <c r="DL158" s="173">
        <f t="shared" si="395"/>
        <v>24.340442536181275</v>
      </c>
      <c r="DM158" s="173">
        <f t="shared" si="396"/>
        <v>24.340442536181275</v>
      </c>
      <c r="DN158" s="173">
        <f t="shared" si="397"/>
        <v>9.3534142243318072</v>
      </c>
      <c r="DP158" s="545">
        <f t="shared" si="398"/>
        <v>288</v>
      </c>
      <c r="DQ158" s="460">
        <f t="shared" si="399"/>
        <v>350</v>
      </c>
      <c r="DS158">
        <f t="shared" si="400"/>
        <v>288</v>
      </c>
      <c r="DT158">
        <f t="shared" si="401"/>
        <v>350</v>
      </c>
      <c r="DV158" s="5">
        <f t="shared" si="402"/>
        <v>2.8571428571428572</v>
      </c>
      <c r="DW158" s="5">
        <f t="shared" si="403"/>
        <v>1.3522468075656264</v>
      </c>
      <c r="DX158" s="5">
        <f t="shared" si="404"/>
        <v>1.5048960495772308</v>
      </c>
      <c r="DY158" s="173">
        <f t="shared" si="405"/>
        <v>0.47328638264796924</v>
      </c>
      <c r="EA158" s="5">
        <f t="shared" si="406"/>
        <v>0.22908651798758844</v>
      </c>
      <c r="EB158" s="5">
        <f t="shared" si="407"/>
        <v>2.7044936151312529</v>
      </c>
      <c r="EC158" s="5">
        <f t="shared" si="408"/>
        <v>13.098615215520216</v>
      </c>
      <c r="ED158" s="5"/>
      <c r="EE158" s="173">
        <f t="shared" si="409"/>
        <v>9.6678487441072463</v>
      </c>
      <c r="EF158" s="173">
        <f t="shared" si="410"/>
        <v>0.48161669867385598</v>
      </c>
      <c r="EG158" s="173">
        <f t="shared" si="411"/>
        <v>0.38078726476900066</v>
      </c>
      <c r="EH158" s="173"/>
      <c r="EI158" s="528">
        <f t="shared" si="412"/>
        <v>3.7386919735574424</v>
      </c>
      <c r="EJ158" s="528">
        <f t="shared" si="413"/>
        <v>4.1080429762674093</v>
      </c>
      <c r="EK158" s="528">
        <f t="shared" si="414"/>
        <v>6.9999999999999993E-2</v>
      </c>
      <c r="EL158" s="528">
        <f t="shared" si="415"/>
        <v>2.1523335750000001E-2</v>
      </c>
      <c r="EM158">
        <f t="shared" si="416"/>
        <v>4.0499999999999998E-3</v>
      </c>
      <c r="EN158" s="460">
        <f t="shared" si="417"/>
        <v>74.05</v>
      </c>
      <c r="EP158" s="460">
        <f t="shared" si="439"/>
        <v>7942.3082855748526</v>
      </c>
      <c r="EQ158" s="173">
        <f t="shared" si="418"/>
        <v>0.20159999999999997</v>
      </c>
      <c r="ER158" s="173">
        <f t="shared" si="475"/>
        <v>0.20831999999999998</v>
      </c>
      <c r="ES158" s="528"/>
      <c r="EU158" s="460">
        <f t="shared" si="420"/>
        <v>409.91999999999996</v>
      </c>
      <c r="EV158" s="528">
        <f t="shared" si="421"/>
        <v>2.8040189801680815</v>
      </c>
      <c r="EW158" s="528">
        <f t="shared" si="422"/>
        <v>6.9586393332451138E-3</v>
      </c>
      <c r="EX158" s="528">
        <f t="shared" si="423"/>
        <v>7.2499470505128511E-4</v>
      </c>
      <c r="EY158" s="528">
        <f t="shared" si="424"/>
        <v>334.93558400004895</v>
      </c>
      <c r="EZ158" s="528"/>
      <c r="FA158" s="625">
        <f t="shared" si="425"/>
        <v>5.1839999999999993</v>
      </c>
      <c r="FB158" s="460">
        <f t="shared" si="426"/>
        <v>342931.28661425534</v>
      </c>
      <c r="FC158" s="173">
        <f t="shared" si="427"/>
        <v>351.28351489983021</v>
      </c>
      <c r="FD158" s="5">
        <f t="shared" si="428"/>
        <v>51.839999999999996</v>
      </c>
      <c r="FE158" s="173">
        <f t="shared" si="429"/>
        <v>0.12859582258028637</v>
      </c>
      <c r="FF158" s="5">
        <f t="shared" si="430"/>
        <v>12.859582258028638</v>
      </c>
      <c r="FG158">
        <f t="shared" si="431"/>
        <v>48</v>
      </c>
      <c r="FI158" s="562">
        <f t="shared" si="432"/>
        <v>-50</v>
      </c>
      <c r="FJ158">
        <f t="shared" si="433"/>
        <v>-50</v>
      </c>
    </row>
    <row r="159" spans="5:166">
      <c r="E159" s="170">
        <v>49</v>
      </c>
      <c r="F159" s="217">
        <f t="shared" si="476"/>
        <v>0.29399999999999998</v>
      </c>
      <c r="G159" s="217">
        <f t="shared" si="444"/>
        <v>0.245</v>
      </c>
      <c r="H159" s="217">
        <f t="shared" si="445"/>
        <v>49.98</v>
      </c>
      <c r="I159" s="217">
        <f t="shared" si="446"/>
        <v>2.94</v>
      </c>
      <c r="J159" s="541">
        <f t="shared" si="447"/>
        <v>7.9535653678789044</v>
      </c>
      <c r="K159" s="443">
        <f t="shared" si="448"/>
        <v>8.5417331841715978</v>
      </c>
      <c r="L159" s="172">
        <f t="shared" si="449"/>
        <v>16.495298552050503</v>
      </c>
      <c r="M159" s="443"/>
      <c r="N159" s="217">
        <f t="shared" si="450"/>
        <v>0.51782834710256209</v>
      </c>
      <c r="O159" s="172">
        <f t="shared" si="451"/>
        <v>129.65905062288064</v>
      </c>
      <c r="P159" s="172">
        <f t="shared" si="452"/>
        <v>7.6270029778165087</v>
      </c>
      <c r="Q159" s="217">
        <f t="shared" si="322"/>
        <v>0.76270029778165083</v>
      </c>
      <c r="R159" s="217">
        <f t="shared" si="453"/>
        <v>10.804920885240053</v>
      </c>
      <c r="S159" s="217">
        <f t="shared" si="454"/>
        <v>170</v>
      </c>
      <c r="T159" s="217">
        <f t="shared" si="455"/>
        <v>25.698167493847201</v>
      </c>
      <c r="U159" s="217">
        <f t="shared" si="326"/>
        <v>1.6155124340607834</v>
      </c>
      <c r="V159" s="217">
        <f t="shared" si="327"/>
        <v>1.5042712608646931</v>
      </c>
      <c r="W159" s="197">
        <f t="shared" si="328"/>
        <v>350</v>
      </c>
      <c r="X159" s="443">
        <f t="shared" si="435"/>
        <v>301.2244446915534</v>
      </c>
      <c r="Z159" s="217">
        <f t="shared" si="329"/>
        <v>23.534752045833802</v>
      </c>
      <c r="AA159" s="173">
        <f t="shared" si="330"/>
        <v>1.3776332939926799</v>
      </c>
      <c r="AB159" s="173">
        <f t="shared" si="456"/>
        <v>0.2679339375083441</v>
      </c>
      <c r="AC159" s="173"/>
      <c r="AD159" s="173">
        <f t="shared" si="332"/>
        <v>0.78048172694277618</v>
      </c>
      <c r="AE159" s="545">
        <f t="shared" si="457"/>
        <v>1196.5460826344847</v>
      </c>
      <c r="AF159" s="528">
        <f t="shared" si="458"/>
        <v>8.5997523616842944E-2</v>
      </c>
      <c r="AH159" s="173">
        <f t="shared" si="459"/>
        <v>24.592681838303037</v>
      </c>
      <c r="AI159" s="173">
        <f t="shared" si="460"/>
        <v>25.698167493847201</v>
      </c>
      <c r="AJ159" s="173">
        <f t="shared" si="461"/>
        <v>10.359136415195456</v>
      </c>
      <c r="AL159" s="545">
        <f t="shared" si="462"/>
        <v>294</v>
      </c>
      <c r="AM159" s="460">
        <f t="shared" si="463"/>
        <v>301.2244446915534</v>
      </c>
      <c r="AO159">
        <f t="shared" si="340"/>
        <v>294</v>
      </c>
      <c r="AP159">
        <f t="shared" si="341"/>
        <v>301.2244446915534</v>
      </c>
      <c r="AR159" s="5">
        <f t="shared" si="443"/>
        <v>3.3197836949254769</v>
      </c>
      <c r="AS159" s="5">
        <f t="shared" si="440"/>
        <v>1.6155124340607834</v>
      </c>
      <c r="AT159" s="5">
        <f t="shared" si="441"/>
        <v>1.7042712608646935</v>
      </c>
      <c r="AU159" s="173">
        <f t="shared" si="442"/>
        <v>0.48663183584225922</v>
      </c>
      <c r="AW159" s="5">
        <f t="shared" si="342"/>
        <v>0.27938862094933548</v>
      </c>
      <c r="AX159" s="5">
        <f t="shared" si="343"/>
        <v>3.2983378862074328</v>
      </c>
      <c r="AY159" s="5">
        <f t="shared" si="344"/>
        <v>17.135354760424072</v>
      </c>
      <c r="AZ159" s="5"/>
      <c r="BA159" s="173">
        <f t="shared" si="345"/>
        <v>10.350034245350249</v>
      </c>
      <c r="BB159" s="173">
        <f t="shared" si="346"/>
        <v>0.50199849502405403</v>
      </c>
      <c r="BC159" s="173">
        <f t="shared" si="347"/>
        <v>0.39690200602411313</v>
      </c>
      <c r="BD159" s="173"/>
      <c r="BE159" s="528">
        <f t="shared" si="348"/>
        <v>4.2849283551969171</v>
      </c>
      <c r="BF159" s="528">
        <f t="shared" si="464"/>
        <v>2.8729962973913903</v>
      </c>
      <c r="BG159" s="528">
        <f t="shared" si="465"/>
        <v>9.5832332450291741E-2</v>
      </c>
      <c r="BH159" s="528">
        <f t="shared" si="351"/>
        <v>1.6392325484169083E-2</v>
      </c>
      <c r="BI159">
        <f t="shared" si="352"/>
        <v>3.5791044155455069E-3</v>
      </c>
      <c r="BJ159" s="460">
        <f t="shared" si="436"/>
        <v>99.411436865837246</v>
      </c>
      <c r="BK159">
        <f t="shared" si="466"/>
        <v>-460.31593632678033</v>
      </c>
      <c r="BL159" s="460">
        <f t="shared" si="437"/>
        <v>7273.728414938314</v>
      </c>
      <c r="BM159" s="173">
        <f t="shared" si="467"/>
        <v>0.25519199999999997</v>
      </c>
      <c r="BN159" s="173">
        <f t="shared" si="468"/>
        <v>0.21265999999999999</v>
      </c>
      <c r="BO159" s="528"/>
      <c r="BQ159" s="460">
        <f t="shared" si="356"/>
        <v>467.85199999999992</v>
      </c>
      <c r="BR159" s="528">
        <f t="shared" si="357"/>
        <v>3.2136962663976871</v>
      </c>
      <c r="BS159" s="528">
        <f t="shared" si="358"/>
        <v>7.5600746701924553E-3</v>
      </c>
      <c r="BT159" s="528">
        <f t="shared" si="359"/>
        <v>7.8765601192982569E-4</v>
      </c>
      <c r="BU159" s="528">
        <f t="shared" si="360"/>
        <v>263.60334923460613</v>
      </c>
      <c r="BV159" s="528"/>
      <c r="BW159" s="625">
        <f t="shared" si="469"/>
        <v>4.973184047738461</v>
      </c>
      <c r="BX159" s="460">
        <f t="shared" si="362"/>
        <v>271798.57727942441</v>
      </c>
      <c r="BY159" s="173">
        <f t="shared" si="363"/>
        <v>279.54015769436273</v>
      </c>
      <c r="BZ159" s="5">
        <f t="shared" si="364"/>
        <v>52.919999999999995</v>
      </c>
      <c r="CA159" s="173">
        <f t="shared" si="365"/>
        <v>0.15917696835315348</v>
      </c>
      <c r="CB159" s="5">
        <f t="shared" si="366"/>
        <v>15.917696835315349</v>
      </c>
      <c r="CC159">
        <f t="shared" si="367"/>
        <v>49</v>
      </c>
      <c r="CE159" s="562">
        <f t="shared" si="470"/>
        <v>-50</v>
      </c>
      <c r="CF159">
        <f t="shared" si="471"/>
        <v>-50</v>
      </c>
      <c r="CG159" s="173">
        <f t="shared" si="370"/>
        <v>0.49133249906090176</v>
      </c>
      <c r="CH159" s="173">
        <f t="shared" si="472"/>
        <v>0.12226872947994026</v>
      </c>
      <c r="CI159" s="170">
        <v>49</v>
      </c>
      <c r="CJ159" s="217">
        <f t="shared" si="438"/>
        <v>0.29399999999999998</v>
      </c>
      <c r="CK159" s="217">
        <f t="shared" si="372"/>
        <v>0.245</v>
      </c>
      <c r="CL159" s="217">
        <f t="shared" si="373"/>
        <v>49.98</v>
      </c>
      <c r="CM159" s="217">
        <f t="shared" si="374"/>
        <v>2.94</v>
      </c>
      <c r="CN159" s="541">
        <f t="shared" si="375"/>
        <v>9</v>
      </c>
      <c r="CO159" s="443">
        <f t="shared" si="473"/>
        <v>8.5350000000000001</v>
      </c>
      <c r="CP159" s="443">
        <f t="shared" si="474"/>
        <v>17.535</v>
      </c>
      <c r="CQ159" s="443"/>
      <c r="CR159" s="217">
        <f t="shared" si="378"/>
        <v>0.48644793152639093</v>
      </c>
      <c r="CS159" s="172">
        <f t="shared" si="379"/>
        <v>137.82691393247745</v>
      </c>
      <c r="CT159" s="172">
        <f t="shared" si="380"/>
        <v>8.1074655254398493</v>
      </c>
      <c r="CU159" s="217">
        <f t="shared" si="381"/>
        <v>0.81074655254398498</v>
      </c>
      <c r="CV159" s="217">
        <f t="shared" si="382"/>
        <v>11.485576161039788</v>
      </c>
      <c r="CW159" s="217">
        <f t="shared" si="383"/>
        <v>170</v>
      </c>
      <c r="CX159" s="217">
        <f t="shared" si="384"/>
        <v>24.175249266862167</v>
      </c>
      <c r="CY159" s="217">
        <f t="shared" si="385"/>
        <v>1.3430694037145645</v>
      </c>
      <c r="CZ159" s="217">
        <f t="shared" si="386"/>
        <v>1.4162419019837236</v>
      </c>
      <c r="DA159" s="197">
        <f t="shared" si="387"/>
        <v>350</v>
      </c>
      <c r="DB159" s="443">
        <f t="shared" si="388"/>
        <v>350</v>
      </c>
      <c r="DD159" s="217">
        <f t="shared" si="389"/>
        <v>25.032384211169504</v>
      </c>
      <c r="DE159" s="173">
        <f t="shared" si="390"/>
        <v>1.4664548454112187</v>
      </c>
      <c r="DF159" s="173">
        <f t="shared" si="391"/>
        <v>0.30335794952229944</v>
      </c>
      <c r="DG159" s="173"/>
      <c r="DH159" s="173">
        <f t="shared" si="392"/>
        <v>0.78109744190587771</v>
      </c>
      <c r="DI159" s="545">
        <f t="shared" si="393"/>
        <v>1195.6028823529412</v>
      </c>
      <c r="DJ159" s="528">
        <f t="shared" si="394"/>
        <v>8.6065366284073561E-2</v>
      </c>
      <c r="DL159" s="173">
        <f t="shared" si="395"/>
        <v>24.592681838303037</v>
      </c>
      <c r="DM159" s="173">
        <f t="shared" si="396"/>
        <v>24.592681838303037</v>
      </c>
      <c r="DN159" s="173">
        <f t="shared" si="397"/>
        <v>9.5402581518294074</v>
      </c>
      <c r="DP159" s="545">
        <f t="shared" si="398"/>
        <v>294</v>
      </c>
      <c r="DQ159" s="460">
        <f t="shared" si="399"/>
        <v>350</v>
      </c>
      <c r="DS159">
        <f t="shared" si="400"/>
        <v>294</v>
      </c>
      <c r="DT159">
        <f t="shared" si="401"/>
        <v>350</v>
      </c>
      <c r="DV159" s="5">
        <f t="shared" si="402"/>
        <v>2.8571428571428572</v>
      </c>
      <c r="DW159" s="5">
        <f t="shared" si="403"/>
        <v>1.3662601021279466</v>
      </c>
      <c r="DX159" s="5">
        <f t="shared" si="404"/>
        <v>1.4908827550149106</v>
      </c>
      <c r="DY159" s="173">
        <f t="shared" si="405"/>
        <v>0.47819103574478128</v>
      </c>
      <c r="EA159" s="5">
        <f t="shared" si="406"/>
        <v>0.23628262942683309</v>
      </c>
      <c r="EB159" s="5">
        <f t="shared" si="407"/>
        <v>2.7894477085112239</v>
      </c>
      <c r="EC159" s="5">
        <f t="shared" si="408"/>
        <v>13.246990239225818</v>
      </c>
      <c r="ED159" s="5"/>
      <c r="EE159" s="173">
        <f t="shared" si="409"/>
        <v>9.8185188702852688</v>
      </c>
      <c r="EF159" s="173">
        <f t="shared" si="410"/>
        <v>0.48433678243513972</v>
      </c>
      <c r="EG159" s="173">
        <f t="shared" si="411"/>
        <v>0.38293788217544394</v>
      </c>
      <c r="EH159" s="173"/>
      <c r="EI159" s="528">
        <f t="shared" si="412"/>
        <v>3.8561325122459165</v>
      </c>
      <c r="EJ159" s="528">
        <f t="shared" si="413"/>
        <v>4.1506145068334463</v>
      </c>
      <c r="EK159" s="528">
        <f t="shared" si="414"/>
        <v>6.9999999999999993E-2</v>
      </c>
      <c r="EL159" s="528">
        <f t="shared" si="415"/>
        <v>2.1523335750000001E-2</v>
      </c>
      <c r="EM159">
        <f t="shared" si="416"/>
        <v>4.0499999999999998E-3</v>
      </c>
      <c r="EN159" s="460">
        <f t="shared" si="417"/>
        <v>74.05</v>
      </c>
      <c r="EP159" s="460">
        <f t="shared" si="439"/>
        <v>8102.3203548293632</v>
      </c>
      <c r="EQ159" s="173">
        <f t="shared" si="418"/>
        <v>0.20579999999999998</v>
      </c>
      <c r="ER159" s="173">
        <f t="shared" si="475"/>
        <v>0.21265999999999999</v>
      </c>
      <c r="ES159" s="528"/>
      <c r="EU159" s="460">
        <f t="shared" si="420"/>
        <v>418.45999999999992</v>
      </c>
      <c r="EV159" s="528">
        <f t="shared" si="421"/>
        <v>2.8920993841844371</v>
      </c>
      <c r="EW159" s="528">
        <f t="shared" si="422"/>
        <v>7.0374635645887159E-3</v>
      </c>
      <c r="EX159" s="528">
        <f t="shared" si="423"/>
        <v>7.3320710802507103E-4</v>
      </c>
      <c r="EY159" s="528">
        <f t="shared" si="424"/>
        <v>343.6804618689726</v>
      </c>
      <c r="EZ159" s="528"/>
      <c r="FA159" s="625">
        <f t="shared" si="425"/>
        <v>5.2920000000000007</v>
      </c>
      <c r="FB159" s="460">
        <f t="shared" si="426"/>
        <v>351872.33192382962</v>
      </c>
      <c r="FC159" s="173">
        <f t="shared" si="427"/>
        <v>360.39311227865898</v>
      </c>
      <c r="FD159" s="5">
        <f t="shared" si="428"/>
        <v>52.919999999999995</v>
      </c>
      <c r="FE159" s="173">
        <f t="shared" si="429"/>
        <v>0.12803852195311169</v>
      </c>
      <c r="FF159" s="5">
        <f t="shared" si="430"/>
        <v>12.803852195311169</v>
      </c>
      <c r="FG159">
        <f t="shared" si="431"/>
        <v>49</v>
      </c>
      <c r="FI159" s="562">
        <f t="shared" si="432"/>
        <v>-50</v>
      </c>
      <c r="FJ159">
        <f t="shared" si="433"/>
        <v>-50</v>
      </c>
    </row>
    <row r="160" spans="5:166">
      <c r="E160" s="170">
        <v>50</v>
      </c>
      <c r="F160" s="217">
        <f t="shared" si="476"/>
        <v>0.3</v>
      </c>
      <c r="G160" s="217">
        <f t="shared" si="444"/>
        <v>0.25</v>
      </c>
      <c r="H160" s="217">
        <f t="shared" si="445"/>
        <v>51</v>
      </c>
      <c r="I160" s="217">
        <f t="shared" si="446"/>
        <v>3</v>
      </c>
      <c r="J160" s="541">
        <f t="shared" si="447"/>
        <v>7.9429413936553184</v>
      </c>
      <c r="K160" s="443">
        <f t="shared" si="448"/>
        <v>8.5418015431238778</v>
      </c>
      <c r="L160" s="172">
        <f t="shared" si="449"/>
        <v>16.484742936779195</v>
      </c>
      <c r="M160" s="443"/>
      <c r="N160" s="217">
        <f t="shared" si="450"/>
        <v>0.51816407303908996</v>
      </c>
      <c r="O160" s="172">
        <f t="shared" si="451"/>
        <v>129.56980869556079</v>
      </c>
      <c r="P160" s="172">
        <f t="shared" si="452"/>
        <v>7.6217534526800463</v>
      </c>
      <c r="Q160" s="217">
        <f t="shared" si="322"/>
        <v>0.76217534526800468</v>
      </c>
      <c r="R160" s="217">
        <f t="shared" si="453"/>
        <v>10.7974840579634</v>
      </c>
      <c r="S160" s="217">
        <f t="shared" si="454"/>
        <v>170</v>
      </c>
      <c r="T160" s="217">
        <f t="shared" si="455"/>
        <v>26.240680867166301</v>
      </c>
      <c r="U160" s="217">
        <f t="shared" si="326"/>
        <v>1.6518239004084112</v>
      </c>
      <c r="V160" s="217">
        <f t="shared" si="327"/>
        <v>1.5360156013159754</v>
      </c>
      <c r="W160" s="197">
        <f t="shared" si="328"/>
        <v>350</v>
      </c>
      <c r="X160" s="443">
        <f t="shared" si="435"/>
        <v>295.17336919030748</v>
      </c>
      <c r="Z160" s="217">
        <f t="shared" si="329"/>
        <v>23.518553511127003</v>
      </c>
      <c r="AA160" s="173">
        <f t="shared" si="330"/>
        <v>1.3766740770311716</v>
      </c>
      <c r="AB160" s="173">
        <f t="shared" si="456"/>
        <v>0.26756309519560001</v>
      </c>
      <c r="AC160" s="173"/>
      <c r="AD160" s="173">
        <f t="shared" si="332"/>
        <v>0.78047548084669693</v>
      </c>
      <c r="AE160" s="545">
        <f t="shared" si="457"/>
        <v>1220.9751617524132</v>
      </c>
      <c r="AF160" s="528">
        <f t="shared" si="458"/>
        <v>8.5996835389589757E-2</v>
      </c>
      <c r="AH160" s="173">
        <f t="shared" si="459"/>
        <v>24.842360136324753</v>
      </c>
      <c r="AI160" s="173">
        <f t="shared" si="460"/>
        <v>26.240680867166301</v>
      </c>
      <c r="AJ160" s="173">
        <f t="shared" si="461"/>
        <v>10.760998173209604</v>
      </c>
      <c r="AL160" s="545">
        <f t="shared" si="462"/>
        <v>300</v>
      </c>
      <c r="AM160" s="460">
        <f t="shared" si="463"/>
        <v>295.17336919030748</v>
      </c>
      <c r="AO160">
        <f t="shared" si="340"/>
        <v>300</v>
      </c>
      <c r="AP160">
        <f t="shared" si="341"/>
        <v>295.17336919030748</v>
      </c>
      <c r="AR160" s="5">
        <f t="shared" si="443"/>
        <v>3.3878395017243874</v>
      </c>
      <c r="AS160" s="5">
        <f t="shared" si="440"/>
        <v>1.6518239004084112</v>
      </c>
      <c r="AT160" s="5">
        <f t="shared" si="441"/>
        <v>1.7360156013159762</v>
      </c>
      <c r="AU160" s="173">
        <f t="shared" si="442"/>
        <v>0.48757442599262568</v>
      </c>
      <c r="AW160" s="5">
        <f t="shared" si="342"/>
        <v>0.29149833536619024</v>
      </c>
      <c r="AX160" s="5">
        <f t="shared" si="343"/>
        <v>3.4412997925175235</v>
      </c>
      <c r="AY160" s="5">
        <f t="shared" si="344"/>
        <v>17.834561033087599</v>
      </c>
      <c r="AZ160" s="5"/>
      <c r="BA160" s="173">
        <f t="shared" si="345"/>
        <v>10.578764062739644</v>
      </c>
      <c r="BB160" s="173">
        <f t="shared" si="346"/>
        <v>0.51212537017733517</v>
      </c>
      <c r="BC160" s="173">
        <f t="shared" si="347"/>
        <v>0.4049087572453503</v>
      </c>
      <c r="BD160" s="173"/>
      <c r="BE160" s="528">
        <f t="shared" si="348"/>
        <v>4.4764099638044712</v>
      </c>
      <c r="BF160" s="528">
        <f t="shared" si="464"/>
        <v>2.8728765820001869</v>
      </c>
      <c r="BG160" s="528">
        <f t="shared" si="465"/>
        <v>9.3781790897855877E-2</v>
      </c>
      <c r="BH160" s="528">
        <f t="shared" si="351"/>
        <v>1.6042480734602349E-2</v>
      </c>
      <c r="BI160">
        <f t="shared" si="352"/>
        <v>3.5743236271448932E-3</v>
      </c>
      <c r="BJ160" s="460">
        <f t="shared" si="436"/>
        <v>97.356114525000777</v>
      </c>
      <c r="BK160">
        <f t="shared" si="466"/>
        <v>-134.82127084042574</v>
      </c>
      <c r="BL160" s="460">
        <f t="shared" si="437"/>
        <v>7462.6851410642603</v>
      </c>
      <c r="BM160" s="173">
        <f t="shared" si="467"/>
        <v>0.26039999999999996</v>
      </c>
      <c r="BN160" s="173">
        <f t="shared" si="468"/>
        <v>0.217</v>
      </c>
      <c r="BO160" s="528"/>
      <c r="BQ160" s="460">
        <f t="shared" si="356"/>
        <v>477.39999999999992</v>
      </c>
      <c r="BR160" s="528">
        <f t="shared" si="357"/>
        <v>3.3573074728533534</v>
      </c>
      <c r="BS160" s="528">
        <f t="shared" si="358"/>
        <v>7.8681718433781765E-3</v>
      </c>
      <c r="BT160" s="528">
        <f t="shared" si="359"/>
        <v>8.1975550846987019E-4</v>
      </c>
      <c r="BU160" s="528">
        <f t="shared" si="360"/>
        <v>263.99802887908038</v>
      </c>
      <c r="BV160" s="528"/>
      <c r="BW160" s="625">
        <f t="shared" si="469"/>
        <v>5.0812127612744682</v>
      </c>
      <c r="BX160" s="460">
        <f t="shared" si="362"/>
        <v>272445.23704055999</v>
      </c>
      <c r="BY160" s="173">
        <f t="shared" si="363"/>
        <v>280.3853221816243</v>
      </c>
      <c r="BZ160" s="5">
        <f t="shared" si="364"/>
        <v>54</v>
      </c>
      <c r="CA160" s="173">
        <f t="shared" si="365"/>
        <v>0.16149034188369496</v>
      </c>
      <c r="CB160" s="5">
        <f t="shared" si="366"/>
        <v>16.149034188369495</v>
      </c>
      <c r="CC160">
        <f t="shared" si="367"/>
        <v>50</v>
      </c>
      <c r="CE160" s="562">
        <f t="shared" si="470"/>
        <v>-50</v>
      </c>
      <c r="CF160">
        <f t="shared" si="471"/>
        <v>-50</v>
      </c>
      <c r="CG160" s="173">
        <f t="shared" si="370"/>
        <v>0.49632077414756659</v>
      </c>
      <c r="CH160" s="173">
        <f t="shared" si="472"/>
        <v>0.12351006820332755</v>
      </c>
      <c r="CI160" s="170">
        <v>50</v>
      </c>
      <c r="CJ160" s="217">
        <f t="shared" si="438"/>
        <v>0.3</v>
      </c>
      <c r="CK160" s="217">
        <f t="shared" si="372"/>
        <v>0.25</v>
      </c>
      <c r="CL160" s="217">
        <f t="shared" si="373"/>
        <v>51</v>
      </c>
      <c r="CM160" s="217">
        <f t="shared" si="374"/>
        <v>3</v>
      </c>
      <c r="CN160" s="541">
        <f t="shared" si="375"/>
        <v>9</v>
      </c>
      <c r="CO160" s="443">
        <f t="shared" si="473"/>
        <v>8.5350000000000001</v>
      </c>
      <c r="CP160" s="443">
        <f t="shared" si="474"/>
        <v>17.535</v>
      </c>
      <c r="CQ160" s="443"/>
      <c r="CR160" s="217">
        <f t="shared" si="378"/>
        <v>0.48644793152639093</v>
      </c>
      <c r="CS160" s="172">
        <f t="shared" si="379"/>
        <v>137.82691393247745</v>
      </c>
      <c r="CT160" s="172">
        <f t="shared" si="380"/>
        <v>8.1074655254398493</v>
      </c>
      <c r="CU160" s="217">
        <f t="shared" si="381"/>
        <v>0.81074655254398498</v>
      </c>
      <c r="CV160" s="217">
        <f t="shared" si="382"/>
        <v>11.485576161039788</v>
      </c>
      <c r="CW160" s="217">
        <f t="shared" si="383"/>
        <v>170</v>
      </c>
      <c r="CX160" s="217">
        <f t="shared" si="384"/>
        <v>24.668621700879765</v>
      </c>
      <c r="CY160" s="217">
        <f t="shared" si="385"/>
        <v>1.3704789833822091</v>
      </c>
      <c r="CZ160" s="217">
        <f t="shared" si="386"/>
        <v>1.4451447979425753</v>
      </c>
      <c r="DA160" s="197">
        <f t="shared" si="387"/>
        <v>350</v>
      </c>
      <c r="DB160" s="443">
        <f t="shared" si="388"/>
        <v>350</v>
      </c>
      <c r="DD160" s="217">
        <f t="shared" si="389"/>
        <v>25.032384211169504</v>
      </c>
      <c r="DE160" s="173">
        <f t="shared" si="390"/>
        <v>1.4664548454112187</v>
      </c>
      <c r="DF160" s="173">
        <f t="shared" si="391"/>
        <v>0.30335794952229944</v>
      </c>
      <c r="DG160" s="173"/>
      <c r="DH160" s="173">
        <f t="shared" si="392"/>
        <v>0.78109744190587771</v>
      </c>
      <c r="DI160" s="545">
        <f t="shared" si="393"/>
        <v>1220.0029411764706</v>
      </c>
      <c r="DJ160" s="528">
        <f t="shared" si="394"/>
        <v>8.6065366284073561E-2</v>
      </c>
      <c r="DL160" s="173">
        <f t="shared" si="395"/>
        <v>24.842360136324753</v>
      </c>
      <c r="DM160" s="173">
        <f t="shared" si="396"/>
        <v>24.842360136324753</v>
      </c>
      <c r="DN160" s="173">
        <f t="shared" si="397"/>
        <v>9.7252050392529021</v>
      </c>
      <c r="DP160" s="545">
        <f t="shared" si="398"/>
        <v>300</v>
      </c>
      <c r="DQ160" s="460">
        <f t="shared" si="399"/>
        <v>350</v>
      </c>
      <c r="DS160">
        <f t="shared" si="400"/>
        <v>300</v>
      </c>
      <c r="DT160">
        <f t="shared" si="401"/>
        <v>350</v>
      </c>
      <c r="DV160" s="5">
        <f t="shared" si="402"/>
        <v>2.8571428571428572</v>
      </c>
      <c r="DW160" s="5">
        <f t="shared" si="403"/>
        <v>1.3801311186847085</v>
      </c>
      <c r="DX160" s="5">
        <f t="shared" si="404"/>
        <v>1.4770117384581487</v>
      </c>
      <c r="DY160" s="173">
        <f t="shared" si="405"/>
        <v>0.48304589153964794</v>
      </c>
      <c r="EA160" s="5">
        <f t="shared" si="406"/>
        <v>0.24355255035612502</v>
      </c>
      <c r="EB160" s="5">
        <f t="shared" si="407"/>
        <v>2.8752731639264759</v>
      </c>
      <c r="EC160" s="5">
        <f t="shared" si="408"/>
        <v>13.391573095353882</v>
      </c>
      <c r="ED160" s="5"/>
      <c r="EE160" s="173">
        <f t="shared" si="409"/>
        <v>9.9684221692953496</v>
      </c>
      <c r="EF160" s="173">
        <f t="shared" si="410"/>
        <v>0.48697273047905365</v>
      </c>
      <c r="EG160" s="173">
        <f t="shared" si="411"/>
        <v>0.3850219781971953</v>
      </c>
      <c r="EH160" s="173"/>
      <c r="EI160" s="528">
        <f t="shared" si="412"/>
        <v>3.9747776218119601</v>
      </c>
      <c r="EJ160" s="528">
        <f t="shared" si="413"/>
        <v>4.1927538055331253</v>
      </c>
      <c r="EK160" s="528">
        <f t="shared" si="414"/>
        <v>6.9999999999999993E-2</v>
      </c>
      <c r="EL160" s="528">
        <f t="shared" si="415"/>
        <v>2.1523335750000001E-2</v>
      </c>
      <c r="EM160">
        <f t="shared" si="416"/>
        <v>4.0499999999999998E-3</v>
      </c>
      <c r="EN160" s="460">
        <f t="shared" si="417"/>
        <v>74.05</v>
      </c>
      <c r="EP160" s="460">
        <f t="shared" si="439"/>
        <v>8263.1047630950852</v>
      </c>
      <c r="EQ160" s="173">
        <f t="shared" si="418"/>
        <v>0.21</v>
      </c>
      <c r="ER160" s="173">
        <f t="shared" si="475"/>
        <v>0.217</v>
      </c>
      <c r="ES160" s="528"/>
      <c r="EU160" s="460">
        <f t="shared" si="420"/>
        <v>427</v>
      </c>
      <c r="EV160" s="528">
        <f t="shared" si="421"/>
        <v>2.9810832163589698</v>
      </c>
      <c r="EW160" s="528">
        <f t="shared" si="422"/>
        <v>7.1142732069067504E-3</v>
      </c>
      <c r="EX160" s="528">
        <f t="shared" si="423"/>
        <v>7.412096184744077E-4</v>
      </c>
      <c r="EY160" s="528">
        <f t="shared" si="424"/>
        <v>352.47007319792641</v>
      </c>
      <c r="EZ160" s="528"/>
      <c r="FA160" s="625">
        <f t="shared" si="425"/>
        <v>5.4000000000000012</v>
      </c>
      <c r="FB160" s="460">
        <f t="shared" si="426"/>
        <v>360859.01189711073</v>
      </c>
      <c r="FC160" s="173">
        <f t="shared" si="427"/>
        <v>369.54911666020581</v>
      </c>
      <c r="FD160" s="5">
        <f t="shared" si="428"/>
        <v>54</v>
      </c>
      <c r="FE160" s="173">
        <f t="shared" si="429"/>
        <v>0.12749406828139306</v>
      </c>
      <c r="FF160" s="5">
        <f t="shared" si="430"/>
        <v>12.749406828139307</v>
      </c>
      <c r="FG160">
        <f t="shared" si="431"/>
        <v>50</v>
      </c>
      <c r="FI160" s="562">
        <f t="shared" si="432"/>
        <v>-50</v>
      </c>
      <c r="FJ160">
        <f t="shared" si="433"/>
        <v>-50</v>
      </c>
    </row>
    <row r="161" spans="5:166">
      <c r="E161" s="170">
        <v>51</v>
      </c>
      <c r="F161" s="217">
        <f t="shared" si="476"/>
        <v>0.30599999999999999</v>
      </c>
      <c r="G161" s="217">
        <f t="shared" si="444"/>
        <v>0.255</v>
      </c>
      <c r="H161" s="217">
        <f t="shared" si="445"/>
        <v>52.019999999999996</v>
      </c>
      <c r="I161" s="217">
        <f t="shared" si="446"/>
        <v>3.06</v>
      </c>
      <c r="J161" s="541">
        <f t="shared" si="447"/>
        <v>7.9296629158056033</v>
      </c>
      <c r="K161" s="443">
        <f t="shared" si="448"/>
        <v>8.5418869822274157</v>
      </c>
      <c r="L161" s="172">
        <f t="shared" si="449"/>
        <v>16.471549898033018</v>
      </c>
      <c r="M161" s="443"/>
      <c r="N161" s="217">
        <f t="shared" si="450"/>
        <v>0.51858428837030457</v>
      </c>
      <c r="O161" s="172">
        <f t="shared" si="451"/>
        <v>129.45810408066765</v>
      </c>
      <c r="P161" s="172">
        <f t="shared" si="452"/>
        <v>7.6151825929804504</v>
      </c>
      <c r="Q161" s="217">
        <f t="shared" si="322"/>
        <v>0.76151825929804506</v>
      </c>
      <c r="R161" s="217">
        <f t="shared" si="453"/>
        <v>10.788175340055638</v>
      </c>
      <c r="S161" s="217">
        <f t="shared" si="454"/>
        <v>170</v>
      </c>
      <c r="T161" s="217">
        <f t="shared" si="455"/>
        <v>26.788589440789487</v>
      </c>
      <c r="U161" s="217">
        <f t="shared" si="326"/>
        <v>1.6891379700008302</v>
      </c>
      <c r="V161" s="217">
        <f t="shared" si="327"/>
        <v>1.5680721072830202</v>
      </c>
      <c r="W161" s="197">
        <f t="shared" si="328"/>
        <v>350</v>
      </c>
      <c r="X161" s="443">
        <f t="shared" si="435"/>
        <v>289.25057420451805</v>
      </c>
      <c r="Z161" s="217">
        <f t="shared" si="329"/>
        <v>23.498277715482534</v>
      </c>
      <c r="AA161" s="173">
        <f t="shared" si="330"/>
        <v>1.3754734617991298</v>
      </c>
      <c r="AB161" s="173">
        <f t="shared" si="456"/>
        <v>0.26709927986668208</v>
      </c>
      <c r="AC161" s="173"/>
      <c r="AD161" s="173">
        <f t="shared" si="332"/>
        <v>0.78046767424312613</v>
      </c>
      <c r="AE161" s="545">
        <f t="shared" si="457"/>
        <v>1245.4071220087569</v>
      </c>
      <c r="AF161" s="528">
        <f t="shared" si="458"/>
        <v>8.5995975217529635E-2</v>
      </c>
      <c r="AH161" s="173">
        <f t="shared" si="459"/>
        <v>25.089553887738106</v>
      </c>
      <c r="AI161" s="173">
        <f t="shared" si="460"/>
        <v>26.788589440789487</v>
      </c>
      <c r="AJ161" s="173">
        <f t="shared" si="461"/>
        <v>11.166856375893445</v>
      </c>
      <c r="AL161" s="545">
        <f t="shared" si="462"/>
        <v>306</v>
      </c>
      <c r="AM161" s="460">
        <f t="shared" si="463"/>
        <v>289.25057420451805</v>
      </c>
      <c r="AO161">
        <f t="shared" si="340"/>
        <v>306</v>
      </c>
      <c r="AP161">
        <f t="shared" si="341"/>
        <v>289.25057420451805</v>
      </c>
      <c r="AR161" s="5">
        <f t="shared" si="443"/>
        <v>3.4572100772838508</v>
      </c>
      <c r="AS161" s="5">
        <f t="shared" si="440"/>
        <v>1.6891379700008302</v>
      </c>
      <c r="AT161" s="5">
        <f t="shared" si="441"/>
        <v>1.7680721072830206</v>
      </c>
      <c r="AU161" s="173">
        <f t="shared" si="442"/>
        <v>0.4885841277333941</v>
      </c>
      <c r="AW161" s="5">
        <f t="shared" si="342"/>
        <v>0.30404483460014942</v>
      </c>
      <c r="AX161" s="5">
        <f t="shared" si="343"/>
        <v>3.589418186251764</v>
      </c>
      <c r="AY161" s="5">
        <f t="shared" si="344"/>
        <v>18.558188310887338</v>
      </c>
      <c r="AZ161" s="5"/>
      <c r="BA161" s="173">
        <f t="shared" si="345"/>
        <v>10.810826464647043</v>
      </c>
      <c r="BB161" s="173">
        <f t="shared" si="346"/>
        <v>0.52230326525855053</v>
      </c>
      <c r="BC161" s="173">
        <f t="shared" si="347"/>
        <v>0.41295584705713095</v>
      </c>
      <c r="BD161" s="173"/>
      <c r="BE161" s="528">
        <f t="shared" si="348"/>
        <v>4.6749587539485153</v>
      </c>
      <c r="BF161" s="528">
        <f t="shared" si="464"/>
        <v>2.8717131735359867</v>
      </c>
      <c r="BG161" s="528">
        <f t="shared" si="465"/>
        <v>9.174638206580174E-2</v>
      </c>
      <c r="BH161" s="528">
        <f t="shared" si="351"/>
        <v>1.5695427814820397E-2</v>
      </c>
      <c r="BI161">
        <f t="shared" si="352"/>
        <v>3.5683483121125214E-3</v>
      </c>
      <c r="BJ161" s="460">
        <f t="shared" si="436"/>
        <v>95.314730377914259</v>
      </c>
      <c r="BK161">
        <f t="shared" si="466"/>
        <v>-79.665886888273278</v>
      </c>
      <c r="BL161" s="460">
        <f t="shared" si="437"/>
        <v>7657.6820856772365</v>
      </c>
      <c r="BM161" s="173">
        <f t="shared" si="467"/>
        <v>0.26560799999999996</v>
      </c>
      <c r="BN161" s="173">
        <f t="shared" si="468"/>
        <v>0.22133999999999998</v>
      </c>
      <c r="BO161" s="528"/>
      <c r="BQ161" s="460">
        <f t="shared" si="356"/>
        <v>486.94799999999992</v>
      </c>
      <c r="BR161" s="528">
        <f t="shared" si="357"/>
        <v>3.5062190654613867</v>
      </c>
      <c r="BS161" s="528">
        <f t="shared" si="358"/>
        <v>8.1840210269923126E-3</v>
      </c>
      <c r="BT161" s="528">
        <f t="shared" si="359"/>
        <v>8.526626580933627E-4</v>
      </c>
      <c r="BU161" s="528">
        <f t="shared" si="360"/>
        <v>264.25924787561934</v>
      </c>
      <c r="BV161" s="528"/>
      <c r="BW161" s="625">
        <f t="shared" si="469"/>
        <v>5.1893615674563032</v>
      </c>
      <c r="BX161" s="460">
        <f t="shared" si="362"/>
        <v>272963.86519222218</v>
      </c>
      <c r="BY161" s="173">
        <f t="shared" si="363"/>
        <v>281.10849527789935</v>
      </c>
      <c r="BZ161" s="5">
        <f t="shared" si="364"/>
        <v>55.08</v>
      </c>
      <c r="CA161" s="173">
        <f t="shared" si="365"/>
        <v>0.16383665941474262</v>
      </c>
      <c r="CB161" s="5">
        <f t="shared" si="366"/>
        <v>16.383665941474263</v>
      </c>
      <c r="CC161">
        <f t="shared" si="367"/>
        <v>51</v>
      </c>
      <c r="CE161" s="562">
        <f t="shared" si="470"/>
        <v>-50</v>
      </c>
      <c r="CF161">
        <f t="shared" si="471"/>
        <v>-50</v>
      </c>
      <c r="CG161" s="173">
        <f t="shared" si="370"/>
        <v>0.49996674565333032</v>
      </c>
      <c r="CH161" s="173">
        <f t="shared" si="472"/>
        <v>0.12441737294010324</v>
      </c>
      <c r="CI161" s="170">
        <v>51</v>
      </c>
      <c r="CJ161" s="217">
        <f t="shared" si="438"/>
        <v>0.30599999999999999</v>
      </c>
      <c r="CK161" s="217">
        <f t="shared" si="372"/>
        <v>0.255</v>
      </c>
      <c r="CL161" s="217">
        <f t="shared" si="373"/>
        <v>52.019999999999996</v>
      </c>
      <c r="CM161" s="217">
        <f t="shared" si="374"/>
        <v>3.06</v>
      </c>
      <c r="CN161" s="541">
        <f t="shared" si="375"/>
        <v>9</v>
      </c>
      <c r="CO161" s="443">
        <f t="shared" si="473"/>
        <v>8.5350000000000001</v>
      </c>
      <c r="CP161" s="443">
        <f t="shared" si="474"/>
        <v>17.535</v>
      </c>
      <c r="CQ161" s="443"/>
      <c r="CR161" s="217">
        <f t="shared" si="378"/>
        <v>0.48644793152639093</v>
      </c>
      <c r="CS161" s="172">
        <f t="shared" si="379"/>
        <v>137.82691393247745</v>
      </c>
      <c r="CT161" s="172">
        <f t="shared" si="380"/>
        <v>8.1074655254398493</v>
      </c>
      <c r="CU161" s="217">
        <f t="shared" si="381"/>
        <v>0.81074655254398498</v>
      </c>
      <c r="CV161" s="217">
        <f t="shared" si="382"/>
        <v>11.485576161039788</v>
      </c>
      <c r="CW161" s="217">
        <f t="shared" si="383"/>
        <v>170</v>
      </c>
      <c r="CX161" s="217">
        <f t="shared" si="384"/>
        <v>25.161994134897359</v>
      </c>
      <c r="CY161" s="217">
        <f t="shared" si="385"/>
        <v>1.397888563049853</v>
      </c>
      <c r="CZ161" s="217">
        <f t="shared" si="386"/>
        <v>1.4740476939014269</v>
      </c>
      <c r="DA161" s="197">
        <f t="shared" si="387"/>
        <v>350</v>
      </c>
      <c r="DB161" s="443">
        <f t="shared" si="388"/>
        <v>348.19714315719381</v>
      </c>
      <c r="DD161" s="217">
        <f t="shared" si="389"/>
        <v>25.032384211169504</v>
      </c>
      <c r="DE161" s="173">
        <f t="shared" si="390"/>
        <v>1.4664548454112187</v>
      </c>
      <c r="DF161" s="173">
        <f t="shared" si="391"/>
        <v>0.30335794952229944</v>
      </c>
      <c r="DG161" s="173"/>
      <c r="DH161" s="173">
        <f t="shared" si="392"/>
        <v>0.78109744190587771</v>
      </c>
      <c r="DI161" s="545">
        <f t="shared" si="393"/>
        <v>1244.4030000000002</v>
      </c>
      <c r="DJ161" s="528">
        <f t="shared" si="394"/>
        <v>8.6065366284073561E-2</v>
      </c>
      <c r="DL161" s="173">
        <f t="shared" si="395"/>
        <v>25.089553887738106</v>
      </c>
      <c r="DM161" s="173">
        <f t="shared" si="396"/>
        <v>25.161994134897359</v>
      </c>
      <c r="DN161" s="173">
        <f t="shared" si="397"/>
        <v>9.9619709641215</v>
      </c>
      <c r="DP161" s="545">
        <f t="shared" si="398"/>
        <v>306</v>
      </c>
      <c r="DQ161" s="460">
        <f t="shared" si="399"/>
        <v>348.19714315719381</v>
      </c>
      <c r="DS161">
        <f t="shared" si="400"/>
        <v>306</v>
      </c>
      <c r="DT161">
        <f t="shared" si="401"/>
        <v>348.19714315719381</v>
      </c>
      <c r="DV161" s="5">
        <f t="shared" si="402"/>
        <v>2.8719362569512796</v>
      </c>
      <c r="DW161" s="5">
        <f t="shared" si="403"/>
        <v>1.397888563049853</v>
      </c>
      <c r="DX161" s="5">
        <f t="shared" si="404"/>
        <v>1.4740476939014266</v>
      </c>
      <c r="DY161" s="173">
        <f t="shared" si="405"/>
        <v>0.48674080410607357</v>
      </c>
      <c r="EA161" s="5">
        <f t="shared" si="406"/>
        <v>0.25161994134897353</v>
      </c>
      <c r="EB161" s="5">
        <f t="shared" si="407"/>
        <v>2.9705131964809377</v>
      </c>
      <c r="EC161" s="5">
        <f t="shared" si="408"/>
        <v>13.631993073200391</v>
      </c>
      <c r="ED161" s="5"/>
      <c r="EE161" s="173">
        <f t="shared" si="409"/>
        <v>10.135222961550902</v>
      </c>
      <c r="EF161" s="173">
        <f t="shared" si="410"/>
        <v>0.49147249710494534</v>
      </c>
      <c r="EG161" s="173">
        <f t="shared" si="411"/>
        <v>0.38857969085601735</v>
      </c>
      <c r="EH161" s="173"/>
      <c r="EI161" s="528">
        <f t="shared" si="412"/>
        <v>4.1089097792139455</v>
      </c>
      <c r="EJ161" s="528">
        <f t="shared" si="413"/>
        <v>4.2248250000000018</v>
      </c>
      <c r="EK161" s="528">
        <f t="shared" si="414"/>
        <v>6.9639428631438766E-2</v>
      </c>
      <c r="EL161" s="528">
        <f t="shared" si="415"/>
        <v>2.1412468626751707E-2</v>
      </c>
      <c r="EM161">
        <f t="shared" si="416"/>
        <v>4.0499999999999998E-3</v>
      </c>
      <c r="EN161" s="460">
        <f t="shared" si="417"/>
        <v>73.689428631438759</v>
      </c>
      <c r="EP161" s="460">
        <f t="shared" si="439"/>
        <v>8428.8366764721377</v>
      </c>
      <c r="EQ161" s="173">
        <f t="shared" si="418"/>
        <v>0.21419999999999997</v>
      </c>
      <c r="ER161" s="173">
        <f t="shared" si="475"/>
        <v>0.22133999999999998</v>
      </c>
      <c r="ES161" s="528"/>
      <c r="EU161" s="460">
        <f t="shared" si="420"/>
        <v>435.53999999999991</v>
      </c>
      <c r="EV161" s="528">
        <f t="shared" si="421"/>
        <v>3.0816823344104591</v>
      </c>
      <c r="EW161" s="528">
        <f t="shared" si="422"/>
        <v>7.246356462317115E-3</v>
      </c>
      <c r="EX161" s="528">
        <f t="shared" si="423"/>
        <v>7.5497088072879002E-4</v>
      </c>
      <c r="EY161" s="528">
        <f t="shared" si="424"/>
        <v>359.24907218562652</v>
      </c>
      <c r="EZ161" s="528"/>
      <c r="FA161" s="625">
        <f t="shared" si="425"/>
        <v>5.5113161661595127</v>
      </c>
      <c r="FB161" s="460">
        <f t="shared" si="426"/>
        <v>367850.07201353955</v>
      </c>
      <c r="FC161" s="173">
        <f t="shared" si="427"/>
        <v>376.71444869001169</v>
      </c>
      <c r="FD161" s="5">
        <f t="shared" si="428"/>
        <v>55.08</v>
      </c>
      <c r="FE161" s="173">
        <f t="shared" si="429"/>
        <v>0.12756069506475365</v>
      </c>
      <c r="FF161" s="5">
        <f t="shared" si="430"/>
        <v>12.756069506475365</v>
      </c>
      <c r="FG161">
        <f t="shared" si="431"/>
        <v>51</v>
      </c>
      <c r="FI161" s="562">
        <f t="shared" si="432"/>
        <v>-50</v>
      </c>
      <c r="FJ161">
        <f t="shared" si="433"/>
        <v>-50</v>
      </c>
    </row>
    <row r="162" spans="5:166">
      <c r="E162" s="170">
        <v>52</v>
      </c>
      <c r="F162" s="217">
        <f t="shared" si="476"/>
        <v>0.312</v>
      </c>
      <c r="G162" s="217">
        <f t="shared" si="444"/>
        <v>0.26</v>
      </c>
      <c r="H162" s="217">
        <f t="shared" si="445"/>
        <v>53.04</v>
      </c>
      <c r="I162" s="217">
        <f t="shared" si="446"/>
        <v>3.12</v>
      </c>
      <c r="J162" s="541">
        <f t="shared" si="447"/>
        <v>7.9086759141547329</v>
      </c>
      <c r="K162" s="443">
        <f t="shared" si="448"/>
        <v>8.5420220210946223</v>
      </c>
      <c r="L162" s="172">
        <f t="shared" si="449"/>
        <v>16.450697935249355</v>
      </c>
      <c r="M162" s="443"/>
      <c r="N162" s="217">
        <f t="shared" si="450"/>
        <v>0.51924982482301862</v>
      </c>
      <c r="O162" s="172">
        <f t="shared" si="451"/>
        <v>129.28117761317932</v>
      </c>
      <c r="P162" s="172">
        <f t="shared" si="452"/>
        <v>7.6047751537164299</v>
      </c>
      <c r="Q162" s="217">
        <f t="shared" si="322"/>
        <v>0.7604775153716431</v>
      </c>
      <c r="R162" s="217">
        <f t="shared" si="453"/>
        <v>10.773431467764944</v>
      </c>
      <c r="S162" s="217">
        <f t="shared" si="454"/>
        <v>170</v>
      </c>
      <c r="T162" s="217">
        <f t="shared" si="455"/>
        <v>27.351236005755023</v>
      </c>
      <c r="U162" s="217">
        <f t="shared" si="326"/>
        <v>1.7291918585766375</v>
      </c>
      <c r="V162" s="217">
        <f t="shared" si="327"/>
        <v>1.6009813565342508</v>
      </c>
      <c r="W162" s="197">
        <f t="shared" si="328"/>
        <v>350</v>
      </c>
      <c r="X162" s="443">
        <f t="shared" si="435"/>
        <v>283.27221897200536</v>
      </c>
      <c r="Z162" s="217">
        <f t="shared" si="329"/>
        <v>23.46616333146784</v>
      </c>
      <c r="AA162" s="173">
        <f t="shared" si="330"/>
        <v>1.3735719290770896</v>
      </c>
      <c r="AB162" s="173">
        <f t="shared" si="456"/>
        <v>0.26636549479123878</v>
      </c>
      <c r="AC162" s="173"/>
      <c r="AD162" s="173">
        <f t="shared" si="332"/>
        <v>0.78045533600864714</v>
      </c>
      <c r="AE162" s="545">
        <f t="shared" si="457"/>
        <v>1269.8469442182547</v>
      </c>
      <c r="AF162" s="528">
        <f t="shared" si="458"/>
        <v>8.5994615726878706E-2</v>
      </c>
      <c r="AH162" s="173">
        <f t="shared" si="459"/>
        <v>25.334335819763886</v>
      </c>
      <c r="AI162" s="173">
        <f t="shared" si="460"/>
        <v>27.351236005755023</v>
      </c>
      <c r="AJ162" s="173">
        <f t="shared" si="461"/>
        <v>11.583631609201252</v>
      </c>
      <c r="AL162" s="545">
        <f t="shared" si="462"/>
        <v>312</v>
      </c>
      <c r="AM162" s="460">
        <f t="shared" si="463"/>
        <v>283.27221897200536</v>
      </c>
      <c r="AO162">
        <f t="shared" si="340"/>
        <v>312</v>
      </c>
      <c r="AP162">
        <f t="shared" si="341"/>
        <v>283.27221897200536</v>
      </c>
      <c r="AR162" s="5">
        <f t="shared" si="443"/>
        <v>3.5301732151108896</v>
      </c>
      <c r="AS162" s="5">
        <f t="shared" si="440"/>
        <v>1.7291918585766375</v>
      </c>
      <c r="AT162" s="5">
        <f t="shared" si="441"/>
        <v>1.8009813565342521</v>
      </c>
      <c r="AU162" s="173">
        <f t="shared" si="442"/>
        <v>0.48983201480733013</v>
      </c>
      <c r="AW162" s="5">
        <f t="shared" si="342"/>
        <v>0.31735756463288878</v>
      </c>
      <c r="AX162" s="5">
        <f t="shared" si="343"/>
        <v>3.7465823602493815</v>
      </c>
      <c r="AY162" s="5">
        <f t="shared" si="344"/>
        <v>19.325419766838163</v>
      </c>
      <c r="AZ162" s="5"/>
      <c r="BA162" s="173">
        <f t="shared" si="345"/>
        <v>11.051975484792933</v>
      </c>
      <c r="BB162" s="173">
        <f t="shared" si="346"/>
        <v>0.53262230655608989</v>
      </c>
      <c r="BC162" s="173">
        <f t="shared" si="347"/>
        <v>0.42111453325208215</v>
      </c>
      <c r="BD162" s="173"/>
      <c r="BE162" s="528">
        <f t="shared" si="348"/>
        <v>4.8858464846585603</v>
      </c>
      <c r="BF162" s="528">
        <f t="shared" si="464"/>
        <v>2.8677929158288662</v>
      </c>
      <c r="BG162" s="528">
        <f t="shared" si="465"/>
        <v>8.9612327013322571E-2</v>
      </c>
      <c r="BH162" s="528">
        <f t="shared" si="351"/>
        <v>1.5332135057759004E-2</v>
      </c>
      <c r="BI162">
        <f t="shared" si="352"/>
        <v>3.5589041613696298E-3</v>
      </c>
      <c r="BJ162" s="460">
        <f t="shared" si="436"/>
        <v>93.171231174692196</v>
      </c>
      <c r="BK162">
        <f t="shared" si="466"/>
        <v>-56.491251321469576</v>
      </c>
      <c r="BL162" s="460">
        <f t="shared" si="437"/>
        <v>7862.1427667198777</v>
      </c>
      <c r="BM162" s="173">
        <f t="shared" si="467"/>
        <v>0.270816</v>
      </c>
      <c r="BN162" s="173">
        <f t="shared" si="468"/>
        <v>0.22567999999999999</v>
      </c>
      <c r="BO162" s="528"/>
      <c r="BQ162" s="460">
        <f t="shared" si="356"/>
        <v>496.49599999999998</v>
      </c>
      <c r="BR162" s="528">
        <f t="shared" si="357"/>
        <v>3.66438486349392</v>
      </c>
      <c r="BS162" s="528">
        <f t="shared" si="358"/>
        <v>8.5105956432338804E-3</v>
      </c>
      <c r="BT162" s="528">
        <f t="shared" si="359"/>
        <v>8.8668725058059505E-4</v>
      </c>
      <c r="BU162" s="528">
        <f t="shared" si="360"/>
        <v>264.19363970930561</v>
      </c>
      <c r="BV162" s="528"/>
      <c r="BW162" s="625">
        <f t="shared" si="469"/>
        <v>5.2978286436506421</v>
      </c>
      <c r="BX162" s="460">
        <f t="shared" si="362"/>
        <v>273165.25049934397</v>
      </c>
      <c r="BY162" s="173">
        <f t="shared" si="363"/>
        <v>281.52388926606386</v>
      </c>
      <c r="BZ162" s="5">
        <f t="shared" si="364"/>
        <v>56.16</v>
      </c>
      <c r="CA162" s="173">
        <f t="shared" si="365"/>
        <v>0.16630938515325819</v>
      </c>
      <c r="CB162" s="5">
        <f t="shared" si="366"/>
        <v>16.63093851532582</v>
      </c>
      <c r="CC162">
        <f t="shared" si="367"/>
        <v>52</v>
      </c>
      <c r="CE162" s="562">
        <f t="shared" si="470"/>
        <v>-50</v>
      </c>
      <c r="CF162">
        <f t="shared" si="471"/>
        <v>-50</v>
      </c>
      <c r="CG162" s="173">
        <f t="shared" si="370"/>
        <v>0.49996674565333032</v>
      </c>
      <c r="CH162" s="173">
        <f t="shared" si="472"/>
        <v>0.12441737294010324</v>
      </c>
      <c r="CI162" s="170">
        <v>52</v>
      </c>
      <c r="CJ162" s="217">
        <f t="shared" si="438"/>
        <v>0.312</v>
      </c>
      <c r="CK162" s="217">
        <f t="shared" si="372"/>
        <v>0.26</v>
      </c>
      <c r="CL162" s="217">
        <f t="shared" si="373"/>
        <v>53.04</v>
      </c>
      <c r="CM162" s="217">
        <f t="shared" si="374"/>
        <v>3.12</v>
      </c>
      <c r="CN162" s="541">
        <f t="shared" si="375"/>
        <v>9</v>
      </c>
      <c r="CO162" s="443">
        <f t="shared" si="473"/>
        <v>8.5350000000000001</v>
      </c>
      <c r="CP162" s="443">
        <f t="shared" si="474"/>
        <v>17.535</v>
      </c>
      <c r="CQ162" s="443"/>
      <c r="CR162" s="217">
        <f t="shared" si="378"/>
        <v>0.48644793152639093</v>
      </c>
      <c r="CS162" s="172">
        <f t="shared" si="379"/>
        <v>137.82691393247745</v>
      </c>
      <c r="CT162" s="172">
        <f t="shared" si="380"/>
        <v>8.1074655254398493</v>
      </c>
      <c r="CU162" s="217">
        <f t="shared" si="381"/>
        <v>0.81074655254398498</v>
      </c>
      <c r="CV162" s="217">
        <f t="shared" si="382"/>
        <v>11.485576161039788</v>
      </c>
      <c r="CW162" s="217">
        <f t="shared" si="383"/>
        <v>170</v>
      </c>
      <c r="CX162" s="217">
        <f t="shared" si="384"/>
        <v>25.655366568914953</v>
      </c>
      <c r="CY162" s="217">
        <f t="shared" si="385"/>
        <v>1.4252981427174973</v>
      </c>
      <c r="CZ162" s="217">
        <f t="shared" si="386"/>
        <v>1.5029505898602784</v>
      </c>
      <c r="DA162" s="197">
        <f t="shared" si="387"/>
        <v>350</v>
      </c>
      <c r="DB162" s="443">
        <f t="shared" si="388"/>
        <v>341.50104425032464</v>
      </c>
      <c r="DD162" s="217">
        <f t="shared" si="389"/>
        <v>25.032384211169504</v>
      </c>
      <c r="DE162" s="173">
        <f t="shared" si="390"/>
        <v>1.4664548454112187</v>
      </c>
      <c r="DF162" s="173">
        <f t="shared" si="391"/>
        <v>0.30335794952229944</v>
      </c>
      <c r="DG162" s="173"/>
      <c r="DH162" s="173">
        <f t="shared" si="392"/>
        <v>0.78109744190587771</v>
      </c>
      <c r="DI162" s="545">
        <f t="shared" si="393"/>
        <v>1268.8030588235295</v>
      </c>
      <c r="DJ162" s="528">
        <f t="shared" si="394"/>
        <v>8.6065366284073561E-2</v>
      </c>
      <c r="DL162" s="173">
        <f t="shared" si="395"/>
        <v>25.334335819763886</v>
      </c>
      <c r="DM162" s="173">
        <f t="shared" si="396"/>
        <v>25.655366568914953</v>
      </c>
      <c r="DN162" s="173">
        <f t="shared" si="397"/>
        <v>10.327432026356755</v>
      </c>
      <c r="DP162" s="545">
        <f t="shared" si="398"/>
        <v>312</v>
      </c>
      <c r="DQ162" s="460">
        <f t="shared" si="399"/>
        <v>341.50104425032464</v>
      </c>
      <c r="DS162">
        <f t="shared" si="400"/>
        <v>312</v>
      </c>
      <c r="DT162">
        <f t="shared" si="401"/>
        <v>341.50104425032464</v>
      </c>
      <c r="DV162" s="5">
        <f t="shared" si="402"/>
        <v>2.9282487325777757</v>
      </c>
      <c r="DW162" s="5">
        <f t="shared" si="403"/>
        <v>1.4252981427174973</v>
      </c>
      <c r="DX162" s="5">
        <f t="shared" si="404"/>
        <v>1.5029505898602784</v>
      </c>
      <c r="DY162" s="173">
        <f t="shared" si="405"/>
        <v>0.48674080410607357</v>
      </c>
      <c r="EA162" s="5">
        <f t="shared" si="406"/>
        <v>0.26158412972227008</v>
      </c>
      <c r="EB162" s="5">
        <f t="shared" si="407"/>
        <v>3.0881459758879108</v>
      </c>
      <c r="EC162" s="5">
        <f t="shared" si="408"/>
        <v>14.17182209532252</v>
      </c>
      <c r="ED162" s="5"/>
      <c r="EE162" s="173">
        <f t="shared" si="409"/>
        <v>10.333952823542095</v>
      </c>
      <c r="EF162" s="173">
        <f t="shared" si="410"/>
        <v>0.50110921273445408</v>
      </c>
      <c r="EG162" s="173">
        <f t="shared" si="411"/>
        <v>0.39619890048064521</v>
      </c>
      <c r="EH162" s="173"/>
      <c r="EI162" s="528">
        <f t="shared" si="412"/>
        <v>4.271623238367745</v>
      </c>
      <c r="EJ162" s="528">
        <f t="shared" si="413"/>
        <v>4.2248250000000001</v>
      </c>
      <c r="EK162" s="528">
        <f t="shared" si="414"/>
        <v>6.8300208850064922E-2</v>
      </c>
      <c r="EL162" s="528">
        <f t="shared" si="415"/>
        <v>2.1000690383929554E-2</v>
      </c>
      <c r="EM162">
        <f t="shared" si="416"/>
        <v>4.0499999999999998E-3</v>
      </c>
      <c r="EN162" s="460">
        <f t="shared" si="417"/>
        <v>72.350208850064917</v>
      </c>
      <c r="EP162" s="460">
        <f t="shared" si="439"/>
        <v>8589.7991376017399</v>
      </c>
      <c r="EQ162" s="173">
        <f t="shared" si="418"/>
        <v>0.21839999999999998</v>
      </c>
      <c r="ER162" s="173">
        <f t="shared" si="475"/>
        <v>0.22567999999999999</v>
      </c>
      <c r="ES162" s="528"/>
      <c r="EU162" s="460">
        <f t="shared" si="420"/>
        <v>444.08</v>
      </c>
      <c r="EV162" s="528">
        <f t="shared" si="421"/>
        <v>3.2037174287758088</v>
      </c>
      <c r="EW162" s="528">
        <f t="shared" si="422"/>
        <v>7.5333132926203306E-3</v>
      </c>
      <c r="EX162" s="528">
        <f t="shared" si="423"/>
        <v>7.8486784371036109E-4</v>
      </c>
      <c r="EY162" s="528">
        <f t="shared" si="424"/>
        <v>359.24907218562652</v>
      </c>
      <c r="EZ162" s="528"/>
      <c r="FA162" s="625">
        <f t="shared" si="425"/>
        <v>5.6193811890253844</v>
      </c>
      <c r="FB162" s="460">
        <f t="shared" si="426"/>
        <v>368080.48898456403</v>
      </c>
      <c r="FC162" s="173">
        <f t="shared" si="427"/>
        <v>377.11436812216579</v>
      </c>
      <c r="FD162" s="5">
        <f t="shared" si="428"/>
        <v>56.16</v>
      </c>
      <c r="FE162" s="173">
        <f t="shared" si="429"/>
        <v>0.12961763753392666</v>
      </c>
      <c r="FF162" s="5">
        <f t="shared" si="430"/>
        <v>12.961763753392667</v>
      </c>
      <c r="FG162">
        <f t="shared" si="431"/>
        <v>52</v>
      </c>
      <c r="FI162" s="562">
        <f t="shared" si="432"/>
        <v>-50</v>
      </c>
      <c r="FJ162">
        <f t="shared" si="433"/>
        <v>-50</v>
      </c>
    </row>
    <row r="163" spans="5:166">
      <c r="E163" s="170">
        <v>53</v>
      </c>
      <c r="F163" s="217">
        <f t="shared" si="476"/>
        <v>0.318</v>
      </c>
      <c r="G163" s="217">
        <f t="shared" si="444"/>
        <v>0.26500000000000001</v>
      </c>
      <c r="H163" s="217">
        <f t="shared" si="445"/>
        <v>54.06</v>
      </c>
      <c r="I163" s="217">
        <f t="shared" si="446"/>
        <v>3.18</v>
      </c>
      <c r="J163" s="541">
        <f t="shared" si="447"/>
        <v>7.8876889125038625</v>
      </c>
      <c r="K163" s="443">
        <f t="shared" si="448"/>
        <v>8.5421570599618253</v>
      </c>
      <c r="L163" s="172">
        <f t="shared" si="449"/>
        <v>16.429845972465689</v>
      </c>
      <c r="M163" s="443"/>
      <c r="N163" s="217">
        <f t="shared" si="450"/>
        <v>0.51991705060883608</v>
      </c>
      <c r="O163" s="172">
        <f t="shared" si="451"/>
        <v>129.10379119195082</v>
      </c>
      <c r="P163" s="172">
        <f t="shared" si="452"/>
        <v>7.5943406583500472</v>
      </c>
      <c r="Q163" s="217">
        <f t="shared" si="322"/>
        <v>0.75943406583500483</v>
      </c>
      <c r="R163" s="217">
        <f t="shared" si="453"/>
        <v>10.758649265995901</v>
      </c>
      <c r="S163" s="217">
        <f t="shared" si="454"/>
        <v>170</v>
      </c>
      <c r="T163" s="217">
        <f t="shared" si="455"/>
        <v>27.915524143218946</v>
      </c>
      <c r="U163" s="217">
        <f t="shared" si="326"/>
        <v>1.7695629513840363</v>
      </c>
      <c r="V163" s="217">
        <f t="shared" si="327"/>
        <v>1.6339856518245581</v>
      </c>
      <c r="W163" s="197">
        <f t="shared" si="328"/>
        <v>350</v>
      </c>
      <c r="X163" s="443">
        <f t="shared" si="435"/>
        <v>277.50423543881203</v>
      </c>
      <c r="Z163" s="217">
        <f t="shared" si="329"/>
        <v>23.433965460051578</v>
      </c>
      <c r="AA163" s="173">
        <f t="shared" si="330"/>
        <v>1.3716655696890396</v>
      </c>
      <c r="AB163" s="173">
        <f t="shared" si="456"/>
        <v>0.26563083794148301</v>
      </c>
      <c r="AC163" s="173"/>
      <c r="AD163" s="173">
        <f t="shared" si="332"/>
        <v>0.78044299816426688</v>
      </c>
      <c r="AE163" s="545">
        <f t="shared" si="457"/>
        <v>1294.2875385323334</v>
      </c>
      <c r="AF163" s="528">
        <f t="shared" si="458"/>
        <v>8.5993256279210908E-2</v>
      </c>
      <c r="AH163" s="173">
        <f t="shared" si="459"/>
        <v>25.576775179279906</v>
      </c>
      <c r="AI163" s="173">
        <f t="shared" si="460"/>
        <v>27.915524143218946</v>
      </c>
      <c r="AJ163" s="173">
        <f t="shared" si="461"/>
        <v>12.001622822137488</v>
      </c>
      <c r="AL163" s="545">
        <f t="shared" si="462"/>
        <v>318</v>
      </c>
      <c r="AM163" s="460">
        <f t="shared" si="463"/>
        <v>277.50423543881203</v>
      </c>
      <c r="AO163">
        <f t="shared" si="340"/>
        <v>318</v>
      </c>
      <c r="AP163">
        <f t="shared" si="341"/>
        <v>277.50423543881203</v>
      </c>
      <c r="AR163" s="5">
        <f t="shared" si="443"/>
        <v>3.6035486032085946</v>
      </c>
      <c r="AS163" s="5">
        <f t="shared" si="440"/>
        <v>1.7695629513840363</v>
      </c>
      <c r="AT163" s="5">
        <f t="shared" si="441"/>
        <v>1.8339856518245583</v>
      </c>
      <c r="AU163" s="173">
        <f t="shared" si="442"/>
        <v>0.49106121388467466</v>
      </c>
      <c r="AW163" s="5">
        <f t="shared" si="342"/>
        <v>0.33101236384713151</v>
      </c>
      <c r="AX163" s="5">
        <f t="shared" si="343"/>
        <v>3.9077848509730804</v>
      </c>
      <c r="AY163" s="5">
        <f t="shared" si="344"/>
        <v>20.111394440106135</v>
      </c>
      <c r="AZ163" s="5"/>
      <c r="BA163" s="173">
        <f t="shared" si="345"/>
        <v>11.294135030222279</v>
      </c>
      <c r="BB163" s="173">
        <f t="shared" si="346"/>
        <v>0.54295564737637725</v>
      </c>
      <c r="BC163" s="173">
        <f t="shared" si="347"/>
        <v>0.42928452527627414</v>
      </c>
      <c r="BD163" s="173"/>
      <c r="BE163" s="528">
        <f t="shared" si="348"/>
        <v>5.1022994432357596</v>
      </c>
      <c r="BF163" s="528">
        <f t="shared" si="464"/>
        <v>2.8637256713758465</v>
      </c>
      <c r="BG163" s="528">
        <f t="shared" si="465"/>
        <v>8.7554683241743161E-2</v>
      </c>
      <c r="BH163" s="528">
        <f t="shared" si="351"/>
        <v>1.498188970941549E-2</v>
      </c>
      <c r="BI163">
        <f t="shared" si="352"/>
        <v>3.5494600106267381E-3</v>
      </c>
      <c r="BJ163" s="460">
        <f t="shared" si="436"/>
        <v>91.104143252369894</v>
      </c>
      <c r="BK163">
        <f t="shared" si="466"/>
        <v>-44.080772689161229</v>
      </c>
      <c r="BL163" s="460">
        <f t="shared" si="437"/>
        <v>8072.1111475733915</v>
      </c>
      <c r="BM163" s="173">
        <f t="shared" si="467"/>
        <v>0.27602399999999999</v>
      </c>
      <c r="BN163" s="173">
        <f t="shared" si="468"/>
        <v>0.23002</v>
      </c>
      <c r="BO163" s="528"/>
      <c r="BQ163" s="460">
        <f t="shared" si="356"/>
        <v>506.04399999999993</v>
      </c>
      <c r="BR163" s="528">
        <f t="shared" si="357"/>
        <v>3.8267245824268197</v>
      </c>
      <c r="BS163" s="528">
        <f t="shared" si="358"/>
        <v>8.8440250505370261E-3</v>
      </c>
      <c r="BT163" s="528">
        <f t="shared" si="359"/>
        <v>9.2142601820838026E-4</v>
      </c>
      <c r="BU163" s="528">
        <f t="shared" si="360"/>
        <v>264.0939855676923</v>
      </c>
      <c r="BV163" s="528"/>
      <c r="BW163" s="625">
        <f t="shared" si="469"/>
        <v>5.4063131512696492</v>
      </c>
      <c r="BX163" s="460">
        <f t="shared" si="362"/>
        <v>273336.78875245753</v>
      </c>
      <c r="BY163" s="173">
        <f t="shared" si="363"/>
        <v>281.91494390003095</v>
      </c>
      <c r="BZ163" s="5">
        <f t="shared" si="364"/>
        <v>57.24</v>
      </c>
      <c r="CA163" s="173">
        <f t="shared" si="365"/>
        <v>0.16877241812188359</v>
      </c>
      <c r="CB163" s="5">
        <f t="shared" si="366"/>
        <v>16.877241812188359</v>
      </c>
      <c r="CC163">
        <f t="shared" si="367"/>
        <v>53</v>
      </c>
      <c r="CE163" s="562">
        <f t="shared" si="470"/>
        <v>-50</v>
      </c>
      <c r="CF163">
        <f t="shared" si="471"/>
        <v>-50</v>
      </c>
      <c r="CG163" s="173">
        <f t="shared" si="370"/>
        <v>0.49996674565333021</v>
      </c>
      <c r="CH163" s="173">
        <f t="shared" si="472"/>
        <v>0.12441737294010323</v>
      </c>
      <c r="CI163" s="170">
        <v>53</v>
      </c>
      <c r="CJ163" s="217">
        <f t="shared" si="438"/>
        <v>0.318</v>
      </c>
      <c r="CK163" s="217">
        <f t="shared" si="372"/>
        <v>0.26500000000000001</v>
      </c>
      <c r="CL163" s="217">
        <f t="shared" si="373"/>
        <v>54.06</v>
      </c>
      <c r="CM163" s="217">
        <f t="shared" si="374"/>
        <v>3.18</v>
      </c>
      <c r="CN163" s="541">
        <f t="shared" si="375"/>
        <v>9</v>
      </c>
      <c r="CO163" s="443">
        <f t="shared" si="473"/>
        <v>8.5350000000000001</v>
      </c>
      <c r="CP163" s="443">
        <f t="shared" si="474"/>
        <v>17.535</v>
      </c>
      <c r="CQ163" s="443"/>
      <c r="CR163" s="217">
        <f t="shared" si="378"/>
        <v>0.48644793152639093</v>
      </c>
      <c r="CS163" s="172">
        <f t="shared" si="379"/>
        <v>137.82691393247745</v>
      </c>
      <c r="CT163" s="172">
        <f t="shared" si="380"/>
        <v>8.1074655254398493</v>
      </c>
      <c r="CU163" s="217">
        <f t="shared" si="381"/>
        <v>0.81074655254398498</v>
      </c>
      <c r="CV163" s="217">
        <f t="shared" si="382"/>
        <v>11.485576161039788</v>
      </c>
      <c r="CW163" s="217">
        <f t="shared" si="383"/>
        <v>170</v>
      </c>
      <c r="CX163" s="217">
        <f t="shared" si="384"/>
        <v>26.148739002932551</v>
      </c>
      <c r="CY163" s="217">
        <f t="shared" si="385"/>
        <v>1.4527077223851417</v>
      </c>
      <c r="CZ163" s="217">
        <f t="shared" si="386"/>
        <v>1.5318534858191299</v>
      </c>
      <c r="DA163" s="197">
        <f t="shared" si="387"/>
        <v>350</v>
      </c>
      <c r="DB163" s="443">
        <f t="shared" si="388"/>
        <v>335.05762832107314</v>
      </c>
      <c r="DD163" s="217">
        <f t="shared" si="389"/>
        <v>25.032384211169504</v>
      </c>
      <c r="DE163" s="173">
        <f t="shared" si="390"/>
        <v>1.4664548454112187</v>
      </c>
      <c r="DF163" s="173">
        <f t="shared" si="391"/>
        <v>0.30335794952229944</v>
      </c>
      <c r="DG163" s="173"/>
      <c r="DH163" s="173">
        <f t="shared" si="392"/>
        <v>0.78109744190587771</v>
      </c>
      <c r="DI163" s="545">
        <f t="shared" si="393"/>
        <v>1293.2031176470587</v>
      </c>
      <c r="DJ163" s="528">
        <f t="shared" si="394"/>
        <v>8.6065366284073561E-2</v>
      </c>
      <c r="DL163" s="173">
        <f t="shared" si="395"/>
        <v>25.576775179279906</v>
      </c>
      <c r="DM163" s="173">
        <f t="shared" si="396"/>
        <v>26.148739002932551</v>
      </c>
      <c r="DN163" s="173">
        <f t="shared" si="397"/>
        <v>10.692893088592012</v>
      </c>
      <c r="DP163" s="545">
        <f t="shared" si="398"/>
        <v>318</v>
      </c>
      <c r="DQ163" s="460">
        <f t="shared" si="399"/>
        <v>335.05762832107314</v>
      </c>
      <c r="DS163">
        <f t="shared" si="400"/>
        <v>318</v>
      </c>
      <c r="DT163">
        <f t="shared" si="401"/>
        <v>335.05762832107314</v>
      </c>
      <c r="DV163" s="5">
        <f t="shared" si="402"/>
        <v>2.9845612082042723</v>
      </c>
      <c r="DW163" s="5">
        <f t="shared" si="403"/>
        <v>1.4527077223851417</v>
      </c>
      <c r="DX163" s="5">
        <f t="shared" si="404"/>
        <v>1.5318534858191306</v>
      </c>
      <c r="DY163" s="173">
        <f t="shared" si="405"/>
        <v>0.48674080410607345</v>
      </c>
      <c r="EA163" s="5">
        <f t="shared" si="406"/>
        <v>0.27174179748145594</v>
      </c>
      <c r="EB163" s="5">
        <f t="shared" si="407"/>
        <v>3.2080628869338548</v>
      </c>
      <c r="EC163" s="5">
        <f t="shared" si="408"/>
        <v>14.722133234379058</v>
      </c>
      <c r="ED163" s="5"/>
      <c r="EE163" s="173">
        <f t="shared" si="409"/>
        <v>10.532682685533288</v>
      </c>
      <c r="EF163" s="173">
        <f t="shared" si="410"/>
        <v>0.51074592836396282</v>
      </c>
      <c r="EG163" s="173">
        <f t="shared" si="411"/>
        <v>0.40381811010527302</v>
      </c>
      <c r="EH163" s="173"/>
      <c r="EI163" s="528">
        <f t="shared" si="412"/>
        <v>4.4374961821653089</v>
      </c>
      <c r="EJ163" s="528">
        <f t="shared" si="413"/>
        <v>4.2248250000000001</v>
      </c>
      <c r="EK163" s="528">
        <f t="shared" si="414"/>
        <v>6.701152566421463E-2</v>
      </c>
      <c r="EL163" s="528">
        <f t="shared" si="415"/>
        <v>2.0604450942723333E-2</v>
      </c>
      <c r="EM163">
        <f t="shared" si="416"/>
        <v>4.0499999999999998E-3</v>
      </c>
      <c r="EN163" s="460">
        <f t="shared" si="417"/>
        <v>71.061525664214628</v>
      </c>
      <c r="EP163" s="460">
        <f t="shared" si="439"/>
        <v>8753.9871587722482</v>
      </c>
      <c r="EQ163" s="173">
        <f t="shared" si="418"/>
        <v>0.22259999999999999</v>
      </c>
      <c r="ER163" s="173">
        <f t="shared" si="475"/>
        <v>0.23002</v>
      </c>
      <c r="ES163" s="528"/>
      <c r="EU163" s="460">
        <f t="shared" si="420"/>
        <v>452.62</v>
      </c>
      <c r="EV163" s="528">
        <f t="shared" si="421"/>
        <v>3.3281221366239815</v>
      </c>
      <c r="EW163" s="528">
        <f t="shared" si="422"/>
        <v>7.8258421002109866E-3</v>
      </c>
      <c r="EX163" s="528">
        <f t="shared" si="423"/>
        <v>8.1534533024497208E-4</v>
      </c>
      <c r="EY163" s="528">
        <f t="shared" si="424"/>
        <v>359.2490721856272</v>
      </c>
      <c r="EZ163" s="528"/>
      <c r="FA163" s="625">
        <f t="shared" si="425"/>
        <v>5.7274462118912579</v>
      </c>
      <c r="FB163" s="460">
        <f t="shared" si="426"/>
        <v>368313.28172157292</v>
      </c>
      <c r="FC163" s="173">
        <f t="shared" si="427"/>
        <v>377.51988888034515</v>
      </c>
      <c r="FD163" s="5">
        <f t="shared" si="428"/>
        <v>57.24</v>
      </c>
      <c r="FE163" s="173">
        <f t="shared" si="429"/>
        <v>0.13165887991050074</v>
      </c>
      <c r="FF163" s="5">
        <f t="shared" si="430"/>
        <v>13.165887991050074</v>
      </c>
      <c r="FG163">
        <f t="shared" si="431"/>
        <v>53</v>
      </c>
      <c r="FI163" s="562">
        <f t="shared" si="432"/>
        <v>-50</v>
      </c>
      <c r="FJ163">
        <f t="shared" si="433"/>
        <v>-50</v>
      </c>
    </row>
    <row r="164" spans="5:166">
      <c r="E164" s="170">
        <v>54</v>
      </c>
      <c r="F164" s="217">
        <f t="shared" si="476"/>
        <v>0.32400000000000001</v>
      </c>
      <c r="G164" s="217">
        <f t="shared" si="444"/>
        <v>0.27</v>
      </c>
      <c r="H164" s="217">
        <f t="shared" si="445"/>
        <v>55.08</v>
      </c>
      <c r="I164" s="217">
        <f t="shared" si="446"/>
        <v>3.24</v>
      </c>
      <c r="J164" s="541">
        <f t="shared" si="447"/>
        <v>7.8667019108529921</v>
      </c>
      <c r="K164" s="443">
        <f t="shared" si="448"/>
        <v>8.5422920988290301</v>
      </c>
      <c r="L164" s="172">
        <f t="shared" si="449"/>
        <v>16.408994009682022</v>
      </c>
      <c r="M164" s="443"/>
      <c r="N164" s="217">
        <f t="shared" si="450"/>
        <v>0.52058597216798941</v>
      </c>
      <c r="O164" s="172">
        <f t="shared" si="451"/>
        <v>128.92594306350398</v>
      </c>
      <c r="P164" s="172">
        <f t="shared" si="452"/>
        <v>7.5838790037355288</v>
      </c>
      <c r="Q164" s="217">
        <f t="shared" si="322"/>
        <v>0.75838790037355286</v>
      </c>
      <c r="R164" s="217">
        <f t="shared" si="453"/>
        <v>10.743828588625332</v>
      </c>
      <c r="S164" s="217">
        <f t="shared" si="454"/>
        <v>170</v>
      </c>
      <c r="T164" s="217">
        <f t="shared" si="455"/>
        <v>28.481467055791196</v>
      </c>
      <c r="U164" s="217">
        <f t="shared" si="326"/>
        <v>1.8102546263064727</v>
      </c>
      <c r="V164" s="217">
        <f t="shared" si="327"/>
        <v>1.6670857614255201</v>
      </c>
      <c r="W164" s="197">
        <f t="shared" si="328"/>
        <v>350</v>
      </c>
      <c r="X164" s="443">
        <f t="shared" si="435"/>
        <v>271.93566397500445</v>
      </c>
      <c r="Z164" s="217">
        <f t="shared" si="329"/>
        <v>23.401683782955345</v>
      </c>
      <c r="AA164" s="173">
        <f t="shared" si="330"/>
        <v>1.3697543652343163</v>
      </c>
      <c r="AB164" s="173">
        <f t="shared" si="456"/>
        <v>0.26489530995477828</v>
      </c>
      <c r="AC164" s="173"/>
      <c r="AD164" s="173">
        <f t="shared" si="332"/>
        <v>0.78043066070996647</v>
      </c>
      <c r="AE164" s="545">
        <f t="shared" si="457"/>
        <v>1318.7289049509945</v>
      </c>
      <c r="AF164" s="528">
        <f t="shared" si="458"/>
        <v>8.5991896874524104E-2</v>
      </c>
      <c r="AH164" s="173">
        <f t="shared" si="459"/>
        <v>25.816937961622902</v>
      </c>
      <c r="AI164" s="173">
        <f t="shared" si="460"/>
        <v>28.481467055791196</v>
      </c>
      <c r="AJ164" s="173">
        <f t="shared" si="461"/>
        <v>12.420839794413229</v>
      </c>
      <c r="AL164" s="545">
        <f t="shared" si="462"/>
        <v>324</v>
      </c>
      <c r="AM164" s="460">
        <f t="shared" si="463"/>
        <v>271.93566397500445</v>
      </c>
      <c r="AO164">
        <f t="shared" si="340"/>
        <v>324</v>
      </c>
      <c r="AP164">
        <f t="shared" si="341"/>
        <v>271.93566397500445</v>
      </c>
      <c r="AR164" s="5">
        <f t="shared" si="443"/>
        <v>3.6773403877319937</v>
      </c>
      <c r="AS164" s="5">
        <f t="shared" si="440"/>
        <v>1.8102546263064727</v>
      </c>
      <c r="AT164" s="5">
        <f t="shared" si="441"/>
        <v>1.867085761425521</v>
      </c>
      <c r="AU164" s="173">
        <f t="shared" si="442"/>
        <v>0.49227279376847421</v>
      </c>
      <c r="AW164" s="5">
        <f t="shared" si="342"/>
        <v>0.34501323466076306</v>
      </c>
      <c r="AX164" s="5">
        <f t="shared" si="343"/>
        <v>4.0730729091895634</v>
      </c>
      <c r="AY164" s="5">
        <f t="shared" si="344"/>
        <v>20.916330102187239</v>
      </c>
      <c r="AZ164" s="5"/>
      <c r="BA164" s="173">
        <f t="shared" si="345"/>
        <v>11.537312219616142</v>
      </c>
      <c r="BB164" s="173">
        <f t="shared" si="346"/>
        <v>0.55330343530388093</v>
      </c>
      <c r="BC164" s="173">
        <f t="shared" si="347"/>
        <v>0.43746593981645426</v>
      </c>
      <c r="BD164" s="173"/>
      <c r="BE164" s="528">
        <f t="shared" si="348"/>
        <v>5.3243829301161574</v>
      </c>
      <c r="BF164" s="528">
        <f t="shared" si="464"/>
        <v>2.8595190798634942</v>
      </c>
      <c r="BG164" s="528">
        <f t="shared" si="465"/>
        <v>8.5569472296849788E-2</v>
      </c>
      <c r="BH164" s="528">
        <f t="shared" si="351"/>
        <v>1.4644012031523905E-2</v>
      </c>
      <c r="BI164">
        <f t="shared" si="352"/>
        <v>3.5400158598838465E-3</v>
      </c>
      <c r="BJ164" s="460">
        <f t="shared" si="436"/>
        <v>89.109488156733647</v>
      </c>
      <c r="BK164">
        <f t="shared" si="466"/>
        <v>-36.352685662442809</v>
      </c>
      <c r="BL164" s="460">
        <f t="shared" si="437"/>
        <v>8287.6555101679096</v>
      </c>
      <c r="BM164" s="173">
        <f t="shared" si="467"/>
        <v>0.28123199999999998</v>
      </c>
      <c r="BN164" s="173">
        <f t="shared" si="468"/>
        <v>0.23436000000000001</v>
      </c>
      <c r="BO164" s="528"/>
      <c r="BQ164" s="460">
        <f t="shared" si="356"/>
        <v>515.5920000000001</v>
      </c>
      <c r="BR164" s="528">
        <f t="shared" si="357"/>
        <v>3.9932871975871183</v>
      </c>
      <c r="BS164" s="528">
        <f t="shared" si="358"/>
        <v>9.1843407455722784E-3</v>
      </c>
      <c r="BT164" s="528">
        <f t="shared" si="359"/>
        <v>9.5688224249746801E-4</v>
      </c>
      <c r="BU164" s="528">
        <f t="shared" si="360"/>
        <v>263.96194183478076</v>
      </c>
      <c r="BV164" s="528"/>
      <c r="BW164" s="625">
        <f t="shared" si="469"/>
        <v>5.514814241539554</v>
      </c>
      <c r="BX164" s="460">
        <f t="shared" si="362"/>
        <v>273480.18449689553</v>
      </c>
      <c r="BY164" s="173">
        <f t="shared" si="363"/>
        <v>282.28343200706342</v>
      </c>
      <c r="BZ164" s="5">
        <f t="shared" si="364"/>
        <v>58.32</v>
      </c>
      <c r="CA164" s="173">
        <f t="shared" si="365"/>
        <v>0.17122552070699792</v>
      </c>
      <c r="CB164" s="5">
        <f t="shared" si="366"/>
        <v>17.122552070699793</v>
      </c>
      <c r="CC164">
        <f t="shared" si="367"/>
        <v>54</v>
      </c>
      <c r="CE164" s="562">
        <f t="shared" si="470"/>
        <v>-50</v>
      </c>
      <c r="CF164">
        <f t="shared" si="471"/>
        <v>-50</v>
      </c>
      <c r="CG164" s="173">
        <f t="shared" si="370"/>
        <v>0.49996674565333021</v>
      </c>
      <c r="CH164" s="173">
        <f t="shared" si="472"/>
        <v>0.12441737294010324</v>
      </c>
      <c r="CI164" s="170">
        <v>54</v>
      </c>
      <c r="CJ164" s="217">
        <f t="shared" si="438"/>
        <v>0.32400000000000001</v>
      </c>
      <c r="CK164" s="217">
        <f t="shared" si="372"/>
        <v>0.27</v>
      </c>
      <c r="CL164" s="217">
        <f t="shared" si="373"/>
        <v>55.08</v>
      </c>
      <c r="CM164" s="217">
        <f t="shared" si="374"/>
        <v>3.24</v>
      </c>
      <c r="CN164" s="541">
        <f t="shared" si="375"/>
        <v>9</v>
      </c>
      <c r="CO164" s="443">
        <f t="shared" si="473"/>
        <v>8.5350000000000001</v>
      </c>
      <c r="CP164" s="443">
        <f t="shared" si="474"/>
        <v>17.535</v>
      </c>
      <c r="CQ164" s="443"/>
      <c r="CR164" s="217">
        <f t="shared" si="378"/>
        <v>0.48644793152639093</v>
      </c>
      <c r="CS164" s="172">
        <f t="shared" si="379"/>
        <v>137.82691393247745</v>
      </c>
      <c r="CT164" s="172">
        <f t="shared" si="380"/>
        <v>8.1074655254398493</v>
      </c>
      <c r="CU164" s="217">
        <f t="shared" si="381"/>
        <v>0.81074655254398498</v>
      </c>
      <c r="CV164" s="217">
        <f t="shared" si="382"/>
        <v>11.485576161039788</v>
      </c>
      <c r="CW164" s="217">
        <f t="shared" si="383"/>
        <v>170</v>
      </c>
      <c r="CX164" s="217">
        <f t="shared" si="384"/>
        <v>26.642111436950145</v>
      </c>
      <c r="CY164" s="217">
        <f t="shared" si="385"/>
        <v>1.480117302052786</v>
      </c>
      <c r="CZ164" s="217">
        <f t="shared" si="386"/>
        <v>1.5607563817779815</v>
      </c>
      <c r="DA164" s="197">
        <f t="shared" si="387"/>
        <v>350</v>
      </c>
      <c r="DB164" s="443">
        <f t="shared" si="388"/>
        <v>328.85285742623847</v>
      </c>
      <c r="DD164" s="217">
        <f t="shared" si="389"/>
        <v>25.032384211169504</v>
      </c>
      <c r="DE164" s="173">
        <f t="shared" si="390"/>
        <v>1.4664548454112187</v>
      </c>
      <c r="DF164" s="173">
        <f t="shared" si="391"/>
        <v>0.30335794952229944</v>
      </c>
      <c r="DG164" s="173"/>
      <c r="DH164" s="173">
        <f t="shared" si="392"/>
        <v>0.78109744190587771</v>
      </c>
      <c r="DI164" s="545">
        <f t="shared" si="393"/>
        <v>1317.6031764705883</v>
      </c>
      <c r="DJ164" s="528">
        <f t="shared" si="394"/>
        <v>8.6065366284073561E-2</v>
      </c>
      <c r="DL164" s="173">
        <f t="shared" si="395"/>
        <v>25.816937961622902</v>
      </c>
      <c r="DM164" s="173">
        <f t="shared" si="396"/>
        <v>26.642111436950145</v>
      </c>
      <c r="DN164" s="173">
        <f t="shared" si="397"/>
        <v>11.058354150827267</v>
      </c>
      <c r="DP164" s="545">
        <f t="shared" si="398"/>
        <v>324</v>
      </c>
      <c r="DQ164" s="460">
        <f t="shared" si="399"/>
        <v>328.85285742623847</v>
      </c>
      <c r="DS164">
        <f t="shared" si="400"/>
        <v>324</v>
      </c>
      <c r="DT164">
        <f t="shared" si="401"/>
        <v>328.85285742623847</v>
      </c>
      <c r="DV164" s="5">
        <f t="shared" si="402"/>
        <v>3.0408736838307675</v>
      </c>
      <c r="DW164" s="5">
        <f t="shared" si="403"/>
        <v>1.480117302052786</v>
      </c>
      <c r="DX164" s="5">
        <f t="shared" si="404"/>
        <v>1.5607563817779815</v>
      </c>
      <c r="DY164" s="173">
        <f t="shared" si="405"/>
        <v>0.48674080410607362</v>
      </c>
      <c r="EA164" s="5">
        <f t="shared" si="406"/>
        <v>0.28209294462653095</v>
      </c>
      <c r="EB164" s="5">
        <f t="shared" si="407"/>
        <v>3.330263929618769</v>
      </c>
      <c r="EC164" s="5">
        <f t="shared" si="408"/>
        <v>15.282926490369993</v>
      </c>
      <c r="ED164" s="5"/>
      <c r="EE164" s="173">
        <f t="shared" si="409"/>
        <v>10.731412547524485</v>
      </c>
      <c r="EF164" s="173">
        <f t="shared" si="410"/>
        <v>0.52038264399347156</v>
      </c>
      <c r="EG164" s="173">
        <f t="shared" si="411"/>
        <v>0.41143731972990077</v>
      </c>
      <c r="EH164" s="173"/>
      <c r="EI164" s="528">
        <f t="shared" si="412"/>
        <v>4.6065286106066381</v>
      </c>
      <c r="EJ164" s="528">
        <f t="shared" si="413"/>
        <v>4.2248250000000001</v>
      </c>
      <c r="EK164" s="528">
        <f t="shared" si="414"/>
        <v>6.5770571485247689E-2</v>
      </c>
      <c r="EL164" s="528">
        <f t="shared" si="415"/>
        <v>2.0222887036376602E-2</v>
      </c>
      <c r="EM164">
        <f t="shared" si="416"/>
        <v>4.0499999999999998E-3</v>
      </c>
      <c r="EN164" s="460">
        <f t="shared" si="417"/>
        <v>69.820571485247683</v>
      </c>
      <c r="EP164" s="460">
        <f t="shared" si="439"/>
        <v>8921.3970691282611</v>
      </c>
      <c r="EQ164" s="173">
        <f t="shared" si="418"/>
        <v>0.2268</v>
      </c>
      <c r="ER164" s="173">
        <f t="shared" si="475"/>
        <v>0.23436000000000001</v>
      </c>
      <c r="ES164" s="528"/>
      <c r="EU164" s="460">
        <f t="shared" si="420"/>
        <v>461.16</v>
      </c>
      <c r="EV164" s="528">
        <f t="shared" si="421"/>
        <v>3.4548964579549786</v>
      </c>
      <c r="EW164" s="528">
        <f t="shared" si="422"/>
        <v>8.1239428850890857E-3</v>
      </c>
      <c r="EX164" s="528">
        <f t="shared" si="423"/>
        <v>8.46403340332623E-4</v>
      </c>
      <c r="EY164" s="528">
        <f t="shared" si="424"/>
        <v>359.24907218562714</v>
      </c>
      <c r="EZ164" s="528"/>
      <c r="FA164" s="625">
        <f t="shared" si="425"/>
        <v>5.8355112347571296</v>
      </c>
      <c r="FB164" s="460">
        <f t="shared" si="426"/>
        <v>368548.45022456464</v>
      </c>
      <c r="FC164" s="173">
        <f t="shared" si="427"/>
        <v>377.93100729369291</v>
      </c>
      <c r="FD164" s="5">
        <f t="shared" si="428"/>
        <v>58.32</v>
      </c>
      <c r="FE164" s="173">
        <f t="shared" si="429"/>
        <v>0.13368450507837523</v>
      </c>
      <c r="FF164" s="5">
        <f t="shared" si="430"/>
        <v>13.368450507837522</v>
      </c>
      <c r="FG164">
        <f t="shared" si="431"/>
        <v>54</v>
      </c>
      <c r="FI164" s="562">
        <f t="shared" si="432"/>
        <v>-50</v>
      </c>
      <c r="FJ164">
        <f t="shared" si="433"/>
        <v>-50</v>
      </c>
    </row>
    <row r="165" spans="5:166">
      <c r="E165" s="170">
        <v>55</v>
      </c>
      <c r="F165" s="217">
        <f t="shared" si="476"/>
        <v>0.33</v>
      </c>
      <c r="G165" s="217">
        <f t="shared" si="444"/>
        <v>0.27500000000000002</v>
      </c>
      <c r="H165" s="217">
        <f t="shared" si="445"/>
        <v>56.1</v>
      </c>
      <c r="I165" s="217">
        <f t="shared" si="446"/>
        <v>3.3000000000000003</v>
      </c>
      <c r="J165" s="541">
        <f t="shared" si="447"/>
        <v>7.8457149092021217</v>
      </c>
      <c r="K165" s="443">
        <f t="shared" si="448"/>
        <v>8.5424271376962349</v>
      </c>
      <c r="L165" s="172">
        <f t="shared" si="449"/>
        <v>16.388142046898356</v>
      </c>
      <c r="M165" s="443"/>
      <c r="N165" s="217">
        <f t="shared" si="450"/>
        <v>0.5212565959734885</v>
      </c>
      <c r="O165" s="172">
        <f t="shared" si="451"/>
        <v>128.74763146543606</v>
      </c>
      <c r="P165" s="172">
        <f t="shared" si="452"/>
        <v>7.5733900862021208</v>
      </c>
      <c r="Q165" s="217">
        <f t="shared" si="322"/>
        <v>0.75733900862021208</v>
      </c>
      <c r="R165" s="217">
        <f t="shared" si="453"/>
        <v>10.728969288786338</v>
      </c>
      <c r="S165" s="217">
        <f t="shared" si="454"/>
        <v>170</v>
      </c>
      <c r="T165" s="217">
        <f t="shared" si="455"/>
        <v>29.049078087343691</v>
      </c>
      <c r="U165" s="217">
        <f t="shared" si="326"/>
        <v>1.8512703063727474</v>
      </c>
      <c r="V165" s="217">
        <f t="shared" si="327"/>
        <v>1.7002824618283952</v>
      </c>
      <c r="W165" s="197">
        <f t="shared" si="328"/>
        <v>350</v>
      </c>
      <c r="X165" s="443">
        <f t="shared" si="435"/>
        <v>266.55629329705431</v>
      </c>
      <c r="Z165" s="217">
        <f t="shared" si="329"/>
        <v>23.36931798028083</v>
      </c>
      <c r="AA165" s="173">
        <f t="shared" si="330"/>
        <v>1.3678382972186043</v>
      </c>
      <c r="AB165" s="173">
        <f t="shared" si="456"/>
        <v>0.26415891149191573</v>
      </c>
      <c r="AC165" s="173"/>
      <c r="AD165" s="173">
        <f t="shared" si="332"/>
        <v>0.78041832364572761</v>
      </c>
      <c r="AE165" s="545">
        <f t="shared" si="457"/>
        <v>1343.1710434742372</v>
      </c>
      <c r="AF165" s="528">
        <f t="shared" si="458"/>
        <v>8.5990537512816295E-2</v>
      </c>
      <c r="AH165" s="173">
        <f t="shared" si="459"/>
        <v>26.054887120406853</v>
      </c>
      <c r="AI165" s="173">
        <f t="shared" si="460"/>
        <v>29.049078087343691</v>
      </c>
      <c r="AJ165" s="173">
        <f t="shared" si="461"/>
        <v>12.841292410378042</v>
      </c>
      <c r="AL165" s="545">
        <f t="shared" si="462"/>
        <v>330</v>
      </c>
      <c r="AM165" s="460">
        <f t="shared" si="463"/>
        <v>266.55629329705431</v>
      </c>
      <c r="AO165">
        <f t="shared" si="340"/>
        <v>330</v>
      </c>
      <c r="AP165">
        <f t="shared" si="341"/>
        <v>266.55629329705431</v>
      </c>
      <c r="AR165" s="5">
        <f t="shared" si="443"/>
        <v>3.7515527682011434</v>
      </c>
      <c r="AS165" s="5">
        <f t="shared" si="440"/>
        <v>1.8512703063727474</v>
      </c>
      <c r="AT165" s="5">
        <f t="shared" si="441"/>
        <v>1.900282461828396</v>
      </c>
      <c r="AU165" s="173">
        <f t="shared" si="442"/>
        <v>0.49346775075762167</v>
      </c>
      <c r="AW165" s="5">
        <f t="shared" si="342"/>
        <v>0.35936423594294514</v>
      </c>
      <c r="AX165" s="5">
        <f t="shared" si="343"/>
        <v>4.2424944521042125</v>
      </c>
      <c r="AY165" s="5">
        <f t="shared" si="344"/>
        <v>21.740447587976792</v>
      </c>
      <c r="AZ165" s="5"/>
      <c r="BA165" s="173">
        <f t="shared" si="345"/>
        <v>11.781514295400266</v>
      </c>
      <c r="BB165" s="173">
        <f t="shared" si="346"/>
        <v>0.56366581618722378</v>
      </c>
      <c r="BC165" s="173">
        <f t="shared" si="347"/>
        <v>0.44565889218693427</v>
      </c>
      <c r="BD165" s="173"/>
      <c r="BE165" s="528">
        <f t="shared" si="348"/>
        <v>5.5521631637088333</v>
      </c>
      <c r="BF165" s="528">
        <f t="shared" si="464"/>
        <v>2.8551802593302593</v>
      </c>
      <c r="BG165" s="528">
        <f t="shared" si="465"/>
        <v>8.3652987378494109E-2</v>
      </c>
      <c r="BH165" s="528">
        <f t="shared" si="351"/>
        <v>1.4317868698304185E-2</v>
      </c>
      <c r="BI165">
        <f t="shared" si="352"/>
        <v>3.5305717091409549E-3</v>
      </c>
      <c r="BJ165" s="460">
        <f t="shared" si="436"/>
        <v>87.183559087635061</v>
      </c>
      <c r="BK165">
        <f t="shared" si="466"/>
        <v>-31.080616646707476</v>
      </c>
      <c r="BL165" s="460">
        <f t="shared" si="437"/>
        <v>8508.8448508250331</v>
      </c>
      <c r="BM165" s="173">
        <f t="shared" si="467"/>
        <v>0.28643999999999997</v>
      </c>
      <c r="BN165" s="173">
        <f t="shared" si="468"/>
        <v>0.2387</v>
      </c>
      <c r="BO165" s="528"/>
      <c r="BQ165" s="460">
        <f t="shared" si="356"/>
        <v>525.14</v>
      </c>
      <c r="BR165" s="528">
        <f t="shared" si="357"/>
        <v>4.164122372781625</v>
      </c>
      <c r="BS165" s="528">
        <f t="shared" si="358"/>
        <v>9.5315745701402728E-3</v>
      </c>
      <c r="BT165" s="528">
        <f t="shared" si="359"/>
        <v>9.9305924092642759E-4</v>
      </c>
      <c r="BU165" s="528">
        <f t="shared" si="360"/>
        <v>263.79905815771843</v>
      </c>
      <c r="BV165" s="528"/>
      <c r="BW165" s="625">
        <f t="shared" si="469"/>
        <v>5.6233311235630987</v>
      </c>
      <c r="BX165" s="460">
        <f t="shared" si="362"/>
        <v>273597.03628787422</v>
      </c>
      <c r="BY165" s="173">
        <f t="shared" si="363"/>
        <v>282.63102113869928</v>
      </c>
      <c r="BZ165" s="5">
        <f t="shared" si="364"/>
        <v>59.4</v>
      </c>
      <c r="CA165" s="173">
        <f t="shared" si="365"/>
        <v>0.1736684579142671</v>
      </c>
      <c r="CB165" s="5">
        <f t="shared" si="366"/>
        <v>17.366845791426712</v>
      </c>
      <c r="CC165">
        <f t="shared" si="367"/>
        <v>55.000000000000007</v>
      </c>
      <c r="CE165" s="562">
        <f t="shared" si="470"/>
        <v>-50</v>
      </c>
      <c r="CF165">
        <f t="shared" si="471"/>
        <v>-50</v>
      </c>
      <c r="CG165" s="173">
        <f t="shared" si="370"/>
        <v>0.49996674565333032</v>
      </c>
      <c r="CH165" s="173">
        <f t="shared" si="472"/>
        <v>0.12441737294010324</v>
      </c>
      <c r="CI165" s="170">
        <v>55</v>
      </c>
      <c r="CJ165" s="217">
        <f t="shared" si="438"/>
        <v>0.33</v>
      </c>
      <c r="CK165" s="217">
        <f t="shared" si="372"/>
        <v>0.27500000000000002</v>
      </c>
      <c r="CL165" s="217">
        <f t="shared" si="373"/>
        <v>56.1</v>
      </c>
      <c r="CM165" s="217">
        <f t="shared" si="374"/>
        <v>3.3000000000000003</v>
      </c>
      <c r="CN165" s="541">
        <f t="shared" si="375"/>
        <v>9</v>
      </c>
      <c r="CO165" s="443">
        <f t="shared" si="473"/>
        <v>8.5350000000000001</v>
      </c>
      <c r="CP165" s="443">
        <f t="shared" si="474"/>
        <v>17.535</v>
      </c>
      <c r="CQ165" s="443"/>
      <c r="CR165" s="217">
        <f t="shared" si="378"/>
        <v>0.48644793152639093</v>
      </c>
      <c r="CS165" s="172">
        <f t="shared" si="379"/>
        <v>137.82691393247745</v>
      </c>
      <c r="CT165" s="172">
        <f t="shared" si="380"/>
        <v>8.1074655254398493</v>
      </c>
      <c r="CU165" s="217">
        <f t="shared" si="381"/>
        <v>0.81074655254398498</v>
      </c>
      <c r="CV165" s="217">
        <f t="shared" si="382"/>
        <v>11.485576161039788</v>
      </c>
      <c r="CW165" s="217">
        <f t="shared" si="383"/>
        <v>170</v>
      </c>
      <c r="CX165" s="217">
        <f t="shared" si="384"/>
        <v>27.13548387096774</v>
      </c>
      <c r="CY165" s="217">
        <f t="shared" si="385"/>
        <v>1.5075268817204299</v>
      </c>
      <c r="CZ165" s="217">
        <f t="shared" si="386"/>
        <v>1.5896592777368328</v>
      </c>
      <c r="DA165" s="197">
        <f t="shared" si="387"/>
        <v>350</v>
      </c>
      <c r="DB165" s="443">
        <f t="shared" si="388"/>
        <v>322.87371456394334</v>
      </c>
      <c r="DD165" s="217">
        <f t="shared" si="389"/>
        <v>25.032384211169504</v>
      </c>
      <c r="DE165" s="173">
        <f t="shared" si="390"/>
        <v>1.4664548454112187</v>
      </c>
      <c r="DF165" s="173">
        <f t="shared" si="391"/>
        <v>0.30335794952229944</v>
      </c>
      <c r="DG165" s="173"/>
      <c r="DH165" s="173">
        <f t="shared" si="392"/>
        <v>0.78109744190587771</v>
      </c>
      <c r="DI165" s="545">
        <f t="shared" si="393"/>
        <v>1342.0032352941178</v>
      </c>
      <c r="DJ165" s="528">
        <f t="shared" si="394"/>
        <v>8.6065366284073561E-2</v>
      </c>
      <c r="DL165" s="173">
        <f t="shared" si="395"/>
        <v>26.054887120406853</v>
      </c>
      <c r="DM165" s="173">
        <f t="shared" si="396"/>
        <v>27.13548387096774</v>
      </c>
      <c r="DN165" s="173">
        <f t="shared" si="397"/>
        <v>11.423815213062522</v>
      </c>
      <c r="DP165" s="545">
        <f t="shared" si="398"/>
        <v>330</v>
      </c>
      <c r="DQ165" s="460">
        <f t="shared" si="399"/>
        <v>322.87371456394334</v>
      </c>
      <c r="DS165">
        <f t="shared" si="400"/>
        <v>330</v>
      </c>
      <c r="DT165">
        <f t="shared" si="401"/>
        <v>322.87371456394334</v>
      </c>
      <c r="DV165" s="5">
        <f t="shared" si="402"/>
        <v>3.0971861594572623</v>
      </c>
      <c r="DW165" s="5">
        <f t="shared" si="403"/>
        <v>1.5075268817204299</v>
      </c>
      <c r="DX165" s="5">
        <f t="shared" si="404"/>
        <v>1.5896592777368324</v>
      </c>
      <c r="DY165" s="173">
        <f t="shared" si="405"/>
        <v>0.48674080410607368</v>
      </c>
      <c r="EA165" s="5">
        <f t="shared" si="406"/>
        <v>0.29263757115749522</v>
      </c>
      <c r="EB165" s="5">
        <f t="shared" si="407"/>
        <v>3.4547491039426523</v>
      </c>
      <c r="EC165" s="5">
        <f t="shared" si="408"/>
        <v>15.854201863295341</v>
      </c>
      <c r="ED165" s="5"/>
      <c r="EE165" s="173">
        <f t="shared" si="409"/>
        <v>10.930142409515678</v>
      </c>
      <c r="EF165" s="173">
        <f t="shared" si="410"/>
        <v>0.53001935962298008</v>
      </c>
      <c r="EG165" s="173">
        <f t="shared" si="411"/>
        <v>0.41905652935452853</v>
      </c>
      <c r="EH165" s="173"/>
      <c r="EI165" s="528">
        <f t="shared" si="412"/>
        <v>4.7787205236917281</v>
      </c>
      <c r="EJ165" s="528">
        <f t="shared" si="413"/>
        <v>4.2248250000000009</v>
      </c>
      <c r="EK165" s="528">
        <f t="shared" si="414"/>
        <v>6.4574742912788669E-2</v>
      </c>
      <c r="EL165" s="528">
        <f t="shared" si="415"/>
        <v>1.9855198181169764E-2</v>
      </c>
      <c r="EM165">
        <f t="shared" si="416"/>
        <v>4.0499999999999998E-3</v>
      </c>
      <c r="EN165" s="460">
        <f t="shared" si="417"/>
        <v>68.624742912788662</v>
      </c>
      <c r="EP165" s="460">
        <f t="shared" si="439"/>
        <v>9092.0254647856873</v>
      </c>
      <c r="EQ165" s="173">
        <f t="shared" si="418"/>
        <v>0.23099999999999998</v>
      </c>
      <c r="ER165" s="173">
        <f t="shared" si="475"/>
        <v>0.2387</v>
      </c>
      <c r="ES165" s="528"/>
      <c r="EU165" s="460">
        <f t="shared" si="420"/>
        <v>469.7</v>
      </c>
      <c r="EV165" s="528">
        <f t="shared" si="421"/>
        <v>3.5840403927687956</v>
      </c>
      <c r="EW165" s="528">
        <f t="shared" si="422"/>
        <v>8.4276156472546174E-3</v>
      </c>
      <c r="EX165" s="528">
        <f t="shared" si="423"/>
        <v>8.7804187397331416E-4</v>
      </c>
      <c r="EY165" s="528">
        <f t="shared" si="424"/>
        <v>359.24907218562652</v>
      </c>
      <c r="EZ165" s="528"/>
      <c r="FA165" s="625">
        <f t="shared" si="425"/>
        <v>5.943576257623004</v>
      </c>
      <c r="FB165" s="460">
        <f t="shared" si="426"/>
        <v>368785.99449353956</v>
      </c>
      <c r="FC165" s="173">
        <f t="shared" si="427"/>
        <v>378.34771995832523</v>
      </c>
      <c r="FD165" s="5">
        <f t="shared" si="428"/>
        <v>59.4</v>
      </c>
      <c r="FE165" s="173">
        <f t="shared" si="429"/>
        <v>0.13569459597791861</v>
      </c>
      <c r="FF165" s="5">
        <f t="shared" si="430"/>
        <v>13.569459597791861</v>
      </c>
      <c r="FG165">
        <f t="shared" si="431"/>
        <v>55.000000000000007</v>
      </c>
      <c r="FI165" s="562">
        <f t="shared" si="432"/>
        <v>-50</v>
      </c>
      <c r="FJ165">
        <f t="shared" si="433"/>
        <v>-50</v>
      </c>
    </row>
    <row r="166" spans="5:166">
      <c r="E166" s="170">
        <v>56</v>
      </c>
      <c r="F166" s="217">
        <f t="shared" si="476"/>
        <v>0.33600000000000002</v>
      </c>
      <c r="G166" s="217">
        <f t="shared" si="444"/>
        <v>0.28000000000000003</v>
      </c>
      <c r="H166" s="217">
        <f t="shared" si="445"/>
        <v>57.120000000000005</v>
      </c>
      <c r="I166" s="217">
        <f t="shared" si="446"/>
        <v>3.3600000000000003</v>
      </c>
      <c r="J166" s="541">
        <f t="shared" si="447"/>
        <v>7.8247279075512512</v>
      </c>
      <c r="K166" s="443">
        <f t="shared" si="448"/>
        <v>8.5425621765634379</v>
      </c>
      <c r="L166" s="172">
        <f t="shared" si="449"/>
        <v>16.367290084114689</v>
      </c>
      <c r="M166" s="443"/>
      <c r="N166" s="217">
        <f t="shared" si="450"/>
        <v>0.52192892853132977</v>
      </c>
      <c r="O166" s="172">
        <f t="shared" si="451"/>
        <v>128.56885462636316</v>
      </c>
      <c r="P166" s="172">
        <f t="shared" si="452"/>
        <v>7.5628738015507739</v>
      </c>
      <c r="Q166" s="217">
        <f t="shared" si="322"/>
        <v>0.75628738015507746</v>
      </c>
      <c r="R166" s="217">
        <f t="shared" si="453"/>
        <v>10.714071218863596</v>
      </c>
      <c r="S166" s="217">
        <f t="shared" si="454"/>
        <v>170</v>
      </c>
      <c r="T166" s="217">
        <f t="shared" si="455"/>
        <v>29.618370724904679</v>
      </c>
      <c r="U166" s="217">
        <f t="shared" si="326"/>
        <v>1.8926134604834934</v>
      </c>
      <c r="V166" s="217">
        <f t="shared" si="327"/>
        <v>1.7335765378543468</v>
      </c>
      <c r="W166" s="197">
        <f t="shared" si="328"/>
        <v>350</v>
      </c>
      <c r="X166" s="443">
        <f t="shared" si="435"/>
        <v>261.35659766880798</v>
      </c>
      <c r="Z166" s="217">
        <f t="shared" si="329"/>
        <v>23.336867730499534</v>
      </c>
      <c r="AA166" s="173">
        <f t="shared" si="330"/>
        <v>1.3659173470533434</v>
      </c>
      <c r="AB166" s="173">
        <f t="shared" si="456"/>
        <v>0.26342164323739348</v>
      </c>
      <c r="AC166" s="173"/>
      <c r="AD166" s="173">
        <f t="shared" si="332"/>
        <v>0.78040598697153185</v>
      </c>
      <c r="AE166" s="545">
        <f t="shared" si="457"/>
        <v>1367.6139541020618</v>
      </c>
      <c r="AF166" s="528">
        <f t="shared" si="458"/>
        <v>8.5989178194085455E-2</v>
      </c>
      <c r="AH166" s="173">
        <f t="shared" si="459"/>
        <v>26.290682760247975</v>
      </c>
      <c r="AI166" s="173">
        <f t="shared" si="460"/>
        <v>29.618370724904679</v>
      </c>
      <c r="AJ166" s="173">
        <f t="shared" si="461"/>
        <v>13.262990660423217</v>
      </c>
      <c r="AL166" s="545">
        <f t="shared" si="462"/>
        <v>336</v>
      </c>
      <c r="AM166" s="460">
        <f t="shared" si="463"/>
        <v>261.35659766880798</v>
      </c>
      <c r="AO166">
        <f t="shared" si="340"/>
        <v>336</v>
      </c>
      <c r="AP166">
        <f t="shared" si="341"/>
        <v>261.35659766880798</v>
      </c>
      <c r="AR166" s="5">
        <f t="shared" si="443"/>
        <v>3.8261899983378402</v>
      </c>
      <c r="AS166" s="5">
        <f t="shared" si="440"/>
        <v>1.8926134604834934</v>
      </c>
      <c r="AT166" s="5">
        <f t="shared" si="441"/>
        <v>1.9335765378543468</v>
      </c>
      <c r="AU166" s="173">
        <f t="shared" si="442"/>
        <v>0.49464701473415479</v>
      </c>
      <c r="AW166" s="5">
        <f t="shared" si="342"/>
        <v>0.37406948395438466</v>
      </c>
      <c r="AX166" s="5">
        <f t="shared" si="343"/>
        <v>4.4160980744614848</v>
      </c>
      <c r="AY166" s="5">
        <f t="shared" si="344"/>
        <v>22.583970846711132</v>
      </c>
      <c r="AZ166" s="5"/>
      <c r="BA166" s="173">
        <f t="shared" si="345"/>
        <v>12.02674862129231</v>
      </c>
      <c r="BB166" s="173">
        <f t="shared" si="346"/>
        <v>0.57404293437885967</v>
      </c>
      <c r="BC166" s="173">
        <f t="shared" si="347"/>
        <v>0.45386349651908914</v>
      </c>
      <c r="BD166" s="173"/>
      <c r="BE166" s="528">
        <f t="shared" si="348"/>
        <v>5.7857072959902585</v>
      </c>
      <c r="BF166" s="528">
        <f t="shared" si="464"/>
        <v>2.8507158499418641</v>
      </c>
      <c r="BG166" s="528">
        <f t="shared" si="465"/>
        <v>8.1801770544070646E-2</v>
      </c>
      <c r="BH166" s="528">
        <f t="shared" si="351"/>
        <v>1.4002868901645453E-2</v>
      </c>
      <c r="BI166">
        <f t="shared" si="352"/>
        <v>3.5211275583980628E-3</v>
      </c>
      <c r="BJ166" s="460">
        <f t="shared" si="436"/>
        <v>85.322898102468713</v>
      </c>
      <c r="BK166">
        <f t="shared" si="466"/>
        <v>-27.256476192700944</v>
      </c>
      <c r="BL166" s="460">
        <f t="shared" si="437"/>
        <v>8735.7489129362366</v>
      </c>
      <c r="BM166" s="173">
        <f t="shared" si="467"/>
        <v>0.29164799999999996</v>
      </c>
      <c r="BN166" s="173">
        <f t="shared" si="468"/>
        <v>0.24304000000000001</v>
      </c>
      <c r="BO166" s="528"/>
      <c r="BQ166" s="460">
        <f t="shared" si="356"/>
        <v>534.68799999999999</v>
      </c>
      <c r="BR166" s="528">
        <f t="shared" si="357"/>
        <v>4.3392804719926934</v>
      </c>
      <c r="BS166" s="528">
        <f t="shared" si="358"/>
        <v>9.8857587153087529E-3</v>
      </c>
      <c r="BT166" s="528">
        <f t="shared" si="359"/>
        <v>1.0299603673626662E-3</v>
      </c>
      <c r="BU166" s="528">
        <f t="shared" si="360"/>
        <v>263.60678592152169</v>
      </c>
      <c r="BV166" s="528"/>
      <c r="BW166" s="625">
        <f t="shared" si="469"/>
        <v>5.731863059459811</v>
      </c>
      <c r="BX166" s="460">
        <f t="shared" si="362"/>
        <v>273688.84517205687</v>
      </c>
      <c r="BY166" s="173">
        <f t="shared" si="363"/>
        <v>282.95928208499311</v>
      </c>
      <c r="BZ166" s="5">
        <f t="shared" si="364"/>
        <v>60.480000000000004</v>
      </c>
      <c r="CA166" s="173">
        <f t="shared" si="365"/>
        <v>0.1761009970462046</v>
      </c>
      <c r="CB166" s="5">
        <f t="shared" si="366"/>
        <v>17.61009970462046</v>
      </c>
      <c r="CC166">
        <f t="shared" si="367"/>
        <v>56.000000000000007</v>
      </c>
      <c r="CE166" s="562">
        <f t="shared" si="470"/>
        <v>-50</v>
      </c>
      <c r="CF166">
        <f t="shared" si="471"/>
        <v>-50</v>
      </c>
      <c r="CG166" s="173">
        <f t="shared" si="370"/>
        <v>0.49996674565333032</v>
      </c>
      <c r="CH166" s="173">
        <f t="shared" si="472"/>
        <v>0.12441737294010324</v>
      </c>
      <c r="CI166" s="170">
        <v>56</v>
      </c>
      <c r="CJ166" s="217">
        <f t="shared" si="438"/>
        <v>0.33600000000000002</v>
      </c>
      <c r="CK166" s="217">
        <f t="shared" si="372"/>
        <v>0.28000000000000003</v>
      </c>
      <c r="CL166" s="217">
        <f t="shared" si="373"/>
        <v>57.120000000000005</v>
      </c>
      <c r="CM166" s="217">
        <f t="shared" si="374"/>
        <v>3.3600000000000003</v>
      </c>
      <c r="CN166" s="541">
        <f t="shared" si="375"/>
        <v>9</v>
      </c>
      <c r="CO166" s="443">
        <f t="shared" si="473"/>
        <v>8.5350000000000001</v>
      </c>
      <c r="CP166" s="443">
        <f t="shared" si="474"/>
        <v>17.535</v>
      </c>
      <c r="CQ166" s="443"/>
      <c r="CR166" s="217">
        <f t="shared" si="378"/>
        <v>0.48644793152639093</v>
      </c>
      <c r="CS166" s="172">
        <f t="shared" si="379"/>
        <v>137.82691393247745</v>
      </c>
      <c r="CT166" s="172">
        <f t="shared" si="380"/>
        <v>8.1074655254398493</v>
      </c>
      <c r="CU166" s="217">
        <f t="shared" si="381"/>
        <v>0.81074655254398498</v>
      </c>
      <c r="CV166" s="217">
        <f t="shared" si="382"/>
        <v>11.485576161039788</v>
      </c>
      <c r="CW166" s="217">
        <f t="shared" si="383"/>
        <v>170</v>
      </c>
      <c r="CX166" s="217">
        <f t="shared" si="384"/>
        <v>27.628856304985337</v>
      </c>
      <c r="CY166" s="217">
        <f t="shared" si="385"/>
        <v>1.5349364613880743</v>
      </c>
      <c r="CZ166" s="217">
        <f t="shared" si="386"/>
        <v>1.6185621736956843</v>
      </c>
      <c r="DA166" s="197">
        <f t="shared" si="387"/>
        <v>350</v>
      </c>
      <c r="DB166" s="443">
        <f t="shared" si="388"/>
        <v>317.10811251815858</v>
      </c>
      <c r="DD166" s="217">
        <f t="shared" si="389"/>
        <v>25.032384211169504</v>
      </c>
      <c r="DE166" s="173">
        <f t="shared" si="390"/>
        <v>1.4664548454112187</v>
      </c>
      <c r="DF166" s="173">
        <f t="shared" si="391"/>
        <v>0.30335794952229944</v>
      </c>
      <c r="DG166" s="173"/>
      <c r="DH166" s="173">
        <f t="shared" si="392"/>
        <v>0.78109744190587771</v>
      </c>
      <c r="DI166" s="545">
        <f t="shared" si="393"/>
        <v>1366.4032941176474</v>
      </c>
      <c r="DJ166" s="528">
        <f t="shared" si="394"/>
        <v>8.6065366284073561E-2</v>
      </c>
      <c r="DL166" s="173">
        <f t="shared" si="395"/>
        <v>26.290682760247975</v>
      </c>
      <c r="DM166" s="173">
        <f t="shared" si="396"/>
        <v>27.628856304985337</v>
      </c>
      <c r="DN166" s="173">
        <f t="shared" si="397"/>
        <v>11.78927627529778</v>
      </c>
      <c r="DP166" s="545">
        <f t="shared" si="398"/>
        <v>336</v>
      </c>
      <c r="DQ166" s="460">
        <f t="shared" si="399"/>
        <v>317.10811251815858</v>
      </c>
      <c r="DS166">
        <f t="shared" si="400"/>
        <v>336</v>
      </c>
      <c r="DT166">
        <f t="shared" si="401"/>
        <v>317.10811251815858</v>
      </c>
      <c r="DV166" s="5">
        <f t="shared" si="402"/>
        <v>3.1534986350837584</v>
      </c>
      <c r="DW166" s="5">
        <f t="shared" si="403"/>
        <v>1.5349364613880743</v>
      </c>
      <c r="DX166" s="5">
        <f t="shared" si="404"/>
        <v>1.6185621736956841</v>
      </c>
      <c r="DY166" s="173">
        <f t="shared" si="405"/>
        <v>0.48674080410607362</v>
      </c>
      <c r="EA166" s="5">
        <f t="shared" si="406"/>
        <v>0.30337567707434876</v>
      </c>
      <c r="EB166" s="5">
        <f t="shared" si="407"/>
        <v>3.5815184099055069</v>
      </c>
      <c r="EC166" s="5">
        <f t="shared" si="408"/>
        <v>16.435959353155109</v>
      </c>
      <c r="ED166" s="5"/>
      <c r="EE166" s="173">
        <f t="shared" si="409"/>
        <v>11.128872271506873</v>
      </c>
      <c r="EF166" s="173">
        <f t="shared" si="410"/>
        <v>0.53965607525248893</v>
      </c>
      <c r="EG166" s="173">
        <f t="shared" si="411"/>
        <v>0.42667573897915634</v>
      </c>
      <c r="EH166" s="173"/>
      <c r="EI166" s="528">
        <f t="shared" si="412"/>
        <v>4.9540719214205824</v>
      </c>
      <c r="EJ166" s="528">
        <f t="shared" si="413"/>
        <v>4.2248250000000009</v>
      </c>
      <c r="EK166" s="528">
        <f t="shared" si="414"/>
        <v>6.3421622503631717E-2</v>
      </c>
      <c r="EL166" s="528">
        <f t="shared" si="415"/>
        <v>1.9500641070791726E-2</v>
      </c>
      <c r="EM166">
        <f t="shared" si="416"/>
        <v>4.0499999999999998E-3</v>
      </c>
      <c r="EN166" s="460">
        <f t="shared" si="417"/>
        <v>67.471622503631721</v>
      </c>
      <c r="EP166" s="460">
        <f t="shared" si="439"/>
        <v>9265.8691849950083</v>
      </c>
      <c r="EQ166" s="173">
        <f t="shared" si="418"/>
        <v>0.23519999999999999</v>
      </c>
      <c r="ER166" s="173">
        <f t="shared" si="475"/>
        <v>0.24304000000000001</v>
      </c>
      <c r="ES166" s="528"/>
      <c r="EU166" s="460">
        <f t="shared" si="420"/>
        <v>478.24</v>
      </c>
      <c r="EV166" s="528">
        <f t="shared" si="421"/>
        <v>3.7155539410654361</v>
      </c>
      <c r="EW166" s="528">
        <f t="shared" si="422"/>
        <v>8.736860386707599E-3</v>
      </c>
      <c r="EX166" s="528">
        <f t="shared" si="423"/>
        <v>9.1026093116704579E-4</v>
      </c>
      <c r="EY166" s="528">
        <f t="shared" si="424"/>
        <v>359.24907218562657</v>
      </c>
      <c r="EZ166" s="528"/>
      <c r="FA166" s="625">
        <f t="shared" si="425"/>
        <v>6.0516412804888775</v>
      </c>
      <c r="FB166" s="460">
        <f t="shared" si="426"/>
        <v>369025.91452849872</v>
      </c>
      <c r="FC166" s="173">
        <f t="shared" si="427"/>
        <v>378.77002371349374</v>
      </c>
      <c r="FD166" s="5">
        <f t="shared" si="428"/>
        <v>60.480000000000004</v>
      </c>
      <c r="FE166" s="173">
        <f t="shared" si="429"/>
        <v>0.13768923559455248</v>
      </c>
      <c r="FF166" s="5">
        <f t="shared" si="430"/>
        <v>13.768923559455249</v>
      </c>
      <c r="FG166">
        <f t="shared" si="431"/>
        <v>56.000000000000007</v>
      </c>
      <c r="FI166" s="562">
        <f t="shared" si="432"/>
        <v>-50</v>
      </c>
      <c r="FJ166">
        <f t="shared" si="433"/>
        <v>-50</v>
      </c>
    </row>
    <row r="167" spans="5:166">
      <c r="E167" s="170">
        <v>57</v>
      </c>
      <c r="F167" s="217">
        <f t="shared" si="476"/>
        <v>0.34199999999999997</v>
      </c>
      <c r="G167" s="217">
        <f t="shared" si="444"/>
        <v>0.28499999999999998</v>
      </c>
      <c r="H167" s="217">
        <f t="shared" si="445"/>
        <v>58.139999999999993</v>
      </c>
      <c r="I167" s="217">
        <f t="shared" si="446"/>
        <v>3.42</v>
      </c>
      <c r="J167" s="541">
        <f t="shared" si="447"/>
        <v>7.8037409059003799</v>
      </c>
      <c r="K167" s="443">
        <f t="shared" si="448"/>
        <v>8.5426972154306426</v>
      </c>
      <c r="L167" s="172">
        <f t="shared" si="449"/>
        <v>16.346438121331023</v>
      </c>
      <c r="M167" s="443"/>
      <c r="N167" s="217">
        <f t="shared" si="450"/>
        <v>0.52260297638070685</v>
      </c>
      <c r="O167" s="172">
        <f t="shared" si="451"/>
        <v>128.38961076586298</v>
      </c>
      <c r="P167" s="172">
        <f t="shared" si="452"/>
        <v>7.5523300450507644</v>
      </c>
      <c r="Q167" s="217">
        <f t="shared" si="322"/>
        <v>0.75523300450507636</v>
      </c>
      <c r="R167" s="217">
        <f t="shared" si="453"/>
        <v>10.699134230488582</v>
      </c>
      <c r="S167" s="217">
        <f t="shared" si="454"/>
        <v>170</v>
      </c>
      <c r="T167" s="217">
        <f t="shared" si="455"/>
        <v>30.189358600583702</v>
      </c>
      <c r="U167" s="217">
        <f t="shared" si="326"/>
        <v>1.9342876041513395</v>
      </c>
      <c r="V167" s="217">
        <f t="shared" si="327"/>
        <v>1.7669687827664531</v>
      </c>
      <c r="W167" s="197">
        <f t="shared" si="328"/>
        <v>350</v>
      </c>
      <c r="X167" s="443">
        <f t="shared" si="435"/>
        <v>256.32768032199368</v>
      </c>
      <c r="Z167" s="217">
        <f t="shared" si="329"/>
        <v>23.304332710442356</v>
      </c>
      <c r="AA167" s="173">
        <f t="shared" si="330"/>
        <v>1.3639914960551232</v>
      </c>
      <c r="AB167" s="173">
        <f t="shared" si="456"/>
        <v>0.26268350589969658</v>
      </c>
      <c r="AC167" s="173"/>
      <c r="AD167" s="173">
        <f t="shared" si="332"/>
        <v>0.78039365068736033</v>
      </c>
      <c r="AE167" s="545">
        <f t="shared" si="457"/>
        <v>1392.0576368344682</v>
      </c>
      <c r="AF167" s="528">
        <f t="shared" si="458"/>
        <v>8.5987818918329531E-2</v>
      </c>
      <c r="AH167" s="173">
        <f t="shared" si="459"/>
        <v>26.524382314068259</v>
      </c>
      <c r="AI167" s="173">
        <f t="shared" si="460"/>
        <v>30.189358600583702</v>
      </c>
      <c r="AJ167" s="173">
        <f t="shared" si="461"/>
        <v>13.685944642407678</v>
      </c>
      <c r="AL167" s="545">
        <f t="shared" si="462"/>
        <v>341.99999999999994</v>
      </c>
      <c r="AM167" s="460">
        <f t="shared" si="463"/>
        <v>256.32768032199368</v>
      </c>
      <c r="AO167">
        <f t="shared" si="340"/>
        <v>341.99999999999994</v>
      </c>
      <c r="AP167">
        <f t="shared" si="341"/>
        <v>256.32768032199368</v>
      </c>
      <c r="AR167" s="5">
        <f t="shared" si="443"/>
        <v>3.9012563869177925</v>
      </c>
      <c r="AS167" s="5">
        <f t="shared" si="440"/>
        <v>1.9342876041513395</v>
      </c>
      <c r="AT167" s="5">
        <f t="shared" si="441"/>
        <v>1.966968782766453</v>
      </c>
      <c r="AU167" s="173">
        <f t="shared" si="442"/>
        <v>0.4958114546476996</v>
      </c>
      <c r="AW167" s="5">
        <f t="shared" si="342"/>
        <v>0.38913315330574</v>
      </c>
      <c r="AX167" s="5">
        <f t="shared" si="343"/>
        <v>4.593933059859431</v>
      </c>
      <c r="AY167" s="5">
        <f t="shared" si="344"/>
        <v>23.447126993890784</v>
      </c>
      <c r="AZ167" s="5"/>
      <c r="BA167" s="173">
        <f t="shared" si="345"/>
        <v>12.27302268022207</v>
      </c>
      <c r="BB167" s="173">
        <f t="shared" si="346"/>
        <v>0.58443493295275384</v>
      </c>
      <c r="BC167" s="173">
        <f t="shared" si="347"/>
        <v>0.46207986593346501</v>
      </c>
      <c r="BD167" s="173"/>
      <c r="BE167" s="528">
        <f t="shared" si="348"/>
        <v>6.025083428369812</v>
      </c>
      <c r="BF167" s="528">
        <f t="shared" si="464"/>
        <v>2.8461320534312371</v>
      </c>
      <c r="BG167" s="528">
        <f t="shared" si="465"/>
        <v>8.0012592169731916E-2</v>
      </c>
      <c r="BH167" s="528">
        <f t="shared" si="351"/>
        <v>1.3698460842026925E-2</v>
      </c>
      <c r="BI167">
        <f t="shared" si="352"/>
        <v>3.5116834076551707E-3</v>
      </c>
      <c r="BJ167" s="460">
        <f t="shared" si="436"/>
        <v>83.524275577387087</v>
      </c>
      <c r="BK167">
        <f t="shared" si="466"/>
        <v>-24.357426058441948</v>
      </c>
      <c r="BL167" s="460">
        <f t="shared" si="437"/>
        <v>8968.4382182204627</v>
      </c>
      <c r="BM167" s="173">
        <f t="shared" si="467"/>
        <v>0.29685599999999995</v>
      </c>
      <c r="BN167" s="173">
        <f t="shared" si="468"/>
        <v>0.24737999999999999</v>
      </c>
      <c r="BO167" s="528"/>
      <c r="BQ167" s="460">
        <f t="shared" si="356"/>
        <v>544.23599999999999</v>
      </c>
      <c r="BR167" s="528">
        <f t="shared" si="357"/>
        <v>4.5188125712773592</v>
      </c>
      <c r="BS167" s="528">
        <f t="shared" si="358"/>
        <v>1.0246925725664697E-2</v>
      </c>
      <c r="BT167" s="528">
        <f t="shared" si="359"/>
        <v>1.0675890125054449E-3</v>
      </c>
      <c r="BU167" s="528">
        <f t="shared" si="360"/>
        <v>263.3864859314528</v>
      </c>
      <c r="BV167" s="528"/>
      <c r="BW167" s="625">
        <f t="shared" si="469"/>
        <v>5.8404093599875617</v>
      </c>
      <c r="BX167" s="460">
        <f t="shared" si="362"/>
        <v>273757.0223774559</v>
      </c>
      <c r="BY167" s="173">
        <f t="shared" si="363"/>
        <v>283.26969659567635</v>
      </c>
      <c r="BZ167" s="5">
        <f t="shared" si="364"/>
        <v>61.559999999999995</v>
      </c>
      <c r="CA167" s="173">
        <f t="shared" si="365"/>
        <v>0.17852290741705182</v>
      </c>
      <c r="CB167" s="5">
        <f t="shared" si="366"/>
        <v>17.852290741705183</v>
      </c>
      <c r="CC167">
        <f t="shared" si="367"/>
        <v>56.999999999999993</v>
      </c>
      <c r="CE167" s="562">
        <f t="shared" si="470"/>
        <v>-50</v>
      </c>
      <c r="CF167">
        <f t="shared" si="471"/>
        <v>-50</v>
      </c>
      <c r="CG167" s="173">
        <f t="shared" si="370"/>
        <v>0.49996674565333021</v>
      </c>
      <c r="CH167" s="173">
        <f t="shared" si="472"/>
        <v>0.12441737294010323</v>
      </c>
      <c r="CI167" s="170">
        <v>57</v>
      </c>
      <c r="CJ167" s="217">
        <f t="shared" si="438"/>
        <v>0.34199999999999997</v>
      </c>
      <c r="CK167" s="217">
        <f t="shared" si="372"/>
        <v>0.28499999999999998</v>
      </c>
      <c r="CL167" s="217">
        <f t="shared" si="373"/>
        <v>58.139999999999993</v>
      </c>
      <c r="CM167" s="217">
        <f t="shared" si="374"/>
        <v>3.42</v>
      </c>
      <c r="CN167" s="541">
        <f t="shared" si="375"/>
        <v>9</v>
      </c>
      <c r="CO167" s="443">
        <f t="shared" si="473"/>
        <v>8.5350000000000001</v>
      </c>
      <c r="CP167" s="443">
        <f t="shared" si="474"/>
        <v>17.535</v>
      </c>
      <c r="CQ167" s="443"/>
      <c r="CR167" s="217">
        <f t="shared" si="378"/>
        <v>0.48644793152639093</v>
      </c>
      <c r="CS167" s="172">
        <f t="shared" si="379"/>
        <v>137.82691393247745</v>
      </c>
      <c r="CT167" s="172">
        <f t="shared" si="380"/>
        <v>8.1074655254398493</v>
      </c>
      <c r="CU167" s="217">
        <f t="shared" si="381"/>
        <v>0.81074655254398498</v>
      </c>
      <c r="CV167" s="217">
        <f t="shared" si="382"/>
        <v>11.485576161039788</v>
      </c>
      <c r="CW167" s="217">
        <f t="shared" si="383"/>
        <v>170</v>
      </c>
      <c r="CX167" s="217">
        <f t="shared" si="384"/>
        <v>28.122228739002928</v>
      </c>
      <c r="CY167" s="217">
        <f t="shared" si="385"/>
        <v>1.5623460410557182</v>
      </c>
      <c r="CZ167" s="217">
        <f t="shared" si="386"/>
        <v>1.6474650696545359</v>
      </c>
      <c r="DA167" s="197">
        <f t="shared" si="387"/>
        <v>350</v>
      </c>
      <c r="DB167" s="443">
        <f t="shared" si="388"/>
        <v>311.54481229854173</v>
      </c>
      <c r="DD167" s="217">
        <f t="shared" si="389"/>
        <v>25.032384211169504</v>
      </c>
      <c r="DE167" s="173">
        <f t="shared" si="390"/>
        <v>1.4664548454112187</v>
      </c>
      <c r="DF167" s="173">
        <f t="shared" si="391"/>
        <v>0.30335794952229944</v>
      </c>
      <c r="DG167" s="173"/>
      <c r="DH167" s="173">
        <f t="shared" si="392"/>
        <v>0.78109744190587771</v>
      </c>
      <c r="DI167" s="545">
        <f t="shared" si="393"/>
        <v>1390.8033529411762</v>
      </c>
      <c r="DJ167" s="528">
        <f t="shared" si="394"/>
        <v>8.6065366284073561E-2</v>
      </c>
      <c r="DL167" s="173">
        <f t="shared" si="395"/>
        <v>26.524382314068259</v>
      </c>
      <c r="DM167" s="173">
        <f t="shared" si="396"/>
        <v>28.122228739002928</v>
      </c>
      <c r="DN167" s="173">
        <f t="shared" si="397"/>
        <v>12.154737337533032</v>
      </c>
      <c r="DP167" s="545">
        <f t="shared" si="398"/>
        <v>341.99999999999994</v>
      </c>
      <c r="DQ167" s="460">
        <f t="shared" si="399"/>
        <v>311.54481229854173</v>
      </c>
      <c r="DS167">
        <f t="shared" si="400"/>
        <v>341.99999999999994</v>
      </c>
      <c r="DT167">
        <f t="shared" si="401"/>
        <v>311.54481229854173</v>
      </c>
      <c r="DV167" s="5">
        <f t="shared" si="402"/>
        <v>3.2098111107102545</v>
      </c>
      <c r="DW167" s="5">
        <f t="shared" si="403"/>
        <v>1.5623460410557182</v>
      </c>
      <c r="DX167" s="5">
        <f t="shared" si="404"/>
        <v>1.6474650696545363</v>
      </c>
      <c r="DY167" s="173">
        <f t="shared" si="405"/>
        <v>0.48674080410607351</v>
      </c>
      <c r="EA167" s="5">
        <f t="shared" si="406"/>
        <v>0.3143072623770915</v>
      </c>
      <c r="EB167" s="5">
        <f t="shared" si="407"/>
        <v>3.7105718475073304</v>
      </c>
      <c r="EC167" s="5">
        <f t="shared" si="408"/>
        <v>17.028198959949286</v>
      </c>
      <c r="ED167" s="5"/>
      <c r="EE167" s="173">
        <f t="shared" si="409"/>
        <v>11.327602133498063</v>
      </c>
      <c r="EF167" s="173">
        <f t="shared" si="410"/>
        <v>0.54929279088199756</v>
      </c>
      <c r="EG167" s="173">
        <f t="shared" si="411"/>
        <v>0.43429494860378409</v>
      </c>
      <c r="EH167" s="173"/>
      <c r="EI167" s="528">
        <f t="shared" si="412"/>
        <v>5.1325828037931949</v>
      </c>
      <c r="EJ167" s="528">
        <f t="shared" si="413"/>
        <v>4.2248250000000001</v>
      </c>
      <c r="EK167" s="528">
        <f t="shared" si="414"/>
        <v>6.2308962459708343E-2</v>
      </c>
      <c r="EL167" s="528">
        <f t="shared" si="415"/>
        <v>1.9158524560777837E-2</v>
      </c>
      <c r="EM167">
        <f t="shared" si="416"/>
        <v>4.0499999999999998E-3</v>
      </c>
      <c r="EN167" s="460">
        <f t="shared" si="417"/>
        <v>66.358962459708351</v>
      </c>
      <c r="EP167" s="460">
        <f t="shared" si="439"/>
        <v>9442.9252908136805</v>
      </c>
      <c r="EQ167" s="173">
        <f t="shared" si="418"/>
        <v>0.23939999999999997</v>
      </c>
      <c r="ER167" s="173">
        <f t="shared" si="475"/>
        <v>0.24737999999999999</v>
      </c>
      <c r="ES167" s="528"/>
      <c r="EU167" s="460">
        <f t="shared" si="420"/>
        <v>486.78</v>
      </c>
      <c r="EV167" s="528">
        <f t="shared" si="421"/>
        <v>3.8494371028448957</v>
      </c>
      <c r="EW167" s="528">
        <f t="shared" si="422"/>
        <v>9.0516771034480168E-3</v>
      </c>
      <c r="EX167" s="528">
        <f t="shared" si="423"/>
        <v>9.4306051191381734E-4</v>
      </c>
      <c r="EY167" s="528">
        <f t="shared" si="424"/>
        <v>359.24907218562657</v>
      </c>
      <c r="EZ167" s="528"/>
      <c r="FA167" s="625">
        <f t="shared" si="425"/>
        <v>6.1597063033547466</v>
      </c>
      <c r="FB167" s="460">
        <f t="shared" si="426"/>
        <v>369268.21032944159</v>
      </c>
      <c r="FC167" s="173">
        <f t="shared" si="427"/>
        <v>379.19791562025529</v>
      </c>
      <c r="FD167" s="5">
        <f t="shared" si="428"/>
        <v>61.559999999999995</v>
      </c>
      <c r="FE167" s="173">
        <f t="shared" si="429"/>
        <v>0.13966850694756069</v>
      </c>
      <c r="FF167" s="5">
        <f t="shared" si="430"/>
        <v>13.966850694756069</v>
      </c>
      <c r="FG167">
        <f t="shared" si="431"/>
        <v>56.999999999999993</v>
      </c>
      <c r="FI167" s="562">
        <f t="shared" si="432"/>
        <v>-50</v>
      </c>
      <c r="FJ167">
        <f t="shared" si="433"/>
        <v>-50</v>
      </c>
    </row>
    <row r="168" spans="5:166">
      <c r="E168" s="170">
        <v>58</v>
      </c>
      <c r="F168" s="217">
        <f t="shared" si="476"/>
        <v>0.34799999999999998</v>
      </c>
      <c r="G168" s="217">
        <f t="shared" si="444"/>
        <v>0.28999999999999998</v>
      </c>
      <c r="H168" s="217">
        <f t="shared" si="445"/>
        <v>59.16</v>
      </c>
      <c r="I168" s="217">
        <f t="shared" si="446"/>
        <v>3.4799999999999995</v>
      </c>
      <c r="J168" s="541">
        <f t="shared" si="447"/>
        <v>7.7827539042495104</v>
      </c>
      <c r="K168" s="443">
        <f t="shared" si="448"/>
        <v>8.5428322542978474</v>
      </c>
      <c r="L168" s="172">
        <f t="shared" si="449"/>
        <v>16.32558615854736</v>
      </c>
      <c r="M168" s="443"/>
      <c r="N168" s="217">
        <f t="shared" si="450"/>
        <v>0.52327874609422187</v>
      </c>
      <c r="O168" s="172">
        <f t="shared" si="451"/>
        <v>128.20989809441687</v>
      </c>
      <c r="P168" s="172">
        <f t="shared" si="452"/>
        <v>7.5417587114362856</v>
      </c>
      <c r="Q168" s="217">
        <f t="shared" si="322"/>
        <v>0.75417587114362861</v>
      </c>
      <c r="R168" s="217">
        <f t="shared" si="453"/>
        <v>10.684158174534739</v>
      </c>
      <c r="S168" s="217">
        <f t="shared" si="454"/>
        <v>170</v>
      </c>
      <c r="T168" s="217">
        <f t="shared" si="455"/>
        <v>30.762055493527836</v>
      </c>
      <c r="U168" s="217">
        <f t="shared" si="326"/>
        <v>1.976296300255058</v>
      </c>
      <c r="V168" s="217">
        <f t="shared" si="327"/>
        <v>1.8004599983835354</v>
      </c>
      <c r="W168" s="197">
        <f t="shared" si="328"/>
        <v>350</v>
      </c>
      <c r="X168" s="443">
        <f t="shared" si="435"/>
        <v>251.46122238929775</v>
      </c>
      <c r="Z168" s="217">
        <f t="shared" si="329"/>
        <v>23.27171259528911</v>
      </c>
      <c r="AA168" s="173">
        <f t="shared" si="330"/>
        <v>1.3620607254450801</v>
      </c>
      <c r="AB168" s="173">
        <f t="shared" si="456"/>
        <v>0.26194450021158183</v>
      </c>
      <c r="AC168" s="173"/>
      <c r="AD168" s="173">
        <f t="shared" si="332"/>
        <v>0.78038131479319484</v>
      </c>
      <c r="AE168" s="545">
        <f t="shared" si="457"/>
        <v>1416.5020916714566</v>
      </c>
      <c r="AF168" s="528">
        <f t="shared" si="458"/>
        <v>8.5986459685546482E-2</v>
      </c>
      <c r="AH168" s="173">
        <f t="shared" si="459"/>
        <v>26.756040706459434</v>
      </c>
      <c r="AI168" s="173">
        <f t="shared" si="460"/>
        <v>30.762055493527836</v>
      </c>
      <c r="AJ168" s="173">
        <f t="shared" si="461"/>
        <v>14.110164563107039</v>
      </c>
      <c r="AL168" s="545">
        <f t="shared" si="462"/>
        <v>348</v>
      </c>
      <c r="AM168" s="460">
        <f t="shared" si="463"/>
        <v>251.46122238929775</v>
      </c>
      <c r="AO168">
        <f t="shared" si="340"/>
        <v>348</v>
      </c>
      <c r="AP168">
        <f t="shared" si="341"/>
        <v>251.46122238929775</v>
      </c>
      <c r="AR168" s="5">
        <f t="shared" si="443"/>
        <v>3.9767562986385934</v>
      </c>
      <c r="AS168" s="5">
        <f t="shared" si="440"/>
        <v>1.976296300255058</v>
      </c>
      <c r="AT168" s="5">
        <f t="shared" si="441"/>
        <v>2.0004599983835352</v>
      </c>
      <c r="AU168" s="173">
        <f t="shared" si="442"/>
        <v>0.49696188346558356</v>
      </c>
      <c r="AW168" s="5">
        <f t="shared" si="342"/>
        <v>0.40455947793456476</v>
      </c>
      <c r="AX168" s="5">
        <f t="shared" si="343"/>
        <v>4.7760493922830571</v>
      </c>
      <c r="AY168" s="5">
        <f t="shared" si="344"/>
        <v>24.330146364206719</v>
      </c>
      <c r="AZ168" s="5"/>
      <c r="BA168" s="173">
        <f t="shared" si="345"/>
        <v>12.520344072584162</v>
      </c>
      <c r="BB168" s="173">
        <f t="shared" si="346"/>
        <v>0.59484195390255501</v>
      </c>
      <c r="BC168" s="173">
        <f t="shared" si="347"/>
        <v>0.470308112696462</v>
      </c>
      <c r="BD168" s="173"/>
      <c r="BE168" s="528">
        <f t="shared" si="348"/>
        <v>6.2703606278357347</v>
      </c>
      <c r="BF168" s="528">
        <f t="shared" si="464"/>
        <v>2.8414346686957987</v>
      </c>
      <c r="BG168" s="528">
        <f t="shared" si="465"/>
        <v>7.8282432412706465E-2</v>
      </c>
      <c r="BH168" s="528">
        <f t="shared" si="351"/>
        <v>1.3404128561330018E-2</v>
      </c>
      <c r="BI168">
        <f t="shared" si="352"/>
        <v>3.5022392569122795E-3</v>
      </c>
      <c r="BJ168" s="460">
        <f t="shared" si="436"/>
        <v>81.784671669618746</v>
      </c>
      <c r="BK168">
        <f t="shared" si="466"/>
        <v>-22.085268492093956</v>
      </c>
      <c r="BL168" s="460">
        <f t="shared" si="437"/>
        <v>9206.9840967624805</v>
      </c>
      <c r="BM168" s="173">
        <f t="shared" si="467"/>
        <v>0.30206399999999994</v>
      </c>
      <c r="BN168" s="173">
        <f t="shared" si="468"/>
        <v>0.25172</v>
      </c>
      <c r="BO168" s="528"/>
      <c r="BQ168" s="460">
        <f t="shared" si="356"/>
        <v>553.78399999999999</v>
      </c>
      <c r="BR168" s="528">
        <f t="shared" si="357"/>
        <v>4.7027704708768008</v>
      </c>
      <c r="BS168" s="528">
        <f t="shared" si="358"/>
        <v>1.0615108503678281E-2</v>
      </c>
      <c r="BT168" s="528">
        <f t="shared" si="359"/>
        <v>1.1059486043405401E-3</v>
      </c>
      <c r="BU168" s="528">
        <f t="shared" si="360"/>
        <v>263.1394353879387</v>
      </c>
      <c r="BV168" s="528"/>
      <c r="BW168" s="625">
        <f t="shared" si="469"/>
        <v>5.9489693805906896</v>
      </c>
      <c r="BX168" s="460">
        <f t="shared" si="362"/>
        <v>273802.89629651426</v>
      </c>
      <c r="BY168" s="173">
        <f t="shared" si="363"/>
        <v>283.56366439327672</v>
      </c>
      <c r="BZ168" s="5">
        <f t="shared" si="364"/>
        <v>62.639999999999993</v>
      </c>
      <c r="CA168" s="173">
        <f t="shared" si="365"/>
        <v>0.18093396010055768</v>
      </c>
      <c r="CB168" s="5">
        <f t="shared" si="366"/>
        <v>18.093396010055766</v>
      </c>
      <c r="CC168">
        <f t="shared" si="367"/>
        <v>57.999999999999993</v>
      </c>
      <c r="CE168" s="562">
        <f t="shared" si="470"/>
        <v>-50</v>
      </c>
      <c r="CF168">
        <f t="shared" si="471"/>
        <v>-50</v>
      </c>
      <c r="CG168" s="173">
        <f t="shared" si="370"/>
        <v>0.49996674565333032</v>
      </c>
      <c r="CH168" s="173">
        <f t="shared" si="472"/>
        <v>0.12441737294010324</v>
      </c>
      <c r="CI168" s="170">
        <v>58</v>
      </c>
      <c r="CJ168" s="217">
        <f t="shared" si="438"/>
        <v>0.34799999999999998</v>
      </c>
      <c r="CK168" s="217">
        <f t="shared" si="372"/>
        <v>0.28999999999999998</v>
      </c>
      <c r="CL168" s="217">
        <f t="shared" si="373"/>
        <v>59.16</v>
      </c>
      <c r="CM168" s="217">
        <f t="shared" si="374"/>
        <v>3.4799999999999995</v>
      </c>
      <c r="CN168" s="541">
        <f t="shared" si="375"/>
        <v>9</v>
      </c>
      <c r="CO168" s="443">
        <f t="shared" si="473"/>
        <v>8.5350000000000001</v>
      </c>
      <c r="CP168" s="443">
        <f t="shared" si="474"/>
        <v>17.535</v>
      </c>
      <c r="CQ168" s="443"/>
      <c r="CR168" s="217">
        <f t="shared" si="378"/>
        <v>0.48644793152639093</v>
      </c>
      <c r="CS168" s="172">
        <f t="shared" si="379"/>
        <v>137.82691393247745</v>
      </c>
      <c r="CT168" s="172">
        <f t="shared" si="380"/>
        <v>8.1074655254398493</v>
      </c>
      <c r="CU168" s="217">
        <f t="shared" si="381"/>
        <v>0.81074655254398498</v>
      </c>
      <c r="CV168" s="217">
        <f t="shared" si="382"/>
        <v>11.485576161039788</v>
      </c>
      <c r="CW168" s="217">
        <f t="shared" si="383"/>
        <v>170</v>
      </c>
      <c r="CX168" s="217">
        <f t="shared" si="384"/>
        <v>28.615601173020522</v>
      </c>
      <c r="CY168" s="217">
        <f t="shared" si="385"/>
        <v>1.5897556207233623</v>
      </c>
      <c r="CZ168" s="217">
        <f t="shared" si="386"/>
        <v>1.6763679656133872</v>
      </c>
      <c r="DA168" s="197">
        <f t="shared" si="387"/>
        <v>350</v>
      </c>
      <c r="DB168" s="443">
        <f t="shared" si="388"/>
        <v>306.17335001753247</v>
      </c>
      <c r="DD168" s="217">
        <f t="shared" si="389"/>
        <v>25.032384211169504</v>
      </c>
      <c r="DE168" s="173">
        <f t="shared" si="390"/>
        <v>1.4664548454112187</v>
      </c>
      <c r="DF168" s="173">
        <f t="shared" si="391"/>
        <v>0.30335794952229944</v>
      </c>
      <c r="DG168" s="173"/>
      <c r="DH168" s="173">
        <f t="shared" si="392"/>
        <v>0.78109744190587771</v>
      </c>
      <c r="DI168" s="545">
        <f t="shared" si="393"/>
        <v>1415.2034117647058</v>
      </c>
      <c r="DJ168" s="528">
        <f t="shared" si="394"/>
        <v>8.6065366284073561E-2</v>
      </c>
      <c r="DL168" s="173">
        <f t="shared" si="395"/>
        <v>26.756040706459434</v>
      </c>
      <c r="DM168" s="173">
        <f t="shared" si="396"/>
        <v>28.615601173020522</v>
      </c>
      <c r="DN168" s="173">
        <f t="shared" si="397"/>
        <v>12.520198399768287</v>
      </c>
      <c r="DP168" s="545">
        <f t="shared" si="398"/>
        <v>348</v>
      </c>
      <c r="DQ168" s="460">
        <f t="shared" si="399"/>
        <v>306.17335001753247</v>
      </c>
      <c r="DS168">
        <f t="shared" si="400"/>
        <v>348</v>
      </c>
      <c r="DT168">
        <f t="shared" si="401"/>
        <v>306.17335001753247</v>
      </c>
      <c r="DV168" s="5">
        <f t="shared" si="402"/>
        <v>3.2661235863367493</v>
      </c>
      <c r="DW168" s="5">
        <f t="shared" si="403"/>
        <v>1.5897556207233623</v>
      </c>
      <c r="DX168" s="5">
        <f t="shared" si="404"/>
        <v>1.676367965613387</v>
      </c>
      <c r="DY168" s="173">
        <f t="shared" si="405"/>
        <v>0.48674080410607362</v>
      </c>
      <c r="EA168" s="5">
        <f t="shared" si="406"/>
        <v>0.3254323270657235</v>
      </c>
      <c r="EB168" s="5">
        <f t="shared" si="407"/>
        <v>3.8419094167481251</v>
      </c>
      <c r="EC168" s="5">
        <f t="shared" si="408"/>
        <v>17.630920683677864</v>
      </c>
      <c r="ED168" s="5"/>
      <c r="EE168" s="173">
        <f t="shared" si="409"/>
        <v>11.52633199548926</v>
      </c>
      <c r="EF168" s="173">
        <f t="shared" si="410"/>
        <v>0.5589295065115063</v>
      </c>
      <c r="EG168" s="173">
        <f t="shared" si="411"/>
        <v>0.44191415822841185</v>
      </c>
      <c r="EH168" s="173"/>
      <c r="EI168" s="528">
        <f t="shared" si="412"/>
        <v>5.314253170809577</v>
      </c>
      <c r="EJ168" s="528">
        <f t="shared" si="413"/>
        <v>4.2248250000000001</v>
      </c>
      <c r="EK168" s="528">
        <f t="shared" si="414"/>
        <v>6.1234670003506499E-2</v>
      </c>
      <c r="EL168" s="528">
        <f t="shared" si="415"/>
        <v>1.8828205171798913E-2</v>
      </c>
      <c r="EM168">
        <f t="shared" si="416"/>
        <v>4.0499999999999998E-3</v>
      </c>
      <c r="EN168" s="460">
        <f t="shared" si="417"/>
        <v>65.284670003506506</v>
      </c>
      <c r="EP168" s="460">
        <f t="shared" si="439"/>
        <v>9623.1910459848823</v>
      </c>
      <c r="EQ168" s="173">
        <f t="shared" si="418"/>
        <v>0.24359999999999996</v>
      </c>
      <c r="ER168" s="173">
        <f t="shared" si="475"/>
        <v>0.25172</v>
      </c>
      <c r="ES168" s="528"/>
      <c r="EU168" s="460">
        <f t="shared" si="420"/>
        <v>495.32</v>
      </c>
      <c r="EV168" s="528">
        <f t="shared" si="421"/>
        <v>3.9856898781071828</v>
      </c>
      <c r="EW168" s="528">
        <f t="shared" si="422"/>
        <v>9.3720657974758793E-3</v>
      </c>
      <c r="EX168" s="528">
        <f t="shared" si="423"/>
        <v>9.7644061621362914E-4</v>
      </c>
      <c r="EY168" s="528">
        <f t="shared" si="424"/>
        <v>359.24907218562652</v>
      </c>
      <c r="EZ168" s="528"/>
      <c r="FA168" s="625">
        <f t="shared" si="425"/>
        <v>6.2677713262206209</v>
      </c>
      <c r="FB168" s="460">
        <f t="shared" si="426"/>
        <v>369512.881896368</v>
      </c>
      <c r="FC168" s="173">
        <f t="shared" si="427"/>
        <v>379.63139294235287</v>
      </c>
      <c r="FD168" s="5">
        <f t="shared" si="428"/>
        <v>62.639999999999993</v>
      </c>
      <c r="FE168" s="173">
        <f t="shared" si="429"/>
        <v>0.14163249307911874</v>
      </c>
      <c r="FF168" s="5">
        <f t="shared" si="430"/>
        <v>14.163249307911874</v>
      </c>
      <c r="FG168">
        <f t="shared" si="431"/>
        <v>57.999999999999993</v>
      </c>
      <c r="FI168" s="562">
        <f t="shared" si="432"/>
        <v>-50</v>
      </c>
      <c r="FJ168">
        <f t="shared" si="433"/>
        <v>-50</v>
      </c>
    </row>
    <row r="169" spans="5:166">
      <c r="E169" s="170">
        <v>59</v>
      </c>
      <c r="F169" s="217">
        <f t="shared" si="476"/>
        <v>0.35399999999999998</v>
      </c>
      <c r="G169" s="217">
        <f t="shared" si="444"/>
        <v>0.29499999999999998</v>
      </c>
      <c r="H169" s="217">
        <f t="shared" si="445"/>
        <v>60.18</v>
      </c>
      <c r="I169" s="217">
        <f t="shared" si="446"/>
        <v>3.54</v>
      </c>
      <c r="J169" s="541">
        <f t="shared" si="447"/>
        <v>7.7617669025986391</v>
      </c>
      <c r="K169" s="443">
        <f t="shared" si="448"/>
        <v>8.5429672931650522</v>
      </c>
      <c r="L169" s="172">
        <f t="shared" si="449"/>
        <v>16.304734195763693</v>
      </c>
      <c r="M169" s="443"/>
      <c r="N169" s="217">
        <f t="shared" si="450"/>
        <v>0.52395624427810006</v>
      </c>
      <c r="O169" s="172">
        <f t="shared" si="451"/>
        <v>128.02971481335177</v>
      </c>
      <c r="P169" s="172">
        <f t="shared" si="452"/>
        <v>7.531159694903045</v>
      </c>
      <c r="Q169" s="217">
        <f t="shared" si="322"/>
        <v>0.75311596949030457</v>
      </c>
      <c r="R169" s="217">
        <f t="shared" si="453"/>
        <v>10.669142901112648</v>
      </c>
      <c r="S169" s="217">
        <f t="shared" si="454"/>
        <v>170</v>
      </c>
      <c r="T169" s="217">
        <f t="shared" si="455"/>
        <v>31.336475331909455</v>
      </c>
      <c r="U169" s="217">
        <f t="shared" si="326"/>
        <v>2.0186431598079815</v>
      </c>
      <c r="V169" s="217">
        <f t="shared" si="327"/>
        <v>1.8340509951958226</v>
      </c>
      <c r="W169" s="197">
        <f t="shared" si="328"/>
        <v>350</v>
      </c>
      <c r="X169" s="443">
        <f t="shared" si="435"/>
        <v>246.74943673341699</v>
      </c>
      <c r="Z169" s="217">
        <f t="shared" si="329"/>
        <v>23.23900705855797</v>
      </c>
      <c r="AA169" s="173">
        <f t="shared" si="330"/>
        <v>1.3601250163482854</v>
      </c>
      <c r="AB169" s="173">
        <f t="shared" si="456"/>
        <v>0.26120462693036456</v>
      </c>
      <c r="AC169" s="173"/>
      <c r="AD169" s="173">
        <f t="shared" si="332"/>
        <v>0.78036897928901683</v>
      </c>
      <c r="AE169" s="545">
        <f t="shared" si="457"/>
        <v>1440.9473186130274</v>
      </c>
      <c r="AF169" s="528">
        <f t="shared" si="458"/>
        <v>8.5985100495734268E-2</v>
      </c>
      <c r="AH169" s="173">
        <f t="shared" si="459"/>
        <v>26.985710504423846</v>
      </c>
      <c r="AI169" s="173">
        <f t="shared" si="460"/>
        <v>31.336475331909455</v>
      </c>
      <c r="AJ169" s="173">
        <f t="shared" si="461"/>
        <v>14.535660739686014</v>
      </c>
      <c r="AL169" s="545">
        <f t="shared" si="462"/>
        <v>354</v>
      </c>
      <c r="AM169" s="460">
        <f t="shared" si="463"/>
        <v>246.74943673341699</v>
      </c>
      <c r="AO169">
        <f t="shared" si="340"/>
        <v>354</v>
      </c>
      <c r="AP169">
        <f t="shared" si="341"/>
        <v>246.74943673341699</v>
      </c>
      <c r="AR169" s="5">
        <f t="shared" si="443"/>
        <v>4.0526941550038043</v>
      </c>
      <c r="AS169" s="5">
        <f t="shared" si="440"/>
        <v>2.0186431598079815</v>
      </c>
      <c r="AT169" s="5">
        <f t="shared" si="441"/>
        <v>2.0340509951958228</v>
      </c>
      <c r="AU169" s="173">
        <f t="shared" si="442"/>
        <v>0.49809906264838449</v>
      </c>
      <c r="AW169" s="5">
        <f t="shared" si="342"/>
        <v>0.42035275210119144</v>
      </c>
      <c r="AX169" s="5">
        <f t="shared" si="343"/>
        <v>4.9624977678612874</v>
      </c>
      <c r="AY169" s="5">
        <f t="shared" si="344"/>
        <v>25.233262565491788</v>
      </c>
      <c r="AZ169" s="5"/>
      <c r="BA169" s="173">
        <f t="shared" si="345"/>
        <v>12.768720514787878</v>
      </c>
      <c r="BB169" s="173">
        <f t="shared" si="346"/>
        <v>0.60526413832243053</v>
      </c>
      <c r="BC169" s="173">
        <f t="shared" si="347"/>
        <v>0.47854834836331128</v>
      </c>
      <c r="BD169" s="173"/>
      <c r="BE169" s="528">
        <f t="shared" si="348"/>
        <v>6.5216089433905928</v>
      </c>
      <c r="BF169" s="528">
        <f t="shared" si="464"/>
        <v>2.8366291239819015</v>
      </c>
      <c r="BG169" s="528">
        <f t="shared" si="465"/>
        <v>7.6608464450891714E-2</v>
      </c>
      <c r="BH169" s="528">
        <f t="shared" si="351"/>
        <v>1.3119389079300329E-2</v>
      </c>
      <c r="BI169">
        <f t="shared" si="352"/>
        <v>3.4927951061693874E-3</v>
      </c>
      <c r="BJ169" s="460">
        <f t="shared" si="436"/>
        <v>80.101259557061098</v>
      </c>
      <c r="BK169">
        <f t="shared" si="466"/>
        <v>-20.257501990413829</v>
      </c>
      <c r="BL169" s="460">
        <f t="shared" si="437"/>
        <v>9451.458716008854</v>
      </c>
      <c r="BM169" s="173">
        <f t="shared" si="467"/>
        <v>0.30727199999999993</v>
      </c>
      <c r="BN169" s="173">
        <f t="shared" si="468"/>
        <v>0.25606000000000001</v>
      </c>
      <c r="BO169" s="528"/>
      <c r="BQ169" s="460">
        <f t="shared" si="356"/>
        <v>563.33199999999999</v>
      </c>
      <c r="BR169" s="528">
        <f t="shared" si="357"/>
        <v>4.8912067075429446</v>
      </c>
      <c r="BS169" s="528">
        <f t="shared" si="358"/>
        <v>1.0990340314175829E-2</v>
      </c>
      <c r="BT169" s="528">
        <f t="shared" si="359"/>
        <v>1.1450426086062656E-3</v>
      </c>
      <c r="BU169" s="528">
        <f t="shared" si="360"/>
        <v>262.86683422869373</v>
      </c>
      <c r="BV169" s="528"/>
      <c r="BW169" s="625">
        <f t="shared" si="469"/>
        <v>6.057542517826934</v>
      </c>
      <c r="BX169" s="460">
        <f t="shared" si="362"/>
        <v>273827.71883698646</v>
      </c>
      <c r="BY169" s="173">
        <f t="shared" si="363"/>
        <v>283.8425095529953</v>
      </c>
      <c r="BZ169" s="5">
        <f t="shared" si="364"/>
        <v>63.72</v>
      </c>
      <c r="CA169" s="173">
        <f t="shared" si="365"/>
        <v>0.18333392770684942</v>
      </c>
      <c r="CB169" s="5">
        <f t="shared" si="366"/>
        <v>18.333392770684942</v>
      </c>
      <c r="CC169">
        <f t="shared" si="367"/>
        <v>59</v>
      </c>
      <c r="CE169" s="562">
        <f t="shared" si="470"/>
        <v>-50</v>
      </c>
      <c r="CF169">
        <f t="shared" si="471"/>
        <v>-50</v>
      </c>
      <c r="CG169" s="173">
        <f t="shared" si="370"/>
        <v>0.49996674565333032</v>
      </c>
      <c r="CH169" s="173">
        <f t="shared" si="472"/>
        <v>0.12441737294010324</v>
      </c>
      <c r="CI169" s="170">
        <v>59</v>
      </c>
      <c r="CJ169" s="217">
        <f t="shared" si="438"/>
        <v>0.35399999999999998</v>
      </c>
      <c r="CK169" s="217">
        <f t="shared" si="372"/>
        <v>0.29499999999999998</v>
      </c>
      <c r="CL169" s="217">
        <f t="shared" si="373"/>
        <v>60.18</v>
      </c>
      <c r="CM169" s="217">
        <f t="shared" si="374"/>
        <v>3.54</v>
      </c>
      <c r="CN169" s="541">
        <f t="shared" si="375"/>
        <v>9</v>
      </c>
      <c r="CO169" s="443">
        <f t="shared" si="473"/>
        <v>8.5350000000000001</v>
      </c>
      <c r="CP169" s="443">
        <f t="shared" si="474"/>
        <v>17.535</v>
      </c>
      <c r="CQ169" s="443"/>
      <c r="CR169" s="217">
        <f t="shared" si="378"/>
        <v>0.48644793152639093</v>
      </c>
      <c r="CS169" s="172">
        <f t="shared" si="379"/>
        <v>137.82691393247745</v>
      </c>
      <c r="CT169" s="172">
        <f t="shared" si="380"/>
        <v>8.1074655254398493</v>
      </c>
      <c r="CU169" s="217">
        <f t="shared" si="381"/>
        <v>0.81074655254398498</v>
      </c>
      <c r="CV169" s="217">
        <f t="shared" si="382"/>
        <v>11.485576161039788</v>
      </c>
      <c r="CW169" s="217">
        <f t="shared" si="383"/>
        <v>170</v>
      </c>
      <c r="CX169" s="217">
        <f t="shared" si="384"/>
        <v>29.10897360703812</v>
      </c>
      <c r="CY169" s="217">
        <f t="shared" si="385"/>
        <v>1.6171652003910066</v>
      </c>
      <c r="CZ169" s="217">
        <f t="shared" si="386"/>
        <v>1.7052708615722389</v>
      </c>
      <c r="DA169" s="197">
        <f t="shared" si="387"/>
        <v>350</v>
      </c>
      <c r="DB169" s="443">
        <f t="shared" si="388"/>
        <v>300.98397120367594</v>
      </c>
      <c r="DD169" s="217">
        <f t="shared" si="389"/>
        <v>25.032384211169504</v>
      </c>
      <c r="DE169" s="173">
        <f t="shared" si="390"/>
        <v>1.4664548454112187</v>
      </c>
      <c r="DF169" s="173">
        <f t="shared" si="391"/>
        <v>0.30335794952229944</v>
      </c>
      <c r="DG169" s="173"/>
      <c r="DH169" s="173">
        <f t="shared" si="392"/>
        <v>0.78109744190587771</v>
      </c>
      <c r="DI169" s="545">
        <f t="shared" si="393"/>
        <v>1439.6034705882353</v>
      </c>
      <c r="DJ169" s="528">
        <f t="shared" si="394"/>
        <v>8.6065366284073561E-2</v>
      </c>
      <c r="DL169" s="173">
        <f t="shared" si="395"/>
        <v>26.985710504423846</v>
      </c>
      <c r="DM169" s="173">
        <f t="shared" si="396"/>
        <v>29.10897360703812</v>
      </c>
      <c r="DN169" s="173">
        <f t="shared" si="397"/>
        <v>12.885659462003543</v>
      </c>
      <c r="DP169" s="545">
        <f t="shared" si="398"/>
        <v>354</v>
      </c>
      <c r="DQ169" s="460">
        <f t="shared" si="399"/>
        <v>300.98397120367594</v>
      </c>
      <c r="DS169">
        <f t="shared" si="400"/>
        <v>354</v>
      </c>
      <c r="DT169">
        <f t="shared" si="401"/>
        <v>300.98397120367594</v>
      </c>
      <c r="DV169" s="5">
        <f t="shared" si="402"/>
        <v>3.3224360619632454</v>
      </c>
      <c r="DW169" s="5">
        <f t="shared" si="403"/>
        <v>1.6171652003910066</v>
      </c>
      <c r="DX169" s="5">
        <f t="shared" si="404"/>
        <v>1.7052708615722387</v>
      </c>
      <c r="DY169" s="173">
        <f t="shared" si="405"/>
        <v>0.48674080410607362</v>
      </c>
      <c r="EA169" s="5">
        <f t="shared" si="406"/>
        <v>0.33675087114024488</v>
      </c>
      <c r="EB169" s="5">
        <f t="shared" si="407"/>
        <v>3.9755311176278911</v>
      </c>
      <c r="EC169" s="5">
        <f t="shared" si="408"/>
        <v>18.244124524340858</v>
      </c>
      <c r="ED169" s="5"/>
      <c r="EE169" s="173">
        <f t="shared" si="409"/>
        <v>11.725061857480455</v>
      </c>
      <c r="EF169" s="173">
        <f t="shared" si="410"/>
        <v>0.56856622214101504</v>
      </c>
      <c r="EG169" s="173">
        <f t="shared" si="411"/>
        <v>0.44953336785303971</v>
      </c>
      <c r="EH169" s="173"/>
      <c r="EI169" s="528">
        <f t="shared" si="412"/>
        <v>5.4990830224697209</v>
      </c>
      <c r="EJ169" s="528">
        <f t="shared" si="413"/>
        <v>4.2248250000000001</v>
      </c>
      <c r="EK169" s="528">
        <f t="shared" si="414"/>
        <v>6.019679424073518E-2</v>
      </c>
      <c r="EL169" s="528">
        <f t="shared" si="415"/>
        <v>1.8509083050242996E-2</v>
      </c>
      <c r="EM169">
        <f t="shared" si="416"/>
        <v>4.0499999999999998E-3</v>
      </c>
      <c r="EN169" s="460">
        <f t="shared" si="417"/>
        <v>64.246794240735184</v>
      </c>
      <c r="EP169" s="460">
        <f t="shared" si="439"/>
        <v>9806.6638997606988</v>
      </c>
      <c r="EQ169" s="173">
        <f t="shared" si="418"/>
        <v>0.24779999999999996</v>
      </c>
      <c r="ER169" s="173">
        <f t="shared" si="475"/>
        <v>0.25606000000000001</v>
      </c>
      <c r="ES169" s="528"/>
      <c r="EU169" s="460">
        <f t="shared" si="420"/>
        <v>503.85999999999996</v>
      </c>
      <c r="EV169" s="528">
        <f t="shared" si="421"/>
        <v>4.1243122668522902</v>
      </c>
      <c r="EW169" s="528">
        <f t="shared" si="422"/>
        <v>9.6980264687911814E-3</v>
      </c>
      <c r="EX169" s="528">
        <f t="shared" si="423"/>
        <v>1.0104012440664816E-3</v>
      </c>
      <c r="EY169" s="528">
        <f t="shared" si="424"/>
        <v>359.24907218562657</v>
      </c>
      <c r="EZ169" s="528"/>
      <c r="FA169" s="625">
        <f t="shared" si="425"/>
        <v>6.3758363490864935</v>
      </c>
      <c r="FB169" s="460">
        <f t="shared" si="426"/>
        <v>369759.92922927823</v>
      </c>
      <c r="FC169" s="173">
        <f t="shared" si="427"/>
        <v>380.07045312903892</v>
      </c>
      <c r="FD169" s="5">
        <f t="shared" si="428"/>
        <v>63.72</v>
      </c>
      <c r="FE169" s="173">
        <f t="shared" si="429"/>
        <v>0.14358127704354293</v>
      </c>
      <c r="FF169" s="5">
        <f t="shared" si="430"/>
        <v>14.358127704354292</v>
      </c>
      <c r="FG169">
        <f t="shared" si="431"/>
        <v>59</v>
      </c>
      <c r="FI169" s="562">
        <f t="shared" si="432"/>
        <v>-50</v>
      </c>
      <c r="FJ169">
        <f t="shared" si="433"/>
        <v>-50</v>
      </c>
    </row>
    <row r="170" spans="5:166">
      <c r="E170" s="170">
        <v>60</v>
      </c>
      <c r="F170" s="217">
        <f t="shared" si="476"/>
        <v>0.36</v>
      </c>
      <c r="G170" s="217">
        <f t="shared" si="444"/>
        <v>0.3</v>
      </c>
      <c r="H170" s="217">
        <f t="shared" si="445"/>
        <v>61.199999999999996</v>
      </c>
      <c r="I170" s="217">
        <f t="shared" si="446"/>
        <v>3.5999999999999996</v>
      </c>
      <c r="J170" s="541">
        <f t="shared" si="447"/>
        <v>7.7407799009477687</v>
      </c>
      <c r="K170" s="443">
        <f t="shared" si="448"/>
        <v>8.5431023320322552</v>
      </c>
      <c r="L170" s="172">
        <f t="shared" si="449"/>
        <v>16.283882232980023</v>
      </c>
      <c r="M170" s="443"/>
      <c r="N170" s="217">
        <f t="shared" si="450"/>
        <v>0.52463547757240381</v>
      </c>
      <c r="O170" s="172">
        <f t="shared" si="451"/>
        <v>127.84905911478175</v>
      </c>
      <c r="P170" s="172">
        <f t="shared" si="452"/>
        <v>7.5205328891048087</v>
      </c>
      <c r="Q170" s="217">
        <f t="shared" si="322"/>
        <v>0.75205328891048084</v>
      </c>
      <c r="R170" s="217">
        <f t="shared" si="453"/>
        <v>10.654088259565146</v>
      </c>
      <c r="S170" s="217">
        <f t="shared" si="454"/>
        <v>170</v>
      </c>
      <c r="T170" s="217">
        <f t="shared" si="455"/>
        <v>31.912632194946479</v>
      </c>
      <c r="U170" s="217">
        <f t="shared" si="326"/>
        <v>2.0613318427410103</v>
      </c>
      <c r="V170" s="217">
        <f t="shared" si="327"/>
        <v>1.8677425924825029</v>
      </c>
      <c r="W170" s="197">
        <f t="shared" si="328"/>
        <v>350</v>
      </c>
      <c r="X170" s="443">
        <f t="shared" si="435"/>
        <v>242.18502613307052</v>
      </c>
      <c r="Z170" s="217">
        <f t="shared" si="329"/>
        <v>23.20621577209484</v>
      </c>
      <c r="AA170" s="173">
        <f t="shared" si="330"/>
        <v>1.3581843497931323</v>
      </c>
      <c r="AB170" s="173">
        <f t="shared" si="456"/>
        <v>0.26046388683821037</v>
      </c>
      <c r="AC170" s="173"/>
      <c r="AD170" s="173">
        <f t="shared" si="332"/>
        <v>0.78035664417480799</v>
      </c>
      <c r="AE170" s="545">
        <f t="shared" si="457"/>
        <v>1465.3933176591797</v>
      </c>
      <c r="AF170" s="528">
        <f t="shared" si="458"/>
        <v>8.5983741348890863E-2</v>
      </c>
      <c r="AH170" s="173">
        <f t="shared" si="459"/>
        <v>27.213442056664359</v>
      </c>
      <c r="AI170" s="173">
        <f t="shared" si="460"/>
        <v>31.912632194946479</v>
      </c>
      <c r="AJ170" s="173">
        <f t="shared" si="461"/>
        <v>14.962443601194924</v>
      </c>
      <c r="AL170" s="545">
        <f t="shared" si="462"/>
        <v>360</v>
      </c>
      <c r="AM170" s="460">
        <f t="shared" si="463"/>
        <v>242.18502613307052</v>
      </c>
      <c r="AO170">
        <f t="shared" si="340"/>
        <v>360</v>
      </c>
      <c r="AP170">
        <f t="shared" si="341"/>
        <v>242.18502613307052</v>
      </c>
      <c r="AR170" s="5">
        <f t="shared" si="443"/>
        <v>4.1290744352235134</v>
      </c>
      <c r="AS170" s="5">
        <f t="shared" si="440"/>
        <v>2.0613318427410103</v>
      </c>
      <c r="AT170" s="5">
        <f t="shared" si="441"/>
        <v>2.067742592482503</v>
      </c>
      <c r="AU170" s="173">
        <f t="shared" si="442"/>
        <v>0.49922370620316203</v>
      </c>
      <c r="AW170" s="5">
        <f t="shared" ref="AW170:AW210" si="477">F170*AS170/Vout_ripple*1000</f>
        <v>0.43651733140397864</v>
      </c>
      <c r="AX170" s="5">
        <f t="shared" ref="AX170:AX210" si="478">G170*AS170/Vout_ripple2*1000</f>
        <v>5.1533296068525258</v>
      </c>
      <c r="AY170" s="5">
        <f t="shared" ref="AY170:AY210" si="479">H170/Efficiency/J170*AT170/Vinripple1</f>
        <v>26.15671253371978</v>
      </c>
      <c r="AZ170" s="5"/>
      <c r="BA170" s="173">
        <f t="shared" ref="BA170:BA209" si="480">AI170*SQRT(AU170/3)</f>
        <v>13.018159838073608</v>
      </c>
      <c r="BB170" s="173">
        <f t="shared" ref="BB170:BB210" si="481">AI170*Npri_sec1*SQRT((1-AU170)/3)*(Pout/Pout_total)</f>
        <v>0.6157016265724744</v>
      </c>
      <c r="BC170" s="173">
        <f t="shared" ref="BC170:BC210" si="482">AI170*Npri_sec2*SQRT((1-AU170)/3)*(Pout2/Pout_total)</f>
        <v>0.48680068390885317</v>
      </c>
      <c r="BD170" s="173"/>
      <c r="BE170" s="528">
        <f t="shared" ref="BE170:BE210" si="483">Rdson*BA170^2</f>
        <v>6.7788994227853063</v>
      </c>
      <c r="BF170" s="528">
        <f t="shared" si="464"/>
        <v>2.8317205060321626</v>
      </c>
      <c r="BG170" s="528">
        <f t="shared" si="465"/>
        <v>7.4988039304055301E-2</v>
      </c>
      <c r="BH170" s="528">
        <f t="shared" ref="BH170:BH210" si="484">0.5*(Coss+Csw)*L170^2*AM170*1000</f>
        <v>1.2843789800229585E-2</v>
      </c>
      <c r="BI170">
        <f t="shared" ref="BI170:BI210" si="485">J170*IQ</f>
        <v>3.4833509554264958E-3</v>
      </c>
      <c r="BJ170" s="460">
        <f t="shared" si="436"/>
        <v>78.471390259481794</v>
      </c>
      <c r="BK170">
        <f t="shared" si="466"/>
        <v>-18.756172983524689</v>
      </c>
      <c r="BL170" s="460">
        <f t="shared" si="437"/>
        <v>9701.9351088771782</v>
      </c>
      <c r="BM170" s="173">
        <f t="shared" si="467"/>
        <v>0.31247999999999998</v>
      </c>
      <c r="BN170" s="173">
        <f t="shared" si="468"/>
        <v>0.26039999999999996</v>
      </c>
      <c r="BO170" s="528"/>
      <c r="BQ170" s="460">
        <f t="shared" ref="BQ170:BQ210" si="486">SUM(BM170:BP170)*1000</f>
        <v>572.88</v>
      </c>
      <c r="BR170" s="528">
        <f t="shared" ref="BR170:BR210" si="487">Rdcr_pri*BA170^2</f>
        <v>5.0841745670889793</v>
      </c>
      <c r="BS170" s="528">
        <f t="shared" ref="BS170:BS210" si="488">Rdcr_sec*BB170^2</f>
        <v>1.1372654788919721E-2</v>
      </c>
      <c r="BT170" s="528">
        <f t="shared" ref="BT170:BT210" si="489">Rdcr_sec2*BC170^2</f>
        <v>1.1848745292706358E-3</v>
      </c>
      <c r="BU170" s="528">
        <f t="shared" ref="BU170:BU210" si="490">AI170^2.5*AM170^2.5*k_core</f>
        <v>262.56981090386228</v>
      </c>
      <c r="BV170" s="528"/>
      <c r="BW170" s="625">
        <f t="shared" si="469"/>
        <v>6.1661282061315399</v>
      </c>
      <c r="BX170" s="460">
        <f t="shared" ref="BX170:BX192" si="491">SUM(BR170:BW170)*1000</f>
        <v>273832.67120640096</v>
      </c>
      <c r="BY170" s="173">
        <f t="shared" ref="BY170:BY192" si="492">SUM(BE170:BI170,BM170:BP170,BR170:BW170)</f>
        <v>284.10748631527815</v>
      </c>
      <c r="BZ170" s="5">
        <f t="shared" ref="BZ170:BZ192" si="493">MIN(H170+I170,O170+P170)</f>
        <v>64.8</v>
      </c>
      <c r="CA170" s="173">
        <f t="shared" ref="CA170:CA192" si="494">BZ170/(BZ170+BY170)</f>
        <v>0.18572258418509749</v>
      </c>
      <c r="CB170" s="5">
        <f t="shared" ref="CB170:CB192" si="495">CA170*100</f>
        <v>18.572258418509747</v>
      </c>
      <c r="CC170">
        <f t="shared" ref="CC170:CC192" si="496">F170/Iout*100</f>
        <v>60</v>
      </c>
      <c r="CE170" s="562">
        <f t="shared" si="470"/>
        <v>-50</v>
      </c>
      <c r="CF170">
        <f t="shared" si="471"/>
        <v>-50</v>
      </c>
      <c r="CG170" s="173">
        <f t="shared" si="370"/>
        <v>0.49996674565333032</v>
      </c>
      <c r="CH170" s="173">
        <f t="shared" si="472"/>
        <v>0.12441737294010324</v>
      </c>
      <c r="CI170" s="170">
        <v>60</v>
      </c>
      <c r="CJ170" s="217">
        <f t="shared" si="438"/>
        <v>0.36</v>
      </c>
      <c r="CK170" s="217">
        <f t="shared" si="372"/>
        <v>0.3</v>
      </c>
      <c r="CL170" s="217">
        <f t="shared" si="373"/>
        <v>61.199999999999996</v>
      </c>
      <c r="CM170" s="217">
        <f t="shared" si="374"/>
        <v>3.5999999999999996</v>
      </c>
      <c r="CN170" s="541">
        <f t="shared" si="375"/>
        <v>9</v>
      </c>
      <c r="CO170" s="443">
        <f t="shared" si="473"/>
        <v>8.5350000000000001</v>
      </c>
      <c r="CP170" s="443">
        <f t="shared" si="474"/>
        <v>17.535</v>
      </c>
      <c r="CQ170" s="443"/>
      <c r="CR170" s="217">
        <f t="shared" si="378"/>
        <v>0.48644793152639093</v>
      </c>
      <c r="CS170" s="172">
        <f t="shared" si="379"/>
        <v>137.82691393247745</v>
      </c>
      <c r="CT170" s="172">
        <f t="shared" si="380"/>
        <v>8.1074655254398493</v>
      </c>
      <c r="CU170" s="217">
        <f t="shared" si="381"/>
        <v>0.81074655254398498</v>
      </c>
      <c r="CV170" s="217">
        <f t="shared" si="382"/>
        <v>11.485576161039788</v>
      </c>
      <c r="CW170" s="217">
        <f t="shared" si="383"/>
        <v>170</v>
      </c>
      <c r="CX170" s="217">
        <f t="shared" si="384"/>
        <v>29.602346041055714</v>
      </c>
      <c r="CY170" s="217">
        <f t="shared" si="385"/>
        <v>1.6445747800586508</v>
      </c>
      <c r="CZ170" s="217">
        <f t="shared" si="386"/>
        <v>1.7341737575310903</v>
      </c>
      <c r="DA170" s="197">
        <f t="shared" si="387"/>
        <v>350</v>
      </c>
      <c r="DB170" s="443">
        <f t="shared" si="388"/>
        <v>295.96757168361472</v>
      </c>
      <c r="DD170" s="217">
        <f t="shared" si="389"/>
        <v>25.032384211169504</v>
      </c>
      <c r="DE170" s="173">
        <f t="shared" si="390"/>
        <v>1.4664548454112187</v>
      </c>
      <c r="DF170" s="173">
        <f t="shared" si="391"/>
        <v>0.30335794952229944</v>
      </c>
      <c r="DG170" s="173"/>
      <c r="DH170" s="173">
        <f t="shared" si="392"/>
        <v>0.78109744190587771</v>
      </c>
      <c r="DI170" s="545">
        <f t="shared" si="393"/>
        <v>1464.0035294117649</v>
      </c>
      <c r="DJ170" s="528">
        <f t="shared" si="394"/>
        <v>8.6065366284073561E-2</v>
      </c>
      <c r="DL170" s="173">
        <f t="shared" si="395"/>
        <v>27.213442056664359</v>
      </c>
      <c r="DM170" s="173">
        <f t="shared" si="396"/>
        <v>29.602346041055714</v>
      </c>
      <c r="DN170" s="173">
        <f t="shared" si="397"/>
        <v>13.2511205242388</v>
      </c>
      <c r="DP170" s="545">
        <f t="shared" si="398"/>
        <v>360</v>
      </c>
      <c r="DQ170" s="460">
        <f t="shared" si="399"/>
        <v>295.96757168361472</v>
      </c>
      <c r="DS170">
        <f t="shared" si="400"/>
        <v>360</v>
      </c>
      <c r="DT170">
        <f t="shared" si="401"/>
        <v>295.96757168361472</v>
      </c>
      <c r="DV170" s="5">
        <f t="shared" si="402"/>
        <v>3.378748537589741</v>
      </c>
      <c r="DW170" s="5">
        <f t="shared" si="403"/>
        <v>1.6445747800586508</v>
      </c>
      <c r="DX170" s="5">
        <f t="shared" si="404"/>
        <v>1.7341737575310903</v>
      </c>
      <c r="DY170" s="173">
        <f t="shared" si="405"/>
        <v>0.48674080410607357</v>
      </c>
      <c r="EA170" s="5">
        <f t="shared" si="406"/>
        <v>0.34826289460065546</v>
      </c>
      <c r="EB170" s="5">
        <f t="shared" si="407"/>
        <v>4.1114369501466266</v>
      </c>
      <c r="EC170" s="5">
        <f t="shared" si="408"/>
        <v>18.86781048193826</v>
      </c>
      <c r="ED170" s="5"/>
      <c r="EE170" s="173">
        <f t="shared" si="409"/>
        <v>11.923791719471648</v>
      </c>
      <c r="EF170" s="173">
        <f t="shared" si="410"/>
        <v>0.57820293777052389</v>
      </c>
      <c r="EG170" s="173">
        <f t="shared" si="411"/>
        <v>0.45715257747766752</v>
      </c>
      <c r="EH170" s="173"/>
      <c r="EI170" s="528">
        <f t="shared" si="412"/>
        <v>5.6870723587736256</v>
      </c>
      <c r="EJ170" s="528">
        <f t="shared" si="413"/>
        <v>4.2248250000000009</v>
      </c>
      <c r="EK170" s="528">
        <f t="shared" si="414"/>
        <v>5.9193514336722937E-2</v>
      </c>
      <c r="EL170" s="528">
        <f t="shared" si="415"/>
        <v>1.8200598332738946E-2</v>
      </c>
      <c r="EM170">
        <f t="shared" si="416"/>
        <v>4.0499999999999998E-3</v>
      </c>
      <c r="EN170" s="460">
        <f t="shared" si="417"/>
        <v>63.243514336722939</v>
      </c>
      <c r="EP170" s="460">
        <f t="shared" si="439"/>
        <v>9993.3414714430855</v>
      </c>
      <c r="EQ170" s="173">
        <f t="shared" si="418"/>
        <v>0.252</v>
      </c>
      <c r="ER170" s="173">
        <f t="shared" si="475"/>
        <v>0.26039999999999996</v>
      </c>
      <c r="ES170" s="528"/>
      <c r="EU170" s="460">
        <f t="shared" ref="EU170:EU210" si="497">SUM(EQ170:ET170)*1000</f>
        <v>512.4</v>
      </c>
      <c r="EV170" s="528">
        <f t="shared" si="421"/>
        <v>4.265304269080219</v>
      </c>
      <c r="EW170" s="528">
        <f t="shared" si="422"/>
        <v>1.002955911739393E-2</v>
      </c>
      <c r="EX170" s="528">
        <f t="shared" si="423"/>
        <v>1.0449423954723739E-3</v>
      </c>
      <c r="EY170" s="528">
        <f t="shared" si="424"/>
        <v>359.24907218562657</v>
      </c>
      <c r="EZ170" s="528"/>
      <c r="FA170" s="625">
        <f t="shared" si="425"/>
        <v>6.4839013719523679</v>
      </c>
      <c r="FB170" s="460">
        <f t="shared" ref="FB170:FB192" si="498">SUM(EV170:FA170)*1000</f>
        <v>370009.35232817207</v>
      </c>
      <c r="FC170" s="173">
        <f t="shared" si="427"/>
        <v>380.5150937996151</v>
      </c>
      <c r="FD170" s="5">
        <f t="shared" si="428"/>
        <v>64.8</v>
      </c>
      <c r="FE170" s="173">
        <f t="shared" si="429"/>
        <v>0.14551494189675726</v>
      </c>
      <c r="FF170" s="5">
        <f t="shared" si="430"/>
        <v>14.551494189675726</v>
      </c>
      <c r="FG170">
        <f t="shared" si="431"/>
        <v>60</v>
      </c>
      <c r="FI170" s="562">
        <f t="shared" si="432"/>
        <v>-50</v>
      </c>
      <c r="FJ170">
        <f t="shared" si="433"/>
        <v>-50</v>
      </c>
    </row>
    <row r="171" spans="5:166">
      <c r="E171" s="170">
        <v>61</v>
      </c>
      <c r="F171" s="217">
        <f t="shared" si="476"/>
        <v>0.36599999999999999</v>
      </c>
      <c r="G171" s="217">
        <f t="shared" si="444"/>
        <v>0.30499999999999999</v>
      </c>
      <c r="H171" s="217">
        <f t="shared" si="445"/>
        <v>62.22</v>
      </c>
      <c r="I171" s="217">
        <f t="shared" si="446"/>
        <v>3.66</v>
      </c>
      <c r="J171" s="541">
        <f t="shared" si="447"/>
        <v>7.7197928992968983</v>
      </c>
      <c r="K171" s="443">
        <f t="shared" si="448"/>
        <v>8.54323737089946</v>
      </c>
      <c r="L171" s="172">
        <f t="shared" si="449"/>
        <v>16.26303027019636</v>
      </c>
      <c r="M171" s="443"/>
      <c r="N171" s="217">
        <f t="shared" si="450"/>
        <v>0.52531645265125049</v>
      </c>
      <c r="O171" s="172">
        <f t="shared" si="451"/>
        <v>127.66792918154871</v>
      </c>
      <c r="P171" s="172">
        <f t="shared" si="452"/>
        <v>7.5098781871499236</v>
      </c>
      <c r="Q171" s="217">
        <f t="shared" si="322"/>
        <v>0.75098781871499243</v>
      </c>
      <c r="R171" s="217">
        <f t="shared" si="453"/>
        <v>10.638994098462392</v>
      </c>
      <c r="S171" s="217">
        <f t="shared" si="454"/>
        <v>170</v>
      </c>
      <c r="T171" s="217">
        <f t="shared" si="455"/>
        <v>32.49054031495556</v>
      </c>
      <c r="U171" s="217">
        <f t="shared" si="326"/>
        <v>2.1043660587005335</v>
      </c>
      <c r="V171" s="217">
        <f t="shared" si="327"/>
        <v>1.9015356184311925</v>
      </c>
      <c r="W171" s="197">
        <f t="shared" si="328"/>
        <v>350</v>
      </c>
      <c r="X171" s="443">
        <f t="shared" si="435"/>
        <v>237.76114535372687</v>
      </c>
      <c r="Z171" s="217">
        <f t="shared" si="329"/>
        <v>23.173338406062626</v>
      </c>
      <c r="AA171" s="173">
        <f t="shared" si="330"/>
        <v>1.3562387067107127</v>
      </c>
      <c r="AB171" s="173">
        <f t="shared" si="456"/>
        <v>0.25972228074242776</v>
      </c>
      <c r="AC171" s="173"/>
      <c r="AD171" s="173">
        <f t="shared" si="332"/>
        <v>0.78034430945054944</v>
      </c>
      <c r="AE171" s="545">
        <f t="shared" si="457"/>
        <v>1489.8400888099141</v>
      </c>
      <c r="AF171" s="528">
        <f t="shared" si="458"/>
        <v>8.5982382245014241E-2</v>
      </c>
      <c r="AH171" s="173">
        <f t="shared" si="459"/>
        <v>27.439283622468821</v>
      </c>
      <c r="AI171" s="173">
        <f t="shared" si="460"/>
        <v>32.49054031495556</v>
      </c>
      <c r="AJ171" s="173">
        <f t="shared" si="461"/>
        <v>15.390523690090536</v>
      </c>
      <c r="AL171" s="545">
        <f t="shared" si="462"/>
        <v>366</v>
      </c>
      <c r="AM171" s="460">
        <f t="shared" si="463"/>
        <v>237.76114535372687</v>
      </c>
      <c r="AO171">
        <f t="shared" si="340"/>
        <v>366</v>
      </c>
      <c r="AP171">
        <f t="shared" si="341"/>
        <v>237.76114535372687</v>
      </c>
      <c r="AR171" s="5">
        <f t="shared" si="443"/>
        <v>4.2059016771317266</v>
      </c>
      <c r="AS171" s="5">
        <f t="shared" si="440"/>
        <v>2.1043660587005335</v>
      </c>
      <c r="AT171" s="5">
        <f t="shared" si="441"/>
        <v>2.1015356184311931</v>
      </c>
      <c r="AU171" s="173">
        <f t="shared" si="442"/>
        <v>0.50033648436014688</v>
      </c>
      <c r="AW171" s="5">
        <f t="shared" si="477"/>
        <v>0.4530576338143501</v>
      </c>
      <c r="AX171" s="5">
        <f t="shared" si="478"/>
        <v>5.3485970658638555</v>
      </c>
      <c r="AY171" s="5">
        <f t="shared" si="479"/>
        <v>27.100736589075687</v>
      </c>
      <c r="AZ171" s="5"/>
      <c r="BA171" s="173">
        <f t="shared" si="480"/>
        <v>13.268669987569055</v>
      </c>
      <c r="BB171" s="173">
        <f t="shared" si="481"/>
        <v>0.62615455843035805</v>
      </c>
      <c r="BC171" s="173">
        <f t="shared" si="482"/>
        <v>0.49506522984743923</v>
      </c>
      <c r="BD171" s="173"/>
      <c r="BE171" s="528">
        <f t="shared" si="483"/>
        <v>7.0423041295606312</v>
      </c>
      <c r="BF171" s="528">
        <f t="shared" si="464"/>
        <v>2.8267135865248827</v>
      </c>
      <c r="BG171" s="528">
        <f t="shared" si="465"/>
        <v>7.3418672065215948E-2</v>
      </c>
      <c r="BH171" s="528">
        <f t="shared" si="484"/>
        <v>1.2576906160568793E-2</v>
      </c>
      <c r="BI171">
        <f t="shared" si="485"/>
        <v>3.4739068046836042E-3</v>
      </c>
      <c r="BJ171" s="460">
        <f t="shared" si="436"/>
        <v>76.892578869899552</v>
      </c>
      <c r="BK171">
        <f t="shared" si="466"/>
        <v>-17.501657874625916</v>
      </c>
      <c r="BL171" s="460">
        <f t="shared" si="437"/>
        <v>9958.4872011159823</v>
      </c>
      <c r="BM171" s="173">
        <f t="shared" si="467"/>
        <v>0.31768799999999997</v>
      </c>
      <c r="BN171" s="173">
        <f t="shared" si="468"/>
        <v>0.26473999999999998</v>
      </c>
      <c r="BO171" s="528"/>
      <c r="BQ171" s="460">
        <f t="shared" si="486"/>
        <v>582.428</v>
      </c>
      <c r="BR171" s="528">
        <f t="shared" si="487"/>
        <v>5.2817280971704728</v>
      </c>
      <c r="BS171" s="528">
        <f t="shared" si="488"/>
        <v>1.1762085931293501E-2</v>
      </c>
      <c r="BT171" s="528">
        <f t="shared" si="489"/>
        <v>1.2254479090194892E-3</v>
      </c>
      <c r="BU171" s="528">
        <f t="shared" si="490"/>
        <v>262.24942764233123</v>
      </c>
      <c r="BV171" s="528"/>
      <c r="BW171" s="625">
        <f t="shared" si="469"/>
        <v>6.2747259148819303</v>
      </c>
      <c r="BX171" s="460">
        <f t="shared" si="491"/>
        <v>273818.86918822391</v>
      </c>
      <c r="BY171" s="173">
        <f t="shared" si="492"/>
        <v>284.35978438933989</v>
      </c>
      <c r="BZ171" s="5">
        <f t="shared" si="493"/>
        <v>65.88</v>
      </c>
      <c r="CA171" s="173">
        <f t="shared" si="494"/>
        <v>0.188099704649102</v>
      </c>
      <c r="CB171" s="5">
        <f t="shared" si="495"/>
        <v>18.809970464910201</v>
      </c>
      <c r="CC171">
        <f t="shared" si="496"/>
        <v>61</v>
      </c>
      <c r="CE171" s="562">
        <f t="shared" si="470"/>
        <v>-50</v>
      </c>
      <c r="CF171">
        <f t="shared" si="471"/>
        <v>-50</v>
      </c>
      <c r="CG171" s="173">
        <f t="shared" si="370"/>
        <v>0.49996674565333032</v>
      </c>
      <c r="CH171" s="173">
        <f t="shared" si="472"/>
        <v>0.12441737294010324</v>
      </c>
      <c r="CI171" s="170">
        <v>61</v>
      </c>
      <c r="CJ171" s="217">
        <f t="shared" si="438"/>
        <v>0.36599999999999999</v>
      </c>
      <c r="CK171" s="217">
        <f t="shared" si="372"/>
        <v>0.30499999999999999</v>
      </c>
      <c r="CL171" s="217">
        <f t="shared" si="373"/>
        <v>62.22</v>
      </c>
      <c r="CM171" s="217">
        <f t="shared" si="374"/>
        <v>3.66</v>
      </c>
      <c r="CN171" s="541">
        <f t="shared" si="375"/>
        <v>9</v>
      </c>
      <c r="CO171" s="443">
        <f t="shared" si="473"/>
        <v>8.5350000000000001</v>
      </c>
      <c r="CP171" s="443">
        <f t="shared" si="474"/>
        <v>17.535</v>
      </c>
      <c r="CQ171" s="443"/>
      <c r="CR171" s="217">
        <f t="shared" si="378"/>
        <v>0.48644793152639093</v>
      </c>
      <c r="CS171" s="172">
        <f t="shared" si="379"/>
        <v>137.82691393247745</v>
      </c>
      <c r="CT171" s="172">
        <f t="shared" si="380"/>
        <v>8.1074655254398493</v>
      </c>
      <c r="CU171" s="217">
        <f t="shared" si="381"/>
        <v>0.81074655254398498</v>
      </c>
      <c r="CV171" s="217">
        <f t="shared" si="382"/>
        <v>11.485576161039788</v>
      </c>
      <c r="CW171" s="217">
        <f t="shared" si="383"/>
        <v>170</v>
      </c>
      <c r="CX171" s="217">
        <f t="shared" si="384"/>
        <v>30.095718475073308</v>
      </c>
      <c r="CY171" s="217">
        <f t="shared" si="385"/>
        <v>1.6719843597262947</v>
      </c>
      <c r="CZ171" s="217">
        <f t="shared" si="386"/>
        <v>1.7630766534899416</v>
      </c>
      <c r="DA171" s="197">
        <f t="shared" si="387"/>
        <v>350</v>
      </c>
      <c r="DB171" s="443">
        <f t="shared" si="388"/>
        <v>291.11564427896531</v>
      </c>
      <c r="DD171" s="217">
        <f t="shared" si="389"/>
        <v>25.032384211169504</v>
      </c>
      <c r="DE171" s="173">
        <f t="shared" si="390"/>
        <v>1.4664548454112187</v>
      </c>
      <c r="DF171" s="173">
        <f t="shared" si="391"/>
        <v>0.30335794952229944</v>
      </c>
      <c r="DG171" s="173"/>
      <c r="DH171" s="173">
        <f t="shared" si="392"/>
        <v>0.78109744190587771</v>
      </c>
      <c r="DI171" s="545">
        <f t="shared" si="393"/>
        <v>1488.4035882352941</v>
      </c>
      <c r="DJ171" s="528">
        <f t="shared" si="394"/>
        <v>8.6065366284073561E-2</v>
      </c>
      <c r="DL171" s="173">
        <f t="shared" si="395"/>
        <v>27.439283622468821</v>
      </c>
      <c r="DM171" s="173">
        <f t="shared" si="396"/>
        <v>30.095718475073308</v>
      </c>
      <c r="DN171" s="173">
        <f t="shared" si="397"/>
        <v>13.616581586474055</v>
      </c>
      <c r="DP171" s="545">
        <f t="shared" si="398"/>
        <v>366</v>
      </c>
      <c r="DQ171" s="460">
        <f t="shared" si="399"/>
        <v>291.11564427896531</v>
      </c>
      <c r="DS171">
        <f t="shared" si="400"/>
        <v>366</v>
      </c>
      <c r="DT171">
        <f t="shared" si="401"/>
        <v>291.11564427896531</v>
      </c>
      <c r="DV171" s="5">
        <f t="shared" si="402"/>
        <v>3.4350610132162362</v>
      </c>
      <c r="DW171" s="5">
        <f t="shared" si="403"/>
        <v>1.6719843597262947</v>
      </c>
      <c r="DX171" s="5">
        <f t="shared" si="404"/>
        <v>1.7630766534899416</v>
      </c>
      <c r="DY171" s="173">
        <f t="shared" si="405"/>
        <v>0.48674080410607357</v>
      </c>
      <c r="EA171" s="5">
        <f t="shared" si="406"/>
        <v>0.35996839744695519</v>
      </c>
      <c r="EB171" s="5">
        <f t="shared" si="407"/>
        <v>4.2496269143043319</v>
      </c>
      <c r="EC171" s="5">
        <f t="shared" si="408"/>
        <v>19.501978556470071</v>
      </c>
      <c r="ED171" s="5"/>
      <c r="EE171" s="173">
        <f t="shared" si="409"/>
        <v>12.122521581462841</v>
      </c>
      <c r="EF171" s="173">
        <f t="shared" si="410"/>
        <v>0.58783965340003252</v>
      </c>
      <c r="EG171" s="173">
        <f t="shared" si="411"/>
        <v>0.46477178710229533</v>
      </c>
      <c r="EH171" s="173"/>
      <c r="EI171" s="528">
        <f t="shared" si="412"/>
        <v>5.8782211797212938</v>
      </c>
      <c r="EJ171" s="528">
        <f t="shared" si="413"/>
        <v>4.2248250000000009</v>
      </c>
      <c r="EK171" s="528">
        <f t="shared" si="414"/>
        <v>5.822312885579306E-2</v>
      </c>
      <c r="EL171" s="528">
        <f t="shared" si="415"/>
        <v>1.7902227868267818E-2</v>
      </c>
      <c r="EM171">
        <f t="shared" si="416"/>
        <v>4.0499999999999998E-3</v>
      </c>
      <c r="EN171" s="460">
        <f t="shared" si="417"/>
        <v>62.273128855793061</v>
      </c>
      <c r="EP171" s="460">
        <f t="shared" si="439"/>
        <v>10183.221536445355</v>
      </c>
      <c r="EQ171" s="173">
        <f t="shared" si="418"/>
        <v>0.25619999999999998</v>
      </c>
      <c r="ER171" s="173">
        <f t="shared" si="475"/>
        <v>0.26473999999999998</v>
      </c>
      <c r="ES171" s="528"/>
      <c r="EU171" s="460">
        <f t="shared" si="497"/>
        <v>520.93999999999994</v>
      </c>
      <c r="EV171" s="528">
        <f t="shared" si="421"/>
        <v>4.4086658847909703</v>
      </c>
      <c r="EW171" s="528">
        <f t="shared" si="422"/>
        <v>1.036666374328411E-2</v>
      </c>
      <c r="EX171" s="528">
        <f t="shared" si="423"/>
        <v>1.0800640704313068E-3</v>
      </c>
      <c r="EY171" s="528">
        <f t="shared" si="424"/>
        <v>359.24907218562714</v>
      </c>
      <c r="EZ171" s="528"/>
      <c r="FA171" s="625">
        <f t="shared" si="425"/>
        <v>6.5919663948182396</v>
      </c>
      <c r="FB171" s="460">
        <f t="shared" si="498"/>
        <v>370261.15119305009</v>
      </c>
      <c r="FC171" s="173">
        <f t="shared" si="427"/>
        <v>380.96531272949545</v>
      </c>
      <c r="FD171" s="5">
        <f t="shared" si="428"/>
        <v>65.88</v>
      </c>
      <c r="FE171" s="173">
        <f t="shared" si="429"/>
        <v>0.14743357068597349</v>
      </c>
      <c r="FF171" s="5">
        <f t="shared" si="430"/>
        <v>14.743357068597348</v>
      </c>
      <c r="FG171">
        <f t="shared" si="431"/>
        <v>61</v>
      </c>
      <c r="FI171" s="562">
        <f t="shared" si="432"/>
        <v>-50</v>
      </c>
      <c r="FJ171">
        <f t="shared" si="433"/>
        <v>-50</v>
      </c>
    </row>
    <row r="172" spans="5:166">
      <c r="E172" s="170">
        <v>62</v>
      </c>
      <c r="F172" s="217">
        <f t="shared" si="476"/>
        <v>0.372</v>
      </c>
      <c r="G172" s="217">
        <f t="shared" si="444"/>
        <v>0.31</v>
      </c>
      <c r="H172" s="217">
        <f t="shared" si="445"/>
        <v>63.24</v>
      </c>
      <c r="I172" s="217">
        <f t="shared" si="446"/>
        <v>3.7199999999999998</v>
      </c>
      <c r="J172" s="541">
        <f t="shared" si="447"/>
        <v>7.6988058976460279</v>
      </c>
      <c r="K172" s="443">
        <f t="shared" si="448"/>
        <v>8.543372409766663</v>
      </c>
      <c r="L172" s="172">
        <f t="shared" si="449"/>
        <v>16.24217830741269</v>
      </c>
      <c r="M172" s="443"/>
      <c r="N172" s="217">
        <f t="shared" si="450"/>
        <v>0.52599917622303127</v>
      </c>
      <c r="O172" s="172">
        <f t="shared" si="451"/>
        <v>127.48632318716305</v>
      </c>
      <c r="P172" s="172">
        <f t="shared" si="452"/>
        <v>7.4991954815978259</v>
      </c>
      <c r="Q172" s="217">
        <f t="shared" si="322"/>
        <v>0.74991954815978268</v>
      </c>
      <c r="R172" s="217">
        <f t="shared" si="453"/>
        <v>10.623860265596921</v>
      </c>
      <c r="S172" s="217">
        <f t="shared" si="454"/>
        <v>170</v>
      </c>
      <c r="T172" s="217">
        <f t="shared" si="455"/>
        <v>33.07021407943877</v>
      </c>
      <c r="U172" s="217">
        <f t="shared" si="326"/>
        <v>2.147749567861573</v>
      </c>
      <c r="V172" s="217">
        <f t="shared" si="327"/>
        <v>1.9354309102593588</v>
      </c>
      <c r="W172" s="197">
        <f t="shared" si="328"/>
        <v>350</v>
      </c>
      <c r="X172" s="443">
        <f t="shared" si="435"/>
        <v>233.47136668840736</v>
      </c>
      <c r="Z172" s="217">
        <f t="shared" si="329"/>
        <v>23.140374628930431</v>
      </c>
      <c r="AA172" s="173">
        <f t="shared" si="330"/>
        <v>1.3542880679341966</v>
      </c>
      <c r="AB172" s="173">
        <f t="shared" si="456"/>
        <v>0.25897980947576638</v>
      </c>
      <c r="AC172" s="173"/>
      <c r="AD172" s="173">
        <f t="shared" si="332"/>
        <v>0.7803319751162231</v>
      </c>
      <c r="AE172" s="545">
        <f t="shared" si="457"/>
        <v>1514.2876320652297</v>
      </c>
      <c r="AF172" s="528">
        <f t="shared" si="458"/>
        <v>8.5981023184102362E-2</v>
      </c>
      <c r="AH172" s="173">
        <f t="shared" si="459"/>
        <v>27.663281491123627</v>
      </c>
      <c r="AI172" s="173">
        <f t="shared" si="460"/>
        <v>33.07021407943877</v>
      </c>
      <c r="AJ172" s="173">
        <f t="shared" si="461"/>
        <v>15.819911663781804</v>
      </c>
      <c r="AL172" s="545">
        <f t="shared" si="462"/>
        <v>372</v>
      </c>
      <c r="AM172" s="460">
        <f t="shared" si="463"/>
        <v>233.47136668840736</v>
      </c>
      <c r="AO172">
        <f t="shared" si="340"/>
        <v>372</v>
      </c>
      <c r="AP172">
        <f t="shared" si="341"/>
        <v>233.47136668840736</v>
      </c>
      <c r="AR172" s="5">
        <f t="shared" si="443"/>
        <v>4.2831804781209319</v>
      </c>
      <c r="AS172" s="5">
        <f t="shared" si="440"/>
        <v>2.147749567861573</v>
      </c>
      <c r="AT172" s="5">
        <f t="shared" si="441"/>
        <v>2.1354309102593589</v>
      </c>
      <c r="AU172" s="173">
        <f t="shared" si="442"/>
        <v>0.50143802691307771</v>
      </c>
      <c r="AW172" s="5">
        <f t="shared" si="477"/>
        <v>0.4699781407320619</v>
      </c>
      <c r="AX172" s="5">
        <f t="shared" si="478"/>
        <v>5.5483530503090641</v>
      </c>
      <c r="AY172" s="5">
        <f t="shared" si="479"/>
        <v>28.065578493120416</v>
      </c>
      <c r="AZ172" s="5"/>
      <c r="BA172" s="173">
        <f t="shared" si="480"/>
        <v>13.520259021561728</v>
      </c>
      <c r="BB172" s="173">
        <f t="shared" si="481"/>
        <v>0.63662307323069811</v>
      </c>
      <c r="BC172" s="173">
        <f t="shared" si="482"/>
        <v>0.50334209634312266</v>
      </c>
      <c r="BD172" s="173"/>
      <c r="BE172" s="528">
        <f t="shared" si="483"/>
        <v>7.3118961604048511</v>
      </c>
      <c r="BF172" s="528">
        <f t="shared" si="464"/>
        <v>2.8216128460945615</v>
      </c>
      <c r="BG172" s="528">
        <f t="shared" si="465"/>
        <v>7.189802939168756E-2</v>
      </c>
      <c r="BH172" s="528">
        <f t="shared" si="484"/>
        <v>1.231833949175648E-2</v>
      </c>
      <c r="BI172">
        <f t="shared" si="485"/>
        <v>3.4644626539407125E-3</v>
      </c>
      <c r="BJ172" s="460">
        <f t="shared" si="436"/>
        <v>75.362492045628272</v>
      </c>
      <c r="BK172">
        <f t="shared" si="466"/>
        <v>-16.438263942824513</v>
      </c>
      <c r="BL172" s="460">
        <f t="shared" si="437"/>
        <v>10221.189838036798</v>
      </c>
      <c r="BM172" s="173">
        <f t="shared" si="467"/>
        <v>0.32289599999999996</v>
      </c>
      <c r="BN172" s="173">
        <f t="shared" si="468"/>
        <v>0.26907999999999999</v>
      </c>
      <c r="BO172" s="528"/>
      <c r="BQ172" s="460">
        <f t="shared" si="486"/>
        <v>591.976</v>
      </c>
      <c r="BR172" s="528">
        <f t="shared" si="487"/>
        <v>5.4839221203036379</v>
      </c>
      <c r="BS172" s="528">
        <f t="shared" si="488"/>
        <v>1.2158668121090963E-2</v>
      </c>
      <c r="BT172" s="528">
        <f t="shared" si="489"/>
        <v>1.2667663297554468E-3</v>
      </c>
      <c r="BU172" s="528">
        <f t="shared" si="490"/>
        <v>261.90668526062967</v>
      </c>
      <c r="BV172" s="528"/>
      <c r="BW172" s="625">
        <f t="shared" si="469"/>
        <v>6.383335145730884</v>
      </c>
      <c r="BX172" s="460">
        <f t="shared" si="491"/>
        <v>273787.36796111503</v>
      </c>
      <c r="BY172" s="173">
        <f t="shared" si="492"/>
        <v>284.60053379915183</v>
      </c>
      <c r="BZ172" s="5">
        <f t="shared" si="493"/>
        <v>66.960000000000008</v>
      </c>
      <c r="CA172" s="173">
        <f t="shared" si="494"/>
        <v>0.19046506522331819</v>
      </c>
      <c r="CB172" s="5">
        <f t="shared" si="495"/>
        <v>19.046506522331818</v>
      </c>
      <c r="CC172">
        <f t="shared" si="496"/>
        <v>62</v>
      </c>
      <c r="CE172" s="562">
        <f t="shared" si="470"/>
        <v>-50</v>
      </c>
      <c r="CF172">
        <f t="shared" si="471"/>
        <v>-50</v>
      </c>
      <c r="CG172" s="173">
        <f t="shared" si="370"/>
        <v>0.49996674565333032</v>
      </c>
      <c r="CH172" s="173">
        <f t="shared" si="472"/>
        <v>0.12441737294010324</v>
      </c>
      <c r="CI172" s="170">
        <v>62</v>
      </c>
      <c r="CJ172" s="217">
        <f t="shared" si="438"/>
        <v>0.372</v>
      </c>
      <c r="CK172" s="217">
        <f t="shared" si="372"/>
        <v>0.31</v>
      </c>
      <c r="CL172" s="217">
        <f t="shared" si="373"/>
        <v>63.24</v>
      </c>
      <c r="CM172" s="217">
        <f t="shared" si="374"/>
        <v>3.7199999999999998</v>
      </c>
      <c r="CN172" s="541">
        <f t="shared" si="375"/>
        <v>9</v>
      </c>
      <c r="CO172" s="443">
        <f t="shared" si="473"/>
        <v>8.5350000000000001</v>
      </c>
      <c r="CP172" s="443">
        <f t="shared" si="474"/>
        <v>17.535</v>
      </c>
      <c r="CQ172" s="443"/>
      <c r="CR172" s="217">
        <f t="shared" si="378"/>
        <v>0.48644793152639093</v>
      </c>
      <c r="CS172" s="172">
        <f t="shared" si="379"/>
        <v>137.82691393247745</v>
      </c>
      <c r="CT172" s="172">
        <f t="shared" si="380"/>
        <v>8.1074655254398493</v>
      </c>
      <c r="CU172" s="217">
        <f t="shared" si="381"/>
        <v>0.81074655254398498</v>
      </c>
      <c r="CV172" s="217">
        <f t="shared" si="382"/>
        <v>11.485576161039788</v>
      </c>
      <c r="CW172" s="217">
        <f t="shared" si="383"/>
        <v>170</v>
      </c>
      <c r="CX172" s="217">
        <f t="shared" si="384"/>
        <v>30.58909090909091</v>
      </c>
      <c r="CY172" s="217">
        <f t="shared" si="385"/>
        <v>1.6993939393939392</v>
      </c>
      <c r="CZ172" s="217">
        <f t="shared" si="386"/>
        <v>1.7919795494487933</v>
      </c>
      <c r="DA172" s="197">
        <f t="shared" si="387"/>
        <v>350</v>
      </c>
      <c r="DB172" s="443">
        <f t="shared" si="388"/>
        <v>286.42023066156258</v>
      </c>
      <c r="DD172" s="217">
        <f t="shared" si="389"/>
        <v>25.032384211169504</v>
      </c>
      <c r="DE172" s="173">
        <f t="shared" si="390"/>
        <v>1.4664548454112187</v>
      </c>
      <c r="DF172" s="173">
        <f t="shared" si="391"/>
        <v>0.30335794952229944</v>
      </c>
      <c r="DG172" s="173"/>
      <c r="DH172" s="173">
        <f t="shared" si="392"/>
        <v>0.78109744190587771</v>
      </c>
      <c r="DI172" s="545">
        <f t="shared" si="393"/>
        <v>1512.8036470588236</v>
      </c>
      <c r="DJ172" s="528">
        <f t="shared" si="394"/>
        <v>8.6065366284073561E-2</v>
      </c>
      <c r="DL172" s="173">
        <f t="shared" si="395"/>
        <v>27.663281491123627</v>
      </c>
      <c r="DM172" s="173">
        <f t="shared" si="396"/>
        <v>30.58909090909091</v>
      </c>
      <c r="DN172" s="173">
        <f t="shared" si="397"/>
        <v>13.982042648709315</v>
      </c>
      <c r="DP172" s="545">
        <f t="shared" si="398"/>
        <v>372</v>
      </c>
      <c r="DQ172" s="460">
        <f t="shared" si="399"/>
        <v>286.42023066156258</v>
      </c>
      <c r="DS172">
        <f t="shared" si="400"/>
        <v>372</v>
      </c>
      <c r="DT172">
        <f t="shared" si="401"/>
        <v>286.42023066156258</v>
      </c>
      <c r="DV172" s="5">
        <f t="shared" si="402"/>
        <v>3.4913734888427328</v>
      </c>
      <c r="DW172" s="5">
        <f t="shared" si="403"/>
        <v>1.6993939393939392</v>
      </c>
      <c r="DX172" s="5">
        <f t="shared" si="404"/>
        <v>1.7919795494487936</v>
      </c>
      <c r="DY172" s="173">
        <f t="shared" si="405"/>
        <v>0.48674080410607357</v>
      </c>
      <c r="EA172" s="5">
        <f t="shared" si="406"/>
        <v>0.37186737967914435</v>
      </c>
      <c r="EB172" s="5">
        <f t="shared" si="407"/>
        <v>4.3901010101010103</v>
      </c>
      <c r="EC172" s="5">
        <f t="shared" si="408"/>
        <v>20.146628747936305</v>
      </c>
      <c r="ED172" s="5"/>
      <c r="EE172" s="173">
        <f t="shared" si="409"/>
        <v>12.321251443454038</v>
      </c>
      <c r="EF172" s="173">
        <f t="shared" si="410"/>
        <v>0.59747636902954138</v>
      </c>
      <c r="EG172" s="173">
        <f t="shared" si="411"/>
        <v>0.47239099672692314</v>
      </c>
      <c r="EH172" s="173"/>
      <c r="EI172" s="528">
        <f t="shared" si="412"/>
        <v>6.072529485312729</v>
      </c>
      <c r="EJ172" s="528">
        <f t="shared" si="413"/>
        <v>4.2248250000000009</v>
      </c>
      <c r="EK172" s="528">
        <f t="shared" si="414"/>
        <v>5.7284046132312513E-2</v>
      </c>
      <c r="EL172" s="528">
        <f t="shared" si="415"/>
        <v>1.7613482257489304E-2</v>
      </c>
      <c r="EM172">
        <f t="shared" si="416"/>
        <v>4.0499999999999998E-3</v>
      </c>
      <c r="EN172" s="460">
        <f t="shared" si="417"/>
        <v>61.334046132312508</v>
      </c>
      <c r="EP172" s="460">
        <f t="shared" si="439"/>
        <v>10376.302013702532</v>
      </c>
      <c r="EQ172" s="173">
        <f t="shared" si="418"/>
        <v>0.26039999999999996</v>
      </c>
      <c r="ER172" s="173">
        <f t="shared" si="475"/>
        <v>0.26907999999999999</v>
      </c>
      <c r="ES172" s="528"/>
      <c r="EU172" s="460">
        <f t="shared" si="497"/>
        <v>529.4799999999999</v>
      </c>
      <c r="EV172" s="528">
        <f t="shared" si="421"/>
        <v>4.5543971139845461</v>
      </c>
      <c r="EW172" s="528">
        <f t="shared" si="422"/>
        <v>1.0709340346461741E-2</v>
      </c>
      <c r="EX172" s="528">
        <f t="shared" si="423"/>
        <v>1.1157662689432796E-3</v>
      </c>
      <c r="EY172" s="528">
        <f t="shared" si="424"/>
        <v>359.24907218562652</v>
      </c>
      <c r="EZ172" s="528"/>
      <c r="FA172" s="625">
        <f t="shared" si="425"/>
        <v>6.7000314176841131</v>
      </c>
      <c r="FB172" s="460">
        <f t="shared" si="498"/>
        <v>370515.32582391059</v>
      </c>
      <c r="FC172" s="173">
        <f t="shared" si="427"/>
        <v>381.42110783761308</v>
      </c>
      <c r="FD172" s="5">
        <f t="shared" si="428"/>
        <v>66.960000000000008</v>
      </c>
      <c r="FE172" s="173">
        <f t="shared" si="429"/>
        <v>0.14933724643958557</v>
      </c>
      <c r="FF172" s="5">
        <f t="shared" si="430"/>
        <v>14.933724643958557</v>
      </c>
      <c r="FG172">
        <f t="shared" si="431"/>
        <v>62</v>
      </c>
      <c r="FI172" s="562">
        <f t="shared" si="432"/>
        <v>-50</v>
      </c>
      <c r="FJ172">
        <f t="shared" si="433"/>
        <v>-50</v>
      </c>
    </row>
    <row r="173" spans="5:166">
      <c r="E173" s="170">
        <v>63</v>
      </c>
      <c r="F173" s="217">
        <f t="shared" si="476"/>
        <v>0.378</v>
      </c>
      <c r="G173" s="217">
        <f t="shared" si="444"/>
        <v>0.315</v>
      </c>
      <c r="H173" s="217">
        <f t="shared" si="445"/>
        <v>64.260000000000005</v>
      </c>
      <c r="I173" s="217">
        <f t="shared" si="446"/>
        <v>3.7800000000000002</v>
      </c>
      <c r="J173" s="541">
        <f t="shared" si="447"/>
        <v>7.6778188959951574</v>
      </c>
      <c r="K173" s="443">
        <f t="shared" si="448"/>
        <v>8.5435074486338696</v>
      </c>
      <c r="L173" s="172">
        <f t="shared" si="449"/>
        <v>16.221326344629027</v>
      </c>
      <c r="M173" s="443"/>
      <c r="N173" s="217">
        <f t="shared" si="450"/>
        <v>0.5266836550306303</v>
      </c>
      <c r="O173" s="172">
        <f t="shared" si="451"/>
        <v>127.30423929574347</v>
      </c>
      <c r="P173" s="172">
        <f t="shared" si="452"/>
        <v>7.4884846644554983</v>
      </c>
      <c r="Q173" s="217">
        <f t="shared" si="322"/>
        <v>0.74884846644554981</v>
      </c>
      <c r="R173" s="217">
        <f t="shared" si="453"/>
        <v>10.608686607978623</v>
      </c>
      <c r="S173" s="217">
        <f t="shared" si="454"/>
        <v>170</v>
      </c>
      <c r="T173" s="217">
        <f t="shared" si="455"/>
        <v>33.651668033204615</v>
      </c>
      <c r="U173" s="217">
        <f t="shared" si="326"/>
        <v>2.1914861817564963</v>
      </c>
      <c r="V173" s="217">
        <f t="shared" si="327"/>
        <v>1.9694293143377319</v>
      </c>
      <c r="W173" s="197">
        <f t="shared" si="328"/>
        <v>350</v>
      </c>
      <c r="X173" s="443">
        <f t="shared" si="435"/>
        <v>229.30964860374641</v>
      </c>
      <c r="Z173" s="217">
        <f t="shared" si="329"/>
        <v>23.107324107462677</v>
      </c>
      <c r="AA173" s="173">
        <f t="shared" si="330"/>
        <v>1.3523324141981994</v>
      </c>
      <c r="AB173" s="173">
        <f t="shared" si="456"/>
        <v>0.25823647389671706</v>
      </c>
      <c r="AC173" s="173"/>
      <c r="AD173" s="173">
        <f t="shared" si="332"/>
        <v>0.78031964117180996</v>
      </c>
      <c r="AE173" s="545">
        <f t="shared" si="457"/>
        <v>1538.7359474251282</v>
      </c>
      <c r="AF173" s="528">
        <f t="shared" si="458"/>
        <v>8.597966416615313E-2</v>
      </c>
      <c r="AH173" s="173">
        <f t="shared" si="459"/>
        <v>27.885480092693403</v>
      </c>
      <c r="AI173" s="173">
        <f t="shared" si="460"/>
        <v>33.651668033204615</v>
      </c>
      <c r="AJ173" s="173">
        <f t="shared" si="461"/>
        <v>16.250618296200948</v>
      </c>
      <c r="AL173" s="545">
        <f t="shared" si="462"/>
        <v>378</v>
      </c>
      <c r="AM173" s="460">
        <f t="shared" si="463"/>
        <v>229.30964860374641</v>
      </c>
      <c r="AO173">
        <f t="shared" si="340"/>
        <v>378</v>
      </c>
      <c r="AP173">
        <f t="shared" si="341"/>
        <v>229.30964860374641</v>
      </c>
      <c r="AR173" s="5">
        <f t="shared" si="443"/>
        <v>4.3609154960942282</v>
      </c>
      <c r="AS173" s="5">
        <f t="shared" si="440"/>
        <v>2.1914861817564963</v>
      </c>
      <c r="AT173" s="5">
        <f t="shared" si="441"/>
        <v>2.1694293143377319</v>
      </c>
      <c r="AU173" s="173">
        <f t="shared" si="442"/>
        <v>0.50252892625854817</v>
      </c>
      <c r="AW173" s="5">
        <f t="shared" si="477"/>
        <v>0.4872833980611504</v>
      </c>
      <c r="AX173" s="5">
        <f t="shared" si="478"/>
        <v>5.7526512271108023</v>
      </c>
      <c r="AY173" s="5">
        <f t="shared" si="479"/>
        <v>29.051485507074783</v>
      </c>
      <c r="AZ173" s="5"/>
      <c r="BA173" s="173">
        <f t="shared" si="480"/>
        <v>13.772935110967243</v>
      </c>
      <c r="BB173" s="173">
        <f t="shared" si="481"/>
        <v>0.64710730999343846</v>
      </c>
      <c r="BC173" s="173">
        <f t="shared" si="482"/>
        <v>0.51163139331116236</v>
      </c>
      <c r="BD173" s="173"/>
      <c r="BE173" s="528">
        <f t="shared" si="483"/>
        <v>7.5877496628365702</v>
      </c>
      <c r="BF173" s="528">
        <f t="shared" si="464"/>
        <v>2.8164224961878488</v>
      </c>
      <c r="BG173" s="528">
        <f t="shared" si="465"/>
        <v>7.0423918123354162E-2</v>
      </c>
      <c r="BH173" s="528">
        <f t="shared" si="484"/>
        <v>1.2067715075636042E-2</v>
      </c>
      <c r="BI173">
        <f t="shared" si="485"/>
        <v>3.4550185031978209E-3</v>
      </c>
      <c r="BJ173" s="460">
        <f t="shared" si="436"/>
        <v>73.87893662655199</v>
      </c>
      <c r="BK173">
        <f t="shared" si="466"/>
        <v>-15.525867649454144</v>
      </c>
      <c r="BL173" s="460">
        <f t="shared" si="437"/>
        <v>10490.118810726608</v>
      </c>
      <c r="BM173" s="173">
        <f t="shared" si="467"/>
        <v>0.32810400000000001</v>
      </c>
      <c r="BN173" s="173">
        <f t="shared" si="468"/>
        <v>0.27341999999999994</v>
      </c>
      <c r="BO173" s="528"/>
      <c r="BQ173" s="460">
        <f t="shared" si="486"/>
        <v>601.524</v>
      </c>
      <c r="BR173" s="528">
        <f t="shared" si="487"/>
        <v>5.6908122471274272</v>
      </c>
      <c r="BS173" s="528">
        <f t="shared" si="488"/>
        <v>1.2562436119408322E-2</v>
      </c>
      <c r="BT173" s="528">
        <f t="shared" si="489"/>
        <v>1.3088334131076066E-3</v>
      </c>
      <c r="BU173" s="528">
        <f t="shared" si="490"/>
        <v>261.54252756001807</v>
      </c>
      <c r="BV173" s="528"/>
      <c r="BW173" s="625">
        <f t="shared" si="469"/>
        <v>6.4919554301800231</v>
      </c>
      <c r="BX173" s="460">
        <f t="shared" si="491"/>
        <v>273739.16650685808</v>
      </c>
      <c r="BY173" s="173">
        <f t="shared" si="492"/>
        <v>284.83080931758468</v>
      </c>
      <c r="BZ173" s="5">
        <f t="shared" si="493"/>
        <v>68.040000000000006</v>
      </c>
      <c r="CA173" s="173">
        <f t="shared" si="494"/>
        <v>0.19281844290714287</v>
      </c>
      <c r="CB173" s="5">
        <f t="shared" si="495"/>
        <v>19.281844290714286</v>
      </c>
      <c r="CC173">
        <f t="shared" si="496"/>
        <v>63</v>
      </c>
      <c r="CE173" s="562">
        <f t="shared" si="470"/>
        <v>-50</v>
      </c>
      <c r="CF173">
        <f t="shared" si="471"/>
        <v>-50</v>
      </c>
      <c r="CG173" s="173">
        <f t="shared" si="370"/>
        <v>0.49996674565333021</v>
      </c>
      <c r="CH173" s="173">
        <f t="shared" si="472"/>
        <v>0.12441737294010324</v>
      </c>
      <c r="CI173" s="170">
        <v>63</v>
      </c>
      <c r="CJ173" s="217">
        <f t="shared" si="438"/>
        <v>0.378</v>
      </c>
      <c r="CK173" s="217">
        <f t="shared" si="372"/>
        <v>0.315</v>
      </c>
      <c r="CL173" s="217">
        <f t="shared" si="373"/>
        <v>64.260000000000005</v>
      </c>
      <c r="CM173" s="217">
        <f t="shared" si="374"/>
        <v>3.7800000000000002</v>
      </c>
      <c r="CN173" s="541">
        <f t="shared" si="375"/>
        <v>9</v>
      </c>
      <c r="CO173" s="443">
        <f t="shared" si="473"/>
        <v>8.5350000000000001</v>
      </c>
      <c r="CP173" s="443">
        <f t="shared" si="474"/>
        <v>17.535</v>
      </c>
      <c r="CQ173" s="443"/>
      <c r="CR173" s="217">
        <f t="shared" si="378"/>
        <v>0.48644793152639093</v>
      </c>
      <c r="CS173" s="172">
        <f t="shared" si="379"/>
        <v>137.82691393247745</v>
      </c>
      <c r="CT173" s="172">
        <f t="shared" si="380"/>
        <v>8.1074655254398493</v>
      </c>
      <c r="CU173" s="217">
        <f t="shared" si="381"/>
        <v>0.81074655254398498</v>
      </c>
      <c r="CV173" s="217">
        <f t="shared" si="382"/>
        <v>11.485576161039788</v>
      </c>
      <c r="CW173" s="217">
        <f t="shared" si="383"/>
        <v>170</v>
      </c>
      <c r="CX173" s="217">
        <f t="shared" si="384"/>
        <v>31.082463343108504</v>
      </c>
      <c r="CY173" s="217">
        <f t="shared" si="385"/>
        <v>1.7268035190615834</v>
      </c>
      <c r="CZ173" s="217">
        <f t="shared" si="386"/>
        <v>1.8208824454076449</v>
      </c>
      <c r="DA173" s="197">
        <f t="shared" si="387"/>
        <v>350</v>
      </c>
      <c r="DB173" s="443">
        <f t="shared" si="388"/>
        <v>281.87387779391872</v>
      </c>
      <c r="DD173" s="217">
        <f t="shared" si="389"/>
        <v>25.032384211169504</v>
      </c>
      <c r="DE173" s="173">
        <f t="shared" si="390"/>
        <v>1.4664548454112187</v>
      </c>
      <c r="DF173" s="173">
        <f t="shared" si="391"/>
        <v>0.30335794952229944</v>
      </c>
      <c r="DG173" s="173"/>
      <c r="DH173" s="173">
        <f t="shared" si="392"/>
        <v>0.78109744190587771</v>
      </c>
      <c r="DI173" s="545">
        <f t="shared" si="393"/>
        <v>1537.2037058823528</v>
      </c>
      <c r="DJ173" s="528">
        <f t="shared" si="394"/>
        <v>8.6065366284073561E-2</v>
      </c>
      <c r="DL173" s="173">
        <f t="shared" si="395"/>
        <v>27.885480092693403</v>
      </c>
      <c r="DM173" s="173">
        <f t="shared" si="396"/>
        <v>31.082463343108504</v>
      </c>
      <c r="DN173" s="173">
        <f t="shared" si="397"/>
        <v>14.34750371094457</v>
      </c>
      <c r="DP173" s="545">
        <f t="shared" si="398"/>
        <v>378</v>
      </c>
      <c r="DQ173" s="460">
        <f t="shared" si="399"/>
        <v>281.87387779391872</v>
      </c>
      <c r="DS173">
        <f t="shared" si="400"/>
        <v>378</v>
      </c>
      <c r="DT173">
        <f t="shared" si="401"/>
        <v>281.87387779391872</v>
      </c>
      <c r="DV173" s="5">
        <f t="shared" si="402"/>
        <v>3.5476859644692285</v>
      </c>
      <c r="DW173" s="5">
        <f t="shared" si="403"/>
        <v>1.7268035190615834</v>
      </c>
      <c r="DX173" s="5">
        <f t="shared" si="404"/>
        <v>1.8208824454076451</v>
      </c>
      <c r="DY173" s="173">
        <f t="shared" si="405"/>
        <v>0.48674080410607357</v>
      </c>
      <c r="EA173" s="5">
        <f t="shared" si="406"/>
        <v>0.38395984129722266</v>
      </c>
      <c r="EB173" s="5">
        <f t="shared" si="407"/>
        <v>4.5328592375366563</v>
      </c>
      <c r="EC173" s="5">
        <f t="shared" si="408"/>
        <v>20.80176105633694</v>
      </c>
      <c r="ED173" s="5"/>
      <c r="EE173" s="173">
        <f t="shared" si="409"/>
        <v>12.519981305445231</v>
      </c>
      <c r="EF173" s="173">
        <f t="shared" si="410"/>
        <v>0.60711308465905012</v>
      </c>
      <c r="EG173" s="173">
        <f t="shared" si="411"/>
        <v>0.48001020635155101</v>
      </c>
      <c r="EH173" s="173"/>
      <c r="EI173" s="528">
        <f t="shared" si="412"/>
        <v>6.2699972755479232</v>
      </c>
      <c r="EJ173" s="528">
        <f t="shared" si="413"/>
        <v>4.2248250000000009</v>
      </c>
      <c r="EK173" s="528">
        <f t="shared" si="414"/>
        <v>5.6374775558783743E-2</v>
      </c>
      <c r="EL173" s="528">
        <f t="shared" si="415"/>
        <v>1.7333903174037091E-2</v>
      </c>
      <c r="EM173">
        <f t="shared" si="416"/>
        <v>4.0499999999999998E-3</v>
      </c>
      <c r="EN173" s="460">
        <f t="shared" si="417"/>
        <v>60.424775558783743</v>
      </c>
      <c r="EP173" s="460">
        <f t="shared" si="439"/>
        <v>10572.580954280746</v>
      </c>
      <c r="EQ173" s="173">
        <f t="shared" si="418"/>
        <v>0.2646</v>
      </c>
      <c r="ER173" s="173">
        <f t="shared" si="475"/>
        <v>0.27341999999999994</v>
      </c>
      <c r="ES173" s="528"/>
      <c r="EU173" s="460">
        <f t="shared" si="497"/>
        <v>538.02</v>
      </c>
      <c r="EV173" s="528">
        <f t="shared" si="421"/>
        <v>4.7024979566609426</v>
      </c>
      <c r="EW173" s="528">
        <f t="shared" si="422"/>
        <v>1.1057588926926808E-2</v>
      </c>
      <c r="EX173" s="528">
        <f t="shared" si="423"/>
        <v>1.1520489910082929E-3</v>
      </c>
      <c r="EY173" s="528">
        <f t="shared" si="424"/>
        <v>359.24907218562652</v>
      </c>
      <c r="EZ173" s="528"/>
      <c r="FA173" s="625">
        <f t="shared" si="425"/>
        <v>6.8080964405499858</v>
      </c>
      <c r="FB173" s="460">
        <f t="shared" si="498"/>
        <v>370771.8762207554</v>
      </c>
      <c r="FC173" s="173">
        <f t="shared" si="427"/>
        <v>381.88247717503612</v>
      </c>
      <c r="FD173" s="5">
        <f t="shared" si="428"/>
        <v>68.040000000000006</v>
      </c>
      <c r="FE173" s="173">
        <f t="shared" si="429"/>
        <v>0.15122605215726972</v>
      </c>
      <c r="FF173" s="5">
        <f t="shared" si="430"/>
        <v>15.122605215726972</v>
      </c>
      <c r="FG173">
        <f t="shared" si="431"/>
        <v>63</v>
      </c>
      <c r="FI173" s="562">
        <f t="shared" si="432"/>
        <v>-50</v>
      </c>
      <c r="FJ173">
        <f t="shared" si="433"/>
        <v>-50</v>
      </c>
    </row>
    <row r="174" spans="5:166">
      <c r="E174" s="170">
        <v>64</v>
      </c>
      <c r="F174" s="217">
        <f t="shared" si="476"/>
        <v>0.38400000000000001</v>
      </c>
      <c r="G174" s="217">
        <f t="shared" ref="G174:G210" si="499">IF(PLOT_TYPE=1, E174/100*Iout2, min_I*EXP(Q174*rr/100))</f>
        <v>0.32</v>
      </c>
      <c r="H174" s="217">
        <f t="shared" ref="H174:H210" si="500">F174*Vout</f>
        <v>65.28</v>
      </c>
      <c r="I174" s="217">
        <f t="shared" ref="I174:I210" si="501">Vout2*G174</f>
        <v>3.84</v>
      </c>
      <c r="J174" s="541">
        <f t="shared" ref="J174:J210" si="502">VIN_min-(F174/CG174/Nps+G174/CH174/(Nps/Nsec1sec2))*(Rdcr_pri+RON/1000)</f>
        <v>7.6568318943442861</v>
      </c>
      <c r="K174" s="443">
        <f t="shared" ref="K174:K210" si="503">MAX((S174+Vfwd2+Rdcr_sec*F174/CG174)*Nps,(Vout2+Vfwd22+Rdcr_sec2*G174/CH174)*Nps/Nsec1sec2)</f>
        <v>8.5436424875010708</v>
      </c>
      <c r="L174" s="172">
        <f t="shared" ref="L174:L210" si="504">MAX((Vout+Vfwd2+F174/CG174*Rdcr_sec)*Nps+J174, (Vout2+Vfwd22+G174/CH174*Rdcr_sec2)*Nps/Nsec1sec2+J174)</f>
        <v>16.200474381845357</v>
      </c>
      <c r="M174" s="443"/>
      <c r="N174" s="217">
        <f t="shared" ref="N174:N210" si="505">MAX((Vout+Vfwd2+F174/CG174*Rdcr_sec)*Nps/((Vout+Vfwd2+F174/CG174*Rdcr_sec)*Nps+J174), (Vout2+Vfwd22+G174/CH174*Rdcr_sec2)*Nps/Nsec1sec2/((Vout2+Vfwd22+G174/CH174*Rdcr_sec2)*Nps/Nsec1sec2+J174))</f>
        <v>0.52736989585164762</v>
      </c>
      <c r="O174" s="172">
        <f t="shared" ref="O174:O205" si="506">N174*J174*Isw_max*0.5*Efficiency*Pout/(Pout+Pout2)</f>
        <v>127.12167566195673</v>
      </c>
      <c r="P174" s="172">
        <f t="shared" ref="P174:P210" si="507">N174*J174*Isw_max*0.5*Efficiency*(Pout2/Pout_total)</f>
        <v>7.477745627173924</v>
      </c>
      <c r="Q174" s="217">
        <f t="shared" ref="Q174:Q210" si="508">O174/Vout</f>
        <v>0.74777456271739251</v>
      </c>
      <c r="R174" s="217">
        <f t="shared" ref="R174:R210" si="509">O174/Vout2</f>
        <v>10.593472971829728</v>
      </c>
      <c r="S174" s="217">
        <f t="shared" ref="S174:S210" si="510">MIN(Vout,O174/F174)</f>
        <v>170</v>
      </c>
      <c r="T174" s="217">
        <f t="shared" ref="T174:T210" si="511">MIN(2*(Vout*F174+Vout2*G174)/(Efficiency*J174*N174), Isw_max)</f>
        <v>34.234916880523848</v>
      </c>
      <c r="U174" s="217">
        <f t="shared" ref="U174:U210" si="512">L*T174/J174*1000000</f>
        <v>2.2355797641196382</v>
      </c>
      <c r="V174" s="217">
        <f t="shared" ref="V174:V210" si="513">L*T174/K174*1000000</f>
        <v>2.003531686315752</v>
      </c>
      <c r="W174" s="197">
        <f t="shared" ref="W174:W210" si="514">IF(1/((350000*L)*(1/J174+1/K174))&gt;Isw_min, 350, 0.001/((Isw_min*L)*(1/J174+1/K174)))</f>
        <v>350</v>
      </c>
      <c r="X174" s="443">
        <f t="shared" si="435"/>
        <v>225.2703071696746</v>
      </c>
      <c r="Z174" s="217">
        <f t="shared" ref="Z174:Z210" si="515">1/((W174*1000*L)*(1/J174+1/K174))</f>
        <v>23.074186506708113</v>
      </c>
      <c r="AA174" s="173">
        <f t="shared" ref="AA174:AA210" si="516">L*Z174/K174*1000000</f>
        <v>1.3503717261381496</v>
      </c>
      <c r="AB174" s="173">
        <f t="shared" ref="AB174:AB205" si="517">0.5*AA174*Z174*Nps*W174/1000*(Pout/(Pout+Pout2))</f>
        <v>0.25749227488981574</v>
      </c>
      <c r="AC174" s="173"/>
      <c r="AD174" s="173">
        <f t="shared" ref="AD174:AD210" si="518">L*Isw_min/K174*1000000</f>
        <v>0.78030730761729228</v>
      </c>
      <c r="AE174" s="545">
        <f t="shared" ref="AE174:AE205" si="519">MAX(10, F174/(0.5*AD174/1000000*Isw_min*Nps)/1000*Pout_total/Pout)</f>
        <v>1563.1850348896073</v>
      </c>
      <c r="AF174" s="528">
        <f t="shared" ref="AF174:AF210" si="520">0.5*AD174/1000000*Isw_min*Nps*W174*1000*(Pout/Pout_total)</f>
        <v>8.5978305191164617E-2</v>
      </c>
      <c r="AH174" s="173">
        <f t="shared" ref="AH174:AH210" si="521">SQRT((H174+I174)/(0.5*L*Fsw_DCM))</f>
        <v>28.105922100917759</v>
      </c>
      <c r="AI174" s="173">
        <f t="shared" ref="AI174:AI205" si="522">MAX(IF(F174&gt;AB174,T174,AH174),Isw_min)</f>
        <v>34.234916880523848</v>
      </c>
      <c r="AJ174" s="173">
        <f t="shared" ref="AJ174:AJ205" si="523">IF(F174&gt;AF174, (AI174-Isw_min)/1.08*0.8+1.2, AE174*0.2/350+1)</f>
        <v>16.68265447940038</v>
      </c>
      <c r="AL174" s="545">
        <f t="shared" ref="AL174:AL210" si="524">F174*1000</f>
        <v>384</v>
      </c>
      <c r="AM174" s="460">
        <f t="shared" ref="AM174:AM210" si="525">IF(F174&gt;AF174, X174, AE174)</f>
        <v>225.2703071696746</v>
      </c>
      <c r="AO174">
        <f t="shared" ref="AO174:AO210" si="526">IF(H174&gt;O174, "",AL174)</f>
        <v>384</v>
      </c>
      <c r="AP174">
        <f t="shared" ref="AP174:AP210" si="527">IF(H174&gt;O174, "",AM174)</f>
        <v>225.2703071696746</v>
      </c>
      <c r="AR174" s="5">
        <f t="shared" si="443"/>
        <v>4.4391114504353899</v>
      </c>
      <c r="AS174" s="5">
        <f t="shared" si="440"/>
        <v>2.2355797641196382</v>
      </c>
      <c r="AT174" s="5">
        <f t="shared" si="441"/>
        <v>2.2035316863157517</v>
      </c>
      <c r="AU174" s="173">
        <f t="shared" si="442"/>
        <v>0.50360974016553961</v>
      </c>
      <c r="AW174" s="5">
        <f t="shared" si="477"/>
        <v>0.50497801730702419</v>
      </c>
      <c r="AX174" s="5">
        <f t="shared" si="478"/>
        <v>5.9615460376523677</v>
      </c>
      <c r="AY174" s="5">
        <f t="shared" si="479"/>
        <v>30.058708451247451</v>
      </c>
      <c r="AZ174" s="5"/>
      <c r="BA174" s="173">
        <f t="shared" si="480"/>
        <v>14.026706538975379</v>
      </c>
      <c r="BB174" s="173">
        <f t="shared" si="481"/>
        <v>0.65760740754239377</v>
      </c>
      <c r="BC174" s="173">
        <f t="shared" si="482"/>
        <v>0.519933230511749</v>
      </c>
      <c r="BD174" s="173"/>
      <c r="BE174" s="528">
        <f t="shared" si="483"/>
        <v>7.8699398532213864</v>
      </c>
      <c r="BF174" s="528">
        <f t="shared" ref="BF174:BF210" si="528">0.5*L174*AI174*AM174*1000*Tfall</f>
        <v>2.8111464989790962</v>
      </c>
      <c r="BG174" s="528">
        <f t="shared" ref="BG174:BG210" si="529">Qg*Vdd*AM174*1000*0+Qg*J174*AM174*1000</f>
        <v>6.8994274911419948E-2</v>
      </c>
      <c r="BH174" s="528">
        <f t="shared" si="484"/>
        <v>1.1824680372514006E-2</v>
      </c>
      <c r="BI174">
        <f t="shared" si="485"/>
        <v>3.4455743524549288E-3</v>
      </c>
      <c r="BJ174" s="460">
        <f t="shared" si="436"/>
        <v>72.439849263874876</v>
      </c>
      <c r="BK174">
        <f t="shared" ref="BK174:BK210" si="530">(BF174+BG174*0+BH174+BI174*0+BE174*(1+RdsonTC*(Ta-25)))/(1-BE174*RdsonTC*ThetaJA)</f>
        <v>-14.734829921359184</v>
      </c>
      <c r="BL174" s="460">
        <f t="shared" si="437"/>
        <v>10765.350881836872</v>
      </c>
      <c r="BM174" s="173">
        <f t="shared" ref="BM174:BM210" si="531">Vfwd2*F174*(1+Diode_TC/1000*(Ta-25))</f>
        <v>0.333312</v>
      </c>
      <c r="BN174" s="173">
        <f t="shared" ref="BN174:BN210" si="532">Vfwd2*G174*(1+Diode_TC/1000*(Ta-25))</f>
        <v>0.27775999999999995</v>
      </c>
      <c r="BO174" s="528"/>
      <c r="BQ174" s="460">
        <f t="shared" si="486"/>
        <v>611.072</v>
      </c>
      <c r="BR174" s="528">
        <f t="shared" si="487"/>
        <v>5.9024548899160401</v>
      </c>
      <c r="BS174" s="528">
        <f t="shared" si="488"/>
        <v>1.2973425073638838E-2</v>
      </c>
      <c r="BT174" s="528">
        <f t="shared" si="489"/>
        <v>1.3516528209519176E-3</v>
      </c>
      <c r="BU174" s="528">
        <f t="shared" si="490"/>
        <v>261.15784535225788</v>
      </c>
      <c r="BV174" s="528"/>
      <c r="BW174" s="625">
        <f t="shared" ref="BW174:BW210" si="533">0.5*Lleak*0.000000001*AI174^2*AM174*1000</f>
        <v>6.6005863273686431</v>
      </c>
      <c r="BX174" s="460">
        <f t="shared" si="491"/>
        <v>273675.21164743713</v>
      </c>
      <c r="BY174" s="173">
        <f t="shared" si="492"/>
        <v>285.05163452927405</v>
      </c>
      <c r="BZ174" s="5">
        <f t="shared" si="493"/>
        <v>69.12</v>
      </c>
      <c r="CA174" s="173">
        <f t="shared" si="494"/>
        <v>0.19515961545555927</v>
      </c>
      <c r="CB174" s="5">
        <f t="shared" si="495"/>
        <v>19.515961545555925</v>
      </c>
      <c r="CC174">
        <f t="shared" si="496"/>
        <v>64</v>
      </c>
      <c r="CE174" s="562">
        <f t="shared" ref="CE174:CE210" si="534">IF(ABS(F174-Ioutmax_Vinmin)&lt;Iout/200, AM174, -50)</f>
        <v>-50</v>
      </c>
      <c r="CF174">
        <f t="shared" ref="CF174:CF210" si="535">IF(ABS(F174-Ioutmax_Vinmin)&lt;Iout/200, (O174+P174)*CA174, -50)</f>
        <v>-50</v>
      </c>
      <c r="CG174" s="173">
        <f t="shared" ref="CG174:CG210" si="536">MIN(SQRT(2*DT174*1000*Ls1_*(CL174+CJ174*Vfwd1))/(CW174+Vfwd1), 1-DY174)</f>
        <v>0.49996674565333021</v>
      </c>
      <c r="CH174" s="173">
        <f t="shared" ref="CH174:CH210" si="537">MIN(SQRT(2*DT174*1000*Ls2_*(CM174+CK174*Vfwd22))/(Vout2+Vfwd22), 1-DY174)</f>
        <v>0.12441737294010324</v>
      </c>
      <c r="CI174" s="170">
        <v>64</v>
      </c>
      <c r="CJ174" s="217">
        <f t="shared" si="438"/>
        <v>0.38400000000000001</v>
      </c>
      <c r="CK174" s="217">
        <f t="shared" ref="CK174:CK210" si="538">IF(PLOT_TYPE=1, CI174/100*Iout2, min_I*EXP(CU174*rr/100))</f>
        <v>0.32</v>
      </c>
      <c r="CL174" s="217">
        <f t="shared" ref="CL174:CL210" si="539">CJ174*Vout</f>
        <v>65.28</v>
      </c>
      <c r="CM174" s="217">
        <f t="shared" ref="CM174:CM210" si="540">Vout2*CK174</f>
        <v>3.84</v>
      </c>
      <c r="CN174" s="541">
        <f t="shared" ref="CN174:CN212" si="541">VIN_min</f>
        <v>9</v>
      </c>
      <c r="CO174" s="443">
        <f t="shared" ref="CO174:CO210" si="542">(CW174+Vfwd2)*Nps</f>
        <v>8.5350000000000001</v>
      </c>
      <c r="CP174" s="443">
        <f t="shared" ref="CP174:CP210" si="543">(Vout+Vfwd2)*Nps+CN174</f>
        <v>17.535</v>
      </c>
      <c r="CQ174" s="443"/>
      <c r="CR174" s="217">
        <f t="shared" ref="CR174:CR210" si="544">(Vout+Vfwd1)*Nps/((Vout+Vfwd1)*Nps+CN174)</f>
        <v>0.48644793152639093</v>
      </c>
      <c r="CS174" s="172">
        <f t="shared" ref="CS174:CS210" si="545">CR174*CN174*Isw_max*0.5*Efficiency*Pout/(Pout+Pout2)</f>
        <v>137.82691393247745</v>
      </c>
      <c r="CT174" s="172">
        <f t="shared" ref="CT174:CT210" si="546">CR174*CN174*Isw_max*0.5*Efficiency*(Pout2/Pout_total)</f>
        <v>8.1074655254398493</v>
      </c>
      <c r="CU174" s="217">
        <f t="shared" ref="CU174:CU210" si="547">CS174/Vout</f>
        <v>0.81074655254398498</v>
      </c>
      <c r="CV174" s="217">
        <f t="shared" ref="CV174:CV210" si="548">CS174/Vout2</f>
        <v>11.485576161039788</v>
      </c>
      <c r="CW174" s="217">
        <f t="shared" ref="CW174:CW210" si="549">MIN(Vout,CS174/CJ174)</f>
        <v>170</v>
      </c>
      <c r="CX174" s="217">
        <f t="shared" ref="CX174:CX210" si="550">MIN(2*(Vout*CJ174+Vout2*CK174)/(Efficiency*CN174*CR174), Isw_max)</f>
        <v>31.575835777126098</v>
      </c>
      <c r="CY174" s="217">
        <f t="shared" ref="CY174:CY210" si="551">L*CX174/CN174*1000000</f>
        <v>1.7542130987292275</v>
      </c>
      <c r="CZ174" s="217">
        <f t="shared" ref="CZ174:CZ210" si="552">L*CX174/CO174*1000000</f>
        <v>1.8497853413664966</v>
      </c>
      <c r="DA174" s="197">
        <f t="shared" ref="DA174:DA210" si="553">IF(1/((350000*L)*(1/CN174+1/CO174))&gt;Isw_min, 350, 0.001/((Isw_min*L)*(1/CN174+1/CO174)))</f>
        <v>350</v>
      </c>
      <c r="DB174" s="443">
        <f t="shared" ref="DB174:DB210" si="554">MIN(1/(CY174+CZ174)*1000, 350)</f>
        <v>277.46959845338876</v>
      </c>
      <c r="DD174" s="217">
        <f t="shared" ref="DD174:DD210" si="555">1/((DA174*1000*L)*(1/CN174+1/CO174))</f>
        <v>25.032384211169504</v>
      </c>
      <c r="DE174" s="173">
        <f t="shared" ref="DE174:DE210" si="556">L*DD174/CO174*1000000</f>
        <v>1.4664548454112187</v>
      </c>
      <c r="DF174" s="173">
        <f t="shared" ref="DF174:DF210" si="557">0.5*DE174*DD174*Nps*DA174/1000*(Pout/(Pout+Pout2))</f>
        <v>0.30335794952229944</v>
      </c>
      <c r="DG174" s="173"/>
      <c r="DH174" s="173">
        <f t="shared" ref="DH174:DH210" si="558">L*Isw_min/CO174*1000000</f>
        <v>0.78109744190587771</v>
      </c>
      <c r="DI174" s="545">
        <f t="shared" ref="DI174:DI210" si="559">MAX(10, CJ174/(0.5*DH174/1000000*Isw_min*Nps)/1000*Pout_total/Pout)</f>
        <v>1561.6037647058827</v>
      </c>
      <c r="DJ174" s="528">
        <f t="shared" ref="DJ174:DJ210" si="560">0.5*DH174/1000000*Isw_min*Nps*DA174*1000*(Pout/Pout_total)</f>
        <v>8.6065366284073561E-2</v>
      </c>
      <c r="DL174" s="173">
        <f t="shared" ref="DL174:DL210" si="561">SQRT((CL174+CM174)/(0.5*L*Fsw_DCM))</f>
        <v>28.105922100917759</v>
      </c>
      <c r="DM174" s="173">
        <f t="shared" ref="DM174:DM210" si="562">MAX(IF(CJ174&gt;DF174,CX174,DL174),Isw_min)</f>
        <v>31.575835777126098</v>
      </c>
      <c r="DN174" s="173">
        <f t="shared" ref="DN174:DN210" si="563">IF(CJ174&gt;DJ174, (DM174-Isw_min)/1.08*0.8+1.2, DI174*0.2/350+1)</f>
        <v>14.712964773179825</v>
      </c>
      <c r="DP174" s="545">
        <f t="shared" ref="DP174:DP210" si="564">CJ174*1000</f>
        <v>384</v>
      </c>
      <c r="DQ174" s="460">
        <f t="shared" ref="DQ174:DQ210" si="565">IF(CJ174&gt;DJ174, DB174, DI174)</f>
        <v>277.46959845338876</v>
      </c>
      <c r="DS174">
        <f t="shared" ref="DS174:DS192" si="566">IF(CL174&gt;CS174, "",DP174)</f>
        <v>384</v>
      </c>
      <c r="DT174">
        <f t="shared" ref="DT174:DT193" si="567">IF(CL174&gt;CS174, "",DQ174)</f>
        <v>277.46959845338876</v>
      </c>
      <c r="DV174" s="5">
        <f t="shared" ref="DV174:DV210" si="568">1/DQ174*1000</f>
        <v>3.6039984400957241</v>
      </c>
      <c r="DW174" s="5">
        <f t="shared" ref="DW174:DW210" si="569">L*DM174/CN174*1000000</f>
        <v>1.7542130987292275</v>
      </c>
      <c r="DX174" s="5">
        <f t="shared" ref="DX174:DX210" si="570">DV174-DW174</f>
        <v>1.8497853413664966</v>
      </c>
      <c r="DY174" s="173">
        <f t="shared" ref="DY174:DY210" si="571">DW174/DV174</f>
        <v>0.48674080410607357</v>
      </c>
      <c r="EA174" s="5">
        <f t="shared" ref="EA174:EA210" si="572">CJ174*DW174/Vout_ripple*1000</f>
        <v>0.39624578230119023</v>
      </c>
      <c r="EB174" s="5">
        <f t="shared" ref="EB174:EB210" si="573">CK174*DW174/Vout_ripple2*1000</f>
        <v>4.6779015966112736</v>
      </c>
      <c r="EC174" s="5">
        <f t="shared" ref="EC174:EC210" si="574">CL174/Efficiency/CN174*DX174/Vinripple1</f>
        <v>21.467375481671986</v>
      </c>
      <c r="ED174" s="5"/>
      <c r="EE174" s="173">
        <f t="shared" ref="EE174:EE210" si="575">DM174*SQRT(DY174/3)</f>
        <v>12.718711167436426</v>
      </c>
      <c r="EF174" s="173">
        <f t="shared" ref="EF174:EF210" si="576">DM174*Npri_sec1*SQRT((1-DY174)/3)*(Pout/Pout_total)</f>
        <v>0.61674980028855886</v>
      </c>
      <c r="EG174" s="173">
        <f t="shared" ref="EG174:EG210" si="577">DM174*Npri_sec2*SQRT((1-DY174)/3)*(Pout2/Pout_total)</f>
        <v>0.4876294159761787</v>
      </c>
      <c r="EH174" s="173"/>
      <c r="EI174" s="528">
        <f t="shared" ref="EI174:EI210" si="578">Rdson*EE174^2</f>
        <v>6.4706245504268827</v>
      </c>
      <c r="EJ174" s="528">
        <f t="shared" ref="EJ174:EJ210" si="579">0.5*CP174*DM174*DQ174*1000*Trise</f>
        <v>4.2248250000000001</v>
      </c>
      <c r="EK174" s="528">
        <f t="shared" ref="EK174:EK210" si="580">Qg*Vdd*DQ174*1000</f>
        <v>5.5493919690677747E-2</v>
      </c>
      <c r="EL174" s="528">
        <f t="shared" ref="EL174:EL210" si="581">0.5*(Coss+Csw)*CP174^2*DQ174*1000</f>
        <v>1.7063060936942761E-2</v>
      </c>
      <c r="EM174">
        <f t="shared" ref="EM174:EM210" si="582">CN174*IQ</f>
        <v>4.0499999999999998E-3</v>
      </c>
      <c r="EN174" s="460">
        <f t="shared" ref="EN174:EN210" si="583">(EK174+EM174)*1000</f>
        <v>59.543919690677747</v>
      </c>
      <c r="EP174" s="460">
        <f t="shared" si="439"/>
        <v>10772.056531054503</v>
      </c>
      <c r="EQ174" s="173">
        <f t="shared" ref="EQ174:EQ210" si="584">Vfwd2*CJ174</f>
        <v>0.26879999999999998</v>
      </c>
      <c r="ER174" s="173">
        <f t="shared" ref="ER174:ER210" si="585">Vfwd22*CK174*(1+Diode_TC/1000*(Ta-25))</f>
        <v>0.27775999999999995</v>
      </c>
      <c r="ES174" s="528"/>
      <c r="EU174" s="460">
        <f t="shared" si="497"/>
        <v>546.55999999999995</v>
      </c>
      <c r="EV174" s="528">
        <f t="shared" ref="EV174:EV210" si="586">Rdcr_pri*EE174^2</f>
        <v>4.8529684128201618</v>
      </c>
      <c r="EW174" s="528">
        <f t="shared" ref="EW174:EW210" si="587">Rdcr_sec*EF174^2</f>
        <v>1.1411409484679317E-2</v>
      </c>
      <c r="EX174" s="528">
        <f t="shared" ref="EX174:EX210" si="588">Rdcr_sec2*EG174^2</f>
        <v>1.1889122366263456E-3</v>
      </c>
      <c r="EY174" s="528">
        <f t="shared" ref="EY174:EY210" si="589">DM174^2.5*DQ174^2.5*k_core</f>
        <v>359.24907218562657</v>
      </c>
      <c r="EZ174" s="528"/>
      <c r="FA174" s="625">
        <f t="shared" ref="FA174:FA210" si="590">0.5*Lleak*0.000000001*DM174^2*DQ174*1000</f>
        <v>6.9161614634158592</v>
      </c>
      <c r="FB174" s="460">
        <f t="shared" si="498"/>
        <v>371030.80238358385</v>
      </c>
      <c r="FC174" s="173">
        <f t="shared" ref="FC174:FC210" si="591">SUM(EI174:EM174,EQ174:ET174,EV174:FA174)</f>
        <v>382.34941891463836</v>
      </c>
      <c r="FD174" s="5">
        <f t="shared" ref="FD174:FD210" si="592">MIN(CL174+CM174,CS174+CT174)</f>
        <v>69.12</v>
      </c>
      <c r="FE174" s="173">
        <f t="shared" ref="FE174:FE210" si="593">FD174/(FD174+FC174)</f>
        <v>0.15310007080029683</v>
      </c>
      <c r="FF174" s="5">
        <f t="shared" ref="FF174:FF210" si="594">FE174*100</f>
        <v>15.310007080029683</v>
      </c>
      <c r="FG174">
        <f t="shared" ref="FG174:FG210" si="595">CJ174/Iout*100</f>
        <v>64</v>
      </c>
      <c r="FI174" s="562">
        <f t="shared" ref="FI174:FI210" si="596">IF(ABS(CJ174-Ioutmax_Vinmin)&lt;Iout/200, DQ174, -50)</f>
        <v>-50</v>
      </c>
      <c r="FJ174">
        <f t="shared" ref="FJ174:FJ210" si="597">IF(ABS(CJ174-Ioutmax_Vinmin)&lt;Iout/200, (CS174+CT174)*FE174, -50)</f>
        <v>-50</v>
      </c>
    </row>
    <row r="175" spans="5:166">
      <c r="E175" s="170">
        <v>65</v>
      </c>
      <c r="F175" s="217">
        <f t="shared" ref="F175:F206" si="598">IF(PLOT_TYPE=1, E175/100*Iout_max, min_I*EXP(O175*rr/100))</f>
        <v>0.39</v>
      </c>
      <c r="G175" s="217">
        <f t="shared" si="499"/>
        <v>0.32500000000000001</v>
      </c>
      <c r="H175" s="217">
        <f t="shared" si="500"/>
        <v>66.3</v>
      </c>
      <c r="I175" s="217">
        <f t="shared" si="501"/>
        <v>3.9000000000000004</v>
      </c>
      <c r="J175" s="541">
        <f t="shared" si="502"/>
        <v>7.6358448926934166</v>
      </c>
      <c r="K175" s="443">
        <f t="shared" si="503"/>
        <v>8.5437775263682774</v>
      </c>
      <c r="L175" s="172">
        <f t="shared" si="504"/>
        <v>16.179622419061694</v>
      </c>
      <c r="M175" s="443"/>
      <c r="N175" s="217">
        <f t="shared" si="505"/>
        <v>0.52805790549862275</v>
      </c>
      <c r="O175" s="172">
        <f t="shared" si="506"/>
        <v>126.93863043095688</v>
      </c>
      <c r="P175" s="172">
        <f t="shared" si="507"/>
        <v>7.4669782606445221</v>
      </c>
      <c r="Q175" s="217">
        <f t="shared" si="508"/>
        <v>0.74669782606445223</v>
      </c>
      <c r="R175" s="217">
        <f t="shared" si="509"/>
        <v>10.57821920257974</v>
      </c>
      <c r="S175" s="217">
        <f t="shared" si="510"/>
        <v>170</v>
      </c>
      <c r="T175" s="217">
        <f t="shared" si="511"/>
        <v>34.819975487320868</v>
      </c>
      <c r="U175" s="217">
        <f t="shared" si="512"/>
        <v>2.2800342317481714</v>
      </c>
      <c r="V175" s="217">
        <f t="shared" si="513"/>
        <v>2.0377388912490719</v>
      </c>
      <c r="W175" s="197">
        <f t="shared" si="514"/>
        <v>350</v>
      </c>
      <c r="X175" s="443">
        <f t="shared" ref="X175:X210" si="599">MIN(1/(U175+V175+0.2)*1000, 350)</f>
        <v>221.34798998860884</v>
      </c>
      <c r="Z175" s="217">
        <f t="shared" si="515"/>
        <v>23.040961489988806</v>
      </c>
      <c r="AA175" s="173">
        <f t="shared" si="516"/>
        <v>1.3484059842896494</v>
      </c>
      <c r="AB175" s="173">
        <f t="shared" si="517"/>
        <v>0.25674721336595158</v>
      </c>
      <c r="AC175" s="173"/>
      <c r="AD175" s="173">
        <f t="shared" si="518"/>
        <v>0.78029497445265072</v>
      </c>
      <c r="AE175" s="545">
        <f t="shared" si="519"/>
        <v>1587.6348944586698</v>
      </c>
      <c r="AF175" s="528">
        <f t="shared" si="520"/>
        <v>8.5976946259134671E-2</v>
      </c>
      <c r="AH175" s="173">
        <f t="shared" si="521"/>
        <v>28.324648528899953</v>
      </c>
      <c r="AI175" s="173">
        <f t="shared" si="522"/>
        <v>34.819975487320868</v>
      </c>
      <c r="AJ175" s="173">
        <f t="shared" si="523"/>
        <v>17.116031225175949</v>
      </c>
      <c r="AL175" s="545">
        <f t="shared" si="524"/>
        <v>390</v>
      </c>
      <c r="AM175" s="460">
        <f t="shared" si="525"/>
        <v>221.34798998860884</v>
      </c>
      <c r="AO175">
        <f t="shared" si="526"/>
        <v>390</v>
      </c>
      <c r="AP175">
        <f t="shared" si="527"/>
        <v>221.34798998860884</v>
      </c>
      <c r="AR175" s="5">
        <f t="shared" si="443"/>
        <v>4.5177731229972435</v>
      </c>
      <c r="AS175" s="5">
        <f t="shared" si="440"/>
        <v>2.2800342317481714</v>
      </c>
      <c r="AT175" s="5">
        <f t="shared" si="441"/>
        <v>2.2377388912490721</v>
      </c>
      <c r="AU175" s="173">
        <f t="shared" si="442"/>
        <v>0.50468099430267976</v>
      </c>
      <c r="AW175" s="5">
        <f t="shared" si="477"/>
        <v>0.52306667669516871</v>
      </c>
      <c r="AX175" s="5">
        <f t="shared" si="478"/>
        <v>6.1750927109846305</v>
      </c>
      <c r="AY175" s="5">
        <f t="shared" si="479"/>
        <v>31.087501765632378</v>
      </c>
      <c r="AZ175" s="5"/>
      <c r="BA175" s="173">
        <f t="shared" si="480"/>
        <v>14.281581700858023</v>
      </c>
      <c r="BB175" s="173">
        <f t="shared" si="481"/>
        <v>0.66812350461496928</v>
      </c>
      <c r="BC175" s="173">
        <f t="shared" si="482"/>
        <v>0.52824771763675427</v>
      </c>
      <c r="BD175" s="173"/>
      <c r="BE175" s="528">
        <f t="shared" si="483"/>
        <v>8.1585430351313093</v>
      </c>
      <c r="BF175" s="528">
        <f t="shared" si="528"/>
        <v>2.8057885855435929</v>
      </c>
      <c r="BG175" s="528">
        <f t="shared" si="529"/>
        <v>6.7607156754498896E-2</v>
      </c>
      <c r="BH175" s="528">
        <f t="shared" si="484"/>
        <v>1.1588903404238678E-2</v>
      </c>
      <c r="BI175">
        <f t="shared" si="485"/>
        <v>3.4361302017120372E-3</v>
      </c>
      <c r="BJ175" s="460">
        <f t="shared" ref="BJ175:BJ210" si="600">(BG175+BI175)*1000</f>
        <v>71.04328695621092</v>
      </c>
      <c r="BK175">
        <f t="shared" si="530"/>
        <v>-14.042781973834394</v>
      </c>
      <c r="BL175" s="460">
        <f t="shared" ref="BL175:BL210" si="601">SUM(BE175:BI175)*1000</f>
        <v>11046.96381103535</v>
      </c>
      <c r="BM175" s="173">
        <f t="shared" si="531"/>
        <v>0.33851999999999993</v>
      </c>
      <c r="BN175" s="173">
        <f t="shared" si="532"/>
        <v>0.28209999999999996</v>
      </c>
      <c r="BO175" s="528"/>
      <c r="BQ175" s="460">
        <f t="shared" si="486"/>
        <v>620.62</v>
      </c>
      <c r="BR175" s="528">
        <f t="shared" si="487"/>
        <v>6.118907276348482</v>
      </c>
      <c r="BS175" s="528">
        <f t="shared" si="488"/>
        <v>1.3391670522569666E-2</v>
      </c>
      <c r="BT175" s="528">
        <f t="shared" si="489"/>
        <v>1.3952282559422003E-3</v>
      </c>
      <c r="BU175" s="528">
        <f t="shared" si="490"/>
        <v>260.75348015004278</v>
      </c>
      <c r="BV175" s="528"/>
      <c r="BW175" s="625">
        <f t="shared" si="533"/>
        <v>6.709227422055994</v>
      </c>
      <c r="BX175" s="460">
        <f t="shared" si="491"/>
        <v>273596.40174722578</v>
      </c>
      <c r="BY175" s="173">
        <f t="shared" si="492"/>
        <v>285.26398555826114</v>
      </c>
      <c r="BZ175" s="5">
        <f t="shared" si="493"/>
        <v>70.2</v>
      </c>
      <c r="CA175" s="173">
        <f t="shared" si="494"/>
        <v>0.1974883612744901</v>
      </c>
      <c r="CB175" s="5">
        <f t="shared" si="495"/>
        <v>19.74883612744901</v>
      </c>
      <c r="CC175">
        <f t="shared" si="496"/>
        <v>65</v>
      </c>
      <c r="CE175" s="562">
        <f t="shared" si="534"/>
        <v>-50</v>
      </c>
      <c r="CF175">
        <f t="shared" si="535"/>
        <v>-50</v>
      </c>
      <c r="CG175" s="173">
        <f t="shared" si="536"/>
        <v>0.49996674565333021</v>
      </c>
      <c r="CH175" s="173">
        <f t="shared" si="537"/>
        <v>0.12441737294010324</v>
      </c>
      <c r="CI175" s="170">
        <v>65</v>
      </c>
      <c r="CJ175" s="217">
        <f t="shared" ref="CJ175:CJ210" si="602">IF(PLOT_TYPE=1, CI175/100*Iout_max, min_I*EXP(CS175*rr/100))</f>
        <v>0.39</v>
      </c>
      <c r="CK175" s="217">
        <f t="shared" si="538"/>
        <v>0.32500000000000001</v>
      </c>
      <c r="CL175" s="217">
        <f t="shared" si="539"/>
        <v>66.3</v>
      </c>
      <c r="CM175" s="217">
        <f t="shared" si="540"/>
        <v>3.9000000000000004</v>
      </c>
      <c r="CN175" s="541">
        <f t="shared" si="541"/>
        <v>9</v>
      </c>
      <c r="CO175" s="443">
        <f t="shared" si="542"/>
        <v>8.5350000000000001</v>
      </c>
      <c r="CP175" s="443">
        <f t="shared" si="543"/>
        <v>17.535</v>
      </c>
      <c r="CQ175" s="443"/>
      <c r="CR175" s="217">
        <f t="shared" si="544"/>
        <v>0.48644793152639093</v>
      </c>
      <c r="CS175" s="172">
        <f t="shared" si="545"/>
        <v>137.82691393247745</v>
      </c>
      <c r="CT175" s="172">
        <f t="shared" si="546"/>
        <v>8.1074655254398493</v>
      </c>
      <c r="CU175" s="217">
        <f t="shared" si="547"/>
        <v>0.81074655254398498</v>
      </c>
      <c r="CV175" s="217">
        <f t="shared" si="548"/>
        <v>11.485576161039788</v>
      </c>
      <c r="CW175" s="217">
        <f t="shared" si="549"/>
        <v>170</v>
      </c>
      <c r="CX175" s="217">
        <f t="shared" si="550"/>
        <v>32.069208211143696</v>
      </c>
      <c r="CY175" s="217">
        <f t="shared" si="551"/>
        <v>1.7816226783968718</v>
      </c>
      <c r="CZ175" s="217">
        <f t="shared" si="552"/>
        <v>1.8786882373253482</v>
      </c>
      <c r="DA175" s="197">
        <f t="shared" si="553"/>
        <v>350</v>
      </c>
      <c r="DB175" s="443">
        <f t="shared" si="554"/>
        <v>273.20083540025968</v>
      </c>
      <c r="DD175" s="217">
        <f t="shared" si="555"/>
        <v>25.032384211169504</v>
      </c>
      <c r="DE175" s="173">
        <f t="shared" si="556"/>
        <v>1.4664548454112187</v>
      </c>
      <c r="DF175" s="173">
        <f t="shared" si="557"/>
        <v>0.30335794952229944</v>
      </c>
      <c r="DG175" s="173"/>
      <c r="DH175" s="173">
        <f t="shared" si="558"/>
        <v>0.78109744190587771</v>
      </c>
      <c r="DI175" s="545">
        <f t="shared" si="559"/>
        <v>1586.0038235294119</v>
      </c>
      <c r="DJ175" s="528">
        <f t="shared" si="560"/>
        <v>8.6065366284073561E-2</v>
      </c>
      <c r="DL175" s="173">
        <f t="shared" si="561"/>
        <v>28.324648528899953</v>
      </c>
      <c r="DM175" s="173">
        <f t="shared" si="562"/>
        <v>32.069208211143696</v>
      </c>
      <c r="DN175" s="173">
        <f t="shared" si="563"/>
        <v>15.07842583541508</v>
      </c>
      <c r="DP175" s="545">
        <f t="shared" si="564"/>
        <v>390</v>
      </c>
      <c r="DQ175" s="460">
        <f t="shared" si="565"/>
        <v>273.20083540025968</v>
      </c>
      <c r="DS175">
        <f t="shared" si="566"/>
        <v>390</v>
      </c>
      <c r="DT175">
        <f t="shared" si="567"/>
        <v>273.20083540025968</v>
      </c>
      <c r="DV175" s="5">
        <f t="shared" si="568"/>
        <v>3.6603109157222198</v>
      </c>
      <c r="DW175" s="5">
        <f t="shared" si="569"/>
        <v>1.7816226783968718</v>
      </c>
      <c r="DX175" s="5">
        <f t="shared" si="570"/>
        <v>1.878688237325348</v>
      </c>
      <c r="DY175" s="173">
        <f t="shared" si="571"/>
        <v>0.48674080410607357</v>
      </c>
      <c r="EA175" s="5">
        <f t="shared" si="572"/>
        <v>0.40872520269104706</v>
      </c>
      <c r="EB175" s="5">
        <f t="shared" si="573"/>
        <v>4.8252280873248612</v>
      </c>
      <c r="EC175" s="5">
        <f t="shared" si="574"/>
        <v>22.143472023941435</v>
      </c>
      <c r="ED175" s="5"/>
      <c r="EE175" s="173">
        <f t="shared" si="575"/>
        <v>12.917441029427621</v>
      </c>
      <c r="EF175" s="173">
        <f t="shared" si="576"/>
        <v>0.6263865159180676</v>
      </c>
      <c r="EG175" s="173">
        <f t="shared" si="577"/>
        <v>0.49524862560080651</v>
      </c>
      <c r="EH175" s="173"/>
      <c r="EI175" s="528">
        <f t="shared" si="578"/>
        <v>6.6744113099496056</v>
      </c>
      <c r="EJ175" s="528">
        <f t="shared" si="579"/>
        <v>4.2248250000000001</v>
      </c>
      <c r="EK175" s="528">
        <f t="shared" si="580"/>
        <v>5.4640167080051934E-2</v>
      </c>
      <c r="EL175" s="528">
        <f t="shared" si="581"/>
        <v>1.6800552307143644E-2</v>
      </c>
      <c r="EM175">
        <f t="shared" si="582"/>
        <v>4.0499999999999998E-3</v>
      </c>
      <c r="EN175" s="460">
        <f t="shared" si="583"/>
        <v>58.690167080051928</v>
      </c>
      <c r="EP175" s="460">
        <f t="shared" ref="EP175:EP210" si="603">SUM(EI175:EM175)*1000</f>
        <v>10974.727029336802</v>
      </c>
      <c r="EQ175" s="173">
        <f t="shared" si="584"/>
        <v>0.27299999999999996</v>
      </c>
      <c r="ER175" s="173">
        <f t="shared" si="585"/>
        <v>0.28209999999999996</v>
      </c>
      <c r="ES175" s="528"/>
      <c r="EU175" s="460">
        <f t="shared" si="497"/>
        <v>555.09999999999991</v>
      </c>
      <c r="EV175" s="528">
        <f t="shared" si="586"/>
        <v>5.0058084824622036</v>
      </c>
      <c r="EW175" s="528">
        <f t="shared" si="587"/>
        <v>1.1770802019719266E-2</v>
      </c>
      <c r="EX175" s="528">
        <f t="shared" si="588"/>
        <v>1.2263560057974392E-3</v>
      </c>
      <c r="EY175" s="528">
        <f t="shared" si="589"/>
        <v>359.2490721856272</v>
      </c>
      <c r="EZ175" s="528"/>
      <c r="FA175" s="625">
        <f t="shared" si="590"/>
        <v>7.0242264862817336</v>
      </c>
      <c r="FB175" s="460">
        <f t="shared" si="498"/>
        <v>371292.10431239667</v>
      </c>
      <c r="FC175" s="173">
        <f t="shared" si="591"/>
        <v>382.82193134173349</v>
      </c>
      <c r="FD175" s="5">
        <f t="shared" si="592"/>
        <v>70.2</v>
      </c>
      <c r="FE175" s="173">
        <f t="shared" si="593"/>
        <v>0.15495938528204542</v>
      </c>
      <c r="FF175" s="5">
        <f t="shared" si="594"/>
        <v>15.495938528204542</v>
      </c>
      <c r="FG175">
        <f t="shared" si="595"/>
        <v>65</v>
      </c>
      <c r="FI175" s="562">
        <f t="shared" si="596"/>
        <v>-50</v>
      </c>
      <c r="FJ175">
        <f t="shared" si="597"/>
        <v>-50</v>
      </c>
    </row>
    <row r="176" spans="5:166">
      <c r="E176" s="170">
        <v>66</v>
      </c>
      <c r="F176" s="217">
        <f t="shared" si="598"/>
        <v>0.39600000000000002</v>
      </c>
      <c r="G176" s="217">
        <f t="shared" si="499"/>
        <v>0.33</v>
      </c>
      <c r="H176" s="217">
        <f t="shared" si="500"/>
        <v>67.320000000000007</v>
      </c>
      <c r="I176" s="217">
        <f t="shared" si="501"/>
        <v>3.96</v>
      </c>
      <c r="J176" s="541">
        <f t="shared" si="502"/>
        <v>7.6148578910425453</v>
      </c>
      <c r="K176" s="443">
        <f t="shared" si="503"/>
        <v>8.5439125652354804</v>
      </c>
      <c r="L176" s="172">
        <f t="shared" si="504"/>
        <v>16.158770456278027</v>
      </c>
      <c r="M176" s="443"/>
      <c r="N176" s="217">
        <f t="shared" si="505"/>
        <v>0.52874769081925954</v>
      </c>
      <c r="O176" s="172">
        <f t="shared" si="506"/>
        <v>126.75510173832328</v>
      </c>
      <c r="P176" s="172">
        <f t="shared" si="507"/>
        <v>7.4561824551954867</v>
      </c>
      <c r="Q176" s="217">
        <f t="shared" si="508"/>
        <v>0.74561824551954869</v>
      </c>
      <c r="R176" s="217">
        <f t="shared" si="509"/>
        <v>10.562925144860273</v>
      </c>
      <c r="S176" s="217">
        <f t="shared" si="510"/>
        <v>170</v>
      </c>
      <c r="T176" s="217">
        <f t="shared" si="511"/>
        <v>35.406858883401405</v>
      </c>
      <c r="U176" s="217">
        <f t="shared" si="512"/>
        <v>2.324853555379605</v>
      </c>
      <c r="V176" s="217">
        <f t="shared" si="513"/>
        <v>2.072051803729194</v>
      </c>
      <c r="W176" s="197">
        <f t="shared" si="514"/>
        <v>350</v>
      </c>
      <c r="X176" s="443">
        <f t="shared" si="599"/>
        <v>217.53765237269749</v>
      </c>
      <c r="Z176" s="217">
        <f t="shared" si="515"/>
        <v>23.007648718888934</v>
      </c>
      <c r="AA176" s="173">
        <f t="shared" si="516"/>
        <v>1.3464351690878296</v>
      </c>
      <c r="AB176" s="173">
        <f t="shared" si="517"/>
        <v>0.25600129026267654</v>
      </c>
      <c r="AC176" s="173"/>
      <c r="AD176" s="173">
        <f t="shared" si="518"/>
        <v>0.78028264167786754</v>
      </c>
      <c r="AE176" s="545">
        <f t="shared" si="519"/>
        <v>1612.0855261323136</v>
      </c>
      <c r="AF176" s="528">
        <f t="shared" si="520"/>
        <v>8.5975587370061321E-2</v>
      </c>
      <c r="AH176" s="173">
        <f t="shared" si="521"/>
        <v>28.541698818195307</v>
      </c>
      <c r="AI176" s="173">
        <f t="shared" si="522"/>
        <v>35.406858883401405</v>
      </c>
      <c r="AJ176" s="173">
        <f t="shared" si="523"/>
        <v>17.550759666717088</v>
      </c>
      <c r="AL176" s="545">
        <f t="shared" si="524"/>
        <v>396</v>
      </c>
      <c r="AM176" s="460">
        <f t="shared" si="525"/>
        <v>217.53765237269749</v>
      </c>
      <c r="AO176">
        <f t="shared" si="526"/>
        <v>396</v>
      </c>
      <c r="AP176">
        <f t="shared" si="527"/>
        <v>217.53765237269749</v>
      </c>
      <c r="AR176" s="5">
        <f t="shared" si="443"/>
        <v>4.5969053591087983</v>
      </c>
      <c r="AS176" s="5">
        <f t="shared" si="440"/>
        <v>2.324853555379605</v>
      </c>
      <c r="AT176" s="5">
        <f t="shared" si="441"/>
        <v>2.2720518037291932</v>
      </c>
      <c r="AU176" s="173">
        <f t="shared" si="442"/>
        <v>0.50574318454759837</v>
      </c>
      <c r="AW176" s="5">
        <f t="shared" si="477"/>
        <v>0.54155412231195499</v>
      </c>
      <c r="AX176" s="5">
        <f t="shared" si="478"/>
        <v>6.3933472772939144</v>
      </c>
      <c r="AY176" s="5">
        <f t="shared" si="479"/>
        <v>32.138123571702458</v>
      </c>
      <c r="AZ176" s="5"/>
      <c r="BA176" s="173">
        <f t="shared" si="480"/>
        <v>14.537569103925078</v>
      </c>
      <c r="BB176" s="173">
        <f t="shared" si="481"/>
        <v>0.678655739963961</v>
      </c>
      <c r="BC176" s="173">
        <f t="shared" si="482"/>
        <v>0.53657496439021835</v>
      </c>
      <c r="BD176" s="173"/>
      <c r="BE176" s="528">
        <f t="shared" si="483"/>
        <v>8.4536366180558797</v>
      </c>
      <c r="BF176" s="528">
        <f t="shared" si="528"/>
        <v>2.8003522724637286</v>
      </c>
      <c r="BG176" s="528">
        <f t="shared" si="529"/>
        <v>6.6260732350764226E-2</v>
      </c>
      <c r="BH176" s="528">
        <f t="shared" si="484"/>
        <v>1.1360071276703604E-2</v>
      </c>
      <c r="BI176">
        <f t="shared" si="485"/>
        <v>3.4266860509691451E-3</v>
      </c>
      <c r="BJ176" s="460">
        <f t="shared" si="600"/>
        <v>69.687418401733368</v>
      </c>
      <c r="BK176">
        <f t="shared" si="530"/>
        <v>-13.432525240013943</v>
      </c>
      <c r="BL176" s="460">
        <f t="shared" si="601"/>
        <v>11335.036380198046</v>
      </c>
      <c r="BM176" s="173">
        <f t="shared" si="531"/>
        <v>0.34372799999999998</v>
      </c>
      <c r="BN176" s="173">
        <f t="shared" si="532"/>
        <v>0.28643999999999997</v>
      </c>
      <c r="BO176" s="528"/>
      <c r="BQ176" s="460">
        <f t="shared" si="486"/>
        <v>630.16800000000001</v>
      </c>
      <c r="BR176" s="528">
        <f t="shared" si="487"/>
        <v>6.3402274635419094</v>
      </c>
      <c r="BS176" s="528">
        <f t="shared" si="488"/>
        <v>1.3817208401580943E-2</v>
      </c>
      <c r="BT176" s="528">
        <f t="shared" si="489"/>
        <v>1.4395634620518205E-3</v>
      </c>
      <c r="BU176" s="528">
        <f t="shared" si="490"/>
        <v>260.33022755421285</v>
      </c>
      <c r="BV176" s="528"/>
      <c r="BW176" s="625">
        <f t="shared" si="533"/>
        <v>6.8178783227774851</v>
      </c>
      <c r="BX176" s="460">
        <f t="shared" si="491"/>
        <v>273503.59011239582</v>
      </c>
      <c r="BY176" s="173">
        <f t="shared" si="492"/>
        <v>285.46879449259393</v>
      </c>
      <c r="BZ176" s="5">
        <f t="shared" si="493"/>
        <v>71.28</v>
      </c>
      <c r="CA176" s="173">
        <f t="shared" si="494"/>
        <v>0.19980445932937771</v>
      </c>
      <c r="CB176" s="5">
        <f t="shared" si="495"/>
        <v>19.980445932937769</v>
      </c>
      <c r="CC176">
        <f t="shared" si="496"/>
        <v>66</v>
      </c>
      <c r="CE176" s="562">
        <f t="shared" si="534"/>
        <v>-50</v>
      </c>
      <c r="CF176">
        <f t="shared" si="535"/>
        <v>-50</v>
      </c>
      <c r="CG176" s="173">
        <f t="shared" si="536"/>
        <v>0.49996674565333021</v>
      </c>
      <c r="CH176" s="173">
        <f t="shared" si="537"/>
        <v>0.12441737294010323</v>
      </c>
      <c r="CI176" s="170">
        <v>66</v>
      </c>
      <c r="CJ176" s="217">
        <f t="shared" si="602"/>
        <v>0.39600000000000002</v>
      </c>
      <c r="CK176" s="217">
        <f t="shared" si="538"/>
        <v>0.33</v>
      </c>
      <c r="CL176" s="217">
        <f t="shared" si="539"/>
        <v>67.320000000000007</v>
      </c>
      <c r="CM176" s="217">
        <f t="shared" si="540"/>
        <v>3.96</v>
      </c>
      <c r="CN176" s="541">
        <f t="shared" si="541"/>
        <v>9</v>
      </c>
      <c r="CO176" s="443">
        <f t="shared" si="542"/>
        <v>8.5350000000000001</v>
      </c>
      <c r="CP176" s="443">
        <f t="shared" si="543"/>
        <v>17.535</v>
      </c>
      <c r="CQ176" s="443"/>
      <c r="CR176" s="217">
        <f t="shared" si="544"/>
        <v>0.48644793152639093</v>
      </c>
      <c r="CS176" s="172">
        <f t="shared" si="545"/>
        <v>137.82691393247745</v>
      </c>
      <c r="CT176" s="172">
        <f t="shared" si="546"/>
        <v>8.1074655254398493</v>
      </c>
      <c r="CU176" s="217">
        <f t="shared" si="547"/>
        <v>0.81074655254398498</v>
      </c>
      <c r="CV176" s="217">
        <f t="shared" si="548"/>
        <v>11.485576161039788</v>
      </c>
      <c r="CW176" s="217">
        <f t="shared" si="549"/>
        <v>170</v>
      </c>
      <c r="CX176" s="217">
        <f t="shared" si="550"/>
        <v>32.56258064516129</v>
      </c>
      <c r="CY176" s="217">
        <f t="shared" si="551"/>
        <v>1.809032258064516</v>
      </c>
      <c r="CZ176" s="217">
        <f t="shared" si="552"/>
        <v>1.9075911332841995</v>
      </c>
      <c r="DA176" s="197">
        <f t="shared" si="553"/>
        <v>350</v>
      </c>
      <c r="DB176" s="443">
        <f t="shared" si="554"/>
        <v>269.06142880328605</v>
      </c>
      <c r="DD176" s="217">
        <f t="shared" si="555"/>
        <v>25.032384211169504</v>
      </c>
      <c r="DE176" s="173">
        <f t="shared" si="556"/>
        <v>1.4664548454112187</v>
      </c>
      <c r="DF176" s="173">
        <f t="shared" si="557"/>
        <v>0.30335794952229944</v>
      </c>
      <c r="DG176" s="173"/>
      <c r="DH176" s="173">
        <f t="shared" si="558"/>
        <v>0.78109744190587771</v>
      </c>
      <c r="DI176" s="545">
        <f t="shared" si="559"/>
        <v>1610.4038823529415</v>
      </c>
      <c r="DJ176" s="528">
        <f t="shared" si="560"/>
        <v>8.6065366284073561E-2</v>
      </c>
      <c r="DL176" s="173">
        <f t="shared" si="561"/>
        <v>28.541698818195307</v>
      </c>
      <c r="DM176" s="173">
        <f t="shared" si="562"/>
        <v>32.56258064516129</v>
      </c>
      <c r="DN176" s="173">
        <f t="shared" si="563"/>
        <v>15.443886897650335</v>
      </c>
      <c r="DP176" s="545">
        <f t="shared" si="564"/>
        <v>396</v>
      </c>
      <c r="DQ176" s="460">
        <f t="shared" si="565"/>
        <v>269.06142880328605</v>
      </c>
      <c r="DS176">
        <f t="shared" si="566"/>
        <v>396</v>
      </c>
      <c r="DT176">
        <f t="shared" si="567"/>
        <v>269.06142880328605</v>
      </c>
      <c r="DV176" s="5">
        <f t="shared" si="568"/>
        <v>3.7166233913487154</v>
      </c>
      <c r="DW176" s="5">
        <f t="shared" si="569"/>
        <v>1.809032258064516</v>
      </c>
      <c r="DX176" s="5">
        <f t="shared" si="570"/>
        <v>1.9075911332841995</v>
      </c>
      <c r="DY176" s="173">
        <f t="shared" si="571"/>
        <v>0.48674080410607357</v>
      </c>
      <c r="EA176" s="5">
        <f t="shared" si="572"/>
        <v>0.42139810246679316</v>
      </c>
      <c r="EB176" s="5">
        <f t="shared" si="573"/>
        <v>4.97483870967742</v>
      </c>
      <c r="EC176" s="5">
        <f t="shared" si="574"/>
        <v>22.830050683145302</v>
      </c>
      <c r="ED176" s="5"/>
      <c r="EE176" s="173">
        <f t="shared" si="575"/>
        <v>13.116170891418815</v>
      </c>
      <c r="EF176" s="173">
        <f t="shared" si="576"/>
        <v>0.63602323154757634</v>
      </c>
      <c r="EG176" s="173">
        <f t="shared" si="577"/>
        <v>0.50286783522543432</v>
      </c>
      <c r="EH176" s="173"/>
      <c r="EI176" s="528">
        <f t="shared" si="578"/>
        <v>6.8813575541160894</v>
      </c>
      <c r="EJ176" s="528">
        <f t="shared" si="579"/>
        <v>4.2248250000000001</v>
      </c>
      <c r="EK176" s="528">
        <f t="shared" si="580"/>
        <v>5.3812285760657205E-2</v>
      </c>
      <c r="EL176" s="528">
        <f t="shared" si="581"/>
        <v>1.6545998484308131E-2</v>
      </c>
      <c r="EM176">
        <f t="shared" si="582"/>
        <v>4.0499999999999998E-3</v>
      </c>
      <c r="EN176" s="460">
        <f t="shared" si="583"/>
        <v>57.862285760657201</v>
      </c>
      <c r="EP176" s="460">
        <f t="shared" si="603"/>
        <v>11180.590838361051</v>
      </c>
      <c r="EQ176" s="173">
        <f t="shared" si="584"/>
        <v>0.2772</v>
      </c>
      <c r="ER176" s="173">
        <f t="shared" si="585"/>
        <v>0.28643999999999997</v>
      </c>
      <c r="ES176" s="528"/>
      <c r="EU176" s="460">
        <f t="shared" si="497"/>
        <v>563.63999999999987</v>
      </c>
      <c r="EV176" s="528">
        <f t="shared" si="586"/>
        <v>5.1610181655870662</v>
      </c>
      <c r="EW176" s="528">
        <f t="shared" si="587"/>
        <v>1.2135766532046658E-2</v>
      </c>
      <c r="EX176" s="528">
        <f t="shared" si="588"/>
        <v>1.2643802985215728E-3</v>
      </c>
      <c r="EY176" s="528">
        <f t="shared" si="589"/>
        <v>359.24907218562714</v>
      </c>
      <c r="EZ176" s="528"/>
      <c r="FA176" s="625">
        <f t="shared" si="590"/>
        <v>7.1322915091476045</v>
      </c>
      <c r="FB176" s="460">
        <f t="shared" si="498"/>
        <v>371555.78200719238</v>
      </c>
      <c r="FC176" s="173">
        <f t="shared" si="591"/>
        <v>383.30001284555345</v>
      </c>
      <c r="FD176" s="5">
        <f t="shared" si="592"/>
        <v>71.28</v>
      </c>
      <c r="FE176" s="173">
        <f t="shared" si="593"/>
        <v>0.15680407845871974</v>
      </c>
      <c r="FF176" s="5">
        <f t="shared" si="594"/>
        <v>15.680407845871974</v>
      </c>
      <c r="FG176">
        <f t="shared" si="595"/>
        <v>66</v>
      </c>
      <c r="FI176" s="562">
        <f t="shared" si="596"/>
        <v>-50</v>
      </c>
      <c r="FJ176">
        <f t="shared" si="597"/>
        <v>-50</v>
      </c>
    </row>
    <row r="177" spans="5:166">
      <c r="E177" s="170">
        <v>67</v>
      </c>
      <c r="F177" s="217">
        <f t="shared" si="598"/>
        <v>0.40200000000000002</v>
      </c>
      <c r="G177" s="217">
        <f t="shared" si="499"/>
        <v>0.33500000000000002</v>
      </c>
      <c r="H177" s="217">
        <f t="shared" si="500"/>
        <v>68.34</v>
      </c>
      <c r="I177" s="217">
        <f t="shared" si="501"/>
        <v>4.0200000000000005</v>
      </c>
      <c r="J177" s="541">
        <f t="shared" si="502"/>
        <v>7.5938708893916749</v>
      </c>
      <c r="K177" s="443">
        <f t="shared" si="503"/>
        <v>8.5440476041026852</v>
      </c>
      <c r="L177" s="172">
        <f t="shared" si="504"/>
        <v>16.137918493494361</v>
      </c>
      <c r="M177" s="443"/>
      <c r="N177" s="217">
        <f t="shared" si="505"/>
        <v>0.52943925869665442</v>
      </c>
      <c r="O177" s="172">
        <f t="shared" si="506"/>
        <v>126.57108770999955</v>
      </c>
      <c r="P177" s="172">
        <f t="shared" si="507"/>
        <v>7.4453581005882086</v>
      </c>
      <c r="Q177" s="217">
        <f t="shared" si="508"/>
        <v>0.74453581005882086</v>
      </c>
      <c r="R177" s="217">
        <f t="shared" si="509"/>
        <v>10.547590642499962</v>
      </c>
      <c r="S177" s="217">
        <f t="shared" si="510"/>
        <v>170</v>
      </c>
      <c r="T177" s="217">
        <f t="shared" si="511"/>
        <v>35.995582264717008</v>
      </c>
      <c r="U177" s="217">
        <f t="shared" si="512"/>
        <v>2.3700417605862483</v>
      </c>
      <c r="V177" s="217">
        <f t="shared" si="513"/>
        <v>2.1064713080152218</v>
      </c>
      <c r="W177" s="197">
        <f t="shared" si="514"/>
        <v>350</v>
      </c>
      <c r="X177" s="443">
        <f t="shared" si="599"/>
        <v>213.83453554617222</v>
      </c>
      <c r="Z177" s="217">
        <f t="shared" si="515"/>
        <v>22.974247853243615</v>
      </c>
      <c r="AA177" s="173">
        <f t="shared" si="516"/>
        <v>1.3444592608667012</v>
      </c>
      <c r="AB177" s="173">
        <f t="shared" si="517"/>
        <v>0.25525450654452059</v>
      </c>
      <c r="AC177" s="173"/>
      <c r="AD177" s="173">
        <f t="shared" si="518"/>
        <v>0.78027030929292385</v>
      </c>
      <c r="AE177" s="545">
        <f t="shared" si="519"/>
        <v>1636.5369299105391</v>
      </c>
      <c r="AF177" s="528">
        <f t="shared" si="520"/>
        <v>8.5974228523942542E-2</v>
      </c>
      <c r="AH177" s="173">
        <f t="shared" si="521"/>
        <v>28.757110921847289</v>
      </c>
      <c r="AI177" s="173">
        <f t="shared" si="522"/>
        <v>35.995582264717008</v>
      </c>
      <c r="AJ177" s="173">
        <f t="shared" si="523"/>
        <v>17.986851060284202</v>
      </c>
      <c r="AL177" s="545">
        <f t="shared" si="524"/>
        <v>402</v>
      </c>
      <c r="AM177" s="460">
        <f t="shared" si="525"/>
        <v>213.83453554617222</v>
      </c>
      <c r="AO177">
        <f t="shared" si="526"/>
        <v>402</v>
      </c>
      <c r="AP177">
        <f t="shared" si="527"/>
        <v>213.83453554617222</v>
      </c>
      <c r="AR177" s="5">
        <f t="shared" si="443"/>
        <v>4.6765130686014702</v>
      </c>
      <c r="AS177" s="5">
        <f t="shared" si="440"/>
        <v>2.3700417605862483</v>
      </c>
      <c r="AT177" s="5">
        <f t="shared" si="441"/>
        <v>2.3064713080152219</v>
      </c>
      <c r="AU177" s="173">
        <f t="shared" si="442"/>
        <v>0.50679677909999266</v>
      </c>
      <c r="AW177" s="5">
        <f t="shared" si="477"/>
        <v>0.56044516926804233</v>
      </c>
      <c r="AX177" s="5">
        <f t="shared" si="478"/>
        <v>6.6163665816366111</v>
      </c>
      <c r="AY177" s="5">
        <f t="shared" si="479"/>
        <v>33.210835735425498</v>
      </c>
      <c r="AZ177" s="5"/>
      <c r="BA177" s="173">
        <f t="shared" si="480"/>
        <v>14.794677367615956</v>
      </c>
      <c r="BB177" s="173">
        <f t="shared" si="481"/>
        <v>0.68920425245223027</v>
      </c>
      <c r="BC177" s="173">
        <f t="shared" si="482"/>
        <v>0.54491508056320392</v>
      </c>
      <c r="BD177" s="173"/>
      <c r="BE177" s="528">
        <f t="shared" si="483"/>
        <v>8.7552991364739121</v>
      </c>
      <c r="BF177" s="528">
        <f t="shared" si="528"/>
        <v>2.794840877023538</v>
      </c>
      <c r="BG177" s="528">
        <f t="shared" si="529"/>
        <v>6.4953274185226659E-2</v>
      </c>
      <c r="BH177" s="528">
        <f t="shared" si="484"/>
        <v>1.1137888827948927E-2</v>
      </c>
      <c r="BI177">
        <f t="shared" si="485"/>
        <v>3.4172419002262535E-3</v>
      </c>
      <c r="BJ177" s="460">
        <f t="shared" si="600"/>
        <v>68.37051608545292</v>
      </c>
      <c r="BK177">
        <f t="shared" si="530"/>
        <v>-12.890619476086076</v>
      </c>
      <c r="BL177" s="460">
        <f t="shared" si="601"/>
        <v>11629.648418410854</v>
      </c>
      <c r="BM177" s="173">
        <f t="shared" si="531"/>
        <v>0.34893599999999997</v>
      </c>
      <c r="BN177" s="173">
        <f t="shared" si="532"/>
        <v>0.29077999999999998</v>
      </c>
      <c r="BO177" s="528"/>
      <c r="BQ177" s="460">
        <f t="shared" si="486"/>
        <v>639.71599999999989</v>
      </c>
      <c r="BR177" s="528">
        <f t="shared" si="487"/>
        <v>6.5664743523554332</v>
      </c>
      <c r="BS177" s="528">
        <f t="shared" si="488"/>
        <v>1.4250075047947126E-2</v>
      </c>
      <c r="BT177" s="528">
        <f t="shared" si="489"/>
        <v>1.4846622251260149E-3</v>
      </c>
      <c r="BU177" s="528">
        <f t="shared" si="490"/>
        <v>259.88884036633868</v>
      </c>
      <c r="BV177" s="528"/>
      <c r="BW177" s="625">
        <f t="shared" si="533"/>
        <v>6.92653866015758</v>
      </c>
      <c r="BX177" s="460">
        <f t="shared" si="491"/>
        <v>273397.5881161248</v>
      </c>
      <c r="BY177" s="173">
        <f t="shared" si="492"/>
        <v>285.6669525345356</v>
      </c>
      <c r="BZ177" s="5">
        <f t="shared" si="493"/>
        <v>72.36</v>
      </c>
      <c r="CA177" s="173">
        <f t="shared" si="494"/>
        <v>0.20210768906572776</v>
      </c>
      <c r="CB177" s="5">
        <f t="shared" si="495"/>
        <v>20.210768906572778</v>
      </c>
      <c r="CC177">
        <f t="shared" si="496"/>
        <v>67</v>
      </c>
      <c r="CE177" s="562">
        <f t="shared" si="534"/>
        <v>-50</v>
      </c>
      <c r="CF177">
        <f t="shared" si="535"/>
        <v>-50</v>
      </c>
      <c r="CG177" s="173">
        <f t="shared" si="536"/>
        <v>0.49996674565333021</v>
      </c>
      <c r="CH177" s="173">
        <f t="shared" si="537"/>
        <v>0.12441737294010324</v>
      </c>
      <c r="CI177" s="170">
        <v>67</v>
      </c>
      <c r="CJ177" s="217">
        <f t="shared" si="602"/>
        <v>0.40200000000000002</v>
      </c>
      <c r="CK177" s="217">
        <f t="shared" si="538"/>
        <v>0.33500000000000002</v>
      </c>
      <c r="CL177" s="217">
        <f t="shared" si="539"/>
        <v>68.34</v>
      </c>
      <c r="CM177" s="217">
        <f t="shared" si="540"/>
        <v>4.0200000000000005</v>
      </c>
      <c r="CN177" s="541">
        <f t="shared" si="541"/>
        <v>9</v>
      </c>
      <c r="CO177" s="443">
        <f t="shared" si="542"/>
        <v>8.5350000000000001</v>
      </c>
      <c r="CP177" s="443">
        <f t="shared" si="543"/>
        <v>17.535</v>
      </c>
      <c r="CQ177" s="443"/>
      <c r="CR177" s="217">
        <f t="shared" si="544"/>
        <v>0.48644793152639093</v>
      </c>
      <c r="CS177" s="172">
        <f t="shared" si="545"/>
        <v>137.82691393247745</v>
      </c>
      <c r="CT177" s="172">
        <f t="shared" si="546"/>
        <v>8.1074655254398493</v>
      </c>
      <c r="CU177" s="217">
        <f t="shared" si="547"/>
        <v>0.81074655254398498</v>
      </c>
      <c r="CV177" s="217">
        <f t="shared" si="548"/>
        <v>11.485576161039788</v>
      </c>
      <c r="CW177" s="217">
        <f t="shared" si="549"/>
        <v>170</v>
      </c>
      <c r="CX177" s="217">
        <f t="shared" si="550"/>
        <v>33.055953079178884</v>
      </c>
      <c r="CY177" s="217">
        <f t="shared" si="551"/>
        <v>1.8364418377321603</v>
      </c>
      <c r="CZ177" s="217">
        <f t="shared" si="552"/>
        <v>1.9364940292430513</v>
      </c>
      <c r="DA177" s="197">
        <f t="shared" si="553"/>
        <v>350</v>
      </c>
      <c r="DB177" s="443">
        <f t="shared" si="554"/>
        <v>265.04558658234146</v>
      </c>
      <c r="DD177" s="217">
        <f t="shared" si="555"/>
        <v>25.032384211169504</v>
      </c>
      <c r="DE177" s="173">
        <f t="shared" si="556"/>
        <v>1.4664548454112187</v>
      </c>
      <c r="DF177" s="173">
        <f t="shared" si="557"/>
        <v>0.30335794952229944</v>
      </c>
      <c r="DG177" s="173"/>
      <c r="DH177" s="173">
        <f t="shared" si="558"/>
        <v>0.78109744190587771</v>
      </c>
      <c r="DI177" s="545">
        <f t="shared" si="559"/>
        <v>1634.803941176471</v>
      </c>
      <c r="DJ177" s="528">
        <f t="shared" si="560"/>
        <v>8.6065366284073561E-2</v>
      </c>
      <c r="DL177" s="173">
        <f t="shared" si="561"/>
        <v>28.757110921847289</v>
      </c>
      <c r="DM177" s="173">
        <f t="shared" si="562"/>
        <v>33.055953079178884</v>
      </c>
      <c r="DN177" s="173">
        <f t="shared" si="563"/>
        <v>15.80934795988559</v>
      </c>
      <c r="DP177" s="545">
        <f t="shared" si="564"/>
        <v>402</v>
      </c>
      <c r="DQ177" s="460">
        <f t="shared" si="565"/>
        <v>265.04558658234146</v>
      </c>
      <c r="DS177">
        <f t="shared" si="566"/>
        <v>402</v>
      </c>
      <c r="DT177">
        <f t="shared" si="567"/>
        <v>265.04558658234146</v>
      </c>
      <c r="DV177" s="5">
        <f t="shared" si="568"/>
        <v>3.7729358669752115</v>
      </c>
      <c r="DW177" s="5">
        <f t="shared" si="569"/>
        <v>1.8364418377321603</v>
      </c>
      <c r="DX177" s="5">
        <f t="shared" si="570"/>
        <v>1.9364940292430513</v>
      </c>
      <c r="DY177" s="173">
        <f t="shared" si="571"/>
        <v>0.48674080410607357</v>
      </c>
      <c r="EA177" s="5">
        <f t="shared" si="572"/>
        <v>0.43426448162842857</v>
      </c>
      <c r="EB177" s="5">
        <f t="shared" si="573"/>
        <v>5.1267334636689474</v>
      </c>
      <c r="EC177" s="5">
        <f t="shared" si="574"/>
        <v>23.527111459283578</v>
      </c>
      <c r="ED177" s="5"/>
      <c r="EE177" s="173">
        <f t="shared" si="575"/>
        <v>13.314900753410008</v>
      </c>
      <c r="EF177" s="173">
        <f t="shared" si="576"/>
        <v>0.64565994717708497</v>
      </c>
      <c r="EG177" s="173">
        <f t="shared" si="577"/>
        <v>0.51048704485006202</v>
      </c>
      <c r="EH177" s="173"/>
      <c r="EI177" s="528">
        <f t="shared" si="578"/>
        <v>7.0914632829263358</v>
      </c>
      <c r="EJ177" s="528">
        <f t="shared" si="579"/>
        <v>4.2248250000000001</v>
      </c>
      <c r="EK177" s="528">
        <f t="shared" si="580"/>
        <v>5.3009117316468291E-2</v>
      </c>
      <c r="EL177" s="528">
        <f t="shared" si="581"/>
        <v>1.6299043283049802E-2</v>
      </c>
      <c r="EM177">
        <f t="shared" si="582"/>
        <v>4.0499999999999998E-3</v>
      </c>
      <c r="EN177" s="460">
        <f t="shared" si="583"/>
        <v>57.059117316468289</v>
      </c>
      <c r="EP177" s="460">
        <f t="shared" si="603"/>
        <v>11389.646443525855</v>
      </c>
      <c r="EQ177" s="173">
        <f t="shared" si="584"/>
        <v>0.28139999999999998</v>
      </c>
      <c r="ER177" s="173">
        <f t="shared" si="585"/>
        <v>0.29077999999999998</v>
      </c>
      <c r="ES177" s="528"/>
      <c r="EU177" s="460">
        <f t="shared" si="497"/>
        <v>572.17999999999995</v>
      </c>
      <c r="EV177" s="528">
        <f t="shared" si="586"/>
        <v>5.3185974621947514</v>
      </c>
      <c r="EW177" s="528">
        <f t="shared" si="587"/>
        <v>1.2506303021661483E-2</v>
      </c>
      <c r="EX177" s="528">
        <f t="shared" si="588"/>
        <v>1.3029851147987462E-3</v>
      </c>
      <c r="EY177" s="528">
        <f t="shared" si="589"/>
        <v>359.2490721856272</v>
      </c>
      <c r="EZ177" s="528"/>
      <c r="FA177" s="625">
        <f t="shared" si="590"/>
        <v>7.2403565320134762</v>
      </c>
      <c r="FB177" s="460">
        <f t="shared" si="498"/>
        <v>371821.83546797186</v>
      </c>
      <c r="FC177" s="173">
        <f t="shared" si="591"/>
        <v>383.78366191149775</v>
      </c>
      <c r="FD177" s="5">
        <f t="shared" si="592"/>
        <v>72.36</v>
      </c>
      <c r="FE177" s="173">
        <f t="shared" si="593"/>
        <v>0.15863423312026526</v>
      </c>
      <c r="FF177" s="5">
        <f t="shared" si="594"/>
        <v>15.863423312026526</v>
      </c>
      <c r="FG177">
        <f t="shared" si="595"/>
        <v>67</v>
      </c>
      <c r="FI177" s="562">
        <f t="shared" si="596"/>
        <v>-50</v>
      </c>
      <c r="FJ177">
        <f t="shared" si="597"/>
        <v>-50</v>
      </c>
    </row>
    <row r="178" spans="5:166">
      <c r="E178" s="170">
        <v>68</v>
      </c>
      <c r="F178" s="217">
        <f t="shared" si="598"/>
        <v>0.40800000000000003</v>
      </c>
      <c r="G178" s="217">
        <f t="shared" si="499"/>
        <v>0.34</v>
      </c>
      <c r="H178" s="217">
        <f t="shared" si="500"/>
        <v>69.36</v>
      </c>
      <c r="I178" s="217">
        <f t="shared" si="501"/>
        <v>4.08</v>
      </c>
      <c r="J178" s="541">
        <f t="shared" si="502"/>
        <v>7.5728838877408045</v>
      </c>
      <c r="K178" s="443">
        <f t="shared" si="503"/>
        <v>8.5441826429698899</v>
      </c>
      <c r="L178" s="172">
        <f t="shared" si="504"/>
        <v>16.117066530710694</v>
      </c>
      <c r="M178" s="443"/>
      <c r="N178" s="217">
        <f t="shared" si="505"/>
        <v>0.53013261604952422</v>
      </c>
      <c r="O178" s="172">
        <f t="shared" si="506"/>
        <v>126.38658646223058</v>
      </c>
      <c r="P178" s="172">
        <f t="shared" si="507"/>
        <v>7.4345050860135631</v>
      </c>
      <c r="Q178" s="217">
        <f t="shared" si="508"/>
        <v>0.74345050860135642</v>
      </c>
      <c r="R178" s="217">
        <f t="shared" si="509"/>
        <v>10.532215538519216</v>
      </c>
      <c r="S178" s="217">
        <f t="shared" si="510"/>
        <v>170</v>
      </c>
      <c r="T178" s="217">
        <f t="shared" si="511"/>
        <v>36.586160995667356</v>
      </c>
      <c r="U178" s="217">
        <f t="shared" si="512"/>
        <v>2.4156029286870524</v>
      </c>
      <c r="V178" s="217">
        <f t="shared" si="513"/>
        <v>2.1409982981678342</v>
      </c>
      <c r="W178" s="197">
        <f t="shared" si="514"/>
        <v>350</v>
      </c>
      <c r="X178" s="443">
        <f t="shared" si="599"/>
        <v>210.23414667476976</v>
      </c>
      <c r="Z178" s="217">
        <f t="shared" si="515"/>
        <v>22.940758551127566</v>
      </c>
      <c r="AA178" s="173">
        <f t="shared" si="516"/>
        <v>1.3424782398585022</v>
      </c>
      <c r="AB178" s="173">
        <f t="shared" si="517"/>
        <v>0.25450686320330956</v>
      </c>
      <c r="AC178" s="173"/>
      <c r="AD178" s="173">
        <f t="shared" si="518"/>
        <v>0.78025797729780111</v>
      </c>
      <c r="AE178" s="545">
        <f t="shared" si="519"/>
        <v>1660.9891057933464</v>
      </c>
      <c r="AF178" s="528">
        <f t="shared" si="520"/>
        <v>8.5972869720776238E-2</v>
      </c>
      <c r="AH178" s="173">
        <f t="shared" si="521"/>
        <v>28.970921381866432</v>
      </c>
      <c r="AI178" s="173">
        <f t="shared" si="522"/>
        <v>36.586160995667356</v>
      </c>
      <c r="AJ178" s="173">
        <f t="shared" si="523"/>
        <v>18.424316786914087</v>
      </c>
      <c r="AL178" s="545">
        <f t="shared" si="524"/>
        <v>408.00000000000006</v>
      </c>
      <c r="AM178" s="460">
        <f t="shared" si="525"/>
        <v>210.23414667476976</v>
      </c>
      <c r="AO178">
        <f t="shared" si="526"/>
        <v>408.00000000000006</v>
      </c>
      <c r="AP178">
        <f t="shared" si="527"/>
        <v>210.23414667476976</v>
      </c>
      <c r="AR178" s="5">
        <f t="shared" si="443"/>
        <v>4.7566012268548867</v>
      </c>
      <c r="AS178" s="5">
        <f t="shared" si="440"/>
        <v>2.4156029286870524</v>
      </c>
      <c r="AT178" s="5">
        <f t="shared" si="441"/>
        <v>2.3409982981678343</v>
      </c>
      <c r="AU178" s="173">
        <f t="shared" si="442"/>
        <v>0.50784222041759719</v>
      </c>
      <c r="AW178" s="5">
        <f t="shared" si="477"/>
        <v>0.57974470288489266</v>
      </c>
      <c r="AX178" s="5">
        <f t="shared" si="478"/>
        <v>6.8442082979466488</v>
      </c>
      <c r="AY178" s="5">
        <f t="shared" si="479"/>
        <v>34.305903931530807</v>
      </c>
      <c r="AZ178" s="5"/>
      <c r="BA178" s="173">
        <f t="shared" si="480"/>
        <v>15.052915223715901</v>
      </c>
      <c r="BB178" s="173">
        <f t="shared" si="481"/>
        <v>0.69976918114097209</v>
      </c>
      <c r="BC178" s="173">
        <f t="shared" si="482"/>
        <v>0.5532681761035847</v>
      </c>
      <c r="BD178" s="173"/>
      <c r="BE178" s="528">
        <f t="shared" si="483"/>
        <v>9.0636102692951184</v>
      </c>
      <c r="BF178" s="528">
        <f t="shared" si="528"/>
        <v>2.7892575311296293</v>
      </c>
      <c r="BG178" s="528">
        <f t="shared" si="529"/>
        <v>6.3683151280252051E-2</v>
      </c>
      <c r="BH178" s="528">
        <f t="shared" si="484"/>
        <v>1.0922077389578051E-2</v>
      </c>
      <c r="BI178">
        <f t="shared" si="485"/>
        <v>3.4077977494833618E-3</v>
      </c>
      <c r="BJ178" s="460">
        <f t="shared" si="600"/>
        <v>67.090949029735413</v>
      </c>
      <c r="BK178">
        <f t="shared" si="530"/>
        <v>-12.40640957283394</v>
      </c>
      <c r="BL178" s="460">
        <f t="shared" si="601"/>
        <v>11930.880826844061</v>
      </c>
      <c r="BM178" s="173">
        <f t="shared" si="531"/>
        <v>0.35414400000000001</v>
      </c>
      <c r="BN178" s="173">
        <f t="shared" si="532"/>
        <v>0.29511999999999999</v>
      </c>
      <c r="BO178" s="528"/>
      <c r="BQ178" s="460">
        <f t="shared" si="486"/>
        <v>649.26400000000001</v>
      </c>
      <c r="BR178" s="528">
        <f t="shared" si="487"/>
        <v>6.7977077019713379</v>
      </c>
      <c r="BS178" s="528">
        <f t="shared" si="488"/>
        <v>1.4690307206241197E-2</v>
      </c>
      <c r="BT178" s="528">
        <f t="shared" si="489"/>
        <v>1.530528373444936E-3</v>
      </c>
      <c r="BU178" s="528">
        <f t="shared" si="490"/>
        <v>259.43003145229756</v>
      </c>
      <c r="BV178" s="528"/>
      <c r="BW178" s="625">
        <f t="shared" si="533"/>
        <v>7.0352080853640988</v>
      </c>
      <c r="BX178" s="460">
        <f t="shared" si="491"/>
        <v>273279.16807521268</v>
      </c>
      <c r="BY178" s="173">
        <f t="shared" si="492"/>
        <v>285.85931290205673</v>
      </c>
      <c r="BZ178" s="5">
        <f t="shared" si="493"/>
        <v>73.44</v>
      </c>
      <c r="CA178" s="173">
        <f t="shared" si="494"/>
        <v>0.20439783034046433</v>
      </c>
      <c r="CB178" s="5">
        <f t="shared" si="495"/>
        <v>20.439783034046432</v>
      </c>
      <c r="CC178">
        <f t="shared" si="496"/>
        <v>68</v>
      </c>
      <c r="CE178" s="562">
        <f t="shared" si="534"/>
        <v>-50</v>
      </c>
      <c r="CF178">
        <f t="shared" si="535"/>
        <v>-50</v>
      </c>
      <c r="CG178" s="173">
        <f t="shared" si="536"/>
        <v>0.49996674565333021</v>
      </c>
      <c r="CH178" s="173">
        <f t="shared" si="537"/>
        <v>0.12441737294010324</v>
      </c>
      <c r="CI178" s="170">
        <v>68</v>
      </c>
      <c r="CJ178" s="217">
        <f t="shared" si="602"/>
        <v>0.40800000000000003</v>
      </c>
      <c r="CK178" s="217">
        <f t="shared" si="538"/>
        <v>0.34</v>
      </c>
      <c r="CL178" s="217">
        <f t="shared" si="539"/>
        <v>69.36</v>
      </c>
      <c r="CM178" s="217">
        <f t="shared" si="540"/>
        <v>4.08</v>
      </c>
      <c r="CN178" s="541">
        <f t="shared" si="541"/>
        <v>9</v>
      </c>
      <c r="CO178" s="443">
        <f t="shared" si="542"/>
        <v>8.5350000000000001</v>
      </c>
      <c r="CP178" s="443">
        <f t="shared" si="543"/>
        <v>17.535</v>
      </c>
      <c r="CQ178" s="443"/>
      <c r="CR178" s="217">
        <f t="shared" si="544"/>
        <v>0.48644793152639093</v>
      </c>
      <c r="CS178" s="172">
        <f t="shared" si="545"/>
        <v>137.82691393247745</v>
      </c>
      <c r="CT178" s="172">
        <f t="shared" si="546"/>
        <v>8.1074655254398493</v>
      </c>
      <c r="CU178" s="217">
        <f t="shared" si="547"/>
        <v>0.81074655254398498</v>
      </c>
      <c r="CV178" s="217">
        <f t="shared" si="548"/>
        <v>11.485576161039788</v>
      </c>
      <c r="CW178" s="217">
        <f t="shared" si="549"/>
        <v>170</v>
      </c>
      <c r="CX178" s="217">
        <f t="shared" si="550"/>
        <v>33.549325513196479</v>
      </c>
      <c r="CY178" s="217">
        <f t="shared" si="551"/>
        <v>1.8638514173998042</v>
      </c>
      <c r="CZ178" s="217">
        <f t="shared" si="552"/>
        <v>1.9653969252019026</v>
      </c>
      <c r="DA178" s="197">
        <f t="shared" si="553"/>
        <v>350</v>
      </c>
      <c r="DB178" s="443">
        <f t="shared" si="554"/>
        <v>261.14785736789531</v>
      </c>
      <c r="DD178" s="217">
        <f t="shared" si="555"/>
        <v>25.032384211169504</v>
      </c>
      <c r="DE178" s="173">
        <f t="shared" si="556"/>
        <v>1.4664548454112187</v>
      </c>
      <c r="DF178" s="173">
        <f t="shared" si="557"/>
        <v>0.30335794952229944</v>
      </c>
      <c r="DG178" s="173"/>
      <c r="DH178" s="173">
        <f t="shared" si="558"/>
        <v>0.78109744190587771</v>
      </c>
      <c r="DI178" s="545">
        <f t="shared" si="559"/>
        <v>1659.2040000000002</v>
      </c>
      <c r="DJ178" s="528">
        <f t="shared" si="560"/>
        <v>8.6065366284073561E-2</v>
      </c>
      <c r="DL178" s="173">
        <f t="shared" si="561"/>
        <v>28.970921381866432</v>
      </c>
      <c r="DM178" s="173">
        <f t="shared" si="562"/>
        <v>33.549325513196479</v>
      </c>
      <c r="DN178" s="173">
        <f t="shared" si="563"/>
        <v>16.174809022120847</v>
      </c>
      <c r="DP178" s="545">
        <f t="shared" si="564"/>
        <v>408.00000000000006</v>
      </c>
      <c r="DQ178" s="460">
        <f t="shared" si="565"/>
        <v>261.14785736789531</v>
      </c>
      <c r="DS178">
        <f t="shared" si="566"/>
        <v>408.00000000000006</v>
      </c>
      <c r="DT178">
        <f t="shared" si="567"/>
        <v>261.14785736789531</v>
      </c>
      <c r="DV178" s="5">
        <f t="shared" si="568"/>
        <v>3.8292483426017063</v>
      </c>
      <c r="DW178" s="5">
        <f t="shared" si="569"/>
        <v>1.8638514173998042</v>
      </c>
      <c r="DX178" s="5">
        <f t="shared" si="570"/>
        <v>1.9653969252019021</v>
      </c>
      <c r="DY178" s="173">
        <f t="shared" si="571"/>
        <v>0.48674080410607362</v>
      </c>
      <c r="EA178" s="5">
        <f t="shared" si="572"/>
        <v>0.44732434017595302</v>
      </c>
      <c r="EB178" s="5">
        <f t="shared" si="573"/>
        <v>5.2809123492994461</v>
      </c>
      <c r="EC178" s="5">
        <f t="shared" si="574"/>
        <v>24.234654352356255</v>
      </c>
      <c r="ED178" s="5"/>
      <c r="EE178" s="173">
        <f t="shared" si="575"/>
        <v>13.513630615401203</v>
      </c>
      <c r="EF178" s="173">
        <f t="shared" si="576"/>
        <v>0.6552966628065936</v>
      </c>
      <c r="EG178" s="173">
        <f t="shared" si="577"/>
        <v>0.51810625447468994</v>
      </c>
      <c r="EH178" s="173"/>
      <c r="EI178" s="528">
        <f t="shared" si="578"/>
        <v>7.3047284963803474</v>
      </c>
      <c r="EJ178" s="528">
        <f t="shared" si="579"/>
        <v>4.2248250000000009</v>
      </c>
      <c r="EK178" s="528">
        <f t="shared" si="580"/>
        <v>5.222957147357906E-2</v>
      </c>
      <c r="EL178" s="528">
        <f t="shared" si="581"/>
        <v>1.6059351470063776E-2</v>
      </c>
      <c r="EM178">
        <f t="shared" si="582"/>
        <v>4.0499999999999998E-3</v>
      </c>
      <c r="EN178" s="460">
        <f t="shared" si="583"/>
        <v>56.279571473579061</v>
      </c>
      <c r="EP178" s="460">
        <f t="shared" si="603"/>
        <v>11601.892419323991</v>
      </c>
      <c r="EQ178" s="173">
        <f t="shared" si="584"/>
        <v>0.28560000000000002</v>
      </c>
      <c r="ER178" s="173">
        <f t="shared" si="585"/>
        <v>0.29511999999999999</v>
      </c>
      <c r="ES178" s="528"/>
      <c r="EU178" s="460">
        <f t="shared" si="497"/>
        <v>580.72</v>
      </c>
      <c r="EV178" s="528">
        <f t="shared" si="586"/>
        <v>5.4785463722852601</v>
      </c>
      <c r="EW178" s="528">
        <f t="shared" si="587"/>
        <v>1.2882411488563752E-2</v>
      </c>
      <c r="EX178" s="528">
        <f t="shared" si="588"/>
        <v>1.3421704546289609E-3</v>
      </c>
      <c r="EY178" s="528">
        <f t="shared" si="589"/>
        <v>359.24907218562714</v>
      </c>
      <c r="EZ178" s="528"/>
      <c r="FA178" s="625">
        <f t="shared" si="590"/>
        <v>7.3484215548793488</v>
      </c>
      <c r="FB178" s="460">
        <f t="shared" si="498"/>
        <v>372090.26469473488</v>
      </c>
      <c r="FC178" s="173">
        <f t="shared" si="591"/>
        <v>384.27287711405893</v>
      </c>
      <c r="FD178" s="5">
        <f t="shared" si="592"/>
        <v>73.44</v>
      </c>
      <c r="FE178" s="173">
        <f t="shared" si="593"/>
        <v>0.16044993198148377</v>
      </c>
      <c r="FF178" s="5">
        <f t="shared" si="594"/>
        <v>16.044993198148376</v>
      </c>
      <c r="FG178">
        <f t="shared" si="595"/>
        <v>68</v>
      </c>
      <c r="FI178" s="562">
        <f t="shared" si="596"/>
        <v>-50</v>
      </c>
      <c r="FJ178">
        <f t="shared" si="597"/>
        <v>-50</v>
      </c>
    </row>
    <row r="179" spans="5:166">
      <c r="E179" s="170">
        <v>69</v>
      </c>
      <c r="F179" s="217">
        <f t="shared" si="598"/>
        <v>0.41399999999999998</v>
      </c>
      <c r="G179" s="217">
        <f t="shared" si="499"/>
        <v>0.34499999999999997</v>
      </c>
      <c r="H179" s="217">
        <f t="shared" si="500"/>
        <v>70.38</v>
      </c>
      <c r="I179" s="217">
        <f t="shared" si="501"/>
        <v>4.1399999999999997</v>
      </c>
      <c r="J179" s="541">
        <f t="shared" si="502"/>
        <v>7.551896886089934</v>
      </c>
      <c r="K179" s="443">
        <f t="shared" si="503"/>
        <v>8.5443176818370947</v>
      </c>
      <c r="L179" s="172">
        <f t="shared" si="504"/>
        <v>16.096214567927028</v>
      </c>
      <c r="M179" s="443"/>
      <c r="N179" s="217">
        <f t="shared" si="505"/>
        <v>0.5308277698324374</v>
      </c>
      <c r="O179" s="172">
        <f t="shared" si="506"/>
        <v>126.20159610150004</v>
      </c>
      <c r="P179" s="172">
        <f t="shared" si="507"/>
        <v>7.4236233000882379</v>
      </c>
      <c r="Q179" s="217">
        <f t="shared" si="508"/>
        <v>0.74236233000882379</v>
      </c>
      <c r="R179" s="217">
        <f t="shared" si="509"/>
        <v>10.516799675125004</v>
      </c>
      <c r="S179" s="217">
        <f t="shared" si="510"/>
        <v>170</v>
      </c>
      <c r="T179" s="217">
        <f t="shared" si="511"/>
        <v>37.178610611440838</v>
      </c>
      <c r="U179" s="217">
        <f t="shared" si="512"/>
        <v>2.4615411976771844</v>
      </c>
      <c r="V179" s="217">
        <f t="shared" si="513"/>
        <v>2.1756336781854735</v>
      </c>
      <c r="W179" s="197">
        <f t="shared" si="514"/>
        <v>350</v>
      </c>
      <c r="X179" s="443">
        <f t="shared" si="599"/>
        <v>206.73224054601928</v>
      </c>
      <c r="Z179" s="217">
        <f t="shared" si="515"/>
        <v>22.907180468843706</v>
      </c>
      <c r="AA179" s="173">
        <f t="shared" si="516"/>
        <v>1.3404920861930361</v>
      </c>
      <c r="AB179" s="173">
        <f t="shared" si="517"/>
        <v>0.25375836125848611</v>
      </c>
      <c r="AC179" s="173"/>
      <c r="AD179" s="173">
        <f t="shared" si="518"/>
        <v>0.780245645692481</v>
      </c>
      <c r="AE179" s="545">
        <f t="shared" si="519"/>
        <v>1685.4420537807357</v>
      </c>
      <c r="AF179" s="528">
        <f t="shared" si="520"/>
        <v>8.5971510960560424E-2</v>
      </c>
      <c r="AH179" s="173">
        <f t="shared" si="521"/>
        <v>29.183165401599993</v>
      </c>
      <c r="AI179" s="173">
        <f t="shared" si="522"/>
        <v>37.178610611440838</v>
      </c>
      <c r="AJ179" s="173">
        <f t="shared" si="523"/>
        <v>18.863168354153707</v>
      </c>
      <c r="AL179" s="545">
        <f t="shared" si="524"/>
        <v>414</v>
      </c>
      <c r="AM179" s="460">
        <f t="shared" si="525"/>
        <v>206.73224054601928</v>
      </c>
      <c r="AO179">
        <f t="shared" si="526"/>
        <v>414</v>
      </c>
      <c r="AP179">
        <f t="shared" si="527"/>
        <v>206.73224054601928</v>
      </c>
      <c r="AR179" s="5">
        <f t="shared" si="443"/>
        <v>4.837174875862658</v>
      </c>
      <c r="AS179" s="5">
        <f t="shared" ref="AS179:AS242" si="604">L*AI179/J179*1000000</f>
        <v>2.4615411976771844</v>
      </c>
      <c r="AT179" s="5">
        <f t="shared" ref="AT179:AT242" si="605">AR179-AS179</f>
        <v>2.3756336781854737</v>
      </c>
      <c r="AU179" s="173">
        <f t="shared" ref="AU179:AU242" si="606">AS179/AR179</f>
        <v>0.50887992699213613</v>
      </c>
      <c r="AW179" s="5">
        <f t="shared" si="477"/>
        <v>0.59945767990491439</v>
      </c>
      <c r="AX179" s="5">
        <f t="shared" si="478"/>
        <v>7.0769309433219041</v>
      </c>
      <c r="AY179" s="5">
        <f t="shared" si="479"/>
        <v>35.423597709054313</v>
      </c>
      <c r="AZ179" s="5"/>
      <c r="BA179" s="173">
        <f t="shared" si="480"/>
        <v>15.312291516687415</v>
      </c>
      <c r="BB179" s="173">
        <f t="shared" si="481"/>
        <v>0.7103506653722087</v>
      </c>
      <c r="BC179" s="173">
        <f t="shared" si="482"/>
        <v>0.56163436118126919</v>
      </c>
      <c r="BD179" s="173"/>
      <c r="BE179" s="528">
        <f t="shared" si="483"/>
        <v>9.378650859680695</v>
      </c>
      <c r="BF179" s="528">
        <f t="shared" si="528"/>
        <v>2.7836051940813511</v>
      </c>
      <c r="BG179" s="528">
        <f t="shared" si="529"/>
        <v>6.2448822545355137E-2</v>
      </c>
      <c r="BH179" s="528">
        <f t="shared" si="484"/>
        <v>1.0712373650561505E-2</v>
      </c>
      <c r="BI179">
        <f t="shared" si="485"/>
        <v>3.3983535987404702E-3</v>
      </c>
      <c r="BJ179" s="460">
        <f t="shared" si="600"/>
        <v>65.847176144095599</v>
      </c>
      <c r="BK179">
        <f t="shared" si="530"/>
        <v>-11.971339869222595</v>
      </c>
      <c r="BL179" s="460">
        <f t="shared" si="601"/>
        <v>12238.815603556703</v>
      </c>
      <c r="BM179" s="173">
        <f t="shared" si="531"/>
        <v>0.35935199999999995</v>
      </c>
      <c r="BN179" s="173">
        <f t="shared" si="532"/>
        <v>0.29945999999999995</v>
      </c>
      <c r="BO179" s="528"/>
      <c r="BQ179" s="460">
        <f t="shared" si="486"/>
        <v>658.8119999999999</v>
      </c>
      <c r="BR179" s="528">
        <f t="shared" si="487"/>
        <v>7.0339881447605208</v>
      </c>
      <c r="BS179" s="528">
        <f t="shared" si="488"/>
        <v>1.5137942033842187E-2</v>
      </c>
      <c r="BT179" s="528">
        <f t="shared" si="489"/>
        <v>1.5771657782974616E-3</v>
      </c>
      <c r="BU179" s="528">
        <f t="shared" si="490"/>
        <v>258.95447637970705</v>
      </c>
      <c r="BV179" s="528"/>
      <c r="BW179" s="625">
        <f t="shared" si="533"/>
        <v>7.1438862686902151</v>
      </c>
      <c r="BX179" s="460">
        <f t="shared" si="491"/>
        <v>273149.0659009699</v>
      </c>
      <c r="BY179" s="173">
        <f t="shared" si="492"/>
        <v>286.04669350452662</v>
      </c>
      <c r="BZ179" s="5">
        <f t="shared" si="493"/>
        <v>74.52</v>
      </c>
      <c r="CA179" s="173">
        <f t="shared" si="494"/>
        <v>0.20667466336311638</v>
      </c>
      <c r="CB179" s="5">
        <f t="shared" si="495"/>
        <v>20.667466336311637</v>
      </c>
      <c r="CC179">
        <f t="shared" si="496"/>
        <v>69</v>
      </c>
      <c r="CE179" s="562">
        <f t="shared" si="534"/>
        <v>-50</v>
      </c>
      <c r="CF179">
        <f t="shared" si="535"/>
        <v>-50</v>
      </c>
      <c r="CG179" s="173">
        <f t="shared" si="536"/>
        <v>0.49996674565333032</v>
      </c>
      <c r="CH179" s="173">
        <f t="shared" si="537"/>
        <v>0.12441737294010324</v>
      </c>
      <c r="CI179" s="170">
        <v>69</v>
      </c>
      <c r="CJ179" s="217">
        <f t="shared" si="602"/>
        <v>0.41399999999999998</v>
      </c>
      <c r="CK179" s="217">
        <f t="shared" si="538"/>
        <v>0.34499999999999997</v>
      </c>
      <c r="CL179" s="217">
        <f t="shared" si="539"/>
        <v>70.38</v>
      </c>
      <c r="CM179" s="217">
        <f t="shared" si="540"/>
        <v>4.1399999999999997</v>
      </c>
      <c r="CN179" s="541">
        <f t="shared" si="541"/>
        <v>9</v>
      </c>
      <c r="CO179" s="443">
        <f t="shared" si="542"/>
        <v>8.5350000000000001</v>
      </c>
      <c r="CP179" s="443">
        <f t="shared" si="543"/>
        <v>17.535</v>
      </c>
      <c r="CQ179" s="443"/>
      <c r="CR179" s="217">
        <f t="shared" si="544"/>
        <v>0.48644793152639093</v>
      </c>
      <c r="CS179" s="172">
        <f t="shared" si="545"/>
        <v>137.82691393247745</v>
      </c>
      <c r="CT179" s="172">
        <f t="shared" si="546"/>
        <v>8.1074655254398493</v>
      </c>
      <c r="CU179" s="217">
        <f t="shared" si="547"/>
        <v>0.81074655254398498</v>
      </c>
      <c r="CV179" s="217">
        <f t="shared" si="548"/>
        <v>11.485576161039788</v>
      </c>
      <c r="CW179" s="217">
        <f t="shared" si="549"/>
        <v>170</v>
      </c>
      <c r="CX179" s="217">
        <f t="shared" si="550"/>
        <v>34.042697947214073</v>
      </c>
      <c r="CY179" s="217">
        <f t="shared" si="551"/>
        <v>1.8912609970674485</v>
      </c>
      <c r="CZ179" s="217">
        <f t="shared" si="552"/>
        <v>1.9942998211607539</v>
      </c>
      <c r="DA179" s="197">
        <f t="shared" si="553"/>
        <v>350</v>
      </c>
      <c r="DB179" s="443">
        <f t="shared" si="554"/>
        <v>257.36310581183886</v>
      </c>
      <c r="DD179" s="217">
        <f t="shared" si="555"/>
        <v>25.032384211169504</v>
      </c>
      <c r="DE179" s="173">
        <f t="shared" si="556"/>
        <v>1.4664548454112187</v>
      </c>
      <c r="DF179" s="173">
        <f t="shared" si="557"/>
        <v>0.30335794952229944</v>
      </c>
      <c r="DG179" s="173"/>
      <c r="DH179" s="173">
        <f t="shared" si="558"/>
        <v>0.78109744190587771</v>
      </c>
      <c r="DI179" s="545">
        <f t="shared" si="559"/>
        <v>1683.6040588235294</v>
      </c>
      <c r="DJ179" s="528">
        <f t="shared" si="560"/>
        <v>8.6065366284073561E-2</v>
      </c>
      <c r="DL179" s="173">
        <f t="shared" si="561"/>
        <v>29.183165401599993</v>
      </c>
      <c r="DM179" s="173">
        <f t="shared" si="562"/>
        <v>34.042697947214073</v>
      </c>
      <c r="DN179" s="173">
        <f t="shared" si="563"/>
        <v>16.540270084356102</v>
      </c>
      <c r="DP179" s="545">
        <f t="shared" si="564"/>
        <v>414</v>
      </c>
      <c r="DQ179" s="460">
        <f t="shared" si="565"/>
        <v>257.36310581183886</v>
      </c>
      <c r="DS179">
        <f t="shared" si="566"/>
        <v>414</v>
      </c>
      <c r="DT179">
        <f t="shared" si="567"/>
        <v>257.36310581183886</v>
      </c>
      <c r="DV179" s="5">
        <f t="shared" si="568"/>
        <v>3.8855608182282024</v>
      </c>
      <c r="DW179" s="5">
        <f t="shared" si="569"/>
        <v>1.8912609970674485</v>
      </c>
      <c r="DX179" s="5">
        <f t="shared" si="570"/>
        <v>1.9942998211607539</v>
      </c>
      <c r="DY179" s="173">
        <f t="shared" si="571"/>
        <v>0.48674080410607362</v>
      </c>
      <c r="EA179" s="5">
        <f t="shared" si="572"/>
        <v>0.46057767810936689</v>
      </c>
      <c r="EB179" s="5">
        <f t="shared" si="573"/>
        <v>5.4373753665689133</v>
      </c>
      <c r="EC179" s="5">
        <f t="shared" si="574"/>
        <v>24.952679362363348</v>
      </c>
      <c r="ED179" s="5"/>
      <c r="EE179" s="173">
        <f t="shared" si="575"/>
        <v>13.712360477392396</v>
      </c>
      <c r="EF179" s="173">
        <f t="shared" si="576"/>
        <v>0.66493337843610234</v>
      </c>
      <c r="EG179" s="173">
        <f t="shared" si="577"/>
        <v>0.52572546409931764</v>
      </c>
      <c r="EH179" s="173"/>
      <c r="EI179" s="528">
        <f t="shared" si="578"/>
        <v>7.5211531944781216</v>
      </c>
      <c r="EJ179" s="528">
        <f t="shared" si="579"/>
        <v>4.2248250000000001</v>
      </c>
      <c r="EK179" s="528">
        <f t="shared" si="580"/>
        <v>5.1472621162367768E-2</v>
      </c>
      <c r="EL179" s="528">
        <f t="shared" si="581"/>
        <v>1.5826607245859953E-2</v>
      </c>
      <c r="EM179">
        <f t="shared" si="582"/>
        <v>4.0499999999999998E-3</v>
      </c>
      <c r="EN179" s="460">
        <f t="shared" si="583"/>
        <v>55.522621162367763</v>
      </c>
      <c r="EP179" s="460">
        <f t="shared" si="603"/>
        <v>11817.327422886348</v>
      </c>
      <c r="EQ179" s="173">
        <f t="shared" si="584"/>
        <v>0.28979999999999995</v>
      </c>
      <c r="ER179" s="173">
        <f t="shared" si="585"/>
        <v>0.29945999999999995</v>
      </c>
      <c r="ES179" s="528"/>
      <c r="EU179" s="460">
        <f t="shared" si="497"/>
        <v>589.25999999999988</v>
      </c>
      <c r="EV179" s="528">
        <f t="shared" si="586"/>
        <v>5.6408648958585905</v>
      </c>
      <c r="EW179" s="528">
        <f t="shared" si="587"/>
        <v>1.3264091932753465E-2</v>
      </c>
      <c r="EX179" s="528">
        <f t="shared" si="588"/>
        <v>1.3819363180122147E-3</v>
      </c>
      <c r="EY179" s="528">
        <f t="shared" si="589"/>
        <v>359.24907218562652</v>
      </c>
      <c r="EZ179" s="528"/>
      <c r="FA179" s="625">
        <f t="shared" si="590"/>
        <v>7.4564865777452223</v>
      </c>
      <c r="FB179" s="460">
        <f t="shared" si="498"/>
        <v>372361.0696874811</v>
      </c>
      <c r="FC179" s="173">
        <f t="shared" si="591"/>
        <v>384.76765711036745</v>
      </c>
      <c r="FD179" s="5">
        <f t="shared" si="592"/>
        <v>74.52</v>
      </c>
      <c r="FE179" s="173">
        <f t="shared" si="593"/>
        <v>0.16225125767334247</v>
      </c>
      <c r="FF179" s="5">
        <f t="shared" si="594"/>
        <v>16.225125767334248</v>
      </c>
      <c r="FG179">
        <f t="shared" si="595"/>
        <v>69</v>
      </c>
      <c r="FI179" s="562">
        <f t="shared" si="596"/>
        <v>-50</v>
      </c>
      <c r="FJ179">
        <f t="shared" si="597"/>
        <v>-50</v>
      </c>
    </row>
    <row r="180" spans="5:166">
      <c r="E180" s="170">
        <v>70</v>
      </c>
      <c r="F180" s="217">
        <f t="shared" si="598"/>
        <v>0.42</v>
      </c>
      <c r="G180" s="217">
        <f t="shared" si="499"/>
        <v>0.35</v>
      </c>
      <c r="H180" s="217">
        <f t="shared" si="500"/>
        <v>71.399999999999991</v>
      </c>
      <c r="I180" s="217">
        <f t="shared" si="501"/>
        <v>4.1999999999999993</v>
      </c>
      <c r="J180" s="541">
        <f t="shared" si="502"/>
        <v>7.5309098844390636</v>
      </c>
      <c r="K180" s="443">
        <f t="shared" si="503"/>
        <v>8.5444527207042977</v>
      </c>
      <c r="L180" s="172">
        <f t="shared" si="504"/>
        <v>16.075362605143361</v>
      </c>
      <c r="M180" s="443"/>
      <c r="N180" s="217">
        <f t="shared" si="505"/>
        <v>0.5315247270360467</v>
      </c>
      <c r="O180" s="172">
        <f t="shared" si="506"/>
        <v>126.016114724467</v>
      </c>
      <c r="P180" s="172">
        <f t="shared" si="507"/>
        <v>7.412712630850999</v>
      </c>
      <c r="Q180" s="217">
        <f t="shared" si="508"/>
        <v>0.74127126308510005</v>
      </c>
      <c r="R180" s="217">
        <f t="shared" si="509"/>
        <v>10.501342893705583</v>
      </c>
      <c r="S180" s="217">
        <f t="shared" si="510"/>
        <v>170</v>
      </c>
      <c r="T180" s="217">
        <f t="shared" si="511"/>
        <v>37.77294682039431</v>
      </c>
      <c r="U180" s="217">
        <f t="shared" si="512"/>
        <v>2.5078607631757506</v>
      </c>
      <c r="V180" s="217">
        <f t="shared" si="513"/>
        <v>2.2103783621428228</v>
      </c>
      <c r="W180" s="197">
        <f t="shared" si="514"/>
        <v>350</v>
      </c>
      <c r="X180" s="443">
        <f t="shared" si="599"/>
        <v>203.32480274334486</v>
      </c>
      <c r="Z180" s="217">
        <f t="shared" si="515"/>
        <v>22.873513260911654</v>
      </c>
      <c r="AA180" s="173">
        <f t="shared" si="516"/>
        <v>1.3385007798970092</v>
      </c>
      <c r="AB180" s="173">
        <f t="shared" si="517"/>
        <v>0.25300900175743507</v>
      </c>
      <c r="AC180" s="173"/>
      <c r="AD180" s="173">
        <f t="shared" si="518"/>
        <v>0.78023331447694522</v>
      </c>
      <c r="AE180" s="545">
        <f t="shared" si="519"/>
        <v>1709.895773872707</v>
      </c>
      <c r="AF180" s="528">
        <f t="shared" si="520"/>
        <v>8.5970152243293033E-2</v>
      </c>
      <c r="AH180" s="173">
        <f t="shared" si="521"/>
        <v>29.393876913398138</v>
      </c>
      <c r="AI180" s="173">
        <f t="shared" si="522"/>
        <v>37.77294682039431</v>
      </c>
      <c r="AJ180" s="173">
        <f t="shared" si="523"/>
        <v>19.303417397822944</v>
      </c>
      <c r="AL180" s="545">
        <f t="shared" si="524"/>
        <v>420</v>
      </c>
      <c r="AM180" s="460">
        <f t="shared" si="525"/>
        <v>203.32480274334486</v>
      </c>
      <c r="AO180">
        <f t="shared" si="526"/>
        <v>420</v>
      </c>
      <c r="AP180">
        <f t="shared" si="527"/>
        <v>203.32480274334486</v>
      </c>
      <c r="AR180" s="5">
        <f t="shared" si="443"/>
        <v>4.918239125318574</v>
      </c>
      <c r="AS180" s="5">
        <f t="shared" si="604"/>
        <v>2.5078607631757506</v>
      </c>
      <c r="AT180" s="5">
        <f t="shared" si="605"/>
        <v>2.4103783621428234</v>
      </c>
      <c r="AU180" s="173">
        <f t="shared" si="606"/>
        <v>0.50991029498048379</v>
      </c>
      <c r="AW180" s="5">
        <f t="shared" si="477"/>
        <v>0.61958912972577362</v>
      </c>
      <c r="AX180" s="5">
        <f t="shared" si="478"/>
        <v>7.3145938925959388</v>
      </c>
      <c r="AY180" s="5">
        <f t="shared" si="479"/>
        <v>36.564190558191271</v>
      </c>
      <c r="AZ180" s="5"/>
      <c r="BA180" s="173">
        <f t="shared" si="480"/>
        <v>15.572815204108378</v>
      </c>
      <c r="BB180" s="173">
        <f t="shared" si="481"/>
        <v>0.72094884484607702</v>
      </c>
      <c r="BC180" s="173">
        <f t="shared" si="482"/>
        <v>0.57001374624930679</v>
      </c>
      <c r="BD180" s="173"/>
      <c r="BE180" s="528">
        <f t="shared" si="483"/>
        <v>9.7005029352523628</v>
      </c>
      <c r="BF180" s="528">
        <f t="shared" si="528"/>
        <v>2.7778866642996616</v>
      </c>
      <c r="BG180" s="528">
        <f t="shared" si="529"/>
        <v>6.1248830669259145E-2</v>
      </c>
      <c r="BH180" s="528">
        <f t="shared" si="484"/>
        <v>1.0508528613687644E-2</v>
      </c>
      <c r="BI180">
        <f t="shared" si="485"/>
        <v>3.3889094479975785E-3</v>
      </c>
      <c r="BJ180" s="460">
        <f t="shared" si="600"/>
        <v>64.637740117256712</v>
      </c>
      <c r="BK180">
        <f t="shared" si="530"/>
        <v>-11.578461527722796</v>
      </c>
      <c r="BL180" s="460">
        <f t="shared" si="601"/>
        <v>12553.535868282968</v>
      </c>
      <c r="BM180" s="173">
        <f t="shared" si="531"/>
        <v>0.36456</v>
      </c>
      <c r="BN180" s="173">
        <f t="shared" si="532"/>
        <v>0.30379999999999996</v>
      </c>
      <c r="BO180" s="528"/>
      <c r="BQ180" s="460">
        <f t="shared" si="486"/>
        <v>668.3599999999999</v>
      </c>
      <c r="BR180" s="528">
        <f t="shared" si="487"/>
        <v>7.2753772014392721</v>
      </c>
      <c r="BS180" s="528">
        <f t="shared" si="488"/>
        <v>1.5593017106546782E-2</v>
      </c>
      <c r="BT180" s="528">
        <f t="shared" si="489"/>
        <v>1.6245783545658454E-3</v>
      </c>
      <c r="BU180" s="528">
        <f t="shared" si="490"/>
        <v>258.4628158497884</v>
      </c>
      <c r="BV180" s="528"/>
      <c r="BW180" s="625">
        <f t="shared" si="533"/>
        <v>7.2525728982520619</v>
      </c>
      <c r="BX180" s="460">
        <f t="shared" si="491"/>
        <v>273007.98354494089</v>
      </c>
      <c r="BY180" s="173">
        <f t="shared" si="492"/>
        <v>286.22987941322384</v>
      </c>
      <c r="BZ180" s="5">
        <f t="shared" si="493"/>
        <v>75.599999999999994</v>
      </c>
      <c r="CA180" s="173">
        <f t="shared" si="494"/>
        <v>0.20893796864592781</v>
      </c>
      <c r="CB180" s="5">
        <f t="shared" si="495"/>
        <v>20.89379686459278</v>
      </c>
      <c r="CC180">
        <f t="shared" si="496"/>
        <v>70</v>
      </c>
      <c r="CE180" s="562">
        <f t="shared" si="534"/>
        <v>-50</v>
      </c>
      <c r="CF180">
        <f t="shared" si="535"/>
        <v>-50</v>
      </c>
      <c r="CG180" s="173">
        <f t="shared" si="536"/>
        <v>0.49996674565333021</v>
      </c>
      <c r="CH180" s="173">
        <f t="shared" si="537"/>
        <v>0.1244173729401032</v>
      </c>
      <c r="CI180" s="170">
        <v>70</v>
      </c>
      <c r="CJ180" s="217">
        <f t="shared" si="602"/>
        <v>0.42</v>
      </c>
      <c r="CK180" s="217">
        <f t="shared" si="538"/>
        <v>0.35</v>
      </c>
      <c r="CL180" s="217">
        <f t="shared" si="539"/>
        <v>71.399999999999991</v>
      </c>
      <c r="CM180" s="217">
        <f t="shared" si="540"/>
        <v>4.1999999999999993</v>
      </c>
      <c r="CN180" s="541">
        <f t="shared" si="541"/>
        <v>9</v>
      </c>
      <c r="CO180" s="443">
        <f t="shared" si="542"/>
        <v>8.5350000000000001</v>
      </c>
      <c r="CP180" s="443">
        <f t="shared" si="543"/>
        <v>17.535</v>
      </c>
      <c r="CQ180" s="443"/>
      <c r="CR180" s="217">
        <f t="shared" si="544"/>
        <v>0.48644793152639093</v>
      </c>
      <c r="CS180" s="172">
        <f t="shared" si="545"/>
        <v>137.82691393247745</v>
      </c>
      <c r="CT180" s="172">
        <f t="shared" si="546"/>
        <v>8.1074655254398493</v>
      </c>
      <c r="CU180" s="217">
        <f t="shared" si="547"/>
        <v>0.81074655254398498</v>
      </c>
      <c r="CV180" s="217">
        <f t="shared" si="548"/>
        <v>11.485576161039788</v>
      </c>
      <c r="CW180" s="217">
        <f t="shared" si="549"/>
        <v>170</v>
      </c>
      <c r="CX180" s="217">
        <f t="shared" si="550"/>
        <v>34.536070381231667</v>
      </c>
      <c r="CY180" s="217">
        <f t="shared" si="551"/>
        <v>1.9186705767350929</v>
      </c>
      <c r="CZ180" s="217">
        <f t="shared" si="552"/>
        <v>2.0232027171196059</v>
      </c>
      <c r="DA180" s="197">
        <f t="shared" si="553"/>
        <v>350</v>
      </c>
      <c r="DB180" s="443">
        <f t="shared" si="554"/>
        <v>253.68649001452681</v>
      </c>
      <c r="DD180" s="217">
        <f t="shared" si="555"/>
        <v>25.032384211169504</v>
      </c>
      <c r="DE180" s="173">
        <f t="shared" si="556"/>
        <v>1.4664548454112187</v>
      </c>
      <c r="DF180" s="173">
        <f t="shared" si="557"/>
        <v>0.30335794952229944</v>
      </c>
      <c r="DG180" s="173"/>
      <c r="DH180" s="173">
        <f t="shared" si="558"/>
        <v>0.78109744190587771</v>
      </c>
      <c r="DI180" s="545">
        <f t="shared" si="559"/>
        <v>1708.004117647059</v>
      </c>
      <c r="DJ180" s="528">
        <f t="shared" si="560"/>
        <v>8.6065366284073561E-2</v>
      </c>
      <c r="DL180" s="173">
        <f t="shared" si="561"/>
        <v>29.393876913398138</v>
      </c>
      <c r="DM180" s="173">
        <f t="shared" si="562"/>
        <v>34.536070381231667</v>
      </c>
      <c r="DN180" s="173">
        <f t="shared" si="563"/>
        <v>16.905731146591357</v>
      </c>
      <c r="DP180" s="545">
        <f t="shared" si="564"/>
        <v>420</v>
      </c>
      <c r="DQ180" s="460">
        <f t="shared" si="565"/>
        <v>253.68649001452681</v>
      </c>
      <c r="DS180">
        <f t="shared" si="566"/>
        <v>420</v>
      </c>
      <c r="DT180">
        <f t="shared" si="567"/>
        <v>253.68649001452681</v>
      </c>
      <c r="DV180" s="5">
        <f t="shared" si="568"/>
        <v>3.9418732938546985</v>
      </c>
      <c r="DW180" s="5">
        <f t="shared" si="569"/>
        <v>1.9186705767350929</v>
      </c>
      <c r="DX180" s="5">
        <f t="shared" si="570"/>
        <v>2.0232027171196059</v>
      </c>
      <c r="DY180" s="173">
        <f t="shared" si="571"/>
        <v>0.48674080410607362</v>
      </c>
      <c r="EA180" s="5">
        <f t="shared" si="572"/>
        <v>0.47402449542867003</v>
      </c>
      <c r="EB180" s="5">
        <f t="shared" si="573"/>
        <v>5.5961225154773535</v>
      </c>
      <c r="EC180" s="5">
        <f t="shared" si="574"/>
        <v>25.68118648930486</v>
      </c>
      <c r="ED180" s="5"/>
      <c r="EE180" s="173">
        <f t="shared" si="575"/>
        <v>13.911090339383589</v>
      </c>
      <c r="EF180" s="173">
        <f t="shared" si="576"/>
        <v>0.67457009406561108</v>
      </c>
      <c r="EG180" s="173">
        <f t="shared" si="577"/>
        <v>0.53334467372394545</v>
      </c>
      <c r="EH180" s="173"/>
      <c r="EI180" s="528">
        <f t="shared" si="578"/>
        <v>7.7407373772196575</v>
      </c>
      <c r="EJ180" s="528">
        <f t="shared" si="579"/>
        <v>4.2248249999999992</v>
      </c>
      <c r="EK180" s="528">
        <f t="shared" si="580"/>
        <v>5.0737298002905357E-2</v>
      </c>
      <c r="EL180" s="528">
        <f t="shared" si="581"/>
        <v>1.5600512856633377E-2</v>
      </c>
      <c r="EM180">
        <f t="shared" si="582"/>
        <v>4.0499999999999998E-3</v>
      </c>
      <c r="EN180" s="460">
        <f t="shared" si="583"/>
        <v>54.787298002905352</v>
      </c>
      <c r="EP180" s="460">
        <f t="shared" si="603"/>
        <v>12035.950188079194</v>
      </c>
      <c r="EQ180" s="173">
        <f t="shared" si="584"/>
        <v>0.29399999999999998</v>
      </c>
      <c r="ER180" s="173">
        <f t="shared" si="585"/>
        <v>0.30379999999999996</v>
      </c>
      <c r="ES180" s="528"/>
      <c r="EU180" s="460">
        <f t="shared" si="497"/>
        <v>597.79999999999984</v>
      </c>
      <c r="EV180" s="528">
        <f t="shared" si="586"/>
        <v>5.8055530329147427</v>
      </c>
      <c r="EW180" s="528">
        <f t="shared" si="587"/>
        <v>1.365134435423062E-2</v>
      </c>
      <c r="EX180" s="528">
        <f t="shared" si="588"/>
        <v>1.4222827049485093E-3</v>
      </c>
      <c r="EY180" s="528">
        <f t="shared" si="589"/>
        <v>359.24907218562652</v>
      </c>
      <c r="EZ180" s="528"/>
      <c r="FA180" s="625">
        <f t="shared" si="590"/>
        <v>7.5645516006110931</v>
      </c>
      <c r="FB180" s="460">
        <f t="shared" si="498"/>
        <v>372634.25044621155</v>
      </c>
      <c r="FC180" s="173">
        <f t="shared" si="591"/>
        <v>385.26800063429073</v>
      </c>
      <c r="FD180" s="5">
        <f t="shared" si="592"/>
        <v>75.599999999999994</v>
      </c>
      <c r="FE180" s="173">
        <f t="shared" si="593"/>
        <v>0.16403829273447498</v>
      </c>
      <c r="FF180" s="5">
        <f t="shared" si="594"/>
        <v>16.403829273447499</v>
      </c>
      <c r="FG180">
        <f t="shared" si="595"/>
        <v>70</v>
      </c>
      <c r="FI180" s="562">
        <f t="shared" si="596"/>
        <v>-50</v>
      </c>
      <c r="FJ180">
        <f t="shared" si="597"/>
        <v>-50</v>
      </c>
    </row>
    <row r="181" spans="5:166">
      <c r="E181" s="170">
        <v>71</v>
      </c>
      <c r="F181" s="217">
        <f t="shared" si="598"/>
        <v>0.42599999999999999</v>
      </c>
      <c r="G181" s="217">
        <f t="shared" si="499"/>
        <v>0.35499999999999998</v>
      </c>
      <c r="H181" s="217">
        <f t="shared" si="500"/>
        <v>72.42</v>
      </c>
      <c r="I181" s="217">
        <f t="shared" si="501"/>
        <v>4.26</v>
      </c>
      <c r="J181" s="541">
        <f t="shared" si="502"/>
        <v>7.5099228827881932</v>
      </c>
      <c r="K181" s="443">
        <f t="shared" si="503"/>
        <v>8.5445877595715025</v>
      </c>
      <c r="L181" s="172">
        <f t="shared" si="504"/>
        <v>16.054510642359695</v>
      </c>
      <c r="M181" s="443"/>
      <c r="N181" s="217">
        <f t="shared" si="505"/>
        <v>0.53222349468732344</v>
      </c>
      <c r="O181" s="172">
        <f t="shared" si="506"/>
        <v>125.8301404179021</v>
      </c>
      <c r="P181" s="172">
        <f t="shared" si="507"/>
        <v>7.4017729657589459</v>
      </c>
      <c r="Q181" s="217">
        <f t="shared" si="508"/>
        <v>0.74017729657589471</v>
      </c>
      <c r="R181" s="217">
        <f t="shared" si="509"/>
        <v>10.485845034825175</v>
      </c>
      <c r="S181" s="217">
        <f t="shared" si="510"/>
        <v>170</v>
      </c>
      <c r="T181" s="217">
        <f t="shared" si="511"/>
        <v>38.36918550647276</v>
      </c>
      <c r="U181" s="217">
        <f t="shared" si="512"/>
        <v>2.5545658793920603</v>
      </c>
      <c r="V181" s="217">
        <f t="shared" si="513"/>
        <v>2.2452332743315933</v>
      </c>
      <c r="W181" s="197">
        <f t="shared" si="514"/>
        <v>350</v>
      </c>
      <c r="X181" s="443">
        <f t="shared" si="599"/>
        <v>200.00803417378063</v>
      </c>
      <c r="Z181" s="217">
        <f t="shared" si="515"/>
        <v>22.839756580056175</v>
      </c>
      <c r="AA181" s="173">
        <f t="shared" si="516"/>
        <v>1.3365043008933617</v>
      </c>
      <c r="AB181" s="173">
        <f t="shared" si="517"/>
        <v>0.25225878577581262</v>
      </c>
      <c r="AC181" s="173"/>
      <c r="AD181" s="173">
        <f t="shared" si="518"/>
        <v>0.78022098365117498</v>
      </c>
      <c r="AE181" s="545">
        <f t="shared" si="519"/>
        <v>1734.35026606926</v>
      </c>
      <c r="AF181" s="528">
        <f t="shared" si="520"/>
        <v>8.5968793568972066E-2</v>
      </c>
      <c r="AH181" s="173">
        <f t="shared" si="521"/>
        <v>29.603088641945071</v>
      </c>
      <c r="AI181" s="173">
        <f t="shared" si="522"/>
        <v>38.36918550647276</v>
      </c>
      <c r="AJ181" s="173">
        <f t="shared" si="523"/>
        <v>19.745075683806981</v>
      </c>
      <c r="AL181" s="545">
        <f t="shared" si="524"/>
        <v>426</v>
      </c>
      <c r="AM181" s="460">
        <f t="shared" si="525"/>
        <v>200.00803417378063</v>
      </c>
      <c r="AO181">
        <f t="shared" si="526"/>
        <v>426</v>
      </c>
      <c r="AP181">
        <f t="shared" si="527"/>
        <v>200.00803417378063</v>
      </c>
      <c r="AR181" s="5">
        <f t="shared" si="443"/>
        <v>4.9997991537236537</v>
      </c>
      <c r="AS181" s="5">
        <f t="shared" si="604"/>
        <v>2.5545658793920603</v>
      </c>
      <c r="AT181" s="5">
        <f t="shared" si="605"/>
        <v>2.4452332743315934</v>
      </c>
      <c r="AU181" s="173">
        <f t="shared" si="606"/>
        <v>0.5109336997046211</v>
      </c>
      <c r="AW181" s="5">
        <f t="shared" si="477"/>
        <v>0.64014415565942218</v>
      </c>
      <c r="AX181" s="5">
        <f t="shared" si="478"/>
        <v>7.5572573932015104</v>
      </c>
      <c r="AY181" s="5">
        <f t="shared" si="479"/>
        <v>37.727959978486162</v>
      </c>
      <c r="AZ181" s="5"/>
      <c r="BA181" s="173">
        <f t="shared" si="480"/>
        <v>15.834495357209342</v>
      </c>
      <c r="BB181" s="173">
        <f t="shared" si="481"/>
        <v>0.73156385969341808</v>
      </c>
      <c r="BC181" s="173">
        <f t="shared" si="482"/>
        <v>0.57840644210128056</v>
      </c>
      <c r="BD181" s="173"/>
      <c r="BE181" s="528">
        <f t="shared" si="483"/>
        <v>10.029249728699368</v>
      </c>
      <c r="BF181" s="528">
        <f t="shared" si="528"/>
        <v>2.7721045901124448</v>
      </c>
      <c r="BG181" s="528">
        <f t="shared" si="529"/>
        <v>6.0081796503326332E-2</v>
      </c>
      <c r="BH181" s="528">
        <f t="shared" si="484"/>
        <v>1.0310306635964791E-2</v>
      </c>
      <c r="BI181">
        <f t="shared" si="485"/>
        <v>3.3794652972546869E-3</v>
      </c>
      <c r="BJ181" s="460">
        <f t="shared" si="600"/>
        <v>63.461261800581021</v>
      </c>
      <c r="BK181">
        <f t="shared" si="530"/>
        <v>-11.222072395963291</v>
      </c>
      <c r="BL181" s="460">
        <f t="shared" si="601"/>
        <v>12875.125887248358</v>
      </c>
      <c r="BM181" s="173">
        <f t="shared" si="531"/>
        <v>0.36976799999999993</v>
      </c>
      <c r="BN181" s="173">
        <f t="shared" si="532"/>
        <v>0.30813999999999997</v>
      </c>
      <c r="BO181" s="528"/>
      <c r="BQ181" s="460">
        <f t="shared" si="486"/>
        <v>677.9079999999999</v>
      </c>
      <c r="BR181" s="528">
        <f t="shared" si="487"/>
        <v>7.5219372965245261</v>
      </c>
      <c r="BS181" s="528">
        <f t="shared" si="488"/>
        <v>1.6055570424285931E-2</v>
      </c>
      <c r="BT181" s="528">
        <f t="shared" si="489"/>
        <v>1.6727700613213101E-3</v>
      </c>
      <c r="BU181" s="528">
        <f t="shared" si="490"/>
        <v>257.95565794205299</v>
      </c>
      <c r="BV181" s="528"/>
      <c r="BW181" s="625">
        <f t="shared" si="533"/>
        <v>7.3612676787910916</v>
      </c>
      <c r="BX181" s="460">
        <f t="shared" si="491"/>
        <v>272856.59125785425</v>
      </c>
      <c r="BY181" s="173">
        <f t="shared" si="492"/>
        <v>286.40962514510255</v>
      </c>
      <c r="BZ181" s="5">
        <f t="shared" si="493"/>
        <v>76.680000000000007</v>
      </c>
      <c r="CA181" s="173">
        <f t="shared" si="494"/>
        <v>0.2111875269621272</v>
      </c>
      <c r="CB181" s="5">
        <f t="shared" si="495"/>
        <v>21.11875269621272</v>
      </c>
      <c r="CC181">
        <f t="shared" si="496"/>
        <v>71</v>
      </c>
      <c r="CE181" s="562">
        <f t="shared" si="534"/>
        <v>-50</v>
      </c>
      <c r="CF181">
        <f t="shared" si="535"/>
        <v>-50</v>
      </c>
      <c r="CG181" s="173">
        <f t="shared" si="536"/>
        <v>0.49996674565333032</v>
      </c>
      <c r="CH181" s="173">
        <f t="shared" si="537"/>
        <v>0.12441737294010324</v>
      </c>
      <c r="CI181" s="170">
        <v>71</v>
      </c>
      <c r="CJ181" s="217">
        <f t="shared" si="602"/>
        <v>0.42599999999999999</v>
      </c>
      <c r="CK181" s="217">
        <f t="shared" si="538"/>
        <v>0.35499999999999998</v>
      </c>
      <c r="CL181" s="217">
        <f t="shared" si="539"/>
        <v>72.42</v>
      </c>
      <c r="CM181" s="217">
        <f t="shared" si="540"/>
        <v>4.26</v>
      </c>
      <c r="CN181" s="541">
        <f t="shared" si="541"/>
        <v>9</v>
      </c>
      <c r="CO181" s="443">
        <f t="shared" si="542"/>
        <v>8.5350000000000001</v>
      </c>
      <c r="CP181" s="443">
        <f t="shared" si="543"/>
        <v>17.535</v>
      </c>
      <c r="CQ181" s="443"/>
      <c r="CR181" s="217">
        <f t="shared" si="544"/>
        <v>0.48644793152639093</v>
      </c>
      <c r="CS181" s="172">
        <f t="shared" si="545"/>
        <v>137.82691393247745</v>
      </c>
      <c r="CT181" s="172">
        <f t="shared" si="546"/>
        <v>8.1074655254398493</v>
      </c>
      <c r="CU181" s="217">
        <f t="shared" si="547"/>
        <v>0.81074655254398498</v>
      </c>
      <c r="CV181" s="217">
        <f t="shared" si="548"/>
        <v>11.485576161039788</v>
      </c>
      <c r="CW181" s="217">
        <f t="shared" si="549"/>
        <v>170</v>
      </c>
      <c r="CX181" s="217">
        <f t="shared" si="550"/>
        <v>35.029442815249269</v>
      </c>
      <c r="CY181" s="217">
        <f t="shared" si="551"/>
        <v>1.946080156402737</v>
      </c>
      <c r="CZ181" s="217">
        <f t="shared" si="552"/>
        <v>2.052105613078457</v>
      </c>
      <c r="DA181" s="197">
        <f t="shared" si="553"/>
        <v>350</v>
      </c>
      <c r="DB181" s="443">
        <f t="shared" si="554"/>
        <v>250.11344085939268</v>
      </c>
      <c r="DD181" s="217">
        <f t="shared" si="555"/>
        <v>25.032384211169504</v>
      </c>
      <c r="DE181" s="173">
        <f t="shared" si="556"/>
        <v>1.4664548454112187</v>
      </c>
      <c r="DF181" s="173">
        <f t="shared" si="557"/>
        <v>0.30335794952229944</v>
      </c>
      <c r="DG181" s="173"/>
      <c r="DH181" s="173">
        <f t="shared" si="558"/>
        <v>0.78109744190587771</v>
      </c>
      <c r="DI181" s="545">
        <f t="shared" si="559"/>
        <v>1732.4041764705883</v>
      </c>
      <c r="DJ181" s="528">
        <f t="shared" si="560"/>
        <v>8.6065366284073561E-2</v>
      </c>
      <c r="DL181" s="173">
        <f t="shared" si="561"/>
        <v>29.603088641945071</v>
      </c>
      <c r="DM181" s="173">
        <f t="shared" si="562"/>
        <v>35.029442815249269</v>
      </c>
      <c r="DN181" s="173">
        <f t="shared" si="563"/>
        <v>17.271192208826616</v>
      </c>
      <c r="DP181" s="545">
        <f t="shared" si="564"/>
        <v>426</v>
      </c>
      <c r="DQ181" s="460">
        <f t="shared" si="565"/>
        <v>250.11344085939268</v>
      </c>
      <c r="DS181">
        <f t="shared" si="566"/>
        <v>426</v>
      </c>
      <c r="DT181">
        <f t="shared" si="567"/>
        <v>250.11344085939268</v>
      </c>
      <c r="DV181" s="5">
        <f t="shared" si="568"/>
        <v>3.9981857694811938</v>
      </c>
      <c r="DW181" s="5">
        <f t="shared" si="569"/>
        <v>1.946080156402737</v>
      </c>
      <c r="DX181" s="5">
        <f t="shared" si="570"/>
        <v>2.0521056130784565</v>
      </c>
      <c r="DY181" s="173">
        <f t="shared" si="571"/>
        <v>0.48674080410607362</v>
      </c>
      <c r="EA181" s="5">
        <f t="shared" si="572"/>
        <v>0.48766479213386232</v>
      </c>
      <c r="EB181" s="5">
        <f t="shared" si="573"/>
        <v>5.7571537960247632</v>
      </c>
      <c r="EC181" s="5">
        <f t="shared" si="574"/>
        <v>26.42017573318077</v>
      </c>
      <c r="ED181" s="5"/>
      <c r="EE181" s="173">
        <f t="shared" si="575"/>
        <v>14.109820201374786</v>
      </c>
      <c r="EF181" s="173">
        <f t="shared" si="576"/>
        <v>0.68420680969511993</v>
      </c>
      <c r="EG181" s="173">
        <f t="shared" si="577"/>
        <v>0.54096388334857326</v>
      </c>
      <c r="EH181" s="173"/>
      <c r="EI181" s="528">
        <f t="shared" si="578"/>
        <v>7.9634810446049613</v>
      </c>
      <c r="EJ181" s="528">
        <f t="shared" si="579"/>
        <v>4.2248250000000009</v>
      </c>
      <c r="EK181" s="528">
        <f t="shared" si="580"/>
        <v>5.0022688171878535E-2</v>
      </c>
      <c r="EL181" s="528">
        <f t="shared" si="581"/>
        <v>1.5380787323441362E-2</v>
      </c>
      <c r="EM181">
        <f t="shared" si="582"/>
        <v>4.0499999999999998E-3</v>
      </c>
      <c r="EN181" s="460">
        <f t="shared" si="583"/>
        <v>54.072688171878532</v>
      </c>
      <c r="EP181" s="460">
        <f t="shared" si="603"/>
        <v>12257.75952010028</v>
      </c>
      <c r="EQ181" s="173">
        <f t="shared" si="584"/>
        <v>0.29819999999999997</v>
      </c>
      <c r="ER181" s="173">
        <f t="shared" si="585"/>
        <v>0.30813999999999997</v>
      </c>
      <c r="ES181" s="528"/>
      <c r="EU181" s="460">
        <f t="shared" si="497"/>
        <v>606.33999999999992</v>
      </c>
      <c r="EV181" s="528">
        <f t="shared" si="586"/>
        <v>5.9726107834537201</v>
      </c>
      <c r="EW181" s="528">
        <f t="shared" si="587"/>
        <v>1.4044168752995221E-2</v>
      </c>
      <c r="EX181" s="528">
        <f t="shared" si="588"/>
        <v>1.4632096154378437E-3</v>
      </c>
      <c r="EY181" s="528">
        <f t="shared" si="589"/>
        <v>359.24907218562657</v>
      </c>
      <c r="EZ181" s="528"/>
      <c r="FA181" s="625">
        <f t="shared" si="590"/>
        <v>7.6726166234769702</v>
      </c>
      <c r="FB181" s="460">
        <f t="shared" si="498"/>
        <v>372909.80697092571</v>
      </c>
      <c r="FC181" s="173">
        <f t="shared" si="591"/>
        <v>385.77390649102597</v>
      </c>
      <c r="FD181" s="5">
        <f t="shared" si="592"/>
        <v>76.680000000000007</v>
      </c>
      <c r="FE181" s="173">
        <f t="shared" si="593"/>
        <v>0.16581111960287442</v>
      </c>
      <c r="FF181" s="5">
        <f t="shared" si="594"/>
        <v>16.581111960287444</v>
      </c>
      <c r="FG181">
        <f t="shared" si="595"/>
        <v>71</v>
      </c>
      <c r="FI181" s="562">
        <f t="shared" si="596"/>
        <v>-50</v>
      </c>
      <c r="FJ181">
        <f t="shared" si="597"/>
        <v>-50</v>
      </c>
    </row>
    <row r="182" spans="5:166">
      <c r="E182" s="170">
        <v>72</v>
      </c>
      <c r="F182" s="217">
        <f t="shared" si="598"/>
        <v>0.432</v>
      </c>
      <c r="G182" s="217">
        <f t="shared" si="499"/>
        <v>0.36</v>
      </c>
      <c r="H182" s="217">
        <f t="shared" si="500"/>
        <v>73.44</v>
      </c>
      <c r="I182" s="217">
        <f t="shared" si="501"/>
        <v>4.32</v>
      </c>
      <c r="J182" s="541">
        <f t="shared" si="502"/>
        <v>7.4889358811373228</v>
      </c>
      <c r="K182" s="443">
        <f t="shared" si="503"/>
        <v>8.5447227984387073</v>
      </c>
      <c r="L182" s="172">
        <f t="shared" si="504"/>
        <v>16.033658679576028</v>
      </c>
      <c r="M182" s="443"/>
      <c r="N182" s="217">
        <f t="shared" si="505"/>
        <v>0.53292407984979329</v>
      </c>
      <c r="O182" s="172">
        <f t="shared" si="506"/>
        <v>125.64367125862324</v>
      </c>
      <c r="P182" s="172">
        <f t="shared" si="507"/>
        <v>7.3908041916837197</v>
      </c>
      <c r="Q182" s="217">
        <f t="shared" si="508"/>
        <v>0.73908041916837197</v>
      </c>
      <c r="R182" s="217">
        <f t="shared" si="509"/>
        <v>10.470305938218603</v>
      </c>
      <c r="S182" s="217">
        <f t="shared" si="510"/>
        <v>170</v>
      </c>
      <c r="T182" s="217">
        <f t="shared" si="511"/>
        <v>38.967342731669625</v>
      </c>
      <c r="U182" s="217">
        <f t="shared" si="512"/>
        <v>2.6016608601108606</v>
      </c>
      <c r="V182" s="217">
        <f t="shared" si="513"/>
        <v>2.2801993494036896</v>
      </c>
      <c r="W182" s="197">
        <f t="shared" si="514"/>
        <v>350</v>
      </c>
      <c r="X182" s="443">
        <f t="shared" si="599"/>
        <v>196.77833682393361</v>
      </c>
      <c r="Z182" s="217">
        <f t="shared" si="515"/>
        <v>22.805910077195481</v>
      </c>
      <c r="AA182" s="173">
        <f t="shared" si="516"/>
        <v>1.3345026290005908</v>
      </c>
      <c r="AB182" s="173">
        <f t="shared" si="517"/>
        <v>0.25150771441787806</v>
      </c>
      <c r="AC182" s="173"/>
      <c r="AD182" s="173">
        <f t="shared" si="518"/>
        <v>0.78020865321515176</v>
      </c>
      <c r="AE182" s="545">
        <f t="shared" si="519"/>
        <v>1758.8055303703954</v>
      </c>
      <c r="AF182" s="528">
        <f t="shared" si="520"/>
        <v>8.5967434937595413E-2</v>
      </c>
      <c r="AH182" s="173">
        <f t="shared" si="521"/>
        <v>29.810832163589701</v>
      </c>
      <c r="AI182" s="173">
        <f t="shared" si="522"/>
        <v>38.967342731669625</v>
      </c>
      <c r="AJ182" s="173">
        <f t="shared" si="523"/>
        <v>20.188155109878732</v>
      </c>
      <c r="AL182" s="545">
        <f t="shared" si="524"/>
        <v>432</v>
      </c>
      <c r="AM182" s="460">
        <f t="shared" si="525"/>
        <v>196.77833682393361</v>
      </c>
      <c r="AO182">
        <f t="shared" si="526"/>
        <v>432</v>
      </c>
      <c r="AP182">
        <f t="shared" si="527"/>
        <v>196.77833682393361</v>
      </c>
      <c r="AR182" s="5">
        <f t="shared" si="443"/>
        <v>5.0818602095145504</v>
      </c>
      <c r="AS182" s="5">
        <f t="shared" si="604"/>
        <v>2.6016608601108606</v>
      </c>
      <c r="AT182" s="5">
        <f t="shared" si="605"/>
        <v>2.4801993494036898</v>
      </c>
      <c r="AU182" s="173">
        <f t="shared" si="606"/>
        <v>0.5119504970325397</v>
      </c>
      <c r="AW182" s="5">
        <f t="shared" si="477"/>
        <v>0.66112793621640686</v>
      </c>
      <c r="AX182" s="5">
        <f t="shared" si="478"/>
        <v>7.804982580332581</v>
      </c>
      <c r="AY182" s="5">
        <f t="shared" si="479"/>
        <v>38.915187548390655</v>
      </c>
      <c r="AZ182" s="5"/>
      <c r="BA182" s="173">
        <f t="shared" si="480"/>
        <v>16.097341161503262</v>
      </c>
      <c r="BB182" s="173">
        <f t="shared" si="481"/>
        <v>0.7421958505441254</v>
      </c>
      <c r="BC182" s="173">
        <f t="shared" si="482"/>
        <v>0.58681255992534609</v>
      </c>
      <c r="BD182" s="173"/>
      <c r="BE182" s="528">
        <f t="shared" si="483"/>
        <v>10.364975698793089</v>
      </c>
      <c r="BF182" s="528">
        <f t="shared" si="528"/>
        <v>2.766261479683632</v>
      </c>
      <c r="BG182" s="528">
        <f t="shared" si="529"/>
        <v>5.8946413890851292E-2</v>
      </c>
      <c r="BH182" s="528">
        <f t="shared" si="484"/>
        <v>1.0117484545199694E-2</v>
      </c>
      <c r="BI182">
        <f t="shared" si="485"/>
        <v>3.3700211465117953E-3</v>
      </c>
      <c r="BJ182" s="460">
        <f t="shared" si="600"/>
        <v>62.316435037363085</v>
      </c>
      <c r="BK182">
        <f t="shared" si="530"/>
        <v>-10.89744956889178</v>
      </c>
      <c r="BL182" s="460">
        <f t="shared" si="601"/>
        <v>13203.671098059283</v>
      </c>
      <c r="BM182" s="173">
        <f t="shared" si="531"/>
        <v>0.37497599999999998</v>
      </c>
      <c r="BN182" s="173">
        <f t="shared" si="532"/>
        <v>0.31247999999999998</v>
      </c>
      <c r="BO182" s="528"/>
      <c r="BQ182" s="460">
        <f t="shared" si="486"/>
        <v>687.4559999999999</v>
      </c>
      <c r="BR182" s="528">
        <f t="shared" si="487"/>
        <v>7.7737317740948164</v>
      </c>
      <c r="BS182" s="528">
        <f t="shared" si="488"/>
        <v>1.652564041694753E-2</v>
      </c>
      <c r="BT182" s="528">
        <f t="shared" si="489"/>
        <v>1.7217449024306895E-3</v>
      </c>
      <c r="BU182" s="528">
        <f t="shared" si="490"/>
        <v>257.4335801884061</v>
      </c>
      <c r="BV182" s="528"/>
      <c r="BW182" s="625">
        <f t="shared" si="533"/>
        <v>7.4699703305714173</v>
      </c>
      <c r="BX182" s="460">
        <f t="shared" si="491"/>
        <v>272695.5296783917</v>
      </c>
      <c r="BY182" s="173">
        <f t="shared" si="492"/>
        <v>286.58665677645098</v>
      </c>
      <c r="BZ182" s="5">
        <f t="shared" si="493"/>
        <v>77.759999999999991</v>
      </c>
      <c r="CA182" s="173">
        <f t="shared" si="494"/>
        <v>0.21342311931164645</v>
      </c>
      <c r="CB182" s="5">
        <f t="shared" si="495"/>
        <v>21.342311931164645</v>
      </c>
      <c r="CC182">
        <f t="shared" si="496"/>
        <v>72</v>
      </c>
      <c r="CE182" s="562">
        <f t="shared" si="534"/>
        <v>-50</v>
      </c>
      <c r="CF182">
        <f t="shared" si="535"/>
        <v>-50</v>
      </c>
      <c r="CG182" s="173">
        <f t="shared" si="536"/>
        <v>0.49996674565333021</v>
      </c>
      <c r="CH182" s="173">
        <f t="shared" si="537"/>
        <v>0.12441737294010323</v>
      </c>
      <c r="CI182" s="170">
        <v>72</v>
      </c>
      <c r="CJ182" s="217">
        <f t="shared" si="602"/>
        <v>0.432</v>
      </c>
      <c r="CK182" s="217">
        <f t="shared" si="538"/>
        <v>0.36</v>
      </c>
      <c r="CL182" s="217">
        <f t="shared" si="539"/>
        <v>73.44</v>
      </c>
      <c r="CM182" s="217">
        <f t="shared" si="540"/>
        <v>4.32</v>
      </c>
      <c r="CN182" s="541">
        <f t="shared" si="541"/>
        <v>9</v>
      </c>
      <c r="CO182" s="443">
        <f t="shared" si="542"/>
        <v>8.5350000000000001</v>
      </c>
      <c r="CP182" s="443">
        <f t="shared" si="543"/>
        <v>17.535</v>
      </c>
      <c r="CQ182" s="443"/>
      <c r="CR182" s="217">
        <f t="shared" si="544"/>
        <v>0.48644793152639093</v>
      </c>
      <c r="CS182" s="172">
        <f t="shared" si="545"/>
        <v>137.82691393247745</v>
      </c>
      <c r="CT182" s="172">
        <f t="shared" si="546"/>
        <v>8.1074655254398493</v>
      </c>
      <c r="CU182" s="217">
        <f t="shared" si="547"/>
        <v>0.81074655254398498</v>
      </c>
      <c r="CV182" s="217">
        <f t="shared" si="548"/>
        <v>11.485576161039788</v>
      </c>
      <c r="CW182" s="217">
        <f t="shared" si="549"/>
        <v>170</v>
      </c>
      <c r="CX182" s="217">
        <f t="shared" si="550"/>
        <v>35.522815249266856</v>
      </c>
      <c r="CY182" s="217">
        <f t="shared" si="551"/>
        <v>1.9734897360703807</v>
      </c>
      <c r="CZ182" s="217">
        <f t="shared" si="552"/>
        <v>2.0810085090373085</v>
      </c>
      <c r="DA182" s="197">
        <f t="shared" si="553"/>
        <v>350</v>
      </c>
      <c r="DB182" s="443">
        <f t="shared" si="554"/>
        <v>246.6396430696789</v>
      </c>
      <c r="DD182" s="217">
        <f t="shared" si="555"/>
        <v>25.032384211169504</v>
      </c>
      <c r="DE182" s="173">
        <f t="shared" si="556"/>
        <v>1.4664548454112187</v>
      </c>
      <c r="DF182" s="173">
        <f t="shared" si="557"/>
        <v>0.30335794952229944</v>
      </c>
      <c r="DG182" s="173"/>
      <c r="DH182" s="173">
        <f t="shared" si="558"/>
        <v>0.78109744190587771</v>
      </c>
      <c r="DI182" s="545">
        <f t="shared" si="559"/>
        <v>1756.8042352941177</v>
      </c>
      <c r="DJ182" s="528">
        <f t="shared" si="560"/>
        <v>8.6065366284073561E-2</v>
      </c>
      <c r="DL182" s="173">
        <f t="shared" si="561"/>
        <v>29.810832163589701</v>
      </c>
      <c r="DM182" s="173">
        <f t="shared" si="562"/>
        <v>35.522815249266856</v>
      </c>
      <c r="DN182" s="173">
        <f t="shared" si="563"/>
        <v>17.636653271061867</v>
      </c>
      <c r="DP182" s="545">
        <f t="shared" si="564"/>
        <v>432</v>
      </c>
      <c r="DQ182" s="460">
        <f t="shared" si="565"/>
        <v>246.6396430696789</v>
      </c>
      <c r="DS182">
        <f t="shared" si="566"/>
        <v>432</v>
      </c>
      <c r="DT182">
        <f t="shared" si="567"/>
        <v>246.6396430696789</v>
      </c>
      <c r="DV182" s="5">
        <f t="shared" si="568"/>
        <v>4.0544982451076894</v>
      </c>
      <c r="DW182" s="5">
        <f t="shared" si="569"/>
        <v>1.9734897360703807</v>
      </c>
      <c r="DX182" s="5">
        <f t="shared" si="570"/>
        <v>2.0810085090373089</v>
      </c>
      <c r="DY182" s="173">
        <f t="shared" si="571"/>
        <v>0.48674080410607351</v>
      </c>
      <c r="EA182" s="5">
        <f t="shared" si="572"/>
        <v>0.50149856822494387</v>
      </c>
      <c r="EB182" s="5">
        <f t="shared" si="573"/>
        <v>5.9204692082111423</v>
      </c>
      <c r="EC182" s="5">
        <f t="shared" si="574"/>
        <v>27.169647093991109</v>
      </c>
      <c r="ED182" s="5"/>
      <c r="EE182" s="173">
        <f t="shared" si="575"/>
        <v>14.308550063365974</v>
      </c>
      <c r="EF182" s="173">
        <f t="shared" si="576"/>
        <v>0.69384352532462867</v>
      </c>
      <c r="EG182" s="173">
        <f t="shared" si="577"/>
        <v>0.54858309297320107</v>
      </c>
      <c r="EH182" s="173"/>
      <c r="EI182" s="528">
        <f t="shared" si="578"/>
        <v>8.1893841966340162</v>
      </c>
      <c r="EJ182" s="528">
        <f t="shared" si="579"/>
        <v>4.2248250000000001</v>
      </c>
      <c r="EK182" s="528">
        <f t="shared" si="580"/>
        <v>4.9327928613935777E-2</v>
      </c>
      <c r="EL182" s="528">
        <f t="shared" si="581"/>
        <v>1.5167165277282454E-2</v>
      </c>
      <c r="EM182">
        <f t="shared" si="582"/>
        <v>4.0499999999999998E-3</v>
      </c>
      <c r="EN182" s="460">
        <f t="shared" si="583"/>
        <v>53.377928613935772</v>
      </c>
      <c r="EP182" s="460">
        <f t="shared" si="603"/>
        <v>12482.754290525232</v>
      </c>
      <c r="EQ182" s="173">
        <f t="shared" si="584"/>
        <v>0.3024</v>
      </c>
      <c r="ER182" s="173">
        <f t="shared" si="585"/>
        <v>0.31247999999999998</v>
      </c>
      <c r="ES182" s="528"/>
      <c r="EU182" s="460">
        <f t="shared" si="497"/>
        <v>614.88</v>
      </c>
      <c r="EV182" s="528">
        <f t="shared" si="586"/>
        <v>6.1420381474755121</v>
      </c>
      <c r="EW182" s="528">
        <f t="shared" si="587"/>
        <v>1.4442565129047258E-2</v>
      </c>
      <c r="EX182" s="528">
        <f t="shared" si="588"/>
        <v>1.504717049480219E-3</v>
      </c>
      <c r="EY182" s="528">
        <f t="shared" si="589"/>
        <v>359.24907218562652</v>
      </c>
      <c r="EZ182" s="528"/>
      <c r="FA182" s="625">
        <f t="shared" si="590"/>
        <v>7.7806816463428392</v>
      </c>
      <c r="FB182" s="460">
        <f t="shared" si="498"/>
        <v>373187.73926162341</v>
      </c>
      <c r="FC182" s="173">
        <f t="shared" si="591"/>
        <v>386.2853735521486</v>
      </c>
      <c r="FD182" s="5">
        <f t="shared" si="592"/>
        <v>77.759999999999991</v>
      </c>
      <c r="FE182" s="173">
        <f t="shared" si="593"/>
        <v>0.16756982060777179</v>
      </c>
      <c r="FF182" s="5">
        <f t="shared" si="594"/>
        <v>16.75698206077718</v>
      </c>
      <c r="FG182">
        <f t="shared" si="595"/>
        <v>72</v>
      </c>
      <c r="FI182" s="562">
        <f t="shared" si="596"/>
        <v>-50</v>
      </c>
      <c r="FJ182">
        <f t="shared" si="597"/>
        <v>-50</v>
      </c>
    </row>
    <row r="183" spans="5:166">
      <c r="E183" s="170">
        <v>73</v>
      </c>
      <c r="F183" s="217">
        <f t="shared" si="598"/>
        <v>0.438</v>
      </c>
      <c r="G183" s="217">
        <f t="shared" si="499"/>
        <v>0.36499999999999999</v>
      </c>
      <c r="H183" s="217">
        <f t="shared" si="500"/>
        <v>74.459999999999994</v>
      </c>
      <c r="I183" s="217">
        <f t="shared" si="501"/>
        <v>4.38</v>
      </c>
      <c r="J183" s="541">
        <f t="shared" si="502"/>
        <v>7.4679488794864515</v>
      </c>
      <c r="K183" s="443">
        <f t="shared" si="503"/>
        <v>8.5448578373059121</v>
      </c>
      <c r="L183" s="172">
        <f t="shared" si="504"/>
        <v>16.012806716792362</v>
      </c>
      <c r="M183" s="443"/>
      <c r="N183" s="217">
        <f t="shared" si="505"/>
        <v>0.5336264896237749</v>
      </c>
      <c r="O183" s="172">
        <f t="shared" si="506"/>
        <v>125.45670531343092</v>
      </c>
      <c r="P183" s="172">
        <f t="shared" si="507"/>
        <v>7.379806194907701</v>
      </c>
      <c r="Q183" s="217">
        <f t="shared" si="508"/>
        <v>0.7379806194907701</v>
      </c>
      <c r="R183" s="217">
        <f t="shared" si="509"/>
        <v>10.454725442785909</v>
      </c>
      <c r="S183" s="217">
        <f t="shared" si="510"/>
        <v>170</v>
      </c>
      <c r="T183" s="217">
        <f t="shared" si="511"/>
        <v>39.567434738528661</v>
      </c>
      <c r="U183" s="217">
        <f t="shared" si="512"/>
        <v>2.6491500796969563</v>
      </c>
      <c r="V183" s="217">
        <f t="shared" si="513"/>
        <v>2.3152775325167831</v>
      </c>
      <c r="W183" s="197">
        <f t="shared" si="514"/>
        <v>350</v>
      </c>
      <c r="X183" s="443">
        <f t="shared" si="599"/>
        <v>193.63230063192782</v>
      </c>
      <c r="Z183" s="217">
        <f t="shared" si="515"/>
        <v>22.771973401429477</v>
      </c>
      <c r="AA183" s="173">
        <f t="shared" si="516"/>
        <v>1.3324957439320722</v>
      </c>
      <c r="AB183" s="173">
        <f t="shared" si="517"/>
        <v>0.25075578881683031</v>
      </c>
      <c r="AC183" s="173"/>
      <c r="AD183" s="173">
        <f t="shared" si="518"/>
        <v>0.78019632316885734</v>
      </c>
      <c r="AE183" s="545">
        <f t="shared" si="519"/>
        <v>1783.261566776112</v>
      </c>
      <c r="AF183" s="528">
        <f t="shared" si="520"/>
        <v>8.5966076349161147E-2</v>
      </c>
      <c r="AH183" s="173">
        <f t="shared" si="521"/>
        <v>30.017137961980509</v>
      </c>
      <c r="AI183" s="173">
        <f t="shared" si="522"/>
        <v>39.567434738528661</v>
      </c>
      <c r="AJ183" s="173">
        <f t="shared" si="523"/>
        <v>20.632667707552091</v>
      </c>
      <c r="AL183" s="545">
        <f t="shared" si="524"/>
        <v>438</v>
      </c>
      <c r="AM183" s="460">
        <f t="shared" si="525"/>
        <v>193.63230063192782</v>
      </c>
      <c r="AO183">
        <f t="shared" si="526"/>
        <v>438</v>
      </c>
      <c r="AP183">
        <f t="shared" si="527"/>
        <v>193.63230063192782</v>
      </c>
      <c r="AR183" s="5">
        <f t="shared" si="443"/>
        <v>5.16442761221374</v>
      </c>
      <c r="AS183" s="5">
        <f t="shared" si="604"/>
        <v>2.6491500796969563</v>
      </c>
      <c r="AT183" s="5">
        <f t="shared" si="605"/>
        <v>2.5152775325167838</v>
      </c>
      <c r="AU183" s="173">
        <f t="shared" si="606"/>
        <v>0.51296102465097659</v>
      </c>
      <c r="AW183" s="5">
        <f t="shared" si="477"/>
        <v>0.68254572641603939</v>
      </c>
      <c r="AX183" s="5">
        <f t="shared" si="478"/>
        <v>8.0578314924115748</v>
      </c>
      <c r="AY183" s="5">
        <f t="shared" si="479"/>
        <v>40.126158996220425</v>
      </c>
      <c r="AZ183" s="5"/>
      <c r="BA183" s="173">
        <f t="shared" si="480"/>
        <v>16.361361917501913</v>
      </c>
      <c r="BB183" s="173">
        <f t="shared" si="481"/>
        <v>0.75284495859165901</v>
      </c>
      <c r="BC183" s="173">
        <f t="shared" si="482"/>
        <v>0.5952322113552394</v>
      </c>
      <c r="BD183" s="173"/>
      <c r="BE183" s="528">
        <f t="shared" si="483"/>
        <v>10.707766551819274</v>
      </c>
      <c r="BF183" s="528">
        <f t="shared" si="528"/>
        <v>2.7603597101644284</v>
      </c>
      <c r="BG183" s="528">
        <f t="shared" si="529"/>
        <v>5.7841444901463569E-2</v>
      </c>
      <c r="BH183" s="528">
        <f t="shared" si="484"/>
        <v>9.9298508257893887E-3</v>
      </c>
      <c r="BI183">
        <f t="shared" si="485"/>
        <v>3.3605769957689032E-3</v>
      </c>
      <c r="BJ183" s="460">
        <f t="shared" si="600"/>
        <v>61.20202189723247</v>
      </c>
      <c r="BK183">
        <f t="shared" si="530"/>
        <v>-10.600647958498714</v>
      </c>
      <c r="BL183" s="460">
        <f t="shared" si="601"/>
        <v>13539.258134706724</v>
      </c>
      <c r="BM183" s="173">
        <f t="shared" si="531"/>
        <v>0.38018399999999997</v>
      </c>
      <c r="BN183" s="173">
        <f t="shared" si="532"/>
        <v>0.31681999999999999</v>
      </c>
      <c r="BO183" s="528"/>
      <c r="BQ183" s="460">
        <f t="shared" si="486"/>
        <v>697.00399999999991</v>
      </c>
      <c r="BR183" s="528">
        <f t="shared" si="487"/>
        <v>8.0308249138644552</v>
      </c>
      <c r="BS183" s="528">
        <f t="shared" si="488"/>
        <v>1.7003265950306302E-2</v>
      </c>
      <c r="BT183" s="528">
        <f t="shared" si="489"/>
        <v>1.7715069271742421E-3</v>
      </c>
      <c r="BU183" s="528">
        <f t="shared" si="490"/>
        <v>256.8971314915791</v>
      </c>
      <c r="BV183" s="528"/>
      <c r="BW183" s="625">
        <f t="shared" si="533"/>
        <v>7.5786805883635751</v>
      </c>
      <c r="BX183" s="460">
        <f t="shared" si="491"/>
        <v>272525.41176668461</v>
      </c>
      <c r="BY183" s="173">
        <f t="shared" si="492"/>
        <v>286.7616739013913</v>
      </c>
      <c r="BZ183" s="5">
        <f t="shared" si="493"/>
        <v>78.839999999999989</v>
      </c>
      <c r="CA183" s="173">
        <f t="shared" si="494"/>
        <v>0.21564452689367178</v>
      </c>
      <c r="CB183" s="5">
        <f t="shared" si="495"/>
        <v>21.56445268936718</v>
      </c>
      <c r="CC183">
        <f t="shared" si="496"/>
        <v>73</v>
      </c>
      <c r="CE183" s="562">
        <f t="shared" si="534"/>
        <v>-50</v>
      </c>
      <c r="CF183">
        <f t="shared" si="535"/>
        <v>-50</v>
      </c>
      <c r="CG183" s="173">
        <f t="shared" si="536"/>
        <v>0.49996674565333021</v>
      </c>
      <c r="CH183" s="173">
        <f t="shared" si="537"/>
        <v>0.12441737294010324</v>
      </c>
      <c r="CI183" s="170">
        <v>73</v>
      </c>
      <c r="CJ183" s="217">
        <f t="shared" si="602"/>
        <v>0.438</v>
      </c>
      <c r="CK183" s="217">
        <f t="shared" si="538"/>
        <v>0.36499999999999999</v>
      </c>
      <c r="CL183" s="217">
        <f t="shared" si="539"/>
        <v>74.459999999999994</v>
      </c>
      <c r="CM183" s="217">
        <f t="shared" si="540"/>
        <v>4.38</v>
      </c>
      <c r="CN183" s="541">
        <f t="shared" si="541"/>
        <v>9</v>
      </c>
      <c r="CO183" s="443">
        <f t="shared" si="542"/>
        <v>8.5350000000000001</v>
      </c>
      <c r="CP183" s="443">
        <f t="shared" si="543"/>
        <v>17.535</v>
      </c>
      <c r="CQ183" s="443"/>
      <c r="CR183" s="217">
        <f t="shared" si="544"/>
        <v>0.48644793152639093</v>
      </c>
      <c r="CS183" s="172">
        <f t="shared" si="545"/>
        <v>137.82691393247745</v>
      </c>
      <c r="CT183" s="172">
        <f t="shared" si="546"/>
        <v>8.1074655254398493</v>
      </c>
      <c r="CU183" s="217">
        <f t="shared" si="547"/>
        <v>0.81074655254398498</v>
      </c>
      <c r="CV183" s="217">
        <f t="shared" si="548"/>
        <v>11.485576161039788</v>
      </c>
      <c r="CW183" s="217">
        <f t="shared" si="549"/>
        <v>170</v>
      </c>
      <c r="CX183" s="217">
        <f t="shared" si="550"/>
        <v>36.01618768328445</v>
      </c>
      <c r="CY183" s="217">
        <f t="shared" si="551"/>
        <v>2.0008993157380246</v>
      </c>
      <c r="CZ183" s="217">
        <f t="shared" si="552"/>
        <v>2.10991140499616</v>
      </c>
      <c r="DA183" s="197">
        <f t="shared" si="553"/>
        <v>350</v>
      </c>
      <c r="DB183" s="443">
        <f t="shared" si="554"/>
        <v>243.26101782214909</v>
      </c>
      <c r="DD183" s="217">
        <f t="shared" si="555"/>
        <v>25.032384211169504</v>
      </c>
      <c r="DE183" s="173">
        <f t="shared" si="556"/>
        <v>1.4664548454112187</v>
      </c>
      <c r="DF183" s="173">
        <f t="shared" si="557"/>
        <v>0.30335794952229944</v>
      </c>
      <c r="DG183" s="173"/>
      <c r="DH183" s="173">
        <f t="shared" si="558"/>
        <v>0.78109744190587771</v>
      </c>
      <c r="DI183" s="545">
        <f t="shared" si="559"/>
        <v>1781.2042941176469</v>
      </c>
      <c r="DJ183" s="528">
        <f t="shared" si="560"/>
        <v>8.6065366284073561E-2</v>
      </c>
      <c r="DL183" s="173">
        <f t="shared" si="561"/>
        <v>30.017137961980509</v>
      </c>
      <c r="DM183" s="173">
        <f t="shared" si="562"/>
        <v>36.01618768328445</v>
      </c>
      <c r="DN183" s="173">
        <f t="shared" si="563"/>
        <v>18.002114333297122</v>
      </c>
      <c r="DP183" s="545">
        <f t="shared" si="564"/>
        <v>438</v>
      </c>
      <c r="DQ183" s="460">
        <f t="shared" si="565"/>
        <v>243.26101782214909</v>
      </c>
      <c r="DS183">
        <f t="shared" si="566"/>
        <v>438</v>
      </c>
      <c r="DT183">
        <f t="shared" si="567"/>
        <v>243.26101782214909</v>
      </c>
      <c r="DV183" s="5">
        <f t="shared" si="568"/>
        <v>4.1108107207341842</v>
      </c>
      <c r="DW183" s="5">
        <f t="shared" si="569"/>
        <v>2.0008993157380246</v>
      </c>
      <c r="DX183" s="5">
        <f t="shared" si="570"/>
        <v>2.1099114049961596</v>
      </c>
      <c r="DY183" s="173">
        <f t="shared" si="571"/>
        <v>0.48674080410607357</v>
      </c>
      <c r="EA183" s="5">
        <f t="shared" si="572"/>
        <v>0.51552582370191458</v>
      </c>
      <c r="EB183" s="5">
        <f t="shared" si="573"/>
        <v>6.0860687520364909</v>
      </c>
      <c r="EC183" s="5">
        <f t="shared" si="574"/>
        <v>27.929600571735829</v>
      </c>
      <c r="ED183" s="5"/>
      <c r="EE183" s="173">
        <f t="shared" si="575"/>
        <v>14.507279925357171</v>
      </c>
      <c r="EF183" s="173">
        <f t="shared" si="576"/>
        <v>0.70348024095413719</v>
      </c>
      <c r="EG183" s="173">
        <f t="shared" si="577"/>
        <v>0.55620230259782877</v>
      </c>
      <c r="EH183" s="173"/>
      <c r="EI183" s="528">
        <f t="shared" si="578"/>
        <v>8.418446833306847</v>
      </c>
      <c r="EJ183" s="528">
        <f t="shared" si="579"/>
        <v>4.2248250000000009</v>
      </c>
      <c r="EK183" s="528">
        <f t="shared" si="580"/>
        <v>4.8652203564429813E-2</v>
      </c>
      <c r="EL183" s="528">
        <f t="shared" si="581"/>
        <v>1.4959395889922424E-2</v>
      </c>
      <c r="EM183">
        <f t="shared" si="582"/>
        <v>4.0499999999999998E-3</v>
      </c>
      <c r="EN183" s="460">
        <f t="shared" si="583"/>
        <v>52.702203564429809</v>
      </c>
      <c r="EP183" s="460">
        <f t="shared" si="603"/>
        <v>12710.9334327612</v>
      </c>
      <c r="EQ183" s="173">
        <f t="shared" si="584"/>
        <v>0.30659999999999998</v>
      </c>
      <c r="ER183" s="173">
        <f t="shared" si="585"/>
        <v>0.31681999999999999</v>
      </c>
      <c r="ES183" s="528"/>
      <c r="EU183" s="460">
        <f t="shared" si="497"/>
        <v>623.41999999999996</v>
      </c>
      <c r="EV183" s="528">
        <f t="shared" si="586"/>
        <v>6.3138351249801348</v>
      </c>
      <c r="EW183" s="528">
        <f t="shared" si="587"/>
        <v>1.4846533482386728E-2</v>
      </c>
      <c r="EX183" s="528">
        <f t="shared" si="588"/>
        <v>1.5468050070756335E-3</v>
      </c>
      <c r="EY183" s="528">
        <f t="shared" si="589"/>
        <v>359.2490721856272</v>
      </c>
      <c r="EZ183" s="528"/>
      <c r="FA183" s="625">
        <f t="shared" si="590"/>
        <v>7.8887466692087109</v>
      </c>
      <c r="FB183" s="460">
        <f t="shared" si="498"/>
        <v>373468.04731830553</v>
      </c>
      <c r="FC183" s="173">
        <f t="shared" si="591"/>
        <v>386.80240075106673</v>
      </c>
      <c r="FD183" s="5">
        <f t="shared" si="592"/>
        <v>78.839999999999989</v>
      </c>
      <c r="FE183" s="173">
        <f t="shared" si="593"/>
        <v>0.1693144779617009</v>
      </c>
      <c r="FF183" s="5">
        <f t="shared" si="594"/>
        <v>16.93144779617009</v>
      </c>
      <c r="FG183">
        <f t="shared" si="595"/>
        <v>73</v>
      </c>
      <c r="FI183" s="562">
        <f t="shared" si="596"/>
        <v>-50</v>
      </c>
      <c r="FJ183">
        <f t="shared" si="597"/>
        <v>-50</v>
      </c>
    </row>
    <row r="184" spans="5:166">
      <c r="E184" s="170">
        <v>74</v>
      </c>
      <c r="F184" s="217">
        <f t="shared" si="598"/>
        <v>0.44400000000000001</v>
      </c>
      <c r="G184" s="217">
        <f t="shared" si="499"/>
        <v>0.37</v>
      </c>
      <c r="H184" s="217">
        <f t="shared" si="500"/>
        <v>75.48</v>
      </c>
      <c r="I184" s="217">
        <f t="shared" si="501"/>
        <v>4.4399999999999995</v>
      </c>
      <c r="J184" s="541">
        <f t="shared" si="502"/>
        <v>7.4469618778355819</v>
      </c>
      <c r="K184" s="443">
        <f t="shared" si="503"/>
        <v>8.5449928761731151</v>
      </c>
      <c r="L184" s="172">
        <f t="shared" si="504"/>
        <v>15.991954754008697</v>
      </c>
      <c r="M184" s="443"/>
      <c r="N184" s="217">
        <f t="shared" si="505"/>
        <v>0.53433073114661889</v>
      </c>
      <c r="O184" s="172">
        <f t="shared" si="506"/>
        <v>125.26924063904269</v>
      </c>
      <c r="P184" s="172">
        <f t="shared" si="507"/>
        <v>7.3687788611201572</v>
      </c>
      <c r="Q184" s="217">
        <f t="shared" si="508"/>
        <v>0.73687788611201588</v>
      </c>
      <c r="R184" s="217">
        <f t="shared" si="509"/>
        <v>10.439103386586892</v>
      </c>
      <c r="S184" s="217">
        <f t="shared" si="510"/>
        <v>170</v>
      </c>
      <c r="T184" s="217">
        <f t="shared" si="511"/>
        <v>40.169477952688062</v>
      </c>
      <c r="U184" s="217">
        <f t="shared" si="512"/>
        <v>2.6970379741196617</v>
      </c>
      <c r="V184" s="217">
        <f t="shared" si="513"/>
        <v>2.350468779482354</v>
      </c>
      <c r="W184" s="197">
        <f t="shared" si="514"/>
        <v>350</v>
      </c>
      <c r="X184" s="443">
        <f t="shared" si="599"/>
        <v>190.56669137463726</v>
      </c>
      <c r="Z184" s="217">
        <f t="shared" si="515"/>
        <v>22.73794620002791</v>
      </c>
      <c r="AA184" s="173">
        <f t="shared" si="516"/>
        <v>1.3304836252953745</v>
      </c>
      <c r="AB184" s="173">
        <f t="shared" si="517"/>
        <v>0.25000301013514825</v>
      </c>
      <c r="AC184" s="173"/>
      <c r="AD184" s="173">
        <f t="shared" si="518"/>
        <v>0.7801839935122733</v>
      </c>
      <c r="AE184" s="545">
        <f t="shared" si="519"/>
        <v>1807.7183752864109</v>
      </c>
      <c r="AF184" s="528">
        <f t="shared" si="520"/>
        <v>8.5964717803667157E-2</v>
      </c>
      <c r="AH184" s="173">
        <f t="shared" si="521"/>
        <v>30.222035480282077</v>
      </c>
      <c r="AI184" s="173">
        <f t="shared" si="522"/>
        <v>40.169477952688062</v>
      </c>
      <c r="AJ184" s="173">
        <f t="shared" si="523"/>
        <v>21.078625643966465</v>
      </c>
      <c r="AL184" s="545">
        <f t="shared" si="524"/>
        <v>444</v>
      </c>
      <c r="AM184" s="460">
        <f t="shared" si="525"/>
        <v>190.56669137463726</v>
      </c>
      <c r="AO184">
        <f t="shared" si="526"/>
        <v>444</v>
      </c>
      <c r="AP184">
        <f t="shared" si="527"/>
        <v>190.56669137463726</v>
      </c>
      <c r="AR184" s="5">
        <f t="shared" si="443"/>
        <v>5.2475067536020159</v>
      </c>
      <c r="AS184" s="5">
        <f t="shared" si="604"/>
        <v>2.6970379741196617</v>
      </c>
      <c r="AT184" s="5">
        <f t="shared" si="605"/>
        <v>2.5504687794823542</v>
      </c>
      <c r="AU184" s="173">
        <f t="shared" si="606"/>
        <v>0.5139656032397385</v>
      </c>
      <c r="AW184" s="5">
        <f t="shared" si="477"/>
        <v>0.70440285912301748</v>
      </c>
      <c r="AX184" s="5">
        <f t="shared" si="478"/>
        <v>8.3158670868689573</v>
      </c>
      <c r="AY184" s="5">
        <f t="shared" si="479"/>
        <v>41.361164272543292</v>
      </c>
      <c r="AZ184" s="5"/>
      <c r="BA184" s="173">
        <f t="shared" si="480"/>
        <v>16.626567041513589</v>
      </c>
      <c r="BB184" s="173">
        <f t="shared" si="481"/>
        <v>0.76351132565409507</v>
      </c>
      <c r="BC184" s="173">
        <f t="shared" si="482"/>
        <v>0.60366550851854583</v>
      </c>
      <c r="BD184" s="173"/>
      <c r="BE184" s="528">
        <f t="shared" si="483"/>
        <v>11.057709263437838</v>
      </c>
      <c r="BF184" s="528">
        <f t="shared" si="528"/>
        <v>2.7544015361367937</v>
      </c>
      <c r="BG184" s="528">
        <f t="shared" si="529"/>
        <v>5.6765715434087295E-2</v>
      </c>
      <c r="BH184" s="528">
        <f t="shared" si="484"/>
        <v>9.7472048674816271E-3</v>
      </c>
      <c r="BI184">
        <f t="shared" si="485"/>
        <v>3.351132845026012E-3</v>
      </c>
      <c r="BJ184" s="460">
        <f t="shared" si="600"/>
        <v>60.116848279113306</v>
      </c>
      <c r="BK184">
        <f t="shared" si="530"/>
        <v>-10.328346615309842</v>
      </c>
      <c r="BL184" s="460">
        <f t="shared" si="601"/>
        <v>13881.974852721227</v>
      </c>
      <c r="BM184" s="173">
        <f t="shared" si="531"/>
        <v>0.38539199999999996</v>
      </c>
      <c r="BN184" s="173">
        <f t="shared" si="532"/>
        <v>0.32116</v>
      </c>
      <c r="BO184" s="528"/>
      <c r="BQ184" s="460">
        <f t="shared" si="486"/>
        <v>706.55199999999991</v>
      </c>
      <c r="BR184" s="528">
        <f t="shared" si="487"/>
        <v>8.293281947578377</v>
      </c>
      <c r="BS184" s="528">
        <f t="shared" si="488"/>
        <v>1.7488486332062205E-2</v>
      </c>
      <c r="BT184" s="528">
        <f t="shared" si="489"/>
        <v>1.8220602308747728E-3</v>
      </c>
      <c r="BU184" s="528">
        <f t="shared" si="490"/>
        <v>256.34683390133449</v>
      </c>
      <c r="BV184" s="528"/>
      <c r="BW184" s="625">
        <f t="shared" si="533"/>
        <v>7.68739820050678</v>
      </c>
      <c r="BX184" s="460">
        <f t="shared" si="491"/>
        <v>272346.82459598256</v>
      </c>
      <c r="BY184" s="173">
        <f t="shared" si="492"/>
        <v>286.93535144870378</v>
      </c>
      <c r="BZ184" s="5">
        <f t="shared" si="493"/>
        <v>79.92</v>
      </c>
      <c r="CA184" s="173">
        <f t="shared" si="494"/>
        <v>0.21785153108547459</v>
      </c>
      <c r="CB184" s="5">
        <f t="shared" si="495"/>
        <v>21.785153108547458</v>
      </c>
      <c r="CC184">
        <f t="shared" si="496"/>
        <v>74</v>
      </c>
      <c r="CE184" s="562">
        <f t="shared" si="534"/>
        <v>-50</v>
      </c>
      <c r="CF184">
        <f t="shared" si="535"/>
        <v>-50</v>
      </c>
      <c r="CG184" s="173">
        <f t="shared" si="536"/>
        <v>0.49996674565333032</v>
      </c>
      <c r="CH184" s="173">
        <f t="shared" si="537"/>
        <v>0.12441737294010324</v>
      </c>
      <c r="CI184" s="170">
        <v>74</v>
      </c>
      <c r="CJ184" s="217">
        <f t="shared" si="602"/>
        <v>0.44400000000000001</v>
      </c>
      <c r="CK184" s="217">
        <f t="shared" si="538"/>
        <v>0.37</v>
      </c>
      <c r="CL184" s="217">
        <f t="shared" si="539"/>
        <v>75.48</v>
      </c>
      <c r="CM184" s="217">
        <f t="shared" si="540"/>
        <v>4.4399999999999995</v>
      </c>
      <c r="CN184" s="541">
        <f t="shared" si="541"/>
        <v>9</v>
      </c>
      <c r="CO184" s="443">
        <f t="shared" si="542"/>
        <v>8.5350000000000001</v>
      </c>
      <c r="CP184" s="443">
        <f t="shared" si="543"/>
        <v>17.535</v>
      </c>
      <c r="CQ184" s="443"/>
      <c r="CR184" s="217">
        <f t="shared" si="544"/>
        <v>0.48644793152639093</v>
      </c>
      <c r="CS184" s="172">
        <f t="shared" si="545"/>
        <v>137.82691393247745</v>
      </c>
      <c r="CT184" s="172">
        <f t="shared" si="546"/>
        <v>8.1074655254398493</v>
      </c>
      <c r="CU184" s="217">
        <f t="shared" si="547"/>
        <v>0.81074655254398498</v>
      </c>
      <c r="CV184" s="217">
        <f t="shared" si="548"/>
        <v>11.485576161039788</v>
      </c>
      <c r="CW184" s="217">
        <f t="shared" si="549"/>
        <v>170</v>
      </c>
      <c r="CX184" s="217">
        <f t="shared" si="550"/>
        <v>36.509560117302051</v>
      </c>
      <c r="CY184" s="217">
        <f t="shared" si="551"/>
        <v>2.0283088954056692</v>
      </c>
      <c r="CZ184" s="217">
        <f t="shared" si="552"/>
        <v>2.1388143009550116</v>
      </c>
      <c r="DA184" s="197">
        <f t="shared" si="553"/>
        <v>350</v>
      </c>
      <c r="DB184" s="443">
        <f t="shared" si="554"/>
        <v>239.97370677049841</v>
      </c>
      <c r="DD184" s="217">
        <f t="shared" si="555"/>
        <v>25.032384211169504</v>
      </c>
      <c r="DE184" s="173">
        <f t="shared" si="556"/>
        <v>1.4664548454112187</v>
      </c>
      <c r="DF184" s="173">
        <f t="shared" si="557"/>
        <v>0.30335794952229944</v>
      </c>
      <c r="DG184" s="173"/>
      <c r="DH184" s="173">
        <f t="shared" si="558"/>
        <v>0.78109744190587771</v>
      </c>
      <c r="DI184" s="545">
        <f t="shared" si="559"/>
        <v>1805.6043529411766</v>
      </c>
      <c r="DJ184" s="528">
        <f t="shared" si="560"/>
        <v>8.6065366284073561E-2</v>
      </c>
      <c r="DL184" s="173">
        <f t="shared" si="561"/>
        <v>30.222035480282077</v>
      </c>
      <c r="DM184" s="173">
        <f t="shared" si="562"/>
        <v>36.509560117302051</v>
      </c>
      <c r="DN184" s="173">
        <f t="shared" si="563"/>
        <v>18.367575395532381</v>
      </c>
      <c r="DP184" s="545">
        <f t="shared" si="564"/>
        <v>444</v>
      </c>
      <c r="DQ184" s="460">
        <f t="shared" si="565"/>
        <v>239.97370677049841</v>
      </c>
      <c r="DS184">
        <f t="shared" si="566"/>
        <v>444</v>
      </c>
      <c r="DT184">
        <f t="shared" si="567"/>
        <v>239.97370677049841</v>
      </c>
      <c r="DV184" s="5">
        <f t="shared" si="568"/>
        <v>4.1671231963606807</v>
      </c>
      <c r="DW184" s="5">
        <f t="shared" si="569"/>
        <v>2.0283088954056692</v>
      </c>
      <c r="DX184" s="5">
        <f t="shared" si="570"/>
        <v>2.1388143009550116</v>
      </c>
      <c r="DY184" s="173">
        <f t="shared" si="571"/>
        <v>0.48674080410607357</v>
      </c>
      <c r="EA184" s="5">
        <f t="shared" si="572"/>
        <v>0.52974655856477482</v>
      </c>
      <c r="EB184" s="5">
        <f t="shared" si="573"/>
        <v>6.2539524275008134</v>
      </c>
      <c r="EC184" s="5">
        <f t="shared" si="574"/>
        <v>28.700036166414982</v>
      </c>
      <c r="ED184" s="5"/>
      <c r="EE184" s="173">
        <f t="shared" si="575"/>
        <v>14.706009787348368</v>
      </c>
      <c r="EF184" s="173">
        <f t="shared" si="576"/>
        <v>0.71311695658364604</v>
      </c>
      <c r="EG184" s="173">
        <f t="shared" si="577"/>
        <v>0.56382151222245658</v>
      </c>
      <c r="EH184" s="173"/>
      <c r="EI184" s="528">
        <f t="shared" si="578"/>
        <v>8.6506689546234394</v>
      </c>
      <c r="EJ184" s="528">
        <f t="shared" si="579"/>
        <v>4.2248250000000009</v>
      </c>
      <c r="EK184" s="528">
        <f t="shared" si="580"/>
        <v>4.7994741354099681E-2</v>
      </c>
      <c r="EL184" s="528">
        <f t="shared" si="581"/>
        <v>1.4757241891409957E-2</v>
      </c>
      <c r="EM184">
        <f t="shared" si="582"/>
        <v>4.0499999999999998E-3</v>
      </c>
      <c r="EN184" s="460">
        <f t="shared" si="583"/>
        <v>52.044741354099678</v>
      </c>
      <c r="EP184" s="460">
        <f t="shared" si="603"/>
        <v>12942.295937868948</v>
      </c>
      <c r="EQ184" s="173">
        <f t="shared" si="584"/>
        <v>0.31079999999999997</v>
      </c>
      <c r="ER184" s="173">
        <f t="shared" si="585"/>
        <v>0.32116</v>
      </c>
      <c r="ES184" s="528"/>
      <c r="EU184" s="460">
        <f t="shared" si="497"/>
        <v>631.95999999999992</v>
      </c>
      <c r="EV184" s="528">
        <f t="shared" si="586"/>
        <v>6.4880017159675791</v>
      </c>
      <c r="EW184" s="528">
        <f t="shared" si="587"/>
        <v>1.5256073813013653E-2</v>
      </c>
      <c r="EX184" s="528">
        <f t="shared" si="588"/>
        <v>1.5894734882240889E-3</v>
      </c>
      <c r="EY184" s="528">
        <f t="shared" si="589"/>
        <v>359.24907218562714</v>
      </c>
      <c r="EZ184" s="528"/>
      <c r="FA184" s="625">
        <f t="shared" si="590"/>
        <v>7.9968116920745862</v>
      </c>
      <c r="FB184" s="460">
        <f t="shared" si="498"/>
        <v>373750.73114097054</v>
      </c>
      <c r="FC184" s="173">
        <f t="shared" si="591"/>
        <v>387.32498707883946</v>
      </c>
      <c r="FD184" s="5">
        <f t="shared" si="592"/>
        <v>79.92</v>
      </c>
      <c r="FE184" s="173">
        <f t="shared" si="593"/>
        <v>0.17104517375274675</v>
      </c>
      <c r="FF184" s="5">
        <f t="shared" si="594"/>
        <v>17.104517375274675</v>
      </c>
      <c r="FG184">
        <f t="shared" si="595"/>
        <v>74</v>
      </c>
      <c r="FI184" s="562">
        <f t="shared" si="596"/>
        <v>-50</v>
      </c>
      <c r="FJ184">
        <f t="shared" si="597"/>
        <v>-50</v>
      </c>
    </row>
    <row r="185" spans="5:166">
      <c r="E185" s="170">
        <v>75</v>
      </c>
      <c r="F185" s="217">
        <f t="shared" si="598"/>
        <v>0.44999999999999996</v>
      </c>
      <c r="G185" s="217">
        <f t="shared" si="499"/>
        <v>0.375</v>
      </c>
      <c r="H185" s="217">
        <f t="shared" si="500"/>
        <v>76.499999999999986</v>
      </c>
      <c r="I185" s="217">
        <f t="shared" si="501"/>
        <v>4.5</v>
      </c>
      <c r="J185" s="541">
        <f t="shared" si="502"/>
        <v>7.4259748761847115</v>
      </c>
      <c r="K185" s="443">
        <f t="shared" si="503"/>
        <v>8.5451279150403199</v>
      </c>
      <c r="L185" s="172">
        <f t="shared" si="504"/>
        <v>15.971102791225032</v>
      </c>
      <c r="M185" s="443"/>
      <c r="N185" s="217">
        <f t="shared" si="505"/>
        <v>0.53503681159295091</v>
      </c>
      <c r="O185" s="172">
        <f t="shared" si="506"/>
        <v>125.08127528202751</v>
      </c>
      <c r="P185" s="172">
        <f t="shared" si="507"/>
        <v>7.3577220754133821</v>
      </c>
      <c r="Q185" s="217">
        <f t="shared" si="508"/>
        <v>0.73577220754133832</v>
      </c>
      <c r="R185" s="217">
        <f t="shared" si="509"/>
        <v>10.423439606835625</v>
      </c>
      <c r="S185" s="217">
        <f t="shared" si="510"/>
        <v>170</v>
      </c>
      <c r="T185" s="217">
        <f t="shared" si="511"/>
        <v>40.773488985467679</v>
      </c>
      <c r="U185" s="217">
        <f t="shared" si="512"/>
        <v>2.7453290419975214</v>
      </c>
      <c r="V185" s="217">
        <f t="shared" si="513"/>
        <v>2.385774056916226</v>
      </c>
      <c r="W185" s="197">
        <f t="shared" si="514"/>
        <v>350</v>
      </c>
      <c r="X185" s="443">
        <f t="shared" si="599"/>
        <v>187.57843947976875</v>
      </c>
      <c r="Z185" s="217">
        <f t="shared" si="515"/>
        <v>22.703828118418436</v>
      </c>
      <c r="AA185" s="173">
        <f t="shared" si="516"/>
        <v>1.3284662525915687</v>
      </c>
      <c r="AB185" s="173">
        <f t="shared" si="517"/>
        <v>0.24924937956493426</v>
      </c>
      <c r="AC185" s="173"/>
      <c r="AD185" s="173">
        <f t="shared" si="518"/>
        <v>0.78017166424538076</v>
      </c>
      <c r="AE185" s="545">
        <f t="shared" si="519"/>
        <v>1832.1759559012917</v>
      </c>
      <c r="AF185" s="528">
        <f t="shared" si="520"/>
        <v>8.5963359301111417E-2</v>
      </c>
      <c r="AH185" s="173">
        <f t="shared" si="521"/>
        <v>30.425553170226596</v>
      </c>
      <c r="AI185" s="173">
        <f t="shared" si="522"/>
        <v>40.773488985467679</v>
      </c>
      <c r="AJ185" s="173">
        <f t="shared" si="523"/>
        <v>21.526041223803215</v>
      </c>
      <c r="AL185" s="545">
        <f t="shared" si="524"/>
        <v>449.99999999999994</v>
      </c>
      <c r="AM185" s="460">
        <f t="shared" si="525"/>
        <v>187.57843947976875</v>
      </c>
      <c r="AO185">
        <f t="shared" si="526"/>
        <v>449.99999999999994</v>
      </c>
      <c r="AP185">
        <f t="shared" si="527"/>
        <v>187.57843947976875</v>
      </c>
      <c r="AR185" s="5">
        <f t="shared" si="443"/>
        <v>5.3311030989137471</v>
      </c>
      <c r="AS185" s="5">
        <f t="shared" si="604"/>
        <v>2.7453290419975214</v>
      </c>
      <c r="AT185" s="5">
        <f t="shared" si="605"/>
        <v>2.5857740569162257</v>
      </c>
      <c r="AU185" s="173">
        <f t="shared" si="606"/>
        <v>0.51496453755638361</v>
      </c>
      <c r="AW185" s="5">
        <f t="shared" si="477"/>
        <v>0.7267047464111086</v>
      </c>
      <c r="AX185" s="5">
        <f t="shared" si="478"/>
        <v>8.5791532562422539</v>
      </c>
      <c r="AY185" s="5">
        <f t="shared" si="479"/>
        <v>42.620497624031216</v>
      </c>
      <c r="AZ185" s="5"/>
      <c r="BA185" s="173">
        <f t="shared" si="480"/>
        <v>16.89296606651758</v>
      </c>
      <c r="BB185" s="173">
        <f t="shared" si="481"/>
        <v>0.77419509423203969</v>
      </c>
      <c r="BC185" s="173">
        <f t="shared" si="482"/>
        <v>0.61211256408248815</v>
      </c>
      <c r="BD185" s="173"/>
      <c r="BE185" s="528">
        <f t="shared" si="483"/>
        <v>11.414892100980579</v>
      </c>
      <c r="BF185" s="528">
        <f t="shared" si="528"/>
        <v>2.7483890974122462</v>
      </c>
      <c r="BG185" s="528">
        <f t="shared" si="529"/>
        <v>5.5718111155627886E-2</v>
      </c>
      <c r="BH185" s="528">
        <f t="shared" si="484"/>
        <v>9.5693562714947202E-3</v>
      </c>
      <c r="BI185">
        <f t="shared" si="485"/>
        <v>3.3416886942831199E-3</v>
      </c>
      <c r="BJ185" s="460">
        <f t="shared" si="600"/>
        <v>59.059799849911009</v>
      </c>
      <c r="BK185">
        <f t="shared" si="530"/>
        <v>-10.077730096852195</v>
      </c>
      <c r="BL185" s="460">
        <f t="shared" si="601"/>
        <v>14231.91035451423</v>
      </c>
      <c r="BM185" s="173">
        <f t="shared" si="531"/>
        <v>0.39059999999999995</v>
      </c>
      <c r="BN185" s="173">
        <f t="shared" si="532"/>
        <v>0.32549999999999996</v>
      </c>
      <c r="BO185" s="528"/>
      <c r="BQ185" s="460">
        <f t="shared" si="486"/>
        <v>716.09999999999991</v>
      </c>
      <c r="BR185" s="528">
        <f t="shared" si="487"/>
        <v>8.5611690757354335</v>
      </c>
      <c r="BS185" s="528">
        <f t="shared" si="488"/>
        <v>1.7981341317988703E-2</v>
      </c>
      <c r="BT185" s="528">
        <f t="shared" si="489"/>
        <v>1.8734089555381909E-3</v>
      </c>
      <c r="BU185" s="528">
        <f t="shared" si="490"/>
        <v>255.78318426058209</v>
      </c>
      <c r="BV185" s="528"/>
      <c r="BW185" s="625">
        <f t="shared" si="533"/>
        <v>7.7961229280427755</v>
      </c>
      <c r="BX185" s="460">
        <f t="shared" si="491"/>
        <v>272160.33101463382</v>
      </c>
      <c r="BY185" s="173">
        <f t="shared" si="492"/>
        <v>287.10834136914809</v>
      </c>
      <c r="BZ185" s="5">
        <f t="shared" si="493"/>
        <v>80.999999999999986</v>
      </c>
      <c r="CA185" s="173">
        <f t="shared" si="494"/>
        <v>0.22004391342702881</v>
      </c>
      <c r="CB185" s="5">
        <f t="shared" si="495"/>
        <v>22.004391342702881</v>
      </c>
      <c r="CC185">
        <f t="shared" si="496"/>
        <v>75</v>
      </c>
      <c r="CE185" s="562">
        <f t="shared" si="534"/>
        <v>-50</v>
      </c>
      <c r="CF185">
        <f t="shared" si="535"/>
        <v>-50</v>
      </c>
      <c r="CG185" s="173">
        <f t="shared" si="536"/>
        <v>0.49996674565333021</v>
      </c>
      <c r="CH185" s="173">
        <f t="shared" si="537"/>
        <v>0.12441737294010324</v>
      </c>
      <c r="CI185" s="170">
        <v>75</v>
      </c>
      <c r="CJ185" s="217">
        <f t="shared" si="602"/>
        <v>0.44999999999999996</v>
      </c>
      <c r="CK185" s="217">
        <f t="shared" si="538"/>
        <v>0.375</v>
      </c>
      <c r="CL185" s="217">
        <f t="shared" si="539"/>
        <v>76.499999999999986</v>
      </c>
      <c r="CM185" s="217">
        <f t="shared" si="540"/>
        <v>4.5</v>
      </c>
      <c r="CN185" s="541">
        <f t="shared" si="541"/>
        <v>9</v>
      </c>
      <c r="CO185" s="443">
        <f t="shared" si="542"/>
        <v>8.5350000000000001</v>
      </c>
      <c r="CP185" s="443">
        <f t="shared" si="543"/>
        <v>17.535</v>
      </c>
      <c r="CQ185" s="443"/>
      <c r="CR185" s="217">
        <f t="shared" si="544"/>
        <v>0.48644793152639093</v>
      </c>
      <c r="CS185" s="172">
        <f t="shared" si="545"/>
        <v>137.82691393247745</v>
      </c>
      <c r="CT185" s="172">
        <f t="shared" si="546"/>
        <v>8.1074655254398493</v>
      </c>
      <c r="CU185" s="217">
        <f t="shared" si="547"/>
        <v>0.81074655254398498</v>
      </c>
      <c r="CV185" s="217">
        <f t="shared" si="548"/>
        <v>11.485576161039788</v>
      </c>
      <c r="CW185" s="217">
        <f t="shared" si="549"/>
        <v>170</v>
      </c>
      <c r="CX185" s="217">
        <f t="shared" si="550"/>
        <v>37.002932551319638</v>
      </c>
      <c r="CY185" s="217">
        <f t="shared" si="551"/>
        <v>2.0557184750733133</v>
      </c>
      <c r="CZ185" s="217">
        <f t="shared" si="552"/>
        <v>2.1677171969138627</v>
      </c>
      <c r="DA185" s="197">
        <f t="shared" si="553"/>
        <v>350</v>
      </c>
      <c r="DB185" s="443">
        <f t="shared" si="554"/>
        <v>236.77405734689179</v>
      </c>
      <c r="DD185" s="217">
        <f t="shared" si="555"/>
        <v>25.032384211169504</v>
      </c>
      <c r="DE185" s="173">
        <f t="shared" si="556"/>
        <v>1.4664548454112187</v>
      </c>
      <c r="DF185" s="173">
        <f t="shared" si="557"/>
        <v>0.30335794952229944</v>
      </c>
      <c r="DG185" s="173"/>
      <c r="DH185" s="173">
        <f t="shared" si="558"/>
        <v>0.78109744190587771</v>
      </c>
      <c r="DI185" s="545">
        <f t="shared" si="559"/>
        <v>1830.004411764706</v>
      </c>
      <c r="DJ185" s="528">
        <f t="shared" si="560"/>
        <v>8.6065366284073561E-2</v>
      </c>
      <c r="DL185" s="173">
        <f t="shared" si="561"/>
        <v>30.425553170226596</v>
      </c>
      <c r="DM185" s="173">
        <f t="shared" si="562"/>
        <v>37.002932551319638</v>
      </c>
      <c r="DN185" s="173">
        <f t="shared" si="563"/>
        <v>18.733036457767632</v>
      </c>
      <c r="DP185" s="545">
        <f t="shared" si="564"/>
        <v>449.99999999999994</v>
      </c>
      <c r="DQ185" s="460">
        <f t="shared" si="565"/>
        <v>236.77405734689179</v>
      </c>
      <c r="DS185">
        <f t="shared" si="566"/>
        <v>449.99999999999994</v>
      </c>
      <c r="DT185">
        <f t="shared" si="567"/>
        <v>236.77405734689179</v>
      </c>
      <c r="DV185" s="5">
        <f t="shared" si="568"/>
        <v>4.2234356719871755</v>
      </c>
      <c r="DW185" s="5">
        <f t="shared" si="569"/>
        <v>2.0557184750733133</v>
      </c>
      <c r="DX185" s="5">
        <f t="shared" si="570"/>
        <v>2.1677171969138622</v>
      </c>
      <c r="DY185" s="173">
        <f t="shared" si="571"/>
        <v>0.48674080410607362</v>
      </c>
      <c r="EA185" s="5">
        <f t="shared" si="572"/>
        <v>0.54416077281352404</v>
      </c>
      <c r="EB185" s="5">
        <f t="shared" si="573"/>
        <v>6.4241202346041044</v>
      </c>
      <c r="EC185" s="5">
        <f t="shared" si="574"/>
        <v>29.480953878028522</v>
      </c>
      <c r="ED185" s="5"/>
      <c r="EE185" s="173">
        <f t="shared" si="575"/>
        <v>14.904739649339557</v>
      </c>
      <c r="EF185" s="173">
        <f t="shared" si="576"/>
        <v>0.72275367221315456</v>
      </c>
      <c r="EG185" s="173">
        <f t="shared" si="577"/>
        <v>0.57144072184708428</v>
      </c>
      <c r="EH185" s="173"/>
      <c r="EI185" s="528">
        <f t="shared" si="578"/>
        <v>8.8860505605837865</v>
      </c>
      <c r="EJ185" s="528">
        <f t="shared" si="579"/>
        <v>4.2248250000000001</v>
      </c>
      <c r="EK185" s="528">
        <f t="shared" si="580"/>
        <v>4.7354811469378352E-2</v>
      </c>
      <c r="EL185" s="528">
        <f t="shared" si="581"/>
        <v>1.4560478666191161E-2</v>
      </c>
      <c r="EM185">
        <f t="shared" si="582"/>
        <v>4.0499999999999998E-3</v>
      </c>
      <c r="EN185" s="460">
        <f t="shared" si="583"/>
        <v>51.404811469378352</v>
      </c>
      <c r="EP185" s="460">
        <f t="shared" si="603"/>
        <v>13176.840850719354</v>
      </c>
      <c r="EQ185" s="173">
        <f t="shared" si="584"/>
        <v>0.31499999999999995</v>
      </c>
      <c r="ER185" s="173">
        <f t="shared" si="585"/>
        <v>0.32549999999999996</v>
      </c>
      <c r="ES185" s="528"/>
      <c r="EU185" s="460">
        <f t="shared" si="497"/>
        <v>640.49999999999989</v>
      </c>
      <c r="EV185" s="528">
        <f t="shared" si="586"/>
        <v>6.6645379204378399</v>
      </c>
      <c r="EW185" s="528">
        <f t="shared" si="587"/>
        <v>1.5671186120928E-2</v>
      </c>
      <c r="EX185" s="528">
        <f t="shared" si="588"/>
        <v>1.6327224929255837E-3</v>
      </c>
      <c r="EY185" s="528">
        <f t="shared" si="589"/>
        <v>359.24907218562652</v>
      </c>
      <c r="EZ185" s="528"/>
      <c r="FA185" s="625">
        <f t="shared" si="590"/>
        <v>8.1048767149404579</v>
      </c>
      <c r="FB185" s="460">
        <f t="shared" si="498"/>
        <v>374035.79072961869</v>
      </c>
      <c r="FC185" s="173">
        <f t="shared" si="591"/>
        <v>387.85313158033802</v>
      </c>
      <c r="FD185" s="5">
        <f t="shared" si="592"/>
        <v>80.999999999999986</v>
      </c>
      <c r="FE185" s="173">
        <f t="shared" si="593"/>
        <v>0.17276198993697162</v>
      </c>
      <c r="FF185" s="5">
        <f t="shared" si="594"/>
        <v>17.276198993697161</v>
      </c>
      <c r="FG185">
        <f t="shared" si="595"/>
        <v>75</v>
      </c>
      <c r="FI185" s="562">
        <f t="shared" si="596"/>
        <v>-50</v>
      </c>
      <c r="FJ185">
        <f t="shared" si="597"/>
        <v>-50</v>
      </c>
    </row>
    <row r="186" spans="5:166">
      <c r="E186" s="170">
        <v>76</v>
      </c>
      <c r="F186" s="217">
        <f t="shared" si="598"/>
        <v>0.45599999999999996</v>
      </c>
      <c r="G186" s="217">
        <f t="shared" si="499"/>
        <v>0.38</v>
      </c>
      <c r="H186" s="217">
        <f t="shared" si="500"/>
        <v>77.52</v>
      </c>
      <c r="I186" s="217">
        <f t="shared" si="501"/>
        <v>4.5600000000000005</v>
      </c>
      <c r="J186" s="541">
        <f t="shared" si="502"/>
        <v>7.4049878745338402</v>
      </c>
      <c r="K186" s="443">
        <f t="shared" si="503"/>
        <v>8.5452629539075247</v>
      </c>
      <c r="L186" s="172">
        <f t="shared" si="504"/>
        <v>15.950250828441366</v>
      </c>
      <c r="M186" s="443"/>
      <c r="N186" s="217">
        <f t="shared" si="505"/>
        <v>0.53574473817491397</v>
      </c>
      <c r="O186" s="172">
        <f t="shared" si="506"/>
        <v>124.89280727873938</v>
      </c>
      <c r="P186" s="172">
        <f t="shared" si="507"/>
        <v>7.346635722278787</v>
      </c>
      <c r="Q186" s="217">
        <f t="shared" si="508"/>
        <v>0.7346635722278787</v>
      </c>
      <c r="R186" s="217">
        <f t="shared" si="509"/>
        <v>10.407733939894948</v>
      </c>
      <c r="S186" s="217">
        <f t="shared" si="510"/>
        <v>170</v>
      </c>
      <c r="T186" s="217">
        <f t="shared" si="511"/>
        <v>41.379484636500386</v>
      </c>
      <c r="U186" s="217">
        <f t="shared" si="512"/>
        <v>2.7940278456637788</v>
      </c>
      <c r="V186" s="217">
        <f t="shared" si="513"/>
        <v>2.4211943423916891</v>
      </c>
      <c r="W186" s="197">
        <f t="shared" si="514"/>
        <v>350</v>
      </c>
      <c r="X186" s="443">
        <f t="shared" si="599"/>
        <v>184.66462968144364</v>
      </c>
      <c r="Z186" s="217">
        <f t="shared" si="515"/>
        <v>22.669618800174547</v>
      </c>
      <c r="AA186" s="173">
        <f t="shared" si="516"/>
        <v>1.3264436052145314</v>
      </c>
      <c r="AB186" s="173">
        <f t="shared" si="517"/>
        <v>0.24849489832826213</v>
      </c>
      <c r="AC186" s="173"/>
      <c r="AD186" s="173">
        <f t="shared" si="518"/>
        <v>0.7801593353681614</v>
      </c>
      <c r="AE186" s="545">
        <f t="shared" si="519"/>
        <v>1856.6343086207553</v>
      </c>
      <c r="AF186" s="528">
        <f t="shared" si="520"/>
        <v>8.5962000841491859E-2</v>
      </c>
      <c r="AH186" s="173">
        <f t="shared" si="521"/>
        <v>30.627718538231719</v>
      </c>
      <c r="AI186" s="173">
        <f t="shared" si="522"/>
        <v>41.379484636500386</v>
      </c>
      <c r="AJ186" s="173">
        <f t="shared" si="523"/>
        <v>21.974926891234851</v>
      </c>
      <c r="AL186" s="545">
        <f t="shared" si="524"/>
        <v>455.99999999999994</v>
      </c>
      <c r="AM186" s="460">
        <f t="shared" si="525"/>
        <v>184.66462968144364</v>
      </c>
      <c r="AO186">
        <f t="shared" si="526"/>
        <v>455.99999999999994</v>
      </c>
      <c r="AP186">
        <f t="shared" si="527"/>
        <v>184.66462968144364</v>
      </c>
      <c r="AR186" s="5">
        <f t="shared" si="443"/>
        <v>5.4152221880554681</v>
      </c>
      <c r="AS186" s="5">
        <f t="shared" si="604"/>
        <v>2.7940278456637788</v>
      </c>
      <c r="AT186" s="5">
        <f t="shared" si="605"/>
        <v>2.6211943423916892</v>
      </c>
      <c r="AU186" s="173">
        <f t="shared" si="606"/>
        <v>0.51595811743914355</v>
      </c>
      <c r="AW186" s="5">
        <f t="shared" si="477"/>
        <v>0.74945688095451946</v>
      </c>
      <c r="AX186" s="5">
        <f t="shared" si="478"/>
        <v>8.8477548446019654</v>
      </c>
      <c r="AY186" s="5">
        <f t="shared" si="479"/>
        <v>43.904457668810494</v>
      </c>
      <c r="AZ186" s="5"/>
      <c r="BA186" s="173">
        <f t="shared" si="480"/>
        <v>17.160568643111336</v>
      </c>
      <c r="BB186" s="173">
        <f t="shared" si="481"/>
        <v>0.78489640756371115</v>
      </c>
      <c r="BC186" s="173">
        <f t="shared" si="482"/>
        <v>0.62057349129747785</v>
      </c>
      <c r="BD186" s="173"/>
      <c r="BE186" s="528">
        <f t="shared" si="483"/>
        <v>11.779404646197444</v>
      </c>
      <c r="BF186" s="528">
        <f t="shared" si="528"/>
        <v>2.7423244262426882</v>
      </c>
      <c r="BG186" s="528">
        <f t="shared" si="529"/>
        <v>5.4697573745854884E-2</v>
      </c>
      <c r="BH186" s="528">
        <f t="shared" si="484"/>
        <v>9.3961242089514261E-3</v>
      </c>
      <c r="BI186">
        <f t="shared" si="485"/>
        <v>3.3322445435402278E-3</v>
      </c>
      <c r="BJ186" s="460">
        <f t="shared" si="600"/>
        <v>58.029818289395109</v>
      </c>
      <c r="BK186">
        <f t="shared" si="530"/>
        <v>-9.846395899961502</v>
      </c>
      <c r="BL186" s="460">
        <f t="shared" si="601"/>
        <v>14589.155014938477</v>
      </c>
      <c r="BM186" s="173">
        <f t="shared" si="531"/>
        <v>0.39580799999999988</v>
      </c>
      <c r="BN186" s="173">
        <f t="shared" si="532"/>
        <v>0.32983999999999997</v>
      </c>
      <c r="BO186" s="528"/>
      <c r="BQ186" s="460">
        <f t="shared" si="486"/>
        <v>725.6479999999998</v>
      </c>
      <c r="BR186" s="528">
        <f t="shared" si="487"/>
        <v>8.8345534846480813</v>
      </c>
      <c r="BS186" s="528">
        <f t="shared" si="488"/>
        <v>1.8481871118192578E-2</v>
      </c>
      <c r="BT186" s="528">
        <f t="shared" si="489"/>
        <v>1.9255572905057042E-3</v>
      </c>
      <c r="BU186" s="528">
        <f t="shared" si="490"/>
        <v>255.20665573238259</v>
      </c>
      <c r="BV186" s="528"/>
      <c r="BW186" s="625">
        <f t="shared" si="533"/>
        <v>7.9048545439149436</v>
      </c>
      <c r="BX186" s="460">
        <f t="shared" si="491"/>
        <v>271966.47118935431</v>
      </c>
      <c r="BY186" s="173">
        <f t="shared" si="492"/>
        <v>287.2812742042928</v>
      </c>
      <c r="BZ186" s="5">
        <f t="shared" si="493"/>
        <v>82.08</v>
      </c>
      <c r="CA186" s="173">
        <f t="shared" si="494"/>
        <v>0.22222145561096845</v>
      </c>
      <c r="CB186" s="5">
        <f t="shared" si="495"/>
        <v>22.222145561096845</v>
      </c>
      <c r="CC186">
        <f t="shared" si="496"/>
        <v>76</v>
      </c>
      <c r="CE186" s="562">
        <f t="shared" si="534"/>
        <v>-50</v>
      </c>
      <c r="CF186">
        <f t="shared" si="535"/>
        <v>-50</v>
      </c>
      <c r="CG186" s="173">
        <f t="shared" si="536"/>
        <v>0.49996674565333021</v>
      </c>
      <c r="CH186" s="173">
        <f t="shared" si="537"/>
        <v>0.12441737294010324</v>
      </c>
      <c r="CI186" s="170">
        <v>76</v>
      </c>
      <c r="CJ186" s="217">
        <f t="shared" si="602"/>
        <v>0.45599999999999996</v>
      </c>
      <c r="CK186" s="217">
        <f t="shared" si="538"/>
        <v>0.38</v>
      </c>
      <c r="CL186" s="217">
        <f t="shared" si="539"/>
        <v>77.52</v>
      </c>
      <c r="CM186" s="217">
        <f t="shared" si="540"/>
        <v>4.5600000000000005</v>
      </c>
      <c r="CN186" s="541">
        <f t="shared" si="541"/>
        <v>9</v>
      </c>
      <c r="CO186" s="443">
        <f t="shared" si="542"/>
        <v>8.5350000000000001</v>
      </c>
      <c r="CP186" s="443">
        <f t="shared" si="543"/>
        <v>17.535</v>
      </c>
      <c r="CQ186" s="443"/>
      <c r="CR186" s="217">
        <f t="shared" si="544"/>
        <v>0.48644793152639093</v>
      </c>
      <c r="CS186" s="172">
        <f t="shared" si="545"/>
        <v>137.82691393247745</v>
      </c>
      <c r="CT186" s="172">
        <f t="shared" si="546"/>
        <v>8.1074655254398493</v>
      </c>
      <c r="CU186" s="217">
        <f t="shared" si="547"/>
        <v>0.81074655254398498</v>
      </c>
      <c r="CV186" s="217">
        <f t="shared" si="548"/>
        <v>11.485576161039788</v>
      </c>
      <c r="CW186" s="217">
        <f t="shared" si="549"/>
        <v>170</v>
      </c>
      <c r="CX186" s="217">
        <f t="shared" si="550"/>
        <v>37.49630498533724</v>
      </c>
      <c r="CY186" s="217">
        <f t="shared" si="551"/>
        <v>2.0831280547409579</v>
      </c>
      <c r="CZ186" s="217">
        <f t="shared" si="552"/>
        <v>2.1966200928727146</v>
      </c>
      <c r="DA186" s="197">
        <f t="shared" si="553"/>
        <v>350</v>
      </c>
      <c r="DB186" s="443">
        <f t="shared" si="554"/>
        <v>233.65860922390632</v>
      </c>
      <c r="DD186" s="217">
        <f t="shared" si="555"/>
        <v>25.032384211169504</v>
      </c>
      <c r="DE186" s="173">
        <f t="shared" si="556"/>
        <v>1.4664548454112187</v>
      </c>
      <c r="DF186" s="173">
        <f t="shared" si="557"/>
        <v>0.30335794952229944</v>
      </c>
      <c r="DG186" s="173"/>
      <c r="DH186" s="173">
        <f t="shared" si="558"/>
        <v>0.78109744190587771</v>
      </c>
      <c r="DI186" s="545">
        <f t="shared" si="559"/>
        <v>1854.4044705882352</v>
      </c>
      <c r="DJ186" s="528">
        <f t="shared" si="560"/>
        <v>8.6065366284073561E-2</v>
      </c>
      <c r="DL186" s="173">
        <f t="shared" si="561"/>
        <v>30.627718538231719</v>
      </c>
      <c r="DM186" s="173">
        <f t="shared" si="562"/>
        <v>37.49630498533724</v>
      </c>
      <c r="DN186" s="173">
        <f t="shared" si="563"/>
        <v>19.098497520002891</v>
      </c>
      <c r="DP186" s="545">
        <f t="shared" si="564"/>
        <v>455.99999999999994</v>
      </c>
      <c r="DQ186" s="460">
        <f t="shared" si="565"/>
        <v>233.65860922390632</v>
      </c>
      <c r="DS186">
        <f t="shared" si="566"/>
        <v>455.99999999999994</v>
      </c>
      <c r="DT186">
        <f t="shared" si="567"/>
        <v>233.65860922390632</v>
      </c>
      <c r="DV186" s="5">
        <f t="shared" si="568"/>
        <v>4.2797481476136721</v>
      </c>
      <c r="DW186" s="5">
        <f t="shared" si="569"/>
        <v>2.0831280547409579</v>
      </c>
      <c r="DX186" s="5">
        <f t="shared" si="570"/>
        <v>2.1966200928727142</v>
      </c>
      <c r="DY186" s="173">
        <f t="shared" si="571"/>
        <v>0.48674080410607362</v>
      </c>
      <c r="EA186" s="5">
        <f t="shared" si="572"/>
        <v>0.5587684664481628</v>
      </c>
      <c r="EB186" s="5">
        <f t="shared" si="573"/>
        <v>6.5965721733463658</v>
      </c>
      <c r="EC186" s="5">
        <f t="shared" si="574"/>
        <v>30.272353706576496</v>
      </c>
      <c r="ED186" s="5"/>
      <c r="EE186" s="173">
        <f t="shared" si="575"/>
        <v>15.103469511330754</v>
      </c>
      <c r="EF186" s="173">
        <f t="shared" si="576"/>
        <v>0.73239038784266353</v>
      </c>
      <c r="EG186" s="173">
        <f t="shared" si="577"/>
        <v>0.5790599314717122</v>
      </c>
      <c r="EH186" s="173"/>
      <c r="EI186" s="528">
        <f t="shared" si="578"/>
        <v>9.1245916511879059</v>
      </c>
      <c r="EJ186" s="528">
        <f t="shared" si="579"/>
        <v>4.2248250000000009</v>
      </c>
      <c r="EK186" s="528">
        <f t="shared" si="580"/>
        <v>4.6731721844781263E-2</v>
      </c>
      <c r="EL186" s="528">
        <f t="shared" si="581"/>
        <v>1.436889342058338E-2</v>
      </c>
      <c r="EM186">
        <f t="shared" si="582"/>
        <v>4.0499999999999998E-3</v>
      </c>
      <c r="EN186" s="460">
        <f t="shared" si="583"/>
        <v>50.781721844781259</v>
      </c>
      <c r="EP186" s="460">
        <f t="shared" si="603"/>
        <v>13414.56726645327</v>
      </c>
      <c r="EQ186" s="173">
        <f t="shared" si="584"/>
        <v>0.31919999999999993</v>
      </c>
      <c r="ER186" s="173">
        <f t="shared" si="585"/>
        <v>0.32983999999999997</v>
      </c>
      <c r="ES186" s="528"/>
      <c r="EU186" s="460">
        <f t="shared" si="497"/>
        <v>649.03999999999985</v>
      </c>
      <c r="EV186" s="528">
        <f t="shared" si="586"/>
        <v>6.8434437383909286</v>
      </c>
      <c r="EW186" s="528">
        <f t="shared" si="587"/>
        <v>1.6091870406129815E-2</v>
      </c>
      <c r="EX186" s="528">
        <f t="shared" si="588"/>
        <v>1.6765520211801201E-3</v>
      </c>
      <c r="EY186" s="528">
        <f t="shared" si="589"/>
        <v>359.24907218562589</v>
      </c>
      <c r="EZ186" s="528"/>
      <c r="FA186" s="625">
        <f t="shared" si="590"/>
        <v>8.2129417378063305</v>
      </c>
      <c r="FB186" s="460">
        <f t="shared" si="498"/>
        <v>374323.22608425043</v>
      </c>
      <c r="FC186" s="173">
        <f t="shared" si="591"/>
        <v>388.38683335070374</v>
      </c>
      <c r="FD186" s="5">
        <f t="shared" si="592"/>
        <v>82.08</v>
      </c>
      <c r="FE186" s="173">
        <f t="shared" si="593"/>
        <v>0.17446500833102185</v>
      </c>
      <c r="FF186" s="5">
        <f t="shared" si="594"/>
        <v>17.446500833102185</v>
      </c>
      <c r="FG186">
        <f t="shared" si="595"/>
        <v>76</v>
      </c>
      <c r="FI186" s="562">
        <f t="shared" si="596"/>
        <v>-50</v>
      </c>
      <c r="FJ186">
        <f t="shared" si="597"/>
        <v>-50</v>
      </c>
    </row>
    <row r="187" spans="5:166">
      <c r="E187" s="170">
        <v>77</v>
      </c>
      <c r="F187" s="217">
        <f t="shared" si="598"/>
        <v>0.46199999999999997</v>
      </c>
      <c r="G187" s="217">
        <f t="shared" si="499"/>
        <v>0.38500000000000001</v>
      </c>
      <c r="H187" s="217">
        <f t="shared" si="500"/>
        <v>78.539999999999992</v>
      </c>
      <c r="I187" s="217">
        <f t="shared" si="501"/>
        <v>4.62</v>
      </c>
      <c r="J187" s="541">
        <f t="shared" si="502"/>
        <v>7.3840008728829698</v>
      </c>
      <c r="K187" s="443">
        <f t="shared" si="503"/>
        <v>8.5453979927747277</v>
      </c>
      <c r="L187" s="172">
        <f t="shared" si="504"/>
        <v>15.929398865657697</v>
      </c>
      <c r="M187" s="443"/>
      <c r="N187" s="217">
        <f t="shared" si="505"/>
        <v>0.53645451814241474</v>
      </c>
      <c r="O187" s="172">
        <f t="shared" si="506"/>
        <v>124.70383465525049</v>
      </c>
      <c r="P187" s="172">
        <f t="shared" si="507"/>
        <v>7.3355196856029696</v>
      </c>
      <c r="Q187" s="217">
        <f t="shared" si="508"/>
        <v>0.73355196856029703</v>
      </c>
      <c r="R187" s="217">
        <f t="shared" si="509"/>
        <v>10.391986221270875</v>
      </c>
      <c r="S187" s="217">
        <f t="shared" si="510"/>
        <v>170</v>
      </c>
      <c r="T187" s="217">
        <f t="shared" si="511"/>
        <v>41.987481896408113</v>
      </c>
      <c r="U187" s="217">
        <f t="shared" si="512"/>
        <v>2.8431390122530376</v>
      </c>
      <c r="V187" s="217">
        <f t="shared" si="513"/>
        <v>2.4567306245952034</v>
      </c>
      <c r="W187" s="197">
        <f t="shared" si="514"/>
        <v>350</v>
      </c>
      <c r="X187" s="443">
        <f t="shared" si="599"/>
        <v>181.82249144600829</v>
      </c>
      <c r="Z187" s="217">
        <f t="shared" si="515"/>
        <v>22.635317887003449</v>
      </c>
      <c r="AA187" s="173">
        <f t="shared" si="516"/>
        <v>1.3244156624502439</v>
      </c>
      <c r="AB187" s="173">
        <f t="shared" si="517"/>
        <v>0.24773956767752886</v>
      </c>
      <c r="AC187" s="173"/>
      <c r="AD187" s="173">
        <f t="shared" si="518"/>
        <v>0.78014700688059713</v>
      </c>
      <c r="AE187" s="545">
        <f t="shared" si="519"/>
        <v>1881.0934334447993</v>
      </c>
      <c r="AF187" s="528">
        <f t="shared" si="520"/>
        <v>8.5960642424806527E-2</v>
      </c>
      <c r="AH187" s="173">
        <f t="shared" si="521"/>
        <v>30.828558188796308</v>
      </c>
      <c r="AI187" s="173">
        <f t="shared" si="522"/>
        <v>41.987481896408113</v>
      </c>
      <c r="AJ187" s="173">
        <f t="shared" si="523"/>
        <v>22.425295231907242</v>
      </c>
      <c r="AL187" s="545">
        <f t="shared" si="524"/>
        <v>461.99999999999994</v>
      </c>
      <c r="AM187" s="460">
        <f t="shared" si="525"/>
        <v>181.82249144600829</v>
      </c>
      <c r="AO187">
        <f t="shared" si="526"/>
        <v>461.99999999999994</v>
      </c>
      <c r="AP187">
        <f t="shared" si="527"/>
        <v>181.82249144600829</v>
      </c>
      <c r="AR187" s="5">
        <f t="shared" si="443"/>
        <v>5.4998696368482412</v>
      </c>
      <c r="AS187" s="5">
        <f t="shared" si="604"/>
        <v>2.8431390122530376</v>
      </c>
      <c r="AT187" s="5">
        <f t="shared" si="605"/>
        <v>2.6567306245952036</v>
      </c>
      <c r="AU187" s="173">
        <f t="shared" si="606"/>
        <v>0.51694661873519032</v>
      </c>
      <c r="AW187" s="5">
        <f t="shared" si="477"/>
        <v>0.77266483744759018</v>
      </c>
      <c r="AX187" s="5">
        <f t="shared" si="478"/>
        <v>9.1217376643118282</v>
      </c>
      <c r="AY187" s="5">
        <f t="shared" si="479"/>
        <v>45.213347473343802</v>
      </c>
      <c r="AZ187" s="5"/>
      <c r="BA187" s="173">
        <f t="shared" si="480"/>
        <v>17.429384540526531</v>
      </c>
      <c r="BB187" s="173">
        <f t="shared" si="481"/>
        <v>0.79561540967745292</v>
      </c>
      <c r="BC187" s="173">
        <f t="shared" si="482"/>
        <v>0.6290484040386346</v>
      </c>
      <c r="BD187" s="173"/>
      <c r="BE187" s="528">
        <f t="shared" si="483"/>
        <v>12.15133781846181</v>
      </c>
      <c r="BF187" s="528">
        <f t="shared" si="528"/>
        <v>2.7362094539943258</v>
      </c>
      <c r="BG187" s="528">
        <f t="shared" si="529"/>
        <v>5.370309742188327E-2</v>
      </c>
      <c r="BH187" s="528">
        <f t="shared" si="484"/>
        <v>9.2273368270826307E-3</v>
      </c>
      <c r="BI187">
        <f t="shared" si="485"/>
        <v>3.3228003927973362E-3</v>
      </c>
      <c r="BJ187" s="460">
        <f t="shared" si="600"/>
        <v>57.025897814680604</v>
      </c>
      <c r="BK187">
        <f t="shared" si="530"/>
        <v>-9.6322815123088521</v>
      </c>
      <c r="BL187" s="460">
        <f t="shared" si="601"/>
        <v>14953.8005070979</v>
      </c>
      <c r="BM187" s="173">
        <f t="shared" si="531"/>
        <v>0.40101599999999993</v>
      </c>
      <c r="BN187" s="173">
        <f t="shared" si="532"/>
        <v>0.33417999999999998</v>
      </c>
      <c r="BO187" s="528"/>
      <c r="BQ187" s="460">
        <f t="shared" si="486"/>
        <v>735.19599999999991</v>
      </c>
      <c r="BR187" s="528">
        <f t="shared" si="487"/>
        <v>9.1135033638463572</v>
      </c>
      <c r="BS187" s="528">
        <f t="shared" si="488"/>
        <v>1.8990116403486634E-2</v>
      </c>
      <c r="BT187" s="528">
        <f t="shared" si="489"/>
        <v>1.9785094731177661E-3</v>
      </c>
      <c r="BU187" s="528">
        <f t="shared" si="490"/>
        <v>254.61769921775584</v>
      </c>
      <c r="BV187" s="528"/>
      <c r="BW187" s="625">
        <f t="shared" si="533"/>
        <v>8.0135928322270011</v>
      </c>
      <c r="BX187" s="460">
        <f t="shared" si="491"/>
        <v>271765.7640397058</v>
      </c>
      <c r="BY187" s="173">
        <f t="shared" si="492"/>
        <v>287.4547605468037</v>
      </c>
      <c r="BZ187" s="5">
        <f t="shared" si="493"/>
        <v>83.16</v>
      </c>
      <c r="CA187" s="173">
        <f t="shared" si="494"/>
        <v>0.22438393947749416</v>
      </c>
      <c r="CB187" s="5">
        <f t="shared" si="495"/>
        <v>22.438393947749415</v>
      </c>
      <c r="CC187">
        <f t="shared" si="496"/>
        <v>77</v>
      </c>
      <c r="CE187" s="562">
        <f t="shared" si="534"/>
        <v>-50</v>
      </c>
      <c r="CF187">
        <f t="shared" si="535"/>
        <v>-50</v>
      </c>
      <c r="CG187" s="173">
        <f t="shared" si="536"/>
        <v>0.49996674565333021</v>
      </c>
      <c r="CH187" s="173">
        <f t="shared" si="537"/>
        <v>0.12441737294010323</v>
      </c>
      <c r="CI187" s="170">
        <v>77</v>
      </c>
      <c r="CJ187" s="217">
        <f t="shared" si="602"/>
        <v>0.46199999999999997</v>
      </c>
      <c r="CK187" s="217">
        <f t="shared" si="538"/>
        <v>0.38500000000000001</v>
      </c>
      <c r="CL187" s="217">
        <f t="shared" si="539"/>
        <v>78.539999999999992</v>
      </c>
      <c r="CM187" s="217">
        <f t="shared" si="540"/>
        <v>4.62</v>
      </c>
      <c r="CN187" s="541">
        <f t="shared" si="541"/>
        <v>9</v>
      </c>
      <c r="CO187" s="443">
        <f t="shared" si="542"/>
        <v>8.5350000000000001</v>
      </c>
      <c r="CP187" s="443">
        <f t="shared" si="543"/>
        <v>17.535</v>
      </c>
      <c r="CQ187" s="443"/>
      <c r="CR187" s="217">
        <f t="shared" si="544"/>
        <v>0.48644793152639093</v>
      </c>
      <c r="CS187" s="172">
        <f t="shared" si="545"/>
        <v>137.82691393247745</v>
      </c>
      <c r="CT187" s="172">
        <f t="shared" si="546"/>
        <v>8.1074655254398493</v>
      </c>
      <c r="CU187" s="217">
        <f t="shared" si="547"/>
        <v>0.81074655254398498</v>
      </c>
      <c r="CV187" s="217">
        <f t="shared" si="548"/>
        <v>11.485576161039788</v>
      </c>
      <c r="CW187" s="217">
        <f t="shared" si="549"/>
        <v>170</v>
      </c>
      <c r="CX187" s="217">
        <f t="shared" si="550"/>
        <v>37.989677419354834</v>
      </c>
      <c r="CY187" s="217">
        <f t="shared" si="551"/>
        <v>2.110537634408602</v>
      </c>
      <c r="CZ187" s="217">
        <f t="shared" si="552"/>
        <v>2.2255229888315662</v>
      </c>
      <c r="DA187" s="197">
        <f t="shared" si="553"/>
        <v>350</v>
      </c>
      <c r="DB187" s="443">
        <f t="shared" si="554"/>
        <v>230.62408183138803</v>
      </c>
      <c r="DD187" s="217">
        <f t="shared" si="555"/>
        <v>25.032384211169504</v>
      </c>
      <c r="DE187" s="173">
        <f t="shared" si="556"/>
        <v>1.4664548454112187</v>
      </c>
      <c r="DF187" s="173">
        <f t="shared" si="557"/>
        <v>0.30335794952229944</v>
      </c>
      <c r="DG187" s="173"/>
      <c r="DH187" s="173">
        <f t="shared" si="558"/>
        <v>0.78109744190587771</v>
      </c>
      <c r="DI187" s="545">
        <f t="shared" si="559"/>
        <v>1878.8045294117649</v>
      </c>
      <c r="DJ187" s="528">
        <f t="shared" si="560"/>
        <v>8.6065366284073561E-2</v>
      </c>
      <c r="DL187" s="173">
        <f t="shared" si="561"/>
        <v>30.828558188796308</v>
      </c>
      <c r="DM187" s="173">
        <f t="shared" si="562"/>
        <v>37.989677419354834</v>
      </c>
      <c r="DN187" s="173">
        <f t="shared" si="563"/>
        <v>19.463958582238146</v>
      </c>
      <c r="DP187" s="545">
        <f t="shared" si="564"/>
        <v>461.99999999999994</v>
      </c>
      <c r="DQ187" s="460">
        <f t="shared" si="565"/>
        <v>230.62408183138803</v>
      </c>
      <c r="DS187">
        <f t="shared" si="566"/>
        <v>461.99999999999994</v>
      </c>
      <c r="DT187">
        <f t="shared" si="567"/>
        <v>230.62408183138803</v>
      </c>
      <c r="DV187" s="5">
        <f t="shared" si="568"/>
        <v>4.3360606232401686</v>
      </c>
      <c r="DW187" s="5">
        <f t="shared" si="569"/>
        <v>2.110537634408602</v>
      </c>
      <c r="DX187" s="5">
        <f t="shared" si="570"/>
        <v>2.2255229888315666</v>
      </c>
      <c r="DY187" s="173">
        <f t="shared" si="571"/>
        <v>0.48674080410607351</v>
      </c>
      <c r="EA187" s="5">
        <f t="shared" si="572"/>
        <v>0.57356963946869055</v>
      </c>
      <c r="EB187" s="5">
        <f t="shared" si="573"/>
        <v>6.7713082437275984</v>
      </c>
      <c r="EC187" s="5">
        <f t="shared" si="574"/>
        <v>31.074235652058888</v>
      </c>
      <c r="ED187" s="5"/>
      <c r="EE187" s="173">
        <f t="shared" si="575"/>
        <v>15.302199373321946</v>
      </c>
      <c r="EF187" s="173">
        <f t="shared" si="576"/>
        <v>0.74202710347217227</v>
      </c>
      <c r="EG187" s="173">
        <f t="shared" si="577"/>
        <v>0.58667914109634001</v>
      </c>
      <c r="EH187" s="173"/>
      <c r="EI187" s="528">
        <f t="shared" si="578"/>
        <v>9.3662922264357817</v>
      </c>
      <c r="EJ187" s="528">
        <f t="shared" si="579"/>
        <v>4.2248249999999992</v>
      </c>
      <c r="EK187" s="528">
        <f t="shared" si="580"/>
        <v>4.6124816366277605E-2</v>
      </c>
      <c r="EL187" s="528">
        <f t="shared" si="581"/>
        <v>1.4182284415121255E-2</v>
      </c>
      <c r="EM187">
        <f t="shared" si="582"/>
        <v>4.0499999999999998E-3</v>
      </c>
      <c r="EN187" s="460">
        <f t="shared" si="583"/>
        <v>50.174816366277604</v>
      </c>
      <c r="EP187" s="460">
        <f t="shared" si="603"/>
        <v>13655.47432721718</v>
      </c>
      <c r="EQ187" s="173">
        <f t="shared" si="584"/>
        <v>0.32339999999999997</v>
      </c>
      <c r="ER187" s="173">
        <f t="shared" si="585"/>
        <v>0.33417999999999998</v>
      </c>
      <c r="ES187" s="528"/>
      <c r="EU187" s="460">
        <f t="shared" si="497"/>
        <v>657.57999999999993</v>
      </c>
      <c r="EV187" s="528">
        <f t="shared" si="586"/>
        <v>7.0247191698268354</v>
      </c>
      <c r="EW187" s="528">
        <f t="shared" si="587"/>
        <v>1.6518126668619057E-2</v>
      </c>
      <c r="EX187" s="528">
        <f t="shared" si="588"/>
        <v>1.7209620729876963E-3</v>
      </c>
      <c r="EY187" s="528">
        <f t="shared" si="589"/>
        <v>359.24907218562589</v>
      </c>
      <c r="EZ187" s="528"/>
      <c r="FA187" s="625">
        <f t="shared" si="590"/>
        <v>8.3210067606722031</v>
      </c>
      <c r="FB187" s="460">
        <f t="shared" si="498"/>
        <v>374613.03720486653</v>
      </c>
      <c r="FC187" s="173">
        <f t="shared" si="591"/>
        <v>388.92609153208372</v>
      </c>
      <c r="FD187" s="5">
        <f t="shared" si="592"/>
        <v>83.16</v>
      </c>
      <c r="FE187" s="173">
        <f t="shared" si="593"/>
        <v>0.1761543106049086</v>
      </c>
      <c r="FF187" s="5">
        <f t="shared" si="594"/>
        <v>17.615431060490859</v>
      </c>
      <c r="FG187">
        <f t="shared" si="595"/>
        <v>77</v>
      </c>
      <c r="FI187" s="562">
        <f t="shared" si="596"/>
        <v>-50</v>
      </c>
      <c r="FJ187">
        <f t="shared" si="597"/>
        <v>-50</v>
      </c>
    </row>
    <row r="188" spans="5:166">
      <c r="E188" s="170">
        <v>78</v>
      </c>
      <c r="F188" s="217">
        <f t="shared" si="598"/>
        <v>0.46799999999999997</v>
      </c>
      <c r="G188" s="217">
        <f t="shared" si="499"/>
        <v>0.39</v>
      </c>
      <c r="H188" s="217">
        <f t="shared" si="500"/>
        <v>79.56</v>
      </c>
      <c r="I188" s="217">
        <f t="shared" si="501"/>
        <v>4.68</v>
      </c>
      <c r="J188" s="541">
        <f t="shared" si="502"/>
        <v>7.3630138712320994</v>
      </c>
      <c r="K188" s="443">
        <f t="shared" si="503"/>
        <v>8.5455330316419325</v>
      </c>
      <c r="L188" s="172">
        <f t="shared" si="504"/>
        <v>15.908546902874033</v>
      </c>
      <c r="M188" s="443"/>
      <c r="N188" s="217">
        <f t="shared" si="505"/>
        <v>0.53716615878337071</v>
      </c>
      <c r="O188" s="172">
        <f t="shared" si="506"/>
        <v>124.51435542728369</v>
      </c>
      <c r="P188" s="172">
        <f t="shared" si="507"/>
        <v>7.324373848663746</v>
      </c>
      <c r="Q188" s="217">
        <f t="shared" si="508"/>
        <v>0.73243738486637466</v>
      </c>
      <c r="R188" s="217">
        <f t="shared" si="509"/>
        <v>10.376196285606975</v>
      </c>
      <c r="S188" s="217">
        <f t="shared" si="510"/>
        <v>170</v>
      </c>
      <c r="T188" s="217">
        <f t="shared" si="511"/>
        <v>42.597497949523849</v>
      </c>
      <c r="U188" s="217">
        <f t="shared" si="512"/>
        <v>2.8926672348096321</v>
      </c>
      <c r="V188" s="217">
        <f t="shared" si="513"/>
        <v>2.492383903484789</v>
      </c>
      <c r="W188" s="197">
        <f t="shared" si="514"/>
        <v>350</v>
      </c>
      <c r="X188" s="443">
        <f t="shared" si="599"/>
        <v>179.04939010198265</v>
      </c>
      <c r="Z188" s="217">
        <f t="shared" si="515"/>
        <v>22.600925018733847</v>
      </c>
      <c r="AA188" s="173">
        <f t="shared" si="516"/>
        <v>1.3223824034760838</v>
      </c>
      <c r="AB188" s="173">
        <f t="shared" si="517"/>
        <v>0.24698338889581017</v>
      </c>
      <c r="AC188" s="173"/>
      <c r="AD188" s="173">
        <f t="shared" si="518"/>
        <v>0.78013467878266896</v>
      </c>
      <c r="AE188" s="545">
        <f t="shared" si="519"/>
        <v>1905.5533303734255</v>
      </c>
      <c r="AF188" s="528">
        <f t="shared" si="520"/>
        <v>8.5959284051053353E-2</v>
      </c>
      <c r="AH188" s="173">
        <f t="shared" si="521"/>
        <v>31.02809786536805</v>
      </c>
      <c r="AI188" s="173">
        <f t="shared" si="522"/>
        <v>42.597497949523849</v>
      </c>
      <c r="AJ188" s="173">
        <f t="shared" si="523"/>
        <v>22.877158974955936</v>
      </c>
      <c r="AL188" s="545">
        <f t="shared" si="524"/>
        <v>468</v>
      </c>
      <c r="AM188" s="460">
        <f t="shared" si="525"/>
        <v>179.04939010198265</v>
      </c>
      <c r="AO188">
        <f t="shared" si="526"/>
        <v>468</v>
      </c>
      <c r="AP188">
        <f t="shared" si="527"/>
        <v>179.04939010198265</v>
      </c>
      <c r="AR188" s="5">
        <f t="shared" si="443"/>
        <v>5.5850511382944203</v>
      </c>
      <c r="AS188" s="5">
        <f t="shared" si="604"/>
        <v>2.8926672348096321</v>
      </c>
      <c r="AT188" s="5">
        <f t="shared" si="605"/>
        <v>2.6923839034847883</v>
      </c>
      <c r="AU188" s="173">
        <f t="shared" si="606"/>
        <v>0.51793030416065333</v>
      </c>
      <c r="AW188" s="5">
        <f t="shared" si="477"/>
        <v>0.79633427405347523</v>
      </c>
      <c r="AX188" s="5">
        <f t="shared" si="478"/>
        <v>9.4011685131313047</v>
      </c>
      <c r="AY188" s="5">
        <f t="shared" si="479"/>
        <v>46.547474630880807</v>
      </c>
      <c r="AZ188" s="5"/>
      <c r="BA188" s="173">
        <f t="shared" si="480"/>
        <v>17.699423647711047</v>
      </c>
      <c r="BB188" s="173">
        <f t="shared" si="481"/>
        <v>0.80635224544193129</v>
      </c>
      <c r="BC188" s="173">
        <f t="shared" si="482"/>
        <v>0.63753741684547327</v>
      </c>
      <c r="BD188" s="173"/>
      <c r="BE188" s="528">
        <f t="shared" si="483"/>
        <v>12.530783898446121</v>
      </c>
      <c r="BF188" s="528">
        <f t="shared" si="528"/>
        <v>2.7300460173307601</v>
      </c>
      <c r="BG188" s="528">
        <f t="shared" si="529"/>
        <v>5.2733725718261827E-2</v>
      </c>
      <c r="BH188" s="528">
        <f t="shared" si="484"/>
        <v>9.0628306991018849E-3</v>
      </c>
      <c r="BI188">
        <f t="shared" si="485"/>
        <v>3.3133562420544446E-3</v>
      </c>
      <c r="BJ188" s="460">
        <f t="shared" si="600"/>
        <v>56.04708196031627</v>
      </c>
      <c r="BK188">
        <f t="shared" si="530"/>
        <v>-9.433606397550319</v>
      </c>
      <c r="BL188" s="460">
        <f t="shared" si="601"/>
        <v>15325.939828436301</v>
      </c>
      <c r="BM188" s="173">
        <f t="shared" si="531"/>
        <v>0.40622399999999992</v>
      </c>
      <c r="BN188" s="173">
        <f t="shared" si="532"/>
        <v>0.33851999999999993</v>
      </c>
      <c r="BO188" s="528"/>
      <c r="BQ188" s="460">
        <f t="shared" si="486"/>
        <v>744.7439999999998</v>
      </c>
      <c r="BR188" s="528">
        <f t="shared" si="487"/>
        <v>9.3980879238345896</v>
      </c>
      <c r="BS188" s="528">
        <f t="shared" si="488"/>
        <v>1.9506118311877339E-2</v>
      </c>
      <c r="BT188" s="528">
        <f t="shared" si="489"/>
        <v>2.0322697893899937E-3</v>
      </c>
      <c r="BU188" s="528">
        <f t="shared" si="490"/>
        <v>254.01674467329806</v>
      </c>
      <c r="BV188" s="528"/>
      <c r="BW188" s="625">
        <f t="shared" si="533"/>
        <v>8.1223375875561832</v>
      </c>
      <c r="BX188" s="460">
        <f t="shared" si="491"/>
        <v>271558.70857279008</v>
      </c>
      <c r="BY188" s="173">
        <f t="shared" si="492"/>
        <v>287.62939240122637</v>
      </c>
      <c r="BZ188" s="5">
        <f t="shared" si="493"/>
        <v>84.240000000000009</v>
      </c>
      <c r="CA188" s="173">
        <f t="shared" si="494"/>
        <v>0.22653114701386809</v>
      </c>
      <c r="CB188" s="5">
        <f t="shared" si="495"/>
        <v>22.653114701386809</v>
      </c>
      <c r="CC188">
        <f t="shared" si="496"/>
        <v>78</v>
      </c>
      <c r="CE188" s="562">
        <f t="shared" si="534"/>
        <v>-50</v>
      </c>
      <c r="CF188">
        <f t="shared" si="535"/>
        <v>-50</v>
      </c>
      <c r="CG188" s="173">
        <f t="shared" si="536"/>
        <v>0.49996674565333021</v>
      </c>
      <c r="CH188" s="173">
        <f t="shared" si="537"/>
        <v>0.12441737294010323</v>
      </c>
      <c r="CI188" s="170">
        <v>78</v>
      </c>
      <c r="CJ188" s="217">
        <f t="shared" si="602"/>
        <v>0.46799999999999997</v>
      </c>
      <c r="CK188" s="217">
        <f t="shared" si="538"/>
        <v>0.39</v>
      </c>
      <c r="CL188" s="217">
        <f t="shared" si="539"/>
        <v>79.56</v>
      </c>
      <c r="CM188" s="217">
        <f t="shared" si="540"/>
        <v>4.68</v>
      </c>
      <c r="CN188" s="541">
        <f t="shared" si="541"/>
        <v>9</v>
      </c>
      <c r="CO188" s="443">
        <f t="shared" si="542"/>
        <v>8.5350000000000001</v>
      </c>
      <c r="CP188" s="443">
        <f t="shared" si="543"/>
        <v>17.535</v>
      </c>
      <c r="CQ188" s="443"/>
      <c r="CR188" s="217">
        <f t="shared" si="544"/>
        <v>0.48644793152639093</v>
      </c>
      <c r="CS188" s="172">
        <f t="shared" si="545"/>
        <v>137.82691393247745</v>
      </c>
      <c r="CT188" s="172">
        <f t="shared" si="546"/>
        <v>8.1074655254398493</v>
      </c>
      <c r="CU188" s="217">
        <f t="shared" si="547"/>
        <v>0.81074655254398498</v>
      </c>
      <c r="CV188" s="217">
        <f t="shared" si="548"/>
        <v>11.485576161039788</v>
      </c>
      <c r="CW188" s="217">
        <f t="shared" si="549"/>
        <v>170</v>
      </c>
      <c r="CX188" s="217">
        <f t="shared" si="550"/>
        <v>38.483049853372435</v>
      </c>
      <c r="CY188" s="217">
        <f t="shared" si="551"/>
        <v>2.1379472140762465</v>
      </c>
      <c r="CZ188" s="217">
        <f t="shared" si="552"/>
        <v>2.2544258847904177</v>
      </c>
      <c r="DA188" s="197">
        <f t="shared" si="553"/>
        <v>350</v>
      </c>
      <c r="DB188" s="443">
        <f t="shared" si="554"/>
        <v>227.6673628335497</v>
      </c>
      <c r="DD188" s="217">
        <f t="shared" si="555"/>
        <v>25.032384211169504</v>
      </c>
      <c r="DE188" s="173">
        <f t="shared" si="556"/>
        <v>1.4664548454112187</v>
      </c>
      <c r="DF188" s="173">
        <f t="shared" si="557"/>
        <v>0.30335794952229944</v>
      </c>
      <c r="DG188" s="173"/>
      <c r="DH188" s="173">
        <f t="shared" si="558"/>
        <v>0.78109744190587771</v>
      </c>
      <c r="DI188" s="545">
        <f t="shared" si="559"/>
        <v>1903.2045882352941</v>
      </c>
      <c r="DJ188" s="528">
        <f t="shared" si="560"/>
        <v>8.6065366284073561E-2</v>
      </c>
      <c r="DL188" s="173">
        <f t="shared" si="561"/>
        <v>31.02809786536805</v>
      </c>
      <c r="DM188" s="173">
        <f t="shared" si="562"/>
        <v>38.483049853372435</v>
      </c>
      <c r="DN188" s="173">
        <f t="shared" si="563"/>
        <v>19.829419644473408</v>
      </c>
      <c r="DP188" s="545">
        <f t="shared" si="564"/>
        <v>468</v>
      </c>
      <c r="DQ188" s="460">
        <f t="shared" si="565"/>
        <v>227.6673628335497</v>
      </c>
      <c r="DS188">
        <f t="shared" si="566"/>
        <v>468</v>
      </c>
      <c r="DT188">
        <f t="shared" si="567"/>
        <v>227.6673628335497</v>
      </c>
      <c r="DV188" s="5">
        <f t="shared" si="568"/>
        <v>4.3923730988666643</v>
      </c>
      <c r="DW188" s="5">
        <f t="shared" si="569"/>
        <v>2.1379472140762465</v>
      </c>
      <c r="DX188" s="5">
        <f t="shared" si="570"/>
        <v>2.2544258847904177</v>
      </c>
      <c r="DY188" s="173">
        <f t="shared" si="571"/>
        <v>0.48674080410607362</v>
      </c>
      <c r="EA188" s="5">
        <f t="shared" si="572"/>
        <v>0.58856429187510784</v>
      </c>
      <c r="EB188" s="5">
        <f t="shared" si="573"/>
        <v>6.9483284457478014</v>
      </c>
      <c r="EC188" s="5">
        <f t="shared" si="574"/>
        <v>31.886599714475672</v>
      </c>
      <c r="ED188" s="5"/>
      <c r="EE188" s="173">
        <f t="shared" si="575"/>
        <v>15.500929235313144</v>
      </c>
      <c r="EF188" s="173">
        <f t="shared" si="576"/>
        <v>0.7516638191016809</v>
      </c>
      <c r="EG188" s="173">
        <f t="shared" si="577"/>
        <v>0.59429835072096782</v>
      </c>
      <c r="EH188" s="173"/>
      <c r="EI188" s="528">
        <f t="shared" si="578"/>
        <v>9.6111522863274299</v>
      </c>
      <c r="EJ188" s="528">
        <f t="shared" si="579"/>
        <v>4.2248249999999992</v>
      </c>
      <c r="EK188" s="528">
        <f t="shared" si="580"/>
        <v>4.5533472566709941E-2</v>
      </c>
      <c r="EL188" s="528">
        <f t="shared" si="581"/>
        <v>1.4000460255953032E-2</v>
      </c>
      <c r="EM188">
        <f t="shared" si="582"/>
        <v>4.0499999999999998E-3</v>
      </c>
      <c r="EN188" s="460">
        <f t="shared" si="583"/>
        <v>49.583472566709936</v>
      </c>
      <c r="EP188" s="460">
        <f t="shared" si="603"/>
        <v>13899.561219150091</v>
      </c>
      <c r="EQ188" s="173">
        <f t="shared" si="584"/>
        <v>0.32759999999999995</v>
      </c>
      <c r="ER188" s="173">
        <f t="shared" si="585"/>
        <v>0.33851999999999993</v>
      </c>
      <c r="ES188" s="528"/>
      <c r="EU188" s="460">
        <f t="shared" si="497"/>
        <v>666.11999999999978</v>
      </c>
      <c r="EV188" s="528">
        <f t="shared" si="586"/>
        <v>7.208364214745572</v>
      </c>
      <c r="EW188" s="528">
        <f t="shared" si="587"/>
        <v>1.6949954908395733E-2</v>
      </c>
      <c r="EX188" s="528">
        <f t="shared" si="588"/>
        <v>1.7659526483483124E-3</v>
      </c>
      <c r="EY188" s="528">
        <f t="shared" si="589"/>
        <v>359.24907218562657</v>
      </c>
      <c r="EZ188" s="528"/>
      <c r="FA188" s="625">
        <f t="shared" si="590"/>
        <v>8.4290717835380775</v>
      </c>
      <c r="FB188" s="460">
        <f t="shared" si="498"/>
        <v>374905.22409146692</v>
      </c>
      <c r="FC188" s="173">
        <f t="shared" si="591"/>
        <v>389.47090531061707</v>
      </c>
      <c r="FD188" s="5">
        <f t="shared" si="592"/>
        <v>84.240000000000009</v>
      </c>
      <c r="FE188" s="173">
        <f t="shared" si="593"/>
        <v>0.17782997827496283</v>
      </c>
      <c r="FF188" s="5">
        <f t="shared" si="594"/>
        <v>17.782997827496281</v>
      </c>
      <c r="FG188">
        <f t="shared" si="595"/>
        <v>78</v>
      </c>
      <c r="FI188" s="562">
        <f t="shared" si="596"/>
        <v>-50</v>
      </c>
      <c r="FJ188">
        <f t="shared" si="597"/>
        <v>-50</v>
      </c>
    </row>
    <row r="189" spans="5:166">
      <c r="E189" s="170">
        <v>79</v>
      </c>
      <c r="F189" s="217">
        <f t="shared" si="598"/>
        <v>0.47399999999999998</v>
      </c>
      <c r="G189" s="217">
        <f t="shared" si="499"/>
        <v>0.39500000000000002</v>
      </c>
      <c r="H189" s="217">
        <f t="shared" si="500"/>
        <v>80.58</v>
      </c>
      <c r="I189" s="217">
        <f t="shared" si="501"/>
        <v>4.74</v>
      </c>
      <c r="J189" s="541">
        <f t="shared" si="502"/>
        <v>7.342026869581229</v>
      </c>
      <c r="K189" s="443">
        <f t="shared" si="503"/>
        <v>8.5456680705091372</v>
      </c>
      <c r="L189" s="172">
        <f t="shared" si="504"/>
        <v>15.887694940090366</v>
      </c>
      <c r="M189" s="443"/>
      <c r="N189" s="217">
        <f t="shared" si="505"/>
        <v>0.53787966742395998</v>
      </c>
      <c r="O189" s="172">
        <f t="shared" si="506"/>
        <v>124.32436760014483</v>
      </c>
      <c r="P189" s="172">
        <f t="shared" si="507"/>
        <v>7.3131980941261654</v>
      </c>
      <c r="Q189" s="217">
        <f t="shared" si="508"/>
        <v>0.73131980941261665</v>
      </c>
      <c r="R189" s="217">
        <f t="shared" si="509"/>
        <v>10.360363966678735</v>
      </c>
      <c r="S189" s="217">
        <f t="shared" si="510"/>
        <v>170</v>
      </c>
      <c r="T189" s="217">
        <f t="shared" si="511"/>
        <v>43.209550176660152</v>
      </c>
      <c r="U189" s="217">
        <f t="shared" si="512"/>
        <v>2.9426172734181724</v>
      </c>
      <c r="V189" s="217">
        <f t="shared" si="513"/>
        <v>2.5281551904511192</v>
      </c>
      <c r="W189" s="197">
        <f t="shared" si="514"/>
        <v>350</v>
      </c>
      <c r="X189" s="443">
        <f t="shared" si="599"/>
        <v>176.34281861446408</v>
      </c>
      <c r="Z189" s="217">
        <f t="shared" si="515"/>
        <v>22.566439833303598</v>
      </c>
      <c r="AA189" s="173">
        <f t="shared" si="516"/>
        <v>1.3203438073601146</v>
      </c>
      <c r="AB189" s="173">
        <f t="shared" si="517"/>
        <v>0.24622636329722056</v>
      </c>
      <c r="AC189" s="173"/>
      <c r="AD189" s="173">
        <f t="shared" si="518"/>
        <v>0.78012235107435868</v>
      </c>
      <c r="AE189" s="545">
        <f t="shared" si="519"/>
        <v>1930.0139994066342</v>
      </c>
      <c r="AF189" s="528">
        <f t="shared" si="520"/>
        <v>8.5957925720230269E-2</v>
      </c>
      <c r="AH189" s="173">
        <f t="shared" si="521"/>
        <v>31.226362488860502</v>
      </c>
      <c r="AI189" s="173">
        <f t="shared" si="522"/>
        <v>43.209550176660152</v>
      </c>
      <c r="AJ189" s="173">
        <f t="shared" si="523"/>
        <v>23.3305309950569</v>
      </c>
      <c r="AL189" s="545">
        <f t="shared" si="524"/>
        <v>474</v>
      </c>
      <c r="AM189" s="460">
        <f t="shared" si="525"/>
        <v>176.34281861446408</v>
      </c>
      <c r="AO189">
        <f t="shared" si="526"/>
        <v>474</v>
      </c>
      <c r="AP189">
        <f t="shared" si="527"/>
        <v>176.34281861446408</v>
      </c>
      <c r="AR189" s="5">
        <f t="shared" si="443"/>
        <v>5.6707724638692909</v>
      </c>
      <c r="AS189" s="5">
        <f t="shared" si="604"/>
        <v>2.9426172734181724</v>
      </c>
      <c r="AT189" s="5">
        <f t="shared" si="605"/>
        <v>2.7281551904511185</v>
      </c>
      <c r="AU189" s="173">
        <f t="shared" si="606"/>
        <v>0.51890942409816965</v>
      </c>
      <c r="AW189" s="5">
        <f t="shared" si="477"/>
        <v>0.8204709338824786</v>
      </c>
      <c r="AX189" s="5">
        <f t="shared" si="478"/>
        <v>9.6861151916681507</v>
      </c>
      <c r="AY189" s="5">
        <f t="shared" si="479"/>
        <v>47.907151341512858</v>
      </c>
      <c r="AZ189" s="5"/>
      <c r="BA189" s="173">
        <f t="shared" si="480"/>
        <v>17.970695974473823</v>
      </c>
      <c r="BB189" s="173">
        <f t="shared" si="481"/>
        <v>0.81710706061423077</v>
      </c>
      <c r="BC189" s="173">
        <f t="shared" si="482"/>
        <v>0.64604064495993152</v>
      </c>
      <c r="BD189" s="173"/>
      <c r="BE189" s="528">
        <f t="shared" si="483"/>
        <v>12.917836552278786</v>
      </c>
      <c r="BF189" s="528">
        <f t="shared" si="528"/>
        <v>2.723835863946837</v>
      </c>
      <c r="BG189" s="528">
        <f t="shared" si="529"/>
        <v>5.1788548501003367E-2</v>
      </c>
      <c r="BH189" s="528">
        <f t="shared" si="484"/>
        <v>8.90245031404918E-3</v>
      </c>
      <c r="BI189">
        <f t="shared" si="485"/>
        <v>3.3039120913115529E-3</v>
      </c>
      <c r="BJ189" s="460">
        <f t="shared" si="600"/>
        <v>55.092460592314922</v>
      </c>
      <c r="BK189">
        <f t="shared" si="530"/>
        <v>-9.2488254652179709</v>
      </c>
      <c r="BL189" s="460">
        <f t="shared" si="601"/>
        <v>15705.667327131987</v>
      </c>
      <c r="BM189" s="173">
        <f t="shared" si="531"/>
        <v>0.41143199999999996</v>
      </c>
      <c r="BN189" s="173">
        <f t="shared" si="532"/>
        <v>0.34285999999999994</v>
      </c>
      <c r="BO189" s="528"/>
      <c r="BQ189" s="460">
        <f t="shared" si="486"/>
        <v>754.29199999999992</v>
      </c>
      <c r="BR189" s="528">
        <f t="shared" si="487"/>
        <v>9.6883774142090893</v>
      </c>
      <c r="BS189" s="528">
        <f t="shared" si="488"/>
        <v>2.0029918455168844E-2</v>
      </c>
      <c r="BT189" s="528">
        <f t="shared" si="489"/>
        <v>2.0868425747012217E-3</v>
      </c>
      <c r="BU189" s="528">
        <f t="shared" si="490"/>
        <v>253.40420233675616</v>
      </c>
      <c r="BV189" s="528"/>
      <c r="BW189" s="625">
        <f t="shared" si="533"/>
        <v>8.2310886143162758</v>
      </c>
      <c r="BX189" s="460">
        <f t="shared" si="491"/>
        <v>271345.78512631141</v>
      </c>
      <c r="BY189" s="173">
        <f t="shared" si="492"/>
        <v>287.80574445344337</v>
      </c>
      <c r="BZ189" s="5">
        <f t="shared" si="493"/>
        <v>85.32</v>
      </c>
      <c r="CA189" s="173">
        <f t="shared" si="494"/>
        <v>0.22866286035818084</v>
      </c>
      <c r="CB189" s="5">
        <f t="shared" si="495"/>
        <v>22.866286035818085</v>
      </c>
      <c r="CC189">
        <f t="shared" si="496"/>
        <v>79</v>
      </c>
      <c r="CE189" s="562">
        <f t="shared" si="534"/>
        <v>-50</v>
      </c>
      <c r="CF189">
        <f t="shared" si="535"/>
        <v>-50</v>
      </c>
      <c r="CG189" s="173">
        <f t="shared" si="536"/>
        <v>0.49996674565333021</v>
      </c>
      <c r="CH189" s="173">
        <f t="shared" si="537"/>
        <v>0.12441737294010324</v>
      </c>
      <c r="CI189" s="170">
        <v>79</v>
      </c>
      <c r="CJ189" s="217">
        <f t="shared" si="602"/>
        <v>0.47399999999999998</v>
      </c>
      <c r="CK189" s="217">
        <f t="shared" si="538"/>
        <v>0.39500000000000002</v>
      </c>
      <c r="CL189" s="217">
        <f t="shared" si="539"/>
        <v>80.58</v>
      </c>
      <c r="CM189" s="217">
        <f t="shared" si="540"/>
        <v>4.74</v>
      </c>
      <c r="CN189" s="541">
        <f t="shared" si="541"/>
        <v>9</v>
      </c>
      <c r="CO189" s="443">
        <f t="shared" si="542"/>
        <v>8.5350000000000001</v>
      </c>
      <c r="CP189" s="443">
        <f t="shared" si="543"/>
        <v>17.535</v>
      </c>
      <c r="CQ189" s="443"/>
      <c r="CR189" s="217">
        <f t="shared" si="544"/>
        <v>0.48644793152639093</v>
      </c>
      <c r="CS189" s="172">
        <f t="shared" si="545"/>
        <v>137.82691393247745</v>
      </c>
      <c r="CT189" s="172">
        <f t="shared" si="546"/>
        <v>8.1074655254398493</v>
      </c>
      <c r="CU189" s="217">
        <f t="shared" si="547"/>
        <v>0.81074655254398498</v>
      </c>
      <c r="CV189" s="217">
        <f t="shared" si="548"/>
        <v>11.485576161039788</v>
      </c>
      <c r="CW189" s="217">
        <f t="shared" si="549"/>
        <v>170</v>
      </c>
      <c r="CX189" s="217">
        <f t="shared" si="550"/>
        <v>38.976422287390022</v>
      </c>
      <c r="CY189" s="217">
        <f t="shared" si="551"/>
        <v>2.1653567937438902</v>
      </c>
      <c r="CZ189" s="217">
        <f t="shared" si="552"/>
        <v>2.2833287807492688</v>
      </c>
      <c r="DA189" s="197">
        <f t="shared" si="553"/>
        <v>350</v>
      </c>
      <c r="DB189" s="443">
        <f t="shared" si="554"/>
        <v>224.78549748122634</v>
      </c>
      <c r="DD189" s="217">
        <f t="shared" si="555"/>
        <v>25.032384211169504</v>
      </c>
      <c r="DE189" s="173">
        <f t="shared" si="556"/>
        <v>1.4664548454112187</v>
      </c>
      <c r="DF189" s="173">
        <f t="shared" si="557"/>
        <v>0.30335794952229944</v>
      </c>
      <c r="DG189" s="173"/>
      <c r="DH189" s="173">
        <f t="shared" si="558"/>
        <v>0.78109744190587771</v>
      </c>
      <c r="DI189" s="545">
        <f t="shared" si="559"/>
        <v>1927.6046470588235</v>
      </c>
      <c r="DJ189" s="528">
        <f t="shared" si="560"/>
        <v>8.6065366284073561E-2</v>
      </c>
      <c r="DL189" s="173">
        <f t="shared" si="561"/>
        <v>31.226362488860502</v>
      </c>
      <c r="DM189" s="173">
        <f t="shared" si="562"/>
        <v>38.976422287390022</v>
      </c>
      <c r="DN189" s="173">
        <f t="shared" si="563"/>
        <v>20.194880706708656</v>
      </c>
      <c r="DP189" s="545">
        <f t="shared" si="564"/>
        <v>474</v>
      </c>
      <c r="DQ189" s="460">
        <f t="shared" si="565"/>
        <v>224.78549748122634</v>
      </c>
      <c r="DS189">
        <f t="shared" si="566"/>
        <v>474</v>
      </c>
      <c r="DT189">
        <f t="shared" si="567"/>
        <v>224.78549748122634</v>
      </c>
      <c r="DV189" s="5">
        <f t="shared" si="568"/>
        <v>4.448685574493159</v>
      </c>
      <c r="DW189" s="5">
        <f t="shared" si="569"/>
        <v>2.1653567937438902</v>
      </c>
      <c r="DX189" s="5">
        <f t="shared" si="570"/>
        <v>2.2833287807492688</v>
      </c>
      <c r="DY189" s="173">
        <f t="shared" si="571"/>
        <v>0.48674080410607362</v>
      </c>
      <c r="EA189" s="5">
        <f t="shared" si="572"/>
        <v>0.60375242366741411</v>
      </c>
      <c r="EB189" s="5">
        <f t="shared" si="573"/>
        <v>7.1276327794069729</v>
      </c>
      <c r="EC189" s="5">
        <f t="shared" si="574"/>
        <v>32.70944589382686</v>
      </c>
      <c r="ED189" s="5"/>
      <c r="EE189" s="173">
        <f t="shared" si="575"/>
        <v>15.699659097304336</v>
      </c>
      <c r="EF189" s="173">
        <f t="shared" si="576"/>
        <v>0.76130053473118953</v>
      </c>
      <c r="EG189" s="173">
        <f t="shared" si="577"/>
        <v>0.60191756034559551</v>
      </c>
      <c r="EH189" s="173"/>
      <c r="EI189" s="528">
        <f t="shared" si="578"/>
        <v>9.8591718308628309</v>
      </c>
      <c r="EJ189" s="528">
        <f t="shared" si="579"/>
        <v>4.2248250000000001</v>
      </c>
      <c r="EK189" s="528">
        <f t="shared" si="580"/>
        <v>4.4957099496245267E-2</v>
      </c>
      <c r="EL189" s="528">
        <f t="shared" si="581"/>
        <v>1.3823239240054897E-2</v>
      </c>
      <c r="EM189">
        <f t="shared" si="582"/>
        <v>4.0499999999999998E-3</v>
      </c>
      <c r="EN189" s="460">
        <f t="shared" si="583"/>
        <v>49.007099496245267</v>
      </c>
      <c r="EP189" s="460">
        <f t="shared" si="603"/>
        <v>14146.827169599132</v>
      </c>
      <c r="EQ189" s="173">
        <f t="shared" si="584"/>
        <v>0.33179999999999998</v>
      </c>
      <c r="ER189" s="173">
        <f t="shared" si="585"/>
        <v>0.34285999999999994</v>
      </c>
      <c r="ES189" s="528"/>
      <c r="EU189" s="460">
        <f t="shared" si="497"/>
        <v>674.66</v>
      </c>
      <c r="EV189" s="528">
        <f t="shared" si="586"/>
        <v>7.3943788731471232</v>
      </c>
      <c r="EW189" s="528">
        <f t="shared" si="587"/>
        <v>1.7387355125459851E-2</v>
      </c>
      <c r="EX189" s="528">
        <f t="shared" si="588"/>
        <v>1.811523747261968E-3</v>
      </c>
      <c r="EY189" s="528">
        <f t="shared" si="589"/>
        <v>359.24907218562657</v>
      </c>
      <c r="EZ189" s="528"/>
      <c r="FA189" s="625">
        <f t="shared" si="590"/>
        <v>8.5371368064039501</v>
      </c>
      <c r="FB189" s="460">
        <f t="shared" si="498"/>
        <v>375199.78674405033</v>
      </c>
      <c r="FC189" s="173">
        <f t="shared" si="591"/>
        <v>390.02127391364951</v>
      </c>
      <c r="FD189" s="5">
        <f t="shared" si="592"/>
        <v>85.32</v>
      </c>
      <c r="FE189" s="173">
        <f t="shared" si="593"/>
        <v>0.17949209269696034</v>
      </c>
      <c r="FF189" s="5">
        <f t="shared" si="594"/>
        <v>17.949209269696034</v>
      </c>
      <c r="FG189">
        <f t="shared" si="595"/>
        <v>79</v>
      </c>
      <c r="FI189" s="562">
        <f t="shared" si="596"/>
        <v>-50</v>
      </c>
      <c r="FJ189">
        <f t="shared" si="597"/>
        <v>-50</v>
      </c>
    </row>
    <row r="190" spans="5:166">
      <c r="E190" s="170">
        <v>80</v>
      </c>
      <c r="F190" s="217">
        <f t="shared" si="598"/>
        <v>0.48</v>
      </c>
      <c r="G190" s="217">
        <f t="shared" si="499"/>
        <v>0.4</v>
      </c>
      <c r="H190" s="217">
        <f t="shared" si="500"/>
        <v>81.599999999999994</v>
      </c>
      <c r="I190" s="217">
        <f t="shared" si="501"/>
        <v>4.8000000000000007</v>
      </c>
      <c r="J190" s="541">
        <f t="shared" si="502"/>
        <v>7.3210398679303585</v>
      </c>
      <c r="K190" s="443">
        <f t="shared" si="503"/>
        <v>8.5458031093763402</v>
      </c>
      <c r="L190" s="172">
        <f t="shared" si="504"/>
        <v>15.8668429773067</v>
      </c>
      <c r="M190" s="443"/>
      <c r="N190" s="217">
        <f t="shared" si="505"/>
        <v>0.5385950514288721</v>
      </c>
      <c r="O190" s="172">
        <f t="shared" si="506"/>
        <v>124.13386916865402</v>
      </c>
      <c r="P190" s="172">
        <f t="shared" si="507"/>
        <v>7.3019923040384711</v>
      </c>
      <c r="Q190" s="217">
        <f t="shared" si="508"/>
        <v>0.73019923040384715</v>
      </c>
      <c r="R190" s="217">
        <f t="shared" si="509"/>
        <v>10.344489097387834</v>
      </c>
      <c r="S190" s="217">
        <f t="shared" si="510"/>
        <v>170</v>
      </c>
      <c r="T190" s="217">
        <f t="shared" si="511"/>
        <v>43.823656157925477</v>
      </c>
      <c r="U190" s="217">
        <f t="shared" si="512"/>
        <v>2.9929939563567989</v>
      </c>
      <c r="V190" s="217">
        <f t="shared" si="513"/>
        <v>2.564045508481394</v>
      </c>
      <c r="W190" s="197">
        <f t="shared" si="514"/>
        <v>350</v>
      </c>
      <c r="X190" s="443">
        <f t="shared" si="599"/>
        <v>173.70038995001158</v>
      </c>
      <c r="Z190" s="217">
        <f t="shared" si="515"/>
        <v>22.531861966747289</v>
      </c>
      <c r="AA190" s="173">
        <f t="shared" si="516"/>
        <v>1.3182998530603656</v>
      </c>
      <c r="AB190" s="173">
        <f t="shared" si="517"/>
        <v>0.24546849222727696</v>
      </c>
      <c r="AC190" s="173"/>
      <c r="AD190" s="173">
        <f t="shared" si="518"/>
        <v>0.78011002375564797</v>
      </c>
      <c r="AE190" s="545">
        <f t="shared" si="519"/>
        <v>1954.4754405444241</v>
      </c>
      <c r="AF190" s="528">
        <f t="shared" si="520"/>
        <v>8.5956567432335262E-2</v>
      </c>
      <c r="AH190" s="173">
        <f t="shared" si="521"/>
        <v>31.423376193982904</v>
      </c>
      <c r="AI190" s="173">
        <f t="shared" si="522"/>
        <v>43.823656157925477</v>
      </c>
      <c r="AJ190" s="173">
        <f t="shared" si="523"/>
        <v>23.785424314512696</v>
      </c>
      <c r="AL190" s="545">
        <f t="shared" si="524"/>
        <v>480</v>
      </c>
      <c r="AM190" s="460">
        <f t="shared" si="525"/>
        <v>173.70038995001158</v>
      </c>
      <c r="AO190">
        <f t="shared" si="526"/>
        <v>480</v>
      </c>
      <c r="AP190">
        <f t="shared" si="527"/>
        <v>173.70038995001158</v>
      </c>
      <c r="AR190" s="5">
        <f t="shared" si="443"/>
        <v>5.7570394648381926</v>
      </c>
      <c r="AS190" s="5">
        <f t="shared" si="604"/>
        <v>2.9929939563567989</v>
      </c>
      <c r="AT190" s="5">
        <f t="shared" si="605"/>
        <v>2.7640455084813937</v>
      </c>
      <c r="AU190" s="173">
        <f t="shared" si="606"/>
        <v>0.51988421733720391</v>
      </c>
      <c r="AW190" s="5">
        <f t="shared" si="477"/>
        <v>0.8450806465007431</v>
      </c>
      <c r="AX190" s="5">
        <f t="shared" si="478"/>
        <v>9.9766465211893305</v>
      </c>
      <c r="AY190" s="5">
        <f t="shared" si="479"/>
        <v>49.292694493869618</v>
      </c>
      <c r="AZ190" s="5"/>
      <c r="BA190" s="173">
        <f t="shared" si="480"/>
        <v>18.24321165269027</v>
      </c>
      <c r="BB190" s="173">
        <f t="shared" si="481"/>
        <v>0.82788000188605604</v>
      </c>
      <c r="BC190" s="173">
        <f t="shared" si="482"/>
        <v>0.65455820436289847</v>
      </c>
      <c r="BD190" s="173"/>
      <c r="BE190" s="528">
        <f t="shared" si="483"/>
        <v>13.312590856194163</v>
      </c>
      <c r="BF190" s="528">
        <f t="shared" si="528"/>
        <v>2.7175806578909047</v>
      </c>
      <c r="BG190" s="528">
        <f t="shared" si="529"/>
        <v>5.0866699195963379E-2</v>
      </c>
      <c r="BH190" s="528">
        <f t="shared" si="484"/>
        <v>8.7460476032565383E-3</v>
      </c>
      <c r="BI190">
        <f t="shared" si="485"/>
        <v>3.2944679405686613E-3</v>
      </c>
      <c r="BJ190" s="460">
        <f t="shared" si="600"/>
        <v>54.161167136532036</v>
      </c>
      <c r="BK190">
        <f t="shared" si="530"/>
        <v>-9.0765914576927429</v>
      </c>
      <c r="BL190" s="460">
        <f t="shared" si="601"/>
        <v>16093.078728824859</v>
      </c>
      <c r="BM190" s="173">
        <f t="shared" si="531"/>
        <v>0.41663999999999995</v>
      </c>
      <c r="BN190" s="173">
        <f t="shared" si="532"/>
        <v>0.34719999999999995</v>
      </c>
      <c r="BO190" s="528"/>
      <c r="BQ190" s="460">
        <f t="shared" si="486"/>
        <v>763.8399999999998</v>
      </c>
      <c r="BR190" s="528">
        <f t="shared" si="487"/>
        <v>9.9844431421456221</v>
      </c>
      <c r="BS190" s="528">
        <f t="shared" si="488"/>
        <v>2.0561558925685685E-2</v>
      </c>
      <c r="BT190" s="528">
        <f t="shared" si="489"/>
        <v>2.14223221449391E-3</v>
      </c>
      <c r="BU190" s="528">
        <f t="shared" si="490"/>
        <v>252.78046386797985</v>
      </c>
      <c r="BV190" s="528"/>
      <c r="BW190" s="625">
        <f t="shared" si="533"/>
        <v>8.3398457261663825</v>
      </c>
      <c r="BX190" s="460">
        <f t="shared" si="491"/>
        <v>271127.45652743208</v>
      </c>
      <c r="BY190" s="173">
        <f t="shared" si="492"/>
        <v>287.9843752562569</v>
      </c>
      <c r="BZ190" s="5">
        <f t="shared" si="493"/>
        <v>86.399999999999991</v>
      </c>
      <c r="CA190" s="173">
        <f t="shared" si="494"/>
        <v>0.23077886180709684</v>
      </c>
      <c r="CB190" s="5">
        <f t="shared" si="495"/>
        <v>23.077886180709683</v>
      </c>
      <c r="CC190">
        <f t="shared" si="496"/>
        <v>80</v>
      </c>
      <c r="CE190" s="562">
        <f t="shared" si="534"/>
        <v>-50</v>
      </c>
      <c r="CF190">
        <f t="shared" si="535"/>
        <v>-50</v>
      </c>
      <c r="CG190" s="173">
        <f t="shared" si="536"/>
        <v>0.49996674565333021</v>
      </c>
      <c r="CH190" s="173">
        <f t="shared" si="537"/>
        <v>0.12441737294010326</v>
      </c>
      <c r="CI190" s="170">
        <v>80</v>
      </c>
      <c r="CJ190" s="217">
        <f t="shared" si="602"/>
        <v>0.48</v>
      </c>
      <c r="CK190" s="217">
        <f t="shared" si="538"/>
        <v>0.4</v>
      </c>
      <c r="CL190" s="217">
        <f t="shared" si="539"/>
        <v>81.599999999999994</v>
      </c>
      <c r="CM190" s="217">
        <f t="shared" si="540"/>
        <v>4.8000000000000007</v>
      </c>
      <c r="CN190" s="541">
        <f t="shared" si="541"/>
        <v>9</v>
      </c>
      <c r="CO190" s="443">
        <f t="shared" si="542"/>
        <v>8.5350000000000001</v>
      </c>
      <c r="CP190" s="443">
        <f t="shared" si="543"/>
        <v>17.535</v>
      </c>
      <c r="CQ190" s="443"/>
      <c r="CR190" s="217">
        <f t="shared" si="544"/>
        <v>0.48644793152639093</v>
      </c>
      <c r="CS190" s="172">
        <f t="shared" si="545"/>
        <v>137.82691393247745</v>
      </c>
      <c r="CT190" s="172">
        <f t="shared" si="546"/>
        <v>8.1074655254398493</v>
      </c>
      <c r="CU190" s="217">
        <f t="shared" si="547"/>
        <v>0.81074655254398498</v>
      </c>
      <c r="CV190" s="217">
        <f t="shared" si="548"/>
        <v>11.485576161039788</v>
      </c>
      <c r="CW190" s="217">
        <f t="shared" si="549"/>
        <v>170</v>
      </c>
      <c r="CX190" s="217">
        <f t="shared" si="550"/>
        <v>39.469794721407617</v>
      </c>
      <c r="CY190" s="217">
        <f t="shared" si="551"/>
        <v>2.1927663734115344</v>
      </c>
      <c r="CZ190" s="217">
        <f t="shared" si="552"/>
        <v>2.3122316767081208</v>
      </c>
      <c r="DA190" s="197">
        <f t="shared" si="553"/>
        <v>350</v>
      </c>
      <c r="DB190" s="443">
        <f t="shared" si="554"/>
        <v>221.97567876271103</v>
      </c>
      <c r="DD190" s="217">
        <f t="shared" si="555"/>
        <v>25.032384211169504</v>
      </c>
      <c r="DE190" s="173">
        <f t="shared" si="556"/>
        <v>1.4664548454112187</v>
      </c>
      <c r="DF190" s="173">
        <f t="shared" si="557"/>
        <v>0.30335794952229944</v>
      </c>
      <c r="DG190" s="173"/>
      <c r="DH190" s="173">
        <f t="shared" si="558"/>
        <v>0.78109744190587771</v>
      </c>
      <c r="DI190" s="545">
        <f t="shared" si="559"/>
        <v>1952.0047058823527</v>
      </c>
      <c r="DJ190" s="528">
        <f t="shared" si="560"/>
        <v>8.6065366284073561E-2</v>
      </c>
      <c r="DL190" s="173">
        <f t="shared" si="561"/>
        <v>31.423376193982904</v>
      </c>
      <c r="DM190" s="173">
        <f t="shared" si="562"/>
        <v>39.469794721407617</v>
      </c>
      <c r="DN190" s="173">
        <f t="shared" si="563"/>
        <v>20.560341768943911</v>
      </c>
      <c r="DP190" s="545">
        <f t="shared" si="564"/>
        <v>480</v>
      </c>
      <c r="DQ190" s="460">
        <f t="shared" si="565"/>
        <v>221.97567876271103</v>
      </c>
      <c r="DS190">
        <f t="shared" si="566"/>
        <v>480</v>
      </c>
      <c r="DT190">
        <f t="shared" si="567"/>
        <v>221.97567876271103</v>
      </c>
      <c r="DV190" s="5">
        <f t="shared" si="568"/>
        <v>4.5049980501196547</v>
      </c>
      <c r="DW190" s="5">
        <f t="shared" si="569"/>
        <v>2.1927663734115344</v>
      </c>
      <c r="DX190" s="5">
        <f t="shared" si="570"/>
        <v>2.3122316767081204</v>
      </c>
      <c r="DY190" s="173">
        <f t="shared" si="571"/>
        <v>0.48674080410607357</v>
      </c>
      <c r="EA190" s="5">
        <f t="shared" si="572"/>
        <v>0.61913403484560969</v>
      </c>
      <c r="EB190" s="5">
        <f t="shared" si="573"/>
        <v>7.3092212447051139</v>
      </c>
      <c r="EC190" s="5">
        <f t="shared" si="574"/>
        <v>33.542774190112468</v>
      </c>
      <c r="ED190" s="5"/>
      <c r="EE190" s="173">
        <f t="shared" si="575"/>
        <v>15.898388959295529</v>
      </c>
      <c r="EF190" s="173">
        <f t="shared" si="576"/>
        <v>0.77093725036069838</v>
      </c>
      <c r="EG190" s="173">
        <f t="shared" si="577"/>
        <v>0.60953676997022332</v>
      </c>
      <c r="EH190" s="173"/>
      <c r="EI190" s="528">
        <f t="shared" si="578"/>
        <v>10.110350860041999</v>
      </c>
      <c r="EJ190" s="528">
        <f t="shared" si="579"/>
        <v>4.2248250000000001</v>
      </c>
      <c r="EK190" s="528">
        <f t="shared" si="580"/>
        <v>4.4395135752542197E-2</v>
      </c>
      <c r="EL190" s="528">
        <f t="shared" si="581"/>
        <v>1.3650448749554211E-2</v>
      </c>
      <c r="EM190">
        <f t="shared" si="582"/>
        <v>4.0499999999999998E-3</v>
      </c>
      <c r="EN190" s="460">
        <f t="shared" si="583"/>
        <v>48.445135752542193</v>
      </c>
      <c r="EP190" s="460">
        <f t="shared" si="603"/>
        <v>14397.271444544096</v>
      </c>
      <c r="EQ190" s="173">
        <f t="shared" si="584"/>
        <v>0.33599999999999997</v>
      </c>
      <c r="ER190" s="173">
        <f t="shared" si="585"/>
        <v>0.34719999999999995</v>
      </c>
      <c r="ES190" s="528"/>
      <c r="EU190" s="460">
        <f t="shared" si="497"/>
        <v>683.19999999999993</v>
      </c>
      <c r="EV190" s="528">
        <f t="shared" si="586"/>
        <v>7.5827631450314987</v>
      </c>
      <c r="EW190" s="528">
        <f t="shared" si="587"/>
        <v>1.7830327319811424E-2</v>
      </c>
      <c r="EX190" s="528">
        <f t="shared" si="588"/>
        <v>1.8576753697286646E-3</v>
      </c>
      <c r="EY190" s="528">
        <f t="shared" si="589"/>
        <v>359.24907218562657</v>
      </c>
      <c r="EZ190" s="528"/>
      <c r="FA190" s="625">
        <f t="shared" si="590"/>
        <v>8.6452018292698209</v>
      </c>
      <c r="FB190" s="460">
        <f t="shared" si="498"/>
        <v>375496.7251626174</v>
      </c>
      <c r="FC190" s="173">
        <f t="shared" si="591"/>
        <v>390.57719660716151</v>
      </c>
      <c r="FD190" s="5">
        <f t="shared" si="592"/>
        <v>86.399999999999991</v>
      </c>
      <c r="FE190" s="173">
        <f t="shared" si="593"/>
        <v>0.18114073505941428</v>
      </c>
      <c r="FF190" s="5">
        <f t="shared" si="594"/>
        <v>18.114073505941427</v>
      </c>
      <c r="FG190">
        <f t="shared" si="595"/>
        <v>80</v>
      </c>
      <c r="FI190" s="562">
        <f t="shared" si="596"/>
        <v>-50</v>
      </c>
      <c r="FJ190">
        <f t="shared" si="597"/>
        <v>-50</v>
      </c>
    </row>
    <row r="191" spans="5:166">
      <c r="E191" s="170">
        <v>81</v>
      </c>
      <c r="F191" s="217">
        <f t="shared" si="598"/>
        <v>0.48599999999999999</v>
      </c>
      <c r="G191" s="217">
        <f t="shared" si="499"/>
        <v>0.40500000000000003</v>
      </c>
      <c r="H191" s="217">
        <f t="shared" si="500"/>
        <v>82.62</v>
      </c>
      <c r="I191" s="217">
        <f t="shared" si="501"/>
        <v>4.8600000000000003</v>
      </c>
      <c r="J191" s="541">
        <f t="shared" si="502"/>
        <v>7.3000528662794881</v>
      </c>
      <c r="K191" s="443">
        <f t="shared" si="503"/>
        <v>8.545938148243545</v>
      </c>
      <c r="L191" s="172">
        <f t="shared" si="504"/>
        <v>15.845991014523033</v>
      </c>
      <c r="M191" s="443"/>
      <c r="N191" s="217">
        <f t="shared" si="505"/>
        <v>0.53931231820156245</v>
      </c>
      <c r="O191" s="172">
        <f t="shared" si="506"/>
        <v>123.94285811707698</v>
      </c>
      <c r="P191" s="172">
        <f t="shared" si="507"/>
        <v>7.290756359828058</v>
      </c>
      <c r="Q191" s="217">
        <f t="shared" si="508"/>
        <v>0.72907563598280578</v>
      </c>
      <c r="R191" s="217">
        <f t="shared" si="509"/>
        <v>10.328571509756415</v>
      </c>
      <c r="S191" s="217">
        <f t="shared" si="510"/>
        <v>170</v>
      </c>
      <c r="T191" s="217">
        <f t="shared" si="511"/>
        <v>44.439833675588787</v>
      </c>
      <c r="U191" s="217">
        <f t="shared" si="512"/>
        <v>3.04380218127364</v>
      </c>
      <c r="V191" s="217">
        <f t="shared" si="513"/>
        <v>2.6000558923260253</v>
      </c>
      <c r="W191" s="197">
        <f t="shared" si="514"/>
        <v>350</v>
      </c>
      <c r="X191" s="443">
        <f t="shared" si="599"/>
        <v>171.11982998314431</v>
      </c>
      <c r="Z191" s="217">
        <f t="shared" si="515"/>
        <v>22.49719105318372</v>
      </c>
      <c r="AA191" s="173">
        <f t="shared" si="516"/>
        <v>1.3162505194241072</v>
      </c>
      <c r="AB191" s="173">
        <f t="shared" si="517"/>
        <v>0.24470977706326649</v>
      </c>
      <c r="AC191" s="173"/>
      <c r="AD191" s="173">
        <f t="shared" si="518"/>
        <v>0.78009769682651786</v>
      </c>
      <c r="AE191" s="545">
        <f t="shared" si="519"/>
        <v>1978.9376537867963</v>
      </c>
      <c r="AF191" s="528">
        <f t="shared" si="520"/>
        <v>8.5955209187366322E-2</v>
      </c>
      <c r="AH191" s="173">
        <f t="shared" si="521"/>
        <v>31.619162363532478</v>
      </c>
      <c r="AI191" s="173">
        <f t="shared" si="522"/>
        <v>44.439833675588787</v>
      </c>
      <c r="AJ191" s="173">
        <f t="shared" si="523"/>
        <v>24.241852105374406</v>
      </c>
      <c r="AL191" s="545">
        <f t="shared" si="524"/>
        <v>486</v>
      </c>
      <c r="AM191" s="460">
        <f t="shared" si="525"/>
        <v>171.11982998314431</v>
      </c>
      <c r="AO191">
        <f t="shared" si="526"/>
        <v>486</v>
      </c>
      <c r="AP191">
        <f t="shared" si="527"/>
        <v>171.11982998314431</v>
      </c>
      <c r="AR191" s="5">
        <f t="shared" si="443"/>
        <v>5.8438580735996659</v>
      </c>
      <c r="AS191" s="5">
        <f t="shared" si="604"/>
        <v>3.04380218127364</v>
      </c>
      <c r="AT191" s="5">
        <f t="shared" si="605"/>
        <v>2.8000558923260259</v>
      </c>
      <c r="AU191" s="173">
        <f t="shared" si="606"/>
        <v>0.52085491176186904</v>
      </c>
      <c r="AW191" s="5">
        <f t="shared" si="477"/>
        <v>0.87016932946999348</v>
      </c>
      <c r="AX191" s="5">
        <f t="shared" si="478"/>
        <v>10.272832361798537</v>
      </c>
      <c r="AY191" s="5">
        <f t="shared" si="479"/>
        <v>50.704425748495773</v>
      </c>
      <c r="AZ191" s="5"/>
      <c r="BA191" s="173">
        <f t="shared" si="480"/>
        <v>18.516980937565837</v>
      </c>
      <c r="BB191" s="173">
        <f t="shared" si="481"/>
        <v>0.83867121692821422</v>
      </c>
      <c r="BC191" s="173">
        <f t="shared" si="482"/>
        <v>0.66309021180938477</v>
      </c>
      <c r="BD191" s="173"/>
      <c r="BE191" s="528">
        <f t="shared" si="483"/>
        <v>13.715143321687062</v>
      </c>
      <c r="BF191" s="528">
        <f t="shared" si="528"/>
        <v>2.7112819845095153</v>
      </c>
      <c r="BG191" s="528">
        <f t="shared" si="529"/>
        <v>4.9967352213828455E-2</v>
      </c>
      <c r="BH191" s="528">
        <f t="shared" si="484"/>
        <v>8.5934815004046258E-3</v>
      </c>
      <c r="BI191">
        <f t="shared" si="485"/>
        <v>3.2850237898257697E-3</v>
      </c>
      <c r="BJ191" s="460">
        <f t="shared" si="600"/>
        <v>53.252376003654227</v>
      </c>
      <c r="BK191">
        <f t="shared" si="530"/>
        <v>-8.9157243223559171</v>
      </c>
      <c r="BL191" s="460">
        <f t="shared" si="601"/>
        <v>16488.27116370064</v>
      </c>
      <c r="BM191" s="173">
        <f t="shared" si="531"/>
        <v>0.42184799999999995</v>
      </c>
      <c r="BN191" s="173">
        <f t="shared" si="532"/>
        <v>0.35153999999999996</v>
      </c>
      <c r="BO191" s="528"/>
      <c r="BQ191" s="460">
        <f t="shared" si="486"/>
        <v>773.38799999999992</v>
      </c>
      <c r="BR191" s="528">
        <f t="shared" si="487"/>
        <v>10.286357491265296</v>
      </c>
      <c r="BS191" s="528">
        <f t="shared" si="488"/>
        <v>2.1101082303115554E-2</v>
      </c>
      <c r="BT191" s="528">
        <f t="shared" si="489"/>
        <v>2.1984431449870736E-3</v>
      </c>
      <c r="BU191" s="528">
        <f t="shared" si="490"/>
        <v>252.14590341197243</v>
      </c>
      <c r="BV191" s="528"/>
      <c r="BW191" s="625">
        <f t="shared" si="533"/>
        <v>8.4486087454614935</v>
      </c>
      <c r="BX191" s="460">
        <f t="shared" si="491"/>
        <v>270904.16917414736</v>
      </c>
      <c r="BY191" s="173">
        <f t="shared" si="492"/>
        <v>288.16582833784798</v>
      </c>
      <c r="BZ191" s="5">
        <f t="shared" si="493"/>
        <v>87.48</v>
      </c>
      <c r="CA191" s="173">
        <f t="shared" si="494"/>
        <v>0.23287893382732397</v>
      </c>
      <c r="CB191" s="5">
        <f t="shared" si="495"/>
        <v>23.287893382732396</v>
      </c>
      <c r="CC191">
        <f t="shared" si="496"/>
        <v>81</v>
      </c>
      <c r="CE191" s="562">
        <f t="shared" si="534"/>
        <v>-50</v>
      </c>
      <c r="CF191">
        <f t="shared" si="535"/>
        <v>-50</v>
      </c>
      <c r="CG191" s="173">
        <f t="shared" si="536"/>
        <v>0.49996674565333032</v>
      </c>
      <c r="CH191" s="173">
        <f t="shared" si="537"/>
        <v>0.12441737294010324</v>
      </c>
      <c r="CI191" s="170">
        <v>81</v>
      </c>
      <c r="CJ191" s="217">
        <f t="shared" si="602"/>
        <v>0.48599999999999999</v>
      </c>
      <c r="CK191" s="217">
        <f t="shared" si="538"/>
        <v>0.40500000000000003</v>
      </c>
      <c r="CL191" s="217">
        <f t="shared" si="539"/>
        <v>82.62</v>
      </c>
      <c r="CM191" s="217">
        <f t="shared" si="540"/>
        <v>4.8600000000000003</v>
      </c>
      <c r="CN191" s="541">
        <f t="shared" si="541"/>
        <v>9</v>
      </c>
      <c r="CO191" s="443">
        <f t="shared" si="542"/>
        <v>8.5350000000000001</v>
      </c>
      <c r="CP191" s="443">
        <f t="shared" si="543"/>
        <v>17.535</v>
      </c>
      <c r="CQ191" s="443"/>
      <c r="CR191" s="217">
        <f t="shared" si="544"/>
        <v>0.48644793152639093</v>
      </c>
      <c r="CS191" s="172">
        <f t="shared" si="545"/>
        <v>137.82691393247745</v>
      </c>
      <c r="CT191" s="172">
        <f t="shared" si="546"/>
        <v>8.1074655254398493</v>
      </c>
      <c r="CU191" s="217">
        <f t="shared" si="547"/>
        <v>0.81074655254398498</v>
      </c>
      <c r="CV191" s="217">
        <f t="shared" si="548"/>
        <v>11.485576161039788</v>
      </c>
      <c r="CW191" s="217">
        <f t="shared" si="549"/>
        <v>170</v>
      </c>
      <c r="CX191" s="217">
        <f t="shared" si="550"/>
        <v>39.963167155425218</v>
      </c>
      <c r="CY191" s="217">
        <f t="shared" si="551"/>
        <v>2.2201759530791785</v>
      </c>
      <c r="CZ191" s="217">
        <f t="shared" si="552"/>
        <v>2.3411345726669719</v>
      </c>
      <c r="DA191" s="197">
        <f t="shared" si="553"/>
        <v>350</v>
      </c>
      <c r="DB191" s="443">
        <f t="shared" si="554"/>
        <v>219.23523828415904</v>
      </c>
      <c r="DD191" s="217">
        <f t="shared" si="555"/>
        <v>25.032384211169504</v>
      </c>
      <c r="DE191" s="173">
        <f t="shared" si="556"/>
        <v>1.4664548454112187</v>
      </c>
      <c r="DF191" s="173">
        <f t="shared" si="557"/>
        <v>0.30335794952229944</v>
      </c>
      <c r="DG191" s="173"/>
      <c r="DH191" s="173">
        <f t="shared" si="558"/>
        <v>0.78109744190587771</v>
      </c>
      <c r="DI191" s="545">
        <f t="shared" si="559"/>
        <v>1976.4047647058824</v>
      </c>
      <c r="DJ191" s="528">
        <f t="shared" si="560"/>
        <v>8.6065366284073561E-2</v>
      </c>
      <c r="DL191" s="173">
        <f t="shared" si="561"/>
        <v>31.619162363532478</v>
      </c>
      <c r="DM191" s="173">
        <f t="shared" si="562"/>
        <v>39.963167155425218</v>
      </c>
      <c r="DN191" s="173">
        <f t="shared" si="563"/>
        <v>20.925802831179173</v>
      </c>
      <c r="DP191" s="545">
        <f t="shared" si="564"/>
        <v>486</v>
      </c>
      <c r="DQ191" s="460">
        <f t="shared" si="565"/>
        <v>219.23523828415904</v>
      </c>
      <c r="DS191">
        <f t="shared" si="566"/>
        <v>486</v>
      </c>
      <c r="DT191">
        <f t="shared" si="567"/>
        <v>219.23523828415904</v>
      </c>
      <c r="DV191" s="5">
        <f t="shared" si="568"/>
        <v>4.5613105257461504</v>
      </c>
      <c r="DW191" s="5">
        <f t="shared" si="569"/>
        <v>2.2201759530791785</v>
      </c>
      <c r="DX191" s="5">
        <f t="shared" si="570"/>
        <v>2.3411345726669719</v>
      </c>
      <c r="DY191" s="173">
        <f t="shared" si="571"/>
        <v>0.48674080410607357</v>
      </c>
      <c r="EA191" s="5">
        <f t="shared" si="572"/>
        <v>0.63470912540969449</v>
      </c>
      <c r="EB191" s="5">
        <f t="shared" si="573"/>
        <v>7.4930938416422279</v>
      </c>
      <c r="EC191" s="5">
        <f t="shared" si="574"/>
        <v>34.38658460333248</v>
      </c>
      <c r="ED191" s="5"/>
      <c r="EE191" s="173">
        <f t="shared" si="575"/>
        <v>16.097118821286728</v>
      </c>
      <c r="EF191" s="173">
        <f t="shared" si="576"/>
        <v>0.78057396599020723</v>
      </c>
      <c r="EG191" s="173">
        <f t="shared" si="577"/>
        <v>0.61715597959485113</v>
      </c>
      <c r="EH191" s="173"/>
      <c r="EI191" s="528">
        <f t="shared" si="578"/>
        <v>10.364689373864936</v>
      </c>
      <c r="EJ191" s="528">
        <f t="shared" si="579"/>
        <v>4.2248250000000009</v>
      </c>
      <c r="EK191" s="528">
        <f t="shared" si="580"/>
        <v>4.3847047656831804E-2</v>
      </c>
      <c r="EL191" s="528">
        <f t="shared" si="581"/>
        <v>1.3481924690917739E-2</v>
      </c>
      <c r="EM191">
        <f t="shared" si="582"/>
        <v>4.0499999999999998E-3</v>
      </c>
      <c r="EN191" s="460">
        <f t="shared" si="583"/>
        <v>47.897047656831802</v>
      </c>
      <c r="EP191" s="460">
        <f t="shared" si="603"/>
        <v>14650.893346212686</v>
      </c>
      <c r="EQ191" s="173">
        <f t="shared" si="584"/>
        <v>0.34019999999999995</v>
      </c>
      <c r="ER191" s="173">
        <f t="shared" si="585"/>
        <v>0.35153999999999996</v>
      </c>
      <c r="ES191" s="528"/>
      <c r="EU191" s="460">
        <f t="shared" si="497"/>
        <v>691.7399999999999</v>
      </c>
      <c r="EV191" s="528">
        <f t="shared" si="586"/>
        <v>7.7735170303987013</v>
      </c>
      <c r="EW191" s="528">
        <f t="shared" si="587"/>
        <v>1.8278871491450435E-2</v>
      </c>
      <c r="EX191" s="528">
        <f t="shared" si="588"/>
        <v>1.9044075157484018E-3</v>
      </c>
      <c r="EY191" s="528">
        <f t="shared" si="589"/>
        <v>359.24907218562652</v>
      </c>
      <c r="EZ191" s="528"/>
      <c r="FA191" s="625">
        <f t="shared" si="590"/>
        <v>8.7532668521356953</v>
      </c>
      <c r="FB191" s="460">
        <f t="shared" si="498"/>
        <v>375796.03934716812</v>
      </c>
      <c r="FC191" s="173">
        <f t="shared" si="591"/>
        <v>391.13867269338078</v>
      </c>
      <c r="FD191" s="5">
        <f t="shared" si="592"/>
        <v>87.48</v>
      </c>
      <c r="FE191" s="173">
        <f t="shared" si="593"/>
        <v>0.18277598637703513</v>
      </c>
      <c r="FF191" s="5">
        <f t="shared" si="594"/>
        <v>18.277598637703512</v>
      </c>
      <c r="FG191">
        <f t="shared" si="595"/>
        <v>81</v>
      </c>
      <c r="FI191" s="562">
        <f t="shared" si="596"/>
        <v>-50</v>
      </c>
      <c r="FJ191">
        <f t="shared" si="597"/>
        <v>-50</v>
      </c>
    </row>
    <row r="192" spans="5:166">
      <c r="E192" s="170">
        <v>82</v>
      </c>
      <c r="F192" s="217">
        <f t="shared" si="598"/>
        <v>0.49199999999999994</v>
      </c>
      <c r="G192" s="217">
        <f t="shared" si="499"/>
        <v>0.41</v>
      </c>
      <c r="H192" s="217">
        <f t="shared" si="500"/>
        <v>83.639999999999986</v>
      </c>
      <c r="I192" s="217">
        <f t="shared" si="501"/>
        <v>4.92</v>
      </c>
      <c r="J192" s="541">
        <f t="shared" si="502"/>
        <v>7.2790658646286177</v>
      </c>
      <c r="K192" s="443">
        <f t="shared" si="503"/>
        <v>8.5460731871107498</v>
      </c>
      <c r="L192" s="172">
        <f t="shared" si="504"/>
        <v>15.825139051739367</v>
      </c>
      <c r="M192" s="443"/>
      <c r="N192" s="217">
        <f t="shared" si="505"/>
        <v>0.54003147518450634</v>
      </c>
      <c r="O192" s="172">
        <f t="shared" si="506"/>
        <v>123.75133241905517</v>
      </c>
      <c r="P192" s="172">
        <f t="shared" si="507"/>
        <v>7.2794901422973632</v>
      </c>
      <c r="Q192" s="217">
        <f t="shared" si="508"/>
        <v>0.72794901422973635</v>
      </c>
      <c r="R192" s="217">
        <f t="shared" si="509"/>
        <v>10.312611034921265</v>
      </c>
      <c r="S192" s="217">
        <f t="shared" si="510"/>
        <v>170</v>
      </c>
      <c r="T192" s="217">
        <f t="shared" si="511"/>
        <v>45.058100716994048</v>
      </c>
      <c r="U192" s="217">
        <f t="shared" si="512"/>
        <v>3.095046916387048</v>
      </c>
      <c r="V192" s="217">
        <f t="shared" si="513"/>
        <v>2.6361873886682248</v>
      </c>
      <c r="W192" s="197">
        <f t="shared" si="514"/>
        <v>350</v>
      </c>
      <c r="X192" s="443">
        <f t="shared" si="599"/>
        <v>168.59897090015247</v>
      </c>
      <c r="Z192" s="217">
        <f t="shared" si="515"/>
        <v>22.462426724803294</v>
      </c>
      <c r="AA192" s="173">
        <f t="shared" si="516"/>
        <v>1.3141957851871247</v>
      </c>
      <c r="AB192" s="173">
        <f t="shared" si="517"/>
        <v>0.24395021921461965</v>
      </c>
      <c r="AC192" s="173"/>
      <c r="AD192" s="173">
        <f t="shared" si="518"/>
        <v>0.78008537028695035</v>
      </c>
      <c r="AE192" s="545">
        <f t="shared" si="519"/>
        <v>2003.4006391337498</v>
      </c>
      <c r="AF192" s="528">
        <f t="shared" si="520"/>
        <v>8.5953850985321392E-2</v>
      </c>
      <c r="AH192" s="173">
        <f t="shared" si="521"/>
        <v>31.813743660787324</v>
      </c>
      <c r="AI192" s="173">
        <f t="shared" si="522"/>
        <v>45.058100716994048</v>
      </c>
      <c r="AJ192" s="173">
        <f t="shared" si="523"/>
        <v>24.699827691600529</v>
      </c>
      <c r="AL192" s="545">
        <f t="shared" si="524"/>
        <v>491.99999999999994</v>
      </c>
      <c r="AM192" s="460">
        <f t="shared" si="525"/>
        <v>168.59897090015247</v>
      </c>
      <c r="AO192">
        <f t="shared" si="526"/>
        <v>491.99999999999994</v>
      </c>
      <c r="AP192">
        <f t="shared" si="527"/>
        <v>168.59897090015247</v>
      </c>
      <c r="AR192" s="5">
        <f t="shared" si="443"/>
        <v>5.9312343050552734</v>
      </c>
      <c r="AS192" s="5">
        <f t="shared" si="604"/>
        <v>3.095046916387048</v>
      </c>
      <c r="AT192" s="5">
        <f t="shared" si="605"/>
        <v>2.8361873886682254</v>
      </c>
      <c r="AU192" s="173">
        <f t="shared" si="606"/>
        <v>0.52182172499054646</v>
      </c>
      <c r="AW192" s="5">
        <f t="shared" si="477"/>
        <v>0.89574298991907497</v>
      </c>
      <c r="AX192" s="5">
        <f t="shared" si="478"/>
        <v>10.574743630989081</v>
      </c>
      <c r="AY192" s="5">
        <f t="shared" si="479"/>
        <v>52.14267162294751</v>
      </c>
      <c r="AZ192" s="5"/>
      <c r="BA192" s="173">
        <f t="shared" si="480"/>
        <v>18.792014208956044</v>
      </c>
      <c r="BB192" s="173">
        <f t="shared" si="481"/>
        <v>0.84948085443355592</v>
      </c>
      <c r="BC192" s="173">
        <f t="shared" si="482"/>
        <v>0.67163678486247336</v>
      </c>
      <c r="BD192" s="173"/>
      <c r="BE192" s="528">
        <f t="shared" si="483"/>
        <v>14.125591921184235</v>
      </c>
      <c r="BF192" s="528">
        <f t="shared" si="528"/>
        <v>2.7049413550454773</v>
      </c>
      <c r="BG192" s="528">
        <f t="shared" si="529"/>
        <v>4.9089720555632536E-2</v>
      </c>
      <c r="BH192" s="528">
        <f t="shared" si="484"/>
        <v>8.4446175324227914E-3</v>
      </c>
      <c r="BI192">
        <f t="shared" si="485"/>
        <v>3.275579639082878E-3</v>
      </c>
      <c r="BJ192" s="460">
        <f t="shared" si="600"/>
        <v>52.365300194715417</v>
      </c>
      <c r="BK192">
        <f t="shared" si="530"/>
        <v>-8.7651861009971679</v>
      </c>
      <c r="BL192" s="460">
        <f t="shared" si="601"/>
        <v>16891.343193956851</v>
      </c>
      <c r="BM192" s="173">
        <f t="shared" si="531"/>
        <v>0.42705599999999994</v>
      </c>
      <c r="BN192" s="173">
        <f t="shared" si="532"/>
        <v>0.35587999999999997</v>
      </c>
      <c r="BO192" s="528"/>
      <c r="BQ192" s="460">
        <f t="shared" si="486"/>
        <v>782.93599999999981</v>
      </c>
      <c r="BR192" s="528">
        <f t="shared" si="487"/>
        <v>10.594193940888175</v>
      </c>
      <c r="BS192" s="528">
        <f t="shared" si="488"/>
        <v>2.1648531661474926E-2</v>
      </c>
      <c r="BT192" s="528">
        <f t="shared" si="489"/>
        <v>2.2554798539020015E-3</v>
      </c>
      <c r="BU192" s="528">
        <f t="shared" si="490"/>
        <v>251.50087859018606</v>
      </c>
      <c r="BV192" s="528"/>
      <c r="BW192" s="625">
        <f t="shared" si="533"/>
        <v>8.5573775027416499</v>
      </c>
      <c r="BX192" s="460">
        <f t="shared" si="491"/>
        <v>270676.35404533125</v>
      </c>
      <c r="BY192" s="173">
        <f t="shared" si="492"/>
        <v>288.35063323928813</v>
      </c>
      <c r="BZ192" s="5">
        <f t="shared" si="493"/>
        <v>88.559999999999988</v>
      </c>
      <c r="CA192" s="173">
        <f t="shared" si="494"/>
        <v>0.23496285907056425</v>
      </c>
      <c r="CB192" s="5">
        <f t="shared" si="495"/>
        <v>23.496285907056425</v>
      </c>
      <c r="CC192">
        <f t="shared" si="496"/>
        <v>82</v>
      </c>
      <c r="CE192" s="562">
        <f t="shared" si="534"/>
        <v>-50</v>
      </c>
      <c r="CF192">
        <f t="shared" si="535"/>
        <v>-50</v>
      </c>
      <c r="CG192" s="173">
        <f t="shared" si="536"/>
        <v>0.49996674565333021</v>
      </c>
      <c r="CH192" s="173">
        <f t="shared" si="537"/>
        <v>0.12441737294010324</v>
      </c>
      <c r="CI192" s="170">
        <v>82</v>
      </c>
      <c r="CJ192" s="217">
        <f t="shared" si="602"/>
        <v>0.49199999999999994</v>
      </c>
      <c r="CK192" s="217">
        <f t="shared" si="538"/>
        <v>0.41</v>
      </c>
      <c r="CL192" s="217">
        <f t="shared" si="539"/>
        <v>83.639999999999986</v>
      </c>
      <c r="CM192" s="217">
        <f t="shared" si="540"/>
        <v>4.92</v>
      </c>
      <c r="CN192" s="541">
        <f t="shared" si="541"/>
        <v>9</v>
      </c>
      <c r="CO192" s="443">
        <f t="shared" si="542"/>
        <v>8.5350000000000001</v>
      </c>
      <c r="CP192" s="443">
        <f t="shared" si="543"/>
        <v>17.535</v>
      </c>
      <c r="CQ192" s="443"/>
      <c r="CR192" s="217">
        <f t="shared" si="544"/>
        <v>0.48644793152639093</v>
      </c>
      <c r="CS192" s="172">
        <f t="shared" si="545"/>
        <v>137.82691393247745</v>
      </c>
      <c r="CT192" s="172">
        <f t="shared" si="546"/>
        <v>8.1074655254398493</v>
      </c>
      <c r="CU192" s="217">
        <f t="shared" si="547"/>
        <v>0.81074655254398498</v>
      </c>
      <c r="CV192" s="217">
        <f t="shared" si="548"/>
        <v>11.485576161039788</v>
      </c>
      <c r="CW192" s="217">
        <f t="shared" si="549"/>
        <v>170</v>
      </c>
      <c r="CX192" s="217">
        <f t="shared" si="550"/>
        <v>40.456539589442805</v>
      </c>
      <c r="CY192" s="217">
        <f t="shared" si="551"/>
        <v>2.2475855327468226</v>
      </c>
      <c r="CZ192" s="217">
        <f t="shared" si="552"/>
        <v>2.3700374686258234</v>
      </c>
      <c r="DA192" s="197">
        <f t="shared" si="553"/>
        <v>350</v>
      </c>
      <c r="DB192" s="443">
        <f t="shared" si="554"/>
        <v>216.56163781727906</v>
      </c>
      <c r="DD192" s="217">
        <f t="shared" si="555"/>
        <v>25.032384211169504</v>
      </c>
      <c r="DE192" s="173">
        <f t="shared" si="556"/>
        <v>1.4664548454112187</v>
      </c>
      <c r="DF192" s="173">
        <f t="shared" si="557"/>
        <v>0.30335794952229944</v>
      </c>
      <c r="DG192" s="173"/>
      <c r="DH192" s="173">
        <f t="shared" si="558"/>
        <v>0.78109744190587771</v>
      </c>
      <c r="DI192" s="545">
        <f t="shared" si="559"/>
        <v>2000.8048235294116</v>
      </c>
      <c r="DJ192" s="528">
        <f t="shared" si="560"/>
        <v>8.6065366284073561E-2</v>
      </c>
      <c r="DL192" s="173">
        <f t="shared" si="561"/>
        <v>31.813743660787324</v>
      </c>
      <c r="DM192" s="173">
        <f t="shared" si="562"/>
        <v>40.456539589442805</v>
      </c>
      <c r="DN192" s="173">
        <f t="shared" si="563"/>
        <v>21.29126389341442</v>
      </c>
      <c r="DP192" s="545">
        <f t="shared" si="564"/>
        <v>491.99999999999994</v>
      </c>
      <c r="DQ192" s="460">
        <f t="shared" si="565"/>
        <v>216.56163781727906</v>
      </c>
      <c r="DS192">
        <f t="shared" si="566"/>
        <v>491.99999999999994</v>
      </c>
      <c r="DT192">
        <f t="shared" si="567"/>
        <v>216.56163781727906</v>
      </c>
      <c r="DV192" s="5">
        <f t="shared" si="568"/>
        <v>4.6176230013726451</v>
      </c>
      <c r="DW192" s="5">
        <f t="shared" si="569"/>
        <v>2.2475855327468226</v>
      </c>
      <c r="DX192" s="5">
        <f t="shared" si="570"/>
        <v>2.3700374686258225</v>
      </c>
      <c r="DY192" s="173">
        <f t="shared" si="571"/>
        <v>0.48674080410607368</v>
      </c>
      <c r="EA192" s="5">
        <f t="shared" si="572"/>
        <v>0.6504776953596686</v>
      </c>
      <c r="EB192" s="5">
        <f t="shared" si="573"/>
        <v>7.6792505702183105</v>
      </c>
      <c r="EC192" s="5">
        <f t="shared" si="574"/>
        <v>35.24087713348689</v>
      </c>
      <c r="ED192" s="5"/>
      <c r="EE192" s="173">
        <f t="shared" si="575"/>
        <v>16.295848683277917</v>
      </c>
      <c r="EF192" s="173">
        <f t="shared" si="576"/>
        <v>0.79021068161971575</v>
      </c>
      <c r="EG192" s="173">
        <f t="shared" si="577"/>
        <v>0.62477518921947883</v>
      </c>
      <c r="EH192" s="173"/>
      <c r="EI192" s="528">
        <f t="shared" si="578"/>
        <v>10.622187372331625</v>
      </c>
      <c r="EJ192" s="528">
        <f t="shared" si="579"/>
        <v>4.2248250000000009</v>
      </c>
      <c r="EK192" s="528">
        <f t="shared" si="580"/>
        <v>4.3312327563455814E-2</v>
      </c>
      <c r="EL192" s="528">
        <f t="shared" si="581"/>
        <v>1.3317510975174841E-2</v>
      </c>
      <c r="EM192">
        <f t="shared" si="582"/>
        <v>4.0499999999999998E-3</v>
      </c>
      <c r="EN192" s="460">
        <f t="shared" si="583"/>
        <v>47.362327563455814</v>
      </c>
      <c r="EP192" s="460">
        <f t="shared" si="603"/>
        <v>14907.692210870255</v>
      </c>
      <c r="EQ192" s="173">
        <f t="shared" si="584"/>
        <v>0.34439999999999993</v>
      </c>
      <c r="ER192" s="173">
        <f t="shared" si="585"/>
        <v>0.35587999999999997</v>
      </c>
      <c r="ES192" s="528"/>
      <c r="EU192" s="460">
        <f t="shared" si="497"/>
        <v>700.27999999999986</v>
      </c>
      <c r="EV192" s="528">
        <f t="shared" si="586"/>
        <v>7.9666405292487186</v>
      </c>
      <c r="EW192" s="528">
        <f t="shared" si="587"/>
        <v>1.8732987640376873E-2</v>
      </c>
      <c r="EX192" s="528">
        <f t="shared" si="588"/>
        <v>1.951720185321178E-3</v>
      </c>
      <c r="EY192" s="528">
        <f t="shared" si="589"/>
        <v>359.2490721856272</v>
      </c>
      <c r="EZ192" s="528"/>
      <c r="FA192" s="625">
        <f t="shared" si="590"/>
        <v>8.8613318750015662</v>
      </c>
      <c r="FB192" s="460">
        <f t="shared" si="498"/>
        <v>376097.72929770313</v>
      </c>
      <c r="FC192" s="173">
        <f t="shared" si="591"/>
        <v>391.70570150857344</v>
      </c>
      <c r="FD192" s="5">
        <f t="shared" si="592"/>
        <v>88.559999999999988</v>
      </c>
      <c r="FE192" s="173">
        <f t="shared" si="593"/>
        <v>0.1843979274843533</v>
      </c>
      <c r="FF192" s="5">
        <f t="shared" si="594"/>
        <v>18.43979274843533</v>
      </c>
      <c r="FG192">
        <f t="shared" si="595"/>
        <v>82</v>
      </c>
      <c r="FI192" s="562">
        <f t="shared" si="596"/>
        <v>-50</v>
      </c>
      <c r="FJ192">
        <f t="shared" si="597"/>
        <v>-50</v>
      </c>
    </row>
    <row r="193" spans="5:166">
      <c r="E193" s="170">
        <v>83</v>
      </c>
      <c r="F193" s="217">
        <f t="shared" si="598"/>
        <v>0.49799999999999994</v>
      </c>
      <c r="G193" s="217">
        <f t="shared" si="499"/>
        <v>0.41499999999999998</v>
      </c>
      <c r="H193" s="217">
        <f t="shared" si="500"/>
        <v>84.66</v>
      </c>
      <c r="I193" s="217">
        <f t="shared" si="501"/>
        <v>4.9799999999999995</v>
      </c>
      <c r="J193" s="541">
        <f t="shared" si="502"/>
        <v>7.2580788629777464</v>
      </c>
      <c r="K193" s="443">
        <f t="shared" si="503"/>
        <v>8.5462082259779528</v>
      </c>
      <c r="L193" s="172">
        <f t="shared" si="504"/>
        <v>15.8042870889557</v>
      </c>
      <c r="M193" s="443"/>
      <c r="N193" s="217">
        <f t="shared" si="505"/>
        <v>0.54075252985945732</v>
      </c>
      <c r="O193" s="172">
        <f t="shared" si="506"/>
        <v>123.55929003753592</v>
      </c>
      <c r="P193" s="172">
        <f t="shared" si="507"/>
        <v>7.268193531619759</v>
      </c>
      <c r="Q193" s="217">
        <f t="shared" si="508"/>
        <v>0.72681935316197599</v>
      </c>
      <c r="R193" s="217">
        <f t="shared" si="509"/>
        <v>10.296607503127992</v>
      </c>
      <c r="S193" s="217">
        <f t="shared" si="510"/>
        <v>170</v>
      </c>
      <c r="T193" s="217">
        <f t="shared" si="511"/>
        <v>45.67847547752514</v>
      </c>
      <c r="U193" s="217">
        <f t="shared" si="512"/>
        <v>3.1467332017101279</v>
      </c>
      <c r="V193" s="217">
        <f t="shared" si="513"/>
        <v>2.6724410562965244</v>
      </c>
      <c r="W193" s="197">
        <f t="shared" si="514"/>
        <v>350</v>
      </c>
      <c r="X193" s="443">
        <f t="shared" si="599"/>
        <v>166.1357450600153</v>
      </c>
      <c r="Z193" s="217">
        <f t="shared" si="515"/>
        <v>22.427568611855257</v>
      </c>
      <c r="AA193" s="173">
        <f t="shared" si="516"/>
        <v>1.3121356289729791</v>
      </c>
      <c r="AB193" s="173">
        <f t="shared" si="517"/>
        <v>0.24318982012328536</v>
      </c>
      <c r="AC193" s="173"/>
      <c r="AD193" s="173">
        <f t="shared" si="518"/>
        <v>0.7800730441369268</v>
      </c>
      <c r="AE193" s="545">
        <f t="shared" si="519"/>
        <v>2027.8643965852862</v>
      </c>
      <c r="AF193" s="528">
        <f t="shared" si="520"/>
        <v>8.5952492826198421E-2</v>
      </c>
      <c r="AH193" s="173">
        <f t="shared" si="521"/>
        <v>32.007142060126874</v>
      </c>
      <c r="AI193" s="173">
        <f t="shared" si="522"/>
        <v>45.67847547752514</v>
      </c>
      <c r="AJ193" s="173">
        <f t="shared" si="523"/>
        <v>25.159364551253187</v>
      </c>
      <c r="AL193" s="545">
        <f t="shared" si="524"/>
        <v>497.99999999999994</v>
      </c>
      <c r="AM193" s="460">
        <f t="shared" si="525"/>
        <v>166.1357450600153</v>
      </c>
      <c r="AO193">
        <f t="shared" si="526"/>
        <v>497.99999999999994</v>
      </c>
      <c r="AP193">
        <f t="shared" si="527"/>
        <v>166.1357450600153</v>
      </c>
      <c r="AR193" s="5">
        <f t="shared" si="443"/>
        <v>6.019174258006653</v>
      </c>
      <c r="AS193" s="5">
        <f t="shared" si="604"/>
        <v>3.1467332017101279</v>
      </c>
      <c r="AT193" s="5">
        <f t="shared" si="605"/>
        <v>2.872441056296525</v>
      </c>
      <c r="AU193" s="173">
        <f t="shared" si="606"/>
        <v>0.52278486497119947</v>
      </c>
      <c r="AW193" s="5">
        <f t="shared" si="477"/>
        <v>0.92180772614802553</v>
      </c>
      <c r="AX193" s="5">
        <f t="shared" si="478"/>
        <v>10.882452322580859</v>
      </c>
      <c r="AY193" s="5">
        <f t="shared" si="479"/>
        <v>53.607763578649198</v>
      </c>
      <c r="AZ193" s="5"/>
      <c r="BA193" s="173">
        <f t="shared" si="480"/>
        <v>19.068321972741149</v>
      </c>
      <c r="BB193" s="173">
        <f t="shared" si="481"/>
        <v>0.86030906415851882</v>
      </c>
      <c r="BC193" s="173">
        <f t="shared" si="482"/>
        <v>0.68019804192616562</v>
      </c>
      <c r="BD193" s="173"/>
      <c r="BE193" s="528">
        <f t="shared" si="483"/>
        <v>14.544036114244916</v>
      </c>
      <c r="BF193" s="528">
        <f t="shared" si="528"/>
        <v>2.6985602109172602</v>
      </c>
      <c r="BG193" s="528">
        <f t="shared" si="529"/>
        <v>4.8233053584206272E-2</v>
      </c>
      <c r="BH193" s="528">
        <f t="shared" si="484"/>
        <v>8.299327438739049E-3</v>
      </c>
      <c r="BI193">
        <f t="shared" si="485"/>
        <v>3.2661354883399859E-3</v>
      </c>
      <c r="BJ193" s="460">
        <f t="shared" si="600"/>
        <v>51.499189072546251</v>
      </c>
      <c r="BK193">
        <f t="shared" si="530"/>
        <v>-8.6240602108297608</v>
      </c>
      <c r="BL193" s="460">
        <f t="shared" si="601"/>
        <v>17302.394841673457</v>
      </c>
      <c r="BM193" s="173">
        <f t="shared" si="531"/>
        <v>0.43226399999999998</v>
      </c>
      <c r="BN193" s="173">
        <f t="shared" si="532"/>
        <v>0.36021999999999998</v>
      </c>
      <c r="BO193" s="528"/>
      <c r="BQ193" s="460">
        <f t="shared" si="486"/>
        <v>792.48399999999992</v>
      </c>
      <c r="BR193" s="528">
        <f t="shared" si="487"/>
        <v>10.908027085683687</v>
      </c>
      <c r="BS193" s="528">
        <f t="shared" si="488"/>
        <v>2.2203950576199193E-2</v>
      </c>
      <c r="BT193" s="528">
        <f t="shared" si="489"/>
        <v>2.313346881200949E-3</v>
      </c>
      <c r="BU193" s="528">
        <f t="shared" si="490"/>
        <v>250.84573142564224</v>
      </c>
      <c r="BV193" s="528"/>
      <c r="BW193" s="625">
        <f t="shared" si="533"/>
        <v>8.6661518362564074</v>
      </c>
      <c r="BX193" s="460">
        <f t="shared" ref="BX193:BX210" si="607">SUM(BR193:BW193)*1000</f>
        <v>270444.42764503974</v>
      </c>
      <c r="BY193" s="173">
        <f t="shared" ref="BY193:BY210" si="608">SUM(BE193:BI193,BM193:BP193,BR193:BW193)</f>
        <v>288.5393064867132</v>
      </c>
      <c r="BZ193" s="5">
        <f t="shared" ref="BZ193:BZ210" si="609">MIN(H193+I193,O193+P193)</f>
        <v>89.64</v>
      </c>
      <c r="CA193" s="173">
        <f t="shared" ref="CA193:CA210" si="610">BZ193/(BZ193+BY193)</f>
        <v>0.23703042039173389</v>
      </c>
      <c r="CB193" s="5">
        <f t="shared" ref="CB193:CB210" si="611">CA193*100</f>
        <v>23.70304203917339</v>
      </c>
      <c r="CC193">
        <f t="shared" ref="CC193:CC210" si="612">F193/Iout*100</f>
        <v>83</v>
      </c>
      <c r="CE193" s="562">
        <f t="shared" si="534"/>
        <v>-50</v>
      </c>
      <c r="CF193">
        <f t="shared" si="535"/>
        <v>-50</v>
      </c>
      <c r="CG193" s="173">
        <f t="shared" si="536"/>
        <v>0.49996674565333021</v>
      </c>
      <c r="CH193" s="173">
        <f t="shared" si="537"/>
        <v>0.1244173729401032</v>
      </c>
      <c r="CI193" s="170">
        <v>83</v>
      </c>
      <c r="CJ193" s="217">
        <f t="shared" si="602"/>
        <v>0.49799999999999994</v>
      </c>
      <c r="CK193" s="217">
        <f t="shared" si="538"/>
        <v>0.41499999999999998</v>
      </c>
      <c r="CL193" s="217">
        <f t="shared" si="539"/>
        <v>84.66</v>
      </c>
      <c r="CM193" s="217">
        <f t="shared" si="540"/>
        <v>4.9799999999999995</v>
      </c>
      <c r="CN193" s="541">
        <f t="shared" si="541"/>
        <v>9</v>
      </c>
      <c r="CO193" s="443">
        <f t="shared" si="542"/>
        <v>8.5350000000000001</v>
      </c>
      <c r="CP193" s="443">
        <f t="shared" si="543"/>
        <v>17.535</v>
      </c>
      <c r="CQ193" s="443"/>
      <c r="CR193" s="217">
        <f t="shared" si="544"/>
        <v>0.48644793152639093</v>
      </c>
      <c r="CS193" s="172">
        <f t="shared" si="545"/>
        <v>137.82691393247745</v>
      </c>
      <c r="CT193" s="172">
        <f t="shared" si="546"/>
        <v>8.1074655254398493</v>
      </c>
      <c r="CU193" s="217">
        <f t="shared" si="547"/>
        <v>0.81074655254398498</v>
      </c>
      <c r="CV193" s="217">
        <f t="shared" si="548"/>
        <v>11.485576161039788</v>
      </c>
      <c r="CW193" s="217">
        <f t="shared" si="549"/>
        <v>170</v>
      </c>
      <c r="CX193" s="217">
        <f t="shared" si="550"/>
        <v>40.949912023460406</v>
      </c>
      <c r="CY193" s="217">
        <f t="shared" si="551"/>
        <v>2.2749951124144672</v>
      </c>
      <c r="CZ193" s="217">
        <f t="shared" si="552"/>
        <v>2.398940364584675</v>
      </c>
      <c r="DA193" s="197">
        <f t="shared" si="553"/>
        <v>350</v>
      </c>
      <c r="DB193" s="443">
        <f t="shared" si="554"/>
        <v>213.95246145803466</v>
      </c>
      <c r="DD193" s="217">
        <f t="shared" si="555"/>
        <v>25.032384211169504</v>
      </c>
      <c r="DE193" s="173">
        <f t="shared" si="556"/>
        <v>1.4664548454112187</v>
      </c>
      <c r="DF193" s="173">
        <f t="shared" si="557"/>
        <v>0.30335794952229944</v>
      </c>
      <c r="DG193" s="173"/>
      <c r="DH193" s="173">
        <f t="shared" si="558"/>
        <v>0.78109744190587771</v>
      </c>
      <c r="DI193" s="545">
        <f t="shared" si="559"/>
        <v>2025.2048823529412</v>
      </c>
      <c r="DJ193" s="528">
        <f t="shared" si="560"/>
        <v>8.6065366284073561E-2</v>
      </c>
      <c r="DL193" s="173">
        <f t="shared" si="561"/>
        <v>32.007142060126874</v>
      </c>
      <c r="DM193" s="173">
        <f t="shared" si="562"/>
        <v>40.949912023460406</v>
      </c>
      <c r="DN193" s="173">
        <f t="shared" si="563"/>
        <v>21.656724955649683</v>
      </c>
      <c r="DP193" s="545">
        <f t="shared" si="564"/>
        <v>497.99999999999994</v>
      </c>
      <c r="DQ193" s="460">
        <f t="shared" si="565"/>
        <v>213.95246145803466</v>
      </c>
      <c r="DS193">
        <f>IF(CL193&gt;CS193, "",DP193)</f>
        <v>497.99999999999994</v>
      </c>
      <c r="DT193">
        <f t="shared" si="567"/>
        <v>213.95246145803466</v>
      </c>
      <c r="DV193" s="5">
        <f t="shared" si="568"/>
        <v>4.6739354769991435</v>
      </c>
      <c r="DW193" s="5">
        <f t="shared" si="569"/>
        <v>2.2749951124144672</v>
      </c>
      <c r="DX193" s="5">
        <f t="shared" si="570"/>
        <v>2.3989403645846763</v>
      </c>
      <c r="DY193" s="173">
        <f t="shared" si="571"/>
        <v>0.48674080410607345</v>
      </c>
      <c r="EA193" s="5">
        <f t="shared" si="572"/>
        <v>0.66643974469553202</v>
      </c>
      <c r="EB193" s="5">
        <f t="shared" si="573"/>
        <v>7.8676914304333661</v>
      </c>
      <c r="EC193" s="5">
        <f t="shared" si="574"/>
        <v>36.105651780575769</v>
      </c>
      <c r="ED193" s="5"/>
      <c r="EE193" s="173">
        <f t="shared" si="575"/>
        <v>16.49457854526911</v>
      </c>
      <c r="EF193" s="173">
        <f t="shared" si="576"/>
        <v>0.79984739724922471</v>
      </c>
      <c r="EG193" s="173">
        <f t="shared" si="577"/>
        <v>0.63239439884410675</v>
      </c>
      <c r="EH193" s="173"/>
      <c r="EI193" s="528">
        <f t="shared" si="578"/>
        <v>10.882844855442082</v>
      </c>
      <c r="EJ193" s="528">
        <f t="shared" si="579"/>
        <v>4.2248249999999992</v>
      </c>
      <c r="EK193" s="528">
        <f t="shared" si="580"/>
        <v>4.2790492291606932E-2</v>
      </c>
      <c r="EL193" s="528">
        <f t="shared" si="581"/>
        <v>1.3157059035714899E-2</v>
      </c>
      <c r="EM193">
        <f t="shared" si="582"/>
        <v>4.0499999999999998E-3</v>
      </c>
      <c r="EN193" s="460">
        <f t="shared" si="583"/>
        <v>46.840492291606928</v>
      </c>
      <c r="EP193" s="460">
        <f t="shared" si="603"/>
        <v>15167.667406769402</v>
      </c>
      <c r="EQ193" s="173">
        <f t="shared" si="584"/>
        <v>0.34859999999999997</v>
      </c>
      <c r="ER193" s="173">
        <f t="shared" si="585"/>
        <v>0.36021999999999998</v>
      </c>
      <c r="ES193" s="528"/>
      <c r="EU193" s="460">
        <f t="shared" si="497"/>
        <v>708.82</v>
      </c>
      <c r="EV193" s="528">
        <f t="shared" si="586"/>
        <v>8.1621336415815602</v>
      </c>
      <c r="EW193" s="528">
        <f t="shared" si="587"/>
        <v>1.9192675766590773E-2</v>
      </c>
      <c r="EX193" s="528">
        <f t="shared" si="588"/>
        <v>1.9996133784469959E-3</v>
      </c>
      <c r="EY193" s="528">
        <f t="shared" si="589"/>
        <v>359.24907218562589</v>
      </c>
      <c r="EZ193" s="528"/>
      <c r="FA193" s="625">
        <f t="shared" si="590"/>
        <v>8.9693968978674388</v>
      </c>
      <c r="FB193" s="460">
        <f t="shared" ref="FB193:FB210" si="613">SUM(EV193:FA193)*1000</f>
        <v>376401.79501421994</v>
      </c>
      <c r="FC193" s="173">
        <f t="shared" si="591"/>
        <v>392.27828242098934</v>
      </c>
      <c r="FD193" s="5">
        <f t="shared" si="592"/>
        <v>89.64</v>
      </c>
      <c r="FE193" s="173">
        <f t="shared" si="593"/>
        <v>0.18600663902950498</v>
      </c>
      <c r="FF193" s="5">
        <f t="shared" si="594"/>
        <v>18.600663902950497</v>
      </c>
      <c r="FG193">
        <f t="shared" si="595"/>
        <v>83</v>
      </c>
      <c r="FI193" s="562">
        <f t="shared" si="596"/>
        <v>-50</v>
      </c>
      <c r="FJ193">
        <f t="shared" si="597"/>
        <v>-50</v>
      </c>
    </row>
    <row r="194" spans="5:166">
      <c r="E194" s="170">
        <v>84</v>
      </c>
      <c r="F194" s="217">
        <f t="shared" si="598"/>
        <v>0.504</v>
      </c>
      <c r="G194" s="217">
        <f t="shared" si="499"/>
        <v>0.42</v>
      </c>
      <c r="H194" s="217">
        <f t="shared" si="500"/>
        <v>85.68</v>
      </c>
      <c r="I194" s="217">
        <f t="shared" si="501"/>
        <v>5.04</v>
      </c>
      <c r="J194" s="541">
        <f t="shared" si="502"/>
        <v>7.237091861326876</v>
      </c>
      <c r="K194" s="443">
        <f t="shared" si="503"/>
        <v>8.5463432648451576</v>
      </c>
      <c r="L194" s="172">
        <f t="shared" si="504"/>
        <v>15.783435126172034</v>
      </c>
      <c r="M194" s="443"/>
      <c r="N194" s="217">
        <f t="shared" si="505"/>
        <v>0.54147548974770665</v>
      </c>
      <c r="O194" s="172">
        <f t="shared" si="506"/>
        <v>123.36672892470168</v>
      </c>
      <c r="P194" s="172">
        <f t="shared" si="507"/>
        <v>7.2568664073353926</v>
      </c>
      <c r="Q194" s="217">
        <f t="shared" si="508"/>
        <v>0.72568664073353928</v>
      </c>
      <c r="R194" s="217">
        <f t="shared" si="509"/>
        <v>10.28056074372514</v>
      </c>
      <c r="S194" s="217">
        <f t="shared" si="510"/>
        <v>170</v>
      </c>
      <c r="T194" s="217">
        <f t="shared" si="511"/>
        <v>46.300976363622212</v>
      </c>
      <c r="U194" s="217">
        <f t="shared" si="512"/>
        <v>3.1988661503001299</v>
      </c>
      <c r="V194" s="217">
        <f t="shared" si="513"/>
        <v>2.7088179662802889</v>
      </c>
      <c r="W194" s="197">
        <f t="shared" si="514"/>
        <v>350</v>
      </c>
      <c r="X194" s="443">
        <f t="shared" si="599"/>
        <v>163.7281792758925</v>
      </c>
      <c r="Z194" s="217">
        <f t="shared" si="515"/>
        <v>22.392616342634923</v>
      </c>
      <c r="AA194" s="173">
        <f t="shared" si="516"/>
        <v>1.3100700292922667</v>
      </c>
      <c r="AB194" s="173">
        <f t="shared" si="517"/>
        <v>0.24242858126411254</v>
      </c>
      <c r="AC194" s="173"/>
      <c r="AD194" s="173">
        <f t="shared" si="518"/>
        <v>0.78006071837642876</v>
      </c>
      <c r="AE194" s="545">
        <f t="shared" si="519"/>
        <v>2052.3289261414038</v>
      </c>
      <c r="AF194" s="528">
        <f t="shared" si="520"/>
        <v>8.5951134709995394E-2</v>
      </c>
      <c r="AH194" s="173">
        <f t="shared" si="521"/>
        <v>32.199378875996977</v>
      </c>
      <c r="AI194" s="173">
        <f t="shared" si="522"/>
        <v>46.300976363622212</v>
      </c>
      <c r="AJ194" s="173">
        <f t="shared" si="523"/>
        <v>25.6204763187325</v>
      </c>
      <c r="AL194" s="545">
        <f t="shared" si="524"/>
        <v>504</v>
      </c>
      <c r="AM194" s="460">
        <f t="shared" si="525"/>
        <v>163.7281792758925</v>
      </c>
      <c r="AO194">
        <f t="shared" si="526"/>
        <v>504</v>
      </c>
      <c r="AP194">
        <f t="shared" si="527"/>
        <v>163.7281792758925</v>
      </c>
      <c r="AR194" s="5">
        <f t="shared" si="443"/>
        <v>6.107684116580419</v>
      </c>
      <c r="AS194" s="5">
        <f t="shared" si="604"/>
        <v>3.1988661503001299</v>
      </c>
      <c r="AT194" s="5">
        <f t="shared" si="605"/>
        <v>2.9088179662802891</v>
      </c>
      <c r="AU194" s="173">
        <f t="shared" si="606"/>
        <v>0.52374453053592374</v>
      </c>
      <c r="AW194" s="5">
        <f t="shared" si="477"/>
        <v>0.94836972926545027</v>
      </c>
      <c r="AX194" s="5">
        <f t="shared" si="478"/>
        <v>11.196031526050454</v>
      </c>
      <c r="AY194" s="5">
        <f t="shared" si="479"/>
        <v>55.100038109551008</v>
      </c>
      <c r="AZ194" s="5"/>
      <c r="BA194" s="173">
        <f t="shared" si="480"/>
        <v>19.345914862253959</v>
      </c>
      <c r="BB194" s="173">
        <f t="shared" si="481"/>
        <v>0.87115599696341117</v>
      </c>
      <c r="BC194" s="173">
        <f t="shared" si="482"/>
        <v>0.68877410227723146</v>
      </c>
      <c r="BD194" s="173"/>
      <c r="BE194" s="528">
        <f t="shared" si="483"/>
        <v>14.970576874303145</v>
      </c>
      <c r="BF194" s="528">
        <f t="shared" si="528"/>
        <v>2.6921399277052407</v>
      </c>
      <c r="BG194" s="528">
        <f t="shared" si="529"/>
        <v>4.739663494829717E-2</v>
      </c>
      <c r="BH194" s="528">
        <f t="shared" si="484"/>
        <v>8.1574888166140828E-3</v>
      </c>
      <c r="BI194">
        <f t="shared" si="485"/>
        <v>3.2566913375970943E-3</v>
      </c>
      <c r="BJ194" s="460">
        <f t="shared" si="600"/>
        <v>50.653326285894266</v>
      </c>
      <c r="BK194">
        <f t="shared" si="530"/>
        <v>-8.4915342464955454</v>
      </c>
      <c r="BL194" s="460">
        <f t="shared" si="601"/>
        <v>17721.527617110893</v>
      </c>
      <c r="BM194" s="173">
        <f t="shared" si="531"/>
        <v>0.43747200000000003</v>
      </c>
      <c r="BN194" s="173">
        <f t="shared" si="532"/>
        <v>0.36456</v>
      </c>
      <c r="BO194" s="528"/>
      <c r="BQ194" s="460">
        <f t="shared" si="486"/>
        <v>802.03200000000004</v>
      </c>
      <c r="BR194" s="528">
        <f t="shared" si="487"/>
        <v>11.227932655727358</v>
      </c>
      <c r="BS194" s="528">
        <f t="shared" si="488"/>
        <v>2.2767383131359446E-2</v>
      </c>
      <c r="BT194" s="528">
        <f t="shared" si="489"/>
        <v>2.3720488198390307E-3</v>
      </c>
      <c r="BU194" s="528">
        <f t="shared" si="490"/>
        <v>250.18078920696328</v>
      </c>
      <c r="BV194" s="528"/>
      <c r="BW194" s="625">
        <f t="shared" si="533"/>
        <v>8.7749315915218205</v>
      </c>
      <c r="BX194" s="460">
        <f t="shared" si="607"/>
        <v>270208.79288616363</v>
      </c>
      <c r="BY194" s="173">
        <f t="shared" si="608"/>
        <v>288.73235250327451</v>
      </c>
      <c r="BZ194" s="5">
        <f t="shared" si="609"/>
        <v>90.720000000000013</v>
      </c>
      <c r="CA194" s="173">
        <f t="shared" si="610"/>
        <v>0.23908140087026375</v>
      </c>
      <c r="CB194" s="5">
        <f t="shared" si="611"/>
        <v>23.908140087026375</v>
      </c>
      <c r="CC194">
        <f t="shared" si="612"/>
        <v>84.000000000000014</v>
      </c>
      <c r="CE194" s="562">
        <f t="shared" si="534"/>
        <v>-50</v>
      </c>
      <c r="CF194">
        <f t="shared" si="535"/>
        <v>-50</v>
      </c>
      <c r="CG194" s="173">
        <f t="shared" si="536"/>
        <v>0.49996674565333021</v>
      </c>
      <c r="CH194" s="173">
        <f t="shared" si="537"/>
        <v>0.1244173729401032</v>
      </c>
      <c r="CI194" s="170">
        <v>84</v>
      </c>
      <c r="CJ194" s="217">
        <f t="shared" si="602"/>
        <v>0.504</v>
      </c>
      <c r="CK194" s="217">
        <f t="shared" si="538"/>
        <v>0.42</v>
      </c>
      <c r="CL194" s="217">
        <f t="shared" si="539"/>
        <v>85.68</v>
      </c>
      <c r="CM194" s="217">
        <f t="shared" si="540"/>
        <v>5.04</v>
      </c>
      <c r="CN194" s="541">
        <f t="shared" si="541"/>
        <v>9</v>
      </c>
      <c r="CO194" s="443">
        <f t="shared" si="542"/>
        <v>8.5350000000000001</v>
      </c>
      <c r="CP194" s="443">
        <f t="shared" si="543"/>
        <v>17.535</v>
      </c>
      <c r="CQ194" s="443"/>
      <c r="CR194" s="217">
        <f t="shared" si="544"/>
        <v>0.48644793152639093</v>
      </c>
      <c r="CS194" s="172">
        <f t="shared" si="545"/>
        <v>137.82691393247745</v>
      </c>
      <c r="CT194" s="172">
        <f t="shared" si="546"/>
        <v>8.1074655254398493</v>
      </c>
      <c r="CU194" s="217">
        <f t="shared" si="547"/>
        <v>0.81074655254398498</v>
      </c>
      <c r="CV194" s="217">
        <f t="shared" si="548"/>
        <v>11.485576161039788</v>
      </c>
      <c r="CW194" s="217">
        <f t="shared" si="549"/>
        <v>170</v>
      </c>
      <c r="CX194" s="217">
        <f t="shared" si="550"/>
        <v>41.443284457478008</v>
      </c>
      <c r="CY194" s="217">
        <f t="shared" si="551"/>
        <v>2.3024046920821117</v>
      </c>
      <c r="CZ194" s="217">
        <f t="shared" si="552"/>
        <v>2.4278432605435269</v>
      </c>
      <c r="DA194" s="197">
        <f t="shared" si="553"/>
        <v>350</v>
      </c>
      <c r="DB194" s="443">
        <f t="shared" si="554"/>
        <v>211.40540834543901</v>
      </c>
      <c r="DD194" s="217">
        <f t="shared" si="555"/>
        <v>25.032384211169504</v>
      </c>
      <c r="DE194" s="173">
        <f t="shared" si="556"/>
        <v>1.4664548454112187</v>
      </c>
      <c r="DF194" s="173">
        <f t="shared" si="557"/>
        <v>0.30335794952229944</v>
      </c>
      <c r="DG194" s="173"/>
      <c r="DH194" s="173">
        <f t="shared" si="558"/>
        <v>0.78109744190587771</v>
      </c>
      <c r="DI194" s="545">
        <f t="shared" si="559"/>
        <v>2049.6049411764707</v>
      </c>
      <c r="DJ194" s="528">
        <f t="shared" si="560"/>
        <v>8.6065366284073561E-2</v>
      </c>
      <c r="DL194" s="173">
        <f t="shared" si="561"/>
        <v>32.199378875996977</v>
      </c>
      <c r="DM194" s="173">
        <f t="shared" si="562"/>
        <v>41.443284457478008</v>
      </c>
      <c r="DN194" s="173">
        <f t="shared" si="563"/>
        <v>22.022186017884941</v>
      </c>
      <c r="DP194" s="545">
        <f t="shared" si="564"/>
        <v>504</v>
      </c>
      <c r="DQ194" s="460">
        <f t="shared" si="565"/>
        <v>211.40540834543901</v>
      </c>
      <c r="DS194">
        <f t="shared" ref="DS194:DS210" si="614">IF(CL194&gt;CS194, "",DP194)</f>
        <v>504</v>
      </c>
      <c r="DT194">
        <f t="shared" ref="DT194:DT210" si="615">IF(CL194&gt;CS194, "",DQ194)</f>
        <v>211.40540834543901</v>
      </c>
      <c r="DV194" s="5">
        <f t="shared" si="568"/>
        <v>4.7302479526256391</v>
      </c>
      <c r="DW194" s="5">
        <f t="shared" si="569"/>
        <v>2.3024046920821117</v>
      </c>
      <c r="DX194" s="5">
        <f t="shared" si="570"/>
        <v>2.4278432605435274</v>
      </c>
      <c r="DY194" s="173">
        <f t="shared" si="571"/>
        <v>0.48674080410607357</v>
      </c>
      <c r="EA194" s="5">
        <f t="shared" si="572"/>
        <v>0.68259527341728488</v>
      </c>
      <c r="EB194" s="5">
        <f t="shared" si="573"/>
        <v>8.058416422287392</v>
      </c>
      <c r="EC194" s="5">
        <f t="shared" si="574"/>
        <v>36.980908544599018</v>
      </c>
      <c r="ED194" s="5"/>
      <c r="EE194" s="173">
        <f t="shared" si="575"/>
        <v>16.693308407260311</v>
      </c>
      <c r="EF194" s="173">
        <f t="shared" si="576"/>
        <v>0.80948411287873345</v>
      </c>
      <c r="EG194" s="173">
        <f t="shared" si="577"/>
        <v>0.64001360846873467</v>
      </c>
      <c r="EH194" s="173"/>
      <c r="EI194" s="528">
        <f t="shared" si="578"/>
        <v>11.146661823196311</v>
      </c>
      <c r="EJ194" s="528">
        <f t="shared" si="579"/>
        <v>4.2248250000000001</v>
      </c>
      <c r="EK194" s="528">
        <f t="shared" si="580"/>
        <v>4.2281081669087804E-2</v>
      </c>
      <c r="EL194" s="528">
        <f t="shared" si="581"/>
        <v>1.3000427380527816E-2</v>
      </c>
      <c r="EM194">
        <f t="shared" si="582"/>
        <v>4.0499999999999998E-3</v>
      </c>
      <c r="EN194" s="460">
        <f t="shared" si="583"/>
        <v>46.331081669087801</v>
      </c>
      <c r="EP194" s="460">
        <f t="shared" si="603"/>
        <v>15430.818332245924</v>
      </c>
      <c r="EQ194" s="173">
        <f t="shared" si="584"/>
        <v>0.3528</v>
      </c>
      <c r="ER194" s="173">
        <f t="shared" si="585"/>
        <v>0.36456</v>
      </c>
      <c r="ES194" s="528"/>
      <c r="EU194" s="460">
        <f t="shared" si="497"/>
        <v>717.36</v>
      </c>
      <c r="EV194" s="528">
        <f t="shared" si="586"/>
        <v>8.3599963673972333</v>
      </c>
      <c r="EW194" s="528">
        <f t="shared" si="587"/>
        <v>1.96579358700921E-2</v>
      </c>
      <c r="EX194" s="528">
        <f t="shared" si="588"/>
        <v>2.0480870951258539E-3</v>
      </c>
      <c r="EY194" s="528">
        <f t="shared" si="589"/>
        <v>359.2490721856272</v>
      </c>
      <c r="EZ194" s="528"/>
      <c r="FA194" s="625">
        <f t="shared" si="590"/>
        <v>9.0774619207333149</v>
      </c>
      <c r="FB194" s="460">
        <f t="shared" si="613"/>
        <v>376708.23649672297</v>
      </c>
      <c r="FC194" s="173">
        <f t="shared" si="591"/>
        <v>392.85641482896887</v>
      </c>
      <c r="FD194" s="5">
        <f t="shared" si="592"/>
        <v>90.720000000000013</v>
      </c>
      <c r="FE194" s="173">
        <f t="shared" si="593"/>
        <v>0.18760220146817091</v>
      </c>
      <c r="FF194" s="5">
        <f t="shared" si="594"/>
        <v>18.76022014681709</v>
      </c>
      <c r="FG194">
        <f t="shared" si="595"/>
        <v>84.000000000000014</v>
      </c>
      <c r="FI194" s="562">
        <f t="shared" si="596"/>
        <v>-50</v>
      </c>
      <c r="FJ194">
        <f t="shared" si="597"/>
        <v>-50</v>
      </c>
    </row>
    <row r="195" spans="5:166">
      <c r="E195" s="170">
        <v>85</v>
      </c>
      <c r="F195" s="217">
        <f t="shared" si="598"/>
        <v>0.51</v>
      </c>
      <c r="G195" s="217">
        <f t="shared" si="499"/>
        <v>0.42499999999999999</v>
      </c>
      <c r="H195" s="217">
        <f t="shared" si="500"/>
        <v>86.7</v>
      </c>
      <c r="I195" s="217">
        <f t="shared" si="501"/>
        <v>5.0999999999999996</v>
      </c>
      <c r="J195" s="541">
        <f t="shared" si="502"/>
        <v>7.2161048596760056</v>
      </c>
      <c r="K195" s="443">
        <f t="shared" si="503"/>
        <v>8.5464783037123624</v>
      </c>
      <c r="L195" s="172">
        <f t="shared" si="504"/>
        <v>15.762583163388367</v>
      </c>
      <c r="M195" s="443"/>
      <c r="N195" s="217">
        <f t="shared" si="505"/>
        <v>0.54220036241034419</v>
      </c>
      <c r="O195" s="172">
        <f t="shared" si="506"/>
        <v>123.17364702189889</v>
      </c>
      <c r="P195" s="172">
        <f t="shared" si="507"/>
        <v>7.245508648346993</v>
      </c>
      <c r="Q195" s="217">
        <f t="shared" si="508"/>
        <v>0.72455086483469933</v>
      </c>
      <c r="R195" s="217">
        <f t="shared" si="509"/>
        <v>10.264470585158241</v>
      </c>
      <c r="S195" s="217">
        <f t="shared" si="510"/>
        <v>170</v>
      </c>
      <c r="T195" s="217">
        <f t="shared" si="511"/>
        <v>46.92562199585096</v>
      </c>
      <c r="U195" s="217">
        <f t="shared" si="512"/>
        <v>3.2514509495333095</v>
      </c>
      <c r="V195" s="217">
        <f t="shared" si="513"/>
        <v>2.7453192021483117</v>
      </c>
      <c r="W195" s="197">
        <f t="shared" si="514"/>
        <v>350</v>
      </c>
      <c r="X195" s="443">
        <f t="shared" si="599"/>
        <v>161.37438948395229</v>
      </c>
      <c r="Z195" s="217">
        <f t="shared" si="515"/>
        <v>22.357569543470721</v>
      </c>
      <c r="AA195" s="173">
        <f t="shared" si="516"/>
        <v>1.3079989645418739</v>
      </c>
      <c r="AB195" s="173">
        <f t="shared" si="517"/>
        <v>0.24166650414523499</v>
      </c>
      <c r="AC195" s="173"/>
      <c r="AD195" s="173">
        <f t="shared" si="518"/>
        <v>0.7800483930054376</v>
      </c>
      <c r="AE195" s="545">
        <f t="shared" si="519"/>
        <v>2076.7942278021037</v>
      </c>
      <c r="AF195" s="528">
        <f t="shared" si="520"/>
        <v>8.5949776636710259E-2</v>
      </c>
      <c r="AH195" s="173">
        <f t="shared" si="521"/>
        <v>32.390474790327744</v>
      </c>
      <c r="AI195" s="173">
        <f t="shared" si="522"/>
        <v>46.92562199585096</v>
      </c>
      <c r="AJ195" s="173">
        <f t="shared" si="523"/>
        <v>26.083176787050089</v>
      </c>
      <c r="AL195" s="545">
        <f t="shared" si="524"/>
        <v>510</v>
      </c>
      <c r="AM195" s="460">
        <f t="shared" si="525"/>
        <v>161.37438948395229</v>
      </c>
      <c r="AO195">
        <f t="shared" si="526"/>
        <v>510</v>
      </c>
      <c r="AP195">
        <f t="shared" si="527"/>
        <v>161.37438948395229</v>
      </c>
      <c r="AR195" s="5">
        <f t="shared" si="443"/>
        <v>6.1967701516816209</v>
      </c>
      <c r="AS195" s="5">
        <f t="shared" si="604"/>
        <v>3.2514509495333095</v>
      </c>
      <c r="AT195" s="5">
        <f t="shared" si="605"/>
        <v>2.9453192021483114</v>
      </c>
      <c r="AU195" s="173">
        <f t="shared" si="606"/>
        <v>0.52470091191795476</v>
      </c>
      <c r="AW195" s="5">
        <f t="shared" si="477"/>
        <v>0.97543528485999287</v>
      </c>
      <c r="AX195" s="5">
        <f t="shared" si="478"/>
        <v>11.515555446263804</v>
      </c>
      <c r="AY195" s="5">
        <f t="shared" si="479"/>
        <v>56.619836832631378</v>
      </c>
      <c r="AZ195" s="5"/>
      <c r="BA195" s="173">
        <f t="shared" si="480"/>
        <v>19.624803639759698</v>
      </c>
      <c r="BB195" s="173">
        <f t="shared" si="481"/>
        <v>0.88202180485157189</v>
      </c>
      <c r="BC195" s="173">
        <f t="shared" si="482"/>
        <v>0.69736508609617098</v>
      </c>
      <c r="BD195" s="173"/>
      <c r="BE195" s="528">
        <f t="shared" si="483"/>
        <v>15.405316715965018</v>
      </c>
      <c r="BF195" s="528">
        <f t="shared" si="528"/>
        <v>2.6856818188679403</v>
      </c>
      <c r="BG195" s="528">
        <f t="shared" si="529"/>
        <v>4.6579780647295857E-2</v>
      </c>
      <c r="BH195" s="528">
        <f t="shared" si="484"/>
        <v>8.0189847904979985E-3</v>
      </c>
      <c r="BI195">
        <f t="shared" si="485"/>
        <v>3.2472471868542022E-3</v>
      </c>
      <c r="BJ195" s="460">
        <f t="shared" si="600"/>
        <v>49.827027834150059</v>
      </c>
      <c r="BK195">
        <f t="shared" si="530"/>
        <v>-8.3668856242607408</v>
      </c>
      <c r="BL195" s="460">
        <f t="shared" si="601"/>
        <v>18148.844547457611</v>
      </c>
      <c r="BM195" s="173">
        <f t="shared" si="531"/>
        <v>0.44267999999999996</v>
      </c>
      <c r="BN195" s="173">
        <f t="shared" si="532"/>
        <v>0.36890000000000001</v>
      </c>
      <c r="BO195" s="528"/>
      <c r="BQ195" s="460">
        <f t="shared" si="486"/>
        <v>811.57999999999993</v>
      </c>
      <c r="BR195" s="528">
        <f t="shared" si="487"/>
        <v>11.553987536973763</v>
      </c>
      <c r="BS195" s="528">
        <f t="shared" si="488"/>
        <v>2.333887392700873E-2</v>
      </c>
      <c r="BT195" s="528">
        <f t="shared" si="489"/>
        <v>2.4315903165295998E-3</v>
      </c>
      <c r="BU195" s="528">
        <f t="shared" si="490"/>
        <v>249.50636529598549</v>
      </c>
      <c r="BV195" s="528"/>
      <c r="BW195" s="625">
        <f t="shared" si="533"/>
        <v>8.8837166209074638</v>
      </c>
      <c r="BX195" s="460">
        <f t="shared" si="607"/>
        <v>269969.83991811029</v>
      </c>
      <c r="BY195" s="173">
        <f t="shared" si="608"/>
        <v>288.93026446556786</v>
      </c>
      <c r="BZ195" s="5">
        <f t="shared" si="609"/>
        <v>91.8</v>
      </c>
      <c r="CA195" s="173">
        <f t="shared" si="610"/>
        <v>0.24111558383429255</v>
      </c>
      <c r="CB195" s="5">
        <f t="shared" si="611"/>
        <v>24.111558383429255</v>
      </c>
      <c r="CC195">
        <f t="shared" si="612"/>
        <v>85.000000000000014</v>
      </c>
      <c r="CE195" s="562">
        <f t="shared" si="534"/>
        <v>-50</v>
      </c>
      <c r="CF195">
        <f t="shared" si="535"/>
        <v>-50</v>
      </c>
      <c r="CG195" s="173">
        <f t="shared" si="536"/>
        <v>0.49996674565333021</v>
      </c>
      <c r="CH195" s="173">
        <f t="shared" si="537"/>
        <v>0.12441737294010324</v>
      </c>
      <c r="CI195" s="170">
        <v>85</v>
      </c>
      <c r="CJ195" s="217">
        <f t="shared" si="602"/>
        <v>0.51</v>
      </c>
      <c r="CK195" s="217">
        <f t="shared" si="538"/>
        <v>0.42499999999999999</v>
      </c>
      <c r="CL195" s="217">
        <f t="shared" si="539"/>
        <v>86.7</v>
      </c>
      <c r="CM195" s="217">
        <f t="shared" si="540"/>
        <v>5.0999999999999996</v>
      </c>
      <c r="CN195" s="541">
        <f t="shared" si="541"/>
        <v>9</v>
      </c>
      <c r="CO195" s="443">
        <f t="shared" si="542"/>
        <v>8.5350000000000001</v>
      </c>
      <c r="CP195" s="443">
        <f t="shared" si="543"/>
        <v>17.535</v>
      </c>
      <c r="CQ195" s="443"/>
      <c r="CR195" s="217">
        <f t="shared" si="544"/>
        <v>0.48644793152639093</v>
      </c>
      <c r="CS195" s="172">
        <f t="shared" si="545"/>
        <v>137.82691393247745</v>
      </c>
      <c r="CT195" s="172">
        <f t="shared" si="546"/>
        <v>8.1074655254398493</v>
      </c>
      <c r="CU195" s="217">
        <f t="shared" si="547"/>
        <v>0.81074655254398498</v>
      </c>
      <c r="CV195" s="217">
        <f t="shared" si="548"/>
        <v>11.485576161039788</v>
      </c>
      <c r="CW195" s="217">
        <f t="shared" si="549"/>
        <v>170</v>
      </c>
      <c r="CX195" s="217">
        <f t="shared" si="550"/>
        <v>41.936656891495595</v>
      </c>
      <c r="CY195" s="217">
        <f t="shared" si="551"/>
        <v>2.329814271749755</v>
      </c>
      <c r="CZ195" s="217">
        <f t="shared" si="552"/>
        <v>2.456746156502378</v>
      </c>
      <c r="DA195" s="197">
        <f t="shared" si="553"/>
        <v>350</v>
      </c>
      <c r="DB195" s="443">
        <f t="shared" si="554"/>
        <v>208.91828589431626</v>
      </c>
      <c r="DD195" s="217">
        <f t="shared" si="555"/>
        <v>25.032384211169504</v>
      </c>
      <c r="DE195" s="173">
        <f t="shared" si="556"/>
        <v>1.4664548454112187</v>
      </c>
      <c r="DF195" s="173">
        <f t="shared" si="557"/>
        <v>0.30335794952229944</v>
      </c>
      <c r="DG195" s="173"/>
      <c r="DH195" s="173">
        <f t="shared" si="558"/>
        <v>0.78109744190587771</v>
      </c>
      <c r="DI195" s="545">
        <f t="shared" si="559"/>
        <v>2074.0050000000006</v>
      </c>
      <c r="DJ195" s="528">
        <f t="shared" si="560"/>
        <v>8.6065366284073561E-2</v>
      </c>
      <c r="DL195" s="173">
        <f t="shared" si="561"/>
        <v>32.390474790327744</v>
      </c>
      <c r="DM195" s="173">
        <f t="shared" si="562"/>
        <v>41.936656891495595</v>
      </c>
      <c r="DN195" s="173">
        <f t="shared" si="563"/>
        <v>22.387647080120193</v>
      </c>
      <c r="DP195" s="545">
        <f t="shared" si="564"/>
        <v>510</v>
      </c>
      <c r="DQ195" s="460">
        <f t="shared" si="565"/>
        <v>208.91828589431626</v>
      </c>
      <c r="DS195">
        <f t="shared" si="614"/>
        <v>510</v>
      </c>
      <c r="DT195">
        <f t="shared" si="615"/>
        <v>208.91828589431626</v>
      </c>
      <c r="DV195" s="5">
        <f t="shared" si="568"/>
        <v>4.786560428252133</v>
      </c>
      <c r="DW195" s="5">
        <f t="shared" si="569"/>
        <v>2.329814271749755</v>
      </c>
      <c r="DX195" s="5">
        <f t="shared" si="570"/>
        <v>2.456746156502378</v>
      </c>
      <c r="DY195" s="173">
        <f t="shared" si="571"/>
        <v>0.48674080410607357</v>
      </c>
      <c r="EA195" s="5">
        <f t="shared" si="572"/>
        <v>0.6989442815249266</v>
      </c>
      <c r="EB195" s="5">
        <f t="shared" si="573"/>
        <v>8.251425545780382</v>
      </c>
      <c r="EC195" s="5">
        <f t="shared" si="574"/>
        <v>37.86664742555665</v>
      </c>
      <c r="ED195" s="5"/>
      <c r="EE195" s="173">
        <f t="shared" si="575"/>
        <v>16.892038269251501</v>
      </c>
      <c r="EF195" s="173">
        <f t="shared" si="576"/>
        <v>0.81912082850824208</v>
      </c>
      <c r="EG195" s="173">
        <f t="shared" si="577"/>
        <v>0.64763281809336226</v>
      </c>
      <c r="EH195" s="173"/>
      <c r="EI195" s="528">
        <f t="shared" si="578"/>
        <v>11.413638275594289</v>
      </c>
      <c r="EJ195" s="528">
        <f t="shared" si="579"/>
        <v>4.2248250000000009</v>
      </c>
      <c r="EK195" s="528">
        <f t="shared" si="580"/>
        <v>4.1783657178863252E-2</v>
      </c>
      <c r="EL195" s="528">
        <f t="shared" si="581"/>
        <v>1.2847481176051022E-2</v>
      </c>
      <c r="EM195">
        <f t="shared" si="582"/>
        <v>4.0499999999999998E-3</v>
      </c>
      <c r="EN195" s="460">
        <f t="shared" si="583"/>
        <v>45.833657178863248</v>
      </c>
      <c r="EP195" s="460">
        <f t="shared" si="603"/>
        <v>15697.144413949203</v>
      </c>
      <c r="EQ195" s="173">
        <f t="shared" si="584"/>
        <v>0.35699999999999998</v>
      </c>
      <c r="ER195" s="173">
        <f t="shared" si="585"/>
        <v>0.36890000000000001</v>
      </c>
      <c r="ES195" s="528"/>
      <c r="EU195" s="460">
        <f t="shared" si="497"/>
        <v>725.9</v>
      </c>
      <c r="EV195" s="528">
        <f t="shared" si="586"/>
        <v>8.5602287066957174</v>
      </c>
      <c r="EW195" s="528">
        <f t="shared" si="587"/>
        <v>2.0128767950880866E-2</v>
      </c>
      <c r="EX195" s="528">
        <f t="shared" si="588"/>
        <v>2.0971413353577505E-3</v>
      </c>
      <c r="EY195" s="528">
        <f t="shared" si="589"/>
        <v>359.24907218562714</v>
      </c>
      <c r="EZ195" s="528"/>
      <c r="FA195" s="625">
        <f t="shared" si="590"/>
        <v>9.1855269435991858</v>
      </c>
      <c r="FB195" s="460">
        <f t="shared" si="613"/>
        <v>377017.05374520825</v>
      </c>
      <c r="FC195" s="173">
        <f t="shared" si="591"/>
        <v>393.44009815915751</v>
      </c>
      <c r="FD195" s="5">
        <f t="shared" si="592"/>
        <v>91.8</v>
      </c>
      <c r="FE195" s="173">
        <f t="shared" si="593"/>
        <v>0.18918469505768221</v>
      </c>
      <c r="FF195" s="5">
        <f t="shared" si="594"/>
        <v>18.918469505768222</v>
      </c>
      <c r="FG195">
        <f t="shared" si="595"/>
        <v>85.000000000000014</v>
      </c>
      <c r="FI195" s="562">
        <f t="shared" si="596"/>
        <v>-50</v>
      </c>
      <c r="FJ195">
        <f t="shared" si="597"/>
        <v>-50</v>
      </c>
    </row>
    <row r="196" spans="5:166">
      <c r="E196" s="170">
        <v>86</v>
      </c>
      <c r="F196" s="217">
        <f t="shared" si="598"/>
        <v>0.51600000000000001</v>
      </c>
      <c r="G196" s="217">
        <f t="shared" si="499"/>
        <v>0.43</v>
      </c>
      <c r="H196" s="217">
        <f t="shared" si="500"/>
        <v>87.72</v>
      </c>
      <c r="I196" s="217">
        <f t="shared" si="501"/>
        <v>5.16</v>
      </c>
      <c r="J196" s="541">
        <f t="shared" si="502"/>
        <v>7.1951178580251351</v>
      </c>
      <c r="K196" s="443">
        <f t="shared" si="503"/>
        <v>8.5466133425795672</v>
      </c>
      <c r="L196" s="172">
        <f t="shared" si="504"/>
        <v>15.741731200604702</v>
      </c>
      <c r="M196" s="443"/>
      <c r="N196" s="217">
        <f t="shared" si="505"/>
        <v>0.54292715544852255</v>
      </c>
      <c r="O196" s="172">
        <f t="shared" si="506"/>
        <v>122.98004225956612</v>
      </c>
      <c r="P196" s="172">
        <f t="shared" si="507"/>
        <v>7.2341201329156535</v>
      </c>
      <c r="Q196" s="217">
        <f t="shared" si="508"/>
        <v>0.72341201329156546</v>
      </c>
      <c r="R196" s="217">
        <f t="shared" si="509"/>
        <v>10.248336854963844</v>
      </c>
      <c r="S196" s="217">
        <f t="shared" si="510"/>
        <v>170</v>
      </c>
      <c r="T196" s="217">
        <f t="shared" si="511"/>
        <v>47.552431212025446</v>
      </c>
      <c r="U196" s="217">
        <f t="shared" si="512"/>
        <v>3.3044928624058216</v>
      </c>
      <c r="V196" s="217">
        <f t="shared" si="513"/>
        <v>2.7819458600705231</v>
      </c>
      <c r="W196" s="197">
        <f t="shared" si="514"/>
        <v>350</v>
      </c>
      <c r="X196" s="443">
        <f t="shared" si="599"/>
        <v>159.0725757692714</v>
      </c>
      <c r="Z196" s="217">
        <f t="shared" si="515"/>
        <v>22.322427838711164</v>
      </c>
      <c r="AA196" s="173">
        <f t="shared" si="516"/>
        <v>1.3059224130042211</v>
      </c>
      <c r="AB196" s="173">
        <f t="shared" si="517"/>
        <v>0.24090359030846054</v>
      </c>
      <c r="AC196" s="173"/>
      <c r="AD196" s="173">
        <f t="shared" si="518"/>
        <v>0.7800360680239351</v>
      </c>
      <c r="AE196" s="545">
        <f t="shared" si="519"/>
        <v>2101.2603015673863</v>
      </c>
      <c r="AF196" s="528">
        <f t="shared" si="520"/>
        <v>8.594841860634099E-2</v>
      </c>
      <c r="AH196" s="173">
        <f t="shared" si="521"/>
        <v>32.580449878504048</v>
      </c>
      <c r="AI196" s="173">
        <f t="shared" si="522"/>
        <v>47.552431212025446</v>
      </c>
      <c r="AJ196" s="173">
        <f t="shared" si="523"/>
        <v>26.547479910142304</v>
      </c>
      <c r="AL196" s="545">
        <f t="shared" si="524"/>
        <v>516</v>
      </c>
      <c r="AM196" s="460">
        <f t="shared" si="525"/>
        <v>159.0725757692714</v>
      </c>
      <c r="AO196">
        <f t="shared" si="526"/>
        <v>516</v>
      </c>
      <c r="AP196">
        <f t="shared" si="527"/>
        <v>159.0725757692714</v>
      </c>
      <c r="AR196" s="5">
        <f t="shared" si="443"/>
        <v>6.2864387224763441</v>
      </c>
      <c r="AS196" s="5">
        <f t="shared" si="604"/>
        <v>3.3044928624058216</v>
      </c>
      <c r="AT196" s="5">
        <f t="shared" si="605"/>
        <v>2.9819458600705224</v>
      </c>
      <c r="AU196" s="173">
        <f t="shared" si="606"/>
        <v>0.52565419123406665</v>
      </c>
      <c r="AW196" s="5">
        <f t="shared" si="477"/>
        <v>1.0030107747067083</v>
      </c>
      <c r="AX196" s="5">
        <f t="shared" si="478"/>
        <v>11.841099423620859</v>
      </c>
      <c r="AY196" s="5">
        <f t="shared" si="479"/>
        <v>58.167506580287053</v>
      </c>
      <c r="AZ196" s="5"/>
      <c r="BA196" s="173">
        <f t="shared" si="480"/>
        <v>19.904999197986712</v>
      </c>
      <c r="BB196" s="173">
        <f t="shared" si="481"/>
        <v>0.89290664100751493</v>
      </c>
      <c r="BC196" s="173">
        <f t="shared" si="482"/>
        <v>0.70597111449737282</v>
      </c>
      <c r="BD196" s="173"/>
      <c r="BE196" s="528">
        <f t="shared" si="483"/>
        <v>15.848359722874067</v>
      </c>
      <c r="BF196" s="528">
        <f t="shared" si="528"/>
        <v>2.6791871392093647</v>
      </c>
      <c r="BG196" s="528">
        <f t="shared" si="529"/>
        <v>4.5781837225581636E-2</v>
      </c>
      <c r="BH196" s="528">
        <f t="shared" si="484"/>
        <v>7.8837037035327292E-3</v>
      </c>
      <c r="BI196">
        <f t="shared" si="485"/>
        <v>3.2378030361113106E-3</v>
      </c>
      <c r="BJ196" s="460">
        <f t="shared" si="600"/>
        <v>49.019640261692949</v>
      </c>
      <c r="BK196">
        <f t="shared" si="530"/>
        <v>-8.2494695351513538</v>
      </c>
      <c r="BL196" s="460">
        <f t="shared" si="601"/>
        <v>18584.450206048663</v>
      </c>
      <c r="BM196" s="173">
        <f t="shared" si="531"/>
        <v>0.44788799999999995</v>
      </c>
      <c r="BN196" s="173">
        <f t="shared" si="532"/>
        <v>0.37323999999999996</v>
      </c>
      <c r="BO196" s="528"/>
      <c r="BQ196" s="460">
        <f t="shared" si="486"/>
        <v>821.12799999999982</v>
      </c>
      <c r="BR196" s="528">
        <f t="shared" si="487"/>
        <v>11.886269792155549</v>
      </c>
      <c r="BS196" s="528">
        <f t="shared" si="488"/>
        <v>2.3918468086659692E-2</v>
      </c>
      <c r="BT196" s="528">
        <f t="shared" si="489"/>
        <v>2.4919760725233132E-3</v>
      </c>
      <c r="BU196" s="528">
        <f t="shared" si="490"/>
        <v>248.82275988318924</v>
      </c>
      <c r="BV196" s="528"/>
      <c r="BW196" s="625">
        <f t="shared" si="533"/>
        <v>8.9925067832510024</v>
      </c>
      <c r="BX196" s="460">
        <f t="shared" si="607"/>
        <v>269727.94690275501</v>
      </c>
      <c r="BY196" s="173">
        <f t="shared" si="608"/>
        <v>289.13352510880361</v>
      </c>
      <c r="BZ196" s="5">
        <f t="shared" si="609"/>
        <v>92.88</v>
      </c>
      <c r="CA196" s="173">
        <f t="shared" si="610"/>
        <v>0.24313275288760069</v>
      </c>
      <c r="CB196" s="5">
        <f t="shared" si="611"/>
        <v>24.313275288760071</v>
      </c>
      <c r="CC196">
        <f t="shared" si="612"/>
        <v>86.000000000000014</v>
      </c>
      <c r="CE196" s="562">
        <f t="shared" si="534"/>
        <v>-50</v>
      </c>
      <c r="CF196">
        <f t="shared" si="535"/>
        <v>-50</v>
      </c>
      <c r="CG196" s="173">
        <f t="shared" si="536"/>
        <v>0.49996674565333021</v>
      </c>
      <c r="CH196" s="173">
        <f t="shared" si="537"/>
        <v>0.12441737294010324</v>
      </c>
      <c r="CI196" s="170">
        <v>86</v>
      </c>
      <c r="CJ196" s="217">
        <f t="shared" si="602"/>
        <v>0.51600000000000001</v>
      </c>
      <c r="CK196" s="217">
        <f t="shared" si="538"/>
        <v>0.43</v>
      </c>
      <c r="CL196" s="217">
        <f t="shared" si="539"/>
        <v>87.72</v>
      </c>
      <c r="CM196" s="217">
        <f t="shared" si="540"/>
        <v>5.16</v>
      </c>
      <c r="CN196" s="541">
        <f t="shared" si="541"/>
        <v>9</v>
      </c>
      <c r="CO196" s="443">
        <f t="shared" si="542"/>
        <v>8.5350000000000001</v>
      </c>
      <c r="CP196" s="443">
        <f t="shared" si="543"/>
        <v>17.535</v>
      </c>
      <c r="CQ196" s="443"/>
      <c r="CR196" s="217">
        <f t="shared" si="544"/>
        <v>0.48644793152639093</v>
      </c>
      <c r="CS196" s="172">
        <f t="shared" si="545"/>
        <v>137.82691393247745</v>
      </c>
      <c r="CT196" s="172">
        <f t="shared" si="546"/>
        <v>8.1074655254398493</v>
      </c>
      <c r="CU196" s="217">
        <f t="shared" si="547"/>
        <v>0.81074655254398498</v>
      </c>
      <c r="CV196" s="217">
        <f t="shared" si="548"/>
        <v>11.485576161039788</v>
      </c>
      <c r="CW196" s="217">
        <f t="shared" si="549"/>
        <v>170</v>
      </c>
      <c r="CX196" s="217">
        <f t="shared" si="550"/>
        <v>42.430029325513189</v>
      </c>
      <c r="CY196" s="217">
        <f t="shared" si="551"/>
        <v>2.3572238514173995</v>
      </c>
      <c r="CZ196" s="217">
        <f t="shared" si="552"/>
        <v>2.4856490524612296</v>
      </c>
      <c r="DA196" s="197">
        <f t="shared" si="553"/>
        <v>350</v>
      </c>
      <c r="DB196" s="443">
        <f t="shared" si="554"/>
        <v>206.4890035001963</v>
      </c>
      <c r="DD196" s="217">
        <f t="shared" si="555"/>
        <v>25.032384211169504</v>
      </c>
      <c r="DE196" s="173">
        <f t="shared" si="556"/>
        <v>1.4664548454112187</v>
      </c>
      <c r="DF196" s="173">
        <f t="shared" si="557"/>
        <v>0.30335794952229944</v>
      </c>
      <c r="DG196" s="173"/>
      <c r="DH196" s="173">
        <f t="shared" si="558"/>
        <v>0.78109744190587771</v>
      </c>
      <c r="DI196" s="545">
        <f t="shared" si="559"/>
        <v>2098.4050588235295</v>
      </c>
      <c r="DJ196" s="528">
        <f t="shared" si="560"/>
        <v>8.6065366284073561E-2</v>
      </c>
      <c r="DL196" s="173">
        <f t="shared" si="561"/>
        <v>32.580449878504048</v>
      </c>
      <c r="DM196" s="173">
        <f t="shared" si="562"/>
        <v>42.430029325513189</v>
      </c>
      <c r="DN196" s="173">
        <f t="shared" si="563"/>
        <v>22.753108142355448</v>
      </c>
      <c r="DP196" s="545">
        <f t="shared" si="564"/>
        <v>516</v>
      </c>
      <c r="DQ196" s="460">
        <f t="shared" si="565"/>
        <v>206.4890035001963</v>
      </c>
      <c r="DS196">
        <f t="shared" si="614"/>
        <v>516</v>
      </c>
      <c r="DT196">
        <f t="shared" si="615"/>
        <v>206.4890035001963</v>
      </c>
      <c r="DV196" s="5">
        <f t="shared" si="568"/>
        <v>4.8428729038786287</v>
      </c>
      <c r="DW196" s="5">
        <f t="shared" si="569"/>
        <v>2.3572238514173995</v>
      </c>
      <c r="DX196" s="5">
        <f t="shared" si="570"/>
        <v>2.4856490524612291</v>
      </c>
      <c r="DY196" s="173">
        <f t="shared" si="571"/>
        <v>0.48674080410607362</v>
      </c>
      <c r="EA196" s="5">
        <f t="shared" si="572"/>
        <v>0.71548676901845776</v>
      </c>
      <c r="EB196" s="5">
        <f t="shared" si="573"/>
        <v>8.4467188009123486</v>
      </c>
      <c r="EC196" s="5">
        <f t="shared" si="574"/>
        <v>38.762868423448715</v>
      </c>
      <c r="ED196" s="5"/>
      <c r="EE196" s="173">
        <f t="shared" si="575"/>
        <v>17.090768131242694</v>
      </c>
      <c r="EF196" s="173">
        <f t="shared" si="576"/>
        <v>0.82875754413775071</v>
      </c>
      <c r="EG196" s="173">
        <f t="shared" si="577"/>
        <v>0.65525202771799007</v>
      </c>
      <c r="EH196" s="173"/>
      <c r="EI196" s="528">
        <f t="shared" si="578"/>
        <v>11.683774212636036</v>
      </c>
      <c r="EJ196" s="528">
        <f t="shared" si="579"/>
        <v>4.2248250000000001</v>
      </c>
      <c r="EK196" s="528">
        <f t="shared" si="580"/>
        <v>4.1297800700039258E-2</v>
      </c>
      <c r="EL196" s="528">
        <f t="shared" si="581"/>
        <v>1.2698091860050428E-2</v>
      </c>
      <c r="EM196">
        <f t="shared" si="582"/>
        <v>4.0499999999999998E-3</v>
      </c>
      <c r="EN196" s="460">
        <f t="shared" si="583"/>
        <v>45.347800700039258</v>
      </c>
      <c r="EP196" s="460">
        <f t="shared" si="603"/>
        <v>15966.645105196127</v>
      </c>
      <c r="EQ196" s="173">
        <f t="shared" si="584"/>
        <v>0.36119999999999997</v>
      </c>
      <c r="ER196" s="173">
        <f t="shared" si="585"/>
        <v>0.37323999999999996</v>
      </c>
      <c r="ES196" s="528"/>
      <c r="EU196" s="460">
        <f t="shared" si="497"/>
        <v>734.43999999999994</v>
      </c>
      <c r="EV196" s="528">
        <f t="shared" si="586"/>
        <v>8.7628306594770269</v>
      </c>
      <c r="EW196" s="528">
        <f t="shared" si="587"/>
        <v>2.0605172008957073E-2</v>
      </c>
      <c r="EX196" s="528">
        <f t="shared" si="588"/>
        <v>2.1467760991426884E-3</v>
      </c>
      <c r="EY196" s="528">
        <f t="shared" si="589"/>
        <v>359.2490721856272</v>
      </c>
      <c r="EZ196" s="528"/>
      <c r="FA196" s="625">
        <f t="shared" si="590"/>
        <v>9.2935919664650601</v>
      </c>
      <c r="FB196" s="460">
        <f t="shared" si="613"/>
        <v>377328.24675967736</v>
      </c>
      <c r="FC196" s="173">
        <f t="shared" si="591"/>
        <v>394.02933186487348</v>
      </c>
      <c r="FD196" s="5">
        <f t="shared" si="592"/>
        <v>92.88</v>
      </c>
      <c r="FE196" s="173">
        <f t="shared" si="593"/>
        <v>0.19075419985126912</v>
      </c>
      <c r="FF196" s="5">
        <f t="shared" si="594"/>
        <v>19.075419985126914</v>
      </c>
      <c r="FG196">
        <f t="shared" si="595"/>
        <v>86.000000000000014</v>
      </c>
      <c r="FI196" s="562">
        <f t="shared" si="596"/>
        <v>-50</v>
      </c>
      <c r="FJ196">
        <f t="shared" si="597"/>
        <v>-50</v>
      </c>
    </row>
    <row r="197" spans="5:166">
      <c r="E197" s="170">
        <v>87</v>
      </c>
      <c r="F197" s="217">
        <f t="shared" si="598"/>
        <v>0.52200000000000002</v>
      </c>
      <c r="G197" s="217">
        <f t="shared" si="499"/>
        <v>0.435</v>
      </c>
      <c r="H197" s="217">
        <f t="shared" si="500"/>
        <v>88.740000000000009</v>
      </c>
      <c r="I197" s="217">
        <f t="shared" si="501"/>
        <v>5.22</v>
      </c>
      <c r="J197" s="541">
        <f t="shared" si="502"/>
        <v>7.1741308563742638</v>
      </c>
      <c r="K197" s="443">
        <f t="shared" si="503"/>
        <v>8.5467483814467702</v>
      </c>
      <c r="L197" s="172">
        <f t="shared" si="504"/>
        <v>15.720879237821034</v>
      </c>
      <c r="M197" s="443"/>
      <c r="N197" s="217">
        <f t="shared" si="505"/>
        <v>0.54365587650372271</v>
      </c>
      <c r="O197" s="172">
        <f t="shared" si="506"/>
        <v>122.78591255716189</v>
      </c>
      <c r="P197" s="172">
        <f t="shared" si="507"/>
        <v>7.2227007386565809</v>
      </c>
      <c r="Q197" s="217">
        <f t="shared" si="508"/>
        <v>0.72227007386565822</v>
      </c>
      <c r="R197" s="217">
        <f t="shared" si="509"/>
        <v>10.232159379763491</v>
      </c>
      <c r="S197" s="217">
        <f t="shared" si="510"/>
        <v>170</v>
      </c>
      <c r="T197" s="217">
        <f t="shared" si="511"/>
        <v>48.181423070385705</v>
      </c>
      <c r="U197" s="217">
        <f t="shared" si="512"/>
        <v>3.3579972288612621</v>
      </c>
      <c r="V197" s="217">
        <f t="shared" si="513"/>
        <v>2.818699049042888</v>
      </c>
      <c r="W197" s="197">
        <f t="shared" si="514"/>
        <v>350</v>
      </c>
      <c r="X197" s="443">
        <f t="shared" si="599"/>
        <v>156.82101772121305</v>
      </c>
      <c r="Z197" s="217">
        <f t="shared" si="515"/>
        <v>22.287190850711735</v>
      </c>
      <c r="AA197" s="173">
        <f t="shared" si="516"/>
        <v>1.3038403528465068</v>
      </c>
      <c r="AB197" s="173">
        <f t="shared" si="517"/>
        <v>0.2401398413296654</v>
      </c>
      <c r="AC197" s="173"/>
      <c r="AD197" s="173">
        <f t="shared" si="518"/>
        <v>0.78002374343190284</v>
      </c>
      <c r="AE197" s="545">
        <f t="shared" si="519"/>
        <v>2125.7271474372487</v>
      </c>
      <c r="AF197" s="528">
        <f t="shared" si="520"/>
        <v>8.5947060618885587E-2</v>
      </c>
      <c r="AH197" s="173">
        <f t="shared" si="521"/>
        <v>32.769323633980783</v>
      </c>
      <c r="AI197" s="173">
        <f t="shared" si="522"/>
        <v>48.181423070385705</v>
      </c>
      <c r="AJ197" s="173">
        <f t="shared" si="523"/>
        <v>27.013399805223976</v>
      </c>
      <c r="AL197" s="545">
        <f t="shared" si="524"/>
        <v>522</v>
      </c>
      <c r="AM197" s="460">
        <f t="shared" si="525"/>
        <v>156.82101772121305</v>
      </c>
      <c r="AO197">
        <f t="shared" si="526"/>
        <v>522</v>
      </c>
      <c r="AP197">
        <f t="shared" si="527"/>
        <v>156.82101772121305</v>
      </c>
      <c r="AR197" s="5">
        <f t="shared" si="443"/>
        <v>6.3766962779041494</v>
      </c>
      <c r="AS197" s="5">
        <f t="shared" si="604"/>
        <v>3.3579972288612621</v>
      </c>
      <c r="AT197" s="5">
        <f t="shared" si="605"/>
        <v>3.0186990490428873</v>
      </c>
      <c r="AU197" s="173">
        <f t="shared" si="606"/>
        <v>0.52660454293503633</v>
      </c>
      <c r="AW197" s="5">
        <f t="shared" si="477"/>
        <v>1.0311026785091642</v>
      </c>
      <c r="AX197" s="5">
        <f t="shared" si="478"/>
        <v>12.172739954622074</v>
      </c>
      <c r="AY197" s="5">
        <f t="shared" si="479"/>
        <v>59.743399494655876</v>
      </c>
      <c r="AZ197" s="5"/>
      <c r="BA197" s="173">
        <f t="shared" si="480"/>
        <v>20.186512561707104</v>
      </c>
      <c r="BB197" s="173">
        <f t="shared" si="481"/>
        <v>0.90381065983416664</v>
      </c>
      <c r="BC197" s="173">
        <f t="shared" si="482"/>
        <v>0.71459230955855602</v>
      </c>
      <c r="BD197" s="173"/>
      <c r="BE197" s="528">
        <f t="shared" si="483"/>
        <v>16.299811576158351</v>
      </c>
      <c r="BF197" s="528">
        <f t="shared" si="528"/>
        <v>2.6726570881166687</v>
      </c>
      <c r="BG197" s="528">
        <f t="shared" si="529"/>
        <v>4.5002180086470792E-2</v>
      </c>
      <c r="BH197" s="528">
        <f t="shared" si="484"/>
        <v>7.7515388294887629E-3</v>
      </c>
      <c r="BI197">
        <f t="shared" si="485"/>
        <v>3.2283588853684185E-3</v>
      </c>
      <c r="BJ197" s="460">
        <f t="shared" si="600"/>
        <v>48.230538971839209</v>
      </c>
      <c r="BK197">
        <f t="shared" si="530"/>
        <v>-8.1387087851316764</v>
      </c>
      <c r="BL197" s="460">
        <f t="shared" si="601"/>
        <v>19028.450742076348</v>
      </c>
      <c r="BM197" s="173">
        <f t="shared" si="531"/>
        <v>0.453096</v>
      </c>
      <c r="BN197" s="173">
        <f t="shared" si="532"/>
        <v>0.37757999999999997</v>
      </c>
      <c r="BO197" s="528"/>
      <c r="BQ197" s="460">
        <f t="shared" si="486"/>
        <v>830.67599999999993</v>
      </c>
      <c r="BR197" s="528">
        <f t="shared" si="487"/>
        <v>12.224858682118761</v>
      </c>
      <c r="BS197" s="528">
        <f t="shared" si="488"/>
        <v>2.450621126489615E-2</v>
      </c>
      <c r="BT197" s="528">
        <f t="shared" si="489"/>
        <v>2.553210844401156E-3</v>
      </c>
      <c r="BU197" s="528">
        <f t="shared" si="490"/>
        <v>248.130260694848</v>
      </c>
      <c r="BV197" s="528"/>
      <c r="BW197" s="625">
        <f t="shared" si="533"/>
        <v>9.1013019434982976</v>
      </c>
      <c r="BX197" s="460">
        <f t="shared" si="607"/>
        <v>269483.48074257438</v>
      </c>
      <c r="BY197" s="173">
        <f t="shared" si="608"/>
        <v>289.34260748465073</v>
      </c>
      <c r="BZ197" s="5">
        <f t="shared" si="609"/>
        <v>93.960000000000008</v>
      </c>
      <c r="CA197" s="173">
        <f t="shared" si="610"/>
        <v>0.24513269193912965</v>
      </c>
      <c r="CB197" s="5">
        <f t="shared" si="611"/>
        <v>24.513269193912965</v>
      </c>
      <c r="CC197">
        <f t="shared" si="612"/>
        <v>87.000000000000014</v>
      </c>
      <c r="CE197" s="562">
        <f t="shared" si="534"/>
        <v>-50</v>
      </c>
      <c r="CF197">
        <f t="shared" si="535"/>
        <v>-50</v>
      </c>
      <c r="CG197" s="173">
        <f t="shared" si="536"/>
        <v>0.49996674565333021</v>
      </c>
      <c r="CH197" s="173">
        <f t="shared" si="537"/>
        <v>0.12441737294010323</v>
      </c>
      <c r="CI197" s="170">
        <v>87</v>
      </c>
      <c r="CJ197" s="217">
        <f t="shared" si="602"/>
        <v>0.52200000000000002</v>
      </c>
      <c r="CK197" s="217">
        <f t="shared" si="538"/>
        <v>0.435</v>
      </c>
      <c r="CL197" s="217">
        <f t="shared" si="539"/>
        <v>88.740000000000009</v>
      </c>
      <c r="CM197" s="217">
        <f t="shared" si="540"/>
        <v>5.22</v>
      </c>
      <c r="CN197" s="541">
        <f t="shared" si="541"/>
        <v>9</v>
      </c>
      <c r="CO197" s="443">
        <f t="shared" si="542"/>
        <v>8.5350000000000001</v>
      </c>
      <c r="CP197" s="443">
        <f t="shared" si="543"/>
        <v>17.535</v>
      </c>
      <c r="CQ197" s="443"/>
      <c r="CR197" s="217">
        <f t="shared" si="544"/>
        <v>0.48644793152639093</v>
      </c>
      <c r="CS197" s="172">
        <f t="shared" si="545"/>
        <v>137.82691393247745</v>
      </c>
      <c r="CT197" s="172">
        <f t="shared" si="546"/>
        <v>8.1074655254398493</v>
      </c>
      <c r="CU197" s="217">
        <f t="shared" si="547"/>
        <v>0.81074655254398498</v>
      </c>
      <c r="CV197" s="217">
        <f t="shared" si="548"/>
        <v>11.485576161039788</v>
      </c>
      <c r="CW197" s="217">
        <f t="shared" si="549"/>
        <v>170</v>
      </c>
      <c r="CX197" s="217">
        <f t="shared" si="550"/>
        <v>42.92340175953079</v>
      </c>
      <c r="CY197" s="217">
        <f t="shared" si="551"/>
        <v>2.3846334310850441</v>
      </c>
      <c r="CZ197" s="217">
        <f t="shared" si="552"/>
        <v>2.5145519484200816</v>
      </c>
      <c r="DA197" s="197">
        <f t="shared" si="553"/>
        <v>350</v>
      </c>
      <c r="DB197" s="443">
        <f t="shared" si="554"/>
        <v>204.11556667835492</v>
      </c>
      <c r="DD197" s="217">
        <f t="shared" si="555"/>
        <v>25.032384211169504</v>
      </c>
      <c r="DE197" s="173">
        <f t="shared" si="556"/>
        <v>1.4664548454112187</v>
      </c>
      <c r="DF197" s="173">
        <f t="shared" si="557"/>
        <v>0.30335794952229944</v>
      </c>
      <c r="DG197" s="173"/>
      <c r="DH197" s="173">
        <f t="shared" si="558"/>
        <v>0.78109744190587771</v>
      </c>
      <c r="DI197" s="545">
        <f t="shared" si="559"/>
        <v>2122.805117647059</v>
      </c>
      <c r="DJ197" s="528">
        <f t="shared" si="560"/>
        <v>8.6065366284073561E-2</v>
      </c>
      <c r="DL197" s="173">
        <f t="shared" si="561"/>
        <v>32.769323633980783</v>
      </c>
      <c r="DM197" s="173">
        <f t="shared" si="562"/>
        <v>42.92340175953079</v>
      </c>
      <c r="DN197" s="173">
        <f t="shared" si="563"/>
        <v>23.118569204590706</v>
      </c>
      <c r="DP197" s="545">
        <f t="shared" si="564"/>
        <v>522</v>
      </c>
      <c r="DQ197" s="460">
        <f t="shared" si="565"/>
        <v>204.11556667835492</v>
      </c>
      <c r="DS197">
        <f t="shared" si="614"/>
        <v>522</v>
      </c>
      <c r="DT197">
        <f t="shared" si="615"/>
        <v>204.11556667835492</v>
      </c>
      <c r="DV197" s="5">
        <f t="shared" si="568"/>
        <v>4.8991853795051252</v>
      </c>
      <c r="DW197" s="5">
        <f t="shared" si="569"/>
        <v>2.3846334310850441</v>
      </c>
      <c r="DX197" s="5">
        <f t="shared" si="570"/>
        <v>2.5145519484200811</v>
      </c>
      <c r="DY197" s="173">
        <f t="shared" si="571"/>
        <v>0.48674080410607362</v>
      </c>
      <c r="EA197" s="5">
        <f t="shared" si="572"/>
        <v>0.73222273589787834</v>
      </c>
      <c r="EB197" s="5">
        <f t="shared" si="573"/>
        <v>8.6442961876832847</v>
      </c>
      <c r="EC197" s="5">
        <f t="shared" si="574"/>
        <v>39.669571538275207</v>
      </c>
      <c r="ED197" s="5"/>
      <c r="EE197" s="173">
        <f t="shared" si="575"/>
        <v>17.289497993233891</v>
      </c>
      <c r="EF197" s="173">
        <f t="shared" si="576"/>
        <v>0.83839425976725945</v>
      </c>
      <c r="EG197" s="173">
        <f t="shared" si="577"/>
        <v>0.66287123734261777</v>
      </c>
      <c r="EH197" s="173"/>
      <c r="EI197" s="528">
        <f t="shared" si="578"/>
        <v>11.957069634321549</v>
      </c>
      <c r="EJ197" s="528">
        <f t="shared" si="579"/>
        <v>4.2248250000000001</v>
      </c>
      <c r="EK197" s="528">
        <f t="shared" si="580"/>
        <v>4.0823113335670985E-2</v>
      </c>
      <c r="EL197" s="528">
        <f t="shared" si="581"/>
        <v>1.255213678119927E-2</v>
      </c>
      <c r="EM197">
        <f t="shared" si="582"/>
        <v>4.0499999999999998E-3</v>
      </c>
      <c r="EN197" s="460">
        <f t="shared" si="583"/>
        <v>44.873113335670986</v>
      </c>
      <c r="EP197" s="460">
        <f t="shared" si="603"/>
        <v>16239.319884438415</v>
      </c>
      <c r="EQ197" s="173">
        <f t="shared" si="584"/>
        <v>0.3654</v>
      </c>
      <c r="ER197" s="173">
        <f t="shared" si="585"/>
        <v>0.37757999999999997</v>
      </c>
      <c r="ES197" s="528"/>
      <c r="EU197" s="460">
        <f t="shared" si="497"/>
        <v>742.98</v>
      </c>
      <c r="EV197" s="528">
        <f t="shared" si="586"/>
        <v>8.9678022257411616</v>
      </c>
      <c r="EW197" s="528">
        <f t="shared" si="587"/>
        <v>2.1087148044320728E-2</v>
      </c>
      <c r="EX197" s="528">
        <f t="shared" si="588"/>
        <v>2.1969913864806657E-3</v>
      </c>
      <c r="EY197" s="528">
        <f t="shared" si="589"/>
        <v>359.24907218562589</v>
      </c>
      <c r="EZ197" s="528"/>
      <c r="FA197" s="625">
        <f t="shared" si="590"/>
        <v>9.4016569893309327</v>
      </c>
      <c r="FB197" s="460">
        <f t="shared" si="613"/>
        <v>377641.81554012879</v>
      </c>
      <c r="FC197" s="173">
        <f t="shared" si="591"/>
        <v>394.62411542456721</v>
      </c>
      <c r="FD197" s="5">
        <f t="shared" si="592"/>
        <v>93.960000000000008</v>
      </c>
      <c r="FE197" s="173">
        <f t="shared" si="593"/>
        <v>0.19231079569246975</v>
      </c>
      <c r="FF197" s="5">
        <f t="shared" si="594"/>
        <v>19.231079569246976</v>
      </c>
      <c r="FG197">
        <f t="shared" si="595"/>
        <v>87.000000000000014</v>
      </c>
      <c r="FI197" s="562">
        <f t="shared" si="596"/>
        <v>-50</v>
      </c>
      <c r="FJ197">
        <f t="shared" si="597"/>
        <v>-50</v>
      </c>
    </row>
    <row r="198" spans="5:166">
      <c r="E198" s="170">
        <v>88</v>
      </c>
      <c r="F198" s="217">
        <f t="shared" si="598"/>
        <v>0.52800000000000002</v>
      </c>
      <c r="G198" s="217">
        <f t="shared" si="499"/>
        <v>0.44</v>
      </c>
      <c r="H198" s="217">
        <f t="shared" si="500"/>
        <v>89.76</v>
      </c>
      <c r="I198" s="217">
        <f t="shared" si="501"/>
        <v>5.28</v>
      </c>
      <c r="J198" s="541">
        <f t="shared" si="502"/>
        <v>7.1531438547233943</v>
      </c>
      <c r="K198" s="443">
        <f t="shared" si="503"/>
        <v>8.546883420313975</v>
      </c>
      <c r="L198" s="172">
        <f t="shared" si="504"/>
        <v>15.700027275037369</v>
      </c>
      <c r="M198" s="443"/>
      <c r="N198" s="217">
        <f t="shared" si="505"/>
        <v>0.54438653325802144</v>
      </c>
      <c r="O198" s="172">
        <f t="shared" si="506"/>
        <v>122.59125582309152</v>
      </c>
      <c r="P198" s="172">
        <f t="shared" si="507"/>
        <v>7.2112503425347949</v>
      </c>
      <c r="Q198" s="217">
        <f t="shared" si="508"/>
        <v>0.72112503425347951</v>
      </c>
      <c r="R198" s="217">
        <f t="shared" si="509"/>
        <v>10.215937985257627</v>
      </c>
      <c r="S198" s="217">
        <f t="shared" si="510"/>
        <v>170</v>
      </c>
      <c r="T198" s="217">
        <f t="shared" si="511"/>
        <v>48.81261685283139</v>
      </c>
      <c r="U198" s="217">
        <f t="shared" si="512"/>
        <v>3.411969467145501</v>
      </c>
      <c r="V198" s="217">
        <f t="shared" si="513"/>
        <v>2.8555798910755601</v>
      </c>
      <c r="W198" s="197">
        <f t="shared" si="514"/>
        <v>350</v>
      </c>
      <c r="X198" s="443">
        <f t="shared" si="599"/>
        <v>154.61807009309877</v>
      </c>
      <c r="Z198" s="217">
        <f t="shared" si="515"/>
        <v>22.251858199821655</v>
      </c>
      <c r="AA198" s="173">
        <f t="shared" si="516"/>
        <v>1.3017527621199387</v>
      </c>
      <c r="AB198" s="173">
        <f t="shared" si="517"/>
        <v>0.23937525881919211</v>
      </c>
      <c r="AC198" s="173"/>
      <c r="AD198" s="173">
        <f t="shared" si="518"/>
        <v>0.78001141922932216</v>
      </c>
      <c r="AE198" s="545">
        <f t="shared" si="519"/>
        <v>2150.1947654116948</v>
      </c>
      <c r="AF198" s="528">
        <f t="shared" si="520"/>
        <v>8.594570267434197E-2</v>
      </c>
      <c r="AH198" s="173">
        <f t="shared" si="521"/>
        <v>32.957114991628572</v>
      </c>
      <c r="AI198" s="173">
        <f t="shared" si="522"/>
        <v>48.81261685283139</v>
      </c>
      <c r="AJ198" s="173">
        <f t="shared" si="523"/>
        <v>27.480950755183745</v>
      </c>
      <c r="AL198" s="545">
        <f t="shared" si="524"/>
        <v>528</v>
      </c>
      <c r="AM198" s="460">
        <f t="shared" si="525"/>
        <v>154.61807009309877</v>
      </c>
      <c r="AO198">
        <f t="shared" si="526"/>
        <v>528</v>
      </c>
      <c r="AP198">
        <f t="shared" si="527"/>
        <v>154.61807009309877</v>
      </c>
      <c r="AR198" s="5">
        <f t="shared" ref="AR198:AR262" si="616">1/AM198*1000</f>
        <v>6.4675493582210617</v>
      </c>
      <c r="AS198" s="5">
        <f t="shared" si="604"/>
        <v>3.411969467145501</v>
      </c>
      <c r="AT198" s="5">
        <f t="shared" si="605"/>
        <v>3.0555798910755607</v>
      </c>
      <c r="AU198" s="173">
        <f t="shared" si="606"/>
        <v>0.52755213422661584</v>
      </c>
      <c r="AW198" s="5">
        <f t="shared" si="477"/>
        <v>1.0597175756781321</v>
      </c>
      <c r="AX198" s="5">
        <f t="shared" si="478"/>
        <v>12.510554712866837</v>
      </c>
      <c r="AY198" s="5">
        <f t="shared" si="479"/>
        <v>61.347873123918454</v>
      </c>
      <c r="AZ198" s="5"/>
      <c r="BA198" s="173">
        <f t="shared" si="480"/>
        <v>20.469354889366652</v>
      </c>
      <c r="BB198" s="173">
        <f t="shared" si="481"/>
        <v>0.91473401698929779</v>
      </c>
      <c r="BC198" s="173">
        <f t="shared" si="482"/>
        <v>0.72322879434957454</v>
      </c>
      <c r="BD198" s="173"/>
      <c r="BE198" s="528">
        <f t="shared" si="483"/>
        <v>16.759779583473538</v>
      </c>
      <c r="BF198" s="528">
        <f t="shared" si="528"/>
        <v>2.6660928125857164</v>
      </c>
      <c r="BG198" s="528">
        <f t="shared" si="529"/>
        <v>4.4240211916625617E-2</v>
      </c>
      <c r="BH198" s="528">
        <f t="shared" si="484"/>
        <v>7.6223881035742446E-3</v>
      </c>
      <c r="BI198">
        <f t="shared" si="485"/>
        <v>3.2189147346255273E-3</v>
      </c>
      <c r="BJ198" s="460">
        <f t="shared" si="600"/>
        <v>47.459126651251147</v>
      </c>
      <c r="BK198">
        <f t="shared" si="530"/>
        <v>-8.0340851862895892</v>
      </c>
      <c r="BL198" s="460">
        <f t="shared" si="601"/>
        <v>19480.953910814078</v>
      </c>
      <c r="BM198" s="173">
        <f t="shared" si="531"/>
        <v>0.45830399999999999</v>
      </c>
      <c r="BN198" s="173">
        <f t="shared" si="532"/>
        <v>0.38191999999999998</v>
      </c>
      <c r="BO198" s="528"/>
      <c r="BQ198" s="460">
        <f t="shared" si="486"/>
        <v>840.22399999999993</v>
      </c>
      <c r="BR198" s="528">
        <f t="shared" si="487"/>
        <v>12.569834687605153</v>
      </c>
      <c r="BS198" s="528">
        <f t="shared" si="488"/>
        <v>2.5102149655121309E-2</v>
      </c>
      <c r="BT198" s="528">
        <f t="shared" si="489"/>
        <v>2.6152994448816959E-3</v>
      </c>
      <c r="BU198" s="528">
        <f t="shared" si="490"/>
        <v>247.42914365545263</v>
      </c>
      <c r="BV198" s="528"/>
      <c r="BW198" s="625">
        <f t="shared" si="533"/>
        <v>9.2101019723670419</v>
      </c>
      <c r="BX198" s="460">
        <f t="shared" si="607"/>
        <v>269236.79776452488</v>
      </c>
      <c r="BY198" s="173">
        <f t="shared" si="608"/>
        <v>289.55797567533892</v>
      </c>
      <c r="BZ198" s="5">
        <f t="shared" si="609"/>
        <v>95.04</v>
      </c>
      <c r="CA198" s="173">
        <f t="shared" si="610"/>
        <v>0.24711518523495477</v>
      </c>
      <c r="CB198" s="5">
        <f t="shared" si="611"/>
        <v>24.711518523495478</v>
      </c>
      <c r="CC198">
        <f t="shared" si="612"/>
        <v>88.000000000000014</v>
      </c>
      <c r="CE198" s="562">
        <f t="shared" si="534"/>
        <v>-50</v>
      </c>
      <c r="CF198">
        <f t="shared" si="535"/>
        <v>-50</v>
      </c>
      <c r="CG198" s="173">
        <f t="shared" si="536"/>
        <v>0.49996674565333032</v>
      </c>
      <c r="CH198" s="173">
        <f t="shared" si="537"/>
        <v>0.12441737294010324</v>
      </c>
      <c r="CI198" s="170">
        <v>88</v>
      </c>
      <c r="CJ198" s="217">
        <f t="shared" si="602"/>
        <v>0.52800000000000002</v>
      </c>
      <c r="CK198" s="217">
        <f t="shared" si="538"/>
        <v>0.44</v>
      </c>
      <c r="CL198" s="217">
        <f t="shared" si="539"/>
        <v>89.76</v>
      </c>
      <c r="CM198" s="217">
        <f t="shared" si="540"/>
        <v>5.28</v>
      </c>
      <c r="CN198" s="541">
        <f t="shared" si="541"/>
        <v>9</v>
      </c>
      <c r="CO198" s="443">
        <f t="shared" si="542"/>
        <v>8.5350000000000001</v>
      </c>
      <c r="CP198" s="443">
        <f t="shared" si="543"/>
        <v>17.535</v>
      </c>
      <c r="CQ198" s="443"/>
      <c r="CR198" s="217">
        <f t="shared" si="544"/>
        <v>0.48644793152639093</v>
      </c>
      <c r="CS198" s="172">
        <f t="shared" si="545"/>
        <v>137.82691393247745</v>
      </c>
      <c r="CT198" s="172">
        <f t="shared" si="546"/>
        <v>8.1074655254398493</v>
      </c>
      <c r="CU198" s="217">
        <f t="shared" si="547"/>
        <v>0.81074655254398498</v>
      </c>
      <c r="CV198" s="217">
        <f t="shared" si="548"/>
        <v>11.485576161039788</v>
      </c>
      <c r="CW198" s="217">
        <f t="shared" si="549"/>
        <v>170</v>
      </c>
      <c r="CX198" s="217">
        <f t="shared" si="550"/>
        <v>43.416774193548385</v>
      </c>
      <c r="CY198" s="217">
        <f t="shared" si="551"/>
        <v>2.4120430107526878</v>
      </c>
      <c r="CZ198" s="217">
        <f t="shared" si="552"/>
        <v>2.5434548443789327</v>
      </c>
      <c r="DA198" s="197">
        <f t="shared" si="553"/>
        <v>350</v>
      </c>
      <c r="DB198" s="443">
        <f t="shared" si="554"/>
        <v>201.79607160246456</v>
      </c>
      <c r="DD198" s="217">
        <f t="shared" si="555"/>
        <v>25.032384211169504</v>
      </c>
      <c r="DE198" s="173">
        <f t="shared" si="556"/>
        <v>1.4664548454112187</v>
      </c>
      <c r="DF198" s="173">
        <f t="shared" si="557"/>
        <v>0.30335794952229944</v>
      </c>
      <c r="DG198" s="173"/>
      <c r="DH198" s="173">
        <f t="shared" si="558"/>
        <v>0.78109744190587771</v>
      </c>
      <c r="DI198" s="545">
        <f t="shared" si="559"/>
        <v>2147.2051764705884</v>
      </c>
      <c r="DJ198" s="528">
        <f t="shared" si="560"/>
        <v>8.6065366284073561E-2</v>
      </c>
      <c r="DL198" s="173">
        <f t="shared" si="561"/>
        <v>32.957114991628572</v>
      </c>
      <c r="DM198" s="173">
        <f t="shared" si="562"/>
        <v>43.416774193548385</v>
      </c>
      <c r="DN198" s="173">
        <f t="shared" si="563"/>
        <v>23.484030266825961</v>
      </c>
      <c r="DP198" s="545">
        <f t="shared" si="564"/>
        <v>528</v>
      </c>
      <c r="DQ198" s="460">
        <f t="shared" si="565"/>
        <v>201.79607160246456</v>
      </c>
      <c r="DS198">
        <f t="shared" si="614"/>
        <v>528</v>
      </c>
      <c r="DT198">
        <f t="shared" si="615"/>
        <v>201.79607160246456</v>
      </c>
      <c r="DV198" s="5">
        <f t="shared" si="568"/>
        <v>4.9554978551316209</v>
      </c>
      <c r="DW198" s="5">
        <f t="shared" si="569"/>
        <v>2.4120430107526878</v>
      </c>
      <c r="DX198" s="5">
        <f t="shared" si="570"/>
        <v>2.5434548443789331</v>
      </c>
      <c r="DY198" s="173">
        <f t="shared" si="571"/>
        <v>0.48674080410607351</v>
      </c>
      <c r="EA198" s="5">
        <f t="shared" si="572"/>
        <v>0.7491521821631878</v>
      </c>
      <c r="EB198" s="5">
        <f t="shared" si="573"/>
        <v>8.8441577060931866</v>
      </c>
      <c r="EC198" s="5">
        <f t="shared" si="574"/>
        <v>40.586756770036104</v>
      </c>
      <c r="ED198" s="5"/>
      <c r="EE198" s="173">
        <f t="shared" si="575"/>
        <v>17.488227855225084</v>
      </c>
      <c r="EF198" s="173">
        <f t="shared" si="576"/>
        <v>0.84803097539676842</v>
      </c>
      <c r="EG198" s="173">
        <f t="shared" si="577"/>
        <v>0.67049044696724569</v>
      </c>
      <c r="EH198" s="173"/>
      <c r="EI198" s="528">
        <f t="shared" si="578"/>
        <v>12.233524540650821</v>
      </c>
      <c r="EJ198" s="528">
        <f t="shared" si="579"/>
        <v>4.2248250000000009</v>
      </c>
      <c r="EK198" s="528">
        <f t="shared" si="580"/>
        <v>4.0359214320492907E-2</v>
      </c>
      <c r="EL198" s="528">
        <f t="shared" si="581"/>
        <v>1.2409498863231101E-2</v>
      </c>
      <c r="EM198">
        <f t="shared" si="582"/>
        <v>4.0499999999999998E-3</v>
      </c>
      <c r="EN198" s="460">
        <f t="shared" si="583"/>
        <v>44.409214320492907</v>
      </c>
      <c r="EP198" s="460">
        <f t="shared" si="603"/>
        <v>16515.168253834545</v>
      </c>
      <c r="EQ198" s="173">
        <f t="shared" si="584"/>
        <v>0.36959999999999998</v>
      </c>
      <c r="ER198" s="173">
        <f t="shared" si="585"/>
        <v>0.38191999999999998</v>
      </c>
      <c r="ES198" s="528"/>
      <c r="EU198" s="460">
        <f t="shared" si="497"/>
        <v>751.52</v>
      </c>
      <c r="EV198" s="528">
        <f t="shared" si="586"/>
        <v>9.1751434054881162</v>
      </c>
      <c r="EW198" s="528">
        <f t="shared" si="587"/>
        <v>2.1574696056971831E-2</v>
      </c>
      <c r="EX198" s="528">
        <f t="shared" si="588"/>
        <v>2.2477871973716848E-3</v>
      </c>
      <c r="EY198" s="528">
        <f t="shared" si="589"/>
        <v>359.24907218562652</v>
      </c>
      <c r="EZ198" s="528"/>
      <c r="FA198" s="625">
        <f t="shared" si="590"/>
        <v>9.5097220121968054</v>
      </c>
      <c r="FB198" s="460">
        <f t="shared" si="613"/>
        <v>377957.76008656574</v>
      </c>
      <c r="FC198" s="173">
        <f t="shared" si="591"/>
        <v>395.22444834040033</v>
      </c>
      <c r="FD198" s="5">
        <f t="shared" si="592"/>
        <v>95.04</v>
      </c>
      <c r="FE198" s="173">
        <f t="shared" si="593"/>
        <v>0.19385456220968289</v>
      </c>
      <c r="FF198" s="5">
        <f t="shared" si="594"/>
        <v>19.38545622096829</v>
      </c>
      <c r="FG198">
        <f t="shared" si="595"/>
        <v>88.000000000000014</v>
      </c>
      <c r="FI198" s="562">
        <f t="shared" si="596"/>
        <v>-50</v>
      </c>
      <c r="FJ198">
        <f t="shared" si="597"/>
        <v>-50</v>
      </c>
    </row>
    <row r="199" spans="5:166">
      <c r="E199" s="170">
        <v>89</v>
      </c>
      <c r="F199" s="217">
        <f t="shared" si="598"/>
        <v>0.53400000000000003</v>
      </c>
      <c r="G199" s="217">
        <f t="shared" si="499"/>
        <v>0.44500000000000001</v>
      </c>
      <c r="H199" s="217">
        <f t="shared" si="500"/>
        <v>90.78</v>
      </c>
      <c r="I199" s="217">
        <f t="shared" si="501"/>
        <v>5.34</v>
      </c>
      <c r="J199" s="541">
        <f t="shared" si="502"/>
        <v>7.132156853072523</v>
      </c>
      <c r="K199" s="443">
        <f t="shared" si="503"/>
        <v>8.5470184591811798</v>
      </c>
      <c r="L199" s="172">
        <f t="shared" si="504"/>
        <v>15.679175312253703</v>
      </c>
      <c r="M199" s="443"/>
      <c r="N199" s="217">
        <f t="shared" si="505"/>
        <v>0.54511913343436191</v>
      </c>
      <c r="O199" s="172">
        <f t="shared" si="506"/>
        <v>122.39606995463384</v>
      </c>
      <c r="P199" s="172">
        <f t="shared" si="507"/>
        <v>7.1997688208608137</v>
      </c>
      <c r="Q199" s="217">
        <f t="shared" si="508"/>
        <v>0.71997688208608146</v>
      </c>
      <c r="R199" s="217">
        <f t="shared" si="509"/>
        <v>10.199672496219486</v>
      </c>
      <c r="S199" s="217">
        <f t="shared" si="510"/>
        <v>170</v>
      </c>
      <c r="T199" s="217">
        <f t="shared" si="511"/>
        <v>49.44603206821246</v>
      </c>
      <c r="U199" s="217">
        <f t="shared" si="512"/>
        <v>3.4664150751894343</v>
      </c>
      <c r="V199" s="217">
        <f t="shared" si="513"/>
        <v>2.892589521384366</v>
      </c>
      <c r="W199" s="197">
        <f t="shared" si="514"/>
        <v>350</v>
      </c>
      <c r="X199" s="443">
        <f t="shared" si="599"/>
        <v>152.46215874316749</v>
      </c>
      <c r="Z199" s="217">
        <f t="shared" si="515"/>
        <v>22.216429504370513</v>
      </c>
      <c r="AA199" s="173">
        <f t="shared" si="516"/>
        <v>1.2996596187589657</v>
      </c>
      <c r="AB199" s="173">
        <f t="shared" si="517"/>
        <v>0.23860984442225266</v>
      </c>
      <c r="AC199" s="173"/>
      <c r="AD199" s="173">
        <f t="shared" si="518"/>
        <v>0.77999909541617463</v>
      </c>
      <c r="AE199" s="545">
        <f t="shared" si="519"/>
        <v>2174.6631554907221</v>
      </c>
      <c r="AF199" s="528">
        <f t="shared" si="520"/>
        <v>8.5944344772708126E-2</v>
      </c>
      <c r="AH199" s="173">
        <f t="shared" si="521"/>
        <v>33.14384234988885</v>
      </c>
      <c r="AI199" s="173">
        <f t="shared" si="522"/>
        <v>49.44603206821246</v>
      </c>
      <c r="AJ199" s="173">
        <f t="shared" si="523"/>
        <v>27.950147211021573</v>
      </c>
      <c r="AL199" s="545">
        <f t="shared" si="524"/>
        <v>534</v>
      </c>
      <c r="AM199" s="460">
        <f t="shared" si="525"/>
        <v>152.46215874316749</v>
      </c>
      <c r="AO199">
        <f t="shared" si="526"/>
        <v>534</v>
      </c>
      <c r="AP199">
        <f t="shared" si="527"/>
        <v>152.46215874316749</v>
      </c>
      <c r="AR199" s="5">
        <f t="shared" si="616"/>
        <v>6.5590045965738</v>
      </c>
      <c r="AS199" s="5">
        <f t="shared" si="604"/>
        <v>3.4664150751894343</v>
      </c>
      <c r="AT199" s="5">
        <f t="shared" si="605"/>
        <v>3.0925895213843657</v>
      </c>
      <c r="AU199" s="173">
        <f t="shared" si="606"/>
        <v>0.52849712546324046</v>
      </c>
      <c r="AW199" s="5">
        <f t="shared" si="477"/>
        <v>1.08886214714774</v>
      </c>
      <c r="AX199" s="5">
        <f t="shared" si="478"/>
        <v>12.854622570494152</v>
      </c>
      <c r="AY199" s="5">
        <f t="shared" si="479"/>
        <v>62.981290520626295</v>
      </c>
      <c r="AZ199" s="5"/>
      <c r="BA199" s="173">
        <f t="shared" si="480"/>
        <v>20.753537474763291</v>
      </c>
      <c r="BB199" s="173">
        <f t="shared" si="481"/>
        <v>0.92567686942123761</v>
      </c>
      <c r="BC199" s="173">
        <f t="shared" si="482"/>
        <v>0.73188069296065439</v>
      </c>
      <c r="BD199" s="173"/>
      <c r="BE199" s="528">
        <f t="shared" si="483"/>
        <v>17.228372708656174</v>
      </c>
      <c r="BF199" s="528">
        <f t="shared" si="528"/>
        <v>2.659495410050551</v>
      </c>
      <c r="BG199" s="528">
        <f t="shared" si="529"/>
        <v>4.3495361212572525E-2</v>
      </c>
      <c r="BH199" s="528">
        <f t="shared" si="484"/>
        <v>7.4961538706895432E-3</v>
      </c>
      <c r="BI199">
        <f t="shared" si="485"/>
        <v>3.2094705838826352E-3</v>
      </c>
      <c r="BJ199" s="460">
        <f t="shared" si="600"/>
        <v>46.70483179645516</v>
      </c>
      <c r="BK199">
        <f t="shared" si="530"/>
        <v>-7.9351322296826758</v>
      </c>
      <c r="BL199" s="460">
        <f t="shared" si="601"/>
        <v>19942.069104373866</v>
      </c>
      <c r="BM199" s="173">
        <f t="shared" si="531"/>
        <v>0.46351200000000004</v>
      </c>
      <c r="BN199" s="173">
        <f t="shared" si="532"/>
        <v>0.38625999999999999</v>
      </c>
      <c r="BO199" s="528"/>
      <c r="BQ199" s="460">
        <f t="shared" si="486"/>
        <v>849.77199999999993</v>
      </c>
      <c r="BR199" s="528">
        <f t="shared" si="487"/>
        <v>12.921279531492129</v>
      </c>
      <c r="BS199" s="528">
        <f t="shared" si="488"/>
        <v>2.5706329997445088E-2</v>
      </c>
      <c r="BT199" s="528">
        <f t="shared" si="489"/>
        <v>2.6782467436428383E-3</v>
      </c>
      <c r="BU199" s="528">
        <f t="shared" si="490"/>
        <v>246.71967350867828</v>
      </c>
      <c r="BV199" s="528"/>
      <c r="BW199" s="625">
        <f t="shared" si="533"/>
        <v>9.3189067460321375</v>
      </c>
      <c r="BX199" s="460">
        <f t="shared" si="607"/>
        <v>268988.24436294363</v>
      </c>
      <c r="BY199" s="173">
        <f t="shared" si="608"/>
        <v>289.78008546731752</v>
      </c>
      <c r="BZ199" s="5">
        <f t="shared" si="609"/>
        <v>96.12</v>
      </c>
      <c r="CA199" s="173">
        <f t="shared" si="610"/>
        <v>0.24908001739258634</v>
      </c>
      <c r="CB199" s="5">
        <f t="shared" si="611"/>
        <v>24.908001739258633</v>
      </c>
      <c r="CC199">
        <f t="shared" si="612"/>
        <v>89.000000000000014</v>
      </c>
      <c r="CE199" s="562">
        <f t="shared" si="534"/>
        <v>-50</v>
      </c>
      <c r="CF199">
        <f t="shared" si="535"/>
        <v>-50</v>
      </c>
      <c r="CG199" s="173">
        <f t="shared" si="536"/>
        <v>0.49996674565333021</v>
      </c>
      <c r="CH199" s="173">
        <f t="shared" si="537"/>
        <v>0.12441737294010323</v>
      </c>
      <c r="CI199" s="170">
        <v>89</v>
      </c>
      <c r="CJ199" s="217">
        <f t="shared" si="602"/>
        <v>0.53400000000000003</v>
      </c>
      <c r="CK199" s="217">
        <f t="shared" si="538"/>
        <v>0.44500000000000001</v>
      </c>
      <c r="CL199" s="217">
        <f t="shared" si="539"/>
        <v>90.78</v>
      </c>
      <c r="CM199" s="217">
        <f t="shared" si="540"/>
        <v>5.34</v>
      </c>
      <c r="CN199" s="541">
        <f t="shared" si="541"/>
        <v>9</v>
      </c>
      <c r="CO199" s="443">
        <f t="shared" si="542"/>
        <v>8.5350000000000001</v>
      </c>
      <c r="CP199" s="443">
        <f t="shared" si="543"/>
        <v>17.535</v>
      </c>
      <c r="CQ199" s="443"/>
      <c r="CR199" s="217">
        <f t="shared" si="544"/>
        <v>0.48644793152639093</v>
      </c>
      <c r="CS199" s="172">
        <f t="shared" si="545"/>
        <v>137.82691393247745</v>
      </c>
      <c r="CT199" s="172">
        <f t="shared" si="546"/>
        <v>8.1074655254398493</v>
      </c>
      <c r="CU199" s="217">
        <f t="shared" si="547"/>
        <v>0.81074655254398498</v>
      </c>
      <c r="CV199" s="217">
        <f t="shared" si="548"/>
        <v>11.485576161039788</v>
      </c>
      <c r="CW199" s="217">
        <f t="shared" si="549"/>
        <v>170</v>
      </c>
      <c r="CX199" s="217">
        <f t="shared" si="550"/>
        <v>43.910146627565979</v>
      </c>
      <c r="CY199" s="217">
        <f t="shared" si="551"/>
        <v>2.4394525904203319</v>
      </c>
      <c r="CZ199" s="217">
        <f t="shared" si="552"/>
        <v>2.5723577403377842</v>
      </c>
      <c r="DA199" s="197">
        <f t="shared" si="553"/>
        <v>350</v>
      </c>
      <c r="DB199" s="443">
        <f t="shared" si="554"/>
        <v>199.52870001142563</v>
      </c>
      <c r="DD199" s="217">
        <f t="shared" si="555"/>
        <v>25.032384211169504</v>
      </c>
      <c r="DE199" s="173">
        <f t="shared" si="556"/>
        <v>1.4664548454112187</v>
      </c>
      <c r="DF199" s="173">
        <f t="shared" si="557"/>
        <v>0.30335794952229944</v>
      </c>
      <c r="DG199" s="173"/>
      <c r="DH199" s="173">
        <f t="shared" si="558"/>
        <v>0.78109744190587771</v>
      </c>
      <c r="DI199" s="545">
        <f t="shared" si="559"/>
        <v>2171.6052352941178</v>
      </c>
      <c r="DJ199" s="528">
        <f t="shared" si="560"/>
        <v>8.6065366284073561E-2</v>
      </c>
      <c r="DL199" s="173">
        <f t="shared" si="561"/>
        <v>33.14384234988885</v>
      </c>
      <c r="DM199" s="173">
        <f t="shared" si="562"/>
        <v>43.910146627565979</v>
      </c>
      <c r="DN199" s="173">
        <f t="shared" si="563"/>
        <v>23.849491329061216</v>
      </c>
      <c r="DP199" s="545">
        <f t="shared" si="564"/>
        <v>534</v>
      </c>
      <c r="DQ199" s="460">
        <f t="shared" si="565"/>
        <v>199.52870001142563</v>
      </c>
      <c r="DS199">
        <f t="shared" si="614"/>
        <v>534</v>
      </c>
      <c r="DT199">
        <f t="shared" si="615"/>
        <v>199.52870001142563</v>
      </c>
      <c r="DV199" s="5">
        <f t="shared" si="568"/>
        <v>5.0118103307581165</v>
      </c>
      <c r="DW199" s="5">
        <f t="shared" si="569"/>
        <v>2.4394525904203319</v>
      </c>
      <c r="DX199" s="5">
        <f t="shared" si="570"/>
        <v>2.5723577403377846</v>
      </c>
      <c r="DY199" s="173">
        <f t="shared" si="571"/>
        <v>0.48674080410607351</v>
      </c>
      <c r="EA199" s="5">
        <f t="shared" si="572"/>
        <v>0.76627510781438657</v>
      </c>
      <c r="EB199" s="5">
        <f t="shared" si="573"/>
        <v>9.0463033561420634</v>
      </c>
      <c r="EC199" s="5">
        <f t="shared" si="574"/>
        <v>41.514424118731391</v>
      </c>
      <c r="ED199" s="5"/>
      <c r="EE199" s="173">
        <f t="shared" si="575"/>
        <v>17.686957717216277</v>
      </c>
      <c r="EF199" s="173">
        <f t="shared" si="576"/>
        <v>0.85766769102627716</v>
      </c>
      <c r="EG199" s="173">
        <f t="shared" si="577"/>
        <v>0.6781096565918735</v>
      </c>
      <c r="EH199" s="173"/>
      <c r="EI199" s="528">
        <f t="shared" si="578"/>
        <v>12.513138931623857</v>
      </c>
      <c r="EJ199" s="528">
        <f t="shared" si="579"/>
        <v>4.2248250000000001</v>
      </c>
      <c r="EK199" s="528">
        <f t="shared" si="580"/>
        <v>3.9905740002285119E-2</v>
      </c>
      <c r="EL199" s="528">
        <f t="shared" si="581"/>
        <v>1.2270066291734123E-2</v>
      </c>
      <c r="EM199">
        <f t="shared" si="582"/>
        <v>4.0499999999999998E-3</v>
      </c>
      <c r="EN199" s="460">
        <f t="shared" si="583"/>
        <v>43.955740002285118</v>
      </c>
      <c r="EP199" s="460">
        <f t="shared" si="603"/>
        <v>16794.189737917877</v>
      </c>
      <c r="EQ199" s="173">
        <f t="shared" si="584"/>
        <v>0.37380000000000002</v>
      </c>
      <c r="ER199" s="173">
        <f t="shared" si="585"/>
        <v>0.38625999999999999</v>
      </c>
      <c r="ES199" s="528"/>
      <c r="EU199" s="460">
        <f t="shared" si="497"/>
        <v>760.06</v>
      </c>
      <c r="EV199" s="528">
        <f t="shared" si="586"/>
        <v>9.3848541987178926</v>
      </c>
      <c r="EW199" s="528">
        <f t="shared" si="587"/>
        <v>2.2067816046910368E-2</v>
      </c>
      <c r="EX199" s="528">
        <f t="shared" si="588"/>
        <v>2.2991635318157433E-3</v>
      </c>
      <c r="EY199" s="528">
        <f t="shared" si="589"/>
        <v>359.24907218562714</v>
      </c>
      <c r="EZ199" s="528"/>
      <c r="FA199" s="625">
        <f t="shared" si="590"/>
        <v>9.617787035062678</v>
      </c>
      <c r="FB199" s="460">
        <f t="shared" si="613"/>
        <v>378276.08039898647</v>
      </c>
      <c r="FC199" s="173">
        <f t="shared" si="591"/>
        <v>395.83033013690431</v>
      </c>
      <c r="FD199" s="5">
        <f t="shared" si="592"/>
        <v>96.12</v>
      </c>
      <c r="FE199" s="173">
        <f t="shared" si="593"/>
        <v>0.19538557881087482</v>
      </c>
      <c r="FF199" s="5">
        <f t="shared" si="594"/>
        <v>19.538557881087481</v>
      </c>
      <c r="FG199">
        <f t="shared" si="595"/>
        <v>89.000000000000014</v>
      </c>
      <c r="FI199" s="562">
        <f t="shared" si="596"/>
        <v>-50</v>
      </c>
      <c r="FJ199">
        <f t="shared" si="597"/>
        <v>-50</v>
      </c>
    </row>
    <row r="200" spans="5:166">
      <c r="E200" s="170">
        <v>90</v>
      </c>
      <c r="F200" s="217">
        <f t="shared" si="598"/>
        <v>0.54</v>
      </c>
      <c r="G200" s="217">
        <f t="shared" si="499"/>
        <v>0.45</v>
      </c>
      <c r="H200" s="217">
        <f t="shared" si="500"/>
        <v>91.800000000000011</v>
      </c>
      <c r="I200" s="217">
        <f t="shared" si="501"/>
        <v>5.4</v>
      </c>
      <c r="J200" s="541">
        <f t="shared" si="502"/>
        <v>7.1111698514216535</v>
      </c>
      <c r="K200" s="443">
        <f t="shared" si="503"/>
        <v>8.5471534980483828</v>
      </c>
      <c r="L200" s="172">
        <f t="shared" si="504"/>
        <v>15.658323349470036</v>
      </c>
      <c r="M200" s="443"/>
      <c r="N200" s="217">
        <f t="shared" si="505"/>
        <v>0.54585368479682506</v>
      </c>
      <c r="O200" s="172">
        <f t="shared" si="506"/>
        <v>122.20035283786707</v>
      </c>
      <c r="P200" s="172">
        <f t="shared" si="507"/>
        <v>7.1882560492862977</v>
      </c>
      <c r="Q200" s="217">
        <f t="shared" si="508"/>
        <v>0.71882560492862979</v>
      </c>
      <c r="R200" s="217">
        <f t="shared" si="509"/>
        <v>10.183362736488922</v>
      </c>
      <c r="S200" s="217">
        <f t="shared" si="510"/>
        <v>170</v>
      </c>
      <c r="T200" s="217">
        <f t="shared" si="511"/>
        <v>50.081688455678133</v>
      </c>
      <c r="U200" s="217">
        <f t="shared" si="512"/>
        <v>3.5213396320203127</v>
      </c>
      <c r="V200" s="217">
        <f t="shared" si="513"/>
        <v>2.9297290885856651</v>
      </c>
      <c r="W200" s="197">
        <f t="shared" si="514"/>
        <v>350</v>
      </c>
      <c r="X200" s="443">
        <f t="shared" si="599"/>
        <v>150.351776835782</v>
      </c>
      <c r="Z200" s="217">
        <f t="shared" si="515"/>
        <v>22.180904380654859</v>
      </c>
      <c r="AA200" s="173">
        <f t="shared" si="516"/>
        <v>1.2975609005805</v>
      </c>
      <c r="AB200" s="173">
        <f t="shared" si="517"/>
        <v>0.23784359981933639</v>
      </c>
      <c r="AC200" s="173"/>
      <c r="AD200" s="173">
        <f t="shared" si="518"/>
        <v>0.77998677199244193</v>
      </c>
      <c r="AE200" s="545">
        <f t="shared" si="519"/>
        <v>2199.1323176743313</v>
      </c>
      <c r="AF200" s="528">
        <f t="shared" si="520"/>
        <v>8.5942986913982028E-2</v>
      </c>
      <c r="AH200" s="173">
        <f t="shared" si="521"/>
        <v>33.329523591811856</v>
      </c>
      <c r="AI200" s="173">
        <f t="shared" si="522"/>
        <v>50.081688455678133</v>
      </c>
      <c r="AJ200" s="173">
        <f t="shared" si="523"/>
        <v>28.421003794329476</v>
      </c>
      <c r="AL200" s="545">
        <f t="shared" si="524"/>
        <v>540</v>
      </c>
      <c r="AM200" s="460">
        <f t="shared" si="525"/>
        <v>150.351776835782</v>
      </c>
      <c r="AO200">
        <f t="shared" si="526"/>
        <v>540</v>
      </c>
      <c r="AP200">
        <f t="shared" si="527"/>
        <v>150.351776835782</v>
      </c>
      <c r="AR200" s="5">
        <f t="shared" si="616"/>
        <v>6.6510687206059771</v>
      </c>
      <c r="AS200" s="5">
        <f t="shared" si="604"/>
        <v>3.5213396320203127</v>
      </c>
      <c r="AT200" s="5">
        <f t="shared" si="605"/>
        <v>3.1297290885856643</v>
      </c>
      <c r="AU200" s="173">
        <f t="shared" si="606"/>
        <v>0.52943967051651275</v>
      </c>
      <c r="AW200" s="5">
        <f t="shared" si="477"/>
        <v>1.1185431772299819</v>
      </c>
      <c r="AX200" s="5">
        <f t="shared" si="478"/>
        <v>13.205023620076172</v>
      </c>
      <c r="AY200" s="5">
        <f t="shared" si="479"/>
        <v>64.644020342104611</v>
      </c>
      <c r="AZ200" s="5"/>
      <c r="BA200" s="173">
        <f t="shared" si="480"/>
        <v>21.03907174877363</v>
      </c>
      <c r="BB200" s="173">
        <f t="shared" si="481"/>
        <v>0.93663937540395537</v>
      </c>
      <c r="BC200" s="173">
        <f t="shared" si="482"/>
        <v>0.74054813053013058</v>
      </c>
      <c r="BD200" s="173"/>
      <c r="BE200" s="528">
        <f t="shared" si="483"/>
        <v>17.705701602001788</v>
      </c>
      <c r="BF200" s="528">
        <f t="shared" si="528"/>
        <v>2.6528659310314682</v>
      </c>
      <c r="BG200" s="528">
        <f t="shared" si="529"/>
        <v>4.2767080901691581E-2</v>
      </c>
      <c r="BH200" s="528">
        <f t="shared" si="484"/>
        <v>7.3727426498224466E-3</v>
      </c>
      <c r="BI200">
        <f t="shared" si="485"/>
        <v>3.200026433139744E-3</v>
      </c>
      <c r="BJ200" s="460">
        <f t="shared" si="600"/>
        <v>45.967107334831326</v>
      </c>
      <c r="BK200">
        <f t="shared" si="530"/>
        <v>-7.8414288226600686</v>
      </c>
      <c r="BL200" s="460">
        <f t="shared" si="601"/>
        <v>20411.907383017904</v>
      </c>
      <c r="BM200" s="173">
        <f t="shared" si="531"/>
        <v>0.46872000000000003</v>
      </c>
      <c r="BN200" s="173">
        <f t="shared" si="532"/>
        <v>0.3906</v>
      </c>
      <c r="BO200" s="528"/>
      <c r="BQ200" s="460">
        <f t="shared" si="486"/>
        <v>859.32</v>
      </c>
      <c r="BR200" s="528">
        <f t="shared" si="487"/>
        <v>13.279276201501339</v>
      </c>
      <c r="BS200" s="528">
        <f t="shared" si="488"/>
        <v>2.6318799586713348E-2</v>
      </c>
      <c r="BT200" s="528">
        <f t="shared" si="489"/>
        <v>2.7420576681583563E-3</v>
      </c>
      <c r="BU200" s="528">
        <f t="shared" si="490"/>
        <v>246.00210439988902</v>
      </c>
      <c r="BV200" s="528"/>
      <c r="BW200" s="625">
        <f t="shared" si="533"/>
        <v>9.4277161458312424</v>
      </c>
      <c r="BX200" s="460">
        <f t="shared" si="607"/>
        <v>268738.1576044765</v>
      </c>
      <c r="BY200" s="173">
        <f t="shared" si="608"/>
        <v>290.0093849874944</v>
      </c>
      <c r="BZ200" s="5">
        <f t="shared" si="609"/>
        <v>97.200000000000017</v>
      </c>
      <c r="CA200" s="173">
        <f t="shared" si="610"/>
        <v>0.25102697343748331</v>
      </c>
      <c r="CB200" s="5">
        <f t="shared" si="611"/>
        <v>25.102697343748332</v>
      </c>
      <c r="CC200">
        <f t="shared" si="612"/>
        <v>90.000000000000014</v>
      </c>
      <c r="CE200" s="562">
        <f t="shared" si="534"/>
        <v>-50</v>
      </c>
      <c r="CF200">
        <f t="shared" si="535"/>
        <v>-50</v>
      </c>
      <c r="CG200" s="173">
        <f t="shared" si="536"/>
        <v>0.49996674565333021</v>
      </c>
      <c r="CH200" s="173">
        <f t="shared" si="537"/>
        <v>0.12441737294010323</v>
      </c>
      <c r="CI200" s="170">
        <v>90</v>
      </c>
      <c r="CJ200" s="217">
        <f t="shared" si="602"/>
        <v>0.54</v>
      </c>
      <c r="CK200" s="217">
        <f t="shared" si="538"/>
        <v>0.45</v>
      </c>
      <c r="CL200" s="217">
        <f t="shared" si="539"/>
        <v>91.800000000000011</v>
      </c>
      <c r="CM200" s="217">
        <f t="shared" si="540"/>
        <v>5.4</v>
      </c>
      <c r="CN200" s="541">
        <f t="shared" si="541"/>
        <v>9</v>
      </c>
      <c r="CO200" s="443">
        <f t="shared" si="542"/>
        <v>8.5350000000000001</v>
      </c>
      <c r="CP200" s="443">
        <f t="shared" si="543"/>
        <v>17.535</v>
      </c>
      <c r="CQ200" s="443"/>
      <c r="CR200" s="217">
        <f t="shared" si="544"/>
        <v>0.48644793152639093</v>
      </c>
      <c r="CS200" s="172">
        <f t="shared" si="545"/>
        <v>137.82691393247745</v>
      </c>
      <c r="CT200" s="172">
        <f t="shared" si="546"/>
        <v>8.1074655254398493</v>
      </c>
      <c r="CU200" s="217">
        <f t="shared" si="547"/>
        <v>0.81074655254398498</v>
      </c>
      <c r="CV200" s="217">
        <f t="shared" si="548"/>
        <v>11.485576161039788</v>
      </c>
      <c r="CW200" s="217">
        <f t="shared" si="549"/>
        <v>170</v>
      </c>
      <c r="CX200" s="217">
        <f t="shared" si="550"/>
        <v>44.40351906158358</v>
      </c>
      <c r="CY200" s="217">
        <f t="shared" si="551"/>
        <v>2.4668621700879765</v>
      </c>
      <c r="CZ200" s="217">
        <f t="shared" si="552"/>
        <v>2.6012606362966357</v>
      </c>
      <c r="DA200" s="197">
        <f t="shared" si="553"/>
        <v>350</v>
      </c>
      <c r="DB200" s="443">
        <f t="shared" si="554"/>
        <v>197.3117144557431</v>
      </c>
      <c r="DD200" s="217">
        <f t="shared" si="555"/>
        <v>25.032384211169504</v>
      </c>
      <c r="DE200" s="173">
        <f t="shared" si="556"/>
        <v>1.4664548454112187</v>
      </c>
      <c r="DF200" s="173">
        <f t="shared" si="557"/>
        <v>0.30335794952229944</v>
      </c>
      <c r="DG200" s="173"/>
      <c r="DH200" s="173">
        <f t="shared" si="558"/>
        <v>0.78109744190587771</v>
      </c>
      <c r="DI200" s="545">
        <f t="shared" si="559"/>
        <v>2196.0052941176473</v>
      </c>
      <c r="DJ200" s="528">
        <f t="shared" si="560"/>
        <v>8.6065366284073561E-2</v>
      </c>
      <c r="DL200" s="173">
        <f t="shared" si="561"/>
        <v>33.329523591811856</v>
      </c>
      <c r="DM200" s="173">
        <f t="shared" si="562"/>
        <v>44.40351906158358</v>
      </c>
      <c r="DN200" s="173">
        <f t="shared" si="563"/>
        <v>24.214952391296475</v>
      </c>
      <c r="DP200" s="545">
        <f t="shared" si="564"/>
        <v>540</v>
      </c>
      <c r="DQ200" s="460">
        <f t="shared" si="565"/>
        <v>197.3117144557431</v>
      </c>
      <c r="DS200">
        <f t="shared" si="614"/>
        <v>540</v>
      </c>
      <c r="DT200">
        <f t="shared" si="615"/>
        <v>197.3117144557431</v>
      </c>
      <c r="DV200" s="5">
        <f t="shared" si="568"/>
        <v>5.0681228063846122</v>
      </c>
      <c r="DW200" s="5">
        <f t="shared" si="569"/>
        <v>2.4668621700879765</v>
      </c>
      <c r="DX200" s="5">
        <f t="shared" si="570"/>
        <v>2.6012606362966357</v>
      </c>
      <c r="DY200" s="173">
        <f t="shared" si="571"/>
        <v>0.48674080410607362</v>
      </c>
      <c r="EA200" s="5">
        <f t="shared" si="572"/>
        <v>0.78359151285147499</v>
      </c>
      <c r="EB200" s="5">
        <f t="shared" si="573"/>
        <v>9.2507331378299131</v>
      </c>
      <c r="EC200" s="5">
        <f t="shared" si="574"/>
        <v>42.452573584361105</v>
      </c>
      <c r="ED200" s="5"/>
      <c r="EE200" s="173">
        <f t="shared" si="575"/>
        <v>17.885687579207474</v>
      </c>
      <c r="EF200" s="173">
        <f t="shared" si="576"/>
        <v>0.86730440665578568</v>
      </c>
      <c r="EG200" s="173">
        <f t="shared" si="577"/>
        <v>0.68572886621650131</v>
      </c>
      <c r="EH200" s="173"/>
      <c r="EI200" s="528">
        <f t="shared" si="578"/>
        <v>12.795912807240661</v>
      </c>
      <c r="EJ200" s="528">
        <f t="shared" si="579"/>
        <v>4.2248250000000009</v>
      </c>
      <c r="EK200" s="528">
        <f t="shared" si="580"/>
        <v>3.9462342891148618E-2</v>
      </c>
      <c r="EL200" s="528">
        <f t="shared" si="581"/>
        <v>1.2133732221825963E-2</v>
      </c>
      <c r="EM200">
        <f t="shared" si="582"/>
        <v>4.0499999999999998E-3</v>
      </c>
      <c r="EN200" s="460">
        <f t="shared" si="583"/>
        <v>43.512342891148613</v>
      </c>
      <c r="EP200" s="460">
        <f t="shared" si="603"/>
        <v>17076.383882353639</v>
      </c>
      <c r="EQ200" s="173">
        <f t="shared" si="584"/>
        <v>0.378</v>
      </c>
      <c r="ER200" s="173">
        <f t="shared" si="585"/>
        <v>0.3906</v>
      </c>
      <c r="ES200" s="528"/>
      <c r="EU200" s="460">
        <f t="shared" si="497"/>
        <v>768.59999999999991</v>
      </c>
      <c r="EV200" s="528">
        <f t="shared" si="586"/>
        <v>9.596934605430496</v>
      </c>
      <c r="EW200" s="528">
        <f t="shared" si="587"/>
        <v>2.2566508014136333E-2</v>
      </c>
      <c r="EX200" s="528">
        <f t="shared" si="588"/>
        <v>2.3511203898128421E-3</v>
      </c>
      <c r="EY200" s="528">
        <f t="shared" si="589"/>
        <v>359.24907218562657</v>
      </c>
      <c r="EZ200" s="528"/>
      <c r="FA200" s="625">
        <f t="shared" si="590"/>
        <v>9.7258520579285523</v>
      </c>
      <c r="FB200" s="460">
        <f t="shared" si="613"/>
        <v>378596.77647738956</v>
      </c>
      <c r="FC200" s="173">
        <f t="shared" si="591"/>
        <v>396.44176035974317</v>
      </c>
      <c r="FD200" s="5">
        <f t="shared" si="592"/>
        <v>97.200000000000017</v>
      </c>
      <c r="FE200" s="173">
        <f t="shared" si="593"/>
        <v>0.19690392467842502</v>
      </c>
      <c r="FF200" s="5">
        <f t="shared" si="594"/>
        <v>19.690392467842504</v>
      </c>
      <c r="FG200">
        <f t="shared" si="595"/>
        <v>90.000000000000014</v>
      </c>
      <c r="FI200" s="562">
        <f t="shared" si="596"/>
        <v>-50</v>
      </c>
      <c r="FJ200">
        <f t="shared" si="597"/>
        <v>-50</v>
      </c>
    </row>
    <row r="201" spans="5:166">
      <c r="E201" s="170">
        <v>91</v>
      </c>
      <c r="F201" s="217">
        <f t="shared" si="598"/>
        <v>0.54600000000000004</v>
      </c>
      <c r="G201" s="217">
        <f t="shared" si="499"/>
        <v>0.45500000000000002</v>
      </c>
      <c r="H201" s="217">
        <f t="shared" si="500"/>
        <v>92.820000000000007</v>
      </c>
      <c r="I201" s="217">
        <f t="shared" si="501"/>
        <v>5.46</v>
      </c>
      <c r="J201" s="541">
        <f t="shared" si="502"/>
        <v>7.0901828497707822</v>
      </c>
      <c r="K201" s="443">
        <f t="shared" si="503"/>
        <v>8.5472885369155875</v>
      </c>
      <c r="L201" s="172">
        <f t="shared" si="504"/>
        <v>15.63747138668637</v>
      </c>
      <c r="M201" s="443"/>
      <c r="N201" s="217">
        <f t="shared" si="505"/>
        <v>0.54659019515090446</v>
      </c>
      <c r="O201" s="172">
        <f t="shared" si="506"/>
        <v>122.00410234759396</v>
      </c>
      <c r="P201" s="172">
        <f t="shared" si="507"/>
        <v>7.1767119027996449</v>
      </c>
      <c r="Q201" s="217">
        <f t="shared" si="508"/>
        <v>0.7176711902799644</v>
      </c>
      <c r="R201" s="217">
        <f t="shared" si="509"/>
        <v>10.167008528966162</v>
      </c>
      <c r="S201" s="217">
        <f t="shared" si="510"/>
        <v>170</v>
      </c>
      <c r="T201" s="217">
        <f t="shared" si="511"/>
        <v>50.719605988085313</v>
      </c>
      <c r="U201" s="217">
        <f t="shared" si="512"/>
        <v>3.5767487992023375</v>
      </c>
      <c r="V201" s="217">
        <f t="shared" si="513"/>
        <v>2.9669997548946796</v>
      </c>
      <c r="W201" s="197">
        <f t="shared" si="514"/>
        <v>350</v>
      </c>
      <c r="X201" s="443">
        <f t="shared" si="599"/>
        <v>148.2854812836211</v>
      </c>
      <c r="Z201" s="217">
        <f t="shared" si="515"/>
        <v>22.145282442924618</v>
      </c>
      <c r="AA201" s="173">
        <f t="shared" si="516"/>
        <v>1.2954565852831301</v>
      </c>
      <c r="AB201" s="173">
        <f t="shared" si="517"/>
        <v>0.23707652672662138</v>
      </c>
      <c r="AC201" s="173"/>
      <c r="AD201" s="173">
        <f t="shared" si="518"/>
        <v>0.77997444895810542</v>
      </c>
      <c r="AE201" s="545">
        <f t="shared" si="519"/>
        <v>2223.6022519625221</v>
      </c>
      <c r="AF201" s="528">
        <f t="shared" si="520"/>
        <v>8.5941629098161609E-2</v>
      </c>
      <c r="AH201" s="173">
        <f t="shared" si="521"/>
        <v>33.514176105045458</v>
      </c>
      <c r="AI201" s="173">
        <f t="shared" si="522"/>
        <v>50.719605988085313</v>
      </c>
      <c r="AJ201" s="173">
        <f t="shared" si="523"/>
        <v>28.893535299816278</v>
      </c>
      <c r="AL201" s="545">
        <f t="shared" si="524"/>
        <v>546</v>
      </c>
      <c r="AM201" s="460">
        <f t="shared" si="525"/>
        <v>148.2854812836211</v>
      </c>
      <c r="AO201">
        <f t="shared" si="526"/>
        <v>546</v>
      </c>
      <c r="AP201">
        <f t="shared" si="527"/>
        <v>148.2854812836211</v>
      </c>
      <c r="AR201" s="5">
        <f t="shared" si="616"/>
        <v>6.7437485540970163</v>
      </c>
      <c r="AS201" s="5">
        <f t="shared" si="604"/>
        <v>3.5767487992023375</v>
      </c>
      <c r="AT201" s="5">
        <f t="shared" si="605"/>
        <v>3.1669997548946789</v>
      </c>
      <c r="AU201" s="173">
        <f t="shared" si="606"/>
        <v>0.5303799171203325</v>
      </c>
      <c r="AW201" s="5">
        <f t="shared" si="477"/>
        <v>1.1487675555085155</v>
      </c>
      <c r="AX201" s="5">
        <f t="shared" si="478"/>
        <v>13.56183919697553</v>
      </c>
      <c r="AY201" s="5">
        <f t="shared" si="479"/>
        <v>66.336436952979867</v>
      </c>
      <c r="AZ201" s="5"/>
      <c r="BA201" s="173">
        <f t="shared" si="480"/>
        <v>21.325969281127289</v>
      </c>
      <c r="BB201" s="173">
        <f t="shared" si="481"/>
        <v>0.9476216945715833</v>
      </c>
      <c r="BC201" s="173">
        <f t="shared" si="482"/>
        <v>0.74923123327174268</v>
      </c>
      <c r="BD201" s="173"/>
      <c r="BE201" s="528">
        <f t="shared" si="483"/>
        <v>18.191878631183393</v>
      </c>
      <c r="BF201" s="528">
        <f t="shared" si="528"/>
        <v>2.6462053816150952</v>
      </c>
      <c r="BG201" s="528">
        <f t="shared" si="529"/>
        <v>4.2054847050685462E-2</v>
      </c>
      <c r="BH201" s="528">
        <f t="shared" si="484"/>
        <v>7.2520649133893294E-3</v>
      </c>
      <c r="BI201">
        <f t="shared" si="485"/>
        <v>3.190582282396852E-3</v>
      </c>
      <c r="BJ201" s="460">
        <f t="shared" si="600"/>
        <v>45.245429333082313</v>
      </c>
      <c r="BK201">
        <f t="shared" si="530"/>
        <v>-7.7525939145402276</v>
      </c>
      <c r="BL201" s="460">
        <f t="shared" si="601"/>
        <v>20890.581507044961</v>
      </c>
      <c r="BM201" s="173">
        <f t="shared" si="531"/>
        <v>0.47392799999999996</v>
      </c>
      <c r="BN201" s="173">
        <f t="shared" si="532"/>
        <v>0.39494000000000001</v>
      </c>
      <c r="BO201" s="528"/>
      <c r="BQ201" s="460">
        <f t="shared" si="486"/>
        <v>868.86799999999994</v>
      </c>
      <c r="BR201" s="528">
        <f t="shared" si="487"/>
        <v>13.643908973387544</v>
      </c>
      <c r="BS201" s="528">
        <f t="shared" si="488"/>
        <v>2.6939606280681573E-2</v>
      </c>
      <c r="BT201" s="528">
        <f t="shared" si="489"/>
        <v>2.8067372045494825E-3</v>
      </c>
      <c r="BU201" s="528">
        <f t="shared" si="490"/>
        <v>245.27668042293567</v>
      </c>
      <c r="BV201" s="528"/>
      <c r="BW201" s="625">
        <f t="shared" si="533"/>
        <v>9.5365300579889176</v>
      </c>
      <c r="BX201" s="460">
        <f t="shared" si="607"/>
        <v>268486.86579779733</v>
      </c>
      <c r="BY201" s="173">
        <f t="shared" si="608"/>
        <v>290.24631530484231</v>
      </c>
      <c r="BZ201" s="5">
        <f t="shared" si="609"/>
        <v>98.28</v>
      </c>
      <c r="CA201" s="173">
        <f t="shared" si="610"/>
        <v>0.25295583884167111</v>
      </c>
      <c r="CB201" s="5">
        <f t="shared" si="611"/>
        <v>25.295583884167112</v>
      </c>
      <c r="CC201">
        <f t="shared" si="612"/>
        <v>91.000000000000014</v>
      </c>
      <c r="CE201" s="562">
        <f t="shared" si="534"/>
        <v>-50</v>
      </c>
      <c r="CF201">
        <f t="shared" si="535"/>
        <v>-50</v>
      </c>
      <c r="CG201" s="173">
        <f t="shared" si="536"/>
        <v>0.49996674565333032</v>
      </c>
      <c r="CH201" s="173">
        <f t="shared" si="537"/>
        <v>0.12441737294010324</v>
      </c>
      <c r="CI201" s="170">
        <v>91</v>
      </c>
      <c r="CJ201" s="217">
        <f t="shared" si="602"/>
        <v>0.54600000000000004</v>
      </c>
      <c r="CK201" s="217">
        <f t="shared" si="538"/>
        <v>0.45500000000000002</v>
      </c>
      <c r="CL201" s="217">
        <f t="shared" si="539"/>
        <v>92.820000000000007</v>
      </c>
      <c r="CM201" s="217">
        <f t="shared" si="540"/>
        <v>5.46</v>
      </c>
      <c r="CN201" s="541">
        <f t="shared" si="541"/>
        <v>9</v>
      </c>
      <c r="CO201" s="443">
        <f t="shared" si="542"/>
        <v>8.5350000000000001</v>
      </c>
      <c r="CP201" s="443">
        <f t="shared" si="543"/>
        <v>17.535</v>
      </c>
      <c r="CQ201" s="443"/>
      <c r="CR201" s="217">
        <f t="shared" si="544"/>
        <v>0.48644793152639093</v>
      </c>
      <c r="CS201" s="172">
        <f t="shared" si="545"/>
        <v>137.82691393247745</v>
      </c>
      <c r="CT201" s="172">
        <f t="shared" si="546"/>
        <v>8.1074655254398493</v>
      </c>
      <c r="CU201" s="217">
        <f t="shared" si="547"/>
        <v>0.81074655254398498</v>
      </c>
      <c r="CV201" s="217">
        <f t="shared" si="548"/>
        <v>11.485576161039788</v>
      </c>
      <c r="CW201" s="217">
        <f t="shared" si="549"/>
        <v>170</v>
      </c>
      <c r="CX201" s="217">
        <f t="shared" si="550"/>
        <v>44.896891495601167</v>
      </c>
      <c r="CY201" s="217">
        <f t="shared" si="551"/>
        <v>2.4942717497556206</v>
      </c>
      <c r="CZ201" s="217">
        <f t="shared" si="552"/>
        <v>2.6301635322554873</v>
      </c>
      <c r="DA201" s="197">
        <f t="shared" si="553"/>
        <v>350</v>
      </c>
      <c r="DB201" s="443">
        <f t="shared" si="554"/>
        <v>195.14345385732835</v>
      </c>
      <c r="DD201" s="217">
        <f t="shared" si="555"/>
        <v>25.032384211169504</v>
      </c>
      <c r="DE201" s="173">
        <f t="shared" si="556"/>
        <v>1.4664548454112187</v>
      </c>
      <c r="DF201" s="173">
        <f t="shared" si="557"/>
        <v>0.30335794952229944</v>
      </c>
      <c r="DG201" s="173"/>
      <c r="DH201" s="173">
        <f t="shared" si="558"/>
        <v>0.78109744190587771</v>
      </c>
      <c r="DI201" s="545">
        <f t="shared" si="559"/>
        <v>2220.4053529411767</v>
      </c>
      <c r="DJ201" s="528">
        <f t="shared" si="560"/>
        <v>8.6065366284073561E-2</v>
      </c>
      <c r="DL201" s="173">
        <f t="shared" si="561"/>
        <v>33.514176105045458</v>
      </c>
      <c r="DM201" s="173">
        <f t="shared" si="562"/>
        <v>44.896891495601167</v>
      </c>
      <c r="DN201" s="173">
        <f t="shared" si="563"/>
        <v>24.580413453531726</v>
      </c>
      <c r="DP201" s="545">
        <f t="shared" si="564"/>
        <v>546</v>
      </c>
      <c r="DQ201" s="460">
        <f t="shared" si="565"/>
        <v>195.14345385732835</v>
      </c>
      <c r="DS201">
        <f t="shared" si="614"/>
        <v>546</v>
      </c>
      <c r="DT201">
        <f t="shared" si="615"/>
        <v>195.14345385732835</v>
      </c>
      <c r="DV201" s="5">
        <f t="shared" si="568"/>
        <v>5.124435282011107</v>
      </c>
      <c r="DW201" s="5">
        <f t="shared" si="569"/>
        <v>2.4942717497556206</v>
      </c>
      <c r="DX201" s="5">
        <f t="shared" si="570"/>
        <v>2.6301635322554864</v>
      </c>
      <c r="DY201" s="173">
        <f t="shared" si="571"/>
        <v>0.48674080410607368</v>
      </c>
      <c r="EA201" s="5">
        <f t="shared" si="572"/>
        <v>0.80110139727445229</v>
      </c>
      <c r="EB201" s="5">
        <f t="shared" si="573"/>
        <v>9.4574470511567288</v>
      </c>
      <c r="EC201" s="5">
        <f t="shared" si="574"/>
        <v>43.401205166925209</v>
      </c>
      <c r="ED201" s="5"/>
      <c r="EE201" s="173">
        <f t="shared" si="575"/>
        <v>18.084417441198667</v>
      </c>
      <c r="EF201" s="173">
        <f t="shared" si="576"/>
        <v>0.87694112228529431</v>
      </c>
      <c r="EG201" s="173">
        <f t="shared" si="577"/>
        <v>0.69334807584112901</v>
      </c>
      <c r="EH201" s="173"/>
      <c r="EI201" s="528">
        <f t="shared" si="578"/>
        <v>13.081846167501222</v>
      </c>
      <c r="EJ201" s="528">
        <f t="shared" si="579"/>
        <v>4.2248250000000001</v>
      </c>
      <c r="EK201" s="528">
        <f t="shared" si="580"/>
        <v>3.9028690771465667E-2</v>
      </c>
      <c r="EL201" s="528">
        <f t="shared" si="581"/>
        <v>1.2000394505102601E-2</v>
      </c>
      <c r="EM201">
        <f t="shared" si="582"/>
        <v>4.0499999999999998E-3</v>
      </c>
      <c r="EN201" s="460">
        <f t="shared" si="583"/>
        <v>43.078690771465666</v>
      </c>
      <c r="EP201" s="460">
        <f t="shared" si="603"/>
        <v>17361.750252777787</v>
      </c>
      <c r="EQ201" s="173">
        <f t="shared" si="584"/>
        <v>0.38219999999999998</v>
      </c>
      <c r="ER201" s="173">
        <f t="shared" si="585"/>
        <v>0.39494000000000001</v>
      </c>
      <c r="ES201" s="528"/>
      <c r="EU201" s="460">
        <f t="shared" si="497"/>
        <v>777.14</v>
      </c>
      <c r="EV201" s="528">
        <f t="shared" si="586"/>
        <v>9.8113846256259158</v>
      </c>
      <c r="EW201" s="528">
        <f t="shared" si="587"/>
        <v>2.3070771958649743E-2</v>
      </c>
      <c r="EX201" s="528">
        <f t="shared" si="588"/>
        <v>2.40365777136298E-3</v>
      </c>
      <c r="EY201" s="528">
        <f t="shared" si="589"/>
        <v>359.24907218562714</v>
      </c>
      <c r="EZ201" s="528"/>
      <c r="FA201" s="625">
        <f t="shared" si="590"/>
        <v>9.8339170807944232</v>
      </c>
      <c r="FB201" s="460">
        <f t="shared" si="613"/>
        <v>378919.84832177754</v>
      </c>
      <c r="FC201" s="173">
        <f t="shared" si="591"/>
        <v>397.05873857455532</v>
      </c>
      <c r="FD201" s="5">
        <f t="shared" si="592"/>
        <v>98.28</v>
      </c>
      <c r="FE201" s="173">
        <f t="shared" si="593"/>
        <v>0.19840967876411608</v>
      </c>
      <c r="FF201" s="5">
        <f t="shared" si="594"/>
        <v>19.840967876411607</v>
      </c>
      <c r="FG201">
        <f t="shared" si="595"/>
        <v>91.000000000000014</v>
      </c>
      <c r="FI201" s="562">
        <f t="shared" si="596"/>
        <v>-50</v>
      </c>
      <c r="FJ201">
        <f t="shared" si="597"/>
        <v>-50</v>
      </c>
    </row>
    <row r="202" spans="5:166">
      <c r="E202" s="170">
        <v>92</v>
      </c>
      <c r="F202" s="217">
        <f t="shared" si="598"/>
        <v>0.55200000000000005</v>
      </c>
      <c r="G202" s="217">
        <f t="shared" si="499"/>
        <v>0.46</v>
      </c>
      <c r="H202" s="217">
        <f t="shared" si="500"/>
        <v>93.84</v>
      </c>
      <c r="I202" s="217">
        <f t="shared" si="501"/>
        <v>5.5200000000000005</v>
      </c>
      <c r="J202" s="541">
        <f t="shared" si="502"/>
        <v>7.0691958481199126</v>
      </c>
      <c r="K202" s="443">
        <f t="shared" si="503"/>
        <v>8.5474235757827923</v>
      </c>
      <c r="L202" s="172">
        <f t="shared" si="504"/>
        <v>15.616619423902705</v>
      </c>
      <c r="M202" s="443"/>
      <c r="N202" s="217">
        <f t="shared" si="505"/>
        <v>0.54732867234378246</v>
      </c>
      <c r="O202" s="172">
        <f t="shared" si="506"/>
        <v>121.80731634726682</v>
      </c>
      <c r="P202" s="172">
        <f t="shared" si="507"/>
        <v>7.1651362557215776</v>
      </c>
      <c r="Q202" s="217">
        <f t="shared" si="508"/>
        <v>0.71651362557215781</v>
      </c>
      <c r="R202" s="217">
        <f t="shared" si="509"/>
        <v>10.150609695605569</v>
      </c>
      <c r="S202" s="217">
        <f t="shared" si="510"/>
        <v>170</v>
      </c>
      <c r="T202" s="217">
        <f t="shared" si="511"/>
        <v>51.359804875467781</v>
      </c>
      <c r="U202" s="217">
        <f t="shared" si="512"/>
        <v>3.632648322307209</v>
      </c>
      <c r="V202" s="217">
        <f t="shared" si="513"/>
        <v>3.0044026963273627</v>
      </c>
      <c r="W202" s="197">
        <f t="shared" si="514"/>
        <v>350</v>
      </c>
      <c r="X202" s="443">
        <f t="shared" si="599"/>
        <v>146.26188941320933</v>
      </c>
      <c r="Z202" s="217">
        <f t="shared" si="515"/>
        <v>22.109563303369434</v>
      </c>
      <c r="AA202" s="173">
        <f t="shared" si="516"/>
        <v>1.2933466504463358</v>
      </c>
      <c r="AB202" s="173">
        <f t="shared" si="517"/>
        <v>0.23630862689639209</v>
      </c>
      <c r="AC202" s="173"/>
      <c r="AD202" s="173">
        <f t="shared" si="518"/>
        <v>0.77996212631314665</v>
      </c>
      <c r="AE202" s="545">
        <f t="shared" si="519"/>
        <v>2248.0729583552961</v>
      </c>
      <c r="AF202" s="528">
        <f t="shared" si="520"/>
        <v>8.5940271325244857E-2</v>
      </c>
      <c r="AH202" s="173">
        <f t="shared" si="521"/>
        <v>33.697816800838261</v>
      </c>
      <c r="AI202" s="173">
        <f t="shared" si="522"/>
        <v>51.359804875467781</v>
      </c>
      <c r="AJ202" s="173">
        <f t="shared" si="523"/>
        <v>29.367756697877365</v>
      </c>
      <c r="AL202" s="545">
        <f t="shared" si="524"/>
        <v>552</v>
      </c>
      <c r="AM202" s="460">
        <f t="shared" si="525"/>
        <v>146.26188941320933</v>
      </c>
      <c r="AO202">
        <f t="shared" si="526"/>
        <v>552</v>
      </c>
      <c r="AP202">
        <f t="shared" si="527"/>
        <v>146.26188941320933</v>
      </c>
      <c r="AR202" s="5">
        <f t="shared" si="616"/>
        <v>6.8370510186345728</v>
      </c>
      <c r="AS202" s="5">
        <f t="shared" si="604"/>
        <v>3.632648322307209</v>
      </c>
      <c r="AT202" s="5">
        <f t="shared" si="605"/>
        <v>3.2044026963273637</v>
      </c>
      <c r="AU202" s="173">
        <f t="shared" si="606"/>
        <v>0.53131800719437738</v>
      </c>
      <c r="AW202" s="5">
        <f t="shared" si="477"/>
        <v>1.1795422787726937</v>
      </c>
      <c r="AX202" s="5">
        <f t="shared" si="478"/>
        <v>13.925151902177635</v>
      </c>
      <c r="AY202" s="5">
        <f t="shared" si="479"/>
        <v>68.058920529883522</v>
      </c>
      <c r="AZ202" s="5"/>
      <c r="BA202" s="173">
        <f t="shared" si="480"/>
        <v>21.614241782228603</v>
      </c>
      <c r="BB202" s="173">
        <f t="shared" si="481"/>
        <v>0.95862398795245818</v>
      </c>
      <c r="BC202" s="173">
        <f t="shared" si="482"/>
        <v>0.75793012850154995</v>
      </c>
      <c r="BD202" s="173"/>
      <c r="BE202" s="528">
        <f t="shared" si="483"/>
        <v>18.687017912825468</v>
      </c>
      <c r="BF202" s="528">
        <f t="shared" si="528"/>
        <v>2.6395147257787959</v>
      </c>
      <c r="BG202" s="528">
        <f t="shared" si="529"/>
        <v>4.1358157655121332E-2</v>
      </c>
      <c r="BH202" s="528">
        <f t="shared" si="484"/>
        <v>7.1340348804277403E-3</v>
      </c>
      <c r="BI202">
        <f t="shared" si="485"/>
        <v>3.1811381316539608E-3</v>
      </c>
      <c r="BJ202" s="460">
        <f t="shared" si="600"/>
        <v>44.539295786775291</v>
      </c>
      <c r="BK202">
        <f t="shared" si="530"/>
        <v>-7.6682818670569803</v>
      </c>
      <c r="BL202" s="460">
        <f t="shared" si="601"/>
        <v>21378.205969271465</v>
      </c>
      <c r="BM202" s="173">
        <f t="shared" si="531"/>
        <v>0.47913600000000001</v>
      </c>
      <c r="BN202" s="173">
        <f t="shared" si="532"/>
        <v>0.39928000000000002</v>
      </c>
      <c r="BO202" s="528"/>
      <c r="BQ202" s="460">
        <f t="shared" si="486"/>
        <v>878.41600000000005</v>
      </c>
      <c r="BR202" s="528">
        <f t="shared" si="487"/>
        <v>14.015263434619101</v>
      </c>
      <c r="BS202" s="528">
        <f t="shared" si="488"/>
        <v>2.756879850833624E-2</v>
      </c>
      <c r="BT202" s="528">
        <f t="shared" si="489"/>
        <v>2.87229039845188E-3</v>
      </c>
      <c r="BU202" s="528">
        <f t="shared" si="490"/>
        <v>244.54363613377419</v>
      </c>
      <c r="BV202" s="528"/>
      <c r="BW202" s="625">
        <f t="shared" si="533"/>
        <v>9.6453483733580683</v>
      </c>
      <c r="BX202" s="460">
        <f t="shared" si="607"/>
        <v>268234.6890306581</v>
      </c>
      <c r="BY202" s="173">
        <f t="shared" si="608"/>
        <v>290.49131099992957</v>
      </c>
      <c r="BZ202" s="5">
        <f t="shared" si="609"/>
        <v>99.36</v>
      </c>
      <c r="CA202" s="173">
        <f t="shared" si="610"/>
        <v>0.25486639956436608</v>
      </c>
      <c r="CB202" s="5">
        <f t="shared" si="611"/>
        <v>25.486639956436608</v>
      </c>
      <c r="CC202">
        <f t="shared" si="612"/>
        <v>92.000000000000014</v>
      </c>
      <c r="CE202" s="562">
        <f t="shared" si="534"/>
        <v>-50</v>
      </c>
      <c r="CF202">
        <f t="shared" si="535"/>
        <v>-50</v>
      </c>
      <c r="CG202" s="173">
        <f t="shared" si="536"/>
        <v>0.49996674565333032</v>
      </c>
      <c r="CH202" s="173">
        <f t="shared" si="537"/>
        <v>0.12441737294010326</v>
      </c>
      <c r="CI202" s="170">
        <v>92</v>
      </c>
      <c r="CJ202" s="217">
        <f t="shared" si="602"/>
        <v>0.55200000000000005</v>
      </c>
      <c r="CK202" s="217">
        <f t="shared" si="538"/>
        <v>0.46</v>
      </c>
      <c r="CL202" s="217">
        <f t="shared" si="539"/>
        <v>93.84</v>
      </c>
      <c r="CM202" s="217">
        <f t="shared" si="540"/>
        <v>5.5200000000000005</v>
      </c>
      <c r="CN202" s="541">
        <f t="shared" si="541"/>
        <v>9</v>
      </c>
      <c r="CO202" s="443">
        <f t="shared" si="542"/>
        <v>8.5350000000000001</v>
      </c>
      <c r="CP202" s="443">
        <f t="shared" si="543"/>
        <v>17.535</v>
      </c>
      <c r="CQ202" s="443"/>
      <c r="CR202" s="217">
        <f t="shared" si="544"/>
        <v>0.48644793152639093</v>
      </c>
      <c r="CS202" s="172">
        <f t="shared" si="545"/>
        <v>137.82691393247745</v>
      </c>
      <c r="CT202" s="172">
        <f t="shared" si="546"/>
        <v>8.1074655254398493</v>
      </c>
      <c r="CU202" s="217">
        <f t="shared" si="547"/>
        <v>0.81074655254398498</v>
      </c>
      <c r="CV202" s="217">
        <f t="shared" si="548"/>
        <v>11.485576161039788</v>
      </c>
      <c r="CW202" s="217">
        <f t="shared" si="549"/>
        <v>170</v>
      </c>
      <c r="CX202" s="217">
        <f t="shared" si="550"/>
        <v>45.390263929618762</v>
      </c>
      <c r="CY202" s="217">
        <f t="shared" si="551"/>
        <v>2.5216813294232643</v>
      </c>
      <c r="CZ202" s="217">
        <f t="shared" si="552"/>
        <v>2.6590664282143384</v>
      </c>
      <c r="DA202" s="197">
        <f t="shared" si="553"/>
        <v>350</v>
      </c>
      <c r="DB202" s="443">
        <f t="shared" si="554"/>
        <v>193.02232935887918</v>
      </c>
      <c r="DD202" s="217">
        <f t="shared" si="555"/>
        <v>25.032384211169504</v>
      </c>
      <c r="DE202" s="173">
        <f t="shared" si="556"/>
        <v>1.4664548454112187</v>
      </c>
      <c r="DF202" s="173">
        <f t="shared" si="557"/>
        <v>0.30335794952229944</v>
      </c>
      <c r="DG202" s="173"/>
      <c r="DH202" s="173">
        <f t="shared" si="558"/>
        <v>0.78109744190587771</v>
      </c>
      <c r="DI202" s="545">
        <f t="shared" si="559"/>
        <v>2244.8054117647066</v>
      </c>
      <c r="DJ202" s="528">
        <f t="shared" si="560"/>
        <v>8.6065366284073561E-2</v>
      </c>
      <c r="DL202" s="173">
        <f t="shared" si="561"/>
        <v>33.697816800838261</v>
      </c>
      <c r="DM202" s="173">
        <f t="shared" si="562"/>
        <v>45.390263929618762</v>
      </c>
      <c r="DN202" s="173">
        <f t="shared" si="563"/>
        <v>24.945874515766981</v>
      </c>
      <c r="DP202" s="545">
        <f t="shared" si="564"/>
        <v>552</v>
      </c>
      <c r="DQ202" s="460">
        <f t="shared" si="565"/>
        <v>193.02232935887918</v>
      </c>
      <c r="DS202">
        <f t="shared" si="614"/>
        <v>552</v>
      </c>
      <c r="DT202">
        <f t="shared" si="615"/>
        <v>193.02232935887918</v>
      </c>
      <c r="DV202" s="5">
        <f t="shared" si="568"/>
        <v>5.1807477576376026</v>
      </c>
      <c r="DW202" s="5">
        <f t="shared" si="569"/>
        <v>2.5216813294232643</v>
      </c>
      <c r="DX202" s="5">
        <f t="shared" si="570"/>
        <v>2.6590664282143384</v>
      </c>
      <c r="DY202" s="173">
        <f t="shared" si="571"/>
        <v>0.48674080410607357</v>
      </c>
      <c r="EA202" s="5">
        <f t="shared" si="572"/>
        <v>0.8188047610833189</v>
      </c>
      <c r="EB202" s="5">
        <f t="shared" si="573"/>
        <v>9.6664450961225139</v>
      </c>
      <c r="EC202" s="5">
        <f t="shared" si="574"/>
        <v>44.360318866423739</v>
      </c>
      <c r="ED202" s="5"/>
      <c r="EE202" s="173">
        <f t="shared" si="575"/>
        <v>18.28314730318986</v>
      </c>
      <c r="EF202" s="173">
        <f t="shared" si="576"/>
        <v>0.88657783791480316</v>
      </c>
      <c r="EG202" s="173">
        <f t="shared" si="577"/>
        <v>0.70096728546575682</v>
      </c>
      <c r="EH202" s="173"/>
      <c r="EI202" s="528">
        <f t="shared" si="578"/>
        <v>13.370939012405547</v>
      </c>
      <c r="EJ202" s="528">
        <f t="shared" si="579"/>
        <v>4.2248250000000009</v>
      </c>
      <c r="EK202" s="528">
        <f t="shared" si="580"/>
        <v>3.8604465871775837E-2</v>
      </c>
      <c r="EL202" s="528">
        <f t="shared" si="581"/>
        <v>1.1869955434394968E-2</v>
      </c>
      <c r="EM202">
        <f t="shared" si="582"/>
        <v>4.0499999999999998E-3</v>
      </c>
      <c r="EN202" s="460">
        <f t="shared" si="583"/>
        <v>42.654465871775834</v>
      </c>
      <c r="EP202" s="460">
        <f t="shared" si="603"/>
        <v>17650.288433711714</v>
      </c>
      <c r="EQ202" s="173">
        <f t="shared" si="584"/>
        <v>0.38640000000000002</v>
      </c>
      <c r="ER202" s="173">
        <f t="shared" si="585"/>
        <v>0.39928000000000002</v>
      </c>
      <c r="ES202" s="528"/>
      <c r="EU202" s="460">
        <f t="shared" si="497"/>
        <v>785.68000000000006</v>
      </c>
      <c r="EV202" s="528">
        <f t="shared" si="586"/>
        <v>10.028204259304159</v>
      </c>
      <c r="EW202" s="528">
        <f t="shared" si="587"/>
        <v>2.3580607880450608E-2</v>
      </c>
      <c r="EX202" s="528">
        <f t="shared" si="588"/>
        <v>2.4567756764661591E-3</v>
      </c>
      <c r="EY202" s="528">
        <f t="shared" si="589"/>
        <v>359.24907218562652</v>
      </c>
      <c r="EZ202" s="528"/>
      <c r="FA202" s="625">
        <f t="shared" si="590"/>
        <v>9.9419821036602958</v>
      </c>
      <c r="FB202" s="460">
        <f t="shared" si="613"/>
        <v>379245.29593214788</v>
      </c>
      <c r="FC202" s="173">
        <f t="shared" si="591"/>
        <v>397.68126436585959</v>
      </c>
      <c r="FD202" s="5">
        <f t="shared" si="592"/>
        <v>99.36</v>
      </c>
      <c r="FE202" s="173">
        <f t="shared" si="593"/>
        <v>0.19990291978426886</v>
      </c>
      <c r="FF202" s="5">
        <f t="shared" si="594"/>
        <v>19.990291978426885</v>
      </c>
      <c r="FG202">
        <f t="shared" si="595"/>
        <v>92.000000000000014</v>
      </c>
      <c r="FI202" s="562">
        <f t="shared" si="596"/>
        <v>-50</v>
      </c>
      <c r="FJ202">
        <f t="shared" si="597"/>
        <v>-50</v>
      </c>
    </row>
    <row r="203" spans="5:166">
      <c r="E203" s="170">
        <v>93</v>
      </c>
      <c r="F203" s="217">
        <f t="shared" si="598"/>
        <v>0.55800000000000005</v>
      </c>
      <c r="G203" s="217">
        <f t="shared" si="499"/>
        <v>0.46500000000000002</v>
      </c>
      <c r="H203" s="217">
        <f t="shared" si="500"/>
        <v>94.860000000000014</v>
      </c>
      <c r="I203" s="217">
        <f t="shared" si="501"/>
        <v>5.58</v>
      </c>
      <c r="J203" s="541">
        <f t="shared" si="502"/>
        <v>7.0482088464690422</v>
      </c>
      <c r="K203" s="443">
        <f t="shared" si="503"/>
        <v>8.5475586146499953</v>
      </c>
      <c r="L203" s="172">
        <f t="shared" si="504"/>
        <v>15.595767461119038</v>
      </c>
      <c r="M203" s="443"/>
      <c r="N203" s="217">
        <f t="shared" si="505"/>
        <v>0.54806912426460896</v>
      </c>
      <c r="O203" s="172">
        <f t="shared" si="506"/>
        <v>121.60999268891128</v>
      </c>
      <c r="P203" s="172">
        <f t="shared" si="507"/>
        <v>7.1535289817006626</v>
      </c>
      <c r="Q203" s="217">
        <f t="shared" si="508"/>
        <v>0.71535289817006631</v>
      </c>
      <c r="R203" s="217">
        <f t="shared" si="509"/>
        <v>10.134166057409272</v>
      </c>
      <c r="S203" s="217">
        <f t="shared" si="510"/>
        <v>170</v>
      </c>
      <c r="T203" s="217">
        <f t="shared" si="511"/>
        <v>52.002305568567316</v>
      </c>
      <c r="U203" s="217">
        <f t="shared" si="512"/>
        <v>3.6890440324153442</v>
      </c>
      <c r="V203" s="217">
        <f t="shared" si="513"/>
        <v>3.0419391029058591</v>
      </c>
      <c r="W203" s="197">
        <f t="shared" si="514"/>
        <v>350</v>
      </c>
      <c r="X203" s="443">
        <f t="shared" si="599"/>
        <v>144.27967583759775</v>
      </c>
      <c r="Z203" s="217">
        <f t="shared" si="515"/>
        <v>22.073746572104906</v>
      </c>
      <c r="AA203" s="173">
        <f t="shared" si="516"/>
        <v>1.2912310735296886</v>
      </c>
      <c r="AB203" s="173">
        <f t="shared" si="517"/>
        <v>0.23553990211746076</v>
      </c>
      <c r="AC203" s="173"/>
      <c r="AD203" s="173">
        <f t="shared" si="518"/>
        <v>0.77994980405754755</v>
      </c>
      <c r="AE203" s="545">
        <f t="shared" si="519"/>
        <v>2272.5444368526501</v>
      </c>
      <c r="AF203" s="528">
        <f t="shared" si="520"/>
        <v>8.5938913595229774E-2</v>
      </c>
      <c r="AH203" s="173">
        <f t="shared" si="521"/>
        <v>33.880462132115532</v>
      </c>
      <c r="AI203" s="173">
        <f t="shared" si="522"/>
        <v>52.002305568567316</v>
      </c>
      <c r="AJ203" s="173">
        <f t="shared" si="523"/>
        <v>29.843683137210355</v>
      </c>
      <c r="AL203" s="545">
        <f t="shared" si="524"/>
        <v>558</v>
      </c>
      <c r="AM203" s="460">
        <f t="shared" si="525"/>
        <v>144.27967583759775</v>
      </c>
      <c r="AO203">
        <f t="shared" si="526"/>
        <v>558</v>
      </c>
      <c r="AP203">
        <f t="shared" si="527"/>
        <v>144.27967583759775</v>
      </c>
      <c r="AR203" s="5">
        <f t="shared" si="616"/>
        <v>6.9309831353212017</v>
      </c>
      <c r="AS203" s="5">
        <f t="shared" si="604"/>
        <v>3.6890440324153442</v>
      </c>
      <c r="AT203" s="5">
        <f t="shared" si="605"/>
        <v>3.2419391029058575</v>
      </c>
      <c r="AU203" s="173">
        <f t="shared" si="606"/>
        <v>0.53225407714751038</v>
      </c>
      <c r="AW203" s="5">
        <f t="shared" si="477"/>
        <v>1.2108744529928013</v>
      </c>
      <c r="AX203" s="5">
        <f t="shared" si="478"/>
        <v>14.295045625609459</v>
      </c>
      <c r="AY203" s="5">
        <f t="shared" si="479"/>
        <v>69.811857168384307</v>
      </c>
      <c r="AZ203" s="5"/>
      <c r="BA203" s="173">
        <f t="shared" si="480"/>
        <v>21.903901105025657</v>
      </c>
      <c r="BB203" s="173">
        <f t="shared" si="481"/>
        <v>0.96964641800274276</v>
      </c>
      <c r="BC203" s="173">
        <f t="shared" si="482"/>
        <v>0.76664494466451227</v>
      </c>
      <c r="BD203" s="173"/>
      <c r="BE203" s="528">
        <f t="shared" si="483"/>
        <v>19.191235344749767</v>
      </c>
      <c r="BF203" s="528">
        <f t="shared" si="528"/>
        <v>2.6327948875706721</v>
      </c>
      <c r="BG203" s="528">
        <f t="shared" si="529"/>
        <v>4.0676531504169694E-2</v>
      </c>
      <c r="BH203" s="528">
        <f t="shared" si="484"/>
        <v>7.018570322636559E-3</v>
      </c>
      <c r="BI203">
        <f t="shared" si="485"/>
        <v>3.1716939809110691E-3</v>
      </c>
      <c r="BJ203" s="460">
        <f t="shared" si="600"/>
        <v>43.848225485080768</v>
      </c>
      <c r="BK203">
        <f t="shared" si="530"/>
        <v>-7.588178451910216</v>
      </c>
      <c r="BL203" s="460">
        <f t="shared" si="601"/>
        <v>21874.897028128154</v>
      </c>
      <c r="BM203" s="173">
        <f t="shared" si="531"/>
        <v>0.484344</v>
      </c>
      <c r="BN203" s="173">
        <f t="shared" si="532"/>
        <v>0.40362000000000003</v>
      </c>
      <c r="BO203" s="528"/>
      <c r="BQ203" s="460">
        <f t="shared" si="486"/>
        <v>887.96399999999994</v>
      </c>
      <c r="BR203" s="528">
        <f t="shared" si="487"/>
        <v>14.393426508562326</v>
      </c>
      <c r="BS203" s="528">
        <f t="shared" si="488"/>
        <v>2.8206425278366493E-2</v>
      </c>
      <c r="BT203" s="528">
        <f t="shared" si="489"/>
        <v>2.9387223558982657E-3</v>
      </c>
      <c r="BU203" s="528">
        <f t="shared" si="490"/>
        <v>243.80319703322695</v>
      </c>
      <c r="BV203" s="528"/>
      <c r="BW203" s="625">
        <f t="shared" si="533"/>
        <v>9.7541709871774387</v>
      </c>
      <c r="BX203" s="460">
        <f t="shared" si="607"/>
        <v>267981.93967660097</v>
      </c>
      <c r="BY203" s="173">
        <f t="shared" si="608"/>
        <v>290.74480070472913</v>
      </c>
      <c r="BZ203" s="5">
        <f t="shared" si="609"/>
        <v>100.44000000000001</v>
      </c>
      <c r="CA203" s="173">
        <f t="shared" si="610"/>
        <v>0.25675844209451609</v>
      </c>
      <c r="CB203" s="5">
        <f t="shared" si="611"/>
        <v>25.675844209451608</v>
      </c>
      <c r="CC203">
        <f t="shared" si="612"/>
        <v>93.000000000000014</v>
      </c>
      <c r="CE203" s="562">
        <f t="shared" si="534"/>
        <v>-50</v>
      </c>
      <c r="CF203">
        <f t="shared" si="535"/>
        <v>-50</v>
      </c>
      <c r="CG203" s="173">
        <f t="shared" si="536"/>
        <v>0.49996674565333032</v>
      </c>
      <c r="CH203" s="173">
        <f t="shared" si="537"/>
        <v>0.12441737294010324</v>
      </c>
      <c r="CI203" s="170">
        <v>93</v>
      </c>
      <c r="CJ203" s="217">
        <f t="shared" si="602"/>
        <v>0.55800000000000005</v>
      </c>
      <c r="CK203" s="217">
        <f t="shared" si="538"/>
        <v>0.46500000000000002</v>
      </c>
      <c r="CL203" s="217">
        <f t="shared" si="539"/>
        <v>94.860000000000014</v>
      </c>
      <c r="CM203" s="217">
        <f t="shared" si="540"/>
        <v>5.58</v>
      </c>
      <c r="CN203" s="541">
        <f t="shared" si="541"/>
        <v>9</v>
      </c>
      <c r="CO203" s="443">
        <f t="shared" si="542"/>
        <v>8.5350000000000001</v>
      </c>
      <c r="CP203" s="443">
        <f t="shared" si="543"/>
        <v>17.535</v>
      </c>
      <c r="CQ203" s="443"/>
      <c r="CR203" s="217">
        <f t="shared" si="544"/>
        <v>0.48644793152639093</v>
      </c>
      <c r="CS203" s="172">
        <f t="shared" si="545"/>
        <v>137.82691393247745</v>
      </c>
      <c r="CT203" s="172">
        <f t="shared" si="546"/>
        <v>8.1074655254398493</v>
      </c>
      <c r="CU203" s="217">
        <f t="shared" si="547"/>
        <v>0.81074655254398498</v>
      </c>
      <c r="CV203" s="217">
        <f t="shared" si="548"/>
        <v>11.485576161039788</v>
      </c>
      <c r="CW203" s="217">
        <f t="shared" si="549"/>
        <v>170</v>
      </c>
      <c r="CX203" s="217">
        <f t="shared" si="550"/>
        <v>45.883636363636363</v>
      </c>
      <c r="CY203" s="217">
        <f t="shared" si="551"/>
        <v>2.5490909090909089</v>
      </c>
      <c r="CZ203" s="217">
        <f t="shared" si="552"/>
        <v>2.6879693241731903</v>
      </c>
      <c r="DA203" s="197">
        <f t="shared" si="553"/>
        <v>350</v>
      </c>
      <c r="DB203" s="443">
        <f t="shared" si="554"/>
        <v>190.94682044104172</v>
      </c>
      <c r="DD203" s="217">
        <f t="shared" si="555"/>
        <v>25.032384211169504</v>
      </c>
      <c r="DE203" s="173">
        <f t="shared" si="556"/>
        <v>1.4664548454112187</v>
      </c>
      <c r="DF203" s="173">
        <f t="shared" si="557"/>
        <v>0.30335794952229944</v>
      </c>
      <c r="DG203" s="173"/>
      <c r="DH203" s="173">
        <f t="shared" si="558"/>
        <v>0.78109744190587771</v>
      </c>
      <c r="DI203" s="545">
        <f t="shared" si="559"/>
        <v>2269.2054705882356</v>
      </c>
      <c r="DJ203" s="528">
        <f t="shared" si="560"/>
        <v>8.6065366284073561E-2</v>
      </c>
      <c r="DL203" s="173">
        <f t="shared" si="561"/>
        <v>33.880462132115532</v>
      </c>
      <c r="DM203" s="173">
        <f t="shared" si="562"/>
        <v>45.883636363636363</v>
      </c>
      <c r="DN203" s="173">
        <f t="shared" si="563"/>
        <v>25.31133557800224</v>
      </c>
      <c r="DP203" s="545">
        <f t="shared" si="564"/>
        <v>558</v>
      </c>
      <c r="DQ203" s="460">
        <f t="shared" si="565"/>
        <v>190.94682044104172</v>
      </c>
      <c r="DS203">
        <f t="shared" si="614"/>
        <v>558</v>
      </c>
      <c r="DT203">
        <f t="shared" si="615"/>
        <v>190.94682044104172</v>
      </c>
      <c r="DV203" s="5">
        <f t="shared" si="568"/>
        <v>5.2370602332640992</v>
      </c>
      <c r="DW203" s="5">
        <f t="shared" si="569"/>
        <v>2.5490909090909089</v>
      </c>
      <c r="DX203" s="5">
        <f t="shared" si="570"/>
        <v>2.6879693241731903</v>
      </c>
      <c r="DY203" s="173">
        <f t="shared" si="571"/>
        <v>0.48674080410607357</v>
      </c>
      <c r="EA203" s="5">
        <f t="shared" si="572"/>
        <v>0.83670160427807483</v>
      </c>
      <c r="EB203" s="5">
        <f t="shared" si="573"/>
        <v>9.877727272727272</v>
      </c>
      <c r="EC203" s="5">
        <f t="shared" si="574"/>
        <v>45.329914682856682</v>
      </c>
      <c r="ED203" s="5"/>
      <c r="EE203" s="173">
        <f t="shared" si="575"/>
        <v>18.481877165181057</v>
      </c>
      <c r="EF203" s="173">
        <f t="shared" si="576"/>
        <v>0.89621455354431212</v>
      </c>
      <c r="EG203" s="173">
        <f t="shared" si="577"/>
        <v>0.70858649509038474</v>
      </c>
      <c r="EH203" s="173"/>
      <c r="EI203" s="528">
        <f t="shared" si="578"/>
        <v>13.663191341953638</v>
      </c>
      <c r="EJ203" s="528">
        <f t="shared" si="579"/>
        <v>4.2248250000000009</v>
      </c>
      <c r="EK203" s="528">
        <f t="shared" si="580"/>
        <v>3.818936408820834E-2</v>
      </c>
      <c r="EL203" s="528">
        <f t="shared" si="581"/>
        <v>1.1742321504992867E-2</v>
      </c>
      <c r="EM203">
        <f t="shared" si="582"/>
        <v>4.0499999999999998E-3</v>
      </c>
      <c r="EN203" s="460">
        <f t="shared" si="583"/>
        <v>42.23936408820834</v>
      </c>
      <c r="EP203" s="460">
        <f t="shared" si="603"/>
        <v>17941.998027546837</v>
      </c>
      <c r="EQ203" s="173">
        <f t="shared" si="584"/>
        <v>0.3906</v>
      </c>
      <c r="ER203" s="173">
        <f t="shared" si="585"/>
        <v>0.40362000000000003</v>
      </c>
      <c r="ES203" s="528"/>
      <c r="EU203" s="460">
        <f t="shared" si="497"/>
        <v>794.22</v>
      </c>
      <c r="EV203" s="528">
        <f t="shared" si="586"/>
        <v>10.247393506465228</v>
      </c>
      <c r="EW203" s="528">
        <f t="shared" si="587"/>
        <v>2.4096015779538918E-2</v>
      </c>
      <c r="EX203" s="528">
        <f t="shared" si="588"/>
        <v>2.5104741051223791E-3</v>
      </c>
      <c r="EY203" s="528">
        <f t="shared" si="589"/>
        <v>359.24907218562652</v>
      </c>
      <c r="EZ203" s="528"/>
      <c r="FA203" s="625">
        <f t="shared" si="590"/>
        <v>10.050047126526168</v>
      </c>
      <c r="FB203" s="460">
        <f t="shared" si="613"/>
        <v>379573.11930850259</v>
      </c>
      <c r="FC203" s="173">
        <f t="shared" si="591"/>
        <v>398.3093373360494</v>
      </c>
      <c r="FD203" s="5">
        <f t="shared" si="592"/>
        <v>100.44000000000001</v>
      </c>
      <c r="FE203" s="173">
        <f t="shared" si="593"/>
        <v>0.20138372621500875</v>
      </c>
      <c r="FF203" s="5">
        <f t="shared" si="594"/>
        <v>20.138372621500874</v>
      </c>
      <c r="FG203">
        <f t="shared" si="595"/>
        <v>93.000000000000014</v>
      </c>
      <c r="FI203" s="562">
        <f t="shared" si="596"/>
        <v>-50</v>
      </c>
      <c r="FJ203">
        <f t="shared" si="597"/>
        <v>-50</v>
      </c>
    </row>
    <row r="204" spans="5:166">
      <c r="E204" s="170">
        <v>94</v>
      </c>
      <c r="F204" s="217">
        <f t="shared" si="598"/>
        <v>0.56399999999999995</v>
      </c>
      <c r="G204" s="217">
        <f t="shared" si="499"/>
        <v>0.47</v>
      </c>
      <c r="H204" s="217">
        <f t="shared" si="500"/>
        <v>95.88</v>
      </c>
      <c r="I204" s="217">
        <f t="shared" si="501"/>
        <v>5.64</v>
      </c>
      <c r="J204" s="541">
        <f t="shared" si="502"/>
        <v>7.0272218448181718</v>
      </c>
      <c r="K204" s="443">
        <f t="shared" si="503"/>
        <v>8.5476936535172001</v>
      </c>
      <c r="L204" s="172">
        <f t="shared" si="504"/>
        <v>15.574915498335372</v>
      </c>
      <c r="M204" s="443"/>
      <c r="N204" s="217">
        <f t="shared" si="505"/>
        <v>0.54881155884478261</v>
      </c>
      <c r="O204" s="172">
        <f t="shared" si="506"/>
        <v>121.41212921305015</v>
      </c>
      <c r="P204" s="172">
        <f t="shared" si="507"/>
        <v>7.1418899537088327</v>
      </c>
      <c r="Q204" s="217">
        <f t="shared" si="508"/>
        <v>0.71418899537088321</v>
      </c>
      <c r="R204" s="217">
        <f t="shared" si="509"/>
        <v>10.117677434420846</v>
      </c>
      <c r="S204" s="217">
        <f t="shared" si="510"/>
        <v>170</v>
      </c>
      <c r="T204" s="217">
        <f t="shared" si="511"/>
        <v>52.647128762428018</v>
      </c>
      <c r="U204" s="217">
        <f t="shared" si="512"/>
        <v>3.7459418476484889</v>
      </c>
      <c r="V204" s="217">
        <f t="shared" si="513"/>
        <v>3.0796101788676533</v>
      </c>
      <c r="W204" s="197">
        <f t="shared" si="514"/>
        <v>350</v>
      </c>
      <c r="X204" s="443">
        <f t="shared" si="599"/>
        <v>142.33756952133535</v>
      </c>
      <c r="Z204" s="217">
        <f t="shared" si="515"/>
        <v>22.037831857158686</v>
      </c>
      <c r="AA204" s="173">
        <f t="shared" si="516"/>
        <v>1.2891098318720497</v>
      </c>
      <c r="AB204" s="173">
        <f t="shared" si="517"/>
        <v>0.23477035421559403</v>
      </c>
      <c r="AC204" s="173"/>
      <c r="AD204" s="173">
        <f t="shared" si="518"/>
        <v>0.77993748219128911</v>
      </c>
      <c r="AE204" s="545">
        <f t="shared" si="519"/>
        <v>2297.0166874545866</v>
      </c>
      <c r="AF204" s="528">
        <f t="shared" si="520"/>
        <v>8.5937555908114277E-2</v>
      </c>
      <c r="AH204" s="173">
        <f t="shared" si="521"/>
        <v>34.062128110682863</v>
      </c>
      <c r="AI204" s="173">
        <f t="shared" si="522"/>
        <v>52.647128762428018</v>
      </c>
      <c r="AJ204" s="173">
        <f t="shared" si="523"/>
        <v>30.32132994747754</v>
      </c>
      <c r="AL204" s="545">
        <f t="shared" si="524"/>
        <v>564</v>
      </c>
      <c r="AM204" s="460">
        <f t="shared" si="525"/>
        <v>142.33756952133535</v>
      </c>
      <c r="AO204">
        <f t="shared" si="526"/>
        <v>564</v>
      </c>
      <c r="AP204">
        <f t="shared" si="527"/>
        <v>142.33756952133535</v>
      </c>
      <c r="AR204" s="5">
        <f t="shared" si="616"/>
        <v>7.0255520265161433</v>
      </c>
      <c r="AS204" s="5">
        <f t="shared" si="604"/>
        <v>3.7459418476484889</v>
      </c>
      <c r="AT204" s="5">
        <f t="shared" si="605"/>
        <v>3.2796101788676544</v>
      </c>
      <c r="AU204" s="173">
        <f t="shared" si="606"/>
        <v>0.53318825816254622</v>
      </c>
      <c r="AW204" s="5">
        <f t="shared" si="477"/>
        <v>1.2427712953374985</v>
      </c>
      <c r="AX204" s="5">
        <f t="shared" si="478"/>
        <v>14.671605569956581</v>
      </c>
      <c r="AY204" s="5">
        <f t="shared" si="479"/>
        <v>71.595638992203646</v>
      </c>
      <c r="AZ204" s="5"/>
      <c r="BA204" s="173">
        <f t="shared" si="480"/>
        <v>22.194959246926384</v>
      </c>
      <c r="BB204" s="173">
        <f t="shared" si="481"/>
        <v>0.98068914863968915</v>
      </c>
      <c r="BC204" s="173">
        <f t="shared" si="482"/>
        <v>0.77537581136079159</v>
      </c>
      <c r="BD204" s="173"/>
      <c r="BE204" s="528">
        <f t="shared" si="483"/>
        <v>19.704648638908921</v>
      </c>
      <c r="BF204" s="528">
        <f t="shared" si="528"/>
        <v>2.6260467531555278</v>
      </c>
      <c r="BG204" s="528">
        <f t="shared" si="529"/>
        <v>4.0009507115146122E-2</v>
      </c>
      <c r="BH204" s="528">
        <f t="shared" si="484"/>
        <v>6.9055923823420282E-3</v>
      </c>
      <c r="BI204">
        <f t="shared" si="485"/>
        <v>3.162249830168177E-3</v>
      </c>
      <c r="BJ204" s="460">
        <f t="shared" si="600"/>
        <v>43.1717569453143</v>
      </c>
      <c r="BK204">
        <f t="shared" si="530"/>
        <v>-7.5119973785326533</v>
      </c>
      <c r="BL204" s="460">
        <f t="shared" si="601"/>
        <v>22380.772741392106</v>
      </c>
      <c r="BM204" s="173">
        <f t="shared" si="531"/>
        <v>0.48955199999999993</v>
      </c>
      <c r="BN204" s="173">
        <f t="shared" si="532"/>
        <v>0.40795999999999993</v>
      </c>
      <c r="BO204" s="528"/>
      <c r="BQ204" s="460">
        <f t="shared" si="486"/>
        <v>897.51199999999983</v>
      </c>
      <c r="BR204" s="528">
        <f t="shared" si="487"/>
        <v>14.778486479181689</v>
      </c>
      <c r="BS204" s="528">
        <f t="shared" si="488"/>
        <v>2.8852536187789147E-2</v>
      </c>
      <c r="BT204" s="528">
        <f t="shared" si="489"/>
        <v>3.0060382442170294E-3</v>
      </c>
      <c r="BU204" s="528">
        <f t="shared" si="490"/>
        <v>243.05558002103379</v>
      </c>
      <c r="BV204" s="528"/>
      <c r="BW204" s="625">
        <f t="shared" si="533"/>
        <v>9.8629977988438817</v>
      </c>
      <c r="BX204" s="460">
        <f t="shared" si="607"/>
        <v>267728.92287349136</v>
      </c>
      <c r="BY204" s="173">
        <f t="shared" si="608"/>
        <v>291.0072076148835</v>
      </c>
      <c r="BZ204" s="5">
        <f t="shared" si="609"/>
        <v>101.52</v>
      </c>
      <c r="CA204" s="173">
        <f t="shared" si="610"/>
        <v>0.25863175349517009</v>
      </c>
      <c r="CB204" s="5">
        <f t="shared" si="611"/>
        <v>25.863175349517007</v>
      </c>
      <c r="CC204">
        <f t="shared" si="612"/>
        <v>94</v>
      </c>
      <c r="CE204" s="562">
        <f t="shared" si="534"/>
        <v>-50</v>
      </c>
      <c r="CF204">
        <f t="shared" si="535"/>
        <v>-50</v>
      </c>
      <c r="CG204" s="173">
        <f t="shared" si="536"/>
        <v>0.49996674565333032</v>
      </c>
      <c r="CH204" s="173">
        <f t="shared" si="537"/>
        <v>0.12441737294010324</v>
      </c>
      <c r="CI204" s="170">
        <v>94</v>
      </c>
      <c r="CJ204" s="217">
        <f t="shared" si="602"/>
        <v>0.56399999999999995</v>
      </c>
      <c r="CK204" s="217">
        <f t="shared" si="538"/>
        <v>0.47</v>
      </c>
      <c r="CL204" s="217">
        <f t="shared" si="539"/>
        <v>95.88</v>
      </c>
      <c r="CM204" s="217">
        <f t="shared" si="540"/>
        <v>5.64</v>
      </c>
      <c r="CN204" s="541">
        <f t="shared" si="541"/>
        <v>9</v>
      </c>
      <c r="CO204" s="443">
        <f t="shared" si="542"/>
        <v>8.5350000000000001</v>
      </c>
      <c r="CP204" s="443">
        <f t="shared" si="543"/>
        <v>17.535</v>
      </c>
      <c r="CQ204" s="443"/>
      <c r="CR204" s="217">
        <f t="shared" si="544"/>
        <v>0.48644793152639093</v>
      </c>
      <c r="CS204" s="172">
        <f t="shared" si="545"/>
        <v>137.82691393247745</v>
      </c>
      <c r="CT204" s="172">
        <f t="shared" si="546"/>
        <v>8.1074655254398493</v>
      </c>
      <c r="CU204" s="217">
        <f t="shared" si="547"/>
        <v>0.81074655254398498</v>
      </c>
      <c r="CV204" s="217">
        <f t="shared" si="548"/>
        <v>11.485576161039788</v>
      </c>
      <c r="CW204" s="217">
        <f t="shared" si="549"/>
        <v>170</v>
      </c>
      <c r="CX204" s="217">
        <f t="shared" si="550"/>
        <v>46.37700879765395</v>
      </c>
      <c r="CY204" s="217">
        <f t="shared" si="551"/>
        <v>2.5765004887585525</v>
      </c>
      <c r="CZ204" s="217">
        <f t="shared" si="552"/>
        <v>2.7168722201320414</v>
      </c>
      <c r="DA204" s="197">
        <f t="shared" si="553"/>
        <v>350</v>
      </c>
      <c r="DB204" s="443">
        <f t="shared" si="554"/>
        <v>188.91547128741365</v>
      </c>
      <c r="DD204" s="217">
        <f t="shared" si="555"/>
        <v>25.032384211169504</v>
      </c>
      <c r="DE204" s="173">
        <f t="shared" si="556"/>
        <v>1.4664548454112187</v>
      </c>
      <c r="DF204" s="173">
        <f t="shared" si="557"/>
        <v>0.30335794952229944</v>
      </c>
      <c r="DG204" s="173"/>
      <c r="DH204" s="173">
        <f t="shared" si="558"/>
        <v>0.78109744190587771</v>
      </c>
      <c r="DI204" s="545">
        <f t="shared" si="559"/>
        <v>2293.6055294117646</v>
      </c>
      <c r="DJ204" s="528">
        <f t="shared" si="560"/>
        <v>8.6065366284073561E-2</v>
      </c>
      <c r="DL204" s="173">
        <f t="shared" si="561"/>
        <v>34.062128110682863</v>
      </c>
      <c r="DM204" s="173">
        <f t="shared" si="562"/>
        <v>46.37700879765395</v>
      </c>
      <c r="DN204" s="173">
        <f t="shared" si="563"/>
        <v>25.676796640237491</v>
      </c>
      <c r="DP204" s="545">
        <f t="shared" si="564"/>
        <v>564</v>
      </c>
      <c r="DQ204" s="460">
        <f t="shared" si="565"/>
        <v>188.91547128741365</v>
      </c>
      <c r="DS204">
        <f t="shared" si="614"/>
        <v>564</v>
      </c>
      <c r="DT204">
        <f t="shared" si="615"/>
        <v>188.91547128741365</v>
      </c>
      <c r="DV204" s="5">
        <f t="shared" si="568"/>
        <v>5.293372708890594</v>
      </c>
      <c r="DW204" s="5">
        <f t="shared" si="569"/>
        <v>2.5765004887585525</v>
      </c>
      <c r="DX204" s="5">
        <f t="shared" si="570"/>
        <v>2.7168722201320414</v>
      </c>
      <c r="DY204" s="173">
        <f t="shared" si="571"/>
        <v>0.48674080410607357</v>
      </c>
      <c r="EA204" s="5">
        <f t="shared" si="572"/>
        <v>0.85479192685871974</v>
      </c>
      <c r="EB204" s="5">
        <f t="shared" si="573"/>
        <v>10.091293580970996</v>
      </c>
      <c r="EC204" s="5">
        <f t="shared" si="574"/>
        <v>46.309992616224022</v>
      </c>
      <c r="ED204" s="5"/>
      <c r="EE204" s="173">
        <f t="shared" si="575"/>
        <v>18.680607027172247</v>
      </c>
      <c r="EF204" s="173">
        <f t="shared" si="576"/>
        <v>0.90585126917382064</v>
      </c>
      <c r="EG204" s="173">
        <f t="shared" si="577"/>
        <v>0.71620570471501233</v>
      </c>
      <c r="EH204" s="173"/>
      <c r="EI204" s="528">
        <f t="shared" si="578"/>
        <v>13.958603156145484</v>
      </c>
      <c r="EJ204" s="528">
        <f t="shared" si="579"/>
        <v>4.2248250000000009</v>
      </c>
      <c r="EK204" s="528">
        <f t="shared" si="580"/>
        <v>3.7783094257482726E-2</v>
      </c>
      <c r="EL204" s="528">
        <f t="shared" si="581"/>
        <v>1.1617403191109966E-2</v>
      </c>
      <c r="EM204">
        <f t="shared" si="582"/>
        <v>4.0499999999999998E-3</v>
      </c>
      <c r="EN204" s="460">
        <f t="shared" si="583"/>
        <v>41.83309425748272</v>
      </c>
      <c r="EP204" s="460">
        <f t="shared" si="603"/>
        <v>18236.878653594074</v>
      </c>
      <c r="EQ204" s="173">
        <f t="shared" si="584"/>
        <v>0.39479999999999993</v>
      </c>
      <c r="ER204" s="173">
        <f t="shared" si="585"/>
        <v>0.40795999999999993</v>
      </c>
      <c r="ES204" s="528"/>
      <c r="EU204" s="460">
        <f t="shared" si="497"/>
        <v>802.75999999999988</v>
      </c>
      <c r="EV204" s="528">
        <f t="shared" si="586"/>
        <v>10.468952367109113</v>
      </c>
      <c r="EW204" s="528">
        <f t="shared" si="587"/>
        <v>2.4616995655914648E-2</v>
      </c>
      <c r="EX204" s="528">
        <f t="shared" si="588"/>
        <v>2.5647530573316376E-3</v>
      </c>
      <c r="EY204" s="528">
        <f t="shared" si="589"/>
        <v>359.24907218562652</v>
      </c>
      <c r="EZ204" s="528"/>
      <c r="FA204" s="625">
        <f t="shared" si="590"/>
        <v>10.158112149392041</v>
      </c>
      <c r="FB204" s="460">
        <f t="shared" si="613"/>
        <v>379903.31845084089</v>
      </c>
      <c r="FC204" s="173">
        <f t="shared" si="591"/>
        <v>398.94295710443498</v>
      </c>
      <c r="FD204" s="5">
        <f t="shared" si="592"/>
        <v>101.52</v>
      </c>
      <c r="FE204" s="173">
        <f t="shared" si="593"/>
        <v>0.20285217628767505</v>
      </c>
      <c r="FF204" s="5">
        <f t="shared" si="594"/>
        <v>20.285217628767505</v>
      </c>
      <c r="FG204">
        <f t="shared" si="595"/>
        <v>94</v>
      </c>
      <c r="FI204" s="562">
        <f t="shared" si="596"/>
        <v>-50</v>
      </c>
      <c r="FJ204">
        <f t="shared" si="597"/>
        <v>-50</v>
      </c>
    </row>
    <row r="205" spans="5:166">
      <c r="E205" s="170">
        <v>95</v>
      </c>
      <c r="F205" s="217">
        <f t="shared" si="598"/>
        <v>0.56999999999999995</v>
      </c>
      <c r="G205" s="217">
        <f t="shared" si="499"/>
        <v>0.47499999999999998</v>
      </c>
      <c r="H205" s="217">
        <f t="shared" si="500"/>
        <v>96.899999999999991</v>
      </c>
      <c r="I205" s="217">
        <f t="shared" si="501"/>
        <v>5.6999999999999993</v>
      </c>
      <c r="J205" s="541">
        <f t="shared" si="502"/>
        <v>7.0062348431673005</v>
      </c>
      <c r="K205" s="443">
        <f t="shared" si="503"/>
        <v>8.5478286923844049</v>
      </c>
      <c r="L205" s="172">
        <f t="shared" si="504"/>
        <v>15.554063535551705</v>
      </c>
      <c r="M205" s="443"/>
      <c r="N205" s="217">
        <f t="shared" si="505"/>
        <v>0.54955598405823358</v>
      </c>
      <c r="O205" s="172">
        <f t="shared" si="506"/>
        <v>121.21372374862618</v>
      </c>
      <c r="P205" s="172">
        <f t="shared" si="507"/>
        <v>7.1302190440368332</v>
      </c>
      <c r="Q205" s="217">
        <f t="shared" si="508"/>
        <v>0.7130219044036834</v>
      </c>
      <c r="R205" s="217">
        <f t="shared" si="509"/>
        <v>10.101143645718848</v>
      </c>
      <c r="S205" s="217">
        <f t="shared" si="510"/>
        <v>170</v>
      </c>
      <c r="T205" s="217">
        <f t="shared" si="511"/>
        <v>53.294295400055461</v>
      </c>
      <c r="U205" s="217">
        <f t="shared" si="512"/>
        <v>3.8033477747345086</v>
      </c>
      <c r="V205" s="217">
        <f t="shared" si="513"/>
        <v>3.1174171428784851</v>
      </c>
      <c r="W205" s="197">
        <f t="shared" si="514"/>
        <v>350</v>
      </c>
      <c r="X205" s="443">
        <f t="shared" si="599"/>
        <v>140.43435102407759</v>
      </c>
      <c r="Z205" s="217">
        <f t="shared" si="515"/>
        <v>22.001818764456509</v>
      </c>
      <c r="AA205" s="173">
        <f t="shared" si="516"/>
        <v>1.2869829026907611</v>
      </c>
      <c r="AB205" s="173">
        <f t="shared" si="517"/>
        <v>0.2339999850539444</v>
      </c>
      <c r="AC205" s="173"/>
      <c r="AD205" s="173">
        <f t="shared" si="518"/>
        <v>0.77992516071435325</v>
      </c>
      <c r="AE205" s="545">
        <f t="shared" si="519"/>
        <v>2321.489710161105</v>
      </c>
      <c r="AF205" s="528">
        <f t="shared" si="520"/>
        <v>8.5936198263896327E-2</v>
      </c>
      <c r="AH205" s="173">
        <f t="shared" si="521"/>
        <v>34.24283032360831</v>
      </c>
      <c r="AI205" s="173">
        <f t="shared" si="522"/>
        <v>53.294295400055461</v>
      </c>
      <c r="AJ205" s="173">
        <f t="shared" si="523"/>
        <v>30.800712642016386</v>
      </c>
      <c r="AL205" s="545">
        <f t="shared" si="524"/>
        <v>570</v>
      </c>
      <c r="AM205" s="460">
        <f t="shared" si="525"/>
        <v>140.43435102407759</v>
      </c>
      <c r="AO205">
        <f t="shared" si="526"/>
        <v>570</v>
      </c>
      <c r="AP205">
        <f t="shared" si="527"/>
        <v>140.43435102407759</v>
      </c>
      <c r="AR205" s="5">
        <f t="shared" si="616"/>
        <v>7.120764917612993</v>
      </c>
      <c r="AS205" s="5">
        <f t="shared" si="604"/>
        <v>3.8033477747345086</v>
      </c>
      <c r="AT205" s="5">
        <f t="shared" si="605"/>
        <v>3.3174171428784844</v>
      </c>
      <c r="AU205" s="173">
        <f t="shared" si="606"/>
        <v>0.53412067646371031</v>
      </c>
      <c r="AW205" s="5">
        <f t="shared" si="477"/>
        <v>1.2752401362345116</v>
      </c>
      <c r="AX205" s="5">
        <f t="shared" si="478"/>
        <v>15.054918274990762</v>
      </c>
      <c r="AY205" s="5">
        <f t="shared" si="479"/>
        <v>73.410664264768855</v>
      </c>
      <c r="AZ205" s="5"/>
      <c r="BA205" s="173">
        <f t="shared" si="480"/>
        <v>22.487428351762095</v>
      </c>
      <c r="BB205" s="173">
        <f t="shared" si="481"/>
        <v>0.99175234527460465</v>
      </c>
      <c r="BC205" s="173">
        <f t="shared" si="482"/>
        <v>0.78412285937181547</v>
      </c>
      <c r="BD205" s="173"/>
      <c r="BE205" s="528">
        <f t="shared" si="483"/>
        <v>20.227377355025347</v>
      </c>
      <c r="BF205" s="528">
        <f t="shared" si="528"/>
        <v>2.6192711727363136</v>
      </c>
      <c r="BG205" s="528">
        <f t="shared" si="529"/>
        <v>3.9356641732899197E-2</v>
      </c>
      <c r="BH205" s="528">
        <f t="shared" si="484"/>
        <v>6.7950254015429028E-3</v>
      </c>
      <c r="BI205">
        <f t="shared" si="485"/>
        <v>3.152805679425285E-3</v>
      </c>
      <c r="BJ205" s="460">
        <f t="shared" si="600"/>
        <v>42.509447412324484</v>
      </c>
      <c r="BK205">
        <f t="shared" si="530"/>
        <v>-7.4394772719214171</v>
      </c>
      <c r="BL205" s="460">
        <f t="shared" si="601"/>
        <v>22895.953000575522</v>
      </c>
      <c r="BM205" s="173">
        <f t="shared" si="531"/>
        <v>0.49475999999999998</v>
      </c>
      <c r="BN205" s="173">
        <f t="shared" si="532"/>
        <v>0.41229999999999994</v>
      </c>
      <c r="BO205" s="528"/>
      <c r="BQ205" s="460">
        <f t="shared" si="486"/>
        <v>907.06</v>
      </c>
      <c r="BR205" s="528">
        <f t="shared" si="487"/>
        <v>15.17053301626901</v>
      </c>
      <c r="BS205" s="528">
        <f t="shared" si="488"/>
        <v>2.9507181430730358E-2</v>
      </c>
      <c r="BT205" s="528">
        <f t="shared" si="489"/>
        <v>3.07424329294716E-3</v>
      </c>
      <c r="BU205" s="528">
        <f t="shared" si="490"/>
        <v>242.3009938231707</v>
      </c>
      <c r="BV205" s="528"/>
      <c r="BW205" s="625">
        <f t="shared" si="533"/>
        <v>9.9718287116985955</v>
      </c>
      <c r="BX205" s="460">
        <f t="shared" si="607"/>
        <v>267475.93697586202</v>
      </c>
      <c r="BY205" s="173">
        <f t="shared" si="608"/>
        <v>291.2789499764375</v>
      </c>
      <c r="BZ205" s="5">
        <f t="shared" si="609"/>
        <v>102.6</v>
      </c>
      <c r="CA205" s="173">
        <f t="shared" si="610"/>
        <v>0.26048612144959177</v>
      </c>
      <c r="CB205" s="5">
        <f t="shared" si="611"/>
        <v>26.048612144959176</v>
      </c>
      <c r="CC205">
        <f t="shared" si="612"/>
        <v>95</v>
      </c>
      <c r="CE205" s="562">
        <f t="shared" si="534"/>
        <v>-50</v>
      </c>
      <c r="CF205">
        <f t="shared" si="535"/>
        <v>-50</v>
      </c>
      <c r="CG205" s="173">
        <f t="shared" si="536"/>
        <v>0.49996674565333032</v>
      </c>
      <c r="CH205" s="173">
        <f t="shared" si="537"/>
        <v>0.12441737294010324</v>
      </c>
      <c r="CI205" s="170">
        <v>95</v>
      </c>
      <c r="CJ205" s="217">
        <f t="shared" si="602"/>
        <v>0.56999999999999995</v>
      </c>
      <c r="CK205" s="217">
        <f t="shared" si="538"/>
        <v>0.47499999999999998</v>
      </c>
      <c r="CL205" s="217">
        <f t="shared" si="539"/>
        <v>96.899999999999991</v>
      </c>
      <c r="CM205" s="217">
        <f t="shared" si="540"/>
        <v>5.6999999999999993</v>
      </c>
      <c r="CN205" s="541">
        <f t="shared" si="541"/>
        <v>9</v>
      </c>
      <c r="CO205" s="443">
        <f t="shared" si="542"/>
        <v>8.5350000000000001</v>
      </c>
      <c r="CP205" s="443">
        <f t="shared" si="543"/>
        <v>17.535</v>
      </c>
      <c r="CQ205" s="443"/>
      <c r="CR205" s="217">
        <f t="shared" si="544"/>
        <v>0.48644793152639093</v>
      </c>
      <c r="CS205" s="172">
        <f t="shared" si="545"/>
        <v>137.82691393247745</v>
      </c>
      <c r="CT205" s="172">
        <f t="shared" si="546"/>
        <v>8.1074655254398493</v>
      </c>
      <c r="CU205" s="217">
        <f t="shared" si="547"/>
        <v>0.81074655254398498</v>
      </c>
      <c r="CV205" s="217">
        <f t="shared" si="548"/>
        <v>11.485576161039788</v>
      </c>
      <c r="CW205" s="217">
        <f t="shared" si="549"/>
        <v>170</v>
      </c>
      <c r="CX205" s="217">
        <f t="shared" si="550"/>
        <v>46.870381231671544</v>
      </c>
      <c r="CY205" s="217">
        <f t="shared" si="551"/>
        <v>2.6039100684261967</v>
      </c>
      <c r="CZ205" s="217">
        <f t="shared" si="552"/>
        <v>2.7457751160908925</v>
      </c>
      <c r="DA205" s="197">
        <f t="shared" si="553"/>
        <v>350</v>
      </c>
      <c r="DB205" s="443">
        <f t="shared" si="554"/>
        <v>186.92688737912511</v>
      </c>
      <c r="DD205" s="217">
        <f t="shared" si="555"/>
        <v>25.032384211169504</v>
      </c>
      <c r="DE205" s="173">
        <f t="shared" si="556"/>
        <v>1.4664548454112187</v>
      </c>
      <c r="DF205" s="173">
        <f t="shared" si="557"/>
        <v>0.30335794952229944</v>
      </c>
      <c r="DG205" s="173"/>
      <c r="DH205" s="173">
        <f t="shared" si="558"/>
        <v>0.78109744190587771</v>
      </c>
      <c r="DI205" s="545">
        <f t="shared" si="559"/>
        <v>2318.005588235294</v>
      </c>
      <c r="DJ205" s="528">
        <f t="shared" si="560"/>
        <v>8.6065366284073561E-2</v>
      </c>
      <c r="DL205" s="173">
        <f t="shared" si="561"/>
        <v>34.24283032360831</v>
      </c>
      <c r="DM205" s="173">
        <f t="shared" si="562"/>
        <v>46.870381231671544</v>
      </c>
      <c r="DN205" s="173">
        <f t="shared" si="563"/>
        <v>26.042257702472746</v>
      </c>
      <c r="DP205" s="545">
        <f t="shared" si="564"/>
        <v>570</v>
      </c>
      <c r="DQ205" s="460">
        <f t="shared" si="565"/>
        <v>186.92688737912511</v>
      </c>
      <c r="DS205">
        <f t="shared" si="614"/>
        <v>570</v>
      </c>
      <c r="DT205">
        <f t="shared" si="615"/>
        <v>186.92688737912511</v>
      </c>
      <c r="DV205" s="5">
        <f t="shared" si="568"/>
        <v>5.3496851845170887</v>
      </c>
      <c r="DW205" s="5">
        <f t="shared" si="569"/>
        <v>2.6039100684261967</v>
      </c>
      <c r="DX205" s="5">
        <f t="shared" si="570"/>
        <v>2.7457751160908921</v>
      </c>
      <c r="DY205" s="173">
        <f t="shared" si="571"/>
        <v>0.48674080410607362</v>
      </c>
      <c r="EA205" s="5">
        <f t="shared" si="572"/>
        <v>0.87307572882525408</v>
      </c>
      <c r="EB205" s="5">
        <f t="shared" si="573"/>
        <v>10.307144020853695</v>
      </c>
      <c r="EC205" s="5">
        <f t="shared" si="574"/>
        <v>47.300552666525768</v>
      </c>
      <c r="ED205" s="5"/>
      <c r="EE205" s="173">
        <f t="shared" si="575"/>
        <v>18.87933688916344</v>
      </c>
      <c r="EF205" s="173">
        <f t="shared" si="576"/>
        <v>0.91548798480332927</v>
      </c>
      <c r="EG205" s="173">
        <f t="shared" si="577"/>
        <v>0.72382491433964014</v>
      </c>
      <c r="EH205" s="173"/>
      <c r="EI205" s="528">
        <f t="shared" si="578"/>
        <v>14.257174454981101</v>
      </c>
      <c r="EJ205" s="528">
        <f t="shared" si="579"/>
        <v>4.2248250000000009</v>
      </c>
      <c r="EK205" s="528">
        <f t="shared" si="580"/>
        <v>3.7385377475825023E-2</v>
      </c>
      <c r="EL205" s="528">
        <f t="shared" si="581"/>
        <v>1.1495114736466706E-2</v>
      </c>
      <c r="EM205">
        <f t="shared" si="582"/>
        <v>4.0499999999999998E-3</v>
      </c>
      <c r="EN205" s="460">
        <f t="shared" si="583"/>
        <v>41.435377475825021</v>
      </c>
      <c r="EP205" s="460">
        <f t="shared" si="603"/>
        <v>18534.929947193392</v>
      </c>
      <c r="EQ205" s="173">
        <f t="shared" si="584"/>
        <v>0.39899999999999997</v>
      </c>
      <c r="ER205" s="173">
        <f t="shared" si="585"/>
        <v>0.41229999999999994</v>
      </c>
      <c r="ES205" s="528"/>
      <c r="EU205" s="460">
        <f t="shared" si="497"/>
        <v>811.3</v>
      </c>
      <c r="EV205" s="528">
        <f t="shared" si="586"/>
        <v>10.692880841235825</v>
      </c>
      <c r="EW205" s="528">
        <f t="shared" si="587"/>
        <v>2.5143547509577823E-2</v>
      </c>
      <c r="EX205" s="528">
        <f t="shared" si="588"/>
        <v>2.6196125330939369E-3</v>
      </c>
      <c r="EY205" s="528">
        <f t="shared" si="589"/>
        <v>359.24907218562652</v>
      </c>
      <c r="EZ205" s="528"/>
      <c r="FA205" s="625">
        <f t="shared" si="590"/>
        <v>10.266177172257914</v>
      </c>
      <c r="FB205" s="460">
        <f t="shared" si="613"/>
        <v>380235.89335916296</v>
      </c>
      <c r="FC205" s="173">
        <f t="shared" si="591"/>
        <v>399.58212330635632</v>
      </c>
      <c r="FD205" s="5">
        <f t="shared" si="592"/>
        <v>102.6</v>
      </c>
      <c r="FE205" s="173">
        <f t="shared" si="593"/>
        <v>0.20430834798436034</v>
      </c>
      <c r="FF205" s="5">
        <f t="shared" si="594"/>
        <v>20.430834798436035</v>
      </c>
      <c r="FG205">
        <f t="shared" si="595"/>
        <v>95</v>
      </c>
      <c r="FI205" s="562">
        <f t="shared" si="596"/>
        <v>-50</v>
      </c>
      <c r="FJ205">
        <f t="shared" si="597"/>
        <v>-50</v>
      </c>
    </row>
    <row r="206" spans="5:166">
      <c r="E206" s="170">
        <v>96</v>
      </c>
      <c r="F206" s="217">
        <f t="shared" si="598"/>
        <v>0.57599999999999996</v>
      </c>
      <c r="G206" s="217">
        <f t="shared" si="499"/>
        <v>0.48</v>
      </c>
      <c r="H206" s="217">
        <f t="shared" si="500"/>
        <v>97.919999999999987</v>
      </c>
      <c r="I206" s="217">
        <f t="shared" si="501"/>
        <v>5.76</v>
      </c>
      <c r="J206" s="541">
        <f t="shared" si="502"/>
        <v>6.9852478415164301</v>
      </c>
      <c r="K206" s="443">
        <f t="shared" si="503"/>
        <v>8.5479637312516097</v>
      </c>
      <c r="L206" s="172">
        <f t="shared" si="504"/>
        <v>15.533211572768039</v>
      </c>
      <c r="M206" s="443"/>
      <c r="N206" s="217">
        <f t="shared" si="505"/>
        <v>0.55030240792170904</v>
      </c>
      <c r="O206" s="172">
        <f>N206*J206*Isw_max*0.5*Efficiency*Pout/(Pout+Pout2)</f>
        <v>121.01477411292409</v>
      </c>
      <c r="P206" s="172">
        <f t="shared" si="507"/>
        <v>7.118516124289652</v>
      </c>
      <c r="Q206" s="217">
        <f t="shared" si="508"/>
        <v>0.71185161242896522</v>
      </c>
      <c r="R206" s="217">
        <f t="shared" si="509"/>
        <v>10.08456450941034</v>
      </c>
      <c r="S206" s="217">
        <f t="shared" si="510"/>
        <v>170</v>
      </c>
      <c r="T206" s="217">
        <f t="shared" si="511"/>
        <v>53.943826676141562</v>
      </c>
      <c r="U206" s="217">
        <f t="shared" si="512"/>
        <v>3.8612679106050782</v>
      </c>
      <c r="V206" s="217">
        <f t="shared" si="513"/>
        <v>3.155361228249093</v>
      </c>
      <c r="W206" s="197">
        <f t="shared" si="514"/>
        <v>350</v>
      </c>
      <c r="X206" s="443">
        <f t="shared" si="599"/>
        <v>138.56884991027491</v>
      </c>
      <c r="Z206" s="217">
        <f t="shared" si="515"/>
        <v>21.965706897808069</v>
      </c>
      <c r="AA206" s="173">
        <f t="shared" si="516"/>
        <v>1.2848502630808312</v>
      </c>
      <c r="AB206" s="173">
        <f>0.5*AA206*Z206*Nps*W206/1000*(Pout/(Pout+Pout2))</f>
        <v>0.2332287965334868</v>
      </c>
      <c r="AC206" s="173"/>
      <c r="AD206" s="173">
        <f t="shared" si="518"/>
        <v>0.77991283962672131</v>
      </c>
      <c r="AE206" s="545">
        <f>MAX(10, F206/(0.5*AD206/1000000*Isw_min*Nps)/1000*Pout_total/Pout)</f>
        <v>2345.9635049722056</v>
      </c>
      <c r="AF206" s="528">
        <f t="shared" si="520"/>
        <v>8.5934840662573925E-2</v>
      </c>
      <c r="AH206" s="173">
        <f t="shared" si="521"/>
        <v>34.422583948830535</v>
      </c>
      <c r="AI206" s="173">
        <f>MAX(IF(F206&gt;AB206,T206,AH206),Isw_min)</f>
        <v>53.943826676141562</v>
      </c>
      <c r="AJ206" s="173">
        <f>IF(F206&gt;AF206, (AI206-Isw_min)/1.08*0.8+1.2, AE206*0.2/350+1)</f>
        <v>31.281846920598685</v>
      </c>
      <c r="AL206" s="545">
        <f t="shared" si="524"/>
        <v>576</v>
      </c>
      <c r="AM206" s="460">
        <f t="shared" si="525"/>
        <v>138.56884991027491</v>
      </c>
      <c r="AO206">
        <f t="shared" si="526"/>
        <v>576</v>
      </c>
      <c r="AP206">
        <f t="shared" si="527"/>
        <v>138.56884991027491</v>
      </c>
      <c r="AR206" s="5">
        <f t="shared" si="616"/>
        <v>7.216629138854171</v>
      </c>
      <c r="AS206" s="5">
        <f t="shared" si="604"/>
        <v>3.8612679106050782</v>
      </c>
      <c r="AT206" s="5">
        <f t="shared" si="605"/>
        <v>3.3553612282490928</v>
      </c>
      <c r="AU206" s="173">
        <f t="shared" si="606"/>
        <v>0.53505145356799588</v>
      </c>
      <c r="AW206" s="5">
        <f t="shared" si="477"/>
        <v>1.308288421475603</v>
      </c>
      <c r="AX206" s="5">
        <f t="shared" si="478"/>
        <v>15.445071642420313</v>
      </c>
      <c r="AY206" s="5">
        <f t="shared" si="479"/>
        <v>75.257337503162859</v>
      </c>
      <c r="AZ206" s="5"/>
      <c r="BA206" s="173">
        <f t="shared" si="480"/>
        <v>22.781320711798035</v>
      </c>
      <c r="BB206" s="173">
        <f t="shared" si="481"/>
        <v>1.0028361748455723</v>
      </c>
      <c r="BC206" s="173">
        <f t="shared" si="482"/>
        <v>0.79288622068614711</v>
      </c>
      <c r="BD206" s="173"/>
      <c r="BE206" s="528">
        <f t="shared" si="483"/>
        <v>20.759542934951924</v>
      </c>
      <c r="BF206" s="528">
        <f t="shared" si="528"/>
        <v>2.6124689623597921</v>
      </c>
      <c r="BG206" s="528">
        <f t="shared" si="529"/>
        <v>3.8717510389486481E-2</v>
      </c>
      <c r="BH206" s="528">
        <f t="shared" si="484"/>
        <v>6.6867967612558961E-3</v>
      </c>
      <c r="BI206">
        <f t="shared" si="485"/>
        <v>3.1433615286823933E-3</v>
      </c>
      <c r="BJ206" s="460">
        <f t="shared" si="600"/>
        <v>41.860871918168876</v>
      </c>
      <c r="BK206">
        <f t="shared" si="530"/>
        <v>-7.3703790339367981</v>
      </c>
      <c r="BL206" s="460">
        <f t="shared" si="601"/>
        <v>23420.559565991138</v>
      </c>
      <c r="BM206" s="173">
        <f t="shared" si="531"/>
        <v>0.49996799999999991</v>
      </c>
      <c r="BN206" s="173">
        <f t="shared" si="532"/>
        <v>0.41663999999999995</v>
      </c>
      <c r="BO206" s="528"/>
      <c r="BQ206" s="460">
        <f t="shared" si="486"/>
        <v>916.60799999999983</v>
      </c>
      <c r="BR206" s="528">
        <f t="shared" si="487"/>
        <v>15.569657201213943</v>
      </c>
      <c r="BS206" s="528">
        <f t="shared" si="488"/>
        <v>3.0170411807366973E-2</v>
      </c>
      <c r="BT206" s="528">
        <f t="shared" si="489"/>
        <v>3.143342794769808E-3</v>
      </c>
      <c r="BU206" s="528">
        <f t="shared" si="490"/>
        <v>241.5396393942427</v>
      </c>
      <c r="BV206" s="528"/>
      <c r="BW206" s="625">
        <f t="shared" si="533"/>
        <v>10.080663632826056</v>
      </c>
      <c r="BX206" s="460">
        <f t="shared" si="607"/>
        <v>267223.27398288477</v>
      </c>
      <c r="BY206" s="173">
        <f t="shared" si="608"/>
        <v>291.56044154887593</v>
      </c>
      <c r="BZ206" s="5">
        <f t="shared" si="609"/>
        <v>103.67999999999999</v>
      </c>
      <c r="CA206" s="173">
        <f t="shared" si="610"/>
        <v>0.26232133430905197</v>
      </c>
      <c r="CB206" s="5">
        <f t="shared" si="611"/>
        <v>26.232133430905197</v>
      </c>
      <c r="CC206">
        <f t="shared" si="612"/>
        <v>96</v>
      </c>
      <c r="CE206" s="562">
        <f t="shared" si="534"/>
        <v>-50</v>
      </c>
      <c r="CF206">
        <f t="shared" si="535"/>
        <v>-50</v>
      </c>
      <c r="CG206" s="173">
        <f t="shared" si="536"/>
        <v>0.49996674565333032</v>
      </c>
      <c r="CH206" s="173">
        <f t="shared" si="537"/>
        <v>0.12441737294010324</v>
      </c>
      <c r="CI206" s="170">
        <v>96</v>
      </c>
      <c r="CJ206" s="217">
        <f t="shared" si="602"/>
        <v>0.57599999999999996</v>
      </c>
      <c r="CK206" s="217">
        <f t="shared" si="538"/>
        <v>0.48</v>
      </c>
      <c r="CL206" s="217">
        <f t="shared" si="539"/>
        <v>97.919999999999987</v>
      </c>
      <c r="CM206" s="217">
        <f t="shared" si="540"/>
        <v>5.76</v>
      </c>
      <c r="CN206" s="541">
        <f t="shared" si="541"/>
        <v>9</v>
      </c>
      <c r="CO206" s="443">
        <f t="shared" si="542"/>
        <v>8.5350000000000001</v>
      </c>
      <c r="CP206" s="443">
        <f t="shared" si="543"/>
        <v>17.535</v>
      </c>
      <c r="CQ206" s="443"/>
      <c r="CR206" s="217">
        <f t="shared" si="544"/>
        <v>0.48644793152639093</v>
      </c>
      <c r="CS206" s="172">
        <f t="shared" si="545"/>
        <v>137.82691393247745</v>
      </c>
      <c r="CT206" s="172">
        <f t="shared" si="546"/>
        <v>8.1074655254398493</v>
      </c>
      <c r="CU206" s="217">
        <f t="shared" si="547"/>
        <v>0.81074655254398498</v>
      </c>
      <c r="CV206" s="217">
        <f t="shared" si="548"/>
        <v>11.485576161039788</v>
      </c>
      <c r="CW206" s="217">
        <f t="shared" si="549"/>
        <v>170</v>
      </c>
      <c r="CX206" s="217">
        <f t="shared" si="550"/>
        <v>47.363753665689146</v>
      </c>
      <c r="CY206" s="217">
        <f t="shared" si="551"/>
        <v>2.6313196480938412</v>
      </c>
      <c r="CZ206" s="217">
        <f t="shared" si="552"/>
        <v>2.7746780120497445</v>
      </c>
      <c r="DA206" s="197">
        <f t="shared" si="553"/>
        <v>350</v>
      </c>
      <c r="DB206" s="443">
        <f t="shared" si="554"/>
        <v>184.97973230225921</v>
      </c>
      <c r="DD206" s="217">
        <f t="shared" si="555"/>
        <v>25.032384211169504</v>
      </c>
      <c r="DE206" s="173">
        <f t="shared" si="556"/>
        <v>1.4664548454112187</v>
      </c>
      <c r="DF206" s="173">
        <f t="shared" si="557"/>
        <v>0.30335794952229944</v>
      </c>
      <c r="DG206" s="173"/>
      <c r="DH206" s="173">
        <f t="shared" si="558"/>
        <v>0.78109744190587771</v>
      </c>
      <c r="DI206" s="545">
        <f t="shared" si="559"/>
        <v>2342.4056470588234</v>
      </c>
      <c r="DJ206" s="528">
        <f t="shared" si="560"/>
        <v>8.6065366284073561E-2</v>
      </c>
      <c r="DL206" s="173">
        <f t="shared" si="561"/>
        <v>34.422583948830535</v>
      </c>
      <c r="DM206" s="173">
        <f t="shared" si="562"/>
        <v>47.363753665689146</v>
      </c>
      <c r="DN206" s="173">
        <f t="shared" si="563"/>
        <v>26.407718764708004</v>
      </c>
      <c r="DP206" s="545">
        <f t="shared" si="564"/>
        <v>576</v>
      </c>
      <c r="DQ206" s="460">
        <f t="shared" si="565"/>
        <v>184.97973230225921</v>
      </c>
      <c r="DS206">
        <f t="shared" si="614"/>
        <v>576</v>
      </c>
      <c r="DT206">
        <f t="shared" si="615"/>
        <v>184.97973230225921</v>
      </c>
      <c r="DV206" s="5">
        <f t="shared" si="568"/>
        <v>5.4059976601435844</v>
      </c>
      <c r="DW206" s="5">
        <f t="shared" si="569"/>
        <v>2.6313196480938412</v>
      </c>
      <c r="DX206" s="5">
        <f t="shared" si="570"/>
        <v>2.7746780120497432</v>
      </c>
      <c r="DY206" s="173">
        <f t="shared" si="571"/>
        <v>0.48674080410607368</v>
      </c>
      <c r="EA206" s="5">
        <f t="shared" si="572"/>
        <v>0.89155301017767785</v>
      </c>
      <c r="EB206" s="5">
        <f t="shared" si="573"/>
        <v>10.525278592375365</v>
      </c>
      <c r="EC206" s="5">
        <f t="shared" si="574"/>
        <v>48.301594833761925</v>
      </c>
      <c r="ED206" s="5"/>
      <c r="EE206" s="173">
        <f t="shared" si="575"/>
        <v>19.078066751154637</v>
      </c>
      <c r="EF206" s="173">
        <f t="shared" si="576"/>
        <v>0.92512470043283801</v>
      </c>
      <c r="EG206" s="173">
        <f t="shared" si="577"/>
        <v>0.73144412396426794</v>
      </c>
      <c r="EH206" s="173"/>
      <c r="EI206" s="528">
        <f t="shared" si="578"/>
        <v>14.558905238460483</v>
      </c>
      <c r="EJ206" s="528">
        <f t="shared" si="579"/>
        <v>4.2248250000000018</v>
      </c>
      <c r="EK206" s="528">
        <f t="shared" si="580"/>
        <v>3.6995946460451845E-2</v>
      </c>
      <c r="EL206" s="528">
        <f t="shared" si="581"/>
        <v>1.1375373957961843E-2</v>
      </c>
      <c r="EM206">
        <f t="shared" si="582"/>
        <v>4.0499999999999998E-3</v>
      </c>
      <c r="EN206" s="460">
        <f t="shared" si="583"/>
        <v>41.045946460451844</v>
      </c>
      <c r="EP206" s="460">
        <f t="shared" si="603"/>
        <v>18836.151558878897</v>
      </c>
      <c r="EQ206" s="173">
        <f t="shared" si="584"/>
        <v>0.40319999999999995</v>
      </c>
      <c r="ER206" s="173">
        <f t="shared" si="585"/>
        <v>0.41663999999999995</v>
      </c>
      <c r="ES206" s="528"/>
      <c r="EU206" s="460">
        <f t="shared" si="497"/>
        <v>819.83999999999992</v>
      </c>
      <c r="EV206" s="528">
        <f t="shared" si="586"/>
        <v>10.91917892884536</v>
      </c>
      <c r="EW206" s="528">
        <f t="shared" si="587"/>
        <v>2.5675671340528446E-2</v>
      </c>
      <c r="EX206" s="528">
        <f t="shared" si="588"/>
        <v>2.6750525324092766E-3</v>
      </c>
      <c r="EY206" s="528">
        <f t="shared" si="589"/>
        <v>359.24907218562652</v>
      </c>
      <c r="EZ206" s="528"/>
      <c r="FA206" s="625">
        <f t="shared" si="590"/>
        <v>10.374242195123792</v>
      </c>
      <c r="FB206" s="460">
        <f t="shared" si="613"/>
        <v>380570.84403346857</v>
      </c>
      <c r="FC206" s="173">
        <f t="shared" si="591"/>
        <v>400.22683559234747</v>
      </c>
      <c r="FD206" s="5">
        <f t="shared" si="592"/>
        <v>103.67999999999999</v>
      </c>
      <c r="FE206" s="173">
        <f t="shared" si="593"/>
        <v>0.20575231903358313</v>
      </c>
      <c r="FF206" s="5">
        <f t="shared" si="594"/>
        <v>20.575231903358311</v>
      </c>
      <c r="FG206">
        <f t="shared" si="595"/>
        <v>96</v>
      </c>
      <c r="FI206" s="562">
        <f t="shared" si="596"/>
        <v>-50</v>
      </c>
      <c r="FJ206">
        <f t="shared" si="597"/>
        <v>-50</v>
      </c>
    </row>
    <row r="207" spans="5:166">
      <c r="E207" s="170">
        <v>97</v>
      </c>
      <c r="F207" s="217">
        <f>IF(PLOT_TYPE=1, E207/100*Iout_max, min_I*EXP(O207*rr/100))</f>
        <v>0.58199999999999996</v>
      </c>
      <c r="G207" s="217">
        <f t="shared" si="499"/>
        <v>0.48499999999999999</v>
      </c>
      <c r="H207" s="217">
        <f t="shared" si="500"/>
        <v>98.94</v>
      </c>
      <c r="I207" s="217">
        <f t="shared" si="501"/>
        <v>5.82</v>
      </c>
      <c r="J207" s="541">
        <f t="shared" si="502"/>
        <v>6.9642608398655597</v>
      </c>
      <c r="K207" s="443">
        <f t="shared" si="503"/>
        <v>8.5480987701188127</v>
      </c>
      <c r="L207" s="172">
        <f t="shared" si="504"/>
        <v>15.512359609984372</v>
      </c>
      <c r="M207" s="443"/>
      <c r="N207" s="217">
        <f t="shared" si="505"/>
        <v>0.55105083849506142</v>
      </c>
      <c r="O207" s="172">
        <f>N207*J207*Isw_max*0.5*Efficiency*Pout/(Pout+Pout2)</f>
        <v>120.81527811149266</v>
      </c>
      <c r="P207" s="172">
        <f t="shared" si="507"/>
        <v>7.106781065381921</v>
      </c>
      <c r="Q207" s="217">
        <f t="shared" si="508"/>
        <v>0.71067810653819208</v>
      </c>
      <c r="R207" s="217">
        <f t="shared" si="509"/>
        <v>10.067939842624389</v>
      </c>
      <c r="S207" s="217">
        <f t="shared" si="510"/>
        <v>170</v>
      </c>
      <c r="T207" s="217">
        <f t="shared" si="511"/>
        <v>54.595744040856943</v>
      </c>
      <c r="U207" s="217">
        <f t="shared" si="512"/>
        <v>3.9197084440271248</v>
      </c>
      <c r="V207" s="217">
        <f t="shared" si="513"/>
        <v>3.1934436831558801</v>
      </c>
      <c r="W207" s="197">
        <f t="shared" si="514"/>
        <v>350</v>
      </c>
      <c r="X207" s="443">
        <f t="shared" si="599"/>
        <v>136.73994231338324</v>
      </c>
      <c r="Z207" s="217">
        <f t="shared" si="515"/>
        <v>21.929495858892786</v>
      </c>
      <c r="AA207" s="173">
        <f t="shared" si="516"/>
        <v>1.2827118900141101</v>
      </c>
      <c r="AB207" s="173">
        <f>0.5*AA207*Z207*Nps*W207/1000*(Pout/(Pout+Pout2))</f>
        <v>0.23245679059345964</v>
      </c>
      <c r="AC207" s="173"/>
      <c r="AD207" s="173">
        <f t="shared" si="518"/>
        <v>0.77990051892837498</v>
      </c>
      <c r="AE207" s="545">
        <f>MAX(10, F207/(0.5*AD207/1000000*Isw_min*Nps)/1000*Pout_total/Pout)</f>
        <v>2370.4380718878883</v>
      </c>
      <c r="AF207" s="528">
        <f t="shared" si="520"/>
        <v>8.5933483104145031E-2</v>
      </c>
      <c r="AH207" s="173">
        <f t="shared" si="521"/>
        <v>34.601403770037173</v>
      </c>
      <c r="AI207" s="173">
        <f>MAX(IF(F207&gt;AB207,T207,AH207),Isw_min)</f>
        <v>54.595744040856943</v>
      </c>
      <c r="AJ207" s="173">
        <f>IF(F207&gt;AF207, (AI207-Isw_min)/1.08*0.8+1.2, AE207*0.2/350+1)</f>
        <v>31.764748672239705</v>
      </c>
      <c r="AL207" s="545">
        <f t="shared" si="524"/>
        <v>582</v>
      </c>
      <c r="AM207" s="460">
        <f t="shared" si="525"/>
        <v>136.73994231338324</v>
      </c>
      <c r="AO207">
        <f t="shared" si="526"/>
        <v>582</v>
      </c>
      <c r="AP207">
        <f t="shared" si="527"/>
        <v>136.73994231338324</v>
      </c>
      <c r="AR207" s="5">
        <f t="shared" si="616"/>
        <v>7.3131521271830042</v>
      </c>
      <c r="AS207" s="5">
        <f t="shared" si="604"/>
        <v>3.9197084440271248</v>
      </c>
      <c r="AT207" s="5">
        <f t="shared" si="605"/>
        <v>3.3934436831558794</v>
      </c>
      <c r="AU207" s="173">
        <f t="shared" si="606"/>
        <v>0.53598070652155028</v>
      </c>
      <c r="AW207" s="5">
        <f t="shared" si="477"/>
        <v>1.3419237143669334</v>
      </c>
      <c r="AX207" s="5">
        <f t="shared" si="478"/>
        <v>15.842154961276295</v>
      </c>
      <c r="AY207" s="5">
        <f t="shared" si="479"/>
        <v>77.13606959452693</v>
      </c>
      <c r="AZ207" s="5"/>
      <c r="BA207" s="173">
        <f t="shared" si="480"/>
        <v>23.076648769791571</v>
      </c>
      <c r="BB207" s="173">
        <f t="shared" si="481"/>
        <v>1.0139408058499739</v>
      </c>
      <c r="BC207" s="173">
        <f t="shared" si="482"/>
        <v>0.80166602852519941</v>
      </c>
      <c r="BD207" s="173"/>
      <c r="BE207" s="528">
        <f t="shared" si="483"/>
        <v>21.301268737772912</v>
      </c>
      <c r="BF207" s="528">
        <f t="shared" si="528"/>
        <v>2.6056409056145053</v>
      </c>
      <c r="BG207" s="528">
        <f t="shared" si="529"/>
        <v>3.8091705019942822E-2</v>
      </c>
      <c r="BH207" s="528">
        <f t="shared" si="484"/>
        <v>6.5808367304445907E-3</v>
      </c>
      <c r="BI207">
        <f t="shared" si="485"/>
        <v>3.1339173779395017E-3</v>
      </c>
      <c r="BJ207" s="460">
        <f t="shared" si="600"/>
        <v>41.225622397882319</v>
      </c>
      <c r="BK207">
        <f t="shared" si="530"/>
        <v>-7.3044835324988506</v>
      </c>
      <c r="BL207" s="460">
        <f t="shared" si="601"/>
        <v>23954.716102515747</v>
      </c>
      <c r="BM207" s="173">
        <f t="shared" si="531"/>
        <v>0.50517599999999996</v>
      </c>
      <c r="BN207" s="173">
        <f t="shared" si="532"/>
        <v>0.42097999999999997</v>
      </c>
      <c r="BO207" s="528"/>
      <c r="BQ207" s="460">
        <f t="shared" si="486"/>
        <v>926.15599999999995</v>
      </c>
      <c r="BR207" s="528">
        <f t="shared" si="487"/>
        <v>15.975951553329683</v>
      </c>
      <c r="BS207" s="528">
        <f t="shared" si="488"/>
        <v>3.0842278733030835E-2</v>
      </c>
      <c r="BT207" s="528">
        <f t="shared" si="489"/>
        <v>3.2133421064568291E-3</v>
      </c>
      <c r="BU207" s="528">
        <f t="shared" si="490"/>
        <v>240.7717102966503</v>
      </c>
      <c r="BV207" s="528"/>
      <c r="BW207" s="625">
        <f t="shared" si="533"/>
        <v>10.189502472865001</v>
      </c>
      <c r="BX207" s="460">
        <f t="shared" si="607"/>
        <v>266971.21994368447</v>
      </c>
      <c r="BY207" s="173">
        <f t="shared" si="608"/>
        <v>291.8520920462002</v>
      </c>
      <c r="BZ207" s="5">
        <f t="shared" si="609"/>
        <v>104.75999999999999</v>
      </c>
      <c r="CA207" s="173">
        <f t="shared" si="610"/>
        <v>0.26413718114221491</v>
      </c>
      <c r="CB207" s="5">
        <f t="shared" si="611"/>
        <v>26.413718114221492</v>
      </c>
      <c r="CC207">
        <f t="shared" si="612"/>
        <v>97</v>
      </c>
      <c r="CE207" s="562">
        <f t="shared" si="534"/>
        <v>-50</v>
      </c>
      <c r="CF207">
        <f t="shared" si="535"/>
        <v>-50</v>
      </c>
      <c r="CG207" s="173">
        <f t="shared" si="536"/>
        <v>0.49996674565333021</v>
      </c>
      <c r="CH207" s="173">
        <f t="shared" si="537"/>
        <v>0.12441737294010324</v>
      </c>
      <c r="CI207" s="170">
        <v>97</v>
      </c>
      <c r="CJ207" s="217">
        <f t="shared" si="602"/>
        <v>0.58199999999999996</v>
      </c>
      <c r="CK207" s="217">
        <f t="shared" si="538"/>
        <v>0.48499999999999999</v>
      </c>
      <c r="CL207" s="217">
        <f t="shared" si="539"/>
        <v>98.94</v>
      </c>
      <c r="CM207" s="217">
        <f t="shared" si="540"/>
        <v>5.82</v>
      </c>
      <c r="CN207" s="541">
        <f t="shared" si="541"/>
        <v>9</v>
      </c>
      <c r="CO207" s="443">
        <f t="shared" si="542"/>
        <v>8.5350000000000001</v>
      </c>
      <c r="CP207" s="443">
        <f t="shared" si="543"/>
        <v>17.535</v>
      </c>
      <c r="CQ207" s="443"/>
      <c r="CR207" s="217">
        <f t="shared" si="544"/>
        <v>0.48644793152639093</v>
      </c>
      <c r="CS207" s="172">
        <f t="shared" si="545"/>
        <v>137.82691393247745</v>
      </c>
      <c r="CT207" s="172">
        <f t="shared" si="546"/>
        <v>8.1074655254398493</v>
      </c>
      <c r="CU207" s="217">
        <f t="shared" si="547"/>
        <v>0.81074655254398498</v>
      </c>
      <c r="CV207" s="217">
        <f t="shared" si="548"/>
        <v>11.485576161039788</v>
      </c>
      <c r="CW207" s="217">
        <f t="shared" si="549"/>
        <v>170</v>
      </c>
      <c r="CX207" s="217">
        <f t="shared" si="550"/>
        <v>47.85712609970674</v>
      </c>
      <c r="CY207" s="217">
        <f t="shared" si="551"/>
        <v>2.6587292277614853</v>
      </c>
      <c r="CZ207" s="217">
        <f t="shared" si="552"/>
        <v>2.8035809080085965</v>
      </c>
      <c r="DA207" s="197">
        <f t="shared" si="553"/>
        <v>350</v>
      </c>
      <c r="DB207" s="443">
        <f t="shared" si="554"/>
        <v>183.07272475275136</v>
      </c>
      <c r="DD207" s="217">
        <f t="shared" si="555"/>
        <v>25.032384211169504</v>
      </c>
      <c r="DE207" s="173">
        <f t="shared" si="556"/>
        <v>1.4664548454112187</v>
      </c>
      <c r="DF207" s="173">
        <f t="shared" si="557"/>
        <v>0.30335794952229944</v>
      </c>
      <c r="DG207" s="173"/>
      <c r="DH207" s="173">
        <f t="shared" si="558"/>
        <v>0.78109744190587771</v>
      </c>
      <c r="DI207" s="545">
        <f t="shared" si="559"/>
        <v>2366.8057058823529</v>
      </c>
      <c r="DJ207" s="528">
        <f t="shared" si="560"/>
        <v>8.6065366284073561E-2</v>
      </c>
      <c r="DL207" s="173">
        <f t="shared" si="561"/>
        <v>34.601403770037173</v>
      </c>
      <c r="DM207" s="173">
        <f t="shared" si="562"/>
        <v>47.85712609970674</v>
      </c>
      <c r="DN207" s="173">
        <f t="shared" si="563"/>
        <v>26.773179826943259</v>
      </c>
      <c r="DP207" s="545">
        <f t="shared" si="564"/>
        <v>582</v>
      </c>
      <c r="DQ207" s="460">
        <f t="shared" si="565"/>
        <v>183.07272475275136</v>
      </c>
      <c r="DS207">
        <f t="shared" si="614"/>
        <v>582</v>
      </c>
      <c r="DT207">
        <f t="shared" si="615"/>
        <v>183.07272475275136</v>
      </c>
      <c r="DV207" s="5">
        <f t="shared" si="568"/>
        <v>5.4623101357700818</v>
      </c>
      <c r="DW207" s="5">
        <f t="shared" si="569"/>
        <v>2.6587292277614853</v>
      </c>
      <c r="DX207" s="5">
        <f t="shared" si="570"/>
        <v>2.8035809080085965</v>
      </c>
      <c r="DY207" s="173">
        <f t="shared" si="571"/>
        <v>0.48674080410607351</v>
      </c>
      <c r="EA207" s="5">
        <f t="shared" si="572"/>
        <v>0.91022377091599083</v>
      </c>
      <c r="EB207" s="5">
        <f t="shared" si="573"/>
        <v>10.745697295536004</v>
      </c>
      <c r="EC207" s="5">
        <f t="shared" si="574"/>
        <v>49.313119117932537</v>
      </c>
      <c r="ED207" s="5"/>
      <c r="EE207" s="173">
        <f t="shared" si="575"/>
        <v>19.27679661314583</v>
      </c>
      <c r="EF207" s="173">
        <f t="shared" si="576"/>
        <v>0.93476141606234686</v>
      </c>
      <c r="EG207" s="173">
        <f t="shared" si="577"/>
        <v>0.73906333358889587</v>
      </c>
      <c r="EH207" s="173"/>
      <c r="EI207" s="528">
        <f t="shared" si="578"/>
        <v>14.863795506583623</v>
      </c>
      <c r="EJ207" s="528">
        <f t="shared" si="579"/>
        <v>4.2248250000000009</v>
      </c>
      <c r="EK207" s="528">
        <f t="shared" si="580"/>
        <v>3.6614544950550269E-2</v>
      </c>
      <c r="EL207" s="528">
        <f t="shared" si="581"/>
        <v>1.125810206148801E-2</v>
      </c>
      <c r="EM207">
        <f t="shared" si="582"/>
        <v>4.0499999999999998E-3</v>
      </c>
      <c r="EN207" s="460">
        <f t="shared" si="583"/>
        <v>40.664544950550265</v>
      </c>
      <c r="EP207" s="460">
        <f t="shared" si="603"/>
        <v>19140.543153595663</v>
      </c>
      <c r="EQ207" s="173">
        <f t="shared" si="584"/>
        <v>0.40739999999999993</v>
      </c>
      <c r="ER207" s="173">
        <f t="shared" si="585"/>
        <v>0.42097999999999997</v>
      </c>
      <c r="ES207" s="528"/>
      <c r="EU207" s="460">
        <f t="shared" si="497"/>
        <v>828.37999999999988</v>
      </c>
      <c r="EV207" s="528">
        <f t="shared" si="586"/>
        <v>11.147846629937716</v>
      </c>
      <c r="EW207" s="528">
        <f t="shared" si="587"/>
        <v>2.6213367148766514E-2</v>
      </c>
      <c r="EX207" s="528">
        <f t="shared" si="588"/>
        <v>2.731073055277658E-3</v>
      </c>
      <c r="EY207" s="528">
        <f t="shared" si="589"/>
        <v>359.24907218562652</v>
      </c>
      <c r="EZ207" s="528"/>
      <c r="FA207" s="625">
        <f t="shared" si="590"/>
        <v>10.482307217989661</v>
      </c>
      <c r="FB207" s="460">
        <f t="shared" si="613"/>
        <v>380908.17047375796</v>
      </c>
      <c r="FC207" s="173">
        <f t="shared" si="591"/>
        <v>400.87709362735359</v>
      </c>
      <c r="FD207" s="5">
        <f t="shared" si="592"/>
        <v>104.75999999999999</v>
      </c>
      <c r="FE207" s="173">
        <f t="shared" si="593"/>
        <v>0.20718416690609021</v>
      </c>
      <c r="FF207" s="5">
        <f t="shared" si="594"/>
        <v>20.718416690609022</v>
      </c>
      <c r="FG207">
        <f t="shared" si="595"/>
        <v>97</v>
      </c>
      <c r="FI207" s="562">
        <f t="shared" si="596"/>
        <v>-50</v>
      </c>
      <c r="FJ207">
        <f t="shared" si="597"/>
        <v>-50</v>
      </c>
    </row>
    <row r="208" spans="5:166">
      <c r="E208" s="170">
        <v>98</v>
      </c>
      <c r="F208" s="217">
        <f>IF(PLOT_TYPE=1, E208/100*Iout_max, min_I*EXP(O208*rr/100))</f>
        <v>0.58799999999999997</v>
      </c>
      <c r="G208" s="217">
        <f t="shared" si="499"/>
        <v>0.49</v>
      </c>
      <c r="H208" s="217">
        <f t="shared" si="500"/>
        <v>99.96</v>
      </c>
      <c r="I208" s="217">
        <f t="shared" si="501"/>
        <v>5.88</v>
      </c>
      <c r="J208" s="541">
        <f t="shared" si="502"/>
        <v>6.9432738382146901</v>
      </c>
      <c r="K208" s="443">
        <f t="shared" si="503"/>
        <v>8.5482338089860193</v>
      </c>
      <c r="L208" s="172">
        <f t="shared" si="504"/>
        <v>15.491507647200709</v>
      </c>
      <c r="M208" s="443"/>
      <c r="N208" s="217">
        <f t="shared" si="505"/>
        <v>0.55180128388153826</v>
      </c>
      <c r="O208" s="172">
        <f>N208*J208*Isw_max*0.5*Efficiency*Pout/(Pout+Pout2)</f>
        <v>120.61523353806548</v>
      </c>
      <c r="P208" s="172">
        <f t="shared" si="507"/>
        <v>7.0950137375332627</v>
      </c>
      <c r="Q208" s="217">
        <f t="shared" si="508"/>
        <v>0.70950137375332634</v>
      </c>
      <c r="R208" s="217">
        <f t="shared" si="509"/>
        <v>10.051269461505457</v>
      </c>
      <c r="S208" s="217">
        <f t="shared" si="510"/>
        <v>170</v>
      </c>
      <c r="T208" s="217">
        <f t="shared" si="511"/>
        <v>55.25006920371198</v>
      </c>
      <c r="U208" s="217">
        <f t="shared" si="512"/>
        <v>3.9786756572687847</v>
      </c>
      <c r="V208" s="217">
        <f t="shared" si="513"/>
        <v>3.2316657708655767</v>
      </c>
      <c r="W208" s="197">
        <f t="shared" si="514"/>
        <v>350</v>
      </c>
      <c r="X208" s="443">
        <f t="shared" si="599"/>
        <v>134.94654864394846</v>
      </c>
      <c r="Z208" s="217">
        <f t="shared" si="515"/>
        <v>21.893185247245494</v>
      </c>
      <c r="AA208" s="173">
        <f t="shared" si="516"/>
        <v>1.280567760338462</v>
      </c>
      <c r="AB208" s="173">
        <f>0.5*AA208*Z208*Nps*W208/1000*(Pout/(Pout+Pout2))</f>
        <v>0.23168396921181156</v>
      </c>
      <c r="AC208" s="173"/>
      <c r="AD208" s="173">
        <f t="shared" si="518"/>
        <v>0.7798881986192957</v>
      </c>
      <c r="AE208" s="545">
        <f>MAX(10, F208/(0.5*AD208/1000000*Isw_min*Nps)/1000*Pout_total/Pout)</f>
        <v>2394.9134109081529</v>
      </c>
      <c r="AF208" s="528">
        <f t="shared" si="520"/>
        <v>8.5932125588607591E-2</v>
      </c>
      <c r="AH208" s="173">
        <f t="shared" si="521"/>
        <v>34.779304190854653</v>
      </c>
      <c r="AI208" s="173">
        <f>MAX(IF(F208&gt;AB208,T208,AH208),Isw_min)</f>
        <v>55.25006920371198</v>
      </c>
      <c r="AJ208" s="173">
        <f>IF(F208&gt;AF208, (AI208-Isw_min)/1.08*0.8+1.2, AE208*0.2/350+1)</f>
        <v>32.249433978058256</v>
      </c>
      <c r="AL208" s="545">
        <f t="shared" si="524"/>
        <v>588</v>
      </c>
      <c r="AM208" s="460">
        <f t="shared" si="525"/>
        <v>134.94654864394846</v>
      </c>
      <c r="AO208">
        <f t="shared" si="526"/>
        <v>588</v>
      </c>
      <c r="AP208">
        <f t="shared" si="527"/>
        <v>134.94654864394846</v>
      </c>
      <c r="AR208" s="5">
        <f t="shared" si="616"/>
        <v>7.4103414281343607</v>
      </c>
      <c r="AS208" s="5">
        <f t="shared" si="604"/>
        <v>3.9786756572687847</v>
      </c>
      <c r="AT208" s="5">
        <f t="shared" si="605"/>
        <v>3.431665770865576</v>
      </c>
      <c r="AU208" s="173">
        <f t="shared" si="606"/>
        <v>0.53690854812211564</v>
      </c>
      <c r="AW208" s="5">
        <f t="shared" si="477"/>
        <v>1.376153697925909</v>
      </c>
      <c r="AX208" s="5">
        <f t="shared" si="478"/>
        <v>16.246258933847535</v>
      </c>
      <c r="AY208" s="5">
        <f t="shared" si="479"/>
        <v>79.047277914978594</v>
      </c>
      <c r="AZ208" s="5"/>
      <c r="BA208" s="173">
        <f t="shared" si="480"/>
        <v>23.373425121097942</v>
      </c>
      <c r="BB208" s="173">
        <f t="shared" si="481"/>
        <v>1.025066408376863</v>
      </c>
      <c r="BC208" s="173">
        <f t="shared" si="482"/>
        <v>0.81046241736883062</v>
      </c>
      <c r="BD208" s="173"/>
      <c r="BE208" s="528">
        <f t="shared" si="483"/>
        <v>21.852680075662892</v>
      </c>
      <c r="BF208" s="528">
        <f t="shared" si="528"/>
        <v>2.5987877552284431</v>
      </c>
      <c r="BG208" s="528">
        <f t="shared" si="529"/>
        <v>3.7478833630275737E-2</v>
      </c>
      <c r="BH208" s="528">
        <f t="shared" si="484"/>
        <v>6.4770783238714434E-3</v>
      </c>
      <c r="BI208">
        <f t="shared" si="485"/>
        <v>3.1244732271966105E-3</v>
      </c>
      <c r="BJ208" s="460">
        <f t="shared" si="600"/>
        <v>40.603306857472347</v>
      </c>
      <c r="BK208">
        <f t="shared" si="530"/>
        <v>-7.2415895721282357</v>
      </c>
      <c r="BL208" s="460">
        <f t="shared" si="601"/>
        <v>24498.548216072679</v>
      </c>
      <c r="BM208" s="173">
        <f t="shared" si="531"/>
        <v>0.51038399999999995</v>
      </c>
      <c r="BN208" s="173">
        <f t="shared" si="532"/>
        <v>0.42531999999999998</v>
      </c>
      <c r="BO208" s="528"/>
      <c r="BQ208" s="460">
        <f t="shared" si="486"/>
        <v>935.70399999999984</v>
      </c>
      <c r="BR208" s="528">
        <f t="shared" si="487"/>
        <v>16.38951005674717</v>
      </c>
      <c r="BS208" s="528">
        <f t="shared" si="488"/>
        <v>3.1522834247479252E-2</v>
      </c>
      <c r="BT208" s="528">
        <f t="shared" si="489"/>
        <v>3.284246649836643E-3</v>
      </c>
      <c r="BU208" s="528">
        <f t="shared" si="490"/>
        <v>239.99739305806892</v>
      </c>
      <c r="BV208" s="528"/>
      <c r="BW208" s="625">
        <f t="shared" si="533"/>
        <v>10.298345145830492</v>
      </c>
      <c r="BX208" s="460">
        <f t="shared" si="607"/>
        <v>266720.05534154386</v>
      </c>
      <c r="BY208" s="173">
        <f t="shared" si="608"/>
        <v>292.15430755761656</v>
      </c>
      <c r="BZ208" s="5">
        <f t="shared" si="609"/>
        <v>105.83999999999999</v>
      </c>
      <c r="CA208" s="173">
        <f t="shared" si="610"/>
        <v>0.26593345178606059</v>
      </c>
      <c r="CB208" s="5">
        <f t="shared" si="611"/>
        <v>26.593345178606061</v>
      </c>
      <c r="CC208">
        <f t="shared" si="612"/>
        <v>98</v>
      </c>
      <c r="CE208" s="562">
        <f t="shared" si="534"/>
        <v>-50</v>
      </c>
      <c r="CF208">
        <f t="shared" si="535"/>
        <v>-50</v>
      </c>
      <c r="CG208" s="173">
        <f t="shared" si="536"/>
        <v>0.49996674565333032</v>
      </c>
      <c r="CH208" s="173">
        <f t="shared" si="537"/>
        <v>0.12441737294010326</v>
      </c>
      <c r="CI208" s="170">
        <v>98</v>
      </c>
      <c r="CJ208" s="217">
        <f t="shared" si="602"/>
        <v>0.58799999999999997</v>
      </c>
      <c r="CK208" s="217">
        <f t="shared" si="538"/>
        <v>0.49</v>
      </c>
      <c r="CL208" s="217">
        <f t="shared" si="539"/>
        <v>99.96</v>
      </c>
      <c r="CM208" s="217">
        <f t="shared" si="540"/>
        <v>5.88</v>
      </c>
      <c r="CN208" s="541">
        <f t="shared" si="541"/>
        <v>9</v>
      </c>
      <c r="CO208" s="443">
        <f t="shared" si="542"/>
        <v>8.5350000000000001</v>
      </c>
      <c r="CP208" s="443">
        <f t="shared" si="543"/>
        <v>17.535</v>
      </c>
      <c r="CQ208" s="443"/>
      <c r="CR208" s="217">
        <f t="shared" si="544"/>
        <v>0.48644793152639093</v>
      </c>
      <c r="CS208" s="172">
        <f t="shared" si="545"/>
        <v>137.82691393247745</v>
      </c>
      <c r="CT208" s="172">
        <f t="shared" si="546"/>
        <v>8.1074655254398493</v>
      </c>
      <c r="CU208" s="217">
        <f t="shared" si="547"/>
        <v>0.81074655254398498</v>
      </c>
      <c r="CV208" s="217">
        <f t="shared" si="548"/>
        <v>11.485576161039788</v>
      </c>
      <c r="CW208" s="217">
        <f t="shared" si="549"/>
        <v>170</v>
      </c>
      <c r="CX208" s="217">
        <f t="shared" si="550"/>
        <v>48.350498533724334</v>
      </c>
      <c r="CY208" s="217">
        <f t="shared" si="551"/>
        <v>2.686138807429129</v>
      </c>
      <c r="CZ208" s="217">
        <f t="shared" si="552"/>
        <v>2.8324838039674471</v>
      </c>
      <c r="DA208" s="197">
        <f t="shared" si="553"/>
        <v>350</v>
      </c>
      <c r="DB208" s="443">
        <f t="shared" si="554"/>
        <v>181.2046357246621</v>
      </c>
      <c r="DD208" s="217">
        <f t="shared" si="555"/>
        <v>25.032384211169504</v>
      </c>
      <c r="DE208" s="173">
        <f t="shared" si="556"/>
        <v>1.4664548454112187</v>
      </c>
      <c r="DF208" s="173">
        <f t="shared" si="557"/>
        <v>0.30335794952229944</v>
      </c>
      <c r="DG208" s="173"/>
      <c r="DH208" s="173">
        <f t="shared" si="558"/>
        <v>0.78109744190587771</v>
      </c>
      <c r="DI208" s="545">
        <f t="shared" si="559"/>
        <v>2391.2057647058823</v>
      </c>
      <c r="DJ208" s="528">
        <f t="shared" si="560"/>
        <v>8.6065366284073561E-2</v>
      </c>
      <c r="DL208" s="173">
        <f t="shared" si="561"/>
        <v>34.779304190854653</v>
      </c>
      <c r="DM208" s="173">
        <f t="shared" si="562"/>
        <v>48.350498533724334</v>
      </c>
      <c r="DN208" s="173">
        <f t="shared" si="563"/>
        <v>27.138640889178514</v>
      </c>
      <c r="DP208" s="545">
        <f t="shared" si="564"/>
        <v>588</v>
      </c>
      <c r="DQ208" s="460">
        <f t="shared" si="565"/>
        <v>181.2046357246621</v>
      </c>
      <c r="DS208">
        <f t="shared" si="614"/>
        <v>588</v>
      </c>
      <c r="DT208">
        <f t="shared" si="615"/>
        <v>181.2046357246621</v>
      </c>
      <c r="DV208" s="5">
        <f t="shared" si="568"/>
        <v>5.5186226113965757</v>
      </c>
      <c r="DW208" s="5">
        <f t="shared" si="569"/>
        <v>2.686138807429129</v>
      </c>
      <c r="DX208" s="5">
        <f t="shared" si="570"/>
        <v>2.8324838039674467</v>
      </c>
      <c r="DY208" s="173">
        <f t="shared" si="571"/>
        <v>0.48674080410607362</v>
      </c>
      <c r="EA208" s="5">
        <f t="shared" si="572"/>
        <v>0.9290880110401929</v>
      </c>
      <c r="EB208" s="5">
        <f t="shared" si="573"/>
        <v>10.96840013033561</v>
      </c>
      <c r="EC208" s="5">
        <f t="shared" si="574"/>
        <v>50.335125519037504</v>
      </c>
      <c r="ED208" s="5"/>
      <c r="EE208" s="173">
        <f t="shared" si="575"/>
        <v>19.475526475137027</v>
      </c>
      <c r="EF208" s="173">
        <f t="shared" si="576"/>
        <v>0.94439813169185549</v>
      </c>
      <c r="EG208" s="173">
        <f t="shared" si="577"/>
        <v>0.74668254321352356</v>
      </c>
      <c r="EH208" s="173"/>
      <c r="EI208" s="528">
        <f t="shared" si="578"/>
        <v>15.17184525935053</v>
      </c>
      <c r="EJ208" s="528">
        <f t="shared" si="579"/>
        <v>4.2248250000000009</v>
      </c>
      <c r="EK208" s="528">
        <f t="shared" si="580"/>
        <v>3.6240927144932419E-2</v>
      </c>
      <c r="EL208" s="528">
        <f t="shared" si="581"/>
        <v>1.1143223469023847E-2</v>
      </c>
      <c r="EM208">
        <f t="shared" si="582"/>
        <v>4.0499999999999998E-3</v>
      </c>
      <c r="EN208" s="460">
        <f t="shared" si="583"/>
        <v>40.290927144932418</v>
      </c>
      <c r="EP208" s="460">
        <f t="shared" si="603"/>
        <v>19448.104409964482</v>
      </c>
      <c r="EQ208" s="173">
        <f t="shared" si="584"/>
        <v>0.41159999999999997</v>
      </c>
      <c r="ER208" s="173">
        <f t="shared" si="585"/>
        <v>0.42531999999999998</v>
      </c>
      <c r="ES208" s="528"/>
      <c r="EU208" s="460">
        <f t="shared" si="497"/>
        <v>836.91999999999985</v>
      </c>
      <c r="EV208" s="528">
        <f t="shared" si="586"/>
        <v>11.378883944512896</v>
      </c>
      <c r="EW208" s="528">
        <f t="shared" si="587"/>
        <v>2.6756634934292017E-2</v>
      </c>
      <c r="EX208" s="528">
        <f t="shared" si="588"/>
        <v>2.7876741016990775E-3</v>
      </c>
      <c r="EY208" s="528">
        <f t="shared" si="589"/>
        <v>359.2490721856272</v>
      </c>
      <c r="EZ208" s="528"/>
      <c r="FA208" s="625">
        <f t="shared" si="590"/>
        <v>10.590372240855535</v>
      </c>
      <c r="FB208" s="460">
        <f t="shared" si="613"/>
        <v>381247.87268003158</v>
      </c>
      <c r="FC208" s="173">
        <f t="shared" si="591"/>
        <v>401.53289708999608</v>
      </c>
      <c r="FD208" s="5">
        <f t="shared" si="592"/>
        <v>105.83999999999999</v>
      </c>
      <c r="FE208" s="173">
        <f t="shared" si="593"/>
        <v>0.20860396881078663</v>
      </c>
      <c r="FF208" s="5">
        <f t="shared" si="594"/>
        <v>20.860396881078664</v>
      </c>
      <c r="FG208">
        <f t="shared" si="595"/>
        <v>98</v>
      </c>
      <c r="FI208" s="562">
        <f t="shared" si="596"/>
        <v>-50</v>
      </c>
      <c r="FJ208">
        <f t="shared" si="597"/>
        <v>-50</v>
      </c>
    </row>
    <row r="209" spans="1:169">
      <c r="E209" s="170">
        <v>99</v>
      </c>
      <c r="F209" s="217">
        <f>IF(PLOT_TYPE=1, E209/100*Iout_max, min_I*EXP(O209*rr/100))</f>
        <v>0.59399999999999997</v>
      </c>
      <c r="G209" s="217">
        <f t="shared" si="499"/>
        <v>0.495</v>
      </c>
      <c r="H209" s="217">
        <f t="shared" si="500"/>
        <v>100.97999999999999</v>
      </c>
      <c r="I209" s="217">
        <f t="shared" si="501"/>
        <v>5.9399999999999995</v>
      </c>
      <c r="J209" s="541">
        <f t="shared" si="502"/>
        <v>6.9222868365638188</v>
      </c>
      <c r="K209" s="443">
        <f t="shared" si="503"/>
        <v>8.5483688478532223</v>
      </c>
      <c r="L209" s="172">
        <f t="shared" si="504"/>
        <v>15.470655684417041</v>
      </c>
      <c r="M209" s="443"/>
      <c r="N209" s="217">
        <f t="shared" si="505"/>
        <v>0.55255375222807424</v>
      </c>
      <c r="O209" s="172">
        <f>N209*J209*Isw_max*0.5*Efficiency*Pout/(Pout+Pout2)</f>
        <v>120.41463817448121</v>
      </c>
      <c r="P209" s="172">
        <f t="shared" si="507"/>
        <v>7.0832140102636005</v>
      </c>
      <c r="Q209" s="217">
        <f t="shared" si="508"/>
        <v>0.7083214010263601</v>
      </c>
      <c r="R209" s="217">
        <f t="shared" si="509"/>
        <v>10.034553181206768</v>
      </c>
      <c r="S209" s="217">
        <f t="shared" si="510"/>
        <v>170</v>
      </c>
      <c r="T209" s="217">
        <f t="shared" si="511"/>
        <v>55.906824137488243</v>
      </c>
      <c r="U209" s="217">
        <f t="shared" si="512"/>
        <v>4.038175927800765</v>
      </c>
      <c r="V209" s="217">
        <f t="shared" si="513"/>
        <v>3.2700287699640089</v>
      </c>
      <c r="W209" s="197">
        <f t="shared" si="514"/>
        <v>350</v>
      </c>
      <c r="X209" s="443">
        <f t="shared" si="599"/>
        <v>133.18763143174618</v>
      </c>
      <c r="Z209" s="217">
        <f t="shared" si="515"/>
        <v>21.856774660241967</v>
      </c>
      <c r="AA209" s="173">
        <f t="shared" si="516"/>
        <v>1.2784178507769304</v>
      </c>
      <c r="AB209" s="173">
        <f>0.5*AA209*Z209*Nps*W209/1000*(Pout/(Pout+Pout2))</f>
        <v>0.23091033440565298</v>
      </c>
      <c r="AC209" s="173"/>
      <c r="AD209" s="173">
        <f t="shared" si="518"/>
        <v>0.77987587869946517</v>
      </c>
      <c r="AE209" s="545">
        <f>MAX(10, F209/(0.5*AD209/1000000*Isw_min*Nps)/1000*Pout_total/Pout)</f>
        <v>2419.3895220329991</v>
      </c>
      <c r="AF209" s="528">
        <f t="shared" si="520"/>
        <v>8.5930768115959594E-2</v>
      </c>
      <c r="AH209" s="173">
        <f t="shared" si="521"/>
        <v>34.956299248388078</v>
      </c>
      <c r="AI209" s="173">
        <f>MAX(IF(F209&gt;AB209,T209,AH209),Isw_min)</f>
        <v>55.906824137488243</v>
      </c>
      <c r="AJ209" s="173">
        <f>IF(F209&gt;AF209, (AI209-Isw_min)/1.08*0.8+1.2, AE209*0.2/350+1)</f>
        <v>32.735919114188818</v>
      </c>
      <c r="AL209" s="545">
        <f t="shared" si="524"/>
        <v>594</v>
      </c>
      <c r="AM209" s="460">
        <f t="shared" si="525"/>
        <v>133.18763143174618</v>
      </c>
      <c r="AO209">
        <f t="shared" si="526"/>
        <v>594</v>
      </c>
      <c r="AP209">
        <f t="shared" si="527"/>
        <v>133.18763143174618</v>
      </c>
      <c r="AR209" s="5">
        <f t="shared" si="616"/>
        <v>7.5082046977647741</v>
      </c>
      <c r="AS209" s="5">
        <f t="shared" si="604"/>
        <v>4.038175927800765</v>
      </c>
      <c r="AT209" s="5">
        <f t="shared" si="605"/>
        <v>3.4700287699640091</v>
      </c>
      <c r="AU209" s="173">
        <f t="shared" si="606"/>
        <v>0.53783508712847794</v>
      </c>
      <c r="AW209" s="5">
        <f t="shared" si="477"/>
        <v>1.4109861771256789</v>
      </c>
      <c r="AX209" s="5">
        <f t="shared" si="478"/>
        <v>16.657475702178157</v>
      </c>
      <c r="AY209" s="5">
        <f t="shared" si="479"/>
        <v>80.991386451106095</v>
      </c>
      <c r="AZ209" s="5"/>
      <c r="BA209" s="173">
        <f t="shared" si="480"/>
        <v>23.67166251582406</v>
      </c>
      <c r="BB209" s="173">
        <f t="shared" si="481"/>
        <v>1.0362131541392376</v>
      </c>
      <c r="BC209" s="173">
        <f t="shared" si="482"/>
        <v>0.8192755229808607</v>
      </c>
      <c r="BD209" s="173"/>
      <c r="BE209" s="528">
        <f t="shared" si="483"/>
        <v>22.413904250522798</v>
      </c>
      <c r="BF209" s="528">
        <f t="shared" si="528"/>
        <v>2.5919102345732621</v>
      </c>
      <c r="BG209" s="528">
        <f t="shared" si="529"/>
        <v>3.687851951412361E-2</v>
      </c>
      <c r="BH209" s="528">
        <f t="shared" si="484"/>
        <v>6.3754571682638926E-3</v>
      </c>
      <c r="BI209">
        <f t="shared" si="485"/>
        <v>3.1150290764537184E-3</v>
      </c>
      <c r="BJ209" s="460">
        <f t="shared" si="600"/>
        <v>39.993548590577326</v>
      </c>
      <c r="BK209">
        <f t="shared" si="530"/>
        <v>-7.1815121066804446</v>
      </c>
      <c r="BL209" s="460">
        <f t="shared" si="601"/>
        <v>25052.183490854903</v>
      </c>
      <c r="BM209" s="173">
        <f t="shared" si="531"/>
        <v>0.51559199999999994</v>
      </c>
      <c r="BN209" s="173">
        <f t="shared" si="532"/>
        <v>0.42965999999999999</v>
      </c>
      <c r="BO209" s="528"/>
      <c r="BQ209" s="460">
        <f t="shared" si="486"/>
        <v>945.25199999999995</v>
      </c>
      <c r="BR209" s="528">
        <f t="shared" si="487"/>
        <v>16.810428187892096</v>
      </c>
      <c r="BS209" s="528">
        <f t="shared" si="488"/>
        <v>3.2212131024335622E-2</v>
      </c>
      <c r="BT209" s="528">
        <f t="shared" si="489"/>
        <v>3.3560619127778143E-3</v>
      </c>
      <c r="BU209" s="528">
        <f t="shared" si="490"/>
        <v>239.21686750867246</v>
      </c>
      <c r="BV209" s="528"/>
      <c r="BW209" s="625">
        <f t="shared" si="533"/>
        <v>10.407191568946352</v>
      </c>
      <c r="BX209" s="460">
        <f t="shared" si="607"/>
        <v>266470.05545844801</v>
      </c>
      <c r="BY209" s="173">
        <f t="shared" si="608"/>
        <v>292.46749094930294</v>
      </c>
      <c r="BZ209" s="5">
        <f t="shared" si="609"/>
        <v>106.91999999999999</v>
      </c>
      <c r="CA209" s="173">
        <f t="shared" si="610"/>
        <v>0.26770993689827932</v>
      </c>
      <c r="CB209" s="5">
        <f t="shared" si="611"/>
        <v>26.770993689827932</v>
      </c>
      <c r="CC209">
        <f t="shared" si="612"/>
        <v>99</v>
      </c>
      <c r="CE209" s="562">
        <f t="shared" si="534"/>
        <v>-50</v>
      </c>
      <c r="CF209">
        <f t="shared" si="535"/>
        <v>-50</v>
      </c>
      <c r="CG209" s="173">
        <f t="shared" si="536"/>
        <v>0.49996674565333021</v>
      </c>
      <c r="CH209" s="173">
        <f t="shared" si="537"/>
        <v>0.1244173729401032</v>
      </c>
      <c r="CI209" s="170">
        <v>99</v>
      </c>
      <c r="CJ209" s="217">
        <f t="shared" si="602"/>
        <v>0.59399999999999997</v>
      </c>
      <c r="CK209" s="217">
        <f t="shared" si="538"/>
        <v>0.495</v>
      </c>
      <c r="CL209" s="217">
        <f t="shared" si="539"/>
        <v>100.97999999999999</v>
      </c>
      <c r="CM209" s="217">
        <f t="shared" si="540"/>
        <v>5.9399999999999995</v>
      </c>
      <c r="CN209" s="541">
        <f t="shared" si="541"/>
        <v>9</v>
      </c>
      <c r="CO209" s="443">
        <f t="shared" si="542"/>
        <v>8.5350000000000001</v>
      </c>
      <c r="CP209" s="443">
        <f t="shared" si="543"/>
        <v>17.535</v>
      </c>
      <c r="CQ209" s="443"/>
      <c r="CR209" s="217">
        <f t="shared" si="544"/>
        <v>0.48644793152639093</v>
      </c>
      <c r="CS209" s="172">
        <f t="shared" si="545"/>
        <v>137.82691393247745</v>
      </c>
      <c r="CT209" s="172">
        <f t="shared" si="546"/>
        <v>8.1074655254398493</v>
      </c>
      <c r="CU209" s="217">
        <f t="shared" si="547"/>
        <v>0.81074655254398498</v>
      </c>
      <c r="CV209" s="217">
        <f t="shared" si="548"/>
        <v>11.485576161039788</v>
      </c>
      <c r="CW209" s="217">
        <f t="shared" si="549"/>
        <v>170</v>
      </c>
      <c r="CX209" s="217">
        <f t="shared" si="550"/>
        <v>48.843870967741928</v>
      </c>
      <c r="CY209" s="217">
        <f t="shared" si="551"/>
        <v>2.7135483870967736</v>
      </c>
      <c r="CZ209" s="217">
        <f t="shared" si="552"/>
        <v>2.8613866999262991</v>
      </c>
      <c r="DA209" s="197">
        <f t="shared" si="553"/>
        <v>350</v>
      </c>
      <c r="DB209" s="443">
        <f t="shared" si="554"/>
        <v>179.37428586885736</v>
      </c>
      <c r="DD209" s="217">
        <f t="shared" si="555"/>
        <v>25.032384211169504</v>
      </c>
      <c r="DE209" s="173">
        <f t="shared" si="556"/>
        <v>1.4664548454112187</v>
      </c>
      <c r="DF209" s="173">
        <f t="shared" si="557"/>
        <v>0.30335794952229944</v>
      </c>
      <c r="DG209" s="173"/>
      <c r="DH209" s="173">
        <f t="shared" si="558"/>
        <v>0.78109744190587771</v>
      </c>
      <c r="DI209" s="545">
        <f t="shared" si="559"/>
        <v>2415.6058235294117</v>
      </c>
      <c r="DJ209" s="528">
        <f t="shared" si="560"/>
        <v>8.6065366284073561E-2</v>
      </c>
      <c r="DL209" s="173">
        <f t="shared" si="561"/>
        <v>34.956299248388078</v>
      </c>
      <c r="DM209" s="173">
        <f t="shared" si="562"/>
        <v>48.843870967741928</v>
      </c>
      <c r="DN209" s="173">
        <f t="shared" si="563"/>
        <v>27.504101951413769</v>
      </c>
      <c r="DP209" s="545">
        <f t="shared" si="564"/>
        <v>594</v>
      </c>
      <c r="DQ209" s="460">
        <f t="shared" si="565"/>
        <v>179.37428586885736</v>
      </c>
      <c r="DS209">
        <f t="shared" si="614"/>
        <v>594</v>
      </c>
      <c r="DT209">
        <f t="shared" si="615"/>
        <v>179.37428586885736</v>
      </c>
      <c r="DV209" s="5">
        <f t="shared" si="568"/>
        <v>5.5749350870230741</v>
      </c>
      <c r="DW209" s="5">
        <f t="shared" si="569"/>
        <v>2.7135483870967736</v>
      </c>
      <c r="DX209" s="5">
        <f t="shared" si="570"/>
        <v>2.8613866999263005</v>
      </c>
      <c r="DY209" s="173">
        <f t="shared" si="571"/>
        <v>0.48674080410607345</v>
      </c>
      <c r="EA209" s="5">
        <f t="shared" si="572"/>
        <v>0.94814573055028439</v>
      </c>
      <c r="EB209" s="5">
        <f t="shared" si="573"/>
        <v>11.193387096774192</v>
      </c>
      <c r="EC209" s="5">
        <f t="shared" si="574"/>
        <v>51.36761403707694</v>
      </c>
      <c r="ED209" s="5"/>
      <c r="EE209" s="173">
        <f t="shared" si="575"/>
        <v>19.674256337128213</v>
      </c>
      <c r="EF209" s="173">
        <f t="shared" si="576"/>
        <v>0.95403484732136445</v>
      </c>
      <c r="EG209" s="173">
        <f t="shared" si="577"/>
        <v>0.75430175283815137</v>
      </c>
      <c r="EH209" s="173"/>
      <c r="EI209" s="528">
        <f t="shared" si="578"/>
        <v>15.483054496761186</v>
      </c>
      <c r="EJ209" s="528">
        <f t="shared" si="579"/>
        <v>4.2248249999999992</v>
      </c>
      <c r="EK209" s="528">
        <f t="shared" si="580"/>
        <v>3.5874857173771472E-2</v>
      </c>
      <c r="EL209" s="528">
        <f t="shared" si="581"/>
        <v>1.103066565620542E-2</v>
      </c>
      <c r="EM209">
        <f t="shared" si="582"/>
        <v>4.0499999999999998E-3</v>
      </c>
      <c r="EN209" s="460">
        <f t="shared" si="583"/>
        <v>39.924857173771471</v>
      </c>
      <c r="EP209" s="460">
        <f t="shared" si="603"/>
        <v>19758.835019591159</v>
      </c>
      <c r="EQ209" s="173">
        <f t="shared" si="584"/>
        <v>0.41579999999999995</v>
      </c>
      <c r="ER209" s="173">
        <f t="shared" si="585"/>
        <v>0.42965999999999999</v>
      </c>
      <c r="ES209" s="528"/>
      <c r="EU209" s="460">
        <f t="shared" si="497"/>
        <v>845.45999999999992</v>
      </c>
      <c r="EV209" s="528">
        <f t="shared" si="586"/>
        <v>11.612290872570888</v>
      </c>
      <c r="EW209" s="528">
        <f t="shared" si="587"/>
        <v>2.7305474697104974E-2</v>
      </c>
      <c r="EX209" s="528">
        <f t="shared" si="588"/>
        <v>2.8448556716735378E-3</v>
      </c>
      <c r="EY209" s="528">
        <f t="shared" si="589"/>
        <v>359.24907218562652</v>
      </c>
      <c r="EZ209" s="528"/>
      <c r="FA209" s="625">
        <f t="shared" si="590"/>
        <v>10.698437263721402</v>
      </c>
      <c r="FB209" s="460">
        <f t="shared" si="613"/>
        <v>381589.95065228757</v>
      </c>
      <c r="FC209" s="173">
        <f t="shared" si="591"/>
        <v>402.19424567187878</v>
      </c>
      <c r="FD209" s="5">
        <f t="shared" si="592"/>
        <v>106.91999999999999</v>
      </c>
      <c r="FE209" s="173">
        <f t="shared" si="593"/>
        <v>0.21001180169079245</v>
      </c>
      <c r="FF209" s="5">
        <f t="shared" si="594"/>
        <v>21.001180169079245</v>
      </c>
      <c r="FG209">
        <f t="shared" si="595"/>
        <v>99</v>
      </c>
      <c r="FI209" s="562">
        <f t="shared" si="596"/>
        <v>-50</v>
      </c>
      <c r="FJ209">
        <f t="shared" si="597"/>
        <v>-50</v>
      </c>
    </row>
    <row r="210" spans="1:169">
      <c r="A210" t="s">
        <v>862</v>
      </c>
      <c r="E210" s="170">
        <v>100</v>
      </c>
      <c r="F210" s="217">
        <f>IF(PLOT_TYPE=1, E210/100*Iout_max, min_I*EXP(O210*rr/100))</f>
        <v>0.6</v>
      </c>
      <c r="G210" s="217">
        <f t="shared" si="499"/>
        <v>0.5</v>
      </c>
      <c r="H210" s="217">
        <f t="shared" si="500"/>
        <v>102</v>
      </c>
      <c r="I210" s="217">
        <f t="shared" si="501"/>
        <v>6</v>
      </c>
      <c r="J210" s="541">
        <f t="shared" si="502"/>
        <v>6.9012998349129484</v>
      </c>
      <c r="K210" s="443">
        <f t="shared" si="503"/>
        <v>8.548503886720427</v>
      </c>
      <c r="L210" s="172">
        <f t="shared" si="504"/>
        <v>15.449803721633376</v>
      </c>
      <c r="M210" s="443"/>
      <c r="N210" s="217">
        <f t="shared" si="505"/>
        <v>0.55330825172558673</v>
      </c>
      <c r="O210" s="172">
        <f>N210*J210*Isw_max*0.5*Efficiency*Pout/(Pout+Pout2)</f>
        <v>120.21348979060369</v>
      </c>
      <c r="P210" s="172">
        <f t="shared" si="507"/>
        <v>7.0713817523884517</v>
      </c>
      <c r="Q210" s="217">
        <f t="shared" si="508"/>
        <v>0.70713817523884526</v>
      </c>
      <c r="R210" s="217">
        <f t="shared" si="509"/>
        <v>10.017790815883641</v>
      </c>
      <c r="S210" s="217">
        <f t="shared" si="510"/>
        <v>170</v>
      </c>
      <c r="T210" s="217">
        <f t="shared" si="511"/>
        <v>56.566031082241423</v>
      </c>
      <c r="U210" s="217">
        <f t="shared" si="512"/>
        <v>4.0982157300339157</v>
      </c>
      <c r="V210" s="217">
        <f t="shared" si="513"/>
        <v>3.308533974589007</v>
      </c>
      <c r="W210" s="197">
        <f t="shared" si="514"/>
        <v>350</v>
      </c>
      <c r="X210" s="443">
        <f t="shared" si="599"/>
        <v>131.46219329291989</v>
      </c>
      <c r="Z210" s="217">
        <f t="shared" si="515"/>
        <v>21.820263693084371</v>
      </c>
      <c r="AA210" s="173">
        <f t="shared" si="516"/>
        <v>1.2762621379268952</v>
      </c>
      <c r="AB210" s="173">
        <f>0.5*AA210*Z210*Nps*W210/1000*(Pout/(Pout+Pout2))</f>
        <v>0.23013588823171335</v>
      </c>
      <c r="AC210" s="173"/>
      <c r="AD210" s="173">
        <f t="shared" si="518"/>
        <v>0.77986355916886485</v>
      </c>
      <c r="AE210" s="545">
        <f>MAX(10, F210/(0.5*AD210/1000000*Isw_min*Nps)/1000*Pout_total/Pout)</f>
        <v>2443.8664052624276</v>
      </c>
      <c r="AF210" s="528">
        <f t="shared" si="520"/>
        <v>8.5929410686199012E-2</v>
      </c>
      <c r="AH210" s="173">
        <f t="shared" si="521"/>
        <v>35.132402626147197</v>
      </c>
      <c r="AI210" s="173">
        <f>MAX(IF(F210&gt;AB210,T210,AH210),Isw_min)</f>
        <v>56.566031082241423</v>
      </c>
      <c r="AJ210" s="173">
        <f>IF(F210&gt;AF210, (AI210-Isw_min)/1.08*0.8+1.2, AE210*0.2/350+1)</f>
        <v>33.224220554746729</v>
      </c>
      <c r="AL210" s="545">
        <f t="shared" si="524"/>
        <v>600</v>
      </c>
      <c r="AM210" s="460">
        <f t="shared" si="525"/>
        <v>131.46219329291989</v>
      </c>
      <c r="AO210">
        <f t="shared" si="526"/>
        <v>600</v>
      </c>
      <c r="AP210">
        <f t="shared" si="527"/>
        <v>131.46219329291989</v>
      </c>
      <c r="AR210" s="5">
        <f t="shared" si="616"/>
        <v>7.6067497046229224</v>
      </c>
      <c r="AS210" s="5">
        <f t="shared" si="604"/>
        <v>4.0982157300339157</v>
      </c>
      <c r="AT210" s="5">
        <f t="shared" si="605"/>
        <v>3.5085339745890067</v>
      </c>
      <c r="AU210" s="173">
        <f t="shared" si="606"/>
        <v>0.53876042845780348</v>
      </c>
      <c r="AW210" s="5">
        <f t="shared" si="477"/>
        <v>1.4464290811884406</v>
      </c>
      <c r="AX210" s="5">
        <f t="shared" si="478"/>
        <v>17.075898875141316</v>
      </c>
      <c r="AY210" s="5">
        <f t="shared" si="479"/>
        <v>82.968825924101935</v>
      </c>
      <c r="AZ210" s="5"/>
      <c r="BA210" s="173">
        <f>AI210*SQRT(AU210/3)</f>
        <v>23.97137386103056</v>
      </c>
      <c r="BB210" s="173">
        <f t="shared" si="481"/>
        <v>1.0473812165062413</v>
      </c>
      <c r="BC210" s="173">
        <f t="shared" si="482"/>
        <v>0.82810548243453141</v>
      </c>
      <c r="BD210" s="173"/>
      <c r="BE210" s="528">
        <f t="shared" si="483"/>
        <v>22.985070591411969</v>
      </c>
      <c r="BF210" s="528">
        <f t="shared" si="528"/>
        <v>2.5850090390813913</v>
      </c>
      <c r="BG210" s="528">
        <f t="shared" si="529"/>
        <v>3.6290400514788893E-2</v>
      </c>
      <c r="BH210" s="528">
        <f t="shared" si="484"/>
        <v>6.2759113762329071E-3</v>
      </c>
      <c r="BI210">
        <f t="shared" si="485"/>
        <v>3.1055849257108268E-3</v>
      </c>
      <c r="BJ210" s="460">
        <f t="shared" si="600"/>
        <v>39.395985440499722</v>
      </c>
      <c r="BK210">
        <f t="shared" si="530"/>
        <v>-7.1240806612268734</v>
      </c>
      <c r="BL210" s="460">
        <f t="shared" si="601"/>
        <v>25615.751527310091</v>
      </c>
      <c r="BM210" s="173">
        <f t="shared" si="531"/>
        <v>0.52079999999999993</v>
      </c>
      <c r="BN210" s="173">
        <f t="shared" si="532"/>
        <v>0.434</v>
      </c>
      <c r="BO210" s="528"/>
      <c r="BQ210" s="460">
        <f t="shared" si="486"/>
        <v>954.79999999999984</v>
      </c>
      <c r="BR210" s="528">
        <f t="shared" si="487"/>
        <v>17.238802943558976</v>
      </c>
      <c r="BS210" s="528">
        <f t="shared" si="488"/>
        <v>3.2910222380702819E-2</v>
      </c>
      <c r="BT210" s="528">
        <f t="shared" si="489"/>
        <v>3.4287934501906403E-3</v>
      </c>
      <c r="BU210" s="528">
        <f t="shared" si="490"/>
        <v>238.43030709945319</v>
      </c>
      <c r="BV210" s="528"/>
      <c r="BW210" s="625">
        <f t="shared" si="533"/>
        <v>10.516041662487295</v>
      </c>
      <c r="BX210" s="460">
        <f t="shared" si="607"/>
        <v>266221.49072133034</v>
      </c>
      <c r="BY210" s="173">
        <f t="shared" si="608"/>
        <v>292.79204224864043</v>
      </c>
      <c r="BZ210" s="5">
        <f t="shared" si="609"/>
        <v>108</v>
      </c>
      <c r="CA210" s="173">
        <f t="shared" si="610"/>
        <v>0.26946642801106252</v>
      </c>
      <c r="CB210" s="5">
        <f t="shared" si="611"/>
        <v>26.94664280110625</v>
      </c>
      <c r="CC210">
        <f t="shared" si="612"/>
        <v>100</v>
      </c>
      <c r="CE210" s="562">
        <f t="shared" si="534"/>
        <v>-50</v>
      </c>
      <c r="CF210">
        <f t="shared" si="535"/>
        <v>-50</v>
      </c>
      <c r="CG210" s="173">
        <f t="shared" si="536"/>
        <v>0.49996674565333032</v>
      </c>
      <c r="CH210" s="173">
        <f t="shared" si="537"/>
        <v>0.12441737294010323</v>
      </c>
      <c r="CI210" s="170">
        <v>100</v>
      </c>
      <c r="CJ210" s="217">
        <f t="shared" si="602"/>
        <v>0.6</v>
      </c>
      <c r="CK210" s="217">
        <f t="shared" si="538"/>
        <v>0.5</v>
      </c>
      <c r="CL210" s="217">
        <f t="shared" si="539"/>
        <v>102</v>
      </c>
      <c r="CM210" s="217">
        <f t="shared" si="540"/>
        <v>6</v>
      </c>
      <c r="CN210" s="541">
        <f t="shared" si="541"/>
        <v>9</v>
      </c>
      <c r="CO210" s="443">
        <f t="shared" si="542"/>
        <v>8.5350000000000001</v>
      </c>
      <c r="CP210" s="443">
        <f t="shared" si="543"/>
        <v>17.535</v>
      </c>
      <c r="CQ210" s="443"/>
      <c r="CR210" s="217">
        <f t="shared" si="544"/>
        <v>0.48644793152639093</v>
      </c>
      <c r="CS210" s="172">
        <f t="shared" si="545"/>
        <v>137.82691393247745</v>
      </c>
      <c r="CT210" s="172">
        <f t="shared" si="546"/>
        <v>8.1074655254398493</v>
      </c>
      <c r="CU210" s="217">
        <f t="shared" si="547"/>
        <v>0.81074655254398498</v>
      </c>
      <c r="CV210" s="217">
        <f t="shared" si="548"/>
        <v>11.485576161039788</v>
      </c>
      <c r="CW210" s="217">
        <f t="shared" si="549"/>
        <v>170</v>
      </c>
      <c r="CX210" s="217">
        <f t="shared" si="550"/>
        <v>49.33724340175953</v>
      </c>
      <c r="CY210" s="217">
        <f t="shared" si="551"/>
        <v>2.7409579667644182</v>
      </c>
      <c r="CZ210" s="217">
        <f t="shared" si="552"/>
        <v>2.8902895958851507</v>
      </c>
      <c r="DA210" s="197">
        <f t="shared" si="553"/>
        <v>350</v>
      </c>
      <c r="DB210" s="443">
        <f t="shared" si="554"/>
        <v>177.58054301016878</v>
      </c>
      <c r="DD210" s="217">
        <f t="shared" si="555"/>
        <v>25.032384211169504</v>
      </c>
      <c r="DE210" s="173">
        <f t="shared" si="556"/>
        <v>1.4664548454112187</v>
      </c>
      <c r="DF210" s="173">
        <f t="shared" si="557"/>
        <v>0.30335794952229944</v>
      </c>
      <c r="DG210" s="173"/>
      <c r="DH210" s="173">
        <f t="shared" si="558"/>
        <v>0.78109744190587771</v>
      </c>
      <c r="DI210" s="545">
        <f t="shared" si="559"/>
        <v>2440.0058823529412</v>
      </c>
      <c r="DJ210" s="528">
        <f t="shared" si="560"/>
        <v>8.6065366284073561E-2</v>
      </c>
      <c r="DL210" s="173">
        <f t="shared" si="561"/>
        <v>35.132402626147197</v>
      </c>
      <c r="DM210" s="173">
        <f t="shared" si="562"/>
        <v>49.33724340175953</v>
      </c>
      <c r="DN210" s="173">
        <f t="shared" si="563"/>
        <v>27.869563013649032</v>
      </c>
      <c r="DP210" s="545">
        <f t="shared" si="564"/>
        <v>600</v>
      </c>
      <c r="DQ210" s="460">
        <f t="shared" si="565"/>
        <v>177.58054301016878</v>
      </c>
      <c r="DS210">
        <f t="shared" si="614"/>
        <v>600</v>
      </c>
      <c r="DT210">
        <f t="shared" si="615"/>
        <v>177.58054301016878</v>
      </c>
      <c r="DV210" s="5">
        <f t="shared" si="568"/>
        <v>5.6312475626495688</v>
      </c>
      <c r="DW210" s="5">
        <f t="shared" si="569"/>
        <v>2.7409579667644182</v>
      </c>
      <c r="DX210" s="5">
        <f t="shared" si="570"/>
        <v>2.8902895958851507</v>
      </c>
      <c r="DY210" s="173">
        <f t="shared" si="571"/>
        <v>0.48674080410607357</v>
      </c>
      <c r="EA210" s="5">
        <f t="shared" si="572"/>
        <v>0.9673969294462651</v>
      </c>
      <c r="EB210" s="5">
        <f t="shared" si="573"/>
        <v>11.420658194851743</v>
      </c>
      <c r="EC210" s="5">
        <f t="shared" si="574"/>
        <v>52.410584672050732</v>
      </c>
      <c r="ED210" s="5"/>
      <c r="EE210" s="173">
        <f t="shared" si="575"/>
        <v>19.872986199119417</v>
      </c>
      <c r="EF210" s="173">
        <f t="shared" si="576"/>
        <v>0.96367156295087308</v>
      </c>
      <c r="EG210" s="173">
        <f t="shared" si="577"/>
        <v>0.76192096246277929</v>
      </c>
      <c r="EH210" s="173"/>
      <c r="EI210" s="528">
        <f t="shared" si="578"/>
        <v>15.797423218815632</v>
      </c>
      <c r="EJ210" s="528">
        <f t="shared" si="579"/>
        <v>4.2248250000000001</v>
      </c>
      <c r="EK210" s="528">
        <f t="shared" si="580"/>
        <v>3.5516108602033754E-2</v>
      </c>
      <c r="EL210" s="528">
        <f t="shared" si="581"/>
        <v>1.0920358999643366E-2</v>
      </c>
      <c r="EM210">
        <f t="shared" si="582"/>
        <v>4.0499999999999998E-3</v>
      </c>
      <c r="EN210" s="460">
        <f t="shared" si="583"/>
        <v>39.566108602033751</v>
      </c>
      <c r="EP210" s="460">
        <f t="shared" si="603"/>
        <v>20072.734686417312</v>
      </c>
      <c r="EQ210" s="173">
        <f t="shared" si="584"/>
        <v>0.42</v>
      </c>
      <c r="ER210" s="173">
        <f t="shared" si="585"/>
        <v>0.434</v>
      </c>
      <c r="ES210" s="528"/>
      <c r="EU210" s="460">
        <f t="shared" si="497"/>
        <v>854</v>
      </c>
      <c r="EV210" s="528">
        <f t="shared" si="586"/>
        <v>11.848067414111723</v>
      </c>
      <c r="EW210" s="528">
        <f t="shared" si="587"/>
        <v>2.7859886437205356E-2</v>
      </c>
      <c r="EX210" s="528">
        <f t="shared" si="588"/>
        <v>2.9026177652010398E-3</v>
      </c>
      <c r="EY210" s="528">
        <f t="shared" si="589"/>
        <v>359.24907218562726</v>
      </c>
      <c r="EZ210" s="528"/>
      <c r="FA210" s="625">
        <f t="shared" si="590"/>
        <v>10.806502286587278</v>
      </c>
      <c r="FB210" s="460">
        <f t="shared" si="613"/>
        <v>381934.40439052862</v>
      </c>
      <c r="FC210" s="173">
        <f t="shared" si="591"/>
        <v>402.86113907694596</v>
      </c>
      <c r="FD210" s="5">
        <f t="shared" si="592"/>
        <v>108</v>
      </c>
      <c r="FE210" s="173">
        <f t="shared" si="593"/>
        <v>0.21140774221961917</v>
      </c>
      <c r="FF210" s="5">
        <f t="shared" si="594"/>
        <v>21.140774221961916</v>
      </c>
      <c r="FG210">
        <f t="shared" si="595"/>
        <v>100</v>
      </c>
      <c r="FI210" s="562">
        <f t="shared" si="596"/>
        <v>-50</v>
      </c>
      <c r="FJ210">
        <f t="shared" si="597"/>
        <v>-50</v>
      </c>
    </row>
    <row r="211" spans="1:169" ht="13">
      <c r="E211" s="170"/>
      <c r="F211" s="217"/>
      <c r="G211" s="217"/>
      <c r="H211" s="217"/>
      <c r="I211" s="217"/>
      <c r="J211" s="541"/>
      <c r="K211" s="443"/>
      <c r="L211" s="172"/>
      <c r="M211" s="443"/>
      <c r="N211" s="217"/>
      <c r="O211" s="172"/>
      <c r="P211" s="172"/>
      <c r="Q211" s="217"/>
      <c r="R211" s="217"/>
      <c r="S211" s="217"/>
      <c r="T211" s="217"/>
      <c r="U211" s="217"/>
      <c r="V211" s="217"/>
      <c r="W211" s="197"/>
      <c r="X211" s="443"/>
      <c r="Z211" s="217"/>
      <c r="AA211" s="173"/>
      <c r="AB211" s="173"/>
      <c r="AC211" s="173"/>
      <c r="AD211" s="173"/>
      <c r="AE211" s="545"/>
      <c r="AF211" s="528"/>
      <c r="AH211" s="173"/>
      <c r="AI211" s="173"/>
      <c r="AJ211" s="173"/>
      <c r="AL211" s="545"/>
      <c r="AM211" s="460"/>
      <c r="AR211" s="5"/>
      <c r="AS211" s="5"/>
      <c r="AT211" s="5"/>
      <c r="AU211" s="173"/>
      <c r="CE211" s="562"/>
      <c r="CF211" s="539">
        <f>MAX(CF110:CF210)</f>
        <v>-50</v>
      </c>
      <c r="CG211" s="173"/>
      <c r="CH211" s="173"/>
      <c r="CI211" s="170"/>
      <c r="CJ211" s="217"/>
      <c r="CK211" s="217"/>
      <c r="CL211" s="217"/>
      <c r="CM211" s="217"/>
      <c r="CN211" s="541"/>
      <c r="CO211" s="443"/>
      <c r="CP211" s="443"/>
      <c r="CQ211" s="443"/>
      <c r="CR211" s="217"/>
      <c r="CS211" s="172"/>
      <c r="CT211" s="172"/>
      <c r="CU211" s="217"/>
      <c r="CV211" s="217"/>
      <c r="CW211" s="217"/>
      <c r="CX211" s="217"/>
      <c r="CY211" s="217"/>
      <c r="CZ211" s="217"/>
      <c r="DA211" s="197"/>
      <c r="DB211" s="443"/>
      <c r="DD211" s="217"/>
      <c r="DE211" s="173"/>
      <c r="DF211" s="173"/>
      <c r="DG211" s="173"/>
      <c r="DH211" s="173"/>
      <c r="DI211" s="545"/>
      <c r="DJ211" s="528"/>
      <c r="DL211" s="173"/>
      <c r="DM211" s="173"/>
      <c r="DN211" s="173"/>
      <c r="DP211" s="545"/>
      <c r="DQ211" s="460"/>
      <c r="DV211" s="5"/>
      <c r="DW211" s="5"/>
      <c r="DX211" s="5"/>
      <c r="DY211" s="173"/>
      <c r="FI211" s="562"/>
      <c r="FJ211" s="539">
        <f>MAX(FJ110:FJ210)</f>
        <v>-50</v>
      </c>
    </row>
    <row r="212" spans="1:169">
      <c r="A212" t="s">
        <v>862</v>
      </c>
      <c r="E212" s="170">
        <v>101</v>
      </c>
      <c r="F212" s="217">
        <f>'Calculations - Dual'!Ioutmax_Vinmin+0*H210/(H210+I210)</f>
        <v>0.80885405006574096</v>
      </c>
      <c r="G212" s="217">
        <f>'Calculations - Dual'!Ioutmax_Vinmin/Nsec1sec2*(1-H210/(H210+I210))</f>
        <v>0.60398681691260736</v>
      </c>
      <c r="H212" s="217">
        <f>F212*Vout</f>
        <v>137.50518851117596</v>
      </c>
      <c r="I212" s="217">
        <f>Vout2*G212</f>
        <v>7.2478418029512888</v>
      </c>
      <c r="J212" s="541">
        <f>VIN_min-(F212/CG212/Nps+G212/CH212/(Nps/Nsec1sec2))*(Rdcr_pri+RON/1000)</f>
        <v>6.2294142430150572</v>
      </c>
      <c r="K212" s="443">
        <f>MAX((S212+Vfwd2+Rdcr_sec*F212/CG212)*Nps,(Vout2+Vfwd22+Rdcr_sec2*G212/CH212)*Nps/Nsec1sec2)</f>
        <v>8.5513123391124388</v>
      </c>
      <c r="L212" s="172">
        <f>MAX((Vout+Vfwd2+F212/CG212*Rdcr_sec)*Nps+J212, (Vout2+Vfwd22+G212/CH212*Rdcr_sec2)*Nps/Nsec1sec2+J212)</f>
        <v>14.780726582127496</v>
      </c>
      <c r="M212" s="443"/>
      <c r="N212" s="217">
        <f>MAX((Vout+Vfwd2+F212/CG212*Rdcr_sec)*Nps/((Vout+Vfwd2+F212/CG212*Rdcr_sec)*Nps+J212), (Vout2+Vfwd22+G212/CH212*Rdcr_sec2)*Nps/Nsec1sec2/((Vout2+Vfwd22+G212/CH212*Rdcr_sec2)*Nps/Nsec1sec2+J212))</f>
        <v>0.57854478882333715</v>
      </c>
      <c r="O212" s="172">
        <f>N212*J212*Isw_max*0.5*Efficiency*Pout/(Pout+Pout2)</f>
        <v>113.45910650224072</v>
      </c>
      <c r="P212" s="172">
        <f>N212*J212*Isw_max*0.5*Efficiency*(Pout2/Pout_total)</f>
        <v>6.6740650883671009</v>
      </c>
      <c r="Q212" s="217">
        <f>O212/Vout</f>
        <v>0.66740650883671004</v>
      </c>
      <c r="R212" s="217">
        <f>O212/Vout2</f>
        <v>9.4549255418533935</v>
      </c>
      <c r="S212" s="217">
        <f>MIN(Vout,O212/F212)</f>
        <v>140.271420403989</v>
      </c>
      <c r="T212" s="217">
        <f>MIN(2*(Vout*F212+Vout2*G212)/(Efficiency*J212*N212), Isw_max)</f>
        <v>66.666666666666671</v>
      </c>
      <c r="U212" s="217">
        <f>L*T212/J212*1000000</f>
        <v>5.3509578963558999</v>
      </c>
      <c r="V212" s="217">
        <f>L*T212/K212*1000000</f>
        <v>3.8980371680346182</v>
      </c>
      <c r="W212" s="197">
        <f>IF(1/((350000*L)*(1/J212+1/K212))&gt;Isw_min, 350, 0.001/((Isw_min*L)*(1/J212+1/K212)))</f>
        <v>350</v>
      </c>
      <c r="X212" s="443">
        <f>MIN(1/(U212+V212+0.2)*1000, 350)</f>
        <v>105.8313601801529</v>
      </c>
      <c r="Z212" s="217">
        <f>1/((W212*1000*L)*(1/J212+1/K212))</f>
        <v>20.594257986961345</v>
      </c>
      <c r="AA212" s="173">
        <f>L*Z212/K212*1000000</f>
        <v>1.2041577462190365</v>
      </c>
      <c r="AB212" s="173">
        <f>0.5*AA212*Z212*Nps*W212/1000*(Pout/(Pout+Pout2))</f>
        <v>0.20493399296064574</v>
      </c>
      <c r="AC212" s="173"/>
      <c r="AD212" s="173">
        <f>L*Isw_min/K212*1000000</f>
        <v>0.77960743360692353</v>
      </c>
      <c r="AE212" s="545">
        <f>MAX(10, F212/(0.5*AD212/1000000*Isw_min*Nps)/1000*Pout_total/Pout)</f>
        <v>3295.6344301666318</v>
      </c>
      <c r="AF212" s="528">
        <f>0.5*AD212/1000000*Isw_min*Nps*W212*1000*(Pout/Pout_total)</f>
        <v>8.5901189443725851E-2</v>
      </c>
      <c r="AH212" s="173">
        <f>SQRT((H212+I212)/(0.5*L*Fsw_DCM))</f>
        <v>40.673337045872799</v>
      </c>
      <c r="AI212" s="173">
        <f>MAX(IF(F212&gt;AB212,T212,AH212),Isw_min)</f>
        <v>66.666666666666671</v>
      </c>
      <c r="AJ212" s="173">
        <f>IF(F212&gt;AF212, (AI212-Isw_min)/1.08*0.8+1.2, AE212*0.2/350+1)</f>
        <v>40.706172839506181</v>
      </c>
      <c r="AL212" s="545">
        <f>F212*1000</f>
        <v>808.85405006574092</v>
      </c>
      <c r="AM212" s="460">
        <f>IF(F212&gt;AF212, X212, AE212)</f>
        <v>105.8313601801529</v>
      </c>
      <c r="AO212" t="str">
        <f>IF(H212&gt;O212, "",AL212)</f>
        <v/>
      </c>
      <c r="AP212" t="str">
        <f>IF(H212&gt;O212, "",AM212)</f>
        <v/>
      </c>
      <c r="AR212" s="5">
        <f>1/AM212*1000</f>
        <v>9.4489950643905196</v>
      </c>
      <c r="AS212" s="5">
        <f>L*AI212/J212*1000000</f>
        <v>5.3509578963558999</v>
      </c>
      <c r="AT212" s="5">
        <f>AR212-AS212</f>
        <v>4.0980371680346197</v>
      </c>
      <c r="AU212" s="173">
        <f>AS212/AR212</f>
        <v>0.56629915243807449</v>
      </c>
      <c r="AW212" s="5">
        <f>F212*AS212/Vout_ripple*1000</f>
        <v>2.5459670389404279</v>
      </c>
      <c r="AX212" s="5">
        <f>G212*AS212/Vout_ripple2*1000</f>
        <v>26.932566893778176</v>
      </c>
      <c r="AY212" s="5">
        <f>H212/Efficiency/J212*AT212/Vinripple1</f>
        <v>144.73306191143121</v>
      </c>
      <c r="AZ212" s="5"/>
      <c r="BA212" s="173">
        <f>AI212*SQRT(AU212/3)</f>
        <v>28.964835703239647</v>
      </c>
      <c r="BB212" s="173">
        <f>AI212*Npri_sec1*SQRT((1-AU212)/3)*(Pout/Pout_total)</f>
        <v>1.1969876501766066</v>
      </c>
      <c r="BC212" s="173">
        <f>AI212*Npri_sec2*SQRT((1-AU212)/3)*(Pout2/Pout_total)</f>
        <v>0.9463908841368539</v>
      </c>
      <c r="BD212" s="173"/>
      <c r="BE212" s="528">
        <f>Rdson*BA212^2</f>
        <v>33.55846829262665</v>
      </c>
      <c r="BF212" s="528">
        <f>0.5*L212*AI212*AM212*1000*Tfall</f>
        <v>2.3463965979562431</v>
      </c>
      <c r="BG212" s="528">
        <f>Qg*Vdd*AM212*1000*0+Qg*J212*AM212*1000</f>
        <v>2.6370695298556041E-2</v>
      </c>
      <c r="BH212" s="528">
        <f>0.5*(Coss+Csw)*L212^2*AM212*1000</f>
        <v>4.6241928756833809E-3</v>
      </c>
      <c r="BI212">
        <f>J212*IQ</f>
        <v>2.8032364093567757E-3</v>
      </c>
      <c r="BJ212" s="460">
        <f>(BG212+BI212)*1000</f>
        <v>29.173931707912814</v>
      </c>
      <c r="BK212">
        <f>(BF212+BG212*0+BH212+BI212*0+BE212*(1+RdsonTC*(Ta-25)))/(1-BE212*RdsonTC*ThetaJA)</f>
        <v>-6.4487454914603468</v>
      </c>
      <c r="BL212" s="460">
        <f>SUM(BE212:BI212)*1000</f>
        <v>35938.663015166487</v>
      </c>
      <c r="BM212" s="173">
        <f>Vfwd2*F212*(1+Diode_TC/1000*(Ta-25))</f>
        <v>0.7020853154570631</v>
      </c>
      <c r="BN212" s="173">
        <f>Vfwd2*G212*(1+Diode_TC/1000*(Ta-25))</f>
        <v>0.52426055708014319</v>
      </c>
      <c r="BO212" s="528"/>
      <c r="BQ212" s="460">
        <f>SUM(BM212:BP212)*1000</f>
        <v>1226.3458725372063</v>
      </c>
      <c r="BR212" s="528">
        <f>Rdcr_pri*BA212^2</f>
        <v>25.168851219469985</v>
      </c>
      <c r="BS212" s="528">
        <f>Rdcr_sec*BB212^2</f>
        <v>4.2983383040259428E-2</v>
      </c>
      <c r="BT212" s="528">
        <f>Rdcr_sec2*BC212^2</f>
        <v>4.4782785278866801E-3</v>
      </c>
      <c r="BU212" s="528">
        <f>AI212^2.5*AM212^2.5*k_core</f>
        <v>209.0633000144027</v>
      </c>
      <c r="BV212" s="528"/>
      <c r="BW212" s="625">
        <f>0.5*Lleak*0.000000001*AI212^2*AM212*1000</f>
        <v>11.759040020016991</v>
      </c>
      <c r="BX212" s="460">
        <f>SUM(BR212:BW212)*1000</f>
        <v>246038.65291545782</v>
      </c>
      <c r="BY212" s="173">
        <f>SUM(BE212:BI212,BM212:BP212,BR212:BW212)</f>
        <v>283.20366180316148</v>
      </c>
      <c r="BZ212" s="5">
        <f>MIN(H212+I212,O212+P212)</f>
        <v>120.13317159060782</v>
      </c>
      <c r="CA212" s="173">
        <f>BZ212/(BZ212+BY212)</f>
        <v>0.29784825397616072</v>
      </c>
      <c r="CB212" s="5">
        <f>CA212*100</f>
        <v>29.784825397616071</v>
      </c>
      <c r="CC212">
        <f>F212/Iout*100</f>
        <v>134.80900834429016</v>
      </c>
      <c r="CE212" s="562">
        <f>IF(ABS(F212-Ioutmax_Vinmin)&lt;Iout/200, AM212, -50)</f>
        <v>105.8313601801529</v>
      </c>
      <c r="CF212">
        <f>IF(ABS(F212-Ioutmax_Vinmin)&lt;Iout/200, (O212+P212)*CA212, -50)</f>
        <v>35.781455402881051</v>
      </c>
      <c r="CG212" s="173">
        <f>MIN(SQRT(2*DT212*1000*Ls1_*(CL212+CJ212*Vfwd1))/(CW212+Vfwd1), 1-DY212)</f>
        <v>0.49996674565333032</v>
      </c>
      <c r="CH212" s="173">
        <f>MIN(SQRT(2*DT212*1000*Ls2_*(CM212+CK212*Vfwd22))/(Vout2+Vfwd22), 1-DY212)</f>
        <v>0.12441737294010323</v>
      </c>
      <c r="CI212" s="170">
        <v>100</v>
      </c>
      <c r="CJ212" s="217">
        <f>IF(PLOT_TYPE=1, CI212/100*Iout_max, min_I*EXP(CS212*rr/100))</f>
        <v>0.6</v>
      </c>
      <c r="CK212" s="217">
        <f>IF(PLOT_TYPE=1, CI212/100*Iout2, min_I*EXP(CU212*rr/100))</f>
        <v>0.5</v>
      </c>
      <c r="CL212" s="217">
        <f>CJ212*Vout</f>
        <v>102</v>
      </c>
      <c r="CM212" s="217">
        <f>Vout2*CK212</f>
        <v>6</v>
      </c>
      <c r="CN212" s="541">
        <f t="shared" si="541"/>
        <v>9</v>
      </c>
      <c r="CO212" s="443">
        <f>(CW212+Vfwd2)*Nps</f>
        <v>8.5350000000000001</v>
      </c>
      <c r="CP212" s="443">
        <f>(Vout+Vfwd2)*Nps+CN212</f>
        <v>17.535</v>
      </c>
      <c r="CQ212" s="443"/>
      <c r="CR212" s="217">
        <f>(Vout+Vfwd1)*Nps/((Vout+Vfwd1)*Nps+CN212)</f>
        <v>0.48644793152639093</v>
      </c>
      <c r="CS212" s="172">
        <f>CR212*CN212*Isw_max*0.5*Efficiency*Pout/(Pout+Pout2)</f>
        <v>137.82691393247745</v>
      </c>
      <c r="CT212" s="172">
        <f>CR212*CN212*Isw_max*0.5*Efficiency*(Pout2/Pout_total)</f>
        <v>8.1074655254398493</v>
      </c>
      <c r="CU212" s="217">
        <f>CS212/Vout</f>
        <v>0.81074655254398498</v>
      </c>
      <c r="CV212" s="217">
        <f>CS212/Vout2</f>
        <v>11.485576161039788</v>
      </c>
      <c r="CW212" s="217">
        <f>MIN(Vout,CS212/CJ212)</f>
        <v>170</v>
      </c>
      <c r="CX212" s="217">
        <f>MIN(2*(Vout*CJ212+Vout2*CK212)/(Efficiency*CN212*CR212), Isw_max)</f>
        <v>49.33724340175953</v>
      </c>
      <c r="CY212" s="217">
        <f>L*CX212/CN212*1000000</f>
        <v>2.7409579667644182</v>
      </c>
      <c r="CZ212" s="217">
        <f>L*CX212/CO212*1000000</f>
        <v>2.8902895958851507</v>
      </c>
      <c r="DA212" s="197">
        <f>IF(1/((350000*L)*(1/CN212+1/CO212))&gt;Isw_min, 350, 0.001/((Isw_min*L)*(1/CN212+1/CO212)))</f>
        <v>350</v>
      </c>
      <c r="DB212" s="443">
        <f>MIN(1/(CY212+CZ212)*1000, 350)</f>
        <v>177.58054301016878</v>
      </c>
      <c r="DD212" s="217">
        <f>1/((DA212*1000*L)*(1/CN212+1/CO212))</f>
        <v>25.032384211169504</v>
      </c>
      <c r="DE212" s="173">
        <f>L*DD212/CO212*1000000</f>
        <v>1.4664548454112187</v>
      </c>
      <c r="DF212" s="173">
        <f>0.5*DE212*DD212*Nps*DA212/1000*(Pout/(Pout+Pout2))</f>
        <v>0.30335794952229944</v>
      </c>
      <c r="DG212" s="173"/>
      <c r="DH212" s="173">
        <f>L*Isw_min/CO212*1000000</f>
        <v>0.78109744190587771</v>
      </c>
      <c r="DI212" s="545">
        <f>MAX(10, CJ212/(0.5*DH212/1000000*Isw_min*Nps)/1000*Pout_total/Pout)</f>
        <v>2440.0058823529412</v>
      </c>
      <c r="DJ212" s="528">
        <f>0.5*DH212/1000000*Isw_min*Nps*DA212*1000*(Pout/Pout_total)</f>
        <v>8.6065366284073561E-2</v>
      </c>
      <c r="DL212" s="173">
        <f>SQRT((CL212+CM212)/(0.5*L*Fsw_DCM))</f>
        <v>35.132402626147197</v>
      </c>
      <c r="DM212" s="173">
        <f>MAX(IF(CJ212&gt;DF212,CX212,DL212),Isw_min)</f>
        <v>49.33724340175953</v>
      </c>
      <c r="DN212" s="173">
        <f>IF(CJ212&gt;DJ212, (DM212-Isw_min)/1.08*0.8+1.2, DI212*0.2/350+1)</f>
        <v>27.869563013649032</v>
      </c>
      <c r="DP212" s="545">
        <f>CJ212*1000</f>
        <v>600</v>
      </c>
      <c r="DQ212" s="460">
        <f>IF(CJ212&gt;DJ212, DB212, DI212)</f>
        <v>177.58054301016878</v>
      </c>
      <c r="DS212">
        <f>IF(CL212&gt;CS212, "",DP212)</f>
        <v>600</v>
      </c>
      <c r="DT212">
        <f>IF(CL212&gt;CS212, "",DQ212)</f>
        <v>177.58054301016878</v>
      </c>
      <c r="DV212" s="5">
        <f>1/DQ212*1000</f>
        <v>5.6312475626495688</v>
      </c>
      <c r="DW212" s="5">
        <f>L*DM212/CN212*1000000</f>
        <v>2.7409579667644182</v>
      </c>
      <c r="DX212" s="5">
        <f>DV212-DW212</f>
        <v>2.8902895958851507</v>
      </c>
      <c r="DY212" s="173">
        <f>DW212/DV212</f>
        <v>0.48674080410607357</v>
      </c>
      <c r="EA212" s="5">
        <f>CJ212*DW212/Vout_ripple*1000</f>
        <v>0.9673969294462651</v>
      </c>
      <c r="EB212" s="5">
        <f>CK212*DW212/Vout_ripple2*1000</f>
        <v>11.420658194851743</v>
      </c>
      <c r="EC212" s="5">
        <f>CL212/Efficiency/CN212*DX212/Vinripple1</f>
        <v>52.410584672050732</v>
      </c>
      <c r="ED212" s="5"/>
      <c r="EE212" s="173">
        <f>DM212*SQRT(DY212/3)</f>
        <v>19.872986199119417</v>
      </c>
      <c r="EF212" s="173">
        <f>DM212*Npri_sec1*SQRT((1-DY212)/3)*(Pout/Pout_total)</f>
        <v>0.96367156295087308</v>
      </c>
      <c r="EG212" s="173">
        <f>DM212*Npri_sec2*SQRT((1-DY212)/3)*(Pout2/Pout_total)</f>
        <v>0.76192096246277929</v>
      </c>
      <c r="EH212" s="173"/>
      <c r="EI212" s="528">
        <f>Rdson*EE212^2</f>
        <v>15.797423218815632</v>
      </c>
      <c r="EJ212" s="528">
        <f>0.5*CP212*DM212*DQ212*1000*Trise</f>
        <v>4.2248250000000001</v>
      </c>
      <c r="EK212" s="528">
        <f>Qg*Vdd*DQ212*1000</f>
        <v>3.5516108602033754E-2</v>
      </c>
      <c r="EL212" s="528">
        <f>0.5*(Coss+Csw)*CP212^2*DQ212*1000</f>
        <v>1.0920358999643366E-2</v>
      </c>
      <c r="EM212">
        <f>CN212*IQ</f>
        <v>4.0499999999999998E-3</v>
      </c>
      <c r="EN212" s="460">
        <f>(EK212+EM212)*1000</f>
        <v>39.566108602033751</v>
      </c>
      <c r="EP212" s="460">
        <f>SUM(EI212:EM212)*1000</f>
        <v>20072.734686417312</v>
      </c>
      <c r="EQ212" s="173">
        <f>Vfwd2*CJ212</f>
        <v>0.42</v>
      </c>
      <c r="ER212" s="173">
        <f>Vfwd22*CK212*(1+Diode_TC/1000*(Ta-25))</f>
        <v>0.434</v>
      </c>
      <c r="ES212" s="528"/>
      <c r="EU212" s="460">
        <f>SUM(EQ212:ET212)*1000</f>
        <v>854</v>
      </c>
      <c r="EV212" s="528">
        <f>Rdcr_pri*EE212^2</f>
        <v>11.848067414111723</v>
      </c>
      <c r="EW212" s="528">
        <f>Rdcr_sec*EF212^2</f>
        <v>2.7859886437205356E-2</v>
      </c>
      <c r="EX212" s="528">
        <f>Rdcr_sec2*EG212^2</f>
        <v>2.9026177652010398E-3</v>
      </c>
      <c r="EY212" s="528">
        <f>DM212^2.5*DQ212^2.5*k_core</f>
        <v>359.24907218562726</v>
      </c>
      <c r="EZ212" s="528"/>
      <c r="FA212" s="625">
        <f>0.5*Lleak*0.000000001*DM212^2*DQ212*1000</f>
        <v>10.806502286587278</v>
      </c>
      <c r="FB212" s="460">
        <f>SUM(EV212:FA212)*1000</f>
        <v>381934.40439052862</v>
      </c>
      <c r="FC212" s="173">
        <f>SUM(EI212:EM212,EQ212:ET212,EV212:FA212)</f>
        <v>402.86113907694596</v>
      </c>
      <c r="FD212" s="5">
        <f>MIN(CL212+CM212,CS212+CT212)</f>
        <v>108</v>
      </c>
      <c r="FE212" s="173">
        <f>FD212/(FD212+FC212)</f>
        <v>0.21140774221961917</v>
      </c>
      <c r="FF212" s="5">
        <f>FE212*100</f>
        <v>21.140774221961916</v>
      </c>
      <c r="FG212">
        <f>CJ212/Iout*100</f>
        <v>100</v>
      </c>
      <c r="FI212" s="562">
        <f>IF(ABS(CJ212-Ioutmax_Vinmin)&lt;Iout/200, DQ212, -50)</f>
        <v>-50</v>
      </c>
      <c r="FJ212">
        <f>IF(ABS(CJ212-Ioutmax_Vinmin)&lt;Iout/200, (CS212+CT212)*FE212, -50)</f>
        <v>-50</v>
      </c>
    </row>
    <row r="213" spans="1:169">
      <c r="G213" s="217"/>
      <c r="H213" s="217"/>
      <c r="I213" s="217"/>
      <c r="J213" s="541"/>
      <c r="K213" s="443"/>
      <c r="L213" s="172"/>
      <c r="M213" s="443"/>
      <c r="N213" s="217"/>
      <c r="O213" s="172"/>
      <c r="P213" s="172"/>
      <c r="Q213" s="217"/>
      <c r="R213" s="217"/>
      <c r="S213" s="217"/>
      <c r="T213" s="217"/>
      <c r="U213" s="217"/>
      <c r="V213" s="217"/>
      <c r="W213" s="197"/>
      <c r="X213" s="443"/>
      <c r="Z213" s="217"/>
      <c r="AA213" s="173"/>
      <c r="AB213" s="173"/>
      <c r="AC213" s="173"/>
      <c r="AD213" s="173"/>
      <c r="AE213" s="545"/>
      <c r="AF213" s="528"/>
      <c r="AH213" s="173"/>
      <c r="AI213" s="173"/>
      <c r="AJ213" s="173"/>
      <c r="AL213" s="545"/>
      <c r="AM213" s="460"/>
      <c r="AR213" s="5"/>
      <c r="AS213" s="5"/>
      <c r="AT213" s="5"/>
      <c r="AU213" s="173"/>
      <c r="CE213" s="562"/>
      <c r="CG213" s="173"/>
      <c r="CH213" s="173"/>
      <c r="CK213" s="217"/>
      <c r="CL213" s="217"/>
      <c r="CM213" s="217"/>
      <c r="CN213" s="541"/>
      <c r="CO213" s="443"/>
      <c r="CP213" s="443"/>
      <c r="CQ213" s="443"/>
      <c r="CR213" s="217"/>
      <c r="CS213" s="172"/>
      <c r="CT213" s="172"/>
      <c r="CU213" s="217"/>
      <c r="CV213" s="217"/>
      <c r="CW213" s="217"/>
      <c r="CX213" s="217"/>
      <c r="CY213" s="217"/>
      <c r="CZ213" s="217"/>
      <c r="DA213" s="197"/>
      <c r="DB213" s="443"/>
      <c r="DD213" s="217"/>
      <c r="DE213" s="173"/>
      <c r="DF213" s="173"/>
      <c r="DG213" s="173"/>
      <c r="DH213" s="173"/>
      <c r="DI213" s="545"/>
      <c r="DJ213" s="528"/>
      <c r="DL213" s="173"/>
      <c r="DM213" s="173"/>
      <c r="DN213" s="173"/>
      <c r="DP213" s="545"/>
      <c r="DQ213" s="460"/>
      <c r="DV213" s="5"/>
      <c r="DW213" s="5"/>
      <c r="DX213" s="5"/>
      <c r="DY213" s="173"/>
      <c r="FI213" s="562"/>
    </row>
    <row r="214" spans="1:169" ht="13">
      <c r="E214" s="445" t="s">
        <v>435</v>
      </c>
      <c r="G214" s="217"/>
      <c r="H214" s="217"/>
      <c r="I214" s="217"/>
      <c r="J214" s="541"/>
      <c r="K214" s="443"/>
      <c r="L214" s="172"/>
      <c r="M214" s="443"/>
      <c r="N214" s="217"/>
      <c r="O214" s="172"/>
      <c r="P214" s="172"/>
      <c r="Q214" s="217"/>
      <c r="R214" s="217"/>
      <c r="S214" s="217"/>
      <c r="T214" s="217"/>
      <c r="U214" s="217"/>
      <c r="V214" s="217"/>
      <c r="W214" s="197"/>
      <c r="X214" s="443"/>
      <c r="Z214" s="217"/>
      <c r="AA214" s="173"/>
      <c r="AB214" s="173"/>
      <c r="AC214" s="173"/>
      <c r="AD214" s="173"/>
      <c r="AE214" s="545"/>
      <c r="AF214" s="528"/>
      <c r="AH214" s="173"/>
      <c r="AI214" s="173"/>
      <c r="AJ214" s="173"/>
      <c r="AL214" s="545"/>
      <c r="AM214" s="460"/>
      <c r="AR214" s="5"/>
      <c r="AS214" s="5"/>
      <c r="AT214" s="5"/>
      <c r="AU214" s="173"/>
      <c r="CE214" s="562"/>
      <c r="CG214" s="173"/>
      <c r="CH214" s="173"/>
      <c r="CI214" s="445" t="s">
        <v>435</v>
      </c>
      <c r="CK214" s="217"/>
      <c r="CL214" s="217"/>
      <c r="CM214" s="217"/>
      <c r="CN214" s="541"/>
      <c r="CO214" s="443"/>
      <c r="CP214" s="443"/>
      <c r="CQ214" s="443"/>
      <c r="CR214" s="217"/>
      <c r="CS214" s="172"/>
      <c r="CT214" s="172"/>
      <c r="CU214" s="217"/>
      <c r="CV214" s="217"/>
      <c r="CW214" s="217"/>
      <c r="CX214" s="217"/>
      <c r="CY214" s="217"/>
      <c r="CZ214" s="217"/>
      <c r="DA214" s="197"/>
      <c r="DB214" s="443"/>
      <c r="DD214" s="217"/>
      <c r="DE214" s="173"/>
      <c r="DF214" s="173"/>
      <c r="DG214" s="173"/>
      <c r="DH214" s="173"/>
      <c r="DI214" s="545"/>
      <c r="DJ214" s="528"/>
      <c r="DL214" s="173"/>
      <c r="DM214" s="173"/>
      <c r="DN214" s="173"/>
      <c r="DP214" s="545"/>
      <c r="DQ214" s="460"/>
      <c r="DV214" s="5"/>
      <c r="DW214" s="5"/>
      <c r="DX214" s="5"/>
      <c r="DY214" s="173"/>
      <c r="FI214" s="562"/>
    </row>
    <row r="215" spans="1:169" ht="45" customHeight="1" thickBot="1">
      <c r="E215" s="241" t="s">
        <v>25</v>
      </c>
      <c r="F215" s="602" t="s">
        <v>580</v>
      </c>
      <c r="G215" s="444" t="s">
        <v>579</v>
      </c>
      <c r="H215" s="603" t="s">
        <v>581</v>
      </c>
      <c r="I215" s="604" t="s">
        <v>582</v>
      </c>
      <c r="J215" s="242" t="s">
        <v>412</v>
      </c>
      <c r="K215" s="243" t="s">
        <v>586</v>
      </c>
      <c r="L215" s="605" t="s">
        <v>413</v>
      </c>
      <c r="M215" s="606"/>
      <c r="N215" s="244" t="s">
        <v>48</v>
      </c>
      <c r="O215" s="606" t="s">
        <v>590</v>
      </c>
      <c r="P215" s="606" t="s">
        <v>606</v>
      </c>
      <c r="Q215" s="606" t="s">
        <v>583</v>
      </c>
      <c r="R215" s="606" t="s">
        <v>584</v>
      </c>
      <c r="S215" s="606" t="s">
        <v>585</v>
      </c>
      <c r="T215" s="606" t="s">
        <v>414</v>
      </c>
      <c r="U215" s="606" t="s">
        <v>466</v>
      </c>
      <c r="V215" s="606" t="s">
        <v>465</v>
      </c>
      <c r="W215" s="607" t="s">
        <v>420</v>
      </c>
      <c r="X215" s="608" t="s">
        <v>425</v>
      </c>
      <c r="Z215" s="245" t="s">
        <v>417</v>
      </c>
      <c r="AA215" s="245" t="s">
        <v>464</v>
      </c>
      <c r="AB215" s="245" t="s">
        <v>587</v>
      </c>
      <c r="AC215" s="544"/>
      <c r="AD215" s="245" t="s">
        <v>463</v>
      </c>
      <c r="AE215" s="607" t="s">
        <v>426</v>
      </c>
      <c r="AF215" s="245" t="s">
        <v>588</v>
      </c>
      <c r="AG215" s="544"/>
      <c r="AH215" s="245" t="s">
        <v>429</v>
      </c>
      <c r="AI215" s="547" t="s">
        <v>430</v>
      </c>
      <c r="AJ215" s="547" t="s">
        <v>431</v>
      </c>
      <c r="AL215" s="543" t="s">
        <v>275</v>
      </c>
      <c r="AM215" s="543" t="s">
        <v>432</v>
      </c>
      <c r="AO215" s="245" t="s">
        <v>275</v>
      </c>
      <c r="AP215" s="245" t="s">
        <v>432</v>
      </c>
      <c r="AQ215" s="548"/>
      <c r="AR215" s="245" t="s">
        <v>467</v>
      </c>
      <c r="AS215" s="245" t="s">
        <v>461</v>
      </c>
      <c r="AT215" s="245" t="s">
        <v>462</v>
      </c>
      <c r="AU215" s="245" t="s">
        <v>48</v>
      </c>
      <c r="AV215" s="544"/>
      <c r="AW215" s="245" t="s">
        <v>591</v>
      </c>
      <c r="AX215" s="245" t="s">
        <v>592</v>
      </c>
      <c r="AY215" s="245" t="s">
        <v>514</v>
      </c>
      <c r="AZ215" s="544"/>
      <c r="BA215" s="557" t="s">
        <v>456</v>
      </c>
      <c r="BB215" s="245" t="s">
        <v>599</v>
      </c>
      <c r="BC215" s="245" t="s">
        <v>598</v>
      </c>
      <c r="BD215" s="544"/>
      <c r="BE215" s="557" t="s">
        <v>474</v>
      </c>
      <c r="BF215" s="245" t="s">
        <v>475</v>
      </c>
      <c r="BG215" s="245" t="s">
        <v>473</v>
      </c>
      <c r="BH215" s="245" t="s">
        <v>469</v>
      </c>
      <c r="BI215" s="245" t="s">
        <v>478</v>
      </c>
      <c r="BJ215" s="245" t="s">
        <v>491</v>
      </c>
      <c r="BK215" s="245" t="s">
        <v>776</v>
      </c>
      <c r="BL215" s="245" t="s">
        <v>778</v>
      </c>
      <c r="BM215" s="557" t="s">
        <v>601</v>
      </c>
      <c r="BN215" s="245" t="s">
        <v>600</v>
      </c>
      <c r="BO215" s="245" t="s">
        <v>477</v>
      </c>
      <c r="BP215" s="245" t="s">
        <v>483</v>
      </c>
      <c r="BQ215" s="245" t="s">
        <v>487</v>
      </c>
      <c r="BR215" s="557" t="s">
        <v>458</v>
      </c>
      <c r="BS215" s="245" t="s">
        <v>603</v>
      </c>
      <c r="BT215" s="245" t="s">
        <v>602</v>
      </c>
      <c r="BU215" s="245" t="s">
        <v>468</v>
      </c>
      <c r="BV215" s="245" t="s">
        <v>673</v>
      </c>
      <c r="BW215" s="245" t="s">
        <v>484</v>
      </c>
      <c r="BX215" s="245" t="s">
        <v>667</v>
      </c>
      <c r="BY215" s="557" t="s">
        <v>482</v>
      </c>
      <c r="BZ215" s="245" t="s">
        <v>223</v>
      </c>
      <c r="CA215" s="245" t="s">
        <v>47</v>
      </c>
      <c r="CB215" s="245" t="s">
        <v>485</v>
      </c>
      <c r="CC215" s="245" t="s">
        <v>604</v>
      </c>
      <c r="CE215" s="569" t="s">
        <v>497</v>
      </c>
      <c r="CG215" s="782" t="s">
        <v>829</v>
      </c>
      <c r="CH215" s="783" t="s">
        <v>830</v>
      </c>
      <c r="CI215" s="241" t="s">
        <v>25</v>
      </c>
      <c r="CJ215" s="602" t="s">
        <v>580</v>
      </c>
      <c r="CK215" s="444" t="s">
        <v>579</v>
      </c>
      <c r="CL215" s="603" t="s">
        <v>581</v>
      </c>
      <c r="CM215" s="604" t="s">
        <v>582</v>
      </c>
      <c r="CN215" s="242" t="s">
        <v>412</v>
      </c>
      <c r="CO215" s="243" t="s">
        <v>586</v>
      </c>
      <c r="CP215" s="605" t="s">
        <v>413</v>
      </c>
      <c r="CQ215" s="606"/>
      <c r="CR215" s="244" t="s">
        <v>48</v>
      </c>
      <c r="CS215" s="606" t="s">
        <v>590</v>
      </c>
      <c r="CT215" s="606" t="s">
        <v>606</v>
      </c>
      <c r="CU215" s="606" t="s">
        <v>583</v>
      </c>
      <c r="CV215" s="606" t="s">
        <v>584</v>
      </c>
      <c r="CW215" s="606" t="s">
        <v>585</v>
      </c>
      <c r="CX215" s="606" t="s">
        <v>414</v>
      </c>
      <c r="CY215" s="606" t="s">
        <v>466</v>
      </c>
      <c r="CZ215" s="606" t="s">
        <v>465</v>
      </c>
      <c r="DA215" s="607" t="s">
        <v>420</v>
      </c>
      <c r="DB215" s="608" t="s">
        <v>425</v>
      </c>
      <c r="DD215" s="245" t="s">
        <v>417</v>
      </c>
      <c r="DE215" s="245" t="s">
        <v>464</v>
      </c>
      <c r="DF215" s="245" t="s">
        <v>587</v>
      </c>
      <c r="DG215" s="544"/>
      <c r="DH215" s="245" t="s">
        <v>463</v>
      </c>
      <c r="DI215" s="607" t="s">
        <v>426</v>
      </c>
      <c r="DJ215" s="245" t="s">
        <v>588</v>
      </c>
      <c r="DK215" s="544"/>
      <c r="DL215" s="245" t="s">
        <v>429</v>
      </c>
      <c r="DM215" s="547" t="s">
        <v>430</v>
      </c>
      <c r="DN215" s="547" t="s">
        <v>431</v>
      </c>
      <c r="DP215" s="543" t="s">
        <v>275</v>
      </c>
      <c r="DQ215" s="543" t="s">
        <v>432</v>
      </c>
      <c r="DS215" s="245" t="s">
        <v>275</v>
      </c>
      <c r="DT215" s="245" t="s">
        <v>432</v>
      </c>
      <c r="DU215" s="548"/>
      <c r="DV215" s="245" t="s">
        <v>467</v>
      </c>
      <c r="DW215" s="245" t="s">
        <v>461</v>
      </c>
      <c r="DX215" s="245" t="s">
        <v>462</v>
      </c>
      <c r="DY215" s="245" t="s">
        <v>48</v>
      </c>
      <c r="DZ215" s="544"/>
      <c r="EA215" s="245" t="s">
        <v>591</v>
      </c>
      <c r="EB215" s="245" t="s">
        <v>592</v>
      </c>
      <c r="EC215" s="245" t="s">
        <v>514</v>
      </c>
      <c r="ED215" s="544"/>
      <c r="EE215" s="557" t="s">
        <v>456</v>
      </c>
      <c r="EF215" s="245" t="s">
        <v>599</v>
      </c>
      <c r="EG215" s="245" t="s">
        <v>598</v>
      </c>
      <c r="EH215" s="544"/>
      <c r="EI215" s="557" t="s">
        <v>474</v>
      </c>
      <c r="EJ215" s="245" t="s">
        <v>475</v>
      </c>
      <c r="EK215" s="245" t="s">
        <v>473</v>
      </c>
      <c r="EL215" s="245" t="s">
        <v>469</v>
      </c>
      <c r="EM215" s="245" t="s">
        <v>478</v>
      </c>
      <c r="EN215" s="245" t="s">
        <v>491</v>
      </c>
      <c r="EO215" s="245" t="s">
        <v>776</v>
      </c>
      <c r="EP215" s="245" t="s">
        <v>778</v>
      </c>
      <c r="EQ215" s="557" t="s">
        <v>601</v>
      </c>
      <c r="ER215" s="245" t="s">
        <v>600</v>
      </c>
      <c r="ES215" s="245" t="s">
        <v>477</v>
      </c>
      <c r="ET215" s="245" t="s">
        <v>483</v>
      </c>
      <c r="EU215" s="245" t="s">
        <v>487</v>
      </c>
      <c r="EV215" s="557" t="s">
        <v>458</v>
      </c>
      <c r="EW215" s="245" t="s">
        <v>603</v>
      </c>
      <c r="EX215" s="245" t="s">
        <v>602</v>
      </c>
      <c r="EY215" s="245" t="s">
        <v>468</v>
      </c>
      <c r="EZ215" s="245" t="s">
        <v>673</v>
      </c>
      <c r="FA215" s="245" t="s">
        <v>484</v>
      </c>
      <c r="FB215" s="245" t="s">
        <v>486</v>
      </c>
      <c r="FC215" s="557" t="s">
        <v>482</v>
      </c>
      <c r="FD215" s="245" t="s">
        <v>223</v>
      </c>
      <c r="FE215" s="245" t="s">
        <v>47</v>
      </c>
      <c r="FF215" s="245" t="s">
        <v>485</v>
      </c>
      <c r="FG215" s="245" t="s">
        <v>604</v>
      </c>
      <c r="FI215" s="569" t="s">
        <v>497</v>
      </c>
      <c r="FL215" s="782" t="s">
        <v>876</v>
      </c>
      <c r="FM215" s="782" t="s">
        <v>875</v>
      </c>
    </row>
    <row r="216" spans="1:169">
      <c r="E216" s="170">
        <v>0.1</v>
      </c>
      <c r="F216" s="217">
        <v>1.0000000000000001E-9</v>
      </c>
      <c r="G216" s="217">
        <f t="shared" ref="G216:G247" si="617">IF(PLOT_TYPE=1, E216/100*Iout2, min_I*EXP(Q216*rr/100))</f>
        <v>5.0000000000000001E-4</v>
      </c>
      <c r="H216" s="217">
        <f t="shared" ref="H216:H247" si="618">F216*Vout</f>
        <v>1.7000000000000001E-7</v>
      </c>
      <c r="I216" s="217">
        <f t="shared" ref="I216:I247" si="619">Vout2*G216</f>
        <v>6.0000000000000001E-3</v>
      </c>
      <c r="J216" s="541">
        <f t="shared" ref="J216:J247" si="620">VIN_max-(F216/CG216/Nps+G216/CH216/(Nps/Nsec1sec2))*(Rdcr_pri+RON/1000)</f>
        <v>15.945489615759303</v>
      </c>
      <c r="K216" s="443">
        <f t="shared" ref="K216:K247" si="621">MAX((S216+Vfwd2+Rdcr_sec*F216/CG216)*Nps,(Vout2+Vfwd22+Rdcr_sec2*G216/CH216)*Nps/Nsec1sec2)</f>
        <v>8.5367492232392514</v>
      </c>
      <c r="L216" s="172">
        <f t="shared" ref="L216:L247" si="622">MAX((Vout+Vfwd2+F216/CG216*Rdcr_sec)*Nps+J216, (Vout2+Vfwd22+G216/CH216*Rdcr_sec2)*Nps/Nsec1sec2+J216)</f>
        <v>24.482238838998555</v>
      </c>
      <c r="M216" s="443"/>
      <c r="N216" s="217">
        <f t="shared" ref="N216:N247" si="623">MAX((Vout+Vfwd2+F216/CG216*Rdcr_sec)*Nps/((Vout+Vfwd2+F216/CG216*Rdcr_sec)*Nps+J216), (Vout2+Vfwd22+G216/CH216*Rdcr_sec2)*Nps/Nsec1sec2/((Vout2+Vfwd22+G216/CH216*Rdcr_sec2)*Nps/Nsec1sec2+J216))</f>
        <v>0.34869152610507115</v>
      </c>
      <c r="O216" s="172">
        <f t="shared" ref="O216:O247" si="624">N216*J216*Isw_max*0.5*Efficiency*Pout/(Pout+Pout2)</f>
        <v>175.03883490073792</v>
      </c>
      <c r="P216" s="172">
        <f t="shared" ref="P216:P247" si="625">N216*J216*Isw_max*0.5*Efficiency*(Pout2/Pout_total)</f>
        <v>10.296402052984584</v>
      </c>
      <c r="Q216" s="217">
        <f t="shared" ref="Q216:Q279" si="626">O216/Vout</f>
        <v>1.0296402052984583</v>
      </c>
      <c r="R216" s="217">
        <f t="shared" ref="R216:R247" si="627">O216/Vout2</f>
        <v>14.586569575061494</v>
      </c>
      <c r="S216" s="217">
        <f t="shared" ref="S216:S247" si="628">MIN(Vout,O216/F216)</f>
        <v>170</v>
      </c>
      <c r="T216" s="217">
        <f t="shared" ref="T216:T247" si="629">MIN(2*(Vout*F216+Vout2*G216)/(Efficiency*J216*N216), Isw_max)</f>
        <v>2.15831236362902E-3</v>
      </c>
      <c r="U216" s="217">
        <f t="shared" ref="U216:U279" si="630">L*T216/J216*1000000</f>
        <v>6.7677832905673491E-5</v>
      </c>
      <c r="V216" s="217">
        <f t="shared" ref="V216:V279" si="631">L*T216/K216*1000000</f>
        <v>1.2641301197846672E-4</v>
      </c>
      <c r="W216" s="197">
        <f t="shared" ref="W216:W279" si="632">IF(1/((350000*L)*(1/J216+1/K216))&gt;Isw_min, 350, 0.001/((Isw_min*L)*(1/J216+1/K216)))</f>
        <v>350</v>
      </c>
      <c r="X216" s="443">
        <f>MIN(1/(U216+V216+0.2)*1000, 350)</f>
        <v>350</v>
      </c>
      <c r="Z216" s="217">
        <f t="shared" ref="Z216:Z279" si="633">1/((W216*1000*L)*(1/J216+1/K216))</f>
        <v>31.771754906352431</v>
      </c>
      <c r="AA216" s="173">
        <f t="shared" ref="AA216:AA279" si="634">L*Z216/K216*1000000</f>
        <v>1.8608813539855107</v>
      </c>
      <c r="AB216" s="173">
        <f t="shared" ref="AB216:AB247" si="635">0.5*AA216*Z216*Nps*W216/1000*(Pout/(Pout+Pout2))</f>
        <v>0.48858975613519717</v>
      </c>
      <c r="AC216" s="173"/>
      <c r="AD216" s="173">
        <f t="shared" ref="AD216:AD279" si="636">L*Isw_min/K216*1000000</f>
        <v>0.7809373910760159</v>
      </c>
      <c r="AE216" s="545">
        <f t="shared" ref="AE216:AE247" si="637">MAX(10, F216/(0.5*AD216/1000000*Isw_min*Nps)/1000*Pout_total/Pout)</f>
        <v>10</v>
      </c>
      <c r="AF216" s="528">
        <f t="shared" ref="AF216:AF247" si="638">0.5*AD216/1000000*Isw_min*Nps*W216*1000*(Pout/Pout_total)</f>
        <v>8.6047731053746204E-2</v>
      </c>
      <c r="AH216" s="173">
        <f t="shared" ref="AH216:AH247" si="639">SQRT((H216+I216)/(0.5*L*Fsw_DCM))</f>
        <v>0.26186517796104819</v>
      </c>
      <c r="AI216" s="173">
        <f t="shared" ref="AI216:AI247" si="640">MAX(IF(F216&gt;AB216,T216,AH216),Isw_min)</f>
        <v>13.333333333333334</v>
      </c>
      <c r="AJ216" s="173">
        <f t="shared" ref="AJ216:AJ247" si="641">IF(F216&gt;AF216, (AI216-Isw_min)/1.08*0.8+1.2, AE216*0.2/350+1)</f>
        <v>1.0057142857142858</v>
      </c>
      <c r="AL216" s="545">
        <f t="shared" ref="AL216:AL247" si="642">F216*1000</f>
        <v>1.0000000000000002E-6</v>
      </c>
      <c r="AM216" s="460">
        <f t="shared" ref="AM216:AM247" si="643">IF(F216&gt;AF216, X216, AE216)</f>
        <v>10</v>
      </c>
      <c r="AO216">
        <f t="shared" ref="AO216:AO279" si="644">IF(H216&gt;O216, "",AL216)</f>
        <v>1.0000000000000002E-6</v>
      </c>
      <c r="AP216">
        <f t="shared" ref="AP216:AP279" si="645">IF(H216&gt;O216, "",AM216)</f>
        <v>10</v>
      </c>
      <c r="AR216" s="5">
        <f t="shared" si="616"/>
        <v>100</v>
      </c>
      <c r="AS216" s="5">
        <f t="shared" si="604"/>
        <v>0.41809106068952834</v>
      </c>
      <c r="AT216" s="5">
        <f t="shared" si="605"/>
        <v>99.581908939310466</v>
      </c>
      <c r="AU216" s="173">
        <f t="shared" si="606"/>
        <v>4.1809106068952835E-3</v>
      </c>
      <c r="BA216" s="173">
        <f>AI216*SQRT(AU216/3)</f>
        <v>0.49775261485379918</v>
      </c>
      <c r="BB216" s="173">
        <f>AI216*Npri_sec1*SQRT((1-AU216)/3)*(Pout/Pout_total)</f>
        <v>0.36275612450872613</v>
      </c>
      <c r="BC216" s="173">
        <f>AI216*Npri_sec2*SQRT((1-AU216)/3)*(Pout2/Pout_total)</f>
        <v>0.28681088676998406</v>
      </c>
      <c r="BD216" s="173"/>
      <c r="BE216" s="528">
        <f>Rdson*BA216^2</f>
        <v>9.9103066237517818E-3</v>
      </c>
      <c r="BF216" s="528">
        <f t="shared" ref="BF216:BF247" si="646">0.5*L216*AI216*AM216*1000*Tfall</f>
        <v>7.344671651699565E-2</v>
      </c>
      <c r="BG216" s="528">
        <f t="shared" ref="BG216:BG247" si="647">Qg*Vdd*AM216*1000*0+Qg*J216*AM216*1000</f>
        <v>6.3781958463037212E-3</v>
      </c>
      <c r="BH216" s="528">
        <f>0.5*(Coss+Csw)*L216^2*AM216*1000</f>
        <v>1.1987600371395387E-3</v>
      </c>
      <c r="BI216">
        <f>J216*IQ</f>
        <v>7.175470327091686E-3</v>
      </c>
      <c r="BJ216" s="460">
        <f>(BG216+BI216)*1000</f>
        <v>13.553666173395408</v>
      </c>
      <c r="BK216">
        <f t="shared" ref="BK216:BK247" si="648">(BF216+BG216*0+BH216+BI216*0+BE216*(1+RdsonTC*(Ta-25)))/(1-BE216*RdsonTC*ThetaJA)</f>
        <v>8.7437453964555226E-2</v>
      </c>
      <c r="BL216" s="460">
        <f>SUM(BE216:BI216)*1000</f>
        <v>98.109449351282379</v>
      </c>
      <c r="BM216" s="173">
        <f t="shared" ref="BM216:BM247" si="649">Vfwd2*F216*(1+Diode_TC/1000*(Ta-25))</f>
        <v>8.679999999999999E-10</v>
      </c>
      <c r="BN216" s="173">
        <f t="shared" ref="BN216:BN247" si="650">Vfwd22*G216*(1+Diode_TC/1000*(Ta-25))</f>
        <v>4.3399999999999998E-4</v>
      </c>
      <c r="BQ216" s="460">
        <f>SUM(BM216:BP216)*1000</f>
        <v>0.43400086799999998</v>
      </c>
      <c r="BR216" s="528">
        <f>Rdcr_pri*BA216^2</f>
        <v>7.4327299678138368E-3</v>
      </c>
      <c r="BS216" s="528">
        <f>Rdcr_sec*BB216^2</f>
        <v>3.9477601760577116E-3</v>
      </c>
      <c r="BT216" s="528">
        <f>Rdcr_sec2*BC216^2</f>
        <v>4.1130242384892308E-4</v>
      </c>
      <c r="BU216" s="528">
        <f>AI216^2.5*AM216^2.5*k_core</f>
        <v>1.026400478559336E-2</v>
      </c>
      <c r="BV216" s="528"/>
      <c r="BW216" s="625">
        <f>0.5*Lleak*0.000000001*AI216^2*AM216*1000</f>
        <v>4.4444444444444446E-2</v>
      </c>
      <c r="BX216" s="460">
        <f>SUM(BR216:BW216)*1000</f>
        <v>66.500241797758278</v>
      </c>
      <c r="BY216" s="173">
        <f>SUM(BE216:BI216,BM216:BP216,BR216:BW216)</f>
        <v>0.16504369201704067</v>
      </c>
      <c r="BZ216" s="5">
        <f>MIN(H216+I216,O216+P216)</f>
        <v>6.00017E-3</v>
      </c>
      <c r="CA216" s="173">
        <f>BZ216/(BZ216+BY216)</f>
        <v>3.5079715397224945E-2</v>
      </c>
      <c r="CB216" s="5">
        <f>CA216*100</f>
        <v>3.5079715397224946</v>
      </c>
      <c r="CC216">
        <f>F216/Iout*100</f>
        <v>1.666666666666667E-7</v>
      </c>
      <c r="CE216" s="562">
        <f t="shared" ref="CE216:CE247" si="651">IF(ABS(F216-Ioutmax_Vinmax)&lt;Iout/200, AM216, -50)</f>
        <v>-50</v>
      </c>
      <c r="CG216" s="173">
        <f t="shared" ref="CG216:CG247" si="652">MIN(SQRT(2*DT216*1000*Ls1_*CL216)/CW216, 1-DY216)</f>
        <v>4.8507125007266594E-6</v>
      </c>
      <c r="CH216" s="173">
        <f t="shared" ref="CH216:CH247" si="653">MIN(SQRT(2*DT216*1000*Ls2_*CM216)/Vout2, 1-DY216)</f>
        <v>9.6049381950467081E-4</v>
      </c>
      <c r="CI216" s="170">
        <v>0.1</v>
      </c>
      <c r="CJ216" s="217">
        <v>1.0000000000000001E-9</v>
      </c>
      <c r="CK216" s="217">
        <f t="shared" ref="CK216:CK279" si="654">IF(PLOT_TYPE=1, CI216/100*Iout2, min_I*EXP(CU216*rr/100))</f>
        <v>5.0000000000000001E-4</v>
      </c>
      <c r="CL216" s="217">
        <f t="shared" ref="CL216:CL279" si="655">CJ216*Vout</f>
        <v>1.7000000000000001E-7</v>
      </c>
      <c r="CM216" s="217">
        <f t="shared" ref="CM216:CM279" si="656">Vout2*CK216</f>
        <v>6.0000000000000001E-3</v>
      </c>
      <c r="CN216" s="541">
        <f t="shared" ref="CN216:CN279" si="657">VIN_max</f>
        <v>16</v>
      </c>
      <c r="CO216" s="443">
        <f t="shared" ref="CO216:CO247" si="658">(CW216+Vfwd2)*Nps</f>
        <v>8.5350000000000001</v>
      </c>
      <c r="CP216" s="443">
        <f t="shared" ref="CP216:CP247" si="659">(Vout+Vfwd2)*Nps+CN216</f>
        <v>24.535</v>
      </c>
      <c r="CQ216" s="443"/>
      <c r="CR216" s="217">
        <f t="shared" ref="CR216:CR279" si="660">(Vout+Vfwd1)*Nps/((Vout+Vfwd1)*Nps+CN216)</f>
        <v>0.34760448521916415</v>
      </c>
      <c r="CS216" s="172">
        <f t="shared" ref="CS216:CS279" si="661">CR216*CN216*Isw_max*0.5*Efficiency*Pout/(Pout+Pout2)</f>
        <v>175.08966662891231</v>
      </c>
      <c r="CT216" s="172">
        <f t="shared" ref="CT216:CT279" si="662">CR216*CN216*Isw_max*0.5*Efficiency*(Pout2/Pout_total)</f>
        <v>10.2993921546419</v>
      </c>
      <c r="CU216" s="217">
        <f t="shared" ref="CU216:CU279" si="663">CS216/Vout</f>
        <v>1.02993921546419</v>
      </c>
      <c r="CV216" s="217">
        <f t="shared" ref="CV216:CV279" si="664">CS216/Vout2</f>
        <v>14.590805552409359</v>
      </c>
      <c r="CW216" s="217">
        <f t="shared" ref="CW216:CW279" si="665">MIN(Vout,CS216/CJ216)</f>
        <v>170</v>
      </c>
      <c r="CX216" s="217">
        <f t="shared" ref="CX216:CX279" si="666">MIN(2*(Vout*CJ216+Vout2*CK216)/(Efficiency*CN216*CR216), Isw_max)</f>
        <v>2.1576857661290321E-3</v>
      </c>
      <c r="CY216" s="217">
        <f t="shared" ref="CY216:CY279" si="667">L*CX216/CN216*1000000</f>
        <v>6.7427680191532252E-5</v>
      </c>
      <c r="CZ216" s="217">
        <f t="shared" ref="CZ216:CZ279" si="668">L*CX216/CO216*1000000</f>
        <v>1.2640221242700832E-4</v>
      </c>
      <c r="DA216" s="197">
        <f t="shared" ref="DA216:DA279" si="669">IF(1/((350000*L)*(1/CN216+1/CO216))&gt;Isw_min, 350, 0.001/((Isw_min*L)*(1/CN216+1/CO216)))</f>
        <v>350</v>
      </c>
      <c r="DB216" s="443">
        <f t="shared" ref="DB216:DB279" si="670">MIN(1/(CY216+CZ216)*1000, 350)</f>
        <v>350</v>
      </c>
      <c r="DD216" s="217">
        <f t="shared" ref="DD216:DD279" si="671">1/((DA216*1000*L)*(1/CN216+1/CO216))</f>
        <v>31.805292730501623</v>
      </c>
      <c r="DE216" s="173">
        <f t="shared" ref="DE216:DE279" si="672">L*DD216/CO216*1000000</f>
        <v>1.8632274593146818</v>
      </c>
      <c r="DF216" s="173">
        <f t="shared" ref="DF216:DF279" si="673">0.5*DE216*DD216*Nps*DA216/1000*(Pout/(Pout+Pout2))</f>
        <v>0.4897221442551708</v>
      </c>
      <c r="DG216" s="173"/>
      <c r="DH216" s="173">
        <f t="shared" ref="DH216:DH279" si="674">L*Isw_min/CO216*1000000</f>
        <v>0.78109744190587771</v>
      </c>
      <c r="DI216" s="545">
        <f t="shared" ref="DI216:DI279" si="675">MAX(10, CJ216/(0.5*DH216/1000000*Isw_min*Nps)/1000*Pout_total/Pout)</f>
        <v>10</v>
      </c>
      <c r="DJ216" s="528">
        <f t="shared" ref="DJ216:DJ279" si="676">0.5*DH216/1000000*Isw_min*Nps*DA216*1000*(Pout/Pout_total)</f>
        <v>8.6065366284073561E-2</v>
      </c>
      <c r="DL216" s="173">
        <f t="shared" ref="DL216:DL279" si="677">SQRT((CL216+CM216)/(0.5*L*Fsw_DCM))</f>
        <v>0.26186517796104819</v>
      </c>
      <c r="DM216" s="173">
        <f t="shared" ref="DM216:DM279" si="678">MAX(IF(CJ216&gt;DF216,CX216,DL216),Isw_min)</f>
        <v>13.333333333333334</v>
      </c>
      <c r="DN216" s="173">
        <f t="shared" ref="DN216:DN279" si="679">IF(CJ216&gt;DJ216, (DM216-Isw_min)/1.08*0.8+1.2, DI216*0.2/350+1)</f>
        <v>1.0057142857142858</v>
      </c>
      <c r="DP216" s="545">
        <f t="shared" ref="DP216:DP279" si="680">CJ216*1000</f>
        <v>1.0000000000000002E-6</v>
      </c>
      <c r="DQ216" s="460">
        <f t="shared" ref="DQ216:DQ279" si="681">IF(CJ216&gt;DJ216, DB216, DI216)</f>
        <v>10</v>
      </c>
      <c r="DS216">
        <f t="shared" ref="DS216:DS279" si="682">IF(CL216&gt;CS216, "",DP216)</f>
        <v>1.0000000000000002E-6</v>
      </c>
      <c r="DT216">
        <f t="shared" ref="DT216:DT279" si="683">IF(CL216&gt;CS216, "",DQ216)</f>
        <v>10</v>
      </c>
      <c r="DV216" s="5">
        <f t="shared" ref="DV216:DV280" si="684">1/DQ216*1000</f>
        <v>100</v>
      </c>
      <c r="DW216" s="5">
        <f t="shared" ref="DW216:DW279" si="685">L*DM216/CN216*1000000</f>
        <v>0.41666666666666669</v>
      </c>
      <c r="DX216" s="5">
        <f t="shared" ref="DX216:DX279" si="686">DV216-DW216</f>
        <v>99.583333333333329</v>
      </c>
      <c r="DY216" s="173">
        <f t="shared" ref="DY216:DY279" si="687">DW216/DV216</f>
        <v>4.1666666666666666E-3</v>
      </c>
      <c r="EA216" s="5">
        <f>CJ216*DW216/Vout_ripple*1000</f>
        <v>2.4509803921568628E-10</v>
      </c>
      <c r="EB216" s="5">
        <f>CK216*DW216/Vout_ripple2*1000</f>
        <v>1.7361111111111112E-3</v>
      </c>
      <c r="EC216" s="5">
        <f>CL216/Efficiency/CN216*DX216/Vinripple1</f>
        <v>1.6929166666666666E-6</v>
      </c>
      <c r="ED216" s="5"/>
      <c r="EE216" s="173">
        <f>DM216*SQRT(DY216/3)</f>
        <v>0.4969039949999533</v>
      </c>
      <c r="EF216" s="173">
        <f>DM216*Npri_sec1*SQRT((1-DY216)/3)*(Pout/Pout_total)</f>
        <v>0.36275871888461891</v>
      </c>
      <c r="EG216" s="173">
        <f>DM216*Npri_sec2*SQRT((1-DY216)/3)*(Pout2/Pout_total)</f>
        <v>0.28681293799724156</v>
      </c>
      <c r="EH216" s="173"/>
      <c r="EI216" s="528">
        <f>Rdson*EE216^2</f>
        <v>9.8765432098765447E-3</v>
      </c>
      <c r="EJ216" s="528">
        <f>0.5*CP216*DM216*DQ216*1000*Trise</f>
        <v>8.9961666666666662E-2</v>
      </c>
      <c r="EK216" s="528">
        <f>Qg*Vdd*DQ216*1000</f>
        <v>2E-3</v>
      </c>
      <c r="EL216" s="528">
        <f>0.5*(Coss+Csw)*CP216^2*DQ216*1000</f>
        <v>1.2039324499999999E-3</v>
      </c>
      <c r="EM216">
        <f>CN216*IQ</f>
        <v>7.1999999999999998E-3</v>
      </c>
      <c r="EN216" s="460">
        <f>(EK216+EM216)*1000</f>
        <v>9.1999999999999993</v>
      </c>
      <c r="EP216" s="460">
        <f>SUM(EI216:EM216)*1000</f>
        <v>110.24214232654322</v>
      </c>
      <c r="EQ216" s="173">
        <f>Vfwd2*CJ216</f>
        <v>6.9999999999999996E-10</v>
      </c>
      <c r="ER216" s="173">
        <f t="shared" ref="ER216:ER247" si="688">Vfwd22*CK216*(1+Diode_TC/1000*(Ta-25))</f>
        <v>4.3399999999999998E-4</v>
      </c>
      <c r="ES216" s="528"/>
      <c r="EU216" s="460">
        <f>SUM(EQ216:ET216)*1000</f>
        <v>0.43400070000000002</v>
      </c>
      <c r="EV216" s="528">
        <f>Rdcr_pri*EE216^2</f>
        <v>7.4074074074074086E-3</v>
      </c>
      <c r="EW216" s="528">
        <f>Rdcr_sec*EF216^2</f>
        <v>3.9478166438042988E-3</v>
      </c>
      <c r="EX216" s="528">
        <f>Rdcr_sec2*EG216^2</f>
        <v>4.1130830701304767E-4</v>
      </c>
      <c r="EY216" s="528">
        <f>DM216^2.5*DQ216^2.5*k_core</f>
        <v>1.026400478559336E-2</v>
      </c>
      <c r="EZ216" s="528"/>
      <c r="FA216" s="625">
        <f>0.5*Lleak*0.000000001*DM216^2*DQ216*1000</f>
        <v>4.4444444444444446E-2</v>
      </c>
      <c r="FB216" s="460">
        <f>SUM(EV216:FA216)*1000</f>
        <v>66.474981588262565</v>
      </c>
      <c r="FC216" s="173">
        <f>SUM(EI216:EM216,EQ216:ET216,EV216:FA216)</f>
        <v>0.17715112461480578</v>
      </c>
      <c r="FD216" s="5">
        <f>MIN(CL216+CM216,CS216+CT216)</f>
        <v>6.00017E-3</v>
      </c>
      <c r="FE216" s="173">
        <f>FD216/(FD216+FC216)</f>
        <v>3.2760729388341174E-2</v>
      </c>
      <c r="FF216" s="5">
        <f>FE216*100</f>
        <v>3.2760729388341172</v>
      </c>
      <c r="FG216">
        <f>CJ216/Iout*100</f>
        <v>1.666666666666667E-7</v>
      </c>
      <c r="FI216" s="562">
        <f t="shared" ref="FI216:FI279" si="689">IF(ABS(CJ216-Ioutmax_Vinmax)&lt;Iout/200, DQ216, -50)</f>
        <v>-50</v>
      </c>
    </row>
    <row r="217" spans="1:169">
      <c r="E217" s="170">
        <v>1</v>
      </c>
      <c r="F217" s="217">
        <f t="shared" ref="F217:F248" si="690">IF(PLOT_TYPE=1, E217/100*Iout_max, min_I*EXP(O217*rr/100))</f>
        <v>6.0000000000000001E-3</v>
      </c>
      <c r="G217" s="217">
        <f t="shared" si="617"/>
        <v>5.0000000000000001E-3</v>
      </c>
      <c r="H217" s="217">
        <f t="shared" si="618"/>
        <v>1.02</v>
      </c>
      <c r="I217" s="217">
        <f t="shared" si="619"/>
        <v>0.06</v>
      </c>
      <c r="J217" s="541">
        <f t="shared" si="620"/>
        <v>15.437643734020021</v>
      </c>
      <c r="K217" s="443">
        <f t="shared" si="621"/>
        <v>8.5385411946698095</v>
      </c>
      <c r="L217" s="172">
        <f t="shared" si="622"/>
        <v>23.976184928689833</v>
      </c>
      <c r="M217" s="443"/>
      <c r="N217" s="217">
        <f t="shared" si="623"/>
        <v>0.35612593163029105</v>
      </c>
      <c r="O217" s="172">
        <f t="shared" si="624"/>
        <v>173.07716549671278</v>
      </c>
      <c r="P217" s="172">
        <f t="shared" si="625"/>
        <v>10.181009735100751</v>
      </c>
      <c r="Q217" s="217">
        <f t="shared" si="626"/>
        <v>1.0181009735100752</v>
      </c>
      <c r="R217" s="217">
        <f t="shared" si="627"/>
        <v>14.423097124726064</v>
      </c>
      <c r="S217" s="217">
        <f t="shared" si="628"/>
        <v>170</v>
      </c>
      <c r="T217" s="217">
        <f t="shared" si="629"/>
        <v>0.39288833859075145</v>
      </c>
      <c r="U217" s="217">
        <f t="shared" si="630"/>
        <v>1.2725009896586136E-2</v>
      </c>
      <c r="V217" s="217">
        <f t="shared" si="631"/>
        <v>2.3006760149849266E-2</v>
      </c>
      <c r="W217" s="197">
        <f t="shared" si="632"/>
        <v>350</v>
      </c>
      <c r="X217" s="443">
        <f t="shared" ref="X217:X280" si="691">MIN(1/(U217+V217+0.2)*1000, 350)</f>
        <v>350</v>
      </c>
      <c r="Z217" s="217">
        <f t="shared" si="633"/>
        <v>31.415687182596599</v>
      </c>
      <c r="AA217" s="173">
        <f t="shared" si="634"/>
        <v>1.8396401953420254</v>
      </c>
      <c r="AB217" s="173">
        <f t="shared" si="635"/>
        <v>0.47759956581542506</v>
      </c>
      <c r="AC217" s="173"/>
      <c r="AD217" s="173">
        <f t="shared" si="636"/>
        <v>0.78077349686247788</v>
      </c>
      <c r="AE217" s="545">
        <f t="shared" si="637"/>
        <v>24.410182474173688</v>
      </c>
      <c r="AF217" s="528">
        <f t="shared" si="638"/>
        <v>8.602967233947674E-2</v>
      </c>
      <c r="AH217" s="173">
        <f t="shared" si="639"/>
        <v>3.5132402626147199</v>
      </c>
      <c r="AI217" s="173">
        <f t="shared" si="640"/>
        <v>13.333333333333334</v>
      </c>
      <c r="AJ217" s="173">
        <f t="shared" si="641"/>
        <v>1.0139486756995277</v>
      </c>
      <c r="AL217" s="545">
        <f t="shared" si="642"/>
        <v>6</v>
      </c>
      <c r="AM217" s="460">
        <f t="shared" si="643"/>
        <v>24.410182474173688</v>
      </c>
      <c r="AO217">
        <f t="shared" si="644"/>
        <v>6</v>
      </c>
      <c r="AP217">
        <f t="shared" si="645"/>
        <v>24.410182474173688</v>
      </c>
      <c r="AR217" s="5">
        <f t="shared" si="616"/>
        <v>40.966510637846064</v>
      </c>
      <c r="AS217" s="5">
        <f t="shared" si="604"/>
        <v>0.4318448321213228</v>
      </c>
      <c r="AT217" s="5">
        <f t="shared" si="605"/>
        <v>40.534665805724742</v>
      </c>
      <c r="AU217" s="173">
        <f t="shared" si="606"/>
        <v>1.0541411152610394E-2</v>
      </c>
      <c r="BA217" s="173">
        <f t="shared" ref="BA217:BA280" si="692">AI217*SQRT(AU217/3)</f>
        <v>0.79036460981687839</v>
      </c>
      <c r="BB217" s="173">
        <f t="shared" ref="BB217:BB280" si="693">AI217*Npri_sec1*SQRT((1-AU217)/3)*(Pout/Pout_total)</f>
        <v>0.3615957698407935</v>
      </c>
      <c r="BC217" s="173">
        <f t="shared" ref="BC217:BC280" si="694">AI217*Npri_sec2*SQRT((1-AU217)/3)*(Pout2/Pout_total)</f>
        <v>0.28589345952674133</v>
      </c>
      <c r="BD217" s="173"/>
      <c r="BE217" s="528">
        <f t="shared" ref="BE217:BE280" si="695">Rdson*BA217^2</f>
        <v>2.4987048658039461E-2</v>
      </c>
      <c r="BF217" s="528">
        <f t="shared" si="646"/>
        <v>0.17557891474315554</v>
      </c>
      <c r="BG217" s="528">
        <f t="shared" si="647"/>
        <v>1.507342802074851E-2</v>
      </c>
      <c r="BH217" s="528">
        <f t="shared" ref="BH217:BH280" si="696">0.5*(Coss+Csw)*L217^2*AM217*1000</f>
        <v>2.8064750196403758E-3</v>
      </c>
      <c r="BI217">
        <f t="shared" ref="BI217:BI280" si="697">J217*IQ</f>
        <v>6.9469396803090097E-3</v>
      </c>
      <c r="BJ217" s="460">
        <f t="shared" ref="BJ217:BJ280" si="698">(BG217+BI217)*1000</f>
        <v>22.02036770105752</v>
      </c>
      <c r="BK217">
        <f t="shared" si="648"/>
        <v>0.21137385179031193</v>
      </c>
      <c r="BL217" s="460">
        <f t="shared" ref="BL217:BL280" si="699">SUM(BE217:BI217)*1000</f>
        <v>225.3928061218929</v>
      </c>
      <c r="BM217" s="173">
        <f t="shared" si="649"/>
        <v>5.208E-3</v>
      </c>
      <c r="BN217" s="173">
        <f t="shared" si="650"/>
        <v>4.3399999999999992E-3</v>
      </c>
      <c r="BQ217" s="460">
        <f t="shared" ref="BQ217:BQ280" si="700">SUM(BM217:BP217)*1000</f>
        <v>9.548</v>
      </c>
      <c r="BR217" s="528">
        <f t="shared" ref="BR217:BR280" si="701">Rdcr_pri*BA217^2</f>
        <v>1.8740286493529594E-2</v>
      </c>
      <c r="BS217" s="528">
        <f t="shared" ref="BS217:BS280" si="702">Rdcr_sec*BB217^2</f>
        <v>3.9225450230026826E-3</v>
      </c>
      <c r="BT217" s="528">
        <f t="shared" ref="BT217:BT280" si="703">Rdcr_sec2*BC217^2</f>
        <v>4.0867535100084243E-4</v>
      </c>
      <c r="BU217" s="528">
        <f t="shared" ref="BU217:BU280" si="704">AI217^2.5*AM217^2.5*k_core</f>
        <v>9.5553018453029909E-2</v>
      </c>
      <c r="BV217" s="528"/>
      <c r="BW217" s="625">
        <f t="shared" ref="BW217:BW280" si="705">0.5*Lleak*0.000000001*AI217^2*AM217*1000</f>
        <v>0.10848969988521641</v>
      </c>
      <c r="BX217" s="460">
        <f t="shared" ref="BX217:BX280" si="706">SUM(BR217:BW217)*1000</f>
        <v>227.11422520577946</v>
      </c>
      <c r="BY217" s="173">
        <f t="shared" ref="BY217:BY280" si="707">SUM(BE217:BI217,BM217:BP217,BR217:BW217)</f>
        <v>0.46205503132767234</v>
      </c>
      <c r="BZ217" s="5">
        <f t="shared" ref="BZ217:BZ280" si="708">MIN(H217+I217,O217+P217)</f>
        <v>1.08</v>
      </c>
      <c r="CA217" s="173">
        <f t="shared" ref="CA217:CA280" si="709">BZ217/(BZ217+BY217)</f>
        <v>0.70036411026793643</v>
      </c>
      <c r="CB217" s="5">
        <f t="shared" ref="CB217:CB280" si="710">CA217*100</f>
        <v>70.036411026793644</v>
      </c>
      <c r="CC217">
        <f t="shared" ref="CC217:CC280" si="711">F217/Iout*100</f>
        <v>1</v>
      </c>
      <c r="CE217" s="562">
        <f t="shared" si="651"/>
        <v>-50</v>
      </c>
      <c r="CG217" s="173">
        <f t="shared" si="652"/>
        <v>1.8559941236036312E-2</v>
      </c>
      <c r="CH217" s="173">
        <f t="shared" si="653"/>
        <v>4.7444951969450215E-3</v>
      </c>
      <c r="CI217" s="170">
        <v>1</v>
      </c>
      <c r="CJ217" s="217">
        <f t="shared" ref="CJ217:CJ280" si="712">IF(PLOT_TYPE=1, CI217/100*Iout_max, min_I*EXP(CS217*rr/100))</f>
        <v>6.0000000000000001E-3</v>
      </c>
      <c r="CK217" s="217">
        <f t="shared" si="654"/>
        <v>5.0000000000000001E-3</v>
      </c>
      <c r="CL217" s="217">
        <f t="shared" si="655"/>
        <v>1.02</v>
      </c>
      <c r="CM217" s="217">
        <f t="shared" si="656"/>
        <v>0.06</v>
      </c>
      <c r="CN217" s="541">
        <f t="shared" si="657"/>
        <v>16</v>
      </c>
      <c r="CO217" s="443">
        <f t="shared" si="658"/>
        <v>8.5350000000000001</v>
      </c>
      <c r="CP217" s="443">
        <f t="shared" si="659"/>
        <v>24.535</v>
      </c>
      <c r="CQ217" s="443"/>
      <c r="CR217" s="217">
        <f t="shared" si="660"/>
        <v>0.34760448521916415</v>
      </c>
      <c r="CS217" s="172">
        <f t="shared" si="661"/>
        <v>175.08966662891231</v>
      </c>
      <c r="CT217" s="172">
        <f t="shared" si="662"/>
        <v>10.2993921546419</v>
      </c>
      <c r="CU217" s="217">
        <f t="shared" si="663"/>
        <v>1.02993921546419</v>
      </c>
      <c r="CV217" s="217">
        <f t="shared" si="664"/>
        <v>14.590805552409359</v>
      </c>
      <c r="CW217" s="217">
        <f t="shared" si="665"/>
        <v>170</v>
      </c>
      <c r="CX217" s="217">
        <f t="shared" si="666"/>
        <v>0.3883724340175953</v>
      </c>
      <c r="CY217" s="217">
        <f t="shared" si="667"/>
        <v>1.2136638563049851E-2</v>
      </c>
      <c r="CZ217" s="217">
        <f t="shared" si="668"/>
        <v>2.2751753603842722E-2</v>
      </c>
      <c r="DA217" s="197">
        <f t="shared" si="669"/>
        <v>350</v>
      </c>
      <c r="DB217" s="443">
        <f t="shared" si="670"/>
        <v>350</v>
      </c>
      <c r="DD217" s="217">
        <f t="shared" si="671"/>
        <v>31.805292730501623</v>
      </c>
      <c r="DE217" s="173">
        <f t="shared" si="672"/>
        <v>1.8632274593146818</v>
      </c>
      <c r="DF217" s="173">
        <f t="shared" si="673"/>
        <v>0.4897221442551708</v>
      </c>
      <c r="DG217" s="173"/>
      <c r="DH217" s="173">
        <f t="shared" si="674"/>
        <v>0.78109744190587771</v>
      </c>
      <c r="DI217" s="545">
        <f t="shared" si="675"/>
        <v>24.400058823529417</v>
      </c>
      <c r="DJ217" s="528">
        <f t="shared" si="676"/>
        <v>8.6065366284073561E-2</v>
      </c>
      <c r="DL217" s="173">
        <f t="shared" si="677"/>
        <v>3.5132402626147199</v>
      </c>
      <c r="DM217" s="173">
        <f t="shared" si="678"/>
        <v>13.333333333333334</v>
      </c>
      <c r="DN217" s="173">
        <f t="shared" si="679"/>
        <v>1.0139428907563026</v>
      </c>
      <c r="DP217" s="545">
        <f t="shared" si="680"/>
        <v>6</v>
      </c>
      <c r="DQ217" s="460">
        <f t="shared" si="681"/>
        <v>24.400058823529417</v>
      </c>
      <c r="DS217">
        <f t="shared" si="682"/>
        <v>6</v>
      </c>
      <c r="DT217">
        <f t="shared" si="683"/>
        <v>24.400058823529417</v>
      </c>
      <c r="DV217" s="5">
        <f t="shared" si="684"/>
        <v>40.98350775432074</v>
      </c>
      <c r="DW217" s="5">
        <f t="shared" si="685"/>
        <v>0.41666666666666669</v>
      </c>
      <c r="DX217" s="5">
        <f t="shared" si="686"/>
        <v>40.566841087654076</v>
      </c>
      <c r="DY217" s="173">
        <f t="shared" si="687"/>
        <v>1.016669117647059E-2</v>
      </c>
      <c r="EA217" s="5">
        <f t="shared" ref="EA217:EA280" si="713">CJ217*DW217/Vout_ripple*1000</f>
        <v>1.4705882352941176E-3</v>
      </c>
      <c r="EB217" s="5">
        <f t="shared" ref="EB217:EB280" si="714">CK217*DW217/Vout_ripple2*1000</f>
        <v>1.7361111111111112E-2</v>
      </c>
      <c r="EC217" s="5">
        <f t="shared" ref="EC217:EC280" si="715">CL217/Efficiency/CN217*DX217/Vinripple1</f>
        <v>4.1378177909407157</v>
      </c>
      <c r="ED217" s="5"/>
      <c r="EE217" s="173">
        <f t="shared" ref="EE217:EE280" si="716">DM217*SQRT(DY217/3)</f>
        <v>0.77618978879865086</v>
      </c>
      <c r="EF217" s="173">
        <f t="shared" ref="EF217:EF280" si="717">DM217*Npri_sec1*SQRT((1-DY217)/3)*(Pout/Pout_total)</f>
        <v>0.36166423371265138</v>
      </c>
      <c r="EG217" s="173">
        <f t="shared" ref="EG217:EG280" si="718">DM217*Npri_sec2*SQRT((1-DY217)/3)*(Pout2/Pout_total)</f>
        <v>0.28594759006368503</v>
      </c>
      <c r="EH217" s="173"/>
      <c r="EI217" s="528">
        <f t="shared" ref="EI217:EI280" si="719">Rdson*EE217^2</f>
        <v>2.409882352941177E-2</v>
      </c>
      <c r="EJ217" s="528">
        <f t="shared" ref="EJ217:EJ280" si="720">0.5*CP217*DM217*DQ217*1000*Trise</f>
        <v>0.21950699585294123</v>
      </c>
      <c r="EK217" s="528">
        <f t="shared" ref="EK217:EK280" si="721">Qg*Vdd*DQ217*1000</f>
        <v>4.8800117647058829E-3</v>
      </c>
      <c r="EL217" s="528">
        <f t="shared" ref="EL217:EL280" si="722">0.5*(Coss+Csw)*CP217^2*DQ217*1000</f>
        <v>2.9376022599555888E-3</v>
      </c>
      <c r="EM217">
        <f t="shared" ref="EM217:EM280" si="723">CN217*IQ</f>
        <v>7.1999999999999998E-3</v>
      </c>
      <c r="EN217" s="460">
        <f t="shared" ref="EN217:EN280" si="724">(EK217+EM217)*1000</f>
        <v>12.080011764705883</v>
      </c>
      <c r="EP217" s="460">
        <f t="shared" ref="EP217:EP280" si="725">SUM(EI217:EM217)*1000</f>
        <v>258.62343340701443</v>
      </c>
      <c r="EQ217" s="173">
        <f t="shared" ref="EQ217:EQ280" si="726">Vfwd2*CJ217</f>
        <v>4.1999999999999997E-3</v>
      </c>
      <c r="ER217" s="173">
        <f t="shared" si="688"/>
        <v>4.3399999999999992E-3</v>
      </c>
      <c r="ES217" s="528"/>
      <c r="EU217" s="460">
        <f t="shared" ref="EU217:EU280" si="727">SUM(EQ217:ET217)*1000</f>
        <v>8.5399999999999991</v>
      </c>
      <c r="EV217" s="528">
        <f t="shared" ref="EV217:EV280" si="728">Rdcr_pri*EE217^2</f>
        <v>1.8074117647058824E-2</v>
      </c>
      <c r="EW217" s="528">
        <f t="shared" ref="EW217:EW280" si="729">Rdcr_sec*EF217^2</f>
        <v>3.9240305384087787E-3</v>
      </c>
      <c r="EX217" s="528">
        <f t="shared" ref="EX217:EX280" si="730">Rdcr_sec2*EG217^2</f>
        <v>4.0883012131614631E-4</v>
      </c>
      <c r="EY217" s="528">
        <f t="shared" ref="EY217:EY280" si="731">DM217^2.5*DQ217^2.5*k_core</f>
        <v>9.5453977355342542E-2</v>
      </c>
      <c r="EZ217" s="528"/>
      <c r="FA217" s="625">
        <f t="shared" ref="FA217:FA280" si="732">0.5*Lleak*0.000000001*DM217^2*DQ217*1000</f>
        <v>0.10844470588235297</v>
      </c>
      <c r="FB217" s="460">
        <f t="shared" ref="FB217:FB280" si="733">SUM(EV217:FA217)*1000</f>
        <v>226.30566154447925</v>
      </c>
      <c r="FC217" s="173">
        <f t="shared" ref="FC217:FC280" si="734">SUM(EI217:EM217,EQ217:ET217,EV217:FA217)</f>
        <v>0.49346909495149371</v>
      </c>
      <c r="FD217" s="5">
        <f t="shared" ref="FD217:FD280" si="735">MIN(CL217+CM217,CS217+CT217)</f>
        <v>1.08</v>
      </c>
      <c r="FE217" s="173">
        <f t="shared" ref="FE217:FE280" si="736">FD217/(FD217+FC217)</f>
        <v>0.68638145068447876</v>
      </c>
      <c r="FF217" s="5">
        <f t="shared" ref="FF217:FF280" si="737">FE217*100</f>
        <v>68.638145068447869</v>
      </c>
      <c r="FG217">
        <f t="shared" ref="FG217:FG280" si="738">CJ217/Iout*100</f>
        <v>1</v>
      </c>
      <c r="FI217" s="562">
        <f t="shared" si="689"/>
        <v>-50</v>
      </c>
    </row>
    <row r="218" spans="1:169">
      <c r="E218" s="170">
        <v>2</v>
      </c>
      <c r="F218" s="217">
        <f t="shared" si="690"/>
        <v>1.2E-2</v>
      </c>
      <c r="G218" s="217">
        <f t="shared" si="617"/>
        <v>0.01</v>
      </c>
      <c r="H218" s="217">
        <f t="shared" si="618"/>
        <v>2.04</v>
      </c>
      <c r="I218" s="217">
        <f t="shared" si="619"/>
        <v>0.12</v>
      </c>
      <c r="J218" s="541">
        <f t="shared" si="620"/>
        <v>15.437643734020021</v>
      </c>
      <c r="K218" s="443">
        <f t="shared" si="621"/>
        <v>8.5385411946698095</v>
      </c>
      <c r="L218" s="172">
        <f t="shared" si="622"/>
        <v>23.976184928689833</v>
      </c>
      <c r="M218" s="443"/>
      <c r="N218" s="217">
        <f t="shared" si="623"/>
        <v>0.35612593163029105</v>
      </c>
      <c r="O218" s="172">
        <f t="shared" si="624"/>
        <v>173.07716549671278</v>
      </c>
      <c r="P218" s="172">
        <f t="shared" si="625"/>
        <v>10.181009735100751</v>
      </c>
      <c r="Q218" s="217">
        <f t="shared" si="626"/>
        <v>1.0181009735100752</v>
      </c>
      <c r="R218" s="217">
        <f t="shared" si="627"/>
        <v>14.423097124726064</v>
      </c>
      <c r="S218" s="217">
        <f t="shared" si="628"/>
        <v>170</v>
      </c>
      <c r="T218" s="217">
        <f t="shared" si="629"/>
        <v>0.7857766771815029</v>
      </c>
      <c r="U218" s="217">
        <f t="shared" si="630"/>
        <v>2.5450019793172272E-2</v>
      </c>
      <c r="V218" s="217">
        <f t="shared" si="631"/>
        <v>4.6013520299698532E-2</v>
      </c>
      <c r="W218" s="197">
        <f t="shared" si="632"/>
        <v>350</v>
      </c>
      <c r="X218" s="443">
        <f t="shared" si="691"/>
        <v>350</v>
      </c>
      <c r="Z218" s="217">
        <f t="shared" si="633"/>
        <v>31.415687182596599</v>
      </c>
      <c r="AA218" s="173">
        <f t="shared" si="634"/>
        <v>1.8396401953420254</v>
      </c>
      <c r="AB218" s="173">
        <f t="shared" si="635"/>
        <v>0.47759956581542506</v>
      </c>
      <c r="AC218" s="173"/>
      <c r="AD218" s="173">
        <f t="shared" si="636"/>
        <v>0.78077349686247788</v>
      </c>
      <c r="AE218" s="545">
        <f t="shared" si="637"/>
        <v>48.820364948347375</v>
      </c>
      <c r="AF218" s="528">
        <f t="shared" si="638"/>
        <v>8.602967233947674E-2</v>
      </c>
      <c r="AH218" s="173">
        <f t="shared" si="639"/>
        <v>4.9684720272649505</v>
      </c>
      <c r="AI218" s="173">
        <f t="shared" si="640"/>
        <v>13.333333333333334</v>
      </c>
      <c r="AJ218" s="173">
        <f t="shared" si="641"/>
        <v>1.0278973513990557</v>
      </c>
      <c r="AL218" s="545">
        <f t="shared" si="642"/>
        <v>12</v>
      </c>
      <c r="AM218" s="460">
        <f t="shared" si="643"/>
        <v>48.820364948347375</v>
      </c>
      <c r="AO218">
        <f t="shared" si="644"/>
        <v>12</v>
      </c>
      <c r="AP218">
        <f t="shared" si="645"/>
        <v>48.820364948347375</v>
      </c>
      <c r="AR218" s="5">
        <f t="shared" si="616"/>
        <v>20.483255318923032</v>
      </c>
      <c r="AS218" s="5">
        <f t="shared" si="604"/>
        <v>0.4318448321213228</v>
      </c>
      <c r="AT218" s="5">
        <f t="shared" si="605"/>
        <v>20.051410486801711</v>
      </c>
      <c r="AU218" s="173">
        <f t="shared" si="606"/>
        <v>2.1082822305220787E-2</v>
      </c>
      <c r="BA218" s="173">
        <f t="shared" si="692"/>
        <v>1.1177443504227489</v>
      </c>
      <c r="BB218" s="173">
        <f t="shared" si="693"/>
        <v>0.35966444273006842</v>
      </c>
      <c r="BC218" s="173">
        <f t="shared" si="694"/>
        <v>0.28436646768884982</v>
      </c>
      <c r="BD218" s="173"/>
      <c r="BE218" s="528">
        <f t="shared" si="695"/>
        <v>4.9974097316078922E-2</v>
      </c>
      <c r="BF218" s="528">
        <f t="shared" si="646"/>
        <v>0.35115782948631108</v>
      </c>
      <c r="BG218" s="528">
        <f t="shared" si="647"/>
        <v>3.0146856041497021E-2</v>
      </c>
      <c r="BH218" s="528">
        <f t="shared" si="696"/>
        <v>5.6129500392807516E-3</v>
      </c>
      <c r="BI218">
        <f t="shared" si="697"/>
        <v>6.9469396803090097E-3</v>
      </c>
      <c r="BJ218" s="460">
        <f t="shared" si="698"/>
        <v>37.093795721806032</v>
      </c>
      <c r="BK218">
        <f t="shared" si="648"/>
        <v>0.42528768337190703</v>
      </c>
      <c r="BL218" s="460">
        <f t="shared" si="699"/>
        <v>443.83867256347679</v>
      </c>
      <c r="BM218" s="173">
        <f t="shared" si="649"/>
        <v>1.0416E-2</v>
      </c>
      <c r="BN218" s="173">
        <f t="shared" si="650"/>
        <v>8.6799999999999985E-3</v>
      </c>
      <c r="BQ218" s="460">
        <f t="shared" si="700"/>
        <v>19.096</v>
      </c>
      <c r="BR218" s="528">
        <f t="shared" si="701"/>
        <v>3.7480572987059188E-2</v>
      </c>
      <c r="BS218" s="528">
        <f t="shared" si="702"/>
        <v>3.8807553409299198E-3</v>
      </c>
      <c r="BT218" s="528">
        <f t="shared" si="703"/>
        <v>4.0432143972916835E-4</v>
      </c>
      <c r="BU218" s="528">
        <f t="shared" si="704"/>
        <v>0.54052949848784571</v>
      </c>
      <c r="BV218" s="528"/>
      <c r="BW218" s="625">
        <f t="shared" si="705"/>
        <v>0.21697939977043282</v>
      </c>
      <c r="BX218" s="460">
        <f t="shared" si="706"/>
        <v>799.27454802599675</v>
      </c>
      <c r="BY218" s="173">
        <f t="shared" si="707"/>
        <v>1.2622092205894735</v>
      </c>
      <c r="BZ218" s="5">
        <f t="shared" si="708"/>
        <v>2.16</v>
      </c>
      <c r="CA218" s="173">
        <f t="shared" si="709"/>
        <v>0.63117122910093193</v>
      </c>
      <c r="CB218" s="5">
        <f t="shared" si="710"/>
        <v>63.117122910093194</v>
      </c>
      <c r="CC218">
        <f t="shared" si="711"/>
        <v>2</v>
      </c>
      <c r="CE218" s="562">
        <f t="shared" si="651"/>
        <v>-50</v>
      </c>
      <c r="CG218" s="173">
        <f t="shared" si="652"/>
        <v>3.7119882472072624E-2</v>
      </c>
      <c r="CH218" s="173">
        <f t="shared" si="653"/>
        <v>9.4889903938900431E-3</v>
      </c>
      <c r="CI218" s="170">
        <v>2</v>
      </c>
      <c r="CJ218" s="217">
        <f t="shared" si="712"/>
        <v>1.2E-2</v>
      </c>
      <c r="CK218" s="217">
        <f t="shared" si="654"/>
        <v>0.01</v>
      </c>
      <c r="CL218" s="217">
        <f t="shared" si="655"/>
        <v>2.04</v>
      </c>
      <c r="CM218" s="217">
        <f t="shared" si="656"/>
        <v>0.12</v>
      </c>
      <c r="CN218" s="541">
        <f t="shared" si="657"/>
        <v>16</v>
      </c>
      <c r="CO218" s="443">
        <f t="shared" si="658"/>
        <v>8.5350000000000001</v>
      </c>
      <c r="CP218" s="443">
        <f t="shared" si="659"/>
        <v>24.535</v>
      </c>
      <c r="CQ218" s="443"/>
      <c r="CR218" s="217">
        <f t="shared" si="660"/>
        <v>0.34760448521916415</v>
      </c>
      <c r="CS218" s="172">
        <f t="shared" si="661"/>
        <v>175.08966662891231</v>
      </c>
      <c r="CT218" s="172">
        <f t="shared" si="662"/>
        <v>10.2993921546419</v>
      </c>
      <c r="CU218" s="217">
        <f t="shared" si="663"/>
        <v>1.02993921546419</v>
      </c>
      <c r="CV218" s="217">
        <f t="shared" si="664"/>
        <v>14.590805552409359</v>
      </c>
      <c r="CW218" s="217">
        <f t="shared" si="665"/>
        <v>170</v>
      </c>
      <c r="CX218" s="217">
        <f t="shared" si="666"/>
        <v>0.77674486803519061</v>
      </c>
      <c r="CY218" s="217">
        <f t="shared" si="667"/>
        <v>2.4273277126099703E-2</v>
      </c>
      <c r="CZ218" s="217">
        <f t="shared" si="668"/>
        <v>4.5503507207685444E-2</v>
      </c>
      <c r="DA218" s="197">
        <f t="shared" si="669"/>
        <v>350</v>
      </c>
      <c r="DB218" s="443">
        <f t="shared" si="670"/>
        <v>350</v>
      </c>
      <c r="DD218" s="217">
        <f t="shared" si="671"/>
        <v>31.805292730501623</v>
      </c>
      <c r="DE218" s="173">
        <f t="shared" si="672"/>
        <v>1.8632274593146818</v>
      </c>
      <c r="DF218" s="173">
        <f t="shared" si="673"/>
        <v>0.4897221442551708</v>
      </c>
      <c r="DG218" s="173"/>
      <c r="DH218" s="173">
        <f t="shared" si="674"/>
        <v>0.78109744190587771</v>
      </c>
      <c r="DI218" s="545">
        <f t="shared" si="675"/>
        <v>48.800117647058833</v>
      </c>
      <c r="DJ218" s="528">
        <f t="shared" si="676"/>
        <v>8.6065366284073561E-2</v>
      </c>
      <c r="DL218" s="173">
        <f t="shared" si="677"/>
        <v>4.9684720272649505</v>
      </c>
      <c r="DM218" s="173">
        <f t="shared" si="678"/>
        <v>13.333333333333334</v>
      </c>
      <c r="DN218" s="173">
        <f t="shared" si="679"/>
        <v>1.027885781512605</v>
      </c>
      <c r="DP218" s="545">
        <f t="shared" si="680"/>
        <v>12</v>
      </c>
      <c r="DQ218" s="460">
        <f t="shared" si="681"/>
        <v>48.800117647058833</v>
      </c>
      <c r="DS218">
        <f t="shared" si="682"/>
        <v>12</v>
      </c>
      <c r="DT218">
        <f t="shared" si="683"/>
        <v>48.800117647058833</v>
      </c>
      <c r="DV218" s="5">
        <f t="shared" si="684"/>
        <v>20.49175387716037</v>
      </c>
      <c r="DW218" s="5">
        <f t="shared" si="685"/>
        <v>0.41666666666666669</v>
      </c>
      <c r="DX218" s="5">
        <f t="shared" si="686"/>
        <v>20.075087210493702</v>
      </c>
      <c r="DY218" s="173">
        <f t="shared" si="687"/>
        <v>2.033338235294118E-2</v>
      </c>
      <c r="EA218" s="5">
        <f t="shared" si="713"/>
        <v>2.9411764705882353E-3</v>
      </c>
      <c r="EB218" s="5">
        <f t="shared" si="714"/>
        <v>3.4722222222222224E-2</v>
      </c>
      <c r="EC218" s="5">
        <f t="shared" si="715"/>
        <v>4.0953177909407152</v>
      </c>
      <c r="ED218" s="5"/>
      <c r="EE218" s="173">
        <f t="shared" si="716"/>
        <v>1.0976981262945604</v>
      </c>
      <c r="EF218" s="173">
        <f t="shared" si="717"/>
        <v>0.35980209244074324</v>
      </c>
      <c r="EG218" s="173">
        <f t="shared" si="718"/>
        <v>0.28447529958144913</v>
      </c>
      <c r="EH218" s="173"/>
      <c r="EI218" s="528">
        <f t="shared" si="719"/>
        <v>4.8197647058823546E-2</v>
      </c>
      <c r="EJ218" s="528">
        <f t="shared" si="720"/>
        <v>0.43901399170588246</v>
      </c>
      <c r="EK218" s="528">
        <f t="shared" si="721"/>
        <v>9.7600235294117658E-3</v>
      </c>
      <c r="EL218" s="528">
        <f t="shared" si="722"/>
        <v>5.8752045199111777E-3</v>
      </c>
      <c r="EM218">
        <f t="shared" si="723"/>
        <v>7.1999999999999998E-3</v>
      </c>
      <c r="EN218" s="460">
        <f t="shared" si="724"/>
        <v>16.960023529411764</v>
      </c>
      <c r="EP218" s="460">
        <f t="shared" si="725"/>
        <v>510.04686681402887</v>
      </c>
      <c r="EQ218" s="173">
        <f t="shared" si="726"/>
        <v>8.3999999999999995E-3</v>
      </c>
      <c r="ER218" s="173">
        <f t="shared" si="688"/>
        <v>8.6799999999999985E-3</v>
      </c>
      <c r="ES218" s="528"/>
      <c r="EU218" s="460">
        <f t="shared" si="727"/>
        <v>17.079999999999998</v>
      </c>
      <c r="EV218" s="528">
        <f t="shared" si="728"/>
        <v>3.6148235294117655E-2</v>
      </c>
      <c r="EW218" s="528">
        <f t="shared" si="729"/>
        <v>3.8837263717421142E-3</v>
      </c>
      <c r="EX218" s="528">
        <f t="shared" si="730"/>
        <v>4.0463098035977611E-4</v>
      </c>
      <c r="EY218" s="528">
        <f t="shared" si="731"/>
        <v>0.53996923743351932</v>
      </c>
      <c r="EZ218" s="528"/>
      <c r="FA218" s="625">
        <f t="shared" si="732"/>
        <v>0.21688941176470594</v>
      </c>
      <c r="FB218" s="460">
        <f t="shared" si="733"/>
        <v>797.29524184444483</v>
      </c>
      <c r="FC218" s="173">
        <f t="shared" si="734"/>
        <v>1.324422108658474</v>
      </c>
      <c r="FD218" s="5">
        <f t="shared" si="735"/>
        <v>2.16</v>
      </c>
      <c r="FE218" s="173">
        <f t="shared" si="736"/>
        <v>0.61990193284349659</v>
      </c>
      <c r="FF218" s="5">
        <f t="shared" si="737"/>
        <v>61.990193284349658</v>
      </c>
      <c r="FG218">
        <f t="shared" si="738"/>
        <v>2</v>
      </c>
      <c r="FI218" s="562">
        <f t="shared" si="689"/>
        <v>-50</v>
      </c>
    </row>
    <row r="219" spans="1:169">
      <c r="E219" s="170">
        <v>3</v>
      </c>
      <c r="F219" s="217">
        <f t="shared" si="690"/>
        <v>1.7999999999999999E-2</v>
      </c>
      <c r="G219" s="217">
        <f t="shared" si="617"/>
        <v>1.4999999999999999E-2</v>
      </c>
      <c r="H219" s="217">
        <f t="shared" si="618"/>
        <v>3.0599999999999996</v>
      </c>
      <c r="I219" s="217">
        <f t="shared" si="619"/>
        <v>0.18</v>
      </c>
      <c r="J219" s="541">
        <f t="shared" si="620"/>
        <v>15.437643734020021</v>
      </c>
      <c r="K219" s="443">
        <f t="shared" si="621"/>
        <v>8.5385411946698095</v>
      </c>
      <c r="L219" s="172">
        <f t="shared" si="622"/>
        <v>23.976184928689833</v>
      </c>
      <c r="M219" s="443"/>
      <c r="N219" s="217">
        <f t="shared" si="623"/>
        <v>0.35612593163029105</v>
      </c>
      <c r="O219" s="172">
        <f t="shared" si="624"/>
        <v>173.07716549671278</v>
      </c>
      <c r="P219" s="172">
        <f t="shared" si="625"/>
        <v>10.181009735100751</v>
      </c>
      <c r="Q219" s="217">
        <f t="shared" si="626"/>
        <v>1.0181009735100752</v>
      </c>
      <c r="R219" s="217">
        <f t="shared" si="627"/>
        <v>14.423097124726064</v>
      </c>
      <c r="S219" s="217">
        <f t="shared" si="628"/>
        <v>170</v>
      </c>
      <c r="T219" s="217">
        <f t="shared" si="629"/>
        <v>1.178665015772254</v>
      </c>
      <c r="U219" s="217">
        <f t="shared" si="630"/>
        <v>3.8175029689758402E-2</v>
      </c>
      <c r="V219" s="217">
        <f t="shared" si="631"/>
        <v>6.9020280449547777E-2</v>
      </c>
      <c r="W219" s="197">
        <f t="shared" si="632"/>
        <v>350</v>
      </c>
      <c r="X219" s="443">
        <f t="shared" si="691"/>
        <v>350</v>
      </c>
      <c r="Z219" s="217">
        <f t="shared" si="633"/>
        <v>31.415687182596599</v>
      </c>
      <c r="AA219" s="173">
        <f t="shared" si="634"/>
        <v>1.8396401953420254</v>
      </c>
      <c r="AB219" s="173">
        <f t="shared" si="635"/>
        <v>0.47759956581542506</v>
      </c>
      <c r="AC219" s="173"/>
      <c r="AD219" s="173">
        <f t="shared" si="636"/>
        <v>0.78077349686247788</v>
      </c>
      <c r="AE219" s="545">
        <f t="shared" si="637"/>
        <v>73.23054742252107</v>
      </c>
      <c r="AF219" s="528">
        <f t="shared" si="638"/>
        <v>8.602967233947674E-2</v>
      </c>
      <c r="AH219" s="173">
        <f t="shared" si="639"/>
        <v>6.0851106340453187</v>
      </c>
      <c r="AI219" s="173">
        <f t="shared" si="640"/>
        <v>13.333333333333334</v>
      </c>
      <c r="AJ219" s="173">
        <f t="shared" si="641"/>
        <v>1.0418460270985834</v>
      </c>
      <c r="AL219" s="545">
        <f t="shared" si="642"/>
        <v>18</v>
      </c>
      <c r="AM219" s="460">
        <f t="shared" si="643"/>
        <v>73.23054742252107</v>
      </c>
      <c r="AO219">
        <f t="shared" si="644"/>
        <v>18</v>
      </c>
      <c r="AP219">
        <f t="shared" si="645"/>
        <v>73.23054742252107</v>
      </c>
      <c r="AR219" s="5">
        <f t="shared" si="616"/>
        <v>13.655503545948688</v>
      </c>
      <c r="AS219" s="5">
        <f t="shared" si="604"/>
        <v>0.4318448321213228</v>
      </c>
      <c r="AT219" s="5">
        <f t="shared" si="605"/>
        <v>13.223658713827366</v>
      </c>
      <c r="AU219" s="173">
        <f t="shared" si="606"/>
        <v>3.1624233457831177E-2</v>
      </c>
      <c r="BA219" s="173">
        <f t="shared" si="692"/>
        <v>1.3689516607071848</v>
      </c>
      <c r="BB219" s="173">
        <f t="shared" si="693"/>
        <v>0.35772268863171824</v>
      </c>
      <c r="BC219" s="173">
        <f t="shared" si="694"/>
        <v>0.28283123181766701</v>
      </c>
      <c r="BD219" s="173"/>
      <c r="BE219" s="528">
        <f t="shared" si="695"/>
        <v>7.4961145974118376E-2</v>
      </c>
      <c r="BF219" s="528">
        <f t="shared" si="646"/>
        <v>0.5267367442294667</v>
      </c>
      <c r="BG219" s="528">
        <f t="shared" si="647"/>
        <v>4.5220284062245542E-2</v>
      </c>
      <c r="BH219" s="528">
        <f t="shared" si="696"/>
        <v>8.4194250589211279E-3</v>
      </c>
      <c r="BI219">
        <f t="shared" si="697"/>
        <v>6.9469396803090097E-3</v>
      </c>
      <c r="BJ219" s="460">
        <f t="shared" si="698"/>
        <v>52.167223742554555</v>
      </c>
      <c r="BK219">
        <f t="shared" si="648"/>
        <v>0.64178755408859256</v>
      </c>
      <c r="BL219" s="460">
        <f t="shared" si="699"/>
        <v>662.28453900506076</v>
      </c>
      <c r="BM219" s="173">
        <f t="shared" si="649"/>
        <v>1.5623999999999997E-2</v>
      </c>
      <c r="BN219" s="173">
        <f t="shared" si="650"/>
        <v>1.3019999999999999E-2</v>
      </c>
      <c r="BQ219" s="460">
        <f t="shared" si="700"/>
        <v>28.643999999999995</v>
      </c>
      <c r="BR219" s="528">
        <f t="shared" si="701"/>
        <v>5.6220859480588775E-2</v>
      </c>
      <c r="BS219" s="528">
        <f t="shared" si="702"/>
        <v>3.8389656588571574E-3</v>
      </c>
      <c r="BT219" s="528">
        <f t="shared" si="703"/>
        <v>3.9996752845749449E-4</v>
      </c>
      <c r="BU219" s="528">
        <f t="shared" si="704"/>
        <v>1.4895241449949306</v>
      </c>
      <c r="BV219" s="528"/>
      <c r="BW219" s="625">
        <f t="shared" si="705"/>
        <v>0.32546909965564924</v>
      </c>
      <c r="BX219" s="460">
        <f t="shared" si="706"/>
        <v>1875.4530373184832</v>
      </c>
      <c r="BY219" s="173">
        <f t="shared" si="707"/>
        <v>2.5663815763235438</v>
      </c>
      <c r="BZ219" s="5">
        <f t="shared" si="708"/>
        <v>3.2399999999999998</v>
      </c>
      <c r="CA219" s="173">
        <f t="shared" si="709"/>
        <v>0.55800673059649086</v>
      </c>
      <c r="CB219" s="5">
        <f t="shared" si="710"/>
        <v>55.800673059649085</v>
      </c>
      <c r="CC219">
        <f t="shared" si="711"/>
        <v>3</v>
      </c>
      <c r="CE219" s="562">
        <f t="shared" si="651"/>
        <v>-50</v>
      </c>
      <c r="CG219" s="173">
        <f t="shared" si="652"/>
        <v>5.5679823708108936E-2</v>
      </c>
      <c r="CH219" s="173">
        <f t="shared" si="653"/>
        <v>1.4233485590835065E-2</v>
      </c>
      <c r="CI219" s="170">
        <v>3</v>
      </c>
      <c r="CJ219" s="217">
        <f t="shared" si="712"/>
        <v>1.7999999999999999E-2</v>
      </c>
      <c r="CK219" s="217">
        <f t="shared" si="654"/>
        <v>1.4999999999999999E-2</v>
      </c>
      <c r="CL219" s="217">
        <f t="shared" si="655"/>
        <v>3.0599999999999996</v>
      </c>
      <c r="CM219" s="217">
        <f t="shared" si="656"/>
        <v>0.18</v>
      </c>
      <c r="CN219" s="541">
        <f t="shared" si="657"/>
        <v>16</v>
      </c>
      <c r="CO219" s="443">
        <f t="shared" si="658"/>
        <v>8.5350000000000001</v>
      </c>
      <c r="CP219" s="443">
        <f t="shared" si="659"/>
        <v>24.535</v>
      </c>
      <c r="CQ219" s="443"/>
      <c r="CR219" s="217">
        <f t="shared" si="660"/>
        <v>0.34760448521916415</v>
      </c>
      <c r="CS219" s="172">
        <f t="shared" si="661"/>
        <v>175.08966662891231</v>
      </c>
      <c r="CT219" s="172">
        <f t="shared" si="662"/>
        <v>10.2993921546419</v>
      </c>
      <c r="CU219" s="217">
        <f t="shared" si="663"/>
        <v>1.02993921546419</v>
      </c>
      <c r="CV219" s="217">
        <f t="shared" si="664"/>
        <v>14.590805552409359</v>
      </c>
      <c r="CW219" s="217">
        <f t="shared" si="665"/>
        <v>170</v>
      </c>
      <c r="CX219" s="217">
        <f t="shared" si="666"/>
        <v>1.1651173020527856</v>
      </c>
      <c r="CY219" s="217">
        <f t="shared" si="667"/>
        <v>3.6409915689149551E-2</v>
      </c>
      <c r="CZ219" s="217">
        <f t="shared" si="668"/>
        <v>6.8255260811528148E-2</v>
      </c>
      <c r="DA219" s="197">
        <f t="shared" si="669"/>
        <v>350</v>
      </c>
      <c r="DB219" s="443">
        <f t="shared" si="670"/>
        <v>350</v>
      </c>
      <c r="DD219" s="217">
        <f t="shared" si="671"/>
        <v>31.805292730501623</v>
      </c>
      <c r="DE219" s="173">
        <f t="shared" si="672"/>
        <v>1.8632274593146818</v>
      </c>
      <c r="DF219" s="173">
        <f t="shared" si="673"/>
        <v>0.4897221442551708</v>
      </c>
      <c r="DG219" s="173"/>
      <c r="DH219" s="173">
        <f t="shared" si="674"/>
        <v>0.78109744190587771</v>
      </c>
      <c r="DI219" s="545">
        <f t="shared" si="675"/>
        <v>73.200176470588232</v>
      </c>
      <c r="DJ219" s="528">
        <f t="shared" si="676"/>
        <v>8.6065366284073561E-2</v>
      </c>
      <c r="DL219" s="173">
        <f t="shared" si="677"/>
        <v>6.0851106340453187</v>
      </c>
      <c r="DM219" s="173">
        <f t="shared" si="678"/>
        <v>13.333333333333334</v>
      </c>
      <c r="DN219" s="173">
        <f t="shared" si="679"/>
        <v>1.0418286722689076</v>
      </c>
      <c r="DP219" s="545">
        <f t="shared" si="680"/>
        <v>18</v>
      </c>
      <c r="DQ219" s="460">
        <f t="shared" si="681"/>
        <v>73.200176470588232</v>
      </c>
      <c r="DS219">
        <f t="shared" si="682"/>
        <v>18</v>
      </c>
      <c r="DT219">
        <f t="shared" si="683"/>
        <v>73.200176470588232</v>
      </c>
      <c r="DV219" s="5">
        <f t="shared" si="684"/>
        <v>13.661169251440249</v>
      </c>
      <c r="DW219" s="5">
        <f t="shared" si="685"/>
        <v>0.41666666666666669</v>
      </c>
      <c r="DX219" s="5">
        <f t="shared" si="686"/>
        <v>13.244502584773583</v>
      </c>
      <c r="DY219" s="173">
        <f t="shared" si="687"/>
        <v>3.0500073529411767E-2</v>
      </c>
      <c r="EA219" s="5">
        <f t="shared" si="713"/>
        <v>4.4117647058823529E-3</v>
      </c>
      <c r="EB219" s="5">
        <f t="shared" si="714"/>
        <v>5.2083333333333336E-2</v>
      </c>
      <c r="EC219" s="5">
        <f t="shared" si="715"/>
        <v>4.0528177909407166</v>
      </c>
      <c r="ED219" s="5"/>
      <c r="EE219" s="173">
        <f t="shared" si="716"/>
        <v>1.3444001505154195</v>
      </c>
      <c r="EF219" s="173">
        <f t="shared" si="717"/>
        <v>0.3579302634627517</v>
      </c>
      <c r="EG219" s="173">
        <f t="shared" si="718"/>
        <v>0.28299534957430167</v>
      </c>
      <c r="EH219" s="173"/>
      <c r="EI219" s="528">
        <f t="shared" si="719"/>
        <v>7.2296470588235309E-2</v>
      </c>
      <c r="EJ219" s="528">
        <f t="shared" si="720"/>
        <v>0.6585209875588236</v>
      </c>
      <c r="EK219" s="528">
        <f t="shared" si="721"/>
        <v>1.4640035294117644E-2</v>
      </c>
      <c r="EL219" s="528">
        <f t="shared" si="722"/>
        <v>8.8128067798667643E-3</v>
      </c>
      <c r="EM219">
        <f t="shared" si="723"/>
        <v>7.1999999999999998E-3</v>
      </c>
      <c r="EN219" s="460">
        <f t="shared" si="724"/>
        <v>21.840035294117644</v>
      </c>
      <c r="EP219" s="460">
        <f t="shared" si="725"/>
        <v>761.4703002210432</v>
      </c>
      <c r="EQ219" s="173">
        <f t="shared" si="726"/>
        <v>1.2599999999999998E-2</v>
      </c>
      <c r="ER219" s="173">
        <f t="shared" si="688"/>
        <v>1.3019999999999999E-2</v>
      </c>
      <c r="ES219" s="528"/>
      <c r="EU219" s="460">
        <f t="shared" si="727"/>
        <v>25.619999999999997</v>
      </c>
      <c r="EV219" s="528">
        <f t="shared" si="728"/>
        <v>5.4222352941176478E-2</v>
      </c>
      <c r="EW219" s="528">
        <f t="shared" si="729"/>
        <v>3.8434222050754449E-3</v>
      </c>
      <c r="EX219" s="528">
        <f t="shared" si="730"/>
        <v>4.0043183940340602E-4</v>
      </c>
      <c r="EY219" s="528">
        <f t="shared" si="731"/>
        <v>1.4879802470758379</v>
      </c>
      <c r="EZ219" s="528"/>
      <c r="FA219" s="625">
        <f t="shared" si="732"/>
        <v>0.32533411764705883</v>
      </c>
      <c r="FB219" s="460">
        <f t="shared" si="733"/>
        <v>1871.7805717085521</v>
      </c>
      <c r="FC219" s="173">
        <f t="shared" si="734"/>
        <v>2.6588708719295955</v>
      </c>
      <c r="FD219" s="5">
        <f t="shared" si="735"/>
        <v>3.2399999999999998</v>
      </c>
      <c r="FE219" s="173">
        <f t="shared" si="736"/>
        <v>0.54925765800670168</v>
      </c>
      <c r="FF219" s="5">
        <f t="shared" si="737"/>
        <v>54.92576580067017</v>
      </c>
      <c r="FG219">
        <f t="shared" si="738"/>
        <v>3</v>
      </c>
      <c r="FI219" s="562">
        <f t="shared" si="689"/>
        <v>-50</v>
      </c>
    </row>
    <row r="220" spans="1:169">
      <c r="E220" s="170">
        <v>4</v>
      </c>
      <c r="F220" s="217">
        <f t="shared" si="690"/>
        <v>2.4E-2</v>
      </c>
      <c r="G220" s="217">
        <f t="shared" si="617"/>
        <v>0.02</v>
      </c>
      <c r="H220" s="217">
        <f t="shared" si="618"/>
        <v>4.08</v>
      </c>
      <c r="I220" s="217">
        <f t="shared" si="619"/>
        <v>0.24</v>
      </c>
      <c r="J220" s="541">
        <f t="shared" si="620"/>
        <v>15.437643734020021</v>
      </c>
      <c r="K220" s="443">
        <f t="shared" si="621"/>
        <v>8.5385411946698095</v>
      </c>
      <c r="L220" s="172">
        <f t="shared" si="622"/>
        <v>23.976184928689833</v>
      </c>
      <c r="M220" s="443"/>
      <c r="N220" s="217">
        <f t="shared" si="623"/>
        <v>0.35612593163029105</v>
      </c>
      <c r="O220" s="172">
        <f t="shared" si="624"/>
        <v>173.07716549671278</v>
      </c>
      <c r="P220" s="172">
        <f t="shared" si="625"/>
        <v>10.181009735100751</v>
      </c>
      <c r="Q220" s="217">
        <f t="shared" si="626"/>
        <v>1.0181009735100752</v>
      </c>
      <c r="R220" s="217">
        <f t="shared" si="627"/>
        <v>14.423097124726064</v>
      </c>
      <c r="S220" s="217">
        <f t="shared" si="628"/>
        <v>170</v>
      </c>
      <c r="T220" s="217">
        <f t="shared" si="629"/>
        <v>1.5715533543630058</v>
      </c>
      <c r="U220" s="217">
        <f t="shared" si="630"/>
        <v>5.0900039586344543E-2</v>
      </c>
      <c r="V220" s="217">
        <f t="shared" si="631"/>
        <v>9.2027040599397064E-2</v>
      </c>
      <c r="W220" s="197">
        <f t="shared" si="632"/>
        <v>350</v>
      </c>
      <c r="X220" s="443">
        <f t="shared" si="691"/>
        <v>350</v>
      </c>
      <c r="Z220" s="217">
        <f t="shared" si="633"/>
        <v>31.415687182596599</v>
      </c>
      <c r="AA220" s="173">
        <f t="shared" si="634"/>
        <v>1.8396401953420254</v>
      </c>
      <c r="AB220" s="173">
        <f t="shared" si="635"/>
        <v>0.47759956581542506</v>
      </c>
      <c r="AC220" s="173"/>
      <c r="AD220" s="173">
        <f t="shared" si="636"/>
        <v>0.78077349686247788</v>
      </c>
      <c r="AE220" s="545">
        <f t="shared" si="637"/>
        <v>97.640729896694751</v>
      </c>
      <c r="AF220" s="528">
        <f t="shared" si="638"/>
        <v>8.602967233947674E-2</v>
      </c>
      <c r="AH220" s="173">
        <f t="shared" si="639"/>
        <v>7.0264805252294398</v>
      </c>
      <c r="AI220" s="173">
        <f t="shared" si="640"/>
        <v>13.333333333333334</v>
      </c>
      <c r="AJ220" s="173">
        <f t="shared" si="641"/>
        <v>1.0557947027981114</v>
      </c>
      <c r="AL220" s="545">
        <f t="shared" si="642"/>
        <v>24</v>
      </c>
      <c r="AM220" s="460">
        <f t="shared" si="643"/>
        <v>97.640729896694751</v>
      </c>
      <c r="AO220">
        <f t="shared" si="644"/>
        <v>24</v>
      </c>
      <c r="AP220">
        <f t="shared" si="645"/>
        <v>97.640729896694751</v>
      </c>
      <c r="AR220" s="5">
        <f t="shared" si="616"/>
        <v>10.241627659461516</v>
      </c>
      <c r="AS220" s="5">
        <f t="shared" si="604"/>
        <v>0.4318448321213228</v>
      </c>
      <c r="AT220" s="5">
        <f t="shared" si="605"/>
        <v>9.809782827340193</v>
      </c>
      <c r="AU220" s="173">
        <f t="shared" si="606"/>
        <v>4.2165644610441574E-2</v>
      </c>
      <c r="BA220" s="173">
        <f t="shared" si="692"/>
        <v>1.5807292196337568</v>
      </c>
      <c r="BB220" s="173">
        <f t="shared" si="693"/>
        <v>0.3557703368178407</v>
      </c>
      <c r="BC220" s="173">
        <f t="shared" si="694"/>
        <v>0.28128761692823262</v>
      </c>
      <c r="BD220" s="173"/>
      <c r="BE220" s="528">
        <f t="shared" si="695"/>
        <v>9.9948194632157844E-2</v>
      </c>
      <c r="BF220" s="528">
        <f t="shared" si="646"/>
        <v>0.70231565897262216</v>
      </c>
      <c r="BG220" s="528">
        <f t="shared" si="647"/>
        <v>6.0293712082994042E-2</v>
      </c>
      <c r="BH220" s="528">
        <f t="shared" si="696"/>
        <v>1.1225900078561503E-2</v>
      </c>
      <c r="BI220">
        <f t="shared" si="697"/>
        <v>6.9469396803090097E-3</v>
      </c>
      <c r="BJ220" s="460">
        <f t="shared" si="698"/>
        <v>67.240651763303049</v>
      </c>
      <c r="BK220">
        <f t="shared" si="648"/>
        <v>0.86092064369439747</v>
      </c>
      <c r="BL220" s="460">
        <f t="shared" si="699"/>
        <v>880.73040544664457</v>
      </c>
      <c r="BM220" s="173">
        <f t="shared" si="649"/>
        <v>2.0832E-2</v>
      </c>
      <c r="BN220" s="173">
        <f t="shared" si="650"/>
        <v>1.7359999999999997E-2</v>
      </c>
      <c r="BQ220" s="460">
        <f t="shared" si="700"/>
        <v>38.192</v>
      </c>
      <c r="BR220" s="528">
        <f t="shared" si="701"/>
        <v>7.4961145974118376E-2</v>
      </c>
      <c r="BS220" s="528">
        <f t="shared" si="702"/>
        <v>3.7971759767843941E-3</v>
      </c>
      <c r="BT220" s="528">
        <f t="shared" si="703"/>
        <v>3.9561361718582074E-4</v>
      </c>
      <c r="BU220" s="528">
        <f t="shared" si="704"/>
        <v>3.0576965904969584</v>
      </c>
      <c r="BV220" s="528"/>
      <c r="BW220" s="625">
        <f t="shared" si="705"/>
        <v>0.43395879954086564</v>
      </c>
      <c r="BX220" s="460">
        <f t="shared" si="706"/>
        <v>3570.8093256059124</v>
      </c>
      <c r="BY220" s="173">
        <f t="shared" si="707"/>
        <v>4.489731731052558</v>
      </c>
      <c r="BZ220" s="5">
        <f t="shared" si="708"/>
        <v>4.32</v>
      </c>
      <c r="CA220" s="173">
        <f t="shared" si="709"/>
        <v>0.49036680478848821</v>
      </c>
      <c r="CB220" s="5">
        <f t="shared" si="710"/>
        <v>49.036680478848822</v>
      </c>
      <c r="CC220">
        <f t="shared" si="711"/>
        <v>4</v>
      </c>
      <c r="CE220" s="562">
        <f t="shared" si="651"/>
        <v>-50</v>
      </c>
      <c r="CG220" s="173">
        <f t="shared" si="652"/>
        <v>7.4239764944145248E-2</v>
      </c>
      <c r="CH220" s="173">
        <f t="shared" si="653"/>
        <v>1.8977980787780086E-2</v>
      </c>
      <c r="CI220" s="170">
        <v>4</v>
      </c>
      <c r="CJ220" s="217">
        <f t="shared" si="712"/>
        <v>2.4E-2</v>
      </c>
      <c r="CK220" s="217">
        <f t="shared" si="654"/>
        <v>0.02</v>
      </c>
      <c r="CL220" s="217">
        <f t="shared" si="655"/>
        <v>4.08</v>
      </c>
      <c r="CM220" s="217">
        <f t="shared" si="656"/>
        <v>0.24</v>
      </c>
      <c r="CN220" s="541">
        <f t="shared" si="657"/>
        <v>16</v>
      </c>
      <c r="CO220" s="443">
        <f t="shared" si="658"/>
        <v>8.5350000000000001</v>
      </c>
      <c r="CP220" s="443">
        <f t="shared" si="659"/>
        <v>24.535</v>
      </c>
      <c r="CQ220" s="443"/>
      <c r="CR220" s="217">
        <f t="shared" si="660"/>
        <v>0.34760448521916415</v>
      </c>
      <c r="CS220" s="172">
        <f t="shared" si="661"/>
        <v>175.08966662891231</v>
      </c>
      <c r="CT220" s="172">
        <f t="shared" si="662"/>
        <v>10.2993921546419</v>
      </c>
      <c r="CU220" s="217">
        <f t="shared" si="663"/>
        <v>1.02993921546419</v>
      </c>
      <c r="CV220" s="217">
        <f t="shared" si="664"/>
        <v>14.590805552409359</v>
      </c>
      <c r="CW220" s="217">
        <f t="shared" si="665"/>
        <v>170</v>
      </c>
      <c r="CX220" s="217">
        <f t="shared" si="666"/>
        <v>1.5534897360703812</v>
      </c>
      <c r="CY220" s="217">
        <f t="shared" si="667"/>
        <v>4.8546554252199406E-2</v>
      </c>
      <c r="CZ220" s="217">
        <f t="shared" si="668"/>
        <v>9.1007014415370888E-2</v>
      </c>
      <c r="DA220" s="197">
        <f t="shared" si="669"/>
        <v>350</v>
      </c>
      <c r="DB220" s="443">
        <f t="shared" si="670"/>
        <v>350</v>
      </c>
      <c r="DD220" s="217">
        <f t="shared" si="671"/>
        <v>31.805292730501623</v>
      </c>
      <c r="DE220" s="173">
        <f t="shared" si="672"/>
        <v>1.8632274593146818</v>
      </c>
      <c r="DF220" s="173">
        <f t="shared" si="673"/>
        <v>0.4897221442551708</v>
      </c>
      <c r="DG220" s="173"/>
      <c r="DH220" s="173">
        <f t="shared" si="674"/>
        <v>0.78109744190587771</v>
      </c>
      <c r="DI220" s="545">
        <f t="shared" si="675"/>
        <v>97.600235294117667</v>
      </c>
      <c r="DJ220" s="528">
        <f t="shared" si="676"/>
        <v>8.6065366284073561E-2</v>
      </c>
      <c r="DL220" s="173">
        <f t="shared" si="677"/>
        <v>7.0264805252294398</v>
      </c>
      <c r="DM220" s="173">
        <f t="shared" si="678"/>
        <v>13.333333333333334</v>
      </c>
      <c r="DN220" s="173">
        <f t="shared" si="679"/>
        <v>1.05577156302521</v>
      </c>
      <c r="DP220" s="545">
        <f t="shared" si="680"/>
        <v>24</v>
      </c>
      <c r="DQ220" s="460">
        <f t="shared" si="681"/>
        <v>97.600235294117667</v>
      </c>
      <c r="DS220">
        <f t="shared" si="682"/>
        <v>24</v>
      </c>
      <c r="DT220">
        <f t="shared" si="683"/>
        <v>97.600235294117667</v>
      </c>
      <c r="DV220" s="5">
        <f t="shared" si="684"/>
        <v>10.245876938580185</v>
      </c>
      <c r="DW220" s="5">
        <f t="shared" si="685"/>
        <v>0.41666666666666669</v>
      </c>
      <c r="DX220" s="5">
        <f t="shared" si="686"/>
        <v>9.829210271913519</v>
      </c>
      <c r="DY220" s="173">
        <f t="shared" si="687"/>
        <v>4.0666764705882361E-2</v>
      </c>
      <c r="EA220" s="5">
        <f t="shared" si="713"/>
        <v>5.8823529411764705E-3</v>
      </c>
      <c r="EB220" s="5">
        <f t="shared" si="714"/>
        <v>6.9444444444444448E-2</v>
      </c>
      <c r="EC220" s="5">
        <f t="shared" si="715"/>
        <v>4.0103177909407162</v>
      </c>
      <c r="ED220" s="5"/>
      <c r="EE220" s="173">
        <f t="shared" si="716"/>
        <v>1.5523795775973017</v>
      </c>
      <c r="EF220" s="173">
        <f t="shared" si="717"/>
        <v>0.35604859398724303</v>
      </c>
      <c r="EG220" s="173">
        <f t="shared" si="718"/>
        <v>0.28150761923864004</v>
      </c>
      <c r="EH220" s="173"/>
      <c r="EI220" s="528">
        <f t="shared" si="719"/>
        <v>9.6395294117647079E-2</v>
      </c>
      <c r="EJ220" s="528">
        <f t="shared" si="720"/>
        <v>0.87802798341176491</v>
      </c>
      <c r="EK220" s="528">
        <f t="shared" si="721"/>
        <v>1.9520047058823532E-2</v>
      </c>
      <c r="EL220" s="528">
        <f t="shared" si="722"/>
        <v>1.1750409039822355E-2</v>
      </c>
      <c r="EM220">
        <f t="shared" si="723"/>
        <v>7.1999999999999998E-3</v>
      </c>
      <c r="EN220" s="460">
        <f t="shared" si="724"/>
        <v>26.720047058823532</v>
      </c>
      <c r="EP220" s="460">
        <f t="shared" si="725"/>
        <v>1012.8937336280579</v>
      </c>
      <c r="EQ220" s="173">
        <f t="shared" si="726"/>
        <v>1.6799999999999999E-2</v>
      </c>
      <c r="ER220" s="173">
        <f t="shared" si="688"/>
        <v>1.7359999999999997E-2</v>
      </c>
      <c r="ES220" s="528"/>
      <c r="EU220" s="460">
        <f t="shared" si="727"/>
        <v>34.159999999999997</v>
      </c>
      <c r="EV220" s="528">
        <f t="shared" si="728"/>
        <v>7.2296470588235295E-2</v>
      </c>
      <c r="EW220" s="528">
        <f t="shared" si="729"/>
        <v>3.8031180384087791E-3</v>
      </c>
      <c r="EX220" s="528">
        <f t="shared" si="730"/>
        <v>3.9623269844703566E-4</v>
      </c>
      <c r="EY220" s="528">
        <f t="shared" si="731"/>
        <v>3.0545272753709622</v>
      </c>
      <c r="EZ220" s="528"/>
      <c r="FA220" s="625">
        <f t="shared" si="732"/>
        <v>0.43377882352941188</v>
      </c>
      <c r="FB220" s="460">
        <f t="shared" si="733"/>
        <v>3564.8019202254654</v>
      </c>
      <c r="FC220" s="173">
        <f t="shared" si="734"/>
        <v>4.6118556538535227</v>
      </c>
      <c r="FD220" s="5">
        <f t="shared" si="735"/>
        <v>4.32</v>
      </c>
      <c r="FE220" s="173">
        <f t="shared" si="736"/>
        <v>0.48366209300932861</v>
      </c>
      <c r="FF220" s="5">
        <f t="shared" si="737"/>
        <v>48.366209300932859</v>
      </c>
      <c r="FG220">
        <f t="shared" si="738"/>
        <v>4</v>
      </c>
      <c r="FI220" s="562">
        <f t="shared" si="689"/>
        <v>-50</v>
      </c>
    </row>
    <row r="221" spans="1:169">
      <c r="E221" s="170">
        <v>5</v>
      </c>
      <c r="F221" s="217">
        <f t="shared" si="690"/>
        <v>0.03</v>
      </c>
      <c r="G221" s="217">
        <f t="shared" si="617"/>
        <v>2.5000000000000001E-2</v>
      </c>
      <c r="H221" s="217">
        <f t="shared" si="618"/>
        <v>5.0999999999999996</v>
      </c>
      <c r="I221" s="217">
        <f t="shared" si="619"/>
        <v>0.30000000000000004</v>
      </c>
      <c r="J221" s="541">
        <f t="shared" si="620"/>
        <v>15.437643734020021</v>
      </c>
      <c r="K221" s="443">
        <f t="shared" si="621"/>
        <v>8.5385411946698095</v>
      </c>
      <c r="L221" s="172">
        <f t="shared" si="622"/>
        <v>23.976184928689833</v>
      </c>
      <c r="M221" s="443"/>
      <c r="N221" s="217">
        <f t="shared" si="623"/>
        <v>0.35612593163029105</v>
      </c>
      <c r="O221" s="172">
        <f t="shared" si="624"/>
        <v>173.07716549671278</v>
      </c>
      <c r="P221" s="172">
        <f t="shared" si="625"/>
        <v>10.181009735100751</v>
      </c>
      <c r="Q221" s="217">
        <f t="shared" si="626"/>
        <v>1.0181009735100752</v>
      </c>
      <c r="R221" s="217">
        <f t="shared" si="627"/>
        <v>14.423097124726064</v>
      </c>
      <c r="S221" s="217">
        <f t="shared" si="628"/>
        <v>170</v>
      </c>
      <c r="T221" s="217">
        <f t="shared" si="629"/>
        <v>1.9644416929537569</v>
      </c>
      <c r="U221" s="217">
        <f t="shared" si="630"/>
        <v>6.3625049482930671E-2</v>
      </c>
      <c r="V221" s="217">
        <f t="shared" si="631"/>
        <v>0.11503380074924631</v>
      </c>
      <c r="W221" s="197">
        <f t="shared" si="632"/>
        <v>350</v>
      </c>
      <c r="X221" s="443">
        <f t="shared" si="691"/>
        <v>350</v>
      </c>
      <c r="Z221" s="217">
        <f t="shared" si="633"/>
        <v>31.415687182596599</v>
      </c>
      <c r="AA221" s="173">
        <f t="shared" si="634"/>
        <v>1.8396401953420254</v>
      </c>
      <c r="AB221" s="173">
        <f t="shared" si="635"/>
        <v>0.47759956581542506</v>
      </c>
      <c r="AC221" s="173"/>
      <c r="AD221" s="173">
        <f t="shared" si="636"/>
        <v>0.78077349686247788</v>
      </c>
      <c r="AE221" s="545">
        <f t="shared" si="637"/>
        <v>122.05091237086843</v>
      </c>
      <c r="AF221" s="528">
        <f t="shared" si="638"/>
        <v>8.602967233947674E-2</v>
      </c>
      <c r="AH221" s="173">
        <f t="shared" si="639"/>
        <v>7.8558440484957259</v>
      </c>
      <c r="AI221" s="173">
        <f t="shared" si="640"/>
        <v>13.333333333333334</v>
      </c>
      <c r="AJ221" s="173">
        <f t="shared" si="641"/>
        <v>1.0697433784976391</v>
      </c>
      <c r="AL221" s="545">
        <f t="shared" si="642"/>
        <v>30</v>
      </c>
      <c r="AM221" s="460">
        <f t="shared" si="643"/>
        <v>122.05091237086843</v>
      </c>
      <c r="AO221">
        <f t="shared" si="644"/>
        <v>30</v>
      </c>
      <c r="AP221">
        <f t="shared" si="645"/>
        <v>122.05091237086843</v>
      </c>
      <c r="AR221" s="5">
        <f t="shared" si="616"/>
        <v>8.1933021275692131</v>
      </c>
      <c r="AS221" s="5">
        <f t="shared" si="604"/>
        <v>0.4318448321213228</v>
      </c>
      <c r="AT221" s="5">
        <f t="shared" si="605"/>
        <v>7.7614572954478902</v>
      </c>
      <c r="AU221" s="173">
        <f t="shared" si="606"/>
        <v>5.2707055763051965E-2</v>
      </c>
      <c r="BA221" s="173">
        <f t="shared" si="692"/>
        <v>1.7673089945606373</v>
      </c>
      <c r="BB221" s="173">
        <f t="shared" si="693"/>
        <v>0.35380721184997682</v>
      </c>
      <c r="BC221" s="173">
        <f t="shared" si="694"/>
        <v>0.27973548431121376</v>
      </c>
      <c r="BD221" s="173"/>
      <c r="BE221" s="528">
        <f t="shared" si="695"/>
        <v>0.12493524329019723</v>
      </c>
      <c r="BF221" s="528">
        <f t="shared" si="646"/>
        <v>0.87789457371577784</v>
      </c>
      <c r="BG221" s="528">
        <f t="shared" si="647"/>
        <v>7.5367140103742555E-2</v>
      </c>
      <c r="BH221" s="528">
        <f t="shared" si="696"/>
        <v>1.4032375098201877E-2</v>
      </c>
      <c r="BI221">
        <f t="shared" si="697"/>
        <v>6.9469396803090097E-3</v>
      </c>
      <c r="BJ221" s="460">
        <f t="shared" si="698"/>
        <v>82.314079784051557</v>
      </c>
      <c r="BK221">
        <f t="shared" si="648"/>
        <v>1.0827352866300006</v>
      </c>
      <c r="BL221" s="460">
        <f t="shared" si="699"/>
        <v>1099.1762718882285</v>
      </c>
      <c r="BM221" s="173">
        <f t="shared" si="649"/>
        <v>2.6039999999999997E-2</v>
      </c>
      <c r="BN221" s="173">
        <f t="shared" si="650"/>
        <v>2.1699999999999997E-2</v>
      </c>
      <c r="BQ221" s="460">
        <f t="shared" si="700"/>
        <v>47.739999999999988</v>
      </c>
      <c r="BR221" s="528">
        <f t="shared" si="701"/>
        <v>9.3701432467647922E-2</v>
      </c>
      <c r="BS221" s="528">
        <f t="shared" si="702"/>
        <v>3.7553862947116313E-3</v>
      </c>
      <c r="BT221" s="528">
        <f t="shared" si="703"/>
        <v>3.9125970591414656E-4</v>
      </c>
      <c r="BU221" s="528">
        <f t="shared" si="704"/>
        <v>5.3415761179066754</v>
      </c>
      <c r="BV221" s="528"/>
      <c r="BW221" s="625">
        <f t="shared" si="705"/>
        <v>0.54244849942608198</v>
      </c>
      <c r="BX221" s="460">
        <f t="shared" si="706"/>
        <v>5981.8726958010311</v>
      </c>
      <c r="BY221" s="173">
        <f t="shared" si="707"/>
        <v>7.1287889676892595</v>
      </c>
      <c r="BZ221" s="5">
        <f t="shared" si="708"/>
        <v>5.3999999999999995</v>
      </c>
      <c r="CA221" s="173">
        <f t="shared" si="709"/>
        <v>0.43100733949036624</v>
      </c>
      <c r="CB221" s="5">
        <f t="shared" si="710"/>
        <v>43.100733949036623</v>
      </c>
      <c r="CC221">
        <f t="shared" si="711"/>
        <v>5</v>
      </c>
      <c r="CE221" s="562">
        <f t="shared" si="651"/>
        <v>-50</v>
      </c>
      <c r="CG221" s="173">
        <f t="shared" si="652"/>
        <v>9.2799706180181546E-2</v>
      </c>
      <c r="CH221" s="173">
        <f t="shared" si="653"/>
        <v>2.372247598472511E-2</v>
      </c>
      <c r="CI221" s="170">
        <v>5</v>
      </c>
      <c r="CJ221" s="217">
        <f t="shared" si="712"/>
        <v>0.03</v>
      </c>
      <c r="CK221" s="217">
        <f t="shared" si="654"/>
        <v>2.5000000000000001E-2</v>
      </c>
      <c r="CL221" s="217">
        <f t="shared" si="655"/>
        <v>5.0999999999999996</v>
      </c>
      <c r="CM221" s="217">
        <f t="shared" si="656"/>
        <v>0.30000000000000004</v>
      </c>
      <c r="CN221" s="541">
        <f t="shared" si="657"/>
        <v>16</v>
      </c>
      <c r="CO221" s="443">
        <f t="shared" si="658"/>
        <v>8.5350000000000001</v>
      </c>
      <c r="CP221" s="443">
        <f t="shared" si="659"/>
        <v>24.535</v>
      </c>
      <c r="CQ221" s="443"/>
      <c r="CR221" s="217">
        <f t="shared" si="660"/>
        <v>0.34760448521916415</v>
      </c>
      <c r="CS221" s="172">
        <f t="shared" si="661"/>
        <v>175.08966662891231</v>
      </c>
      <c r="CT221" s="172">
        <f t="shared" si="662"/>
        <v>10.2993921546419</v>
      </c>
      <c r="CU221" s="217">
        <f t="shared" si="663"/>
        <v>1.02993921546419</v>
      </c>
      <c r="CV221" s="217">
        <f t="shared" si="664"/>
        <v>14.590805552409359</v>
      </c>
      <c r="CW221" s="217">
        <f t="shared" si="665"/>
        <v>170</v>
      </c>
      <c r="CX221" s="217">
        <f t="shared" si="666"/>
        <v>1.9418621700879761</v>
      </c>
      <c r="CY221" s="217">
        <f t="shared" si="667"/>
        <v>6.0683192815249247E-2</v>
      </c>
      <c r="CZ221" s="217">
        <f t="shared" si="668"/>
        <v>0.11375876801921359</v>
      </c>
      <c r="DA221" s="197">
        <f t="shared" si="669"/>
        <v>350</v>
      </c>
      <c r="DB221" s="443">
        <f t="shared" si="670"/>
        <v>350</v>
      </c>
      <c r="DD221" s="217">
        <f t="shared" si="671"/>
        <v>31.805292730501623</v>
      </c>
      <c r="DE221" s="173">
        <f t="shared" si="672"/>
        <v>1.8632274593146818</v>
      </c>
      <c r="DF221" s="173">
        <f t="shared" si="673"/>
        <v>0.4897221442551708</v>
      </c>
      <c r="DG221" s="173"/>
      <c r="DH221" s="173">
        <f t="shared" si="674"/>
        <v>0.78109744190587771</v>
      </c>
      <c r="DI221" s="545">
        <f t="shared" si="675"/>
        <v>122.00029411764704</v>
      </c>
      <c r="DJ221" s="528">
        <f t="shared" si="676"/>
        <v>8.6065366284073561E-2</v>
      </c>
      <c r="DL221" s="173">
        <f t="shared" si="677"/>
        <v>7.8558440484957259</v>
      </c>
      <c r="DM221" s="173">
        <f t="shared" si="678"/>
        <v>13.333333333333334</v>
      </c>
      <c r="DN221" s="173">
        <f t="shared" si="679"/>
        <v>1.0697144537815126</v>
      </c>
      <c r="DP221" s="545">
        <f t="shared" si="680"/>
        <v>30</v>
      </c>
      <c r="DQ221" s="460">
        <f t="shared" si="681"/>
        <v>122.00029411764704</v>
      </c>
      <c r="DS221">
        <f t="shared" si="682"/>
        <v>30</v>
      </c>
      <c r="DT221">
        <f t="shared" si="683"/>
        <v>122.00029411764704</v>
      </c>
      <c r="DV221" s="5">
        <f t="shared" si="684"/>
        <v>8.1967015508641499</v>
      </c>
      <c r="DW221" s="5">
        <f t="shared" si="685"/>
        <v>0.41666666666666669</v>
      </c>
      <c r="DX221" s="5">
        <f t="shared" si="686"/>
        <v>7.7800348841974829</v>
      </c>
      <c r="DY221" s="173">
        <f t="shared" si="687"/>
        <v>5.083345588235294E-2</v>
      </c>
      <c r="EA221" s="5">
        <f t="shared" si="713"/>
        <v>7.3529411764705881E-3</v>
      </c>
      <c r="EB221" s="5">
        <f t="shared" si="714"/>
        <v>8.6805555555555552E-2</v>
      </c>
      <c r="EC221" s="5">
        <f t="shared" si="715"/>
        <v>3.9678177909407162</v>
      </c>
      <c r="ED221" s="5"/>
      <c r="EE221" s="173">
        <f t="shared" si="716"/>
        <v>1.7356131311949878</v>
      </c>
      <c r="EF221" s="173">
        <f t="shared" si="717"/>
        <v>0.35415692716375097</v>
      </c>
      <c r="EG221" s="173">
        <f t="shared" si="718"/>
        <v>0.28001198456161325</v>
      </c>
      <c r="EH221" s="173"/>
      <c r="EI221" s="528">
        <f t="shared" si="719"/>
        <v>0.12049411764705881</v>
      </c>
      <c r="EJ221" s="528">
        <f t="shared" si="720"/>
        <v>1.0975349792647058</v>
      </c>
      <c r="EK221" s="528">
        <f t="shared" si="721"/>
        <v>2.4400058823529407E-2</v>
      </c>
      <c r="EL221" s="528">
        <f t="shared" si="722"/>
        <v>1.4688011299777939E-2</v>
      </c>
      <c r="EM221">
        <f t="shared" si="723"/>
        <v>7.1999999999999998E-3</v>
      </c>
      <c r="EN221" s="460">
        <f t="shared" si="724"/>
        <v>31.600058823529405</v>
      </c>
      <c r="EP221" s="460">
        <f t="shared" si="725"/>
        <v>1264.3171670350721</v>
      </c>
      <c r="EQ221" s="173">
        <f t="shared" si="726"/>
        <v>2.0999999999999998E-2</v>
      </c>
      <c r="ER221" s="173">
        <f t="shared" si="688"/>
        <v>2.1699999999999997E-2</v>
      </c>
      <c r="ES221" s="528"/>
      <c r="EU221" s="460">
        <f t="shared" si="727"/>
        <v>42.699999999999996</v>
      </c>
      <c r="EV221" s="528">
        <f t="shared" si="728"/>
        <v>9.0370588235294091E-2</v>
      </c>
      <c r="EW221" s="528">
        <f t="shared" si="729"/>
        <v>3.7628138717421119E-3</v>
      </c>
      <c r="EX221" s="528">
        <f t="shared" si="730"/>
        <v>3.9203355749066568E-4</v>
      </c>
      <c r="EY221" s="528">
        <f t="shared" si="731"/>
        <v>5.3360395522317869</v>
      </c>
      <c r="EZ221" s="528"/>
      <c r="FA221" s="625">
        <f t="shared" si="732"/>
        <v>0.54222352941176477</v>
      </c>
      <c r="FB221" s="460">
        <f t="shared" si="733"/>
        <v>5972.7885173080786</v>
      </c>
      <c r="FC221" s="173">
        <f t="shared" si="734"/>
        <v>7.2798056843431507</v>
      </c>
      <c r="FD221" s="5">
        <f t="shared" si="735"/>
        <v>5.3999999999999995</v>
      </c>
      <c r="FE221" s="173">
        <f t="shared" si="736"/>
        <v>0.42587403422655323</v>
      </c>
      <c r="FF221" s="5">
        <f t="shared" si="737"/>
        <v>42.587403422655321</v>
      </c>
      <c r="FG221">
        <f t="shared" si="738"/>
        <v>5</v>
      </c>
      <c r="FI221" s="562">
        <f t="shared" si="689"/>
        <v>-50</v>
      </c>
    </row>
    <row r="222" spans="1:169">
      <c r="E222" s="170">
        <v>6</v>
      </c>
      <c r="F222" s="217">
        <f t="shared" si="690"/>
        <v>3.5999999999999997E-2</v>
      </c>
      <c r="G222" s="217">
        <f t="shared" si="617"/>
        <v>0.03</v>
      </c>
      <c r="H222" s="217">
        <f t="shared" si="618"/>
        <v>6.1199999999999992</v>
      </c>
      <c r="I222" s="217">
        <f t="shared" si="619"/>
        <v>0.36</v>
      </c>
      <c r="J222" s="541">
        <f t="shared" si="620"/>
        <v>15.437643734020021</v>
      </c>
      <c r="K222" s="443">
        <f t="shared" si="621"/>
        <v>8.5385411946698095</v>
      </c>
      <c r="L222" s="172">
        <f t="shared" si="622"/>
        <v>23.976184928689833</v>
      </c>
      <c r="M222" s="443"/>
      <c r="N222" s="217">
        <f t="shared" si="623"/>
        <v>0.35612593163029105</v>
      </c>
      <c r="O222" s="172">
        <f t="shared" si="624"/>
        <v>173.07716549671278</v>
      </c>
      <c r="P222" s="172">
        <f t="shared" si="625"/>
        <v>10.181009735100751</v>
      </c>
      <c r="Q222" s="217">
        <f t="shared" si="626"/>
        <v>1.0181009735100752</v>
      </c>
      <c r="R222" s="217">
        <f t="shared" si="627"/>
        <v>14.423097124726064</v>
      </c>
      <c r="S222" s="217">
        <f t="shared" si="628"/>
        <v>170</v>
      </c>
      <c r="T222" s="217">
        <f t="shared" si="629"/>
        <v>2.357330031544508</v>
      </c>
      <c r="U222" s="217">
        <f t="shared" si="630"/>
        <v>7.6350059379516805E-2</v>
      </c>
      <c r="V222" s="217">
        <f t="shared" si="631"/>
        <v>0.13804056089909555</v>
      </c>
      <c r="W222" s="197">
        <f t="shared" si="632"/>
        <v>350</v>
      </c>
      <c r="X222" s="443">
        <f t="shared" si="691"/>
        <v>350</v>
      </c>
      <c r="Z222" s="217">
        <f t="shared" si="633"/>
        <v>31.415687182596599</v>
      </c>
      <c r="AA222" s="173">
        <f t="shared" si="634"/>
        <v>1.8396401953420254</v>
      </c>
      <c r="AB222" s="173">
        <f t="shared" si="635"/>
        <v>0.47759956581542506</v>
      </c>
      <c r="AC222" s="173"/>
      <c r="AD222" s="173">
        <f t="shared" si="636"/>
        <v>0.78077349686247788</v>
      </c>
      <c r="AE222" s="545">
        <f t="shared" si="637"/>
        <v>146.46109484504214</v>
      </c>
      <c r="AF222" s="528">
        <f t="shared" si="638"/>
        <v>8.602967233947674E-2</v>
      </c>
      <c r="AH222" s="173">
        <f t="shared" si="639"/>
        <v>8.6056459872076339</v>
      </c>
      <c r="AI222" s="173">
        <f t="shared" si="640"/>
        <v>13.333333333333334</v>
      </c>
      <c r="AJ222" s="173">
        <f t="shared" si="641"/>
        <v>1.0836920541971669</v>
      </c>
      <c r="AL222" s="545">
        <f t="shared" si="642"/>
        <v>36</v>
      </c>
      <c r="AM222" s="460">
        <f t="shared" si="643"/>
        <v>146.46109484504214</v>
      </c>
      <c r="AO222">
        <f t="shared" si="644"/>
        <v>36</v>
      </c>
      <c r="AP222">
        <f t="shared" si="645"/>
        <v>146.46109484504214</v>
      </c>
      <c r="AR222" s="5">
        <f t="shared" si="616"/>
        <v>6.8277517729743442</v>
      </c>
      <c r="AS222" s="5">
        <f t="shared" si="604"/>
        <v>0.4318448321213228</v>
      </c>
      <c r="AT222" s="5">
        <f t="shared" si="605"/>
        <v>6.3959069408530214</v>
      </c>
      <c r="AU222" s="173">
        <f t="shared" si="606"/>
        <v>6.3248466915662355E-2</v>
      </c>
      <c r="BA222" s="173">
        <f t="shared" si="692"/>
        <v>1.9359900048052723</v>
      </c>
      <c r="BB222" s="173">
        <f t="shared" si="693"/>
        <v>0.35183313339512101</v>
      </c>
      <c r="BC222" s="173">
        <f t="shared" si="694"/>
        <v>0.27817469138743472</v>
      </c>
      <c r="BD222" s="173"/>
      <c r="BE222" s="528">
        <f t="shared" si="695"/>
        <v>0.14992229194823672</v>
      </c>
      <c r="BF222" s="528">
        <f t="shared" si="646"/>
        <v>1.0534734884589334</v>
      </c>
      <c r="BG222" s="528">
        <f t="shared" si="647"/>
        <v>9.0440568124491083E-2</v>
      </c>
      <c r="BH222" s="528">
        <f t="shared" si="696"/>
        <v>1.6838850117842256E-2</v>
      </c>
      <c r="BI222">
        <f t="shared" si="697"/>
        <v>6.9469396803090097E-3</v>
      </c>
      <c r="BJ222" s="460">
        <f t="shared" si="698"/>
        <v>97.387507804800094</v>
      </c>
      <c r="BK222">
        <f t="shared" si="648"/>
        <v>1.3072810075652366</v>
      </c>
      <c r="BL222" s="460">
        <f t="shared" si="699"/>
        <v>1317.6221383298125</v>
      </c>
      <c r="BM222" s="173">
        <f t="shared" si="649"/>
        <v>3.1247999999999995E-2</v>
      </c>
      <c r="BN222" s="173">
        <f t="shared" si="650"/>
        <v>2.6039999999999997E-2</v>
      </c>
      <c r="BQ222" s="460">
        <f t="shared" si="700"/>
        <v>57.28799999999999</v>
      </c>
      <c r="BR222" s="528">
        <f t="shared" si="701"/>
        <v>0.11244171896117754</v>
      </c>
      <c r="BS222" s="528">
        <f t="shared" si="702"/>
        <v>3.7135966126388706E-3</v>
      </c>
      <c r="BT222" s="528">
        <f t="shared" si="703"/>
        <v>3.8690579464247275E-4</v>
      </c>
      <c r="BU222" s="528">
        <f t="shared" si="704"/>
        <v>8.426020989336056</v>
      </c>
      <c r="BV222" s="528"/>
      <c r="BW222" s="625">
        <f t="shared" si="705"/>
        <v>0.65093819931129848</v>
      </c>
      <c r="BX222" s="460">
        <f t="shared" si="706"/>
        <v>9193.5014100158132</v>
      </c>
      <c r="BY222" s="173">
        <f t="shared" si="707"/>
        <v>10.568411548345626</v>
      </c>
      <c r="BZ222" s="5">
        <f t="shared" si="708"/>
        <v>6.4799999999999995</v>
      </c>
      <c r="CA222" s="173">
        <f t="shared" si="709"/>
        <v>0.38009406223120046</v>
      </c>
      <c r="CB222" s="5">
        <f t="shared" si="710"/>
        <v>38.009406223120045</v>
      </c>
      <c r="CC222">
        <f t="shared" si="711"/>
        <v>6</v>
      </c>
      <c r="CE222" s="562">
        <f t="shared" si="651"/>
        <v>-50</v>
      </c>
      <c r="CG222" s="173">
        <f t="shared" si="652"/>
        <v>0.11135964741621787</v>
      </c>
      <c r="CH222" s="173">
        <f t="shared" si="653"/>
        <v>2.8466971181670131E-2</v>
      </c>
      <c r="CI222" s="170">
        <v>6</v>
      </c>
      <c r="CJ222" s="217">
        <f t="shared" si="712"/>
        <v>3.5999999999999997E-2</v>
      </c>
      <c r="CK222" s="217">
        <f t="shared" si="654"/>
        <v>0.03</v>
      </c>
      <c r="CL222" s="217">
        <f t="shared" si="655"/>
        <v>6.1199999999999992</v>
      </c>
      <c r="CM222" s="217">
        <f t="shared" si="656"/>
        <v>0.36</v>
      </c>
      <c r="CN222" s="541">
        <f t="shared" si="657"/>
        <v>16</v>
      </c>
      <c r="CO222" s="443">
        <f t="shared" si="658"/>
        <v>8.5350000000000001</v>
      </c>
      <c r="CP222" s="443">
        <f t="shared" si="659"/>
        <v>24.535</v>
      </c>
      <c r="CQ222" s="443"/>
      <c r="CR222" s="217">
        <f t="shared" si="660"/>
        <v>0.34760448521916415</v>
      </c>
      <c r="CS222" s="172">
        <f t="shared" si="661"/>
        <v>175.08966662891231</v>
      </c>
      <c r="CT222" s="172">
        <f t="shared" si="662"/>
        <v>10.2993921546419</v>
      </c>
      <c r="CU222" s="217">
        <f t="shared" si="663"/>
        <v>1.02993921546419</v>
      </c>
      <c r="CV222" s="217">
        <f t="shared" si="664"/>
        <v>14.590805552409359</v>
      </c>
      <c r="CW222" s="217">
        <f t="shared" si="665"/>
        <v>170</v>
      </c>
      <c r="CX222" s="217">
        <f t="shared" si="666"/>
        <v>2.3302346041055713</v>
      </c>
      <c r="CY222" s="217">
        <f t="shared" si="667"/>
        <v>7.2819831378299102E-2</v>
      </c>
      <c r="CZ222" s="217">
        <f t="shared" si="668"/>
        <v>0.1365105216230563</v>
      </c>
      <c r="DA222" s="197">
        <f t="shared" si="669"/>
        <v>350</v>
      </c>
      <c r="DB222" s="443">
        <f t="shared" si="670"/>
        <v>350</v>
      </c>
      <c r="DD222" s="217">
        <f t="shared" si="671"/>
        <v>31.805292730501623</v>
      </c>
      <c r="DE222" s="173">
        <f t="shared" si="672"/>
        <v>1.8632274593146818</v>
      </c>
      <c r="DF222" s="173">
        <f t="shared" si="673"/>
        <v>0.4897221442551708</v>
      </c>
      <c r="DG222" s="173"/>
      <c r="DH222" s="173">
        <f t="shared" si="674"/>
        <v>0.78109744190587771</v>
      </c>
      <c r="DI222" s="545">
        <f t="shared" si="675"/>
        <v>146.40035294117646</v>
      </c>
      <c r="DJ222" s="528">
        <f t="shared" si="676"/>
        <v>8.6065366284073561E-2</v>
      </c>
      <c r="DL222" s="173">
        <f t="shared" si="677"/>
        <v>8.6056459872076339</v>
      </c>
      <c r="DM222" s="173">
        <f t="shared" si="678"/>
        <v>13.333333333333334</v>
      </c>
      <c r="DN222" s="173">
        <f t="shared" si="679"/>
        <v>1.083657344537815</v>
      </c>
      <c r="DP222" s="545">
        <f t="shared" si="680"/>
        <v>36</v>
      </c>
      <c r="DQ222" s="460">
        <f t="shared" si="681"/>
        <v>146.40035294117646</v>
      </c>
      <c r="DS222">
        <f t="shared" si="682"/>
        <v>36</v>
      </c>
      <c r="DT222">
        <f t="shared" si="683"/>
        <v>146.40035294117646</v>
      </c>
      <c r="DV222" s="5">
        <f t="shared" si="684"/>
        <v>6.8305846257201246</v>
      </c>
      <c r="DW222" s="5">
        <f t="shared" si="685"/>
        <v>0.41666666666666669</v>
      </c>
      <c r="DX222" s="5">
        <f t="shared" si="686"/>
        <v>6.4139179590534576</v>
      </c>
      <c r="DY222" s="173">
        <f t="shared" si="687"/>
        <v>6.1000147058823534E-2</v>
      </c>
      <c r="EA222" s="5">
        <f t="shared" si="713"/>
        <v>8.8235294117647058E-3</v>
      </c>
      <c r="EB222" s="5">
        <f t="shared" si="714"/>
        <v>0.10416666666666667</v>
      </c>
      <c r="EC222" s="5">
        <f t="shared" si="715"/>
        <v>3.9253177909407158</v>
      </c>
      <c r="ED222" s="5"/>
      <c r="EE222" s="173">
        <f t="shared" si="716"/>
        <v>1.9012689261153364</v>
      </c>
      <c r="EF222" s="173">
        <f t="shared" si="717"/>
        <v>0.35225510193018955</v>
      </c>
      <c r="EG222" s="173">
        <f t="shared" si="718"/>
        <v>0.27850831820047872</v>
      </c>
      <c r="EH222" s="173"/>
      <c r="EI222" s="528">
        <f t="shared" si="719"/>
        <v>0.14459294117647059</v>
      </c>
      <c r="EJ222" s="528">
        <f t="shared" si="720"/>
        <v>1.3170419751176472</v>
      </c>
      <c r="EK222" s="528">
        <f t="shared" si="721"/>
        <v>2.9280070588235289E-2</v>
      </c>
      <c r="EL222" s="528">
        <f t="shared" si="722"/>
        <v>1.7625613559733529E-2</v>
      </c>
      <c r="EM222">
        <f t="shared" si="723"/>
        <v>7.1999999999999998E-3</v>
      </c>
      <c r="EN222" s="460">
        <f t="shared" si="724"/>
        <v>36.480070588235293</v>
      </c>
      <c r="EP222" s="460">
        <f t="shared" si="725"/>
        <v>1515.7406004420866</v>
      </c>
      <c r="EQ222" s="173">
        <f t="shared" si="726"/>
        <v>2.5199999999999997E-2</v>
      </c>
      <c r="ER222" s="173">
        <f t="shared" si="688"/>
        <v>2.6039999999999997E-2</v>
      </c>
      <c r="ES222" s="528"/>
      <c r="EU222" s="460">
        <f t="shared" si="727"/>
        <v>51.239999999999995</v>
      </c>
      <c r="EV222" s="528">
        <f t="shared" si="728"/>
        <v>0.10844470588235293</v>
      </c>
      <c r="EW222" s="528">
        <f t="shared" si="729"/>
        <v>3.7225097050754465E-3</v>
      </c>
      <c r="EX222" s="528">
        <f t="shared" si="730"/>
        <v>3.8783441653429554E-4</v>
      </c>
      <c r="EY222" s="528">
        <f t="shared" si="731"/>
        <v>8.4172873838316846</v>
      </c>
      <c r="EZ222" s="528"/>
      <c r="FA222" s="625">
        <f t="shared" si="732"/>
        <v>0.65066823529411766</v>
      </c>
      <c r="FB222" s="460">
        <f t="shared" si="733"/>
        <v>9180.5106691297642</v>
      </c>
      <c r="FC222" s="173">
        <f t="shared" si="734"/>
        <v>10.747491269571851</v>
      </c>
      <c r="FD222" s="5">
        <f t="shared" si="735"/>
        <v>6.4799999999999995</v>
      </c>
      <c r="FE222" s="173">
        <f t="shared" si="736"/>
        <v>0.37614298556896297</v>
      </c>
      <c r="FF222" s="5">
        <f t="shared" si="737"/>
        <v>37.614298556896294</v>
      </c>
      <c r="FG222">
        <f t="shared" si="738"/>
        <v>6</v>
      </c>
      <c r="FI222" s="562">
        <f t="shared" si="689"/>
        <v>-50</v>
      </c>
    </row>
    <row r="223" spans="1:169">
      <c r="E223" s="170">
        <v>7</v>
      </c>
      <c r="F223" s="217">
        <f t="shared" si="690"/>
        <v>4.2000000000000003E-2</v>
      </c>
      <c r="G223" s="217">
        <f t="shared" si="617"/>
        <v>3.5000000000000003E-2</v>
      </c>
      <c r="H223" s="217">
        <f t="shared" si="618"/>
        <v>7.1400000000000006</v>
      </c>
      <c r="I223" s="217">
        <f t="shared" si="619"/>
        <v>0.42000000000000004</v>
      </c>
      <c r="J223" s="541">
        <f t="shared" si="620"/>
        <v>15.437643734020021</v>
      </c>
      <c r="K223" s="443">
        <f t="shared" si="621"/>
        <v>8.5385411946698095</v>
      </c>
      <c r="L223" s="172">
        <f t="shared" si="622"/>
        <v>23.976184928689833</v>
      </c>
      <c r="M223" s="443"/>
      <c r="N223" s="217">
        <f t="shared" si="623"/>
        <v>0.35612593163029105</v>
      </c>
      <c r="O223" s="172">
        <f t="shared" si="624"/>
        <v>173.07716549671278</v>
      </c>
      <c r="P223" s="172">
        <f t="shared" si="625"/>
        <v>10.181009735100751</v>
      </c>
      <c r="Q223" s="217">
        <f t="shared" si="626"/>
        <v>1.0181009735100752</v>
      </c>
      <c r="R223" s="217">
        <f t="shared" si="627"/>
        <v>14.423097124726064</v>
      </c>
      <c r="S223" s="217">
        <f t="shared" si="628"/>
        <v>170</v>
      </c>
      <c r="T223" s="217">
        <f t="shared" si="629"/>
        <v>2.75021837013526</v>
      </c>
      <c r="U223" s="217">
        <f t="shared" si="630"/>
        <v>8.9075069276102953E-2</v>
      </c>
      <c r="V223" s="217">
        <f t="shared" si="631"/>
        <v>0.16104732104894487</v>
      </c>
      <c r="W223" s="197">
        <f t="shared" si="632"/>
        <v>350</v>
      </c>
      <c r="X223" s="443">
        <f t="shared" si="691"/>
        <v>350</v>
      </c>
      <c r="Z223" s="217">
        <f t="shared" si="633"/>
        <v>31.415687182596599</v>
      </c>
      <c r="AA223" s="173">
        <f t="shared" si="634"/>
        <v>1.8396401953420254</v>
      </c>
      <c r="AB223" s="173">
        <f t="shared" si="635"/>
        <v>0.47759956581542506</v>
      </c>
      <c r="AC223" s="173"/>
      <c r="AD223" s="173">
        <f t="shared" si="636"/>
        <v>0.78077349686247788</v>
      </c>
      <c r="AE223" s="545">
        <f t="shared" si="637"/>
        <v>170.87127731921581</v>
      </c>
      <c r="AF223" s="528">
        <f t="shared" si="638"/>
        <v>8.602967233947674E-2</v>
      </c>
      <c r="AH223" s="173">
        <f t="shared" si="639"/>
        <v>9.2951600308978009</v>
      </c>
      <c r="AI223" s="173">
        <f t="shared" si="640"/>
        <v>13.333333333333334</v>
      </c>
      <c r="AJ223" s="173">
        <f t="shared" si="641"/>
        <v>1.0976407298966948</v>
      </c>
      <c r="AL223" s="545">
        <f t="shared" si="642"/>
        <v>42</v>
      </c>
      <c r="AM223" s="460">
        <f t="shared" si="643"/>
        <v>170.87127731921581</v>
      </c>
      <c r="AO223">
        <f t="shared" si="644"/>
        <v>42</v>
      </c>
      <c r="AP223">
        <f t="shared" si="645"/>
        <v>170.87127731921581</v>
      </c>
      <c r="AR223" s="5">
        <f t="shared" si="616"/>
        <v>5.8523586625494382</v>
      </c>
      <c r="AS223" s="5">
        <f t="shared" si="604"/>
        <v>0.4318448321213228</v>
      </c>
      <c r="AT223" s="5">
        <f t="shared" si="605"/>
        <v>5.4205138304281153</v>
      </c>
      <c r="AU223" s="173">
        <f t="shared" si="606"/>
        <v>7.3789878068272738E-2</v>
      </c>
      <c r="BA223" s="173">
        <f t="shared" si="692"/>
        <v>2.0911082026420593</v>
      </c>
      <c r="BB223" s="173">
        <f t="shared" si="693"/>
        <v>0.34984791603238624</v>
      </c>
      <c r="BC223" s="173">
        <f t="shared" si="694"/>
        <v>0.27660509155501778</v>
      </c>
      <c r="BD223" s="173"/>
      <c r="BE223" s="528">
        <f t="shared" si="695"/>
        <v>0.17490934060627616</v>
      </c>
      <c r="BF223" s="528">
        <f t="shared" si="646"/>
        <v>1.2290524032020889</v>
      </c>
      <c r="BG223" s="528">
        <f t="shared" si="647"/>
        <v>0.10551399614523958</v>
      </c>
      <c r="BH223" s="528">
        <f t="shared" si="696"/>
        <v>1.9645325137482631E-2</v>
      </c>
      <c r="BI223">
        <f t="shared" si="697"/>
        <v>6.9469396803090097E-3</v>
      </c>
      <c r="BJ223" s="460">
        <f t="shared" si="698"/>
        <v>112.46093582554859</v>
      </c>
      <c r="BK223">
        <f t="shared" si="648"/>
        <v>1.534608558262577</v>
      </c>
      <c r="BL223" s="460">
        <f t="shared" si="699"/>
        <v>1536.0680047713961</v>
      </c>
      <c r="BM223" s="173">
        <f t="shared" si="649"/>
        <v>3.6455999999999995E-2</v>
      </c>
      <c r="BN223" s="173">
        <f t="shared" si="650"/>
        <v>3.0380000000000001E-2</v>
      </c>
      <c r="BQ223" s="460">
        <f t="shared" si="700"/>
        <v>66.835999999999999</v>
      </c>
      <c r="BR223" s="528">
        <f t="shared" si="701"/>
        <v>0.13118200545470712</v>
      </c>
      <c r="BS223" s="528">
        <f t="shared" si="702"/>
        <v>3.6718069305661069E-3</v>
      </c>
      <c r="BT223" s="528">
        <f t="shared" si="703"/>
        <v>3.8255188337079889E-4</v>
      </c>
      <c r="BU223" s="528">
        <f t="shared" si="704"/>
        <v>12.387666668565879</v>
      </c>
      <c r="BV223" s="528"/>
      <c r="BW223" s="625">
        <f t="shared" si="705"/>
        <v>0.75942789919651477</v>
      </c>
      <c r="BX223" s="460">
        <f t="shared" si="706"/>
        <v>13282.330932031038</v>
      </c>
      <c r="BY223" s="173">
        <f t="shared" si="707"/>
        <v>14.885234936802435</v>
      </c>
      <c r="BZ223" s="5">
        <f t="shared" si="708"/>
        <v>7.5600000000000005</v>
      </c>
      <c r="CA223" s="173">
        <f t="shared" si="709"/>
        <v>0.33681982038887953</v>
      </c>
      <c r="CB223" s="5">
        <f t="shared" si="710"/>
        <v>33.681982038887952</v>
      </c>
      <c r="CC223">
        <f t="shared" si="711"/>
        <v>7.0000000000000009</v>
      </c>
      <c r="CE223" s="562">
        <f t="shared" si="651"/>
        <v>-50</v>
      </c>
      <c r="CG223" s="173">
        <f t="shared" si="652"/>
        <v>0.1299195886522542</v>
      </c>
      <c r="CH223" s="173">
        <f t="shared" si="653"/>
        <v>3.3211466378615155E-2</v>
      </c>
      <c r="CI223" s="170">
        <v>7</v>
      </c>
      <c r="CJ223" s="217">
        <f t="shared" si="712"/>
        <v>4.2000000000000003E-2</v>
      </c>
      <c r="CK223" s="217">
        <f t="shared" si="654"/>
        <v>3.5000000000000003E-2</v>
      </c>
      <c r="CL223" s="217">
        <f t="shared" si="655"/>
        <v>7.1400000000000006</v>
      </c>
      <c r="CM223" s="217">
        <f t="shared" si="656"/>
        <v>0.42000000000000004</v>
      </c>
      <c r="CN223" s="541">
        <f t="shared" si="657"/>
        <v>16</v>
      </c>
      <c r="CO223" s="443">
        <f t="shared" si="658"/>
        <v>8.5350000000000001</v>
      </c>
      <c r="CP223" s="443">
        <f t="shared" si="659"/>
        <v>24.535</v>
      </c>
      <c r="CQ223" s="443"/>
      <c r="CR223" s="217">
        <f t="shared" si="660"/>
        <v>0.34760448521916415</v>
      </c>
      <c r="CS223" s="172">
        <f t="shared" si="661"/>
        <v>175.08966662891231</v>
      </c>
      <c r="CT223" s="172">
        <f t="shared" si="662"/>
        <v>10.2993921546419</v>
      </c>
      <c r="CU223" s="217">
        <f t="shared" si="663"/>
        <v>1.02993921546419</v>
      </c>
      <c r="CV223" s="217">
        <f t="shared" si="664"/>
        <v>14.590805552409359</v>
      </c>
      <c r="CW223" s="217">
        <f t="shared" si="665"/>
        <v>170</v>
      </c>
      <c r="CX223" s="217">
        <f t="shared" si="666"/>
        <v>2.7186070381231673</v>
      </c>
      <c r="CY223" s="217">
        <f t="shared" si="667"/>
        <v>8.4956469941348978E-2</v>
      </c>
      <c r="CZ223" s="217">
        <f t="shared" si="668"/>
        <v>0.15926227522689906</v>
      </c>
      <c r="DA223" s="197">
        <f t="shared" si="669"/>
        <v>350</v>
      </c>
      <c r="DB223" s="443">
        <f t="shared" si="670"/>
        <v>350</v>
      </c>
      <c r="DD223" s="217">
        <f t="shared" si="671"/>
        <v>31.805292730501623</v>
      </c>
      <c r="DE223" s="173">
        <f t="shared" si="672"/>
        <v>1.8632274593146818</v>
      </c>
      <c r="DF223" s="173">
        <f t="shared" si="673"/>
        <v>0.4897221442551708</v>
      </c>
      <c r="DG223" s="173"/>
      <c r="DH223" s="173">
        <f t="shared" si="674"/>
        <v>0.78109744190587771</v>
      </c>
      <c r="DI223" s="545">
        <f t="shared" si="675"/>
        <v>170.80041176470593</v>
      </c>
      <c r="DJ223" s="528">
        <f t="shared" si="676"/>
        <v>8.6065366284073561E-2</v>
      </c>
      <c r="DL223" s="173">
        <f t="shared" si="677"/>
        <v>9.2951600308978009</v>
      </c>
      <c r="DM223" s="173">
        <f t="shared" si="678"/>
        <v>13.333333333333334</v>
      </c>
      <c r="DN223" s="173">
        <f t="shared" si="679"/>
        <v>1.0976002352941177</v>
      </c>
      <c r="DP223" s="545">
        <f t="shared" si="680"/>
        <v>42</v>
      </c>
      <c r="DQ223" s="460">
        <f t="shared" si="681"/>
        <v>170.80041176470593</v>
      </c>
      <c r="DS223">
        <f t="shared" si="682"/>
        <v>42</v>
      </c>
      <c r="DT223">
        <f t="shared" si="683"/>
        <v>170.80041176470593</v>
      </c>
      <c r="DV223" s="5">
        <f t="shared" si="684"/>
        <v>5.8547868220458197</v>
      </c>
      <c r="DW223" s="5">
        <f t="shared" si="685"/>
        <v>0.41666666666666669</v>
      </c>
      <c r="DX223" s="5">
        <f t="shared" si="686"/>
        <v>5.4381201553791527</v>
      </c>
      <c r="DY223" s="173">
        <f t="shared" si="687"/>
        <v>7.1166838235294141E-2</v>
      </c>
      <c r="EA223" s="5">
        <f t="shared" si="713"/>
        <v>1.0294117647058825E-2</v>
      </c>
      <c r="EB223" s="5">
        <f t="shared" si="714"/>
        <v>0.12152777777777779</v>
      </c>
      <c r="EC223" s="5">
        <f t="shared" si="715"/>
        <v>3.8828177909407153</v>
      </c>
      <c r="ED223" s="5"/>
      <c r="EE223" s="173">
        <f t="shared" si="716"/>
        <v>2.0536051513489784</v>
      </c>
      <c r="EF223" s="173">
        <f t="shared" si="717"/>
        <v>0.35034295285280964</v>
      </c>
      <c r="EG223" s="173">
        <f t="shared" si="718"/>
        <v>0.2769964893560658</v>
      </c>
      <c r="EH223" s="173"/>
      <c r="EI223" s="528">
        <f t="shared" si="719"/>
        <v>0.1686917647058824</v>
      </c>
      <c r="EJ223" s="528">
        <f t="shared" si="720"/>
        <v>1.5365489709705886</v>
      </c>
      <c r="EK223" s="528">
        <f t="shared" si="721"/>
        <v>3.4160082352941185E-2</v>
      </c>
      <c r="EL223" s="528">
        <f t="shared" si="722"/>
        <v>2.0563215819689121E-2</v>
      </c>
      <c r="EM223">
        <f t="shared" si="723"/>
        <v>7.1999999999999998E-3</v>
      </c>
      <c r="EN223" s="460">
        <f t="shared" si="724"/>
        <v>41.360082352941184</v>
      </c>
      <c r="EP223" s="460">
        <f t="shared" si="725"/>
        <v>1767.1640338491013</v>
      </c>
      <c r="EQ223" s="173">
        <f t="shared" si="726"/>
        <v>2.9399999999999999E-2</v>
      </c>
      <c r="ER223" s="173">
        <f t="shared" si="688"/>
        <v>3.0380000000000001E-2</v>
      </c>
      <c r="ES223" s="528"/>
      <c r="EU223" s="460">
        <f t="shared" si="727"/>
        <v>59.78</v>
      </c>
      <c r="EV223" s="528">
        <f t="shared" si="728"/>
        <v>0.12651882352941179</v>
      </c>
      <c r="EW223" s="528">
        <f t="shared" si="729"/>
        <v>3.6822055384087798E-3</v>
      </c>
      <c r="EX223" s="528">
        <f t="shared" si="730"/>
        <v>3.8363527557792534E-4</v>
      </c>
      <c r="EY223" s="528">
        <f t="shared" si="731"/>
        <v>12.374826800977152</v>
      </c>
      <c r="EZ223" s="528"/>
      <c r="FA223" s="625">
        <f t="shared" si="732"/>
        <v>0.75911294117647088</v>
      </c>
      <c r="FB223" s="460">
        <f t="shared" si="733"/>
        <v>13264.524406497021</v>
      </c>
      <c r="FC223" s="173">
        <f t="shared" si="734"/>
        <v>15.091468440346121</v>
      </c>
      <c r="FD223" s="5">
        <f t="shared" si="735"/>
        <v>7.5600000000000005</v>
      </c>
      <c r="FE223" s="173">
        <f t="shared" si="736"/>
        <v>0.33375319661547209</v>
      </c>
      <c r="FF223" s="5">
        <f t="shared" si="737"/>
        <v>33.375319661547209</v>
      </c>
      <c r="FG223">
        <f t="shared" si="738"/>
        <v>7.0000000000000009</v>
      </c>
      <c r="FI223" s="562">
        <f t="shared" si="689"/>
        <v>-50</v>
      </c>
    </row>
    <row r="224" spans="1:169">
      <c r="E224" s="170">
        <v>8</v>
      </c>
      <c r="F224" s="217">
        <f t="shared" si="690"/>
        <v>4.8000000000000001E-2</v>
      </c>
      <c r="G224" s="217">
        <f t="shared" si="617"/>
        <v>0.04</v>
      </c>
      <c r="H224" s="217">
        <f t="shared" si="618"/>
        <v>8.16</v>
      </c>
      <c r="I224" s="217">
        <f t="shared" si="619"/>
        <v>0.48</v>
      </c>
      <c r="J224" s="541">
        <f t="shared" si="620"/>
        <v>15.437643734020021</v>
      </c>
      <c r="K224" s="443">
        <f t="shared" si="621"/>
        <v>8.5385411946698095</v>
      </c>
      <c r="L224" s="172">
        <f t="shared" si="622"/>
        <v>23.976184928689833</v>
      </c>
      <c r="M224" s="443"/>
      <c r="N224" s="217">
        <f t="shared" si="623"/>
        <v>0.35612593163029105</v>
      </c>
      <c r="O224" s="172">
        <f t="shared" si="624"/>
        <v>173.07716549671278</v>
      </c>
      <c r="P224" s="172">
        <f t="shared" si="625"/>
        <v>10.181009735100751</v>
      </c>
      <c r="Q224" s="217">
        <f t="shared" si="626"/>
        <v>1.0181009735100752</v>
      </c>
      <c r="R224" s="217">
        <f t="shared" si="627"/>
        <v>14.423097124726064</v>
      </c>
      <c r="S224" s="217">
        <f t="shared" si="628"/>
        <v>170</v>
      </c>
      <c r="T224" s="217">
        <f t="shared" si="629"/>
        <v>3.1431067087260116</v>
      </c>
      <c r="U224" s="217">
        <f t="shared" si="630"/>
        <v>0.10180007917268909</v>
      </c>
      <c r="V224" s="217">
        <f t="shared" si="631"/>
        <v>0.18405408119879413</v>
      </c>
      <c r="W224" s="197">
        <f t="shared" si="632"/>
        <v>350</v>
      </c>
      <c r="X224" s="443">
        <f t="shared" si="691"/>
        <v>350</v>
      </c>
      <c r="Z224" s="217">
        <f t="shared" si="633"/>
        <v>31.415687182596599</v>
      </c>
      <c r="AA224" s="173">
        <f t="shared" si="634"/>
        <v>1.8396401953420254</v>
      </c>
      <c r="AB224" s="173">
        <f t="shared" si="635"/>
        <v>0.47759956581542506</v>
      </c>
      <c r="AC224" s="173"/>
      <c r="AD224" s="173">
        <f t="shared" si="636"/>
        <v>0.78077349686247788</v>
      </c>
      <c r="AE224" s="545">
        <f t="shared" si="637"/>
        <v>195.2814597933895</v>
      </c>
      <c r="AF224" s="528">
        <f t="shared" si="638"/>
        <v>8.602967233947674E-2</v>
      </c>
      <c r="AH224" s="173">
        <f t="shared" si="639"/>
        <v>9.936944054529901</v>
      </c>
      <c r="AI224" s="173">
        <f t="shared" si="640"/>
        <v>13.333333333333334</v>
      </c>
      <c r="AJ224" s="173">
        <f t="shared" si="641"/>
        <v>1.1115894055962225</v>
      </c>
      <c r="AL224" s="545">
        <f t="shared" si="642"/>
        <v>48</v>
      </c>
      <c r="AM224" s="460">
        <f t="shared" si="643"/>
        <v>195.2814597933895</v>
      </c>
      <c r="AO224">
        <f t="shared" si="644"/>
        <v>48</v>
      </c>
      <c r="AP224">
        <f t="shared" si="645"/>
        <v>195.2814597933895</v>
      </c>
      <c r="AR224" s="5">
        <f t="shared" si="616"/>
        <v>5.1208138297307579</v>
      </c>
      <c r="AS224" s="5">
        <f t="shared" si="604"/>
        <v>0.4318448321213228</v>
      </c>
      <c r="AT224" s="5">
        <f t="shared" si="605"/>
        <v>4.6889689976094351</v>
      </c>
      <c r="AU224" s="173">
        <f t="shared" si="606"/>
        <v>8.4331289220883149E-2</v>
      </c>
      <c r="BA224" s="173">
        <f t="shared" si="692"/>
        <v>2.2354887008454978</v>
      </c>
      <c r="BB224" s="173">
        <f t="shared" si="693"/>
        <v>0.34785136904973962</v>
      </c>
      <c r="BC224" s="173">
        <f t="shared" si="694"/>
        <v>0.27502653402867328</v>
      </c>
      <c r="BD224" s="173"/>
      <c r="BE224" s="528">
        <f t="shared" si="695"/>
        <v>0.19989638926431569</v>
      </c>
      <c r="BF224" s="528">
        <f t="shared" si="646"/>
        <v>1.4046313179452443</v>
      </c>
      <c r="BG224" s="528">
        <f t="shared" si="647"/>
        <v>0.12058742416598808</v>
      </c>
      <c r="BH224" s="528">
        <f t="shared" si="696"/>
        <v>2.2451800157123007E-2</v>
      </c>
      <c r="BI224">
        <f t="shared" si="697"/>
        <v>6.9469396803090097E-3</v>
      </c>
      <c r="BJ224" s="460">
        <f t="shared" si="698"/>
        <v>127.5343638462971</v>
      </c>
      <c r="BK224">
        <f t="shared" si="648"/>
        <v>1.7647699558192254</v>
      </c>
      <c r="BL224" s="460">
        <f t="shared" si="699"/>
        <v>1754.5138712129801</v>
      </c>
      <c r="BM224" s="173">
        <f t="shared" si="649"/>
        <v>4.1664E-2</v>
      </c>
      <c r="BN224" s="173">
        <f t="shared" si="650"/>
        <v>3.4719999999999994E-2</v>
      </c>
      <c r="BQ224" s="460">
        <f t="shared" si="700"/>
        <v>76.384</v>
      </c>
      <c r="BR224" s="528">
        <f t="shared" si="701"/>
        <v>0.14992229194823675</v>
      </c>
      <c r="BS224" s="528">
        <f t="shared" si="702"/>
        <v>3.6300172484933445E-3</v>
      </c>
      <c r="BT224" s="528">
        <f t="shared" si="703"/>
        <v>3.7819797209912492E-4</v>
      </c>
      <c r="BU224" s="528">
        <f t="shared" si="704"/>
        <v>17.296943951611102</v>
      </c>
      <c r="BV224" s="528"/>
      <c r="BW224" s="625">
        <f t="shared" si="705"/>
        <v>0.86791759908173127</v>
      </c>
      <c r="BX224" s="460">
        <f t="shared" si="706"/>
        <v>18318.792057861665</v>
      </c>
      <c r="BY224" s="173">
        <f t="shared" si="707"/>
        <v>20.149689929074643</v>
      </c>
      <c r="BZ224" s="5">
        <f t="shared" si="708"/>
        <v>8.64</v>
      </c>
      <c r="CA224" s="173">
        <f t="shared" si="709"/>
        <v>0.30010743503265325</v>
      </c>
      <c r="CB224" s="5">
        <f t="shared" si="710"/>
        <v>30.010743503265324</v>
      </c>
      <c r="CC224">
        <f t="shared" si="711"/>
        <v>8</v>
      </c>
      <c r="CE224" s="562">
        <f t="shared" si="651"/>
        <v>-50</v>
      </c>
      <c r="CG224" s="173">
        <f t="shared" si="652"/>
        <v>0.1484795298882905</v>
      </c>
      <c r="CH224" s="173">
        <f t="shared" si="653"/>
        <v>3.7955961575560172E-2</v>
      </c>
      <c r="CI224" s="170">
        <v>8</v>
      </c>
      <c r="CJ224" s="217">
        <f t="shared" si="712"/>
        <v>4.8000000000000001E-2</v>
      </c>
      <c r="CK224" s="217">
        <f t="shared" si="654"/>
        <v>0.04</v>
      </c>
      <c r="CL224" s="217">
        <f t="shared" si="655"/>
        <v>8.16</v>
      </c>
      <c r="CM224" s="217">
        <f t="shared" si="656"/>
        <v>0.48</v>
      </c>
      <c r="CN224" s="541">
        <f t="shared" si="657"/>
        <v>16</v>
      </c>
      <c r="CO224" s="443">
        <f t="shared" si="658"/>
        <v>8.5350000000000001</v>
      </c>
      <c r="CP224" s="443">
        <f t="shared" si="659"/>
        <v>24.535</v>
      </c>
      <c r="CQ224" s="443"/>
      <c r="CR224" s="217">
        <f t="shared" si="660"/>
        <v>0.34760448521916415</v>
      </c>
      <c r="CS224" s="172">
        <f t="shared" si="661"/>
        <v>175.08966662891231</v>
      </c>
      <c r="CT224" s="172">
        <f t="shared" si="662"/>
        <v>10.2993921546419</v>
      </c>
      <c r="CU224" s="217">
        <f t="shared" si="663"/>
        <v>1.02993921546419</v>
      </c>
      <c r="CV224" s="217">
        <f t="shared" si="664"/>
        <v>14.590805552409359</v>
      </c>
      <c r="CW224" s="217">
        <f t="shared" si="665"/>
        <v>170</v>
      </c>
      <c r="CX224" s="217">
        <f t="shared" si="666"/>
        <v>3.1069794721407624</v>
      </c>
      <c r="CY224" s="217">
        <f t="shared" si="667"/>
        <v>9.7093108504398812E-2</v>
      </c>
      <c r="CZ224" s="217">
        <f t="shared" si="668"/>
        <v>0.18201402883074178</v>
      </c>
      <c r="DA224" s="197">
        <f t="shared" si="669"/>
        <v>350</v>
      </c>
      <c r="DB224" s="443">
        <f t="shared" si="670"/>
        <v>350</v>
      </c>
      <c r="DD224" s="217">
        <f t="shared" si="671"/>
        <v>31.805292730501623</v>
      </c>
      <c r="DE224" s="173">
        <f t="shared" si="672"/>
        <v>1.8632274593146818</v>
      </c>
      <c r="DF224" s="173">
        <f t="shared" si="673"/>
        <v>0.4897221442551708</v>
      </c>
      <c r="DG224" s="173"/>
      <c r="DH224" s="173">
        <f t="shared" si="674"/>
        <v>0.78109744190587771</v>
      </c>
      <c r="DI224" s="545">
        <f t="shared" si="675"/>
        <v>195.20047058823533</v>
      </c>
      <c r="DJ224" s="528">
        <f t="shared" si="676"/>
        <v>8.6065366284073561E-2</v>
      </c>
      <c r="DL224" s="173">
        <f t="shared" si="677"/>
        <v>9.936944054529901</v>
      </c>
      <c r="DM224" s="173">
        <f t="shared" si="678"/>
        <v>13.333333333333334</v>
      </c>
      <c r="DN224" s="173">
        <f t="shared" si="679"/>
        <v>1.1115431260504203</v>
      </c>
      <c r="DP224" s="545">
        <f t="shared" si="680"/>
        <v>48</v>
      </c>
      <c r="DQ224" s="460">
        <f t="shared" si="681"/>
        <v>195.20047058823533</v>
      </c>
      <c r="DS224">
        <f t="shared" si="682"/>
        <v>48</v>
      </c>
      <c r="DT224">
        <f t="shared" si="683"/>
        <v>195.20047058823533</v>
      </c>
      <c r="DV224" s="5">
        <f t="shared" si="684"/>
        <v>5.1229384692900926</v>
      </c>
      <c r="DW224" s="5">
        <f t="shared" si="685"/>
        <v>0.41666666666666669</v>
      </c>
      <c r="DX224" s="5">
        <f t="shared" si="686"/>
        <v>4.7062718026234256</v>
      </c>
      <c r="DY224" s="173">
        <f t="shared" si="687"/>
        <v>8.1333529411764721E-2</v>
      </c>
      <c r="EA224" s="5">
        <f t="shared" si="713"/>
        <v>1.1764705882352941E-2</v>
      </c>
      <c r="EB224" s="5">
        <f t="shared" si="714"/>
        <v>0.1388888888888889</v>
      </c>
      <c r="EC224" s="5">
        <f t="shared" si="715"/>
        <v>3.8403177909407153</v>
      </c>
      <c r="ED224" s="5"/>
      <c r="EE224" s="173">
        <f t="shared" si="716"/>
        <v>2.1953962525891209</v>
      </c>
      <c r="EF224" s="173">
        <f t="shared" si="717"/>
        <v>0.34842030995825113</v>
      </c>
      <c r="EG224" s="173">
        <f t="shared" si="718"/>
        <v>0.27547636363998829</v>
      </c>
      <c r="EH224" s="173"/>
      <c r="EI224" s="528">
        <f t="shared" si="719"/>
        <v>0.19279058823529419</v>
      </c>
      <c r="EJ224" s="528">
        <f t="shared" si="720"/>
        <v>1.7560559668235298</v>
      </c>
      <c r="EK224" s="528">
        <f t="shared" si="721"/>
        <v>3.9040094117647063E-2</v>
      </c>
      <c r="EL224" s="528">
        <f t="shared" si="722"/>
        <v>2.3500818079644711E-2</v>
      </c>
      <c r="EM224">
        <f t="shared" si="723"/>
        <v>7.1999999999999998E-3</v>
      </c>
      <c r="EN224" s="460">
        <f t="shared" si="724"/>
        <v>46.240094117647061</v>
      </c>
      <c r="EP224" s="460">
        <f t="shared" si="725"/>
        <v>2018.5874672561158</v>
      </c>
      <c r="EQ224" s="173">
        <f t="shared" si="726"/>
        <v>3.3599999999999998E-2</v>
      </c>
      <c r="ER224" s="173">
        <f t="shared" si="688"/>
        <v>3.4719999999999994E-2</v>
      </c>
      <c r="ES224" s="528"/>
      <c r="EU224" s="460">
        <f t="shared" si="727"/>
        <v>68.319999999999993</v>
      </c>
      <c r="EV224" s="528">
        <f t="shared" si="728"/>
        <v>0.14459294117647062</v>
      </c>
      <c r="EW224" s="528">
        <f t="shared" si="729"/>
        <v>3.6419013717421136E-3</v>
      </c>
      <c r="EX224" s="528">
        <f t="shared" si="730"/>
        <v>3.7943613462155531E-4</v>
      </c>
      <c r="EY224" s="528">
        <f t="shared" si="731"/>
        <v>17.279015597872601</v>
      </c>
      <c r="EZ224" s="528"/>
      <c r="FA224" s="625">
        <f t="shared" si="732"/>
        <v>0.86755764705882377</v>
      </c>
      <c r="FB224" s="460">
        <f t="shared" si="733"/>
        <v>18295.187523614259</v>
      </c>
      <c r="FC224" s="173">
        <f t="shared" si="734"/>
        <v>20.382094990870375</v>
      </c>
      <c r="FD224" s="5">
        <f t="shared" si="735"/>
        <v>8.64</v>
      </c>
      <c r="FE224" s="173">
        <f t="shared" si="736"/>
        <v>0.29770421476181952</v>
      </c>
      <c r="FF224" s="5">
        <f t="shared" si="737"/>
        <v>29.770421476181951</v>
      </c>
      <c r="FG224">
        <f t="shared" si="738"/>
        <v>8</v>
      </c>
      <c r="FI224" s="562">
        <f t="shared" si="689"/>
        <v>-50</v>
      </c>
    </row>
    <row r="225" spans="5:165">
      <c r="E225" s="170">
        <v>9</v>
      </c>
      <c r="F225" s="217">
        <f t="shared" si="690"/>
        <v>5.3999999999999999E-2</v>
      </c>
      <c r="G225" s="217">
        <f t="shared" si="617"/>
        <v>4.4999999999999998E-2</v>
      </c>
      <c r="H225" s="217">
        <f t="shared" si="618"/>
        <v>9.18</v>
      </c>
      <c r="I225" s="217">
        <f t="shared" si="619"/>
        <v>0.54</v>
      </c>
      <c r="J225" s="541">
        <f t="shared" si="620"/>
        <v>15.437643734020021</v>
      </c>
      <c r="K225" s="443">
        <f t="shared" si="621"/>
        <v>8.5385411946698095</v>
      </c>
      <c r="L225" s="172">
        <f t="shared" si="622"/>
        <v>23.976184928689833</v>
      </c>
      <c r="M225" s="443"/>
      <c r="N225" s="217">
        <f t="shared" si="623"/>
        <v>0.35612593163029105</v>
      </c>
      <c r="O225" s="172">
        <f t="shared" si="624"/>
        <v>173.07716549671278</v>
      </c>
      <c r="P225" s="172">
        <f t="shared" si="625"/>
        <v>10.181009735100751</v>
      </c>
      <c r="Q225" s="217">
        <f t="shared" si="626"/>
        <v>1.0181009735100752</v>
      </c>
      <c r="R225" s="217">
        <f t="shared" si="627"/>
        <v>14.423097124726064</v>
      </c>
      <c r="S225" s="217">
        <f t="shared" si="628"/>
        <v>170</v>
      </c>
      <c r="T225" s="217">
        <f t="shared" si="629"/>
        <v>3.5359950473167623</v>
      </c>
      <c r="U225" s="217">
        <f t="shared" si="630"/>
        <v>0.11452508906927519</v>
      </c>
      <c r="V225" s="217">
        <f t="shared" si="631"/>
        <v>0.20706084134864336</v>
      </c>
      <c r="W225" s="197">
        <f t="shared" si="632"/>
        <v>350</v>
      </c>
      <c r="X225" s="443">
        <f t="shared" si="691"/>
        <v>350</v>
      </c>
      <c r="Z225" s="217">
        <f t="shared" si="633"/>
        <v>31.415687182596599</v>
      </c>
      <c r="AA225" s="173">
        <f t="shared" si="634"/>
        <v>1.8396401953420254</v>
      </c>
      <c r="AB225" s="173">
        <f t="shared" si="635"/>
        <v>0.47759956581542506</v>
      </c>
      <c r="AC225" s="173"/>
      <c r="AD225" s="173">
        <f t="shared" si="636"/>
        <v>0.78077349686247788</v>
      </c>
      <c r="AE225" s="545">
        <f t="shared" si="637"/>
        <v>219.69164226756317</v>
      </c>
      <c r="AF225" s="528">
        <f t="shared" si="638"/>
        <v>8.602967233947674E-2</v>
      </c>
      <c r="AH225" s="173">
        <f t="shared" si="639"/>
        <v>10.539720787844157</v>
      </c>
      <c r="AI225" s="173">
        <f t="shared" si="640"/>
        <v>13.333333333333334</v>
      </c>
      <c r="AJ225" s="173">
        <f t="shared" si="641"/>
        <v>1.1255380812957503</v>
      </c>
      <c r="AL225" s="545">
        <f t="shared" si="642"/>
        <v>54</v>
      </c>
      <c r="AM225" s="460">
        <f t="shared" si="643"/>
        <v>219.69164226756317</v>
      </c>
      <c r="AO225">
        <f t="shared" si="644"/>
        <v>54</v>
      </c>
      <c r="AP225">
        <f t="shared" si="645"/>
        <v>219.69164226756317</v>
      </c>
      <c r="AR225" s="5">
        <f t="shared" si="616"/>
        <v>4.5518345153162301</v>
      </c>
      <c r="AS225" s="5">
        <f t="shared" si="604"/>
        <v>0.4318448321213228</v>
      </c>
      <c r="AT225" s="5">
        <f t="shared" si="605"/>
        <v>4.1199896831949072</v>
      </c>
      <c r="AU225" s="173">
        <f t="shared" si="606"/>
        <v>9.4872700373493518E-2</v>
      </c>
      <c r="BA225" s="173">
        <f t="shared" si="692"/>
        <v>2.3710938294506345</v>
      </c>
      <c r="BB225" s="173">
        <f t="shared" si="693"/>
        <v>0.34584329623017523</v>
      </c>
      <c r="BC225" s="173">
        <f t="shared" si="694"/>
        <v>0.2734388636706388</v>
      </c>
      <c r="BD225" s="173"/>
      <c r="BE225" s="528">
        <f t="shared" si="695"/>
        <v>0.22488343792235499</v>
      </c>
      <c r="BF225" s="528">
        <f t="shared" si="646"/>
        <v>1.5802102326883998</v>
      </c>
      <c r="BG225" s="528">
        <f t="shared" si="647"/>
        <v>0.13566085218673657</v>
      </c>
      <c r="BH225" s="528">
        <f t="shared" si="696"/>
        <v>2.5258275176763378E-2</v>
      </c>
      <c r="BI225">
        <f t="shared" si="697"/>
        <v>6.9469396803090097E-3</v>
      </c>
      <c r="BJ225" s="460">
        <f t="shared" si="698"/>
        <v>142.60779186704559</v>
      </c>
      <c r="BK225">
        <f t="shared" si="648"/>
        <v>1.99781852234835</v>
      </c>
      <c r="BL225" s="460">
        <f t="shared" si="699"/>
        <v>1972.9597376545637</v>
      </c>
      <c r="BM225" s="173">
        <f t="shared" si="649"/>
        <v>4.6871999999999997E-2</v>
      </c>
      <c r="BN225" s="173">
        <f t="shared" si="650"/>
        <v>3.9059999999999997E-2</v>
      </c>
      <c r="BQ225" s="460">
        <f t="shared" si="700"/>
        <v>85.931999999999988</v>
      </c>
      <c r="BR225" s="528">
        <f t="shared" si="701"/>
        <v>0.16866257844176621</v>
      </c>
      <c r="BS225" s="528">
        <f t="shared" si="702"/>
        <v>3.5882275664205817E-3</v>
      </c>
      <c r="BT225" s="528">
        <f t="shared" si="703"/>
        <v>3.7384406082745101E-4</v>
      </c>
      <c r="BU225" s="528">
        <f t="shared" si="704"/>
        <v>23.219383484086283</v>
      </c>
      <c r="BV225" s="528"/>
      <c r="BW225" s="625">
        <f t="shared" si="705"/>
        <v>0.97640729896694756</v>
      </c>
      <c r="BX225" s="460">
        <f t="shared" si="706"/>
        <v>24368.415433122245</v>
      </c>
      <c r="BY225" s="173">
        <f t="shared" si="707"/>
        <v>26.427307170776807</v>
      </c>
      <c r="BZ225" s="5">
        <f t="shared" si="708"/>
        <v>9.7199999999999989</v>
      </c>
      <c r="CA225" s="173">
        <f t="shared" si="709"/>
        <v>0.26889969850529022</v>
      </c>
      <c r="CB225" s="5">
        <f t="shared" si="710"/>
        <v>26.88996985052902</v>
      </c>
      <c r="CC225">
        <f t="shared" si="711"/>
        <v>9</v>
      </c>
      <c r="CE225" s="562">
        <f t="shared" si="651"/>
        <v>-50</v>
      </c>
      <c r="CG225" s="173">
        <f t="shared" si="652"/>
        <v>0.16703947112432679</v>
      </c>
      <c r="CH225" s="173">
        <f t="shared" si="653"/>
        <v>4.2700456772505196E-2</v>
      </c>
      <c r="CI225" s="170">
        <v>9</v>
      </c>
      <c r="CJ225" s="217">
        <f t="shared" si="712"/>
        <v>5.3999999999999999E-2</v>
      </c>
      <c r="CK225" s="217">
        <f t="shared" si="654"/>
        <v>4.4999999999999998E-2</v>
      </c>
      <c r="CL225" s="217">
        <f t="shared" si="655"/>
        <v>9.18</v>
      </c>
      <c r="CM225" s="217">
        <f t="shared" si="656"/>
        <v>0.54</v>
      </c>
      <c r="CN225" s="541">
        <f t="shared" si="657"/>
        <v>16</v>
      </c>
      <c r="CO225" s="443">
        <f t="shared" si="658"/>
        <v>8.5350000000000001</v>
      </c>
      <c r="CP225" s="443">
        <f t="shared" si="659"/>
        <v>24.535</v>
      </c>
      <c r="CQ225" s="443"/>
      <c r="CR225" s="217">
        <f t="shared" si="660"/>
        <v>0.34760448521916415</v>
      </c>
      <c r="CS225" s="172">
        <f t="shared" si="661"/>
        <v>175.08966662891231</v>
      </c>
      <c r="CT225" s="172">
        <f t="shared" si="662"/>
        <v>10.2993921546419</v>
      </c>
      <c r="CU225" s="217">
        <f t="shared" si="663"/>
        <v>1.02993921546419</v>
      </c>
      <c r="CV225" s="217">
        <f t="shared" si="664"/>
        <v>14.590805552409359</v>
      </c>
      <c r="CW225" s="217">
        <f t="shared" si="665"/>
        <v>170</v>
      </c>
      <c r="CX225" s="217">
        <f t="shared" si="666"/>
        <v>3.4953519061583571</v>
      </c>
      <c r="CY225" s="217">
        <f t="shared" si="667"/>
        <v>0.10922974706744865</v>
      </c>
      <c r="CZ225" s="217">
        <f t="shared" si="668"/>
        <v>0.20476578243458446</v>
      </c>
      <c r="DA225" s="197">
        <f t="shared" si="669"/>
        <v>350</v>
      </c>
      <c r="DB225" s="443">
        <f t="shared" si="670"/>
        <v>350</v>
      </c>
      <c r="DD225" s="217">
        <f t="shared" si="671"/>
        <v>31.805292730501623</v>
      </c>
      <c r="DE225" s="173">
        <f t="shared" si="672"/>
        <v>1.8632274593146818</v>
      </c>
      <c r="DF225" s="173">
        <f t="shared" si="673"/>
        <v>0.4897221442551708</v>
      </c>
      <c r="DG225" s="173"/>
      <c r="DH225" s="173">
        <f t="shared" si="674"/>
        <v>0.78109744190587771</v>
      </c>
      <c r="DI225" s="545">
        <f t="shared" si="675"/>
        <v>219.60052941176471</v>
      </c>
      <c r="DJ225" s="528">
        <f t="shared" si="676"/>
        <v>8.6065366284073561E-2</v>
      </c>
      <c r="DL225" s="173">
        <f t="shared" si="677"/>
        <v>10.539720787844157</v>
      </c>
      <c r="DM225" s="173">
        <f t="shared" si="678"/>
        <v>13.333333333333334</v>
      </c>
      <c r="DN225" s="173">
        <f t="shared" si="679"/>
        <v>1.1254860168067227</v>
      </c>
      <c r="DP225" s="545">
        <f t="shared" si="680"/>
        <v>54</v>
      </c>
      <c r="DQ225" s="460">
        <f t="shared" si="681"/>
        <v>219.60052941176471</v>
      </c>
      <c r="DS225">
        <f t="shared" si="682"/>
        <v>54</v>
      </c>
      <c r="DT225">
        <f t="shared" si="683"/>
        <v>219.60052941176471</v>
      </c>
      <c r="DV225" s="5">
        <f t="shared" si="684"/>
        <v>4.5537230838134164</v>
      </c>
      <c r="DW225" s="5">
        <f t="shared" si="685"/>
        <v>0.41666666666666669</v>
      </c>
      <c r="DX225" s="5">
        <f t="shared" si="686"/>
        <v>4.1370564171467494</v>
      </c>
      <c r="DY225" s="173">
        <f t="shared" si="687"/>
        <v>9.1500220588235301E-2</v>
      </c>
      <c r="EA225" s="5">
        <f t="shared" si="713"/>
        <v>1.3235294117647057E-2</v>
      </c>
      <c r="EB225" s="5">
        <f t="shared" si="714"/>
        <v>0.15625</v>
      </c>
      <c r="EC225" s="5">
        <f t="shared" si="715"/>
        <v>3.7978177909407158</v>
      </c>
      <c r="ED225" s="5"/>
      <c r="EE225" s="173">
        <f t="shared" si="716"/>
        <v>2.3285693663959526</v>
      </c>
      <c r="EF225" s="173">
        <f t="shared" si="717"/>
        <v>0.34648699855720644</v>
      </c>
      <c r="EG225" s="173">
        <f t="shared" si="718"/>
        <v>0.27394780293522525</v>
      </c>
      <c r="EH225" s="173"/>
      <c r="EI225" s="528">
        <f t="shared" si="719"/>
        <v>0.21688941176470594</v>
      </c>
      <c r="EJ225" s="528">
        <f t="shared" si="720"/>
        <v>1.9755629626764708</v>
      </c>
      <c r="EK225" s="528">
        <f t="shared" si="721"/>
        <v>4.3920105882352942E-2</v>
      </c>
      <c r="EL225" s="528">
        <f t="shared" si="722"/>
        <v>2.6438420339600296E-2</v>
      </c>
      <c r="EM225">
        <f t="shared" si="723"/>
        <v>7.1999999999999998E-3</v>
      </c>
      <c r="EN225" s="460">
        <f t="shared" si="724"/>
        <v>51.120105882352938</v>
      </c>
      <c r="EP225" s="460">
        <f t="shared" si="725"/>
        <v>2270.0109006631301</v>
      </c>
      <c r="EQ225" s="173">
        <f t="shared" si="726"/>
        <v>3.78E-2</v>
      </c>
      <c r="ER225" s="173">
        <f t="shared" si="688"/>
        <v>3.9059999999999997E-2</v>
      </c>
      <c r="ES225" s="528"/>
      <c r="EU225" s="460">
        <f t="shared" si="727"/>
        <v>76.86</v>
      </c>
      <c r="EV225" s="528">
        <f t="shared" si="728"/>
        <v>0.16266705882352944</v>
      </c>
      <c r="EW225" s="528">
        <f t="shared" si="729"/>
        <v>3.6015972050754473E-3</v>
      </c>
      <c r="EX225" s="528">
        <f t="shared" si="730"/>
        <v>3.7523699366518506E-4</v>
      </c>
      <c r="EY225" s="528">
        <f t="shared" si="731"/>
        <v>23.195316497348209</v>
      </c>
      <c r="EZ225" s="528"/>
      <c r="FA225" s="625">
        <f t="shared" si="732"/>
        <v>0.97600235294117665</v>
      </c>
      <c r="FB225" s="460">
        <f t="shared" si="733"/>
        <v>24337.962743311658</v>
      </c>
      <c r="FC225" s="173">
        <f t="shared" si="734"/>
        <v>26.684833643974784</v>
      </c>
      <c r="FD225" s="5">
        <f t="shared" si="735"/>
        <v>9.7199999999999989</v>
      </c>
      <c r="FE225" s="173">
        <f t="shared" si="736"/>
        <v>0.26699751178807313</v>
      </c>
      <c r="FF225" s="5">
        <f t="shared" si="737"/>
        <v>26.699751178807311</v>
      </c>
      <c r="FG225">
        <f t="shared" si="738"/>
        <v>9</v>
      </c>
      <c r="FI225" s="562">
        <f t="shared" si="689"/>
        <v>-50</v>
      </c>
    </row>
    <row r="226" spans="5:165">
      <c r="E226" s="170">
        <v>10</v>
      </c>
      <c r="F226" s="217">
        <f t="shared" si="690"/>
        <v>0.06</v>
      </c>
      <c r="G226" s="217">
        <f t="shared" si="617"/>
        <v>0.05</v>
      </c>
      <c r="H226" s="217">
        <f t="shared" si="618"/>
        <v>10.199999999999999</v>
      </c>
      <c r="I226" s="217">
        <f t="shared" si="619"/>
        <v>0.60000000000000009</v>
      </c>
      <c r="J226" s="541">
        <f t="shared" si="620"/>
        <v>15.437643734020021</v>
      </c>
      <c r="K226" s="443">
        <f t="shared" si="621"/>
        <v>8.5385411946698095</v>
      </c>
      <c r="L226" s="172">
        <f t="shared" si="622"/>
        <v>23.976184928689833</v>
      </c>
      <c r="M226" s="443"/>
      <c r="N226" s="217">
        <f t="shared" si="623"/>
        <v>0.35612593163029105</v>
      </c>
      <c r="O226" s="172">
        <f t="shared" si="624"/>
        <v>173.07716549671278</v>
      </c>
      <c r="P226" s="172">
        <f t="shared" si="625"/>
        <v>10.181009735100751</v>
      </c>
      <c r="Q226" s="217">
        <f t="shared" si="626"/>
        <v>1.0181009735100752</v>
      </c>
      <c r="R226" s="217">
        <f t="shared" si="627"/>
        <v>14.423097124726064</v>
      </c>
      <c r="S226" s="217">
        <f t="shared" si="628"/>
        <v>170</v>
      </c>
      <c r="T226" s="217">
        <f t="shared" si="629"/>
        <v>3.9288833859075138</v>
      </c>
      <c r="U226" s="217">
        <f t="shared" si="630"/>
        <v>0.12725009896586134</v>
      </c>
      <c r="V226" s="217">
        <f t="shared" si="631"/>
        <v>0.23006760149849262</v>
      </c>
      <c r="W226" s="197">
        <f t="shared" si="632"/>
        <v>350</v>
      </c>
      <c r="X226" s="443">
        <f t="shared" si="691"/>
        <v>350</v>
      </c>
      <c r="Z226" s="217">
        <f t="shared" si="633"/>
        <v>31.415687182596599</v>
      </c>
      <c r="AA226" s="173">
        <f t="shared" si="634"/>
        <v>1.8396401953420254</v>
      </c>
      <c r="AB226" s="173">
        <f t="shared" si="635"/>
        <v>0.47759956581542506</v>
      </c>
      <c r="AC226" s="173"/>
      <c r="AD226" s="173">
        <f t="shared" si="636"/>
        <v>0.78077349686247788</v>
      </c>
      <c r="AE226" s="545">
        <f t="shared" si="637"/>
        <v>244.10182474173686</v>
      </c>
      <c r="AF226" s="528">
        <f t="shared" si="638"/>
        <v>8.602967233947674E-2</v>
      </c>
      <c r="AH226" s="173">
        <f t="shared" si="639"/>
        <v>11.109841197270617</v>
      </c>
      <c r="AI226" s="173">
        <f t="shared" si="640"/>
        <v>13.333333333333334</v>
      </c>
      <c r="AJ226" s="173">
        <f t="shared" si="641"/>
        <v>1.1394867569952782</v>
      </c>
      <c r="AL226" s="545">
        <f t="shared" si="642"/>
        <v>60</v>
      </c>
      <c r="AM226" s="460">
        <f t="shared" si="643"/>
        <v>244.10182474173686</v>
      </c>
      <c r="AO226">
        <f t="shared" si="644"/>
        <v>60</v>
      </c>
      <c r="AP226">
        <f t="shared" si="645"/>
        <v>244.10182474173686</v>
      </c>
      <c r="AR226" s="5">
        <f t="shared" si="616"/>
        <v>4.0966510637846065</v>
      </c>
      <c r="AS226" s="5">
        <f t="shared" si="604"/>
        <v>0.4318448321213228</v>
      </c>
      <c r="AT226" s="5">
        <f t="shared" si="605"/>
        <v>3.6648062316632837</v>
      </c>
      <c r="AU226" s="173">
        <f t="shared" si="606"/>
        <v>0.10541411152610393</v>
      </c>
      <c r="BA226" s="173">
        <f t="shared" si="692"/>
        <v>2.4993523490116116</v>
      </c>
      <c r="BB226" s="173">
        <f t="shared" si="693"/>
        <v>0.34382349562664749</v>
      </c>
      <c r="BC226" s="173">
        <f t="shared" si="694"/>
        <v>0.27184192081273151</v>
      </c>
      <c r="BD226" s="173"/>
      <c r="BE226" s="528">
        <f t="shared" si="695"/>
        <v>0.24987048658039446</v>
      </c>
      <c r="BF226" s="528">
        <f t="shared" si="646"/>
        <v>1.7557891474315557</v>
      </c>
      <c r="BG226" s="528">
        <f t="shared" si="647"/>
        <v>0.15073428020748511</v>
      </c>
      <c r="BH226" s="528">
        <f t="shared" si="696"/>
        <v>2.8064750196403754E-2</v>
      </c>
      <c r="BI226">
        <f t="shared" si="697"/>
        <v>6.9469396803090097E-3</v>
      </c>
      <c r="BJ226" s="460">
        <f t="shared" si="698"/>
        <v>157.68121988779413</v>
      </c>
      <c r="BK226">
        <f t="shared" si="648"/>
        <v>2.2338089261630381</v>
      </c>
      <c r="BL226" s="460">
        <f t="shared" si="699"/>
        <v>2191.4056040961477</v>
      </c>
      <c r="BM226" s="173">
        <f t="shared" si="649"/>
        <v>5.2079999999999994E-2</v>
      </c>
      <c r="BN226" s="173">
        <f t="shared" si="650"/>
        <v>4.3399999999999994E-2</v>
      </c>
      <c r="BQ226" s="460">
        <f t="shared" si="700"/>
        <v>95.479999999999976</v>
      </c>
      <c r="BR226" s="528">
        <f t="shared" si="701"/>
        <v>0.18740286493529584</v>
      </c>
      <c r="BS226" s="528">
        <f t="shared" si="702"/>
        <v>3.5464378843478184E-3</v>
      </c>
      <c r="BT226" s="528">
        <f t="shared" si="703"/>
        <v>3.6949014955577698E-4</v>
      </c>
      <c r="BU226" s="528">
        <f t="shared" si="704"/>
        <v>30.216517561567372</v>
      </c>
      <c r="BV226" s="528"/>
      <c r="BW226" s="625">
        <f t="shared" si="705"/>
        <v>1.084896998852164</v>
      </c>
      <c r="BX226" s="460">
        <f t="shared" si="706"/>
        <v>31492.733353388732</v>
      </c>
      <c r="BY226" s="173">
        <f t="shared" si="707"/>
        <v>33.779618957484885</v>
      </c>
      <c r="BZ226" s="5">
        <f t="shared" si="708"/>
        <v>10.799999999999999</v>
      </c>
      <c r="CA226" s="173">
        <f t="shared" si="709"/>
        <v>0.242263174351038</v>
      </c>
      <c r="CB226" s="5">
        <f t="shared" si="710"/>
        <v>24.226317435103802</v>
      </c>
      <c r="CC226">
        <f t="shared" si="711"/>
        <v>10</v>
      </c>
      <c r="CE226" s="562">
        <f t="shared" si="651"/>
        <v>-50</v>
      </c>
      <c r="CG226" s="173">
        <f t="shared" si="652"/>
        <v>0.18559941236036309</v>
      </c>
      <c r="CH226" s="173">
        <f t="shared" si="653"/>
        <v>4.7444951969450221E-2</v>
      </c>
      <c r="CI226" s="170">
        <v>10</v>
      </c>
      <c r="CJ226" s="217">
        <f t="shared" si="712"/>
        <v>0.06</v>
      </c>
      <c r="CK226" s="217">
        <f t="shared" si="654"/>
        <v>0.05</v>
      </c>
      <c r="CL226" s="217">
        <f t="shared" si="655"/>
        <v>10.199999999999999</v>
      </c>
      <c r="CM226" s="217">
        <f t="shared" si="656"/>
        <v>0.60000000000000009</v>
      </c>
      <c r="CN226" s="541">
        <f t="shared" si="657"/>
        <v>16</v>
      </c>
      <c r="CO226" s="443">
        <f t="shared" si="658"/>
        <v>8.5350000000000001</v>
      </c>
      <c r="CP226" s="443">
        <f t="shared" si="659"/>
        <v>24.535</v>
      </c>
      <c r="CQ226" s="443"/>
      <c r="CR226" s="217">
        <f t="shared" si="660"/>
        <v>0.34760448521916415</v>
      </c>
      <c r="CS226" s="172">
        <f t="shared" si="661"/>
        <v>175.08966662891231</v>
      </c>
      <c r="CT226" s="172">
        <f t="shared" si="662"/>
        <v>10.2993921546419</v>
      </c>
      <c r="CU226" s="217">
        <f t="shared" si="663"/>
        <v>1.02993921546419</v>
      </c>
      <c r="CV226" s="217">
        <f t="shared" si="664"/>
        <v>14.590805552409359</v>
      </c>
      <c r="CW226" s="217">
        <f t="shared" si="665"/>
        <v>170</v>
      </c>
      <c r="CX226" s="217">
        <f t="shared" si="666"/>
        <v>3.8837243401759522</v>
      </c>
      <c r="CY226" s="217">
        <f t="shared" si="667"/>
        <v>0.12136638563049849</v>
      </c>
      <c r="CZ226" s="217">
        <f t="shared" si="668"/>
        <v>0.22751753603842717</v>
      </c>
      <c r="DA226" s="197">
        <f t="shared" si="669"/>
        <v>350</v>
      </c>
      <c r="DB226" s="443">
        <f t="shared" si="670"/>
        <v>350</v>
      </c>
      <c r="DD226" s="217">
        <f t="shared" si="671"/>
        <v>31.805292730501623</v>
      </c>
      <c r="DE226" s="173">
        <f t="shared" si="672"/>
        <v>1.8632274593146818</v>
      </c>
      <c r="DF226" s="173">
        <f t="shared" si="673"/>
        <v>0.4897221442551708</v>
      </c>
      <c r="DG226" s="173"/>
      <c r="DH226" s="173">
        <f t="shared" si="674"/>
        <v>0.78109744190587771</v>
      </c>
      <c r="DI226" s="545">
        <f t="shared" si="675"/>
        <v>244.00058823529409</v>
      </c>
      <c r="DJ226" s="528">
        <f t="shared" si="676"/>
        <v>8.6065366284073561E-2</v>
      </c>
      <c r="DL226" s="173">
        <f t="shared" si="677"/>
        <v>11.109841197270617</v>
      </c>
      <c r="DM226" s="173">
        <f t="shared" si="678"/>
        <v>13.333333333333334</v>
      </c>
      <c r="DN226" s="173">
        <f t="shared" si="679"/>
        <v>1.1394289075630253</v>
      </c>
      <c r="DP226" s="545">
        <f t="shared" si="680"/>
        <v>60</v>
      </c>
      <c r="DQ226" s="460">
        <f t="shared" si="681"/>
        <v>244.00058823529409</v>
      </c>
      <c r="DS226">
        <f t="shared" si="682"/>
        <v>60</v>
      </c>
      <c r="DT226">
        <f t="shared" si="683"/>
        <v>244.00058823529409</v>
      </c>
      <c r="DV226" s="5">
        <f t="shared" si="684"/>
        <v>4.0983507754320749</v>
      </c>
      <c r="DW226" s="5">
        <f t="shared" si="685"/>
        <v>0.41666666666666669</v>
      </c>
      <c r="DX226" s="5">
        <f t="shared" si="686"/>
        <v>3.6816841087654084</v>
      </c>
      <c r="DY226" s="173">
        <f t="shared" si="687"/>
        <v>0.10166691176470588</v>
      </c>
      <c r="EA226" s="5">
        <f t="shared" si="713"/>
        <v>1.4705882352941176E-2</v>
      </c>
      <c r="EB226" s="5">
        <f t="shared" si="714"/>
        <v>0.1736111111111111</v>
      </c>
      <c r="EC226" s="5">
        <f t="shared" si="715"/>
        <v>3.7553177909407163</v>
      </c>
      <c r="ED226" s="5"/>
      <c r="EE226" s="173">
        <f t="shared" si="716"/>
        <v>2.4545276291687861</v>
      </c>
      <c r="EF226" s="173">
        <f t="shared" si="717"/>
        <v>0.34454283905917904</v>
      </c>
      <c r="EG226" s="173">
        <f t="shared" si="718"/>
        <v>0.27241066524966123</v>
      </c>
      <c r="EH226" s="173"/>
      <c r="EI226" s="528">
        <f t="shared" si="719"/>
        <v>0.24098823529411767</v>
      </c>
      <c r="EJ226" s="528">
        <f t="shared" si="720"/>
        <v>2.1950699585294116</v>
      </c>
      <c r="EK226" s="528">
        <f t="shared" si="721"/>
        <v>4.8800117647058813E-2</v>
      </c>
      <c r="EL226" s="528">
        <f t="shared" si="722"/>
        <v>2.9376022599555879E-2</v>
      </c>
      <c r="EM226">
        <f t="shared" si="723"/>
        <v>7.1999999999999998E-3</v>
      </c>
      <c r="EN226" s="460">
        <f t="shared" si="724"/>
        <v>56.000117647058815</v>
      </c>
      <c r="EP226" s="460">
        <f t="shared" si="725"/>
        <v>2521.4343340701444</v>
      </c>
      <c r="EQ226" s="173">
        <f t="shared" si="726"/>
        <v>4.1999999999999996E-2</v>
      </c>
      <c r="ER226" s="173">
        <f t="shared" si="688"/>
        <v>4.3399999999999994E-2</v>
      </c>
      <c r="ES226" s="528"/>
      <c r="EU226" s="460">
        <f t="shared" si="727"/>
        <v>85.399999999999991</v>
      </c>
      <c r="EV226" s="528">
        <f t="shared" si="728"/>
        <v>0.18074117647058824</v>
      </c>
      <c r="EW226" s="528">
        <f t="shared" si="729"/>
        <v>3.5612930384087806E-3</v>
      </c>
      <c r="EX226" s="528">
        <f t="shared" si="730"/>
        <v>3.7103785270881497E-4</v>
      </c>
      <c r="EY226" s="528">
        <f t="shared" si="731"/>
        <v>30.18519801650173</v>
      </c>
      <c r="EZ226" s="528"/>
      <c r="FA226" s="625">
        <f t="shared" si="732"/>
        <v>1.0844470588235295</v>
      </c>
      <c r="FB226" s="460">
        <f t="shared" si="733"/>
        <v>31454.318582686963</v>
      </c>
      <c r="FC226" s="173">
        <f t="shared" si="734"/>
        <v>34.061152916757109</v>
      </c>
      <c r="FD226" s="5">
        <f t="shared" si="735"/>
        <v>10.799999999999999</v>
      </c>
      <c r="FE226" s="173">
        <f t="shared" si="736"/>
        <v>0.24074280970977557</v>
      </c>
      <c r="FF226" s="5">
        <f t="shared" si="737"/>
        <v>24.074280970977558</v>
      </c>
      <c r="FG226">
        <f t="shared" si="738"/>
        <v>10</v>
      </c>
      <c r="FI226" s="562">
        <f t="shared" si="689"/>
        <v>-50</v>
      </c>
    </row>
    <row r="227" spans="5:165">
      <c r="E227" s="170">
        <v>11</v>
      </c>
      <c r="F227" s="217">
        <f t="shared" si="690"/>
        <v>6.6000000000000003E-2</v>
      </c>
      <c r="G227" s="217">
        <f t="shared" si="617"/>
        <v>5.5E-2</v>
      </c>
      <c r="H227" s="217">
        <f t="shared" si="618"/>
        <v>11.22</v>
      </c>
      <c r="I227" s="217">
        <f t="shared" si="619"/>
        <v>0.66</v>
      </c>
      <c r="J227" s="541">
        <f t="shared" si="620"/>
        <v>15.437643734020021</v>
      </c>
      <c r="K227" s="443">
        <f t="shared" si="621"/>
        <v>8.5385411946698095</v>
      </c>
      <c r="L227" s="172">
        <f t="shared" si="622"/>
        <v>23.976184928689833</v>
      </c>
      <c r="M227" s="443"/>
      <c r="N227" s="217">
        <f t="shared" si="623"/>
        <v>0.35612593163029105</v>
      </c>
      <c r="O227" s="172">
        <f t="shared" si="624"/>
        <v>173.07716549671278</v>
      </c>
      <c r="P227" s="172">
        <f t="shared" si="625"/>
        <v>10.181009735100751</v>
      </c>
      <c r="Q227" s="217">
        <f t="shared" si="626"/>
        <v>1.0181009735100752</v>
      </c>
      <c r="R227" s="217">
        <f t="shared" si="627"/>
        <v>14.423097124726064</v>
      </c>
      <c r="S227" s="217">
        <f t="shared" si="628"/>
        <v>170</v>
      </c>
      <c r="T227" s="217">
        <f t="shared" si="629"/>
        <v>4.3217717244982659</v>
      </c>
      <c r="U227" s="217">
        <f t="shared" si="630"/>
        <v>0.13997510886244749</v>
      </c>
      <c r="V227" s="217">
        <f t="shared" si="631"/>
        <v>0.25307436164834191</v>
      </c>
      <c r="W227" s="197">
        <f t="shared" si="632"/>
        <v>350</v>
      </c>
      <c r="X227" s="443">
        <f t="shared" si="691"/>
        <v>350</v>
      </c>
      <c r="Z227" s="217">
        <f t="shared" si="633"/>
        <v>31.415687182596599</v>
      </c>
      <c r="AA227" s="173">
        <f t="shared" si="634"/>
        <v>1.8396401953420254</v>
      </c>
      <c r="AB227" s="173">
        <f t="shared" si="635"/>
        <v>0.47759956581542506</v>
      </c>
      <c r="AC227" s="173"/>
      <c r="AD227" s="173">
        <f t="shared" si="636"/>
        <v>0.78077349686247788</v>
      </c>
      <c r="AE227" s="545">
        <f t="shared" si="637"/>
        <v>268.51200721591056</v>
      </c>
      <c r="AF227" s="528">
        <f t="shared" si="638"/>
        <v>8.602967233947674E-2</v>
      </c>
      <c r="AH227" s="173">
        <f t="shared" si="639"/>
        <v>11.652099749462694</v>
      </c>
      <c r="AI227" s="173">
        <f t="shared" si="640"/>
        <v>13.333333333333334</v>
      </c>
      <c r="AJ227" s="173">
        <f t="shared" si="641"/>
        <v>1.153435432694806</v>
      </c>
      <c r="AL227" s="545">
        <f t="shared" si="642"/>
        <v>66</v>
      </c>
      <c r="AM227" s="460">
        <f t="shared" si="643"/>
        <v>268.51200721591056</v>
      </c>
      <c r="AO227">
        <f t="shared" si="644"/>
        <v>66</v>
      </c>
      <c r="AP227">
        <f t="shared" si="645"/>
        <v>268.51200721591056</v>
      </c>
      <c r="AR227" s="5">
        <f t="shared" si="616"/>
        <v>3.7242282398041877</v>
      </c>
      <c r="AS227" s="5">
        <f t="shared" si="604"/>
        <v>0.4318448321213228</v>
      </c>
      <c r="AT227" s="5">
        <f t="shared" si="605"/>
        <v>3.2923834076828649</v>
      </c>
      <c r="AU227" s="173">
        <f t="shared" si="606"/>
        <v>0.11595552267871431</v>
      </c>
      <c r="BA227" s="173">
        <f t="shared" si="692"/>
        <v>2.621342858338231</v>
      </c>
      <c r="BB227" s="173">
        <f t="shared" si="693"/>
        <v>0.34179175932503386</v>
      </c>
      <c r="BC227" s="173">
        <f t="shared" si="694"/>
        <v>0.27023554106893599</v>
      </c>
      <c r="BD227" s="173"/>
      <c r="BE227" s="528">
        <f t="shared" si="695"/>
        <v>0.27485753523843387</v>
      </c>
      <c r="BF227" s="528">
        <f t="shared" si="646"/>
        <v>1.9313680621747109</v>
      </c>
      <c r="BG227" s="528">
        <f t="shared" si="647"/>
        <v>0.16580770822823362</v>
      </c>
      <c r="BH227" s="528">
        <f t="shared" si="696"/>
        <v>3.0871225216044133E-2</v>
      </c>
      <c r="BI227">
        <f t="shared" si="697"/>
        <v>6.9469396803090097E-3</v>
      </c>
      <c r="BJ227" s="460">
        <f t="shared" si="698"/>
        <v>172.75464790854264</v>
      </c>
      <c r="BK227">
        <f t="shared" si="648"/>
        <v>2.4727972245297845</v>
      </c>
      <c r="BL227" s="460">
        <f t="shared" si="699"/>
        <v>2409.8514705377311</v>
      </c>
      <c r="BM227" s="173">
        <f t="shared" si="649"/>
        <v>5.7287999999999999E-2</v>
      </c>
      <c r="BN227" s="173">
        <f t="shared" si="650"/>
        <v>4.7739999999999998E-2</v>
      </c>
      <c r="BQ227" s="460">
        <f t="shared" si="700"/>
        <v>105.02799999999999</v>
      </c>
      <c r="BR227" s="528">
        <f t="shared" si="701"/>
        <v>0.20614315142882542</v>
      </c>
      <c r="BS227" s="528">
        <f t="shared" si="702"/>
        <v>3.504648202275056E-3</v>
      </c>
      <c r="BT227" s="528">
        <f t="shared" si="703"/>
        <v>3.6513623828410296E-4</v>
      </c>
      <c r="BU227" s="528">
        <f t="shared" si="704"/>
        <v>38.346534685147368</v>
      </c>
      <c r="BV227" s="528"/>
      <c r="BW227" s="625">
        <f t="shared" si="705"/>
        <v>1.1933866987373805</v>
      </c>
      <c r="BX227" s="460">
        <f t="shared" si="706"/>
        <v>39749.934319754131</v>
      </c>
      <c r="BY227" s="173">
        <f t="shared" si="707"/>
        <v>42.264813790291861</v>
      </c>
      <c r="BZ227" s="5">
        <f t="shared" si="708"/>
        <v>11.88</v>
      </c>
      <c r="CA227" s="173">
        <f t="shared" si="709"/>
        <v>0.21941159583653566</v>
      </c>
      <c r="CB227" s="5">
        <f t="shared" si="710"/>
        <v>21.941159583653565</v>
      </c>
      <c r="CC227">
        <f t="shared" si="711"/>
        <v>11.000000000000002</v>
      </c>
      <c r="CE227" s="562">
        <f t="shared" si="651"/>
        <v>-50</v>
      </c>
      <c r="CG227" s="173">
        <f t="shared" si="652"/>
        <v>0.20415935359639942</v>
      </c>
      <c r="CH227" s="173">
        <f t="shared" si="653"/>
        <v>5.2189447166395238E-2</v>
      </c>
      <c r="CI227" s="170">
        <v>11</v>
      </c>
      <c r="CJ227" s="217">
        <f t="shared" si="712"/>
        <v>6.6000000000000003E-2</v>
      </c>
      <c r="CK227" s="217">
        <f t="shared" si="654"/>
        <v>5.5E-2</v>
      </c>
      <c r="CL227" s="217">
        <f t="shared" si="655"/>
        <v>11.22</v>
      </c>
      <c r="CM227" s="217">
        <f t="shared" si="656"/>
        <v>0.66</v>
      </c>
      <c r="CN227" s="541">
        <f t="shared" si="657"/>
        <v>16</v>
      </c>
      <c r="CO227" s="443">
        <f t="shared" si="658"/>
        <v>8.5350000000000001</v>
      </c>
      <c r="CP227" s="443">
        <f t="shared" si="659"/>
        <v>24.535</v>
      </c>
      <c r="CQ227" s="443"/>
      <c r="CR227" s="217">
        <f t="shared" si="660"/>
        <v>0.34760448521916415</v>
      </c>
      <c r="CS227" s="172">
        <f t="shared" si="661"/>
        <v>175.08966662891231</v>
      </c>
      <c r="CT227" s="172">
        <f t="shared" si="662"/>
        <v>10.2993921546419</v>
      </c>
      <c r="CU227" s="217">
        <f t="shared" si="663"/>
        <v>1.02993921546419</v>
      </c>
      <c r="CV227" s="217">
        <f t="shared" si="664"/>
        <v>14.590805552409359</v>
      </c>
      <c r="CW227" s="217">
        <f t="shared" si="665"/>
        <v>170</v>
      </c>
      <c r="CX227" s="217">
        <f t="shared" si="666"/>
        <v>4.2720967741935487</v>
      </c>
      <c r="CY227" s="217">
        <f t="shared" si="667"/>
        <v>0.1335030241935484</v>
      </c>
      <c r="CZ227" s="217">
        <f t="shared" si="668"/>
        <v>0.25026928964226997</v>
      </c>
      <c r="DA227" s="197">
        <f t="shared" si="669"/>
        <v>350</v>
      </c>
      <c r="DB227" s="443">
        <f t="shared" si="670"/>
        <v>350</v>
      </c>
      <c r="DD227" s="217">
        <f t="shared" si="671"/>
        <v>31.805292730501623</v>
      </c>
      <c r="DE227" s="173">
        <f t="shared" si="672"/>
        <v>1.8632274593146818</v>
      </c>
      <c r="DF227" s="173">
        <f t="shared" si="673"/>
        <v>0.4897221442551708</v>
      </c>
      <c r="DG227" s="173"/>
      <c r="DH227" s="173">
        <f t="shared" si="674"/>
        <v>0.78109744190587771</v>
      </c>
      <c r="DI227" s="545">
        <f t="shared" si="675"/>
        <v>268.40064705882355</v>
      </c>
      <c r="DJ227" s="528">
        <f t="shared" si="676"/>
        <v>8.6065366284073561E-2</v>
      </c>
      <c r="DL227" s="173">
        <f t="shared" si="677"/>
        <v>11.652099749462694</v>
      </c>
      <c r="DM227" s="173">
        <f t="shared" si="678"/>
        <v>13.333333333333334</v>
      </c>
      <c r="DN227" s="173">
        <f t="shared" si="679"/>
        <v>1.1533717983193277</v>
      </c>
      <c r="DP227" s="545">
        <f t="shared" si="680"/>
        <v>66</v>
      </c>
      <c r="DQ227" s="460">
        <f t="shared" si="681"/>
        <v>268.40064705882355</v>
      </c>
      <c r="DS227">
        <f t="shared" si="682"/>
        <v>66</v>
      </c>
      <c r="DT227">
        <f t="shared" si="683"/>
        <v>268.40064705882355</v>
      </c>
      <c r="DV227" s="5">
        <f t="shared" si="684"/>
        <v>3.7257734322109766</v>
      </c>
      <c r="DW227" s="5">
        <f t="shared" si="685"/>
        <v>0.41666666666666669</v>
      </c>
      <c r="DX227" s="5">
        <f t="shared" si="686"/>
        <v>3.30910676554431</v>
      </c>
      <c r="DY227" s="173">
        <f t="shared" si="687"/>
        <v>0.11183360294117649</v>
      </c>
      <c r="EA227" s="5">
        <f t="shared" si="713"/>
        <v>1.6176470588235296E-2</v>
      </c>
      <c r="EB227" s="5">
        <f t="shared" si="714"/>
        <v>0.19097222222222224</v>
      </c>
      <c r="EC227" s="5">
        <f t="shared" si="715"/>
        <v>3.7128177909407163</v>
      </c>
      <c r="ED227" s="5"/>
      <c r="EE227" s="173">
        <f t="shared" si="716"/>
        <v>2.5743302955503276</v>
      </c>
      <c r="EF227" s="173">
        <f t="shared" si="717"/>
        <v>0.3425876467777802</v>
      </c>
      <c r="EG227" s="173">
        <f t="shared" si="718"/>
        <v>0.2708648045621449</v>
      </c>
      <c r="EH227" s="173"/>
      <c r="EI227" s="528">
        <f t="shared" si="719"/>
        <v>0.26508705882352951</v>
      </c>
      <c r="EJ227" s="528">
        <f t="shared" si="720"/>
        <v>2.4145769543823534</v>
      </c>
      <c r="EK227" s="528">
        <f t="shared" si="721"/>
        <v>5.3680129411764706E-2</v>
      </c>
      <c r="EL227" s="528">
        <f t="shared" si="722"/>
        <v>3.2313624859511468E-2</v>
      </c>
      <c r="EM227">
        <f t="shared" si="723"/>
        <v>7.1999999999999998E-3</v>
      </c>
      <c r="EN227" s="460">
        <f t="shared" si="724"/>
        <v>60.880129411764706</v>
      </c>
      <c r="EP227" s="460">
        <f t="shared" si="725"/>
        <v>2772.8577674771591</v>
      </c>
      <c r="EQ227" s="173">
        <f t="shared" si="726"/>
        <v>4.6199999999999998E-2</v>
      </c>
      <c r="ER227" s="173">
        <f t="shared" si="688"/>
        <v>4.7739999999999998E-2</v>
      </c>
      <c r="ES227" s="528"/>
      <c r="EU227" s="460">
        <f t="shared" si="727"/>
        <v>93.94</v>
      </c>
      <c r="EV227" s="528">
        <f t="shared" si="728"/>
        <v>0.19881529411764712</v>
      </c>
      <c r="EW227" s="528">
        <f t="shared" si="729"/>
        <v>3.5209888717421126E-3</v>
      </c>
      <c r="EX227" s="528">
        <f t="shared" si="730"/>
        <v>3.6683871175244477E-4</v>
      </c>
      <c r="EY227" s="528">
        <f t="shared" si="731"/>
        <v>38.306788343805039</v>
      </c>
      <c r="EZ227" s="528"/>
      <c r="FA227" s="625">
        <f t="shared" si="732"/>
        <v>1.1928917647058825</v>
      </c>
      <c r="FB227" s="460">
        <f t="shared" si="733"/>
        <v>39702.383230212065</v>
      </c>
      <c r="FC227" s="173">
        <f t="shared" si="734"/>
        <v>42.569180997689223</v>
      </c>
      <c r="FD227" s="5">
        <f t="shared" si="735"/>
        <v>11.88</v>
      </c>
      <c r="FE227" s="173">
        <f t="shared" si="736"/>
        <v>0.21818509998349062</v>
      </c>
      <c r="FF227" s="5">
        <f t="shared" si="737"/>
        <v>21.818509998349061</v>
      </c>
      <c r="FG227">
        <f t="shared" si="738"/>
        <v>11.000000000000002</v>
      </c>
      <c r="FI227" s="562">
        <f t="shared" si="689"/>
        <v>-50</v>
      </c>
    </row>
    <row r="228" spans="5:165">
      <c r="E228" s="170">
        <v>12</v>
      </c>
      <c r="F228" s="217">
        <f t="shared" si="690"/>
        <v>7.1999999999999995E-2</v>
      </c>
      <c r="G228" s="217">
        <f t="shared" si="617"/>
        <v>0.06</v>
      </c>
      <c r="H228" s="217">
        <f t="shared" si="618"/>
        <v>12.239999999999998</v>
      </c>
      <c r="I228" s="217">
        <f t="shared" si="619"/>
        <v>0.72</v>
      </c>
      <c r="J228" s="541">
        <f t="shared" si="620"/>
        <v>15.437643734020021</v>
      </c>
      <c r="K228" s="443">
        <f t="shared" si="621"/>
        <v>8.5385411946698095</v>
      </c>
      <c r="L228" s="172">
        <f t="shared" si="622"/>
        <v>23.976184928689833</v>
      </c>
      <c r="M228" s="443"/>
      <c r="N228" s="217">
        <f t="shared" si="623"/>
        <v>0.35612593163029105</v>
      </c>
      <c r="O228" s="172">
        <f t="shared" si="624"/>
        <v>173.07716549671278</v>
      </c>
      <c r="P228" s="172">
        <f t="shared" si="625"/>
        <v>10.181009735100751</v>
      </c>
      <c r="Q228" s="217">
        <f t="shared" si="626"/>
        <v>1.0181009735100752</v>
      </c>
      <c r="R228" s="217">
        <f t="shared" si="627"/>
        <v>14.423097124726064</v>
      </c>
      <c r="S228" s="217">
        <f t="shared" si="628"/>
        <v>170</v>
      </c>
      <c r="T228" s="217">
        <f t="shared" si="629"/>
        <v>4.7146600630890161</v>
      </c>
      <c r="U228" s="217">
        <f t="shared" si="630"/>
        <v>0.15270011875903361</v>
      </c>
      <c r="V228" s="217">
        <f t="shared" si="631"/>
        <v>0.27608112179819111</v>
      </c>
      <c r="W228" s="197">
        <f t="shared" si="632"/>
        <v>350</v>
      </c>
      <c r="X228" s="443">
        <f t="shared" si="691"/>
        <v>350</v>
      </c>
      <c r="Z228" s="217">
        <f t="shared" si="633"/>
        <v>31.415687182596599</v>
      </c>
      <c r="AA228" s="173">
        <f t="shared" si="634"/>
        <v>1.8396401953420254</v>
      </c>
      <c r="AB228" s="173">
        <f t="shared" si="635"/>
        <v>0.47759956581542506</v>
      </c>
      <c r="AC228" s="173"/>
      <c r="AD228" s="173">
        <f t="shared" si="636"/>
        <v>0.78077349686247788</v>
      </c>
      <c r="AE228" s="545">
        <f t="shared" si="637"/>
        <v>292.92218969008428</v>
      </c>
      <c r="AF228" s="528">
        <f t="shared" si="638"/>
        <v>8.602967233947674E-2</v>
      </c>
      <c r="AH228" s="173">
        <f t="shared" si="639"/>
        <v>12.170221268090637</v>
      </c>
      <c r="AI228" s="173">
        <f t="shared" si="640"/>
        <v>13.333333333333334</v>
      </c>
      <c r="AJ228" s="173">
        <f t="shared" si="641"/>
        <v>1.1673841083943339</v>
      </c>
      <c r="AL228" s="545">
        <f t="shared" si="642"/>
        <v>72</v>
      </c>
      <c r="AM228" s="460">
        <f t="shared" si="643"/>
        <v>292.92218969008428</v>
      </c>
      <c r="AO228">
        <f t="shared" si="644"/>
        <v>72</v>
      </c>
      <c r="AP228">
        <f t="shared" si="645"/>
        <v>292.92218969008428</v>
      </c>
      <c r="AR228" s="5">
        <f t="shared" si="616"/>
        <v>3.4138758864871721</v>
      </c>
      <c r="AS228" s="5">
        <f t="shared" si="604"/>
        <v>0.4318448321213228</v>
      </c>
      <c r="AT228" s="5">
        <f t="shared" si="605"/>
        <v>2.9820310543658493</v>
      </c>
      <c r="AU228" s="173">
        <f t="shared" si="606"/>
        <v>0.12649693383132471</v>
      </c>
      <c r="BA228" s="173">
        <f t="shared" si="692"/>
        <v>2.7379033214143695</v>
      </c>
      <c r="BB228" s="173">
        <f t="shared" si="693"/>
        <v>0.33974787319433869</v>
      </c>
      <c r="BC228" s="173">
        <f t="shared" si="694"/>
        <v>0.2686195551379047</v>
      </c>
      <c r="BD228" s="173"/>
      <c r="BE228" s="528">
        <f t="shared" si="695"/>
        <v>0.2998445838964735</v>
      </c>
      <c r="BF228" s="528">
        <f t="shared" si="646"/>
        <v>2.1069469769178668</v>
      </c>
      <c r="BG228" s="528">
        <f t="shared" si="647"/>
        <v>0.18088113624898217</v>
      </c>
      <c r="BH228" s="528">
        <f t="shared" si="696"/>
        <v>3.3677700235684511E-2</v>
      </c>
      <c r="BI228">
        <f t="shared" si="697"/>
        <v>6.9469396803090097E-3</v>
      </c>
      <c r="BJ228" s="460">
        <f t="shared" si="698"/>
        <v>187.82807592929117</v>
      </c>
      <c r="BK228">
        <f t="shared" si="648"/>
        <v>2.7148409080617535</v>
      </c>
      <c r="BL228" s="460">
        <f t="shared" si="699"/>
        <v>2628.2973369793158</v>
      </c>
      <c r="BM228" s="173">
        <f t="shared" si="649"/>
        <v>6.2495999999999989E-2</v>
      </c>
      <c r="BN228" s="173">
        <f t="shared" si="650"/>
        <v>5.2079999999999994E-2</v>
      </c>
      <c r="BQ228" s="460">
        <f t="shared" si="700"/>
        <v>114.57599999999998</v>
      </c>
      <c r="BR228" s="528">
        <f t="shared" si="701"/>
        <v>0.2248834379223551</v>
      </c>
      <c r="BS228" s="528">
        <f t="shared" si="702"/>
        <v>3.4628585202022928E-3</v>
      </c>
      <c r="BT228" s="528">
        <f t="shared" si="703"/>
        <v>3.6078232701242916E-4</v>
      </c>
      <c r="BU228" s="528">
        <f t="shared" si="704"/>
        <v>47.664772639837707</v>
      </c>
      <c r="BV228" s="528"/>
      <c r="BW228" s="625">
        <f t="shared" si="705"/>
        <v>1.301876398622597</v>
      </c>
      <c r="BX228" s="460">
        <f t="shared" si="706"/>
        <v>49195.356117229872</v>
      </c>
      <c r="BY228" s="173">
        <f t="shared" si="707"/>
        <v>51.938229454209193</v>
      </c>
      <c r="BZ228" s="5">
        <f t="shared" si="708"/>
        <v>12.959999999999999</v>
      </c>
      <c r="CA228" s="173">
        <f t="shared" si="709"/>
        <v>0.19969728155903391</v>
      </c>
      <c r="CB228" s="5">
        <f t="shared" si="710"/>
        <v>19.96972815590339</v>
      </c>
      <c r="CC228">
        <f t="shared" si="711"/>
        <v>12</v>
      </c>
      <c r="CE228" s="562">
        <f t="shared" si="651"/>
        <v>-50</v>
      </c>
      <c r="CG228" s="173">
        <f t="shared" si="652"/>
        <v>0.22271929483243574</v>
      </c>
      <c r="CH228" s="173">
        <f t="shared" si="653"/>
        <v>5.6933942363340262E-2</v>
      </c>
      <c r="CI228" s="170">
        <v>12</v>
      </c>
      <c r="CJ228" s="217">
        <f t="shared" si="712"/>
        <v>7.1999999999999995E-2</v>
      </c>
      <c r="CK228" s="217">
        <f t="shared" si="654"/>
        <v>0.06</v>
      </c>
      <c r="CL228" s="217">
        <f t="shared" si="655"/>
        <v>12.239999999999998</v>
      </c>
      <c r="CM228" s="217">
        <f t="shared" si="656"/>
        <v>0.72</v>
      </c>
      <c r="CN228" s="541">
        <f t="shared" si="657"/>
        <v>16</v>
      </c>
      <c r="CO228" s="443">
        <f t="shared" si="658"/>
        <v>8.5350000000000001</v>
      </c>
      <c r="CP228" s="443">
        <f t="shared" si="659"/>
        <v>24.535</v>
      </c>
      <c r="CQ228" s="443"/>
      <c r="CR228" s="217">
        <f t="shared" si="660"/>
        <v>0.34760448521916415</v>
      </c>
      <c r="CS228" s="172">
        <f t="shared" si="661"/>
        <v>175.08966662891231</v>
      </c>
      <c r="CT228" s="172">
        <f t="shared" si="662"/>
        <v>10.2993921546419</v>
      </c>
      <c r="CU228" s="217">
        <f t="shared" si="663"/>
        <v>1.02993921546419</v>
      </c>
      <c r="CV228" s="217">
        <f t="shared" si="664"/>
        <v>14.590805552409359</v>
      </c>
      <c r="CW228" s="217">
        <f t="shared" si="665"/>
        <v>170</v>
      </c>
      <c r="CX228" s="217">
        <f t="shared" si="666"/>
        <v>4.6604692082111425</v>
      </c>
      <c r="CY228" s="217">
        <f t="shared" si="667"/>
        <v>0.1456396627565982</v>
      </c>
      <c r="CZ228" s="217">
        <f t="shared" si="668"/>
        <v>0.27302104324611259</v>
      </c>
      <c r="DA228" s="197">
        <f t="shared" si="669"/>
        <v>350</v>
      </c>
      <c r="DB228" s="443">
        <f t="shared" si="670"/>
        <v>350</v>
      </c>
      <c r="DD228" s="217">
        <f t="shared" si="671"/>
        <v>31.805292730501623</v>
      </c>
      <c r="DE228" s="173">
        <f t="shared" si="672"/>
        <v>1.8632274593146818</v>
      </c>
      <c r="DF228" s="173">
        <f t="shared" si="673"/>
        <v>0.4897221442551708</v>
      </c>
      <c r="DG228" s="173"/>
      <c r="DH228" s="173">
        <f t="shared" si="674"/>
        <v>0.78109744190587771</v>
      </c>
      <c r="DI228" s="545">
        <f t="shared" si="675"/>
        <v>292.80070588235293</v>
      </c>
      <c r="DJ228" s="528">
        <f t="shared" si="676"/>
        <v>8.6065366284073561E-2</v>
      </c>
      <c r="DL228" s="173">
        <f t="shared" si="677"/>
        <v>12.170221268090637</v>
      </c>
      <c r="DM228" s="173">
        <f t="shared" si="678"/>
        <v>13.333333333333334</v>
      </c>
      <c r="DN228" s="173">
        <f t="shared" si="679"/>
        <v>1.1673146890756303</v>
      </c>
      <c r="DP228" s="545">
        <f t="shared" si="680"/>
        <v>72</v>
      </c>
      <c r="DQ228" s="460">
        <f t="shared" si="681"/>
        <v>292.80070588235293</v>
      </c>
      <c r="DS228">
        <f t="shared" si="682"/>
        <v>72</v>
      </c>
      <c r="DT228">
        <f t="shared" si="683"/>
        <v>292.80070588235293</v>
      </c>
      <c r="DV228" s="5">
        <f t="shared" si="684"/>
        <v>3.4152923128600623</v>
      </c>
      <c r="DW228" s="5">
        <f t="shared" si="685"/>
        <v>0.41666666666666669</v>
      </c>
      <c r="DX228" s="5">
        <f t="shared" si="686"/>
        <v>2.9986256461933958</v>
      </c>
      <c r="DY228" s="173">
        <f t="shared" si="687"/>
        <v>0.12200029411764707</v>
      </c>
      <c r="EA228" s="5">
        <f t="shared" si="713"/>
        <v>1.7647058823529412E-2</v>
      </c>
      <c r="EB228" s="5">
        <f t="shared" si="714"/>
        <v>0.20833333333333334</v>
      </c>
      <c r="EC228" s="5">
        <f t="shared" si="715"/>
        <v>3.6703177909407159</v>
      </c>
      <c r="ED228" s="5"/>
      <c r="EE228" s="173">
        <f t="shared" si="716"/>
        <v>2.688800301030839</v>
      </c>
      <c r="EF228" s="173">
        <f t="shared" si="717"/>
        <v>0.34062123172596692</v>
      </c>
      <c r="EG228" s="173">
        <f t="shared" si="718"/>
        <v>0.26931007066059548</v>
      </c>
      <c r="EH228" s="173"/>
      <c r="EI228" s="528">
        <f t="shared" si="719"/>
        <v>0.28918588235294124</v>
      </c>
      <c r="EJ228" s="528">
        <f t="shared" si="720"/>
        <v>2.6340839502352944</v>
      </c>
      <c r="EK228" s="528">
        <f t="shared" si="721"/>
        <v>5.8560141176470577E-2</v>
      </c>
      <c r="EL228" s="528">
        <f t="shared" si="722"/>
        <v>3.5251227119467057E-2</v>
      </c>
      <c r="EM228">
        <f t="shared" si="723"/>
        <v>7.1999999999999998E-3</v>
      </c>
      <c r="EN228" s="460">
        <f t="shared" si="724"/>
        <v>65.760141176470583</v>
      </c>
      <c r="EP228" s="460">
        <f t="shared" si="725"/>
        <v>3024.2812008841729</v>
      </c>
      <c r="EQ228" s="173">
        <f t="shared" si="726"/>
        <v>5.0399999999999993E-2</v>
      </c>
      <c r="ER228" s="173">
        <f t="shared" si="688"/>
        <v>5.2079999999999994E-2</v>
      </c>
      <c r="ES228" s="528"/>
      <c r="EU228" s="460">
        <f t="shared" si="727"/>
        <v>102.47999999999999</v>
      </c>
      <c r="EV228" s="528">
        <f t="shared" si="728"/>
        <v>0.21688941176470591</v>
      </c>
      <c r="EW228" s="528">
        <f t="shared" si="729"/>
        <v>3.4806847050754459E-3</v>
      </c>
      <c r="EX228" s="528">
        <f t="shared" si="730"/>
        <v>3.6263957079607468E-4</v>
      </c>
      <c r="EY228" s="528">
        <f t="shared" si="731"/>
        <v>47.615367906426918</v>
      </c>
      <c r="EZ228" s="528"/>
      <c r="FA228" s="625">
        <f t="shared" si="732"/>
        <v>1.3013364705882353</v>
      </c>
      <c r="FB228" s="460">
        <f t="shared" si="733"/>
        <v>49137.437113055727</v>
      </c>
      <c r="FC228" s="173">
        <f t="shared" si="734"/>
        <v>52.2641983139399</v>
      </c>
      <c r="FD228" s="5">
        <f t="shared" si="735"/>
        <v>12.959999999999999</v>
      </c>
      <c r="FE228" s="173">
        <f t="shared" si="736"/>
        <v>0.19869926093411489</v>
      </c>
      <c r="FF228" s="5">
        <f t="shared" si="737"/>
        <v>19.86992609341149</v>
      </c>
      <c r="FG228">
        <f t="shared" si="738"/>
        <v>12</v>
      </c>
      <c r="FI228" s="562">
        <f t="shared" si="689"/>
        <v>-50</v>
      </c>
    </row>
    <row r="229" spans="5:165">
      <c r="E229" s="170">
        <v>13</v>
      </c>
      <c r="F229" s="217">
        <f t="shared" si="690"/>
        <v>7.8E-2</v>
      </c>
      <c r="G229" s="217">
        <f t="shared" si="617"/>
        <v>6.5000000000000002E-2</v>
      </c>
      <c r="H229" s="217">
        <f t="shared" si="618"/>
        <v>13.26</v>
      </c>
      <c r="I229" s="217">
        <f t="shared" si="619"/>
        <v>0.78</v>
      </c>
      <c r="J229" s="541">
        <f t="shared" si="620"/>
        <v>15.437643734020021</v>
      </c>
      <c r="K229" s="443">
        <f t="shared" si="621"/>
        <v>8.5385411946698095</v>
      </c>
      <c r="L229" s="172">
        <f t="shared" si="622"/>
        <v>23.976184928689833</v>
      </c>
      <c r="M229" s="443"/>
      <c r="N229" s="217">
        <f t="shared" si="623"/>
        <v>0.35612593163029105</v>
      </c>
      <c r="O229" s="172">
        <f t="shared" si="624"/>
        <v>173.07716549671278</v>
      </c>
      <c r="P229" s="172">
        <f t="shared" si="625"/>
        <v>10.181009735100751</v>
      </c>
      <c r="Q229" s="217">
        <f t="shared" si="626"/>
        <v>1.0181009735100752</v>
      </c>
      <c r="R229" s="217">
        <f t="shared" si="627"/>
        <v>14.423097124726064</v>
      </c>
      <c r="S229" s="217">
        <f t="shared" si="628"/>
        <v>170</v>
      </c>
      <c r="T229" s="217">
        <f t="shared" si="629"/>
        <v>5.1075484016797681</v>
      </c>
      <c r="U229" s="217">
        <f t="shared" si="630"/>
        <v>0.16542512865561976</v>
      </c>
      <c r="V229" s="217">
        <f t="shared" si="631"/>
        <v>0.29908788194804042</v>
      </c>
      <c r="W229" s="197">
        <f t="shared" si="632"/>
        <v>350</v>
      </c>
      <c r="X229" s="443">
        <f t="shared" si="691"/>
        <v>350</v>
      </c>
      <c r="Z229" s="217">
        <f t="shared" si="633"/>
        <v>31.415687182596599</v>
      </c>
      <c r="AA229" s="173">
        <f t="shared" si="634"/>
        <v>1.8396401953420254</v>
      </c>
      <c r="AB229" s="173">
        <f t="shared" si="635"/>
        <v>0.47759956581542506</v>
      </c>
      <c r="AC229" s="173"/>
      <c r="AD229" s="173">
        <f t="shared" si="636"/>
        <v>0.78077349686247788</v>
      </c>
      <c r="AE229" s="545">
        <f t="shared" si="637"/>
        <v>317.33237216425795</v>
      </c>
      <c r="AF229" s="528">
        <f t="shared" si="638"/>
        <v>8.602967233947674E-2</v>
      </c>
      <c r="AH229" s="173">
        <f t="shared" si="639"/>
        <v>12.667167909881943</v>
      </c>
      <c r="AI229" s="173">
        <f t="shared" si="640"/>
        <v>13.333333333333334</v>
      </c>
      <c r="AJ229" s="173">
        <f t="shared" si="641"/>
        <v>1.1813327840938617</v>
      </c>
      <c r="AL229" s="545">
        <f t="shared" si="642"/>
        <v>78</v>
      </c>
      <c r="AM229" s="460">
        <f t="shared" si="643"/>
        <v>317.33237216425795</v>
      </c>
      <c r="AO229">
        <f t="shared" si="644"/>
        <v>78</v>
      </c>
      <c r="AP229">
        <f t="shared" si="645"/>
        <v>317.33237216425795</v>
      </c>
      <c r="AR229" s="5">
        <f t="shared" si="616"/>
        <v>3.151270049065082</v>
      </c>
      <c r="AS229" s="5">
        <f t="shared" si="604"/>
        <v>0.4318448321213228</v>
      </c>
      <c r="AT229" s="5">
        <f t="shared" si="605"/>
        <v>2.7194252169437592</v>
      </c>
      <c r="AU229" s="173">
        <f t="shared" si="606"/>
        <v>0.13703834498393511</v>
      </c>
      <c r="BA229" s="173">
        <f t="shared" si="692"/>
        <v>2.8497001270068441</v>
      </c>
      <c r="BB229" s="173">
        <f t="shared" si="693"/>
        <v>0.33769161662328995</v>
      </c>
      <c r="BC229" s="173">
        <f t="shared" si="694"/>
        <v>0.26699378859469935</v>
      </c>
      <c r="BD229" s="173"/>
      <c r="BE229" s="528">
        <f t="shared" si="695"/>
        <v>0.32483163255451297</v>
      </c>
      <c r="BF229" s="528">
        <f t="shared" si="646"/>
        <v>2.282525891661022</v>
      </c>
      <c r="BG229" s="528">
        <f t="shared" si="647"/>
        <v>0.19595456426973065</v>
      </c>
      <c r="BH229" s="528">
        <f t="shared" si="696"/>
        <v>3.6484175255324887E-2</v>
      </c>
      <c r="BI229">
        <f t="shared" si="697"/>
        <v>6.9469396803090097E-3</v>
      </c>
      <c r="BJ229" s="460">
        <f t="shared" si="698"/>
        <v>202.90150395003968</v>
      </c>
      <c r="BK229">
        <f t="shared" si="648"/>
        <v>2.9599989468256451</v>
      </c>
      <c r="BL229" s="460">
        <f t="shared" si="699"/>
        <v>2846.7432034208991</v>
      </c>
      <c r="BM229" s="173">
        <f t="shared" si="649"/>
        <v>6.7704E-2</v>
      </c>
      <c r="BN229" s="173">
        <f t="shared" si="650"/>
        <v>5.6419999999999998E-2</v>
      </c>
      <c r="BQ229" s="460">
        <f t="shared" si="700"/>
        <v>124.124</v>
      </c>
      <c r="BR229" s="528">
        <f t="shared" si="701"/>
        <v>0.2436237244158847</v>
      </c>
      <c r="BS229" s="528">
        <f t="shared" si="702"/>
        <v>3.4210688381295313E-3</v>
      </c>
      <c r="BT229" s="528">
        <f t="shared" si="703"/>
        <v>3.5642841574075502E-4</v>
      </c>
      <c r="BU229" s="528">
        <f t="shared" si="704"/>
        <v>58.224100977260719</v>
      </c>
      <c r="BV229" s="528"/>
      <c r="BW229" s="625">
        <f t="shared" si="705"/>
        <v>1.4103660985078135</v>
      </c>
      <c r="BX229" s="460">
        <f t="shared" si="706"/>
        <v>59881.86829743829</v>
      </c>
      <c r="BY229" s="173">
        <f t="shared" si="707"/>
        <v>62.85273550085919</v>
      </c>
      <c r="BZ229" s="5">
        <f t="shared" si="708"/>
        <v>14.04</v>
      </c>
      <c r="CA229" s="173">
        <f t="shared" si="709"/>
        <v>0.18259202132096233</v>
      </c>
      <c r="CB229" s="5">
        <f t="shared" si="710"/>
        <v>18.259202132096235</v>
      </c>
      <c r="CC229">
        <f t="shared" si="711"/>
        <v>13</v>
      </c>
      <c r="CE229" s="562">
        <f t="shared" si="651"/>
        <v>-50</v>
      </c>
      <c r="CG229" s="173">
        <f t="shared" si="652"/>
        <v>0.24127923606847204</v>
      </c>
      <c r="CH229" s="173">
        <f t="shared" si="653"/>
        <v>6.1678437560285286E-2</v>
      </c>
      <c r="CI229" s="170">
        <v>13</v>
      </c>
      <c r="CJ229" s="217">
        <f t="shared" si="712"/>
        <v>7.8E-2</v>
      </c>
      <c r="CK229" s="217">
        <f t="shared" si="654"/>
        <v>6.5000000000000002E-2</v>
      </c>
      <c r="CL229" s="217">
        <f t="shared" si="655"/>
        <v>13.26</v>
      </c>
      <c r="CM229" s="217">
        <f t="shared" si="656"/>
        <v>0.78</v>
      </c>
      <c r="CN229" s="541">
        <f t="shared" si="657"/>
        <v>16</v>
      </c>
      <c r="CO229" s="443">
        <f t="shared" si="658"/>
        <v>8.5350000000000001</v>
      </c>
      <c r="CP229" s="443">
        <f t="shared" si="659"/>
        <v>24.535</v>
      </c>
      <c r="CQ229" s="443"/>
      <c r="CR229" s="217">
        <f t="shared" si="660"/>
        <v>0.34760448521916415</v>
      </c>
      <c r="CS229" s="172">
        <f t="shared" si="661"/>
        <v>175.08966662891231</v>
      </c>
      <c r="CT229" s="172">
        <f t="shared" si="662"/>
        <v>10.2993921546419</v>
      </c>
      <c r="CU229" s="217">
        <f t="shared" si="663"/>
        <v>1.02993921546419</v>
      </c>
      <c r="CV229" s="217">
        <f t="shared" si="664"/>
        <v>14.590805552409359</v>
      </c>
      <c r="CW229" s="217">
        <f t="shared" si="665"/>
        <v>170</v>
      </c>
      <c r="CX229" s="217">
        <f t="shared" si="666"/>
        <v>5.0488416422287381</v>
      </c>
      <c r="CY229" s="217">
        <f t="shared" si="667"/>
        <v>0.15777630131964807</v>
      </c>
      <c r="CZ229" s="217">
        <f t="shared" si="668"/>
        <v>0.29577279684995533</v>
      </c>
      <c r="DA229" s="197">
        <f t="shared" si="669"/>
        <v>350</v>
      </c>
      <c r="DB229" s="443">
        <f t="shared" si="670"/>
        <v>350</v>
      </c>
      <c r="DD229" s="217">
        <f t="shared" si="671"/>
        <v>31.805292730501623</v>
      </c>
      <c r="DE229" s="173">
        <f t="shared" si="672"/>
        <v>1.8632274593146818</v>
      </c>
      <c r="DF229" s="173">
        <f t="shared" si="673"/>
        <v>0.4897221442551708</v>
      </c>
      <c r="DG229" s="173"/>
      <c r="DH229" s="173">
        <f t="shared" si="674"/>
        <v>0.78109744190587771</v>
      </c>
      <c r="DI229" s="545">
        <f t="shared" si="675"/>
        <v>317.20076470588236</v>
      </c>
      <c r="DJ229" s="528">
        <f t="shared" si="676"/>
        <v>8.6065366284073561E-2</v>
      </c>
      <c r="DL229" s="173">
        <f t="shared" si="677"/>
        <v>12.667167909881943</v>
      </c>
      <c r="DM229" s="173">
        <f t="shared" si="678"/>
        <v>13.333333333333334</v>
      </c>
      <c r="DN229" s="173">
        <f t="shared" si="679"/>
        <v>1.1812575798319327</v>
      </c>
      <c r="DP229" s="545">
        <f t="shared" si="680"/>
        <v>78</v>
      </c>
      <c r="DQ229" s="460">
        <f t="shared" si="681"/>
        <v>317.20076470588236</v>
      </c>
      <c r="DS229">
        <f t="shared" si="682"/>
        <v>78</v>
      </c>
      <c r="DT229">
        <f t="shared" si="683"/>
        <v>317.20076470588236</v>
      </c>
      <c r="DV229" s="5">
        <f t="shared" si="684"/>
        <v>3.1525775195631343</v>
      </c>
      <c r="DW229" s="5">
        <f t="shared" si="685"/>
        <v>0.41666666666666669</v>
      </c>
      <c r="DX229" s="5">
        <f t="shared" si="686"/>
        <v>2.7359108528964677</v>
      </c>
      <c r="DY229" s="173">
        <f t="shared" si="687"/>
        <v>0.13216698529411766</v>
      </c>
      <c r="EA229" s="5">
        <f t="shared" si="713"/>
        <v>1.9117647058823531E-2</v>
      </c>
      <c r="EB229" s="5">
        <f t="shared" si="714"/>
        <v>0.22569444444444445</v>
      </c>
      <c r="EC229" s="5">
        <f t="shared" si="715"/>
        <v>3.6278177909407163</v>
      </c>
      <c r="ED229" s="5"/>
      <c r="EE229" s="173">
        <f t="shared" si="716"/>
        <v>2.7985920830050999</v>
      </c>
      <c r="EF229" s="173">
        <f t="shared" si="717"/>
        <v>0.33864339840057806</v>
      </c>
      <c r="EG229" s="173">
        <f t="shared" si="718"/>
        <v>0.26774630897164742</v>
      </c>
      <c r="EH229" s="173"/>
      <c r="EI229" s="528">
        <f t="shared" si="719"/>
        <v>0.31328470588235297</v>
      </c>
      <c r="EJ229" s="528">
        <f t="shared" si="720"/>
        <v>2.8535909460882354</v>
      </c>
      <c r="EK229" s="528">
        <f t="shared" si="721"/>
        <v>6.344015294117647E-2</v>
      </c>
      <c r="EL229" s="528">
        <f t="shared" si="722"/>
        <v>3.8188829379422654E-2</v>
      </c>
      <c r="EM229">
        <f t="shared" si="723"/>
        <v>7.1999999999999998E-3</v>
      </c>
      <c r="EN229" s="460">
        <f t="shared" si="724"/>
        <v>70.640152941176467</v>
      </c>
      <c r="EP229" s="460">
        <f t="shared" si="725"/>
        <v>3275.7046342911876</v>
      </c>
      <c r="EQ229" s="173">
        <f t="shared" si="726"/>
        <v>5.4599999999999996E-2</v>
      </c>
      <c r="ER229" s="173">
        <f t="shared" si="688"/>
        <v>5.6419999999999998E-2</v>
      </c>
      <c r="ES229" s="528"/>
      <c r="EU229" s="460">
        <f t="shared" si="727"/>
        <v>111.02</v>
      </c>
      <c r="EV229" s="528">
        <f t="shared" si="728"/>
        <v>0.23496352941176471</v>
      </c>
      <c r="EW229" s="528">
        <f t="shared" si="729"/>
        <v>3.4403805384087788E-3</v>
      </c>
      <c r="EX229" s="528">
        <f t="shared" si="730"/>
        <v>3.5844042983970437E-4</v>
      </c>
      <c r="EY229" s="528">
        <f t="shared" si="731"/>
        <v>58.163751456481492</v>
      </c>
      <c r="EZ229" s="528"/>
      <c r="FA229" s="625">
        <f t="shared" si="732"/>
        <v>1.4097811764705885</v>
      </c>
      <c r="FB229" s="460">
        <f t="shared" si="733"/>
        <v>59812.294983332096</v>
      </c>
      <c r="FC229" s="173">
        <f t="shared" si="734"/>
        <v>63.199019617623279</v>
      </c>
      <c r="FD229" s="5">
        <f t="shared" si="735"/>
        <v>14.04</v>
      </c>
      <c r="FE229" s="173">
        <f t="shared" si="736"/>
        <v>0.18177341024660745</v>
      </c>
      <c r="FF229" s="5">
        <f t="shared" si="737"/>
        <v>18.177341024660745</v>
      </c>
      <c r="FG229">
        <f t="shared" si="738"/>
        <v>13</v>
      </c>
      <c r="FI229" s="562">
        <f t="shared" si="689"/>
        <v>-50</v>
      </c>
    </row>
    <row r="230" spans="5:165">
      <c r="E230" s="170">
        <v>14</v>
      </c>
      <c r="F230" s="217">
        <f t="shared" si="690"/>
        <v>8.4000000000000005E-2</v>
      </c>
      <c r="G230" s="217">
        <f t="shared" si="617"/>
        <v>7.0000000000000007E-2</v>
      </c>
      <c r="H230" s="217">
        <f t="shared" si="618"/>
        <v>14.280000000000001</v>
      </c>
      <c r="I230" s="217">
        <f t="shared" si="619"/>
        <v>0.84000000000000008</v>
      </c>
      <c r="J230" s="541">
        <f t="shared" si="620"/>
        <v>15.437643734020021</v>
      </c>
      <c r="K230" s="443">
        <f t="shared" si="621"/>
        <v>8.5385411946698095</v>
      </c>
      <c r="L230" s="172">
        <f t="shared" si="622"/>
        <v>23.976184928689833</v>
      </c>
      <c r="M230" s="443"/>
      <c r="N230" s="217">
        <f t="shared" si="623"/>
        <v>0.35612593163029105</v>
      </c>
      <c r="O230" s="172">
        <f t="shared" si="624"/>
        <v>173.07716549671278</v>
      </c>
      <c r="P230" s="172">
        <f t="shared" si="625"/>
        <v>10.181009735100751</v>
      </c>
      <c r="Q230" s="217">
        <f t="shared" si="626"/>
        <v>1.0181009735100752</v>
      </c>
      <c r="R230" s="217">
        <f t="shared" si="627"/>
        <v>14.423097124726064</v>
      </c>
      <c r="S230" s="217">
        <f t="shared" si="628"/>
        <v>170</v>
      </c>
      <c r="T230" s="217">
        <f t="shared" si="629"/>
        <v>5.5004367402705201</v>
      </c>
      <c r="U230" s="217">
        <f t="shared" si="630"/>
        <v>0.17815013855220591</v>
      </c>
      <c r="V230" s="217">
        <f t="shared" si="631"/>
        <v>0.32209464209788974</v>
      </c>
      <c r="W230" s="197">
        <f t="shared" si="632"/>
        <v>350</v>
      </c>
      <c r="X230" s="443">
        <f t="shared" si="691"/>
        <v>350</v>
      </c>
      <c r="Z230" s="217">
        <f t="shared" si="633"/>
        <v>31.415687182596599</v>
      </c>
      <c r="AA230" s="173">
        <f t="shared" si="634"/>
        <v>1.8396401953420254</v>
      </c>
      <c r="AB230" s="173">
        <f t="shared" si="635"/>
        <v>0.47759956581542506</v>
      </c>
      <c r="AC230" s="173"/>
      <c r="AD230" s="173">
        <f t="shared" si="636"/>
        <v>0.78077349686247788</v>
      </c>
      <c r="AE230" s="545">
        <f t="shared" si="637"/>
        <v>341.74255463843161</v>
      </c>
      <c r="AF230" s="528">
        <f t="shared" si="638"/>
        <v>8.602967233947674E-2</v>
      </c>
      <c r="AH230" s="173">
        <f t="shared" si="639"/>
        <v>13.145341380123988</v>
      </c>
      <c r="AI230" s="173">
        <f t="shared" si="640"/>
        <v>13.333333333333334</v>
      </c>
      <c r="AJ230" s="173">
        <f t="shared" si="641"/>
        <v>1.1952814597933894</v>
      </c>
      <c r="AL230" s="545">
        <f t="shared" si="642"/>
        <v>84</v>
      </c>
      <c r="AM230" s="460">
        <f t="shared" si="643"/>
        <v>341.74255463843161</v>
      </c>
      <c r="AO230">
        <f t="shared" si="644"/>
        <v>84</v>
      </c>
      <c r="AP230">
        <f t="shared" si="645"/>
        <v>341.74255463843161</v>
      </c>
      <c r="AR230" s="5">
        <f t="shared" si="616"/>
        <v>2.9261793312747191</v>
      </c>
      <c r="AS230" s="5">
        <f t="shared" si="604"/>
        <v>0.4318448321213228</v>
      </c>
      <c r="AT230" s="5">
        <f t="shared" si="605"/>
        <v>2.4943344991533962</v>
      </c>
      <c r="AU230" s="173">
        <f t="shared" si="606"/>
        <v>0.14757975613654548</v>
      </c>
      <c r="BA230" s="173">
        <f t="shared" si="692"/>
        <v>2.9572735805660262</v>
      </c>
      <c r="BB230" s="173">
        <f t="shared" si="693"/>
        <v>0.3356227622424105</v>
      </c>
      <c r="BC230" s="173">
        <f t="shared" si="694"/>
        <v>0.26535806167104897</v>
      </c>
      <c r="BD230" s="173"/>
      <c r="BE230" s="528">
        <f t="shared" si="695"/>
        <v>0.34981868121255216</v>
      </c>
      <c r="BF230" s="528">
        <f t="shared" si="646"/>
        <v>2.4581048064041777</v>
      </c>
      <c r="BG230" s="528">
        <f t="shared" si="647"/>
        <v>0.21102799229047917</v>
      </c>
      <c r="BH230" s="528">
        <f t="shared" si="696"/>
        <v>3.9290650274965262E-2</v>
      </c>
      <c r="BI230">
        <f t="shared" si="697"/>
        <v>6.9469396803090097E-3</v>
      </c>
      <c r="BJ230" s="460">
        <f t="shared" si="698"/>
        <v>217.97493197078819</v>
      </c>
      <c r="BK230">
        <f t="shared" si="648"/>
        <v>3.2083318382398494</v>
      </c>
      <c r="BL230" s="460">
        <f t="shared" si="699"/>
        <v>3065.1890698624829</v>
      </c>
      <c r="BM230" s="173">
        <f t="shared" si="649"/>
        <v>7.2911999999999991E-2</v>
      </c>
      <c r="BN230" s="173">
        <f t="shared" si="650"/>
        <v>6.0760000000000002E-2</v>
      </c>
      <c r="BQ230" s="460">
        <f t="shared" si="700"/>
        <v>133.672</v>
      </c>
      <c r="BR230" s="528">
        <f t="shared" si="701"/>
        <v>0.26236401090941414</v>
      </c>
      <c r="BS230" s="528">
        <f t="shared" si="702"/>
        <v>3.379279156056768E-3</v>
      </c>
      <c r="BT230" s="528">
        <f t="shared" si="703"/>
        <v>3.5207450446908116E-4</v>
      </c>
      <c r="BU230" s="528">
        <f t="shared" si="704"/>
        <v>70.075224835371827</v>
      </c>
      <c r="BV230" s="528"/>
      <c r="BW230" s="625">
        <f t="shared" si="705"/>
        <v>1.5188557983930295</v>
      </c>
      <c r="BX230" s="460">
        <f t="shared" si="706"/>
        <v>71860.175998334802</v>
      </c>
      <c r="BY230" s="173">
        <f t="shared" si="707"/>
        <v>75.059037068197284</v>
      </c>
      <c r="BZ230" s="5">
        <f t="shared" si="708"/>
        <v>15.120000000000001</v>
      </c>
      <c r="CA230" s="173">
        <f t="shared" si="709"/>
        <v>0.1676664609821194</v>
      </c>
      <c r="CB230" s="5">
        <f t="shared" si="710"/>
        <v>16.76664609821194</v>
      </c>
      <c r="CC230">
        <f t="shared" si="711"/>
        <v>14.000000000000002</v>
      </c>
      <c r="CE230" s="562">
        <f t="shared" si="651"/>
        <v>-50</v>
      </c>
      <c r="CG230" s="173">
        <f t="shared" si="652"/>
        <v>0.2598391773045084</v>
      </c>
      <c r="CH230" s="173">
        <f t="shared" si="653"/>
        <v>6.642293275723031E-2</v>
      </c>
      <c r="CI230" s="170">
        <v>14</v>
      </c>
      <c r="CJ230" s="217">
        <f t="shared" si="712"/>
        <v>8.4000000000000005E-2</v>
      </c>
      <c r="CK230" s="217">
        <f t="shared" si="654"/>
        <v>7.0000000000000007E-2</v>
      </c>
      <c r="CL230" s="217">
        <f t="shared" si="655"/>
        <v>14.280000000000001</v>
      </c>
      <c r="CM230" s="217">
        <f t="shared" si="656"/>
        <v>0.84000000000000008</v>
      </c>
      <c r="CN230" s="541">
        <f t="shared" si="657"/>
        <v>16</v>
      </c>
      <c r="CO230" s="443">
        <f t="shared" si="658"/>
        <v>8.5350000000000001</v>
      </c>
      <c r="CP230" s="443">
        <f t="shared" si="659"/>
        <v>24.535</v>
      </c>
      <c r="CQ230" s="443"/>
      <c r="CR230" s="217">
        <f t="shared" si="660"/>
        <v>0.34760448521916415</v>
      </c>
      <c r="CS230" s="172">
        <f t="shared" si="661"/>
        <v>175.08966662891231</v>
      </c>
      <c r="CT230" s="172">
        <f t="shared" si="662"/>
        <v>10.2993921546419</v>
      </c>
      <c r="CU230" s="217">
        <f t="shared" si="663"/>
        <v>1.02993921546419</v>
      </c>
      <c r="CV230" s="217">
        <f t="shared" si="664"/>
        <v>14.590805552409359</v>
      </c>
      <c r="CW230" s="217">
        <f t="shared" si="665"/>
        <v>170</v>
      </c>
      <c r="CX230" s="217">
        <f t="shared" si="666"/>
        <v>5.4372140762463346</v>
      </c>
      <c r="CY230" s="217">
        <f t="shared" si="667"/>
        <v>0.16991293988269796</v>
      </c>
      <c r="CZ230" s="217">
        <f t="shared" si="668"/>
        <v>0.31852455045379813</v>
      </c>
      <c r="DA230" s="197">
        <f t="shared" si="669"/>
        <v>350</v>
      </c>
      <c r="DB230" s="443">
        <f t="shared" si="670"/>
        <v>350</v>
      </c>
      <c r="DD230" s="217">
        <f t="shared" si="671"/>
        <v>31.805292730501623</v>
      </c>
      <c r="DE230" s="173">
        <f t="shared" si="672"/>
        <v>1.8632274593146818</v>
      </c>
      <c r="DF230" s="173">
        <f t="shared" si="673"/>
        <v>0.4897221442551708</v>
      </c>
      <c r="DG230" s="173"/>
      <c r="DH230" s="173">
        <f t="shared" si="674"/>
        <v>0.78109744190587771</v>
      </c>
      <c r="DI230" s="545">
        <f t="shared" si="675"/>
        <v>341.60082352941185</v>
      </c>
      <c r="DJ230" s="528">
        <f t="shared" si="676"/>
        <v>8.6065366284073561E-2</v>
      </c>
      <c r="DL230" s="173">
        <f t="shared" si="677"/>
        <v>13.145341380123988</v>
      </c>
      <c r="DM230" s="173">
        <f t="shared" si="678"/>
        <v>13.333333333333334</v>
      </c>
      <c r="DN230" s="173">
        <f t="shared" si="679"/>
        <v>1.1952004705882353</v>
      </c>
      <c r="DP230" s="545">
        <f t="shared" si="680"/>
        <v>84</v>
      </c>
      <c r="DQ230" s="460">
        <f t="shared" si="681"/>
        <v>341.60082352941185</v>
      </c>
      <c r="DS230">
        <f t="shared" si="682"/>
        <v>84</v>
      </c>
      <c r="DT230">
        <f t="shared" si="683"/>
        <v>341.60082352941185</v>
      </c>
      <c r="DV230" s="5">
        <f t="shared" si="684"/>
        <v>2.9273934110229098</v>
      </c>
      <c r="DW230" s="5">
        <f t="shared" si="685"/>
        <v>0.41666666666666669</v>
      </c>
      <c r="DX230" s="5">
        <f t="shared" si="686"/>
        <v>2.5107267443562433</v>
      </c>
      <c r="DY230" s="173">
        <f t="shared" si="687"/>
        <v>0.14233367647058828</v>
      </c>
      <c r="EA230" s="5">
        <f t="shared" si="713"/>
        <v>2.058823529411765E-2</v>
      </c>
      <c r="EB230" s="5">
        <f t="shared" si="714"/>
        <v>0.24305555555555558</v>
      </c>
      <c r="EC230" s="5">
        <f t="shared" si="715"/>
        <v>3.5853177909407159</v>
      </c>
      <c r="ED230" s="5"/>
      <c r="EE230" s="173">
        <f t="shared" si="716"/>
        <v>2.9042362567969779</v>
      </c>
      <c r="EF230" s="173">
        <f t="shared" si="717"/>
        <v>0.33665394555547756</v>
      </c>
      <c r="EG230" s="173">
        <f t="shared" si="718"/>
        <v>0.26617336038128775</v>
      </c>
      <c r="EH230" s="173"/>
      <c r="EI230" s="528">
        <f t="shared" si="719"/>
        <v>0.33738352941176486</v>
      </c>
      <c r="EJ230" s="528">
        <f t="shared" si="720"/>
        <v>3.0730979419411772</v>
      </c>
      <c r="EK230" s="528">
        <f t="shared" si="721"/>
        <v>6.8320164705882369E-2</v>
      </c>
      <c r="EL230" s="528">
        <f t="shared" si="722"/>
        <v>4.1126431639378243E-2</v>
      </c>
      <c r="EM230">
        <f t="shared" si="723"/>
        <v>7.1999999999999998E-3</v>
      </c>
      <c r="EN230" s="460">
        <f t="shared" si="724"/>
        <v>75.520164705882365</v>
      </c>
      <c r="EP230" s="460">
        <f t="shared" si="725"/>
        <v>3527.1280676982028</v>
      </c>
      <c r="EQ230" s="173">
        <f t="shared" si="726"/>
        <v>5.8799999999999998E-2</v>
      </c>
      <c r="ER230" s="173">
        <f t="shared" si="688"/>
        <v>6.0760000000000002E-2</v>
      </c>
      <c r="ES230" s="528"/>
      <c r="EU230" s="460">
        <f t="shared" si="727"/>
        <v>119.56</v>
      </c>
      <c r="EV230" s="528">
        <f t="shared" si="728"/>
        <v>0.25303764705882364</v>
      </c>
      <c r="EW230" s="528">
        <f t="shared" si="729"/>
        <v>3.4000763717421134E-3</v>
      </c>
      <c r="EX230" s="528">
        <f t="shared" si="730"/>
        <v>3.5424128888333439E-4</v>
      </c>
      <c r="EY230" s="528">
        <f t="shared" si="731"/>
        <v>70.002591575839745</v>
      </c>
      <c r="EZ230" s="528"/>
      <c r="FA230" s="625">
        <f t="shared" si="732"/>
        <v>1.5182258823529418</v>
      </c>
      <c r="FB230" s="460">
        <f t="shared" si="733"/>
        <v>71777.609422912137</v>
      </c>
      <c r="FC230" s="173">
        <f t="shared" si="734"/>
        <v>75.424297490610329</v>
      </c>
      <c r="FD230" s="5">
        <f t="shared" si="735"/>
        <v>15.120000000000001</v>
      </c>
      <c r="FE230" s="173">
        <f t="shared" si="736"/>
        <v>0.16699008572646976</v>
      </c>
      <c r="FF230" s="5">
        <f t="shared" si="737"/>
        <v>16.699008572646974</v>
      </c>
      <c r="FG230">
        <f t="shared" si="738"/>
        <v>14.000000000000002</v>
      </c>
      <c r="FI230" s="562">
        <f t="shared" si="689"/>
        <v>-50</v>
      </c>
    </row>
    <row r="231" spans="5:165">
      <c r="E231" s="170">
        <v>15</v>
      </c>
      <c r="F231" s="217">
        <f t="shared" si="690"/>
        <v>0.09</v>
      </c>
      <c r="G231" s="217">
        <f t="shared" si="617"/>
        <v>7.4999999999999997E-2</v>
      </c>
      <c r="H231" s="217">
        <f t="shared" si="618"/>
        <v>15.299999999999999</v>
      </c>
      <c r="I231" s="217">
        <f t="shared" si="619"/>
        <v>0.89999999999999991</v>
      </c>
      <c r="J231" s="541">
        <f t="shared" si="620"/>
        <v>15.424932819780537</v>
      </c>
      <c r="K231" s="443">
        <f t="shared" si="621"/>
        <v>8.5386212361390275</v>
      </c>
      <c r="L231" s="172">
        <f t="shared" si="622"/>
        <v>23.963554055919566</v>
      </c>
      <c r="M231" s="443"/>
      <c r="N231" s="217">
        <f t="shared" si="623"/>
        <v>0.35631698103770154</v>
      </c>
      <c r="O231" s="172">
        <f t="shared" si="624"/>
        <v>173.02743225168621</v>
      </c>
      <c r="P231" s="172">
        <f t="shared" si="625"/>
        <v>10.178084250099189</v>
      </c>
      <c r="Q231" s="217">
        <f t="shared" si="626"/>
        <v>1.0178084250099189</v>
      </c>
      <c r="R231" s="217">
        <f t="shared" si="627"/>
        <v>14.418952687640518</v>
      </c>
      <c r="S231" s="217">
        <f t="shared" si="628"/>
        <v>170</v>
      </c>
      <c r="T231" s="217">
        <f t="shared" si="629"/>
        <v>5.8950189962728272</v>
      </c>
      <c r="U231" s="217">
        <f t="shared" si="630"/>
        <v>0.19108734751548498</v>
      </c>
      <c r="V231" s="217">
        <f t="shared" si="631"/>
        <v>0.3451973587563899</v>
      </c>
      <c r="W231" s="197">
        <f t="shared" si="632"/>
        <v>350</v>
      </c>
      <c r="X231" s="443">
        <f t="shared" si="691"/>
        <v>350</v>
      </c>
      <c r="Z231" s="217">
        <f t="shared" si="633"/>
        <v>31.406659971734644</v>
      </c>
      <c r="AA231" s="173">
        <f t="shared" si="634"/>
        <v>1.8390943398922814</v>
      </c>
      <c r="AB231" s="173">
        <f t="shared" si="635"/>
        <v>0.47732065695025705</v>
      </c>
      <c r="AC231" s="173"/>
      <c r="AD231" s="173">
        <f t="shared" si="636"/>
        <v>0.78076617785205604</v>
      </c>
      <c r="AE231" s="545">
        <f t="shared" si="637"/>
        <v>366.15616947913821</v>
      </c>
      <c r="AF231" s="528">
        <f t="shared" si="638"/>
        <v>8.6028865892958051E-2</v>
      </c>
      <c r="AH231" s="173">
        <f t="shared" si="639"/>
        <v>13.60672102833218</v>
      </c>
      <c r="AI231" s="173">
        <f t="shared" si="640"/>
        <v>13.60672102833218</v>
      </c>
      <c r="AJ231" s="173">
        <f t="shared" si="641"/>
        <v>1.4025094037028487</v>
      </c>
      <c r="AL231" s="545">
        <f t="shared" si="642"/>
        <v>90</v>
      </c>
      <c r="AM231" s="460">
        <f t="shared" si="643"/>
        <v>350</v>
      </c>
      <c r="AO231">
        <f t="shared" si="644"/>
        <v>90</v>
      </c>
      <c r="AP231">
        <f t="shared" si="645"/>
        <v>350</v>
      </c>
      <c r="AR231" s="5">
        <f t="shared" si="616"/>
        <v>2.8571428571428572</v>
      </c>
      <c r="AS231" s="5">
        <f t="shared" si="604"/>
        <v>0.4410625701683209</v>
      </c>
      <c r="AT231" s="5">
        <f t="shared" si="605"/>
        <v>2.4160802869745361</v>
      </c>
      <c r="AU231" s="173">
        <f t="shared" si="606"/>
        <v>0.15437189955891231</v>
      </c>
      <c r="BA231" s="173">
        <f t="shared" si="692"/>
        <v>3.086576018120359</v>
      </c>
      <c r="BB231" s="173">
        <f t="shared" si="693"/>
        <v>0.3411371187991814</v>
      </c>
      <c r="BC231" s="173">
        <f t="shared" si="694"/>
        <v>0.26971795358508693</v>
      </c>
      <c r="BD231" s="173"/>
      <c r="BE231" s="528">
        <f t="shared" si="695"/>
        <v>0.3810780606254292</v>
      </c>
      <c r="BF231" s="528">
        <f t="shared" si="646"/>
        <v>2.5677649847292634</v>
      </c>
      <c r="BG231" s="528">
        <f t="shared" si="647"/>
        <v>0.21594905947692752</v>
      </c>
      <c r="BH231" s="528">
        <f t="shared" si="696"/>
        <v>4.0197634609368538E-2</v>
      </c>
      <c r="BI231">
        <f t="shared" si="697"/>
        <v>6.9412197689012415E-3</v>
      </c>
      <c r="BJ231" s="460">
        <f t="shared" si="698"/>
        <v>222.89027924582876</v>
      </c>
      <c r="BK231">
        <f t="shared" si="648"/>
        <v>3.3997601388008496</v>
      </c>
      <c r="BL231" s="460">
        <f t="shared" si="699"/>
        <v>3211.9309592098898</v>
      </c>
      <c r="BM231" s="173">
        <f t="shared" si="649"/>
        <v>7.8119999999999995E-2</v>
      </c>
      <c r="BN231" s="173">
        <f t="shared" si="650"/>
        <v>6.5099999999999991E-2</v>
      </c>
      <c r="BQ231" s="460">
        <f t="shared" si="700"/>
        <v>143.22</v>
      </c>
      <c r="BR231" s="528">
        <f t="shared" si="701"/>
        <v>0.28580854546907192</v>
      </c>
      <c r="BS231" s="528">
        <f t="shared" si="702"/>
        <v>3.491236014678204E-3</v>
      </c>
      <c r="BT231" s="528">
        <f t="shared" si="703"/>
        <v>3.6373887243063555E-4</v>
      </c>
      <c r="BU231" s="528">
        <f t="shared" si="704"/>
        <v>78.257112081576665</v>
      </c>
      <c r="BV231" s="528"/>
      <c r="BW231" s="625">
        <f t="shared" si="705"/>
        <v>1.62</v>
      </c>
      <c r="BX231" s="460">
        <f t="shared" si="706"/>
        <v>80166.775601932852</v>
      </c>
      <c r="BY231" s="173">
        <f t="shared" si="707"/>
        <v>83.521926561142735</v>
      </c>
      <c r="BZ231" s="5">
        <f t="shared" si="708"/>
        <v>16.2</v>
      </c>
      <c r="CA231" s="173">
        <f t="shared" si="709"/>
        <v>0.16245173512634911</v>
      </c>
      <c r="CB231" s="5">
        <f t="shared" si="710"/>
        <v>16.24517351263491</v>
      </c>
      <c r="CC231">
        <f t="shared" si="711"/>
        <v>15</v>
      </c>
      <c r="CE231" s="562">
        <f t="shared" si="651"/>
        <v>-50</v>
      </c>
      <c r="CG231" s="173">
        <f t="shared" si="652"/>
        <v>0.27224556389190901</v>
      </c>
      <c r="CH231" s="173">
        <f t="shared" si="653"/>
        <v>6.9594389004143303E-2</v>
      </c>
      <c r="CI231" s="170">
        <v>15</v>
      </c>
      <c r="CJ231" s="217">
        <f t="shared" si="712"/>
        <v>0.09</v>
      </c>
      <c r="CK231" s="217">
        <f t="shared" si="654"/>
        <v>7.4999999999999997E-2</v>
      </c>
      <c r="CL231" s="217">
        <f t="shared" si="655"/>
        <v>15.299999999999999</v>
      </c>
      <c r="CM231" s="217">
        <f t="shared" si="656"/>
        <v>0.89999999999999991</v>
      </c>
      <c r="CN231" s="541">
        <f t="shared" si="657"/>
        <v>16</v>
      </c>
      <c r="CO231" s="443">
        <f t="shared" si="658"/>
        <v>8.5350000000000001</v>
      </c>
      <c r="CP231" s="443">
        <f t="shared" si="659"/>
        <v>24.535</v>
      </c>
      <c r="CQ231" s="443"/>
      <c r="CR231" s="217">
        <f t="shared" si="660"/>
        <v>0.34760448521916415</v>
      </c>
      <c r="CS231" s="172">
        <f t="shared" si="661"/>
        <v>175.08966662891231</v>
      </c>
      <c r="CT231" s="172">
        <f t="shared" si="662"/>
        <v>10.2993921546419</v>
      </c>
      <c r="CU231" s="217">
        <f t="shared" si="663"/>
        <v>1.02993921546419</v>
      </c>
      <c r="CV231" s="217">
        <f t="shared" si="664"/>
        <v>14.590805552409359</v>
      </c>
      <c r="CW231" s="217">
        <f t="shared" si="665"/>
        <v>170</v>
      </c>
      <c r="CX231" s="217">
        <f t="shared" si="666"/>
        <v>5.8255865102639293</v>
      </c>
      <c r="CY231" s="217">
        <f t="shared" si="667"/>
        <v>0.18204957844574779</v>
      </c>
      <c r="CZ231" s="217">
        <f t="shared" si="668"/>
        <v>0.34127630405764087</v>
      </c>
      <c r="DA231" s="197">
        <f t="shared" si="669"/>
        <v>350</v>
      </c>
      <c r="DB231" s="443">
        <f t="shared" si="670"/>
        <v>350</v>
      </c>
      <c r="DD231" s="217">
        <f t="shared" si="671"/>
        <v>31.805292730501623</v>
      </c>
      <c r="DE231" s="173">
        <f t="shared" si="672"/>
        <v>1.8632274593146818</v>
      </c>
      <c r="DF231" s="173">
        <f t="shared" si="673"/>
        <v>0.4897221442551708</v>
      </c>
      <c r="DG231" s="173"/>
      <c r="DH231" s="173">
        <f t="shared" si="674"/>
        <v>0.78109744190587771</v>
      </c>
      <c r="DI231" s="545">
        <f t="shared" si="675"/>
        <v>366.00088235294123</v>
      </c>
      <c r="DJ231" s="528">
        <f t="shared" si="676"/>
        <v>8.6065366284073561E-2</v>
      </c>
      <c r="DL231" s="173">
        <f t="shared" si="677"/>
        <v>13.60672102833218</v>
      </c>
      <c r="DM231" s="173">
        <f t="shared" si="678"/>
        <v>13.60672102833218</v>
      </c>
      <c r="DN231" s="173">
        <f t="shared" si="679"/>
        <v>1.4025094037028487</v>
      </c>
      <c r="DP231" s="545">
        <f t="shared" si="680"/>
        <v>90</v>
      </c>
      <c r="DQ231" s="460">
        <f t="shared" si="681"/>
        <v>350</v>
      </c>
      <c r="DS231">
        <f t="shared" si="682"/>
        <v>90</v>
      </c>
      <c r="DT231">
        <f t="shared" si="683"/>
        <v>350</v>
      </c>
      <c r="DV231" s="5">
        <f t="shared" si="684"/>
        <v>2.8571428571428572</v>
      </c>
      <c r="DW231" s="5">
        <f t="shared" si="685"/>
        <v>0.42521003213538056</v>
      </c>
      <c r="DX231" s="5">
        <f t="shared" si="686"/>
        <v>2.4319328250074768</v>
      </c>
      <c r="DY231" s="173">
        <f t="shared" si="687"/>
        <v>0.14882351124738319</v>
      </c>
      <c r="EA231" s="5">
        <f t="shared" si="713"/>
        <v>2.2511119348343676E-2</v>
      </c>
      <c r="EB231" s="5">
        <f t="shared" si="714"/>
        <v>0.26575627008461278</v>
      </c>
      <c r="EC231" s="5">
        <f t="shared" si="715"/>
        <v>3.7208572222614391</v>
      </c>
      <c r="ED231" s="5"/>
      <c r="EE231" s="173">
        <f t="shared" si="716"/>
        <v>3.0306000551250931</v>
      </c>
      <c r="EF231" s="173">
        <f t="shared" si="717"/>
        <v>0.34225443421212254</v>
      </c>
      <c r="EG231" s="173">
        <f t="shared" si="718"/>
        <v>0.2706013521075003</v>
      </c>
      <c r="EH231" s="173"/>
      <c r="EI231" s="528">
        <f t="shared" si="719"/>
        <v>0.36738146776496872</v>
      </c>
      <c r="EJ231" s="528">
        <f t="shared" si="720"/>
        <v>3.2132186666400022</v>
      </c>
      <c r="EK231" s="528">
        <f t="shared" si="721"/>
        <v>6.9999999999999993E-2</v>
      </c>
      <c r="EL231" s="528">
        <f t="shared" si="722"/>
        <v>4.2137635749999999E-2</v>
      </c>
      <c r="EM231">
        <f t="shared" si="723"/>
        <v>7.1999999999999998E-3</v>
      </c>
      <c r="EN231" s="460">
        <f t="shared" si="724"/>
        <v>77.199999999999989</v>
      </c>
      <c r="EP231" s="460">
        <f t="shared" si="725"/>
        <v>3699.9377701549711</v>
      </c>
      <c r="EQ231" s="173">
        <f t="shared" si="726"/>
        <v>6.3E-2</v>
      </c>
      <c r="ER231" s="173">
        <f t="shared" si="688"/>
        <v>6.5099999999999991E-2</v>
      </c>
      <c r="ES231" s="528"/>
      <c r="EU231" s="460">
        <f t="shared" si="727"/>
        <v>128.1</v>
      </c>
      <c r="EV231" s="528">
        <f t="shared" si="728"/>
        <v>0.27553610082372648</v>
      </c>
      <c r="EW231" s="528">
        <f t="shared" si="729"/>
        <v>3.5141429321358035E-3</v>
      </c>
      <c r="EX231" s="528">
        <f t="shared" si="730"/>
        <v>3.6612545881203683E-4</v>
      </c>
      <c r="EY231" s="528">
        <f t="shared" si="731"/>
        <v>78.257112081576665</v>
      </c>
      <c r="EZ231" s="528"/>
      <c r="FA231" s="625">
        <f t="shared" si="732"/>
        <v>1.62</v>
      </c>
      <c r="FB231" s="460">
        <f t="shared" si="733"/>
        <v>80156.528450791346</v>
      </c>
      <c r="FC231" s="173">
        <f t="shared" si="734"/>
        <v>83.98456622094632</v>
      </c>
      <c r="FD231" s="5">
        <f t="shared" si="735"/>
        <v>16.2</v>
      </c>
      <c r="FE231" s="173">
        <f t="shared" si="736"/>
        <v>0.16170155355339499</v>
      </c>
      <c r="FF231" s="5">
        <f t="shared" si="737"/>
        <v>16.170155355339499</v>
      </c>
      <c r="FG231">
        <f t="shared" si="738"/>
        <v>15</v>
      </c>
      <c r="FI231" s="562">
        <f t="shared" si="689"/>
        <v>-50</v>
      </c>
    </row>
    <row r="232" spans="5:165">
      <c r="E232" s="170">
        <v>16</v>
      </c>
      <c r="F232" s="217">
        <f t="shared" si="690"/>
        <v>9.6000000000000002E-2</v>
      </c>
      <c r="G232" s="217">
        <f t="shared" si="617"/>
        <v>0.08</v>
      </c>
      <c r="H232" s="217">
        <f t="shared" si="618"/>
        <v>16.32</v>
      </c>
      <c r="I232" s="217">
        <f t="shared" si="619"/>
        <v>0.96</v>
      </c>
      <c r="J232" s="541">
        <f t="shared" si="620"/>
        <v>15.406073170149215</v>
      </c>
      <c r="K232" s="443">
        <f t="shared" si="621"/>
        <v>8.5387399966024375</v>
      </c>
      <c r="L232" s="172">
        <f t="shared" si="622"/>
        <v>23.944813166751651</v>
      </c>
      <c r="M232" s="443"/>
      <c r="N232" s="217">
        <f t="shared" si="623"/>
        <v>0.35660081944004585</v>
      </c>
      <c r="O232" s="172">
        <f t="shared" si="624"/>
        <v>172.95353960386066</v>
      </c>
      <c r="P232" s="172">
        <f t="shared" si="625"/>
        <v>10.173737623756509</v>
      </c>
      <c r="Q232" s="217">
        <f t="shared" si="626"/>
        <v>1.0173737623756509</v>
      </c>
      <c r="R232" s="217">
        <f t="shared" si="627"/>
        <v>14.412794966988388</v>
      </c>
      <c r="S232" s="217">
        <f t="shared" si="628"/>
        <v>170</v>
      </c>
      <c r="T232" s="217">
        <f t="shared" si="629"/>
        <v>6.2907067556523941</v>
      </c>
      <c r="U232" s="217">
        <f t="shared" si="630"/>
        <v>0.20416321168204168</v>
      </c>
      <c r="V232" s="217">
        <f t="shared" si="631"/>
        <v>0.36836270680190897</v>
      </c>
      <c r="W232" s="197">
        <f t="shared" si="632"/>
        <v>350</v>
      </c>
      <c r="X232" s="443">
        <f t="shared" si="691"/>
        <v>350</v>
      </c>
      <c r="Z232" s="217">
        <f t="shared" si="633"/>
        <v>31.393247524734367</v>
      </c>
      <c r="AA232" s="173">
        <f t="shared" si="634"/>
        <v>1.8382833730284407</v>
      </c>
      <c r="AB232" s="173">
        <f t="shared" si="635"/>
        <v>0.47690642424028934</v>
      </c>
      <c r="AC232" s="173"/>
      <c r="AD232" s="173">
        <f t="shared" si="636"/>
        <v>0.7807553186207018</v>
      </c>
      <c r="AE232" s="545">
        <f t="shared" si="637"/>
        <v>390.57201302106205</v>
      </c>
      <c r="AF232" s="528">
        <f t="shared" si="638"/>
        <v>8.6027669366540313E-2</v>
      </c>
      <c r="AH232" s="173">
        <f t="shared" si="639"/>
        <v>14.05296105045888</v>
      </c>
      <c r="AI232" s="173">
        <f t="shared" si="640"/>
        <v>14.05296105045888</v>
      </c>
      <c r="AJ232" s="173">
        <f t="shared" si="641"/>
        <v>1.7330575682411449</v>
      </c>
      <c r="AL232" s="545">
        <f t="shared" si="642"/>
        <v>96</v>
      </c>
      <c r="AM232" s="460">
        <f t="shared" si="643"/>
        <v>350</v>
      </c>
      <c r="AO232">
        <f t="shared" si="644"/>
        <v>96</v>
      </c>
      <c r="AP232">
        <f t="shared" si="645"/>
        <v>350</v>
      </c>
      <c r="AR232" s="5">
        <f t="shared" si="616"/>
        <v>2.8571428571428572</v>
      </c>
      <c r="AS232" s="5">
        <f t="shared" si="604"/>
        <v>0.45608510667364205</v>
      </c>
      <c r="AT232" s="5">
        <f t="shared" si="605"/>
        <v>2.401057750469215</v>
      </c>
      <c r="AU232" s="173">
        <f t="shared" si="606"/>
        <v>0.15962978733577471</v>
      </c>
      <c r="BA232" s="173">
        <f t="shared" si="692"/>
        <v>3.2416355220414146</v>
      </c>
      <c r="BB232" s="173">
        <f t="shared" si="693"/>
        <v>0.35122786269773415</v>
      </c>
      <c r="BC232" s="173">
        <f t="shared" si="694"/>
        <v>0.2776961378531877</v>
      </c>
      <c r="BD232" s="173"/>
      <c r="BE232" s="528">
        <f t="shared" si="695"/>
        <v>0.42032803431042859</v>
      </c>
      <c r="BF232" s="528">
        <f t="shared" si="646"/>
        <v>2.6499022734938973</v>
      </c>
      <c r="BG232" s="528">
        <f t="shared" si="647"/>
        <v>0.215685024382089</v>
      </c>
      <c r="BH232" s="528">
        <f t="shared" si="696"/>
        <v>4.0134785431345028E-2</v>
      </c>
      <c r="BI232">
        <f t="shared" si="697"/>
        <v>6.9327329265671464E-3</v>
      </c>
      <c r="BJ232" s="460">
        <f t="shared" si="698"/>
        <v>222.61775730865617</v>
      </c>
      <c r="BK232">
        <f t="shared" si="648"/>
        <v>3.5815420561665054</v>
      </c>
      <c r="BL232" s="460">
        <f t="shared" si="699"/>
        <v>3332.982850544327</v>
      </c>
      <c r="BM232" s="173">
        <f t="shared" si="649"/>
        <v>8.3327999999999999E-2</v>
      </c>
      <c r="BN232" s="173">
        <f t="shared" si="650"/>
        <v>6.9439999999999988E-2</v>
      </c>
      <c r="BQ232" s="460">
        <f t="shared" si="700"/>
        <v>152.768</v>
      </c>
      <c r="BR232" s="528">
        <f t="shared" si="701"/>
        <v>0.3152460257328214</v>
      </c>
      <c r="BS232" s="528">
        <f t="shared" si="702"/>
        <v>3.7008303460565515E-3</v>
      </c>
      <c r="BT232" s="528">
        <f t="shared" si="703"/>
        <v>3.8557572489288311E-4</v>
      </c>
      <c r="BU232" s="528">
        <f t="shared" si="704"/>
        <v>84.83200303926462</v>
      </c>
      <c r="BV232" s="528"/>
      <c r="BW232" s="625">
        <f t="shared" si="705"/>
        <v>1.7280000000000006</v>
      </c>
      <c r="BX232" s="460">
        <f t="shared" si="706"/>
        <v>86879.335471068393</v>
      </c>
      <c r="BY232" s="173">
        <f t="shared" si="707"/>
        <v>90.365086321612708</v>
      </c>
      <c r="BZ232" s="5">
        <f t="shared" si="708"/>
        <v>17.28</v>
      </c>
      <c r="CA232" s="173">
        <f t="shared" si="709"/>
        <v>0.16052753163644001</v>
      </c>
      <c r="CB232" s="5">
        <f t="shared" si="710"/>
        <v>16.052753163644002</v>
      </c>
      <c r="CC232">
        <f t="shared" si="711"/>
        <v>16</v>
      </c>
      <c r="CE232" s="562">
        <f t="shared" si="651"/>
        <v>-50</v>
      </c>
      <c r="CG232" s="173">
        <f t="shared" si="652"/>
        <v>0.28117400934192294</v>
      </c>
      <c r="CH232" s="173">
        <f t="shared" si="653"/>
        <v>7.1876775894007358E-2</v>
      </c>
      <c r="CI232" s="170">
        <v>16</v>
      </c>
      <c r="CJ232" s="217">
        <f t="shared" si="712"/>
        <v>9.6000000000000002E-2</v>
      </c>
      <c r="CK232" s="217">
        <f t="shared" si="654"/>
        <v>0.08</v>
      </c>
      <c r="CL232" s="217">
        <f t="shared" si="655"/>
        <v>16.32</v>
      </c>
      <c r="CM232" s="217">
        <f t="shared" si="656"/>
        <v>0.96</v>
      </c>
      <c r="CN232" s="541">
        <f t="shared" si="657"/>
        <v>16</v>
      </c>
      <c r="CO232" s="443">
        <f t="shared" si="658"/>
        <v>8.5350000000000001</v>
      </c>
      <c r="CP232" s="443">
        <f t="shared" si="659"/>
        <v>24.535</v>
      </c>
      <c r="CQ232" s="443"/>
      <c r="CR232" s="217">
        <f t="shared" si="660"/>
        <v>0.34760448521916415</v>
      </c>
      <c r="CS232" s="172">
        <f t="shared" si="661"/>
        <v>175.08966662891231</v>
      </c>
      <c r="CT232" s="172">
        <f t="shared" si="662"/>
        <v>10.2993921546419</v>
      </c>
      <c r="CU232" s="217">
        <f t="shared" si="663"/>
        <v>1.02993921546419</v>
      </c>
      <c r="CV232" s="217">
        <f t="shared" si="664"/>
        <v>14.590805552409359</v>
      </c>
      <c r="CW232" s="217">
        <f t="shared" si="665"/>
        <v>170</v>
      </c>
      <c r="CX232" s="217">
        <f t="shared" si="666"/>
        <v>6.2139589442815248</v>
      </c>
      <c r="CY232" s="217">
        <f t="shared" si="667"/>
        <v>0.19418621700879762</v>
      </c>
      <c r="CZ232" s="217">
        <f t="shared" si="668"/>
        <v>0.36402805766148355</v>
      </c>
      <c r="DA232" s="197">
        <f t="shared" si="669"/>
        <v>350</v>
      </c>
      <c r="DB232" s="443">
        <f t="shared" si="670"/>
        <v>350</v>
      </c>
      <c r="DD232" s="217">
        <f t="shared" si="671"/>
        <v>31.805292730501623</v>
      </c>
      <c r="DE232" s="173">
        <f t="shared" si="672"/>
        <v>1.8632274593146818</v>
      </c>
      <c r="DF232" s="173">
        <f t="shared" si="673"/>
        <v>0.4897221442551708</v>
      </c>
      <c r="DG232" s="173"/>
      <c r="DH232" s="173">
        <f t="shared" si="674"/>
        <v>0.78109744190587771</v>
      </c>
      <c r="DI232" s="545">
        <f t="shared" si="675"/>
        <v>390.40094117647067</v>
      </c>
      <c r="DJ232" s="528">
        <f t="shared" si="676"/>
        <v>8.6065366284073561E-2</v>
      </c>
      <c r="DL232" s="173">
        <f t="shared" si="677"/>
        <v>14.05296105045888</v>
      </c>
      <c r="DM232" s="173">
        <f t="shared" si="678"/>
        <v>14.05296105045888</v>
      </c>
      <c r="DN232" s="173">
        <f t="shared" si="679"/>
        <v>1.7330575682411449</v>
      </c>
      <c r="DP232" s="545">
        <f t="shared" si="680"/>
        <v>96</v>
      </c>
      <c r="DQ232" s="460">
        <f t="shared" si="681"/>
        <v>350</v>
      </c>
      <c r="DS232">
        <f t="shared" si="682"/>
        <v>96</v>
      </c>
      <c r="DT232">
        <f t="shared" si="683"/>
        <v>350</v>
      </c>
      <c r="DV232" s="5">
        <f t="shared" si="684"/>
        <v>2.8571428571428572</v>
      </c>
      <c r="DW232" s="5">
        <f t="shared" si="685"/>
        <v>0.43915503282683993</v>
      </c>
      <c r="DX232" s="5">
        <f t="shared" si="686"/>
        <v>2.4179878243160173</v>
      </c>
      <c r="DY232" s="173">
        <f t="shared" si="687"/>
        <v>0.15370426148939398</v>
      </c>
      <c r="EA232" s="5">
        <f t="shared" si="713"/>
        <v>2.4799343030221549E-2</v>
      </c>
      <c r="EB232" s="5">
        <f t="shared" si="714"/>
        <v>0.29277002188455997</v>
      </c>
      <c r="EC232" s="5">
        <f t="shared" si="715"/>
        <v>3.9461561292837404</v>
      </c>
      <c r="ED232" s="5"/>
      <c r="EE232" s="173">
        <f t="shared" si="716"/>
        <v>3.1809011233187356</v>
      </c>
      <c r="EF232" s="173">
        <f t="shared" si="717"/>
        <v>0.35246395717446166</v>
      </c>
      <c r="EG232" s="173">
        <f t="shared" si="718"/>
        <v>0.27867344830792312</v>
      </c>
      <c r="EH232" s="173"/>
      <c r="EI232" s="528">
        <f t="shared" si="719"/>
        <v>0.4047252782532158</v>
      </c>
      <c r="EJ232" s="528">
        <f t="shared" si="720"/>
        <v>3.3185979689652085</v>
      </c>
      <c r="EK232" s="528">
        <f t="shared" si="721"/>
        <v>6.9999999999999993E-2</v>
      </c>
      <c r="EL232" s="528">
        <f t="shared" si="722"/>
        <v>4.2137635749999999E-2</v>
      </c>
      <c r="EM232">
        <f t="shared" si="723"/>
        <v>7.1999999999999998E-3</v>
      </c>
      <c r="EN232" s="460">
        <f t="shared" si="724"/>
        <v>77.199999999999989</v>
      </c>
      <c r="EP232" s="460">
        <f t="shared" si="725"/>
        <v>3842.6608829684242</v>
      </c>
      <c r="EQ232" s="173">
        <f t="shared" si="726"/>
        <v>6.7199999999999996E-2</v>
      </c>
      <c r="ER232" s="173">
        <f t="shared" si="688"/>
        <v>6.9439999999999988E-2</v>
      </c>
      <c r="ES232" s="528"/>
      <c r="EU232" s="460">
        <f t="shared" si="727"/>
        <v>136.63999999999999</v>
      </c>
      <c r="EV232" s="528">
        <f t="shared" si="728"/>
        <v>0.3035439586899118</v>
      </c>
      <c r="EW232" s="528">
        <f t="shared" si="729"/>
        <v>3.7269252332124223E-3</v>
      </c>
      <c r="EX232" s="528">
        <f t="shared" si="730"/>
        <v>3.8829445395914346E-4</v>
      </c>
      <c r="EY232" s="528">
        <f t="shared" si="731"/>
        <v>84.83200303926462</v>
      </c>
      <c r="EZ232" s="528"/>
      <c r="FA232" s="625">
        <f t="shared" si="732"/>
        <v>1.7280000000000006</v>
      </c>
      <c r="FB232" s="460">
        <f t="shared" si="733"/>
        <v>86867.6622176417</v>
      </c>
      <c r="FC232" s="173">
        <f t="shared" si="734"/>
        <v>90.846963100610125</v>
      </c>
      <c r="FD232" s="5">
        <f t="shared" si="735"/>
        <v>17.28</v>
      </c>
      <c r="FE232" s="173">
        <f t="shared" si="736"/>
        <v>0.15981212737771319</v>
      </c>
      <c r="FF232" s="5">
        <f t="shared" si="737"/>
        <v>15.981212737771319</v>
      </c>
      <c r="FG232">
        <f t="shared" si="738"/>
        <v>16</v>
      </c>
      <c r="FI232" s="562">
        <f t="shared" si="689"/>
        <v>-50</v>
      </c>
    </row>
    <row r="233" spans="5:165">
      <c r="E233" s="170">
        <v>17</v>
      </c>
      <c r="F233" s="217">
        <f t="shared" si="690"/>
        <v>0.10200000000000001</v>
      </c>
      <c r="G233" s="217">
        <f t="shared" si="617"/>
        <v>8.5000000000000006E-2</v>
      </c>
      <c r="H233" s="217">
        <f t="shared" si="618"/>
        <v>17.34</v>
      </c>
      <c r="I233" s="217">
        <f t="shared" si="619"/>
        <v>1.02</v>
      </c>
      <c r="J233" s="541">
        <f t="shared" si="620"/>
        <v>15.387794236659241</v>
      </c>
      <c r="K233" s="443">
        <f t="shared" si="621"/>
        <v>8.538855100257825</v>
      </c>
      <c r="L233" s="172">
        <f t="shared" si="622"/>
        <v>23.926649336917066</v>
      </c>
      <c r="M233" s="443"/>
      <c r="N233" s="217">
        <f t="shared" si="623"/>
        <v>0.35687634235868526</v>
      </c>
      <c r="O233" s="172">
        <f t="shared" si="624"/>
        <v>172.88180613055397</v>
      </c>
      <c r="P233" s="172">
        <f t="shared" si="625"/>
        <v>10.169518007679644</v>
      </c>
      <c r="Q233" s="217">
        <f t="shared" si="626"/>
        <v>1.0169518007679645</v>
      </c>
      <c r="R233" s="217">
        <f t="shared" si="627"/>
        <v>14.406817177546165</v>
      </c>
      <c r="S233" s="217">
        <f t="shared" si="628"/>
        <v>170</v>
      </c>
      <c r="T233" s="217">
        <f t="shared" si="629"/>
        <v>6.686649254040252</v>
      </c>
      <c r="U233" s="217">
        <f t="shared" si="630"/>
        <v>0.21727120700997729</v>
      </c>
      <c r="V233" s="217">
        <f t="shared" si="631"/>
        <v>0.39154249460436169</v>
      </c>
      <c r="W233" s="197">
        <f t="shared" si="632"/>
        <v>350</v>
      </c>
      <c r="X233" s="443">
        <f t="shared" si="691"/>
        <v>350</v>
      </c>
      <c r="Z233" s="217">
        <f t="shared" si="633"/>
        <v>31.38022699512576</v>
      </c>
      <c r="AA233" s="173">
        <f t="shared" si="634"/>
        <v>1.837496164689471</v>
      </c>
      <c r="AB233" s="173">
        <f t="shared" si="635"/>
        <v>0.47650448356422237</v>
      </c>
      <c r="AC233" s="173"/>
      <c r="AD233" s="173">
        <f t="shared" si="636"/>
        <v>0.78074479404918951</v>
      </c>
      <c r="AE233" s="545">
        <f t="shared" si="637"/>
        <v>414.98835787253017</v>
      </c>
      <c r="AF233" s="528">
        <f t="shared" si="638"/>
        <v>8.6026509714679233E-2</v>
      </c>
      <c r="AH233" s="173">
        <f t="shared" si="639"/>
        <v>14.485460690933216</v>
      </c>
      <c r="AI233" s="173">
        <f t="shared" si="640"/>
        <v>14.485460690933216</v>
      </c>
      <c r="AJ233" s="173">
        <f t="shared" si="641"/>
        <v>2.053427672296209</v>
      </c>
      <c r="AL233" s="545">
        <f t="shared" si="642"/>
        <v>102.00000000000001</v>
      </c>
      <c r="AM233" s="460">
        <f t="shared" si="643"/>
        <v>350</v>
      </c>
      <c r="AO233">
        <f t="shared" si="644"/>
        <v>102.00000000000001</v>
      </c>
      <c r="AP233">
        <f t="shared" si="645"/>
        <v>350</v>
      </c>
      <c r="AR233" s="5">
        <f t="shared" si="616"/>
        <v>2.8571428571428572</v>
      </c>
      <c r="AS233" s="5">
        <f t="shared" si="604"/>
        <v>0.47068021797509019</v>
      </c>
      <c r="AT233" s="5">
        <f t="shared" si="605"/>
        <v>2.386462639167767</v>
      </c>
      <c r="AU233" s="173">
        <f t="shared" si="606"/>
        <v>0.16473807629128157</v>
      </c>
      <c r="BA233" s="173">
        <f t="shared" si="692"/>
        <v>3.3944442455327213</v>
      </c>
      <c r="BB233" s="173">
        <f t="shared" si="693"/>
        <v>0.36093537350475047</v>
      </c>
      <c r="BC233" s="173">
        <f t="shared" si="694"/>
        <v>0.28537132124715564</v>
      </c>
      <c r="BD233" s="173"/>
      <c r="BE233" s="528">
        <f t="shared" si="695"/>
        <v>0.46089006944120819</v>
      </c>
      <c r="BF233" s="528">
        <f t="shared" si="646"/>
        <v>2.7293847401807865</v>
      </c>
      <c r="BG233" s="528">
        <f t="shared" si="647"/>
        <v>0.21542911931322939</v>
      </c>
      <c r="BH233" s="528">
        <f t="shared" si="696"/>
        <v>4.0073918394425583E-2</v>
      </c>
      <c r="BI233">
        <f t="shared" si="697"/>
        <v>6.9245074064966583E-3</v>
      </c>
      <c r="BJ233" s="460">
        <f t="shared" si="698"/>
        <v>222.35362671972607</v>
      </c>
      <c r="BK233">
        <f t="shared" si="648"/>
        <v>3.7673410762016508</v>
      </c>
      <c r="BL233" s="460">
        <f t="shared" si="699"/>
        <v>3452.7023547361464</v>
      </c>
      <c r="BM233" s="173">
        <f t="shared" si="649"/>
        <v>8.8536000000000004E-2</v>
      </c>
      <c r="BN233" s="173">
        <f t="shared" si="650"/>
        <v>7.3779999999999998E-2</v>
      </c>
      <c r="BQ233" s="460">
        <f t="shared" si="700"/>
        <v>162.316</v>
      </c>
      <c r="BR233" s="528">
        <f t="shared" si="701"/>
        <v>0.3456675520809061</v>
      </c>
      <c r="BS233" s="528">
        <f t="shared" si="702"/>
        <v>3.9082303154104117E-3</v>
      </c>
      <c r="BT233" s="528">
        <f t="shared" si="703"/>
        <v>4.0718395495173648E-4</v>
      </c>
      <c r="BU233" s="528">
        <f t="shared" si="704"/>
        <v>91.510492991022005</v>
      </c>
      <c r="BV233" s="528"/>
      <c r="BW233" s="625">
        <f t="shared" si="705"/>
        <v>1.8359999999999999</v>
      </c>
      <c r="BX233" s="460">
        <f t="shared" si="706"/>
        <v>93696.475957373274</v>
      </c>
      <c r="BY233" s="173">
        <f t="shared" si="707"/>
        <v>97.311494312109417</v>
      </c>
      <c r="BZ233" s="5">
        <f t="shared" si="708"/>
        <v>18.36</v>
      </c>
      <c r="CA233" s="173">
        <f t="shared" si="709"/>
        <v>0.15872536366185708</v>
      </c>
      <c r="CB233" s="5">
        <f t="shared" si="710"/>
        <v>15.872536366185708</v>
      </c>
      <c r="CC233">
        <f t="shared" si="711"/>
        <v>17</v>
      </c>
      <c r="CE233" s="562">
        <f t="shared" si="651"/>
        <v>-50</v>
      </c>
      <c r="CG233" s="173">
        <f t="shared" si="652"/>
        <v>0.28982753492378871</v>
      </c>
      <c r="CH233" s="173">
        <f t="shared" si="653"/>
        <v>7.4088884759960408E-2</v>
      </c>
      <c r="CI233" s="170">
        <v>17</v>
      </c>
      <c r="CJ233" s="217">
        <f t="shared" si="712"/>
        <v>0.10200000000000001</v>
      </c>
      <c r="CK233" s="217">
        <f t="shared" si="654"/>
        <v>8.5000000000000006E-2</v>
      </c>
      <c r="CL233" s="217">
        <f t="shared" si="655"/>
        <v>17.34</v>
      </c>
      <c r="CM233" s="217">
        <f t="shared" si="656"/>
        <v>1.02</v>
      </c>
      <c r="CN233" s="541">
        <f t="shared" si="657"/>
        <v>16</v>
      </c>
      <c r="CO233" s="443">
        <f t="shared" si="658"/>
        <v>8.5350000000000001</v>
      </c>
      <c r="CP233" s="443">
        <f t="shared" si="659"/>
        <v>24.535</v>
      </c>
      <c r="CQ233" s="443"/>
      <c r="CR233" s="217">
        <f t="shared" si="660"/>
        <v>0.34760448521916415</v>
      </c>
      <c r="CS233" s="172">
        <f t="shared" si="661"/>
        <v>175.08966662891231</v>
      </c>
      <c r="CT233" s="172">
        <f t="shared" si="662"/>
        <v>10.2993921546419</v>
      </c>
      <c r="CU233" s="217">
        <f t="shared" si="663"/>
        <v>1.02993921546419</v>
      </c>
      <c r="CV233" s="217">
        <f t="shared" si="664"/>
        <v>14.590805552409359</v>
      </c>
      <c r="CW233" s="217">
        <f t="shared" si="665"/>
        <v>170</v>
      </c>
      <c r="CX233" s="217">
        <f t="shared" si="666"/>
        <v>6.6023313782991195</v>
      </c>
      <c r="CY233" s="217">
        <f t="shared" si="667"/>
        <v>0.20632285557184746</v>
      </c>
      <c r="CZ233" s="217">
        <f t="shared" si="668"/>
        <v>0.38677981126532623</v>
      </c>
      <c r="DA233" s="197">
        <f t="shared" si="669"/>
        <v>350</v>
      </c>
      <c r="DB233" s="443">
        <f t="shared" si="670"/>
        <v>350</v>
      </c>
      <c r="DD233" s="217">
        <f t="shared" si="671"/>
        <v>31.805292730501623</v>
      </c>
      <c r="DE233" s="173">
        <f t="shared" si="672"/>
        <v>1.8632274593146818</v>
      </c>
      <c r="DF233" s="173">
        <f t="shared" si="673"/>
        <v>0.4897221442551708</v>
      </c>
      <c r="DG233" s="173"/>
      <c r="DH233" s="173">
        <f t="shared" si="674"/>
        <v>0.78109744190587771</v>
      </c>
      <c r="DI233" s="545">
        <f t="shared" si="675"/>
        <v>414.80100000000004</v>
      </c>
      <c r="DJ233" s="528">
        <f t="shared" si="676"/>
        <v>8.6065366284073561E-2</v>
      </c>
      <c r="DL233" s="173">
        <f t="shared" si="677"/>
        <v>14.485460690933216</v>
      </c>
      <c r="DM233" s="173">
        <f t="shared" si="678"/>
        <v>14.485460690933216</v>
      </c>
      <c r="DN233" s="173">
        <f t="shared" si="679"/>
        <v>2.053427672296209</v>
      </c>
      <c r="DP233" s="545">
        <f t="shared" si="680"/>
        <v>102.00000000000001</v>
      </c>
      <c r="DQ233" s="460">
        <f t="shared" si="681"/>
        <v>350</v>
      </c>
      <c r="DS233">
        <f t="shared" si="682"/>
        <v>102.00000000000001</v>
      </c>
      <c r="DT233">
        <f t="shared" si="683"/>
        <v>350</v>
      </c>
      <c r="DV233" s="5">
        <f t="shared" si="684"/>
        <v>2.8571428571428572</v>
      </c>
      <c r="DW233" s="5">
        <f t="shared" si="685"/>
        <v>0.45267064659166301</v>
      </c>
      <c r="DX233" s="5">
        <f t="shared" si="686"/>
        <v>2.4044722105511944</v>
      </c>
      <c r="DY233" s="173">
        <f t="shared" si="687"/>
        <v>0.15843472630708205</v>
      </c>
      <c r="EA233" s="5">
        <f t="shared" si="713"/>
        <v>2.7160238795499784E-2</v>
      </c>
      <c r="EB233" s="5">
        <f t="shared" si="714"/>
        <v>0.32064170800242797</v>
      </c>
      <c r="EC233" s="5">
        <f t="shared" si="715"/>
        <v>4.1693548130957705</v>
      </c>
      <c r="ED233" s="5"/>
      <c r="EE233" s="173">
        <f t="shared" si="716"/>
        <v>3.3288702931420908</v>
      </c>
      <c r="EF233" s="173">
        <f t="shared" si="717"/>
        <v>0.36229472303388593</v>
      </c>
      <c r="EG233" s="173">
        <f t="shared" si="718"/>
        <v>0.28644608254693993</v>
      </c>
      <c r="EH233" s="173"/>
      <c r="EI233" s="528">
        <f t="shared" si="719"/>
        <v>0.4432550971425564</v>
      </c>
      <c r="EJ233" s="528">
        <f t="shared" si="720"/>
        <v>3.4207324887509474</v>
      </c>
      <c r="EK233" s="528">
        <f t="shared" si="721"/>
        <v>6.9999999999999993E-2</v>
      </c>
      <c r="EL233" s="528">
        <f t="shared" si="722"/>
        <v>4.2137635749999999E-2</v>
      </c>
      <c r="EM233">
        <f t="shared" si="723"/>
        <v>7.1999999999999998E-3</v>
      </c>
      <c r="EN233" s="460">
        <f t="shared" si="724"/>
        <v>77.199999999999989</v>
      </c>
      <c r="EP233" s="460">
        <f t="shared" si="725"/>
        <v>3983.3252216435039</v>
      </c>
      <c r="EQ233" s="173">
        <f t="shared" si="726"/>
        <v>7.1400000000000005E-2</v>
      </c>
      <c r="ER233" s="173">
        <f t="shared" si="688"/>
        <v>7.3779999999999998E-2</v>
      </c>
      <c r="ES233" s="528"/>
      <c r="EU233" s="460">
        <f t="shared" si="727"/>
        <v>145.18</v>
      </c>
      <c r="EV233" s="528">
        <f t="shared" si="728"/>
        <v>0.3324413228569173</v>
      </c>
      <c r="EW233" s="528">
        <f t="shared" si="729"/>
        <v>3.937723990146004E-3</v>
      </c>
      <c r="EX233" s="528">
        <f t="shared" si="730"/>
        <v>4.102567910324416E-4</v>
      </c>
      <c r="EY233" s="528">
        <f t="shared" si="731"/>
        <v>91.510492991022005</v>
      </c>
      <c r="EZ233" s="528"/>
      <c r="FA233" s="625">
        <f t="shared" si="732"/>
        <v>1.8359999999999999</v>
      </c>
      <c r="FB233" s="460">
        <f t="shared" si="733"/>
        <v>93683.282294660108</v>
      </c>
      <c r="FC233" s="173">
        <f t="shared" si="734"/>
        <v>97.811787516303596</v>
      </c>
      <c r="FD233" s="5">
        <f t="shared" si="735"/>
        <v>18.36</v>
      </c>
      <c r="FE233" s="173">
        <f t="shared" si="736"/>
        <v>0.15804181370131151</v>
      </c>
      <c r="FF233" s="5">
        <f t="shared" si="737"/>
        <v>15.80418137013115</v>
      </c>
      <c r="FG233">
        <f t="shared" si="738"/>
        <v>17</v>
      </c>
      <c r="FI233" s="562">
        <f t="shared" si="689"/>
        <v>-50</v>
      </c>
    </row>
    <row r="234" spans="5:165">
      <c r="E234" s="170">
        <v>18</v>
      </c>
      <c r="F234" s="217">
        <f t="shared" si="690"/>
        <v>0.108</v>
      </c>
      <c r="G234" s="217">
        <f t="shared" si="617"/>
        <v>0.09</v>
      </c>
      <c r="H234" s="217">
        <f t="shared" si="618"/>
        <v>18.36</v>
      </c>
      <c r="I234" s="217">
        <f t="shared" si="619"/>
        <v>1.08</v>
      </c>
      <c r="J234" s="541">
        <f t="shared" si="620"/>
        <v>15.370045466625822</v>
      </c>
      <c r="K234" s="443">
        <f t="shared" si="621"/>
        <v>8.5389668654387982</v>
      </c>
      <c r="L234" s="172">
        <f t="shared" si="622"/>
        <v>23.90901233206462</v>
      </c>
      <c r="M234" s="443"/>
      <c r="N234" s="217">
        <f t="shared" si="623"/>
        <v>0.35714427458749948</v>
      </c>
      <c r="O234" s="172">
        <f t="shared" si="624"/>
        <v>172.81204362117478</v>
      </c>
      <c r="P234" s="172">
        <f t="shared" si="625"/>
        <v>10.16541433065734</v>
      </c>
      <c r="Q234" s="217">
        <f t="shared" si="626"/>
        <v>1.0165414330657341</v>
      </c>
      <c r="R234" s="217">
        <f t="shared" si="627"/>
        <v>14.401003635097899</v>
      </c>
      <c r="S234" s="217">
        <f t="shared" si="628"/>
        <v>170</v>
      </c>
      <c r="T234" s="217">
        <f t="shared" si="629"/>
        <v>7.0828396814932537</v>
      </c>
      <c r="U234" s="217">
        <f t="shared" si="630"/>
        <v>0.23041049868306424</v>
      </c>
      <c r="V234" s="217">
        <f t="shared" si="631"/>
        <v>0.41473633714172292</v>
      </c>
      <c r="W234" s="197">
        <f t="shared" si="632"/>
        <v>350</v>
      </c>
      <c r="X234" s="443">
        <f t="shared" si="691"/>
        <v>350</v>
      </c>
      <c r="Z234" s="217">
        <f t="shared" si="633"/>
        <v>31.367564220314087</v>
      </c>
      <c r="AA234" s="173">
        <f t="shared" si="634"/>
        <v>1.8367306440357158</v>
      </c>
      <c r="AB234" s="173">
        <f t="shared" si="635"/>
        <v>0.47611376426617297</v>
      </c>
      <c r="AC234" s="173"/>
      <c r="AD234" s="173">
        <f t="shared" si="636"/>
        <v>0.78073457500459353</v>
      </c>
      <c r="AE234" s="545">
        <f t="shared" si="637"/>
        <v>439.40518905210939</v>
      </c>
      <c r="AF234" s="528">
        <f t="shared" si="638"/>
        <v>8.602538372735799E-2</v>
      </c>
      <c r="AH234" s="173">
        <f t="shared" si="639"/>
        <v>14.905416081794851</v>
      </c>
      <c r="AI234" s="173">
        <f t="shared" si="640"/>
        <v>14.905416081794851</v>
      </c>
      <c r="AJ234" s="173">
        <f t="shared" si="641"/>
        <v>2.3645057396011233</v>
      </c>
      <c r="AL234" s="545">
        <f t="shared" si="642"/>
        <v>108</v>
      </c>
      <c r="AM234" s="460">
        <f t="shared" si="643"/>
        <v>350</v>
      </c>
      <c r="AO234">
        <f t="shared" si="644"/>
        <v>108</v>
      </c>
      <c r="AP234">
        <f t="shared" si="645"/>
        <v>350</v>
      </c>
      <c r="AR234" s="5">
        <f t="shared" si="616"/>
        <v>2.8571428571428572</v>
      </c>
      <c r="AS234" s="5">
        <f t="shared" si="604"/>
        <v>0.48488523063123468</v>
      </c>
      <c r="AT234" s="5">
        <f t="shared" si="605"/>
        <v>2.3722576265116224</v>
      </c>
      <c r="AU234" s="173">
        <f t="shared" si="606"/>
        <v>0.16970983072093213</v>
      </c>
      <c r="BA234" s="173">
        <f t="shared" si="692"/>
        <v>3.545169273527232</v>
      </c>
      <c r="BB234" s="173">
        <f t="shared" si="693"/>
        <v>0.3702924395830568</v>
      </c>
      <c r="BC234" s="173">
        <f t="shared" si="694"/>
        <v>0.29276942768331538</v>
      </c>
      <c r="BD234" s="173"/>
      <c r="BE234" s="528">
        <f t="shared" si="695"/>
        <v>0.50272900711846402</v>
      </c>
      <c r="BF234" s="528">
        <f t="shared" si="646"/>
        <v>2.8064434931992257</v>
      </c>
      <c r="BG234" s="528">
        <f t="shared" si="647"/>
        <v>0.21518063653276148</v>
      </c>
      <c r="BH234" s="528">
        <f t="shared" si="696"/>
        <v>4.0014860948637272E-2</v>
      </c>
      <c r="BI234">
        <f t="shared" si="697"/>
        <v>6.9165204599816194E-3</v>
      </c>
      <c r="BJ234" s="460">
        <f t="shared" si="698"/>
        <v>222.09715699274309</v>
      </c>
      <c r="BK234">
        <f t="shared" si="648"/>
        <v>3.9576604494748047</v>
      </c>
      <c r="BL234" s="460">
        <f t="shared" si="699"/>
        <v>3571.2845182590704</v>
      </c>
      <c r="BM234" s="173">
        <f t="shared" si="649"/>
        <v>9.3743999999999994E-2</v>
      </c>
      <c r="BN234" s="173">
        <f t="shared" si="650"/>
        <v>7.8119999999999995E-2</v>
      </c>
      <c r="BQ234" s="460">
        <f t="shared" si="700"/>
        <v>171.86399999999998</v>
      </c>
      <c r="BR234" s="528">
        <f t="shared" si="701"/>
        <v>0.37704675533884802</v>
      </c>
      <c r="BS234" s="528">
        <f t="shared" si="702"/>
        <v>4.113494724371153E-3</v>
      </c>
      <c r="BT234" s="528">
        <f t="shared" si="703"/>
        <v>4.285696889300802E-4</v>
      </c>
      <c r="BU234" s="528">
        <f t="shared" si="704"/>
        <v>98.287972094309595</v>
      </c>
      <c r="BV234" s="528"/>
      <c r="BW234" s="625">
        <f t="shared" si="705"/>
        <v>1.944</v>
      </c>
      <c r="BX234" s="460">
        <f t="shared" si="706"/>
        <v>100613.56091406175</v>
      </c>
      <c r="BY234" s="173">
        <f t="shared" si="707"/>
        <v>104.35670943232081</v>
      </c>
      <c r="BZ234" s="5">
        <f t="shared" si="708"/>
        <v>19.439999999999998</v>
      </c>
      <c r="CA234" s="173">
        <f t="shared" si="709"/>
        <v>0.15703163750590457</v>
      </c>
      <c r="CB234" s="5">
        <f t="shared" si="710"/>
        <v>15.703163750590457</v>
      </c>
      <c r="CC234">
        <f t="shared" si="711"/>
        <v>18</v>
      </c>
      <c r="CE234" s="562">
        <f t="shared" si="651"/>
        <v>-50</v>
      </c>
      <c r="CG234" s="173">
        <f t="shared" si="652"/>
        <v>0.29823007304862503</v>
      </c>
      <c r="CH234" s="173">
        <f t="shared" si="653"/>
        <v>7.6236833466717571E-2</v>
      </c>
      <c r="CI234" s="170">
        <v>18</v>
      </c>
      <c r="CJ234" s="217">
        <f t="shared" si="712"/>
        <v>0.108</v>
      </c>
      <c r="CK234" s="217">
        <f t="shared" si="654"/>
        <v>0.09</v>
      </c>
      <c r="CL234" s="217">
        <f t="shared" si="655"/>
        <v>18.36</v>
      </c>
      <c r="CM234" s="217">
        <f t="shared" si="656"/>
        <v>1.08</v>
      </c>
      <c r="CN234" s="541">
        <f t="shared" si="657"/>
        <v>16</v>
      </c>
      <c r="CO234" s="443">
        <f t="shared" si="658"/>
        <v>8.5350000000000001</v>
      </c>
      <c r="CP234" s="443">
        <f t="shared" si="659"/>
        <v>24.535</v>
      </c>
      <c r="CQ234" s="443"/>
      <c r="CR234" s="217">
        <f t="shared" si="660"/>
        <v>0.34760448521916415</v>
      </c>
      <c r="CS234" s="172">
        <f t="shared" si="661"/>
        <v>175.08966662891231</v>
      </c>
      <c r="CT234" s="172">
        <f t="shared" si="662"/>
        <v>10.2993921546419</v>
      </c>
      <c r="CU234" s="217">
        <f t="shared" si="663"/>
        <v>1.02993921546419</v>
      </c>
      <c r="CV234" s="217">
        <f t="shared" si="664"/>
        <v>14.590805552409359</v>
      </c>
      <c r="CW234" s="217">
        <f t="shared" si="665"/>
        <v>170</v>
      </c>
      <c r="CX234" s="217">
        <f t="shared" si="666"/>
        <v>6.9907038123167142</v>
      </c>
      <c r="CY234" s="217">
        <f t="shared" si="667"/>
        <v>0.21845949413489729</v>
      </c>
      <c r="CZ234" s="217">
        <f t="shared" si="668"/>
        <v>0.40953156486916892</v>
      </c>
      <c r="DA234" s="197">
        <f t="shared" si="669"/>
        <v>350</v>
      </c>
      <c r="DB234" s="443">
        <f t="shared" si="670"/>
        <v>350</v>
      </c>
      <c r="DD234" s="217">
        <f t="shared" si="671"/>
        <v>31.805292730501623</v>
      </c>
      <c r="DE234" s="173">
        <f t="shared" si="672"/>
        <v>1.8632274593146818</v>
      </c>
      <c r="DF234" s="173">
        <f t="shared" si="673"/>
        <v>0.4897221442551708</v>
      </c>
      <c r="DG234" s="173"/>
      <c r="DH234" s="173">
        <f t="shared" si="674"/>
        <v>0.78109744190587771</v>
      </c>
      <c r="DI234" s="545">
        <f t="shared" si="675"/>
        <v>439.20105882352942</v>
      </c>
      <c r="DJ234" s="528">
        <f t="shared" si="676"/>
        <v>8.6065366284073561E-2</v>
      </c>
      <c r="DL234" s="173">
        <f t="shared" si="677"/>
        <v>14.905416081794851</v>
      </c>
      <c r="DM234" s="173">
        <f t="shared" si="678"/>
        <v>14.905416081794851</v>
      </c>
      <c r="DN234" s="173">
        <f t="shared" si="679"/>
        <v>2.3645057396011233</v>
      </c>
      <c r="DP234" s="545">
        <f t="shared" si="680"/>
        <v>108</v>
      </c>
      <c r="DQ234" s="460">
        <f t="shared" si="681"/>
        <v>350</v>
      </c>
      <c r="DS234">
        <f t="shared" si="682"/>
        <v>108</v>
      </c>
      <c r="DT234">
        <f t="shared" si="683"/>
        <v>350</v>
      </c>
      <c r="DV234" s="5">
        <f t="shared" si="684"/>
        <v>2.8571428571428572</v>
      </c>
      <c r="DW234" s="5">
        <f t="shared" si="685"/>
        <v>0.46579425255608903</v>
      </c>
      <c r="DX234" s="5">
        <f t="shared" si="686"/>
        <v>2.391348604586768</v>
      </c>
      <c r="DY234" s="173">
        <f t="shared" si="687"/>
        <v>0.16302798839463115</v>
      </c>
      <c r="EA234" s="5">
        <f t="shared" si="713"/>
        <v>2.9591634868269188E-2</v>
      </c>
      <c r="EB234" s="5">
        <f t="shared" si="714"/>
        <v>0.34934568941706678</v>
      </c>
      <c r="EC234" s="5">
        <f t="shared" si="715"/>
        <v>4.390516038021306</v>
      </c>
      <c r="ED234" s="5"/>
      <c r="EE234" s="173">
        <f t="shared" si="716"/>
        <v>3.4746779744681127</v>
      </c>
      <c r="EF234" s="173">
        <f t="shared" si="717"/>
        <v>0.37177943642046041</v>
      </c>
      <c r="EG234" s="173">
        <f t="shared" si="718"/>
        <v>0.2939451125380852</v>
      </c>
      <c r="EH234" s="173"/>
      <c r="EI234" s="528">
        <f t="shared" si="719"/>
        <v>0.48293548105015305</v>
      </c>
      <c r="EJ234" s="528">
        <f t="shared" si="720"/>
        <v>3.5199046918308032</v>
      </c>
      <c r="EK234" s="528">
        <f t="shared" si="721"/>
        <v>6.9999999999999993E-2</v>
      </c>
      <c r="EL234" s="528">
        <f t="shared" si="722"/>
        <v>4.2137635749999999E-2</v>
      </c>
      <c r="EM234">
        <f t="shared" si="723"/>
        <v>7.1999999999999998E-3</v>
      </c>
      <c r="EN234" s="460">
        <f t="shared" si="724"/>
        <v>77.199999999999989</v>
      </c>
      <c r="EP234" s="460">
        <f t="shared" si="725"/>
        <v>4122.1778086309569</v>
      </c>
      <c r="EQ234" s="173">
        <f t="shared" si="726"/>
        <v>7.5600000000000001E-2</v>
      </c>
      <c r="ER234" s="173">
        <f t="shared" si="688"/>
        <v>7.8119999999999995E-2</v>
      </c>
      <c r="ES234" s="528"/>
      <c r="EU234" s="460">
        <f t="shared" si="727"/>
        <v>153.72</v>
      </c>
      <c r="EV234" s="528">
        <f t="shared" si="728"/>
        <v>0.36220161078761476</v>
      </c>
      <c r="EW234" s="528">
        <f t="shared" si="729"/>
        <v>4.1465984803534545E-3</v>
      </c>
      <c r="EX234" s="528">
        <f t="shared" si="730"/>
        <v>4.3201864592513786E-4</v>
      </c>
      <c r="EY234" s="528">
        <f t="shared" si="731"/>
        <v>98.287972094309595</v>
      </c>
      <c r="EZ234" s="528"/>
      <c r="FA234" s="625">
        <f t="shared" si="732"/>
        <v>1.944</v>
      </c>
      <c r="FB234" s="460">
        <f t="shared" si="733"/>
        <v>100598.75232222349</v>
      </c>
      <c r="FC234" s="173">
        <f t="shared" si="734"/>
        <v>104.87465013085445</v>
      </c>
      <c r="FD234" s="5">
        <f t="shared" si="735"/>
        <v>19.439999999999998</v>
      </c>
      <c r="FE234" s="173">
        <f t="shared" si="736"/>
        <v>0.15637738576698179</v>
      </c>
      <c r="FF234" s="5">
        <f t="shared" si="737"/>
        <v>15.63773857669818</v>
      </c>
      <c r="FG234">
        <f t="shared" si="738"/>
        <v>18</v>
      </c>
      <c r="FI234" s="562">
        <f t="shared" si="689"/>
        <v>-50</v>
      </c>
    </row>
    <row r="235" spans="5:165">
      <c r="E235" s="170">
        <v>19</v>
      </c>
      <c r="F235" s="217">
        <f t="shared" si="690"/>
        <v>0.11399999999999999</v>
      </c>
      <c r="G235" s="217">
        <f t="shared" si="617"/>
        <v>9.5000000000000001E-2</v>
      </c>
      <c r="H235" s="217">
        <f t="shared" si="618"/>
        <v>19.38</v>
      </c>
      <c r="I235" s="217">
        <f t="shared" si="619"/>
        <v>1.1400000000000001</v>
      </c>
      <c r="J235" s="541">
        <f t="shared" si="620"/>
        <v>15.352783242205739</v>
      </c>
      <c r="K235" s="443">
        <f t="shared" si="621"/>
        <v>8.5390755668098031</v>
      </c>
      <c r="L235" s="172">
        <f t="shared" si="622"/>
        <v>23.891858809015542</v>
      </c>
      <c r="M235" s="443"/>
      <c r="N235" s="217">
        <f t="shared" si="623"/>
        <v>0.35740524147027025</v>
      </c>
      <c r="O235" s="172">
        <f t="shared" si="624"/>
        <v>172.74408969011373</v>
      </c>
      <c r="P235" s="172">
        <f t="shared" si="625"/>
        <v>10.161417040594927</v>
      </c>
      <c r="Q235" s="217">
        <f t="shared" si="626"/>
        <v>1.0161417040594924</v>
      </c>
      <c r="R235" s="217">
        <f t="shared" si="627"/>
        <v>14.395340807509477</v>
      </c>
      <c r="S235" s="217">
        <f t="shared" si="628"/>
        <v>170</v>
      </c>
      <c r="T235" s="217">
        <f t="shared" si="629"/>
        <v>7.4792718078964295</v>
      </c>
      <c r="U235" s="217">
        <f t="shared" si="630"/>
        <v>0.2435803231864648</v>
      </c>
      <c r="V235" s="217">
        <f t="shared" si="631"/>
        <v>0.43794388217896302</v>
      </c>
      <c r="W235" s="197">
        <f t="shared" si="632"/>
        <v>350</v>
      </c>
      <c r="X235" s="443">
        <f t="shared" si="691"/>
        <v>350</v>
      </c>
      <c r="Z235" s="217">
        <f t="shared" si="633"/>
        <v>31.355229725264348</v>
      </c>
      <c r="AA235" s="173">
        <f t="shared" si="634"/>
        <v>1.8359850243706564</v>
      </c>
      <c r="AB235" s="173">
        <f t="shared" si="635"/>
        <v>0.4757333425793856</v>
      </c>
      <c r="AC235" s="173"/>
      <c r="AD235" s="173">
        <f t="shared" si="636"/>
        <v>0.7807246363504583</v>
      </c>
      <c r="AE235" s="545">
        <f t="shared" si="637"/>
        <v>463.82249284659832</v>
      </c>
      <c r="AF235" s="528">
        <f t="shared" si="638"/>
        <v>8.60242886349116E-2</v>
      </c>
      <c r="AH235" s="173">
        <f t="shared" si="639"/>
        <v>15.313859269115859</v>
      </c>
      <c r="AI235" s="173">
        <f t="shared" si="640"/>
        <v>15.313859269115859</v>
      </c>
      <c r="AJ235" s="173">
        <f t="shared" si="641"/>
        <v>2.6670562487277962</v>
      </c>
      <c r="AL235" s="545">
        <f t="shared" si="642"/>
        <v>113.99999999999999</v>
      </c>
      <c r="AM235" s="460">
        <f t="shared" si="643"/>
        <v>350</v>
      </c>
      <c r="AO235">
        <f t="shared" si="644"/>
        <v>113.99999999999999</v>
      </c>
      <c r="AP235">
        <f t="shared" si="645"/>
        <v>350</v>
      </c>
      <c r="AR235" s="5">
        <f t="shared" si="616"/>
        <v>2.8571428571428572</v>
      </c>
      <c r="AS235" s="5">
        <f t="shared" si="604"/>
        <v>0.49873234798942268</v>
      </c>
      <c r="AT235" s="5">
        <f t="shared" si="605"/>
        <v>2.3584105091534346</v>
      </c>
      <c r="AU235" s="173">
        <f t="shared" si="606"/>
        <v>0.17455632179629793</v>
      </c>
      <c r="BA235" s="173">
        <f t="shared" si="692"/>
        <v>3.6939568271692895</v>
      </c>
      <c r="BB235" s="173">
        <f t="shared" si="693"/>
        <v>0.37932735943980145</v>
      </c>
      <c r="BC235" s="173">
        <f t="shared" si="694"/>
        <v>0.29991283120136225</v>
      </c>
      <c r="BD235" s="173"/>
      <c r="BE235" s="528">
        <f t="shared" si="695"/>
        <v>0.54581268163962426</v>
      </c>
      <c r="BF235" s="528">
        <f t="shared" si="646"/>
        <v>2.8812779373959443</v>
      </c>
      <c r="BG235" s="528">
        <f t="shared" si="647"/>
        <v>0.21493896539088037</v>
      </c>
      <c r="BH235" s="528">
        <f t="shared" si="696"/>
        <v>3.995746421449535E-2</v>
      </c>
      <c r="BI235">
        <f t="shared" si="697"/>
        <v>6.9087524589925824E-3</v>
      </c>
      <c r="BJ235" s="460">
        <f t="shared" si="698"/>
        <v>221.84771784987294</v>
      </c>
      <c r="BK235">
        <f t="shared" si="648"/>
        <v>4.1529996543505954</v>
      </c>
      <c r="BL235" s="460">
        <f t="shared" si="699"/>
        <v>3688.8958010999368</v>
      </c>
      <c r="BM235" s="173">
        <f t="shared" si="649"/>
        <v>9.8951999999999971E-2</v>
      </c>
      <c r="BN235" s="173">
        <f t="shared" si="650"/>
        <v>8.2459999999999992E-2</v>
      </c>
      <c r="BQ235" s="460">
        <f t="shared" si="700"/>
        <v>181.41199999999995</v>
      </c>
      <c r="BR235" s="528">
        <f t="shared" si="701"/>
        <v>0.40935951122971814</v>
      </c>
      <c r="BS235" s="528">
        <f t="shared" si="702"/>
        <v>4.31667736858717E-3</v>
      </c>
      <c r="BT235" s="528">
        <f t="shared" si="703"/>
        <v>4.4973853159608403E-4</v>
      </c>
      <c r="BU235" s="528">
        <f t="shared" si="704"/>
        <v>105.1602825894994</v>
      </c>
      <c r="BV235" s="528"/>
      <c r="BW235" s="625">
        <f t="shared" si="705"/>
        <v>2.052</v>
      </c>
      <c r="BX235" s="460">
        <f t="shared" si="706"/>
        <v>107626.40851662931</v>
      </c>
      <c r="BY235" s="173">
        <f t="shared" si="707"/>
        <v>111.49671631772925</v>
      </c>
      <c r="BZ235" s="5">
        <f t="shared" si="708"/>
        <v>20.52</v>
      </c>
      <c r="CA235" s="173">
        <f t="shared" si="709"/>
        <v>0.15543486137478074</v>
      </c>
      <c r="CB235" s="5">
        <f t="shared" si="710"/>
        <v>15.543486137478075</v>
      </c>
      <c r="CC235">
        <f t="shared" si="711"/>
        <v>19</v>
      </c>
      <c r="CE235" s="562">
        <f t="shared" si="651"/>
        <v>-50</v>
      </c>
      <c r="CG235" s="173">
        <f t="shared" si="652"/>
        <v>0.3064022730679008</v>
      </c>
      <c r="CH235" s="173">
        <f t="shared" si="653"/>
        <v>7.8325900627374614E-2</v>
      </c>
      <c r="CI235" s="170">
        <v>19</v>
      </c>
      <c r="CJ235" s="217">
        <f t="shared" si="712"/>
        <v>0.11399999999999999</v>
      </c>
      <c r="CK235" s="217">
        <f t="shared" si="654"/>
        <v>9.5000000000000001E-2</v>
      </c>
      <c r="CL235" s="217">
        <f t="shared" si="655"/>
        <v>19.38</v>
      </c>
      <c r="CM235" s="217">
        <f t="shared" si="656"/>
        <v>1.1400000000000001</v>
      </c>
      <c r="CN235" s="541">
        <f t="shared" si="657"/>
        <v>16</v>
      </c>
      <c r="CO235" s="443">
        <f t="shared" si="658"/>
        <v>8.5350000000000001</v>
      </c>
      <c r="CP235" s="443">
        <f t="shared" si="659"/>
        <v>24.535</v>
      </c>
      <c r="CQ235" s="443"/>
      <c r="CR235" s="217">
        <f t="shared" si="660"/>
        <v>0.34760448521916415</v>
      </c>
      <c r="CS235" s="172">
        <f t="shared" si="661"/>
        <v>175.08966662891231</v>
      </c>
      <c r="CT235" s="172">
        <f t="shared" si="662"/>
        <v>10.2993921546419</v>
      </c>
      <c r="CU235" s="217">
        <f t="shared" si="663"/>
        <v>1.02993921546419</v>
      </c>
      <c r="CV235" s="217">
        <f t="shared" si="664"/>
        <v>14.590805552409359</v>
      </c>
      <c r="CW235" s="217">
        <f t="shared" si="665"/>
        <v>170</v>
      </c>
      <c r="CX235" s="217">
        <f t="shared" si="666"/>
        <v>7.3790762463343098</v>
      </c>
      <c r="CY235" s="217">
        <f t="shared" si="667"/>
        <v>0.23059613269794715</v>
      </c>
      <c r="CZ235" s="217">
        <f t="shared" si="668"/>
        <v>0.43228331847301166</v>
      </c>
      <c r="DA235" s="197">
        <f t="shared" si="669"/>
        <v>350</v>
      </c>
      <c r="DB235" s="443">
        <f t="shared" si="670"/>
        <v>350</v>
      </c>
      <c r="DD235" s="217">
        <f t="shared" si="671"/>
        <v>31.805292730501623</v>
      </c>
      <c r="DE235" s="173">
        <f t="shared" si="672"/>
        <v>1.8632274593146818</v>
      </c>
      <c r="DF235" s="173">
        <f t="shared" si="673"/>
        <v>0.4897221442551708</v>
      </c>
      <c r="DG235" s="173"/>
      <c r="DH235" s="173">
        <f t="shared" si="674"/>
        <v>0.78109744190587771</v>
      </c>
      <c r="DI235" s="545">
        <f t="shared" si="675"/>
        <v>463.6011176470588</v>
      </c>
      <c r="DJ235" s="528">
        <f t="shared" si="676"/>
        <v>8.6065366284073561E-2</v>
      </c>
      <c r="DL235" s="173">
        <f t="shared" si="677"/>
        <v>15.313859269115859</v>
      </c>
      <c r="DM235" s="173">
        <f t="shared" si="678"/>
        <v>15.313859269115859</v>
      </c>
      <c r="DN235" s="173">
        <f t="shared" si="679"/>
        <v>2.6670562487277962</v>
      </c>
      <c r="DP235" s="545">
        <f t="shared" si="680"/>
        <v>113.99999999999999</v>
      </c>
      <c r="DQ235" s="460">
        <f t="shared" si="681"/>
        <v>350</v>
      </c>
      <c r="DS235">
        <f t="shared" si="682"/>
        <v>113.99999999999999</v>
      </c>
      <c r="DT235">
        <f t="shared" si="683"/>
        <v>350</v>
      </c>
      <c r="DV235" s="5">
        <f t="shared" si="684"/>
        <v>2.8571428571428572</v>
      </c>
      <c r="DW235" s="5">
        <f t="shared" si="685"/>
        <v>0.4785581021598706</v>
      </c>
      <c r="DX235" s="5">
        <f t="shared" si="686"/>
        <v>2.3785847549829864</v>
      </c>
      <c r="DY235" s="173">
        <f t="shared" si="687"/>
        <v>0.16749533575595471</v>
      </c>
      <c r="EA235" s="5">
        <f t="shared" si="713"/>
        <v>3.2091543321308966E-2</v>
      </c>
      <c r="EB235" s="5">
        <f t="shared" si="714"/>
        <v>0.37885849754323087</v>
      </c>
      <c r="EC235" s="5">
        <f t="shared" si="715"/>
        <v>4.6096972551570277</v>
      </c>
      <c r="ED235" s="5"/>
      <c r="EE235" s="173">
        <f t="shared" si="716"/>
        <v>3.6184733901320953</v>
      </c>
      <c r="EF235" s="173">
        <f t="shared" si="717"/>
        <v>0.38094632006814555</v>
      </c>
      <c r="EG235" s="173">
        <f t="shared" si="718"/>
        <v>0.30119285241145183</v>
      </c>
      <c r="EH235" s="173"/>
      <c r="EI235" s="528">
        <f t="shared" si="719"/>
        <v>0.52373398700376239</v>
      </c>
      <c r="EJ235" s="528">
        <f t="shared" si="720"/>
        <v>3.6163582952396673</v>
      </c>
      <c r="EK235" s="528">
        <f t="shared" si="721"/>
        <v>6.9999999999999993E-2</v>
      </c>
      <c r="EL235" s="528">
        <f t="shared" si="722"/>
        <v>4.2137635749999999E-2</v>
      </c>
      <c r="EM235">
        <f t="shared" si="723"/>
        <v>7.1999999999999998E-3</v>
      </c>
      <c r="EN235" s="460">
        <f t="shared" si="724"/>
        <v>77.199999999999989</v>
      </c>
      <c r="EP235" s="460">
        <f t="shared" si="725"/>
        <v>4259.4299179934296</v>
      </c>
      <c r="EQ235" s="173">
        <f t="shared" si="726"/>
        <v>7.9799999999999982E-2</v>
      </c>
      <c r="ER235" s="173">
        <f t="shared" si="688"/>
        <v>8.2459999999999992E-2</v>
      </c>
      <c r="ES235" s="528"/>
      <c r="EU235" s="460">
        <f t="shared" si="727"/>
        <v>162.25999999999996</v>
      </c>
      <c r="EV235" s="528">
        <f t="shared" si="728"/>
        <v>0.39280049025282177</v>
      </c>
      <c r="EW235" s="528">
        <f t="shared" si="729"/>
        <v>4.3536029632038594E-3</v>
      </c>
      <c r="EX235" s="528">
        <f t="shared" si="730"/>
        <v>4.5358567171873305E-4</v>
      </c>
      <c r="EY235" s="528">
        <f t="shared" si="731"/>
        <v>105.1602825894994</v>
      </c>
      <c r="EZ235" s="528"/>
      <c r="FA235" s="625">
        <f t="shared" si="732"/>
        <v>2.052</v>
      </c>
      <c r="FB235" s="460">
        <f t="shared" si="733"/>
        <v>107609.89026838714</v>
      </c>
      <c r="FC235" s="173">
        <f t="shared" si="734"/>
        <v>112.03158018638058</v>
      </c>
      <c r="FD235" s="5">
        <f t="shared" si="735"/>
        <v>20.52</v>
      </c>
      <c r="FE235" s="173">
        <f t="shared" si="736"/>
        <v>0.15480766031719015</v>
      </c>
      <c r="FF235" s="5">
        <f t="shared" si="737"/>
        <v>15.480766031719014</v>
      </c>
      <c r="FG235">
        <f t="shared" si="738"/>
        <v>19</v>
      </c>
      <c r="FI235" s="562">
        <f t="shared" si="689"/>
        <v>-50</v>
      </c>
    </row>
    <row r="236" spans="5:165">
      <c r="E236" s="170">
        <v>20</v>
      </c>
      <c r="F236" s="217">
        <f t="shared" si="690"/>
        <v>0.12</v>
      </c>
      <c r="G236" s="217">
        <f t="shared" si="617"/>
        <v>0.1</v>
      </c>
      <c r="H236" s="217">
        <f t="shared" si="618"/>
        <v>20.399999999999999</v>
      </c>
      <c r="I236" s="217">
        <f t="shared" si="619"/>
        <v>1.2000000000000002</v>
      </c>
      <c r="J236" s="541">
        <f t="shared" si="620"/>
        <v>15.335969617396348</v>
      </c>
      <c r="K236" s="443">
        <f t="shared" si="621"/>
        <v>8.5391814433193343</v>
      </c>
      <c r="L236" s="172">
        <f t="shared" si="622"/>
        <v>23.87515106071568</v>
      </c>
      <c r="M236" s="443"/>
      <c r="N236" s="217">
        <f t="shared" si="623"/>
        <v>0.35765978701469897</v>
      </c>
      <c r="O236" s="172">
        <f t="shared" si="624"/>
        <v>172.67780307291082</v>
      </c>
      <c r="P236" s="172">
        <f t="shared" si="625"/>
        <v>10.157517827818284</v>
      </c>
      <c r="Q236" s="217">
        <f t="shared" si="626"/>
        <v>1.0157517827818283</v>
      </c>
      <c r="R236" s="217">
        <f t="shared" si="627"/>
        <v>14.389816922742568</v>
      </c>
      <c r="S236" s="217">
        <f t="shared" si="628"/>
        <v>170</v>
      </c>
      <c r="T236" s="217">
        <f t="shared" si="629"/>
        <v>7.8759399054072912</v>
      </c>
      <c r="U236" s="217">
        <f t="shared" si="630"/>
        <v>0.25677997876551678</v>
      </c>
      <c r="V236" s="217">
        <f t="shared" si="631"/>
        <v>0.46116480588248104</v>
      </c>
      <c r="W236" s="197">
        <f t="shared" si="632"/>
        <v>350</v>
      </c>
      <c r="X236" s="443">
        <f t="shared" si="691"/>
        <v>350</v>
      </c>
      <c r="Z236" s="217">
        <f t="shared" si="633"/>
        <v>31.343197868696414</v>
      </c>
      <c r="AA236" s="173">
        <f t="shared" si="634"/>
        <v>1.8352577513865747</v>
      </c>
      <c r="AB236" s="173">
        <f t="shared" si="635"/>
        <v>0.47536241487294617</v>
      </c>
      <c r="AC236" s="173"/>
      <c r="AD236" s="173">
        <f t="shared" si="636"/>
        <v>0.78071495621894327</v>
      </c>
      <c r="AE236" s="545">
        <f t="shared" si="637"/>
        <v>488.24025664155255</v>
      </c>
      <c r="AF236" s="528">
        <f t="shared" si="638"/>
        <v>8.6023222027828E-2</v>
      </c>
      <c r="AH236" s="173">
        <f t="shared" si="639"/>
        <v>15.711688096991452</v>
      </c>
      <c r="AI236" s="173">
        <f t="shared" si="640"/>
        <v>15.711688096991452</v>
      </c>
      <c r="AJ236" s="173">
        <f t="shared" si="641"/>
        <v>2.9617442693763838</v>
      </c>
      <c r="AL236" s="545">
        <f t="shared" si="642"/>
        <v>120</v>
      </c>
      <c r="AM236" s="460">
        <f t="shared" si="643"/>
        <v>350</v>
      </c>
      <c r="AO236">
        <f t="shared" si="644"/>
        <v>120</v>
      </c>
      <c r="AP236">
        <f t="shared" si="645"/>
        <v>350</v>
      </c>
      <c r="AR236" s="5">
        <f t="shared" si="616"/>
        <v>2.8571428571428572</v>
      </c>
      <c r="AS236" s="5">
        <f t="shared" si="604"/>
        <v>0.51224958346190608</v>
      </c>
      <c r="AT236" s="5">
        <f t="shared" si="605"/>
        <v>2.3448932736809511</v>
      </c>
      <c r="AU236" s="173">
        <f t="shared" si="606"/>
        <v>0.17928735421166711</v>
      </c>
      <c r="BA236" s="173">
        <f t="shared" si="692"/>
        <v>3.8409358239500557</v>
      </c>
      <c r="BB236" s="173">
        <f t="shared" si="693"/>
        <v>0.38806475865470208</v>
      </c>
      <c r="BC236" s="173">
        <f t="shared" si="694"/>
        <v>0.30682100186362965</v>
      </c>
      <c r="BD236" s="173"/>
      <c r="BE236" s="528">
        <f t="shared" si="695"/>
        <v>0.59011152014811574</v>
      </c>
      <c r="BF236" s="528">
        <f t="shared" si="646"/>
        <v>2.95406154803434</v>
      </c>
      <c r="BG236" s="528">
        <f t="shared" si="647"/>
        <v>0.21470357464354883</v>
      </c>
      <c r="BH236" s="528">
        <f t="shared" si="696"/>
        <v>3.9901598672039518E-2</v>
      </c>
      <c r="BI236">
        <f t="shared" si="697"/>
        <v>6.9011863278283566E-3</v>
      </c>
      <c r="BJ236" s="460">
        <f t="shared" si="698"/>
        <v>221.60476097137717</v>
      </c>
      <c r="BK236">
        <f t="shared" si="648"/>
        <v>4.3538619220726815</v>
      </c>
      <c r="BL236" s="460">
        <f t="shared" si="699"/>
        <v>3805.6794278258726</v>
      </c>
      <c r="BM236" s="173">
        <f t="shared" si="649"/>
        <v>0.10415999999999999</v>
      </c>
      <c r="BN236" s="173">
        <f t="shared" si="650"/>
        <v>8.6799999999999988E-2</v>
      </c>
      <c r="BQ236" s="460">
        <f t="shared" si="700"/>
        <v>190.95999999999995</v>
      </c>
      <c r="BR236" s="528">
        <f t="shared" si="701"/>
        <v>0.44258364011108675</v>
      </c>
      <c r="BS236" s="528">
        <f t="shared" si="702"/>
        <v>4.5178277072919649E-3</v>
      </c>
      <c r="BT236" s="528">
        <f t="shared" si="703"/>
        <v>4.7069563592300716E-4</v>
      </c>
      <c r="BU236" s="528">
        <f t="shared" si="704"/>
        <v>112.12365279227633</v>
      </c>
      <c r="BV236" s="528"/>
      <c r="BW236" s="625">
        <f t="shared" si="705"/>
        <v>2.16</v>
      </c>
      <c r="BX236" s="460">
        <f t="shared" si="706"/>
        <v>114731.22495573062</v>
      </c>
      <c r="BY236" s="173">
        <f t="shared" si="707"/>
        <v>118.72786438355651</v>
      </c>
      <c r="BZ236" s="5">
        <f t="shared" si="708"/>
        <v>21.599999999999998</v>
      </c>
      <c r="CA236" s="173">
        <f t="shared" si="709"/>
        <v>0.15392523854678619</v>
      </c>
      <c r="CB236" s="5">
        <f t="shared" si="710"/>
        <v>15.392523854678618</v>
      </c>
      <c r="CC236">
        <f t="shared" si="711"/>
        <v>20</v>
      </c>
      <c r="CE236" s="562">
        <f t="shared" si="651"/>
        <v>-50</v>
      </c>
      <c r="CG236" s="173">
        <f t="shared" si="652"/>
        <v>0.31436209919735025</v>
      </c>
      <c r="CH236" s="173">
        <f t="shared" si="653"/>
        <v>8.036067845125934E-2</v>
      </c>
      <c r="CI236" s="170">
        <v>20</v>
      </c>
      <c r="CJ236" s="217">
        <f t="shared" si="712"/>
        <v>0.12</v>
      </c>
      <c r="CK236" s="217">
        <f t="shared" si="654"/>
        <v>0.1</v>
      </c>
      <c r="CL236" s="217">
        <f t="shared" si="655"/>
        <v>20.399999999999999</v>
      </c>
      <c r="CM236" s="217">
        <f t="shared" si="656"/>
        <v>1.2000000000000002</v>
      </c>
      <c r="CN236" s="541">
        <f t="shared" si="657"/>
        <v>16</v>
      </c>
      <c r="CO236" s="443">
        <f t="shared" si="658"/>
        <v>8.5350000000000001</v>
      </c>
      <c r="CP236" s="443">
        <f t="shared" si="659"/>
        <v>24.535</v>
      </c>
      <c r="CQ236" s="443"/>
      <c r="CR236" s="217">
        <f t="shared" si="660"/>
        <v>0.34760448521916415</v>
      </c>
      <c r="CS236" s="172">
        <f t="shared" si="661"/>
        <v>175.08966662891231</v>
      </c>
      <c r="CT236" s="172">
        <f t="shared" si="662"/>
        <v>10.2993921546419</v>
      </c>
      <c r="CU236" s="217">
        <f t="shared" si="663"/>
        <v>1.02993921546419</v>
      </c>
      <c r="CV236" s="217">
        <f t="shared" si="664"/>
        <v>14.590805552409359</v>
      </c>
      <c r="CW236" s="217">
        <f t="shared" si="665"/>
        <v>170</v>
      </c>
      <c r="CX236" s="217">
        <f t="shared" si="666"/>
        <v>7.7674486803519045</v>
      </c>
      <c r="CY236" s="217">
        <f t="shared" si="667"/>
        <v>0.24273277126099699</v>
      </c>
      <c r="CZ236" s="217">
        <f t="shared" si="668"/>
        <v>0.45503507207685434</v>
      </c>
      <c r="DA236" s="197">
        <f t="shared" si="669"/>
        <v>350</v>
      </c>
      <c r="DB236" s="443">
        <f t="shared" si="670"/>
        <v>350</v>
      </c>
      <c r="DD236" s="217">
        <f t="shared" si="671"/>
        <v>31.805292730501623</v>
      </c>
      <c r="DE236" s="173">
        <f t="shared" si="672"/>
        <v>1.8632274593146818</v>
      </c>
      <c r="DF236" s="173">
        <f t="shared" si="673"/>
        <v>0.4897221442551708</v>
      </c>
      <c r="DG236" s="173"/>
      <c r="DH236" s="173">
        <f t="shared" si="674"/>
        <v>0.78109744190587771</v>
      </c>
      <c r="DI236" s="545">
        <f t="shared" si="675"/>
        <v>488.00117647058818</v>
      </c>
      <c r="DJ236" s="528">
        <f t="shared" si="676"/>
        <v>8.6065366284073561E-2</v>
      </c>
      <c r="DL236" s="173">
        <f t="shared" si="677"/>
        <v>15.711688096991452</v>
      </c>
      <c r="DM236" s="173">
        <f t="shared" si="678"/>
        <v>15.711688096991452</v>
      </c>
      <c r="DN236" s="173">
        <f t="shared" si="679"/>
        <v>2.9617442693763838</v>
      </c>
      <c r="DP236" s="545">
        <f t="shared" si="680"/>
        <v>120</v>
      </c>
      <c r="DQ236" s="460">
        <f t="shared" si="681"/>
        <v>350</v>
      </c>
      <c r="DS236">
        <f t="shared" si="682"/>
        <v>120</v>
      </c>
      <c r="DT236">
        <f t="shared" si="683"/>
        <v>350</v>
      </c>
      <c r="DV236" s="5">
        <f t="shared" si="684"/>
        <v>2.8571428571428572</v>
      </c>
      <c r="DW236" s="5">
        <f t="shared" si="685"/>
        <v>0.49099025303098282</v>
      </c>
      <c r="DX236" s="5">
        <f t="shared" si="686"/>
        <v>2.3661526041118743</v>
      </c>
      <c r="DY236" s="173">
        <f t="shared" si="687"/>
        <v>0.17184658856084398</v>
      </c>
      <c r="EA236" s="5">
        <f t="shared" si="713"/>
        <v>3.4658135508069371E-2</v>
      </c>
      <c r="EB236" s="5">
        <f t="shared" si="714"/>
        <v>0.40915854419248576</v>
      </c>
      <c r="EC236" s="5">
        <f t="shared" si="715"/>
        <v>4.8269513123882231</v>
      </c>
      <c r="ED236" s="5"/>
      <c r="EE236" s="173">
        <f t="shared" si="716"/>
        <v>3.7603881830593378</v>
      </c>
      <c r="EF236" s="173">
        <f t="shared" si="717"/>
        <v>0.38981993067692494</v>
      </c>
      <c r="EG236" s="173">
        <f t="shared" si="718"/>
        <v>0.30820871777003744</v>
      </c>
      <c r="EH236" s="173"/>
      <c r="EI236" s="528">
        <f t="shared" si="719"/>
        <v>0.56562077149169232</v>
      </c>
      <c r="EJ236" s="528">
        <f t="shared" si="720"/>
        <v>3.7103053242994712</v>
      </c>
      <c r="EK236" s="528">
        <f t="shared" si="721"/>
        <v>6.9999999999999993E-2</v>
      </c>
      <c r="EL236" s="528">
        <f t="shared" si="722"/>
        <v>4.2137635749999999E-2</v>
      </c>
      <c r="EM236">
        <f t="shared" si="723"/>
        <v>7.1999999999999998E-3</v>
      </c>
      <c r="EN236" s="460">
        <f t="shared" si="724"/>
        <v>77.199999999999989</v>
      </c>
      <c r="EP236" s="460">
        <f t="shared" si="725"/>
        <v>4395.2637315411639</v>
      </c>
      <c r="EQ236" s="173">
        <f t="shared" si="726"/>
        <v>8.3999999999999991E-2</v>
      </c>
      <c r="ER236" s="173">
        <f t="shared" si="688"/>
        <v>8.6799999999999988E-2</v>
      </c>
      <c r="ES236" s="528"/>
      <c r="EU236" s="460">
        <f t="shared" si="727"/>
        <v>170.79999999999998</v>
      </c>
      <c r="EV236" s="528">
        <f t="shared" si="728"/>
        <v>0.42421557861876918</v>
      </c>
      <c r="EW236" s="528">
        <f t="shared" si="729"/>
        <v>4.5587873505888764E-3</v>
      </c>
      <c r="EX236" s="528">
        <f t="shared" si="730"/>
        <v>4.7496306854725301E-4</v>
      </c>
      <c r="EY236" s="528">
        <f t="shared" si="731"/>
        <v>112.12365279227633</v>
      </c>
      <c r="EZ236" s="528"/>
      <c r="FA236" s="625">
        <f t="shared" si="732"/>
        <v>2.16</v>
      </c>
      <c r="FB236" s="460">
        <f t="shared" si="733"/>
        <v>114712.90212131423</v>
      </c>
      <c r="FC236" s="173">
        <f t="shared" si="734"/>
        <v>119.27896585285539</v>
      </c>
      <c r="FD236" s="5">
        <f t="shared" si="735"/>
        <v>21.599999999999998</v>
      </c>
      <c r="FE236" s="173">
        <f t="shared" si="736"/>
        <v>0.15332310163719304</v>
      </c>
      <c r="FF236" s="5">
        <f t="shared" si="737"/>
        <v>15.332310163719304</v>
      </c>
      <c r="FG236">
        <f t="shared" si="738"/>
        <v>20</v>
      </c>
      <c r="FI236" s="562">
        <f t="shared" si="689"/>
        <v>-50</v>
      </c>
    </row>
    <row r="237" spans="5:165">
      <c r="E237" s="170">
        <v>21</v>
      </c>
      <c r="F237" s="217">
        <f t="shared" si="690"/>
        <v>0.126</v>
      </c>
      <c r="G237" s="217">
        <f t="shared" si="617"/>
        <v>0.105</v>
      </c>
      <c r="H237" s="217">
        <f t="shared" si="618"/>
        <v>21.42</v>
      </c>
      <c r="I237" s="217">
        <f t="shared" si="619"/>
        <v>1.26</v>
      </c>
      <c r="J237" s="541">
        <f t="shared" si="620"/>
        <v>15.319571336235905</v>
      </c>
      <c r="K237" s="443">
        <f t="shared" si="621"/>
        <v>8.5392847043823874</v>
      </c>
      <c r="L237" s="172">
        <f t="shared" si="622"/>
        <v>23.858856040618292</v>
      </c>
      <c r="M237" s="443"/>
      <c r="N237" s="217">
        <f t="shared" si="623"/>
        <v>0.35790838797320207</v>
      </c>
      <c r="O237" s="172">
        <f t="shared" si="624"/>
        <v>172.61305996976913</v>
      </c>
      <c r="P237" s="172">
        <f t="shared" si="625"/>
        <v>10.153709409986419</v>
      </c>
      <c r="Q237" s="217">
        <f t="shared" si="626"/>
        <v>1.015370940998642</v>
      </c>
      <c r="R237" s="217">
        <f t="shared" si="627"/>
        <v>14.384421664147427</v>
      </c>
      <c r="S237" s="217">
        <f t="shared" si="628"/>
        <v>170</v>
      </c>
      <c r="T237" s="217">
        <f t="shared" si="629"/>
        <v>8.2728386846864055</v>
      </c>
      <c r="U237" s="217">
        <f t="shared" si="630"/>
        <v>0.27000881758089329</v>
      </c>
      <c r="V237" s="217">
        <f t="shared" si="631"/>
        <v>0.48439880921412293</v>
      </c>
      <c r="W237" s="197">
        <f t="shared" si="632"/>
        <v>350</v>
      </c>
      <c r="X237" s="443">
        <f t="shared" si="691"/>
        <v>350</v>
      </c>
      <c r="Z237" s="217">
        <f t="shared" si="633"/>
        <v>31.331446179386663</v>
      </c>
      <c r="AA237" s="173">
        <f t="shared" si="634"/>
        <v>1.8345474629337084</v>
      </c>
      <c r="AB237" s="173">
        <f t="shared" si="635"/>
        <v>0.47500027685514606</v>
      </c>
      <c r="AC237" s="173"/>
      <c r="AD237" s="173">
        <f t="shared" si="636"/>
        <v>0.78070551544502464</v>
      </c>
      <c r="AE237" s="545">
        <f t="shared" si="637"/>
        <v>512.65846878192133</v>
      </c>
      <c r="AF237" s="528">
        <f t="shared" si="638"/>
        <v>8.6022181794405489E-2</v>
      </c>
      <c r="AH237" s="173">
        <f t="shared" si="639"/>
        <v>16.099689437998489</v>
      </c>
      <c r="AI237" s="173">
        <f t="shared" si="640"/>
        <v>16.099689437998489</v>
      </c>
      <c r="AJ237" s="173">
        <f t="shared" si="641"/>
        <v>3.2491526701223368</v>
      </c>
      <c r="AL237" s="545">
        <f t="shared" si="642"/>
        <v>126</v>
      </c>
      <c r="AM237" s="460">
        <f t="shared" si="643"/>
        <v>350</v>
      </c>
      <c r="AO237">
        <f t="shared" si="644"/>
        <v>126</v>
      </c>
      <c r="AP237">
        <f t="shared" si="645"/>
        <v>350</v>
      </c>
      <c r="AR237" s="5">
        <f t="shared" si="616"/>
        <v>2.8571428571428572</v>
      </c>
      <c r="AS237" s="5">
        <f t="shared" si="604"/>
        <v>0.52546148598549047</v>
      </c>
      <c r="AT237" s="5">
        <f t="shared" si="605"/>
        <v>2.3316813711573667</v>
      </c>
      <c r="AU237" s="173">
        <f t="shared" si="606"/>
        <v>0.18391152009492165</v>
      </c>
      <c r="BA237" s="173">
        <f t="shared" si="692"/>
        <v>3.9862206833291651</v>
      </c>
      <c r="BB237" s="173">
        <f t="shared" si="693"/>
        <v>0.39652622501970597</v>
      </c>
      <c r="BC237" s="173">
        <f t="shared" si="694"/>
        <v>0.31351100792433445</v>
      </c>
      <c r="BD237" s="173"/>
      <c r="BE237" s="528">
        <f t="shared" si="695"/>
        <v>0.63559821344804945</v>
      </c>
      <c r="BF237" s="528">
        <f t="shared" si="646"/>
        <v>3.024946359223966</v>
      </c>
      <c r="BG237" s="528">
        <f t="shared" si="647"/>
        <v>0.21447399870730269</v>
      </c>
      <c r="BH237" s="528">
        <f t="shared" si="696"/>
        <v>3.9847150809686351E-2</v>
      </c>
      <c r="BI237">
        <f t="shared" si="697"/>
        <v>6.8938071013061571E-3</v>
      </c>
      <c r="BJ237" s="460">
        <f t="shared" si="698"/>
        <v>221.36780580860884</v>
      </c>
      <c r="BK237">
        <f t="shared" si="648"/>
        <v>4.5607608396471901</v>
      </c>
      <c r="BL237" s="460">
        <f t="shared" si="699"/>
        <v>3921.7595292903106</v>
      </c>
      <c r="BM237" s="173">
        <f t="shared" si="649"/>
        <v>0.10936800000000001</v>
      </c>
      <c r="BN237" s="173">
        <f t="shared" si="650"/>
        <v>9.1139999999999999E-2</v>
      </c>
      <c r="BQ237" s="460">
        <f t="shared" si="700"/>
        <v>200.50800000000001</v>
      </c>
      <c r="BR237" s="528">
        <f t="shared" si="701"/>
        <v>0.47669866008603706</v>
      </c>
      <c r="BS237" s="528">
        <f t="shared" si="702"/>
        <v>4.7169914138513545E-3</v>
      </c>
      <c r="BT237" s="528">
        <f t="shared" si="703"/>
        <v>4.914457604486605E-4</v>
      </c>
      <c r="BU237" s="528">
        <f t="shared" si="704"/>
        <v>119.17464357160253</v>
      </c>
      <c r="BV237" s="528"/>
      <c r="BW237" s="625">
        <f t="shared" si="705"/>
        <v>2.2680000000000011</v>
      </c>
      <c r="BX237" s="460">
        <f t="shared" si="706"/>
        <v>121924.55066886287</v>
      </c>
      <c r="BY237" s="173">
        <f t="shared" si="707"/>
        <v>126.04681819815318</v>
      </c>
      <c r="BZ237" s="5">
        <f t="shared" si="708"/>
        <v>22.680000000000003</v>
      </c>
      <c r="CA237" s="173">
        <f t="shared" si="709"/>
        <v>0.15249435357235144</v>
      </c>
      <c r="CB237" s="5">
        <f t="shared" si="710"/>
        <v>15.249435357235145</v>
      </c>
      <c r="CC237">
        <f t="shared" si="711"/>
        <v>21.000000000000004</v>
      </c>
      <c r="CE237" s="562">
        <f t="shared" si="651"/>
        <v>-50</v>
      </c>
      <c r="CG237" s="173">
        <f t="shared" si="652"/>
        <v>0.32212529531589557</v>
      </c>
      <c r="CH237" s="173">
        <f t="shared" si="653"/>
        <v>8.2345191560916478E-2</v>
      </c>
      <c r="CI237" s="170">
        <v>21</v>
      </c>
      <c r="CJ237" s="217">
        <f t="shared" si="712"/>
        <v>0.126</v>
      </c>
      <c r="CK237" s="217">
        <f t="shared" si="654"/>
        <v>0.105</v>
      </c>
      <c r="CL237" s="217">
        <f t="shared" si="655"/>
        <v>21.42</v>
      </c>
      <c r="CM237" s="217">
        <f t="shared" si="656"/>
        <v>1.26</v>
      </c>
      <c r="CN237" s="541">
        <f t="shared" si="657"/>
        <v>16</v>
      </c>
      <c r="CO237" s="443">
        <f t="shared" si="658"/>
        <v>8.5350000000000001</v>
      </c>
      <c r="CP237" s="443">
        <f t="shared" si="659"/>
        <v>24.535</v>
      </c>
      <c r="CQ237" s="443"/>
      <c r="CR237" s="217">
        <f t="shared" si="660"/>
        <v>0.34760448521916415</v>
      </c>
      <c r="CS237" s="172">
        <f t="shared" si="661"/>
        <v>175.08966662891231</v>
      </c>
      <c r="CT237" s="172">
        <f t="shared" si="662"/>
        <v>10.2993921546419</v>
      </c>
      <c r="CU237" s="217">
        <f t="shared" si="663"/>
        <v>1.02993921546419</v>
      </c>
      <c r="CV237" s="217">
        <f t="shared" si="664"/>
        <v>14.590805552409359</v>
      </c>
      <c r="CW237" s="217">
        <f t="shared" si="665"/>
        <v>170</v>
      </c>
      <c r="CX237" s="217">
        <f t="shared" si="666"/>
        <v>8.1558211143695019</v>
      </c>
      <c r="CY237" s="217">
        <f t="shared" si="667"/>
        <v>0.25486940982404693</v>
      </c>
      <c r="CZ237" s="217">
        <f t="shared" si="668"/>
        <v>0.47778682568069725</v>
      </c>
      <c r="DA237" s="197">
        <f t="shared" si="669"/>
        <v>350</v>
      </c>
      <c r="DB237" s="443">
        <f t="shared" si="670"/>
        <v>350</v>
      </c>
      <c r="DD237" s="217">
        <f t="shared" si="671"/>
        <v>31.805292730501623</v>
      </c>
      <c r="DE237" s="173">
        <f t="shared" si="672"/>
        <v>1.8632274593146818</v>
      </c>
      <c r="DF237" s="173">
        <f t="shared" si="673"/>
        <v>0.4897221442551708</v>
      </c>
      <c r="DG237" s="173"/>
      <c r="DH237" s="173">
        <f t="shared" si="674"/>
        <v>0.78109744190587771</v>
      </c>
      <c r="DI237" s="545">
        <f t="shared" si="675"/>
        <v>512.40123529411767</v>
      </c>
      <c r="DJ237" s="528">
        <f t="shared" si="676"/>
        <v>8.6065366284073561E-2</v>
      </c>
      <c r="DL237" s="173">
        <f t="shared" si="677"/>
        <v>16.099689437998489</v>
      </c>
      <c r="DM237" s="173">
        <f t="shared" si="678"/>
        <v>16.099689437998489</v>
      </c>
      <c r="DN237" s="173">
        <f t="shared" si="679"/>
        <v>3.2491526701223368</v>
      </c>
      <c r="DP237" s="545">
        <f t="shared" si="680"/>
        <v>126</v>
      </c>
      <c r="DQ237" s="460">
        <f t="shared" si="681"/>
        <v>350</v>
      </c>
      <c r="DS237">
        <f t="shared" si="682"/>
        <v>126</v>
      </c>
      <c r="DT237">
        <f t="shared" si="683"/>
        <v>350</v>
      </c>
      <c r="DV237" s="5">
        <f t="shared" si="684"/>
        <v>2.8571428571428572</v>
      </c>
      <c r="DW237" s="5">
        <f t="shared" si="685"/>
        <v>0.50311529493745277</v>
      </c>
      <c r="DX237" s="5">
        <f t="shared" si="686"/>
        <v>2.3540275622054043</v>
      </c>
      <c r="DY237" s="173">
        <f t="shared" si="687"/>
        <v>0.17609035322810845</v>
      </c>
      <c r="EA237" s="5">
        <f t="shared" si="713"/>
        <v>3.7289721860070027E-2</v>
      </c>
      <c r="EB237" s="5">
        <f t="shared" si="714"/>
        <v>0.44022588307027116</v>
      </c>
      <c r="EC237" s="5">
        <f t="shared" si="715"/>
        <v>5.0423270382439771</v>
      </c>
      <c r="ED237" s="5"/>
      <c r="EE237" s="173">
        <f t="shared" si="716"/>
        <v>3.900539260013745</v>
      </c>
      <c r="EF237" s="173">
        <f t="shared" si="717"/>
        <v>0.39842179317659221</v>
      </c>
      <c r="EG237" s="173">
        <f t="shared" si="718"/>
        <v>0.31500972716648579</v>
      </c>
      <c r="EH237" s="173"/>
      <c r="EI237" s="528">
        <f t="shared" si="719"/>
        <v>0.60856826075634296</v>
      </c>
      <c r="EJ237" s="528">
        <f t="shared" si="720"/>
        <v>3.8019315984774451</v>
      </c>
      <c r="EK237" s="528">
        <f t="shared" si="721"/>
        <v>6.9999999999999993E-2</v>
      </c>
      <c r="EL237" s="528">
        <f t="shared" si="722"/>
        <v>4.2137635749999999E-2</v>
      </c>
      <c r="EM237">
        <f t="shared" si="723"/>
        <v>7.1999999999999998E-3</v>
      </c>
      <c r="EN237" s="460">
        <f t="shared" si="724"/>
        <v>77.199999999999989</v>
      </c>
      <c r="EP237" s="460">
        <f t="shared" si="725"/>
        <v>4529.837494983788</v>
      </c>
      <c r="EQ237" s="173">
        <f t="shared" si="726"/>
        <v>8.8200000000000001E-2</v>
      </c>
      <c r="ER237" s="173">
        <f t="shared" si="688"/>
        <v>9.1139999999999999E-2</v>
      </c>
      <c r="ES237" s="528"/>
      <c r="EU237" s="460">
        <f t="shared" si="727"/>
        <v>179.34</v>
      </c>
      <c r="EV237" s="528">
        <f t="shared" si="728"/>
        <v>0.45642619556725722</v>
      </c>
      <c r="EW237" s="528">
        <f t="shared" si="729"/>
        <v>4.7621977583415364E-3</v>
      </c>
      <c r="EX237" s="528">
        <f t="shared" si="730"/>
        <v>4.9615564104751907E-4</v>
      </c>
      <c r="EY237" s="528">
        <f t="shared" si="731"/>
        <v>119.17464357160253</v>
      </c>
      <c r="EZ237" s="528"/>
      <c r="FA237" s="625">
        <f t="shared" si="732"/>
        <v>2.2680000000000011</v>
      </c>
      <c r="FB237" s="460">
        <f t="shared" si="733"/>
        <v>121904.32812056917</v>
      </c>
      <c r="FC237" s="173">
        <f t="shared" si="734"/>
        <v>126.61350561555297</v>
      </c>
      <c r="FD237" s="5">
        <f t="shared" si="735"/>
        <v>22.680000000000003</v>
      </c>
      <c r="FE237" s="173">
        <f t="shared" si="736"/>
        <v>0.15191551639495607</v>
      </c>
      <c r="FF237" s="5">
        <f t="shared" si="737"/>
        <v>15.191551639495607</v>
      </c>
      <c r="FG237">
        <f t="shared" si="738"/>
        <v>21.000000000000004</v>
      </c>
      <c r="FI237" s="562">
        <f t="shared" si="689"/>
        <v>-50</v>
      </c>
    </row>
    <row r="238" spans="5:165">
      <c r="E238" s="170">
        <v>22</v>
      </c>
      <c r="F238" s="217">
        <f t="shared" si="690"/>
        <v>0.13200000000000001</v>
      </c>
      <c r="G238" s="217">
        <f t="shared" si="617"/>
        <v>0.11</v>
      </c>
      <c r="H238" s="217">
        <f t="shared" si="618"/>
        <v>22.44</v>
      </c>
      <c r="I238" s="217">
        <f t="shared" si="619"/>
        <v>1.32</v>
      </c>
      <c r="J238" s="541">
        <f t="shared" si="620"/>
        <v>15.303559059271478</v>
      </c>
      <c r="K238" s="443">
        <f t="shared" si="621"/>
        <v>8.5393855347514407</v>
      </c>
      <c r="L238" s="172">
        <f t="shared" si="622"/>
        <v>23.842944594022917</v>
      </c>
      <c r="M238" s="443"/>
      <c r="N238" s="217">
        <f t="shared" si="623"/>
        <v>0.35815146493659772</v>
      </c>
      <c r="O238" s="172">
        <f t="shared" si="624"/>
        <v>172.54975116476106</v>
      </c>
      <c r="P238" s="172">
        <f t="shared" si="625"/>
        <v>10.149985362633004</v>
      </c>
      <c r="Q238" s="217">
        <f t="shared" si="626"/>
        <v>1.0149985362633003</v>
      </c>
      <c r="R238" s="217">
        <f t="shared" si="627"/>
        <v>14.379145930396755</v>
      </c>
      <c r="S238" s="217">
        <f t="shared" si="628"/>
        <v>170</v>
      </c>
      <c r="T238" s="217">
        <f t="shared" si="629"/>
        <v>8.6699632419146635</v>
      </c>
      <c r="U238" s="217">
        <f t="shared" si="630"/>
        <v>0.28326623919100929</v>
      </c>
      <c r="V238" s="217">
        <f t="shared" si="631"/>
        <v>0.50764561493516314</v>
      </c>
      <c r="W238" s="197">
        <f t="shared" si="632"/>
        <v>350</v>
      </c>
      <c r="X238" s="443">
        <f t="shared" si="691"/>
        <v>350</v>
      </c>
      <c r="Z238" s="217">
        <f t="shared" si="633"/>
        <v>31.319954833267552</v>
      </c>
      <c r="AA238" s="173">
        <f t="shared" si="634"/>
        <v>1.833852957324007</v>
      </c>
      <c r="AB238" s="173">
        <f t="shared" si="635"/>
        <v>0.47464630718852785</v>
      </c>
      <c r="AC238" s="173"/>
      <c r="AD238" s="173">
        <f t="shared" si="636"/>
        <v>0.78069629712071731</v>
      </c>
      <c r="AE238" s="545">
        <f t="shared" si="637"/>
        <v>537.07711845624942</v>
      </c>
      <c r="AF238" s="528">
        <f t="shared" si="638"/>
        <v>8.6021166071634611E-2</v>
      </c>
      <c r="AH238" s="173">
        <f t="shared" si="639"/>
        <v>16.478557495814286</v>
      </c>
      <c r="AI238" s="173">
        <f t="shared" si="640"/>
        <v>16.478557495814286</v>
      </c>
      <c r="AJ238" s="173">
        <f t="shared" si="641"/>
        <v>3.5297956759118163</v>
      </c>
      <c r="AL238" s="545">
        <f t="shared" si="642"/>
        <v>132</v>
      </c>
      <c r="AM238" s="460">
        <f t="shared" si="643"/>
        <v>350</v>
      </c>
      <c r="AO238">
        <f t="shared" si="644"/>
        <v>132</v>
      </c>
      <c r="AP238">
        <f t="shared" si="645"/>
        <v>350</v>
      </c>
      <c r="AR238" s="5">
        <f t="shared" si="616"/>
        <v>2.8571428571428572</v>
      </c>
      <c r="AS238" s="5">
        <f t="shared" si="604"/>
        <v>0.53838971156944526</v>
      </c>
      <c r="AT238" s="5">
        <f t="shared" si="605"/>
        <v>2.3187531455734121</v>
      </c>
      <c r="AU238" s="173">
        <f t="shared" si="606"/>
        <v>0.18843639904930584</v>
      </c>
      <c r="BA238" s="173">
        <f t="shared" si="692"/>
        <v>4.1299135659865849</v>
      </c>
      <c r="BB238" s="173">
        <f t="shared" si="693"/>
        <v>0.40473080902353076</v>
      </c>
      <c r="BC238" s="173">
        <f t="shared" si="694"/>
        <v>0.31999791153458407</v>
      </c>
      <c r="BD238" s="173"/>
      <c r="BE238" s="528">
        <f t="shared" si="695"/>
        <v>0.68224744250080127</v>
      </c>
      <c r="BF238" s="528">
        <f t="shared" si="646"/>
        <v>3.0940665002267034</v>
      </c>
      <c r="BG238" s="528">
        <f t="shared" si="647"/>
        <v>0.2142498268298007</v>
      </c>
      <c r="BH238" s="528">
        <f t="shared" si="696"/>
        <v>3.9794020483955264E-2</v>
      </c>
      <c r="BI238">
        <f t="shared" si="697"/>
        <v>6.8866015766721649E-3</v>
      </c>
      <c r="BJ238" s="460">
        <f t="shared" si="698"/>
        <v>221.13642840647287</v>
      </c>
      <c r="BK238">
        <f t="shared" si="648"/>
        <v>4.7742263809049099</v>
      </c>
      <c r="BL238" s="460">
        <f t="shared" si="699"/>
        <v>4037.2443916179323</v>
      </c>
      <c r="BM238" s="173">
        <f t="shared" si="649"/>
        <v>0.114576</v>
      </c>
      <c r="BN238" s="173">
        <f t="shared" si="650"/>
        <v>9.5479999999999995E-2</v>
      </c>
      <c r="BQ238" s="460">
        <f t="shared" si="700"/>
        <v>210.05599999999998</v>
      </c>
      <c r="BR238" s="528">
        <f t="shared" si="701"/>
        <v>0.51168558187560087</v>
      </c>
      <c r="BS238" s="528">
        <f t="shared" si="702"/>
        <v>4.9142108331852513E-3</v>
      </c>
      <c r="BT238" s="528">
        <f t="shared" si="703"/>
        <v>5.1199331693247742E-4</v>
      </c>
      <c r="BU238" s="528">
        <f t="shared" si="704"/>
        <v>126.3101044641936</v>
      </c>
      <c r="BV238" s="528"/>
      <c r="BW238" s="625">
        <f t="shared" si="705"/>
        <v>2.3760000000000003</v>
      </c>
      <c r="BX238" s="460">
        <f t="shared" si="706"/>
        <v>129203.21625021932</v>
      </c>
      <c r="BY238" s="173">
        <f t="shared" si="707"/>
        <v>133.45051664183725</v>
      </c>
      <c r="BZ238" s="5">
        <f t="shared" si="708"/>
        <v>23.76</v>
      </c>
      <c r="CA238" s="173">
        <f t="shared" si="709"/>
        <v>0.15113492727799441</v>
      </c>
      <c r="CB238" s="5">
        <f t="shared" si="710"/>
        <v>15.113492727799441</v>
      </c>
      <c r="CC238">
        <f t="shared" si="711"/>
        <v>22.000000000000004</v>
      </c>
      <c r="CE238" s="562">
        <f t="shared" si="651"/>
        <v>-50</v>
      </c>
      <c r="CG238" s="173">
        <f t="shared" si="652"/>
        <v>0.32970575116752388</v>
      </c>
      <c r="CH238" s="173">
        <f t="shared" si="653"/>
        <v>8.4282990604637231E-2</v>
      </c>
      <c r="CI238" s="170">
        <v>22</v>
      </c>
      <c r="CJ238" s="217">
        <f t="shared" si="712"/>
        <v>0.13200000000000001</v>
      </c>
      <c r="CK238" s="217">
        <f t="shared" si="654"/>
        <v>0.11</v>
      </c>
      <c r="CL238" s="217">
        <f t="shared" si="655"/>
        <v>22.44</v>
      </c>
      <c r="CM238" s="217">
        <f t="shared" si="656"/>
        <v>1.32</v>
      </c>
      <c r="CN238" s="541">
        <f t="shared" si="657"/>
        <v>16</v>
      </c>
      <c r="CO238" s="443">
        <f t="shared" si="658"/>
        <v>8.5350000000000001</v>
      </c>
      <c r="CP238" s="443">
        <f t="shared" si="659"/>
        <v>24.535</v>
      </c>
      <c r="CQ238" s="443"/>
      <c r="CR238" s="217">
        <f t="shared" si="660"/>
        <v>0.34760448521916415</v>
      </c>
      <c r="CS238" s="172">
        <f t="shared" si="661"/>
        <v>175.08966662891231</v>
      </c>
      <c r="CT238" s="172">
        <f t="shared" si="662"/>
        <v>10.2993921546419</v>
      </c>
      <c r="CU238" s="217">
        <f t="shared" si="663"/>
        <v>1.02993921546419</v>
      </c>
      <c r="CV238" s="217">
        <f t="shared" si="664"/>
        <v>14.590805552409359</v>
      </c>
      <c r="CW238" s="217">
        <f t="shared" si="665"/>
        <v>170</v>
      </c>
      <c r="CX238" s="217">
        <f t="shared" si="666"/>
        <v>8.5441935483870974</v>
      </c>
      <c r="CY238" s="217">
        <f t="shared" si="667"/>
        <v>0.26700604838709679</v>
      </c>
      <c r="CZ238" s="217">
        <f t="shared" si="668"/>
        <v>0.50053857928453993</v>
      </c>
      <c r="DA238" s="197">
        <f t="shared" si="669"/>
        <v>350</v>
      </c>
      <c r="DB238" s="443">
        <f t="shared" si="670"/>
        <v>350</v>
      </c>
      <c r="DD238" s="217">
        <f t="shared" si="671"/>
        <v>31.805292730501623</v>
      </c>
      <c r="DE238" s="173">
        <f t="shared" si="672"/>
        <v>1.8632274593146818</v>
      </c>
      <c r="DF238" s="173">
        <f t="shared" si="673"/>
        <v>0.4897221442551708</v>
      </c>
      <c r="DG238" s="173"/>
      <c r="DH238" s="173">
        <f t="shared" si="674"/>
        <v>0.78109744190587771</v>
      </c>
      <c r="DI238" s="545">
        <f t="shared" si="675"/>
        <v>536.8012941176471</v>
      </c>
      <c r="DJ238" s="528">
        <f t="shared" si="676"/>
        <v>8.6065366284073561E-2</v>
      </c>
      <c r="DL238" s="173">
        <f t="shared" si="677"/>
        <v>16.478557495814286</v>
      </c>
      <c r="DM238" s="173">
        <f t="shared" si="678"/>
        <v>16.478557495814286</v>
      </c>
      <c r="DN238" s="173">
        <f t="shared" si="679"/>
        <v>3.5297956759118163</v>
      </c>
      <c r="DP238" s="545">
        <f t="shared" si="680"/>
        <v>132</v>
      </c>
      <c r="DQ238" s="460">
        <f t="shared" si="681"/>
        <v>350</v>
      </c>
      <c r="DS238">
        <f t="shared" si="682"/>
        <v>132</v>
      </c>
      <c r="DT238">
        <f t="shared" si="683"/>
        <v>350</v>
      </c>
      <c r="DV238" s="5">
        <f t="shared" si="684"/>
        <v>2.8571428571428572</v>
      </c>
      <c r="DW238" s="5">
        <f t="shared" si="685"/>
        <v>0.51495492174419633</v>
      </c>
      <c r="DX238" s="5">
        <f t="shared" si="686"/>
        <v>2.3421879353986608</v>
      </c>
      <c r="DY238" s="173">
        <f t="shared" si="687"/>
        <v>0.1802342226104687</v>
      </c>
      <c r="EA238" s="5">
        <f t="shared" si="713"/>
        <v>3.9984735100137593E-2</v>
      </c>
      <c r="EB238" s="5">
        <f t="shared" si="714"/>
        <v>0.47204201159884668</v>
      </c>
      <c r="EC238" s="5">
        <f t="shared" si="715"/>
        <v>5.2558697270345949</v>
      </c>
      <c r="ED238" s="5"/>
      <c r="EE238" s="173">
        <f t="shared" si="716"/>
        <v>4.0390310621306371</v>
      </c>
      <c r="EF238" s="173">
        <f t="shared" si="717"/>
        <v>0.40677090048419001</v>
      </c>
      <c r="EG238" s="173">
        <f t="shared" si="718"/>
        <v>0.32161089723321551</v>
      </c>
      <c r="EH238" s="173"/>
      <c r="EI238" s="528">
        <f t="shared" si="719"/>
        <v>0.65255087683424573</v>
      </c>
      <c r="EJ238" s="528">
        <f t="shared" si="720"/>
        <v>3.8914010535381087</v>
      </c>
      <c r="EK238" s="528">
        <f t="shared" si="721"/>
        <v>6.9999999999999993E-2</v>
      </c>
      <c r="EL238" s="528">
        <f t="shared" si="722"/>
        <v>4.2137635749999999E-2</v>
      </c>
      <c r="EM238">
        <f t="shared" si="723"/>
        <v>7.1999999999999998E-3</v>
      </c>
      <c r="EN238" s="460">
        <f t="shared" si="724"/>
        <v>77.199999999999989</v>
      </c>
      <c r="EP238" s="460">
        <f t="shared" si="725"/>
        <v>4663.2895661223538</v>
      </c>
      <c r="EQ238" s="173">
        <f t="shared" si="726"/>
        <v>9.2399999999999996E-2</v>
      </c>
      <c r="ER238" s="173">
        <f t="shared" si="688"/>
        <v>9.5479999999999995E-2</v>
      </c>
      <c r="ES238" s="528"/>
      <c r="EU238" s="460">
        <f t="shared" si="727"/>
        <v>187.88</v>
      </c>
      <c r="EV238" s="528">
        <f t="shared" si="728"/>
        <v>0.48941315762568433</v>
      </c>
      <c r="EW238" s="528">
        <f t="shared" si="729"/>
        <v>4.9638769644215642E-3</v>
      </c>
      <c r="EX238" s="528">
        <f t="shared" si="730"/>
        <v>5.1716784609576953E-4</v>
      </c>
      <c r="EY238" s="528">
        <f t="shared" si="731"/>
        <v>126.3101044641936</v>
      </c>
      <c r="EZ238" s="528"/>
      <c r="FA238" s="625">
        <f t="shared" si="732"/>
        <v>2.3760000000000003</v>
      </c>
      <c r="FB238" s="460">
        <f t="shared" si="733"/>
        <v>129180.99866662979</v>
      </c>
      <c r="FC238" s="173">
        <f t="shared" si="734"/>
        <v>134.03216823275216</v>
      </c>
      <c r="FD238" s="5">
        <f t="shared" si="735"/>
        <v>23.76</v>
      </c>
      <c r="FE238" s="173">
        <f t="shared" si="736"/>
        <v>0.15057781552854191</v>
      </c>
      <c r="FF238" s="5">
        <f t="shared" si="737"/>
        <v>15.057781552854191</v>
      </c>
      <c r="FG238">
        <f t="shared" si="738"/>
        <v>22.000000000000004</v>
      </c>
      <c r="FI238" s="562">
        <f t="shared" si="689"/>
        <v>-50</v>
      </c>
    </row>
    <row r="239" spans="5:165">
      <c r="E239" s="170">
        <v>23</v>
      </c>
      <c r="F239" s="217">
        <f t="shared" si="690"/>
        <v>0.13800000000000001</v>
      </c>
      <c r="G239" s="217">
        <f t="shared" si="617"/>
        <v>0.115</v>
      </c>
      <c r="H239" s="217">
        <f t="shared" si="618"/>
        <v>23.46</v>
      </c>
      <c r="I239" s="217">
        <f t="shared" si="619"/>
        <v>1.3800000000000001</v>
      </c>
      <c r="J239" s="541">
        <f t="shared" si="620"/>
        <v>15.287906746715104</v>
      </c>
      <c r="K239" s="443">
        <f t="shared" si="621"/>
        <v>8.5394840984007629</v>
      </c>
      <c r="L239" s="172">
        <f t="shared" si="622"/>
        <v>23.827390845115865</v>
      </c>
      <c r="M239" s="443"/>
      <c r="N239" s="217">
        <f t="shared" si="623"/>
        <v>0.35838939118049451</v>
      </c>
      <c r="O239" s="172">
        <f t="shared" si="624"/>
        <v>172.48777972861078</v>
      </c>
      <c r="P239" s="172">
        <f t="shared" si="625"/>
        <v>10.146339984035926</v>
      </c>
      <c r="Q239" s="217">
        <f t="shared" si="626"/>
        <v>1.0146339984035928</v>
      </c>
      <c r="R239" s="217">
        <f t="shared" si="627"/>
        <v>14.373981644050899</v>
      </c>
      <c r="S239" s="217">
        <f t="shared" si="628"/>
        <v>170</v>
      </c>
      <c r="T239" s="217">
        <f t="shared" si="629"/>
        <v>9.0673090143589885</v>
      </c>
      <c r="U239" s="217">
        <f t="shared" si="630"/>
        <v>0.29655168508622903</v>
      </c>
      <c r="V239" s="217">
        <f t="shared" si="631"/>
        <v>0.53090496509368013</v>
      </c>
      <c r="W239" s="197">
        <f t="shared" si="632"/>
        <v>350</v>
      </c>
      <c r="X239" s="443">
        <f t="shared" si="691"/>
        <v>350</v>
      </c>
      <c r="Z239" s="217">
        <f t="shared" si="633"/>
        <v>31.308706236453713</v>
      </c>
      <c r="AA239" s="173">
        <f t="shared" si="634"/>
        <v>1.8331731680557299</v>
      </c>
      <c r="AB239" s="173">
        <f t="shared" si="635"/>
        <v>0.47429995442399436</v>
      </c>
      <c r="AC239" s="173"/>
      <c r="AD239" s="173">
        <f t="shared" si="636"/>
        <v>0.78068728623959505</v>
      </c>
      <c r="AE239" s="545">
        <f t="shared" si="637"/>
        <v>561.49619559955136</v>
      </c>
      <c r="AF239" s="528">
        <f t="shared" si="638"/>
        <v>8.6020173206029449E-2</v>
      </c>
      <c r="AH239" s="173">
        <f t="shared" si="639"/>
        <v>16.848908400419131</v>
      </c>
      <c r="AI239" s="173">
        <f t="shared" si="640"/>
        <v>16.848908400419131</v>
      </c>
      <c r="AJ239" s="173">
        <f t="shared" si="641"/>
        <v>3.8041296793228119</v>
      </c>
      <c r="AL239" s="545">
        <f t="shared" si="642"/>
        <v>138</v>
      </c>
      <c r="AM239" s="460">
        <f t="shared" si="643"/>
        <v>350</v>
      </c>
      <c r="AO239">
        <f t="shared" si="644"/>
        <v>138</v>
      </c>
      <c r="AP239">
        <f t="shared" si="645"/>
        <v>350</v>
      </c>
      <c r="AR239" s="5">
        <f t="shared" si="616"/>
        <v>2.8571428571428572</v>
      </c>
      <c r="AS239" s="5">
        <f t="shared" si="604"/>
        <v>0.55105347905263224</v>
      </c>
      <c r="AT239" s="5">
        <f t="shared" si="605"/>
        <v>2.306089378090225</v>
      </c>
      <c r="AU239" s="173">
        <f t="shared" si="606"/>
        <v>0.19286871766842129</v>
      </c>
      <c r="BA239" s="173">
        <f t="shared" si="692"/>
        <v>4.2721061815248902</v>
      </c>
      <c r="BB239" s="173">
        <f t="shared" si="693"/>
        <v>0.41269542301753137</v>
      </c>
      <c r="BC239" s="173">
        <f t="shared" si="694"/>
        <v>0.32629508434040116</v>
      </c>
      <c r="BD239" s="173"/>
      <c r="BE239" s="528">
        <f t="shared" si="695"/>
        <v>0.73003564904892715</v>
      </c>
      <c r="BF239" s="528">
        <f t="shared" si="646"/>
        <v>3.1615410154414478</v>
      </c>
      <c r="BG239" s="528">
        <f t="shared" si="647"/>
        <v>0.21403069445401146</v>
      </c>
      <c r="BH239" s="528">
        <f t="shared" si="696"/>
        <v>3.9742118814013787E-2</v>
      </c>
      <c r="BI239">
        <f t="shared" si="697"/>
        <v>6.8795580360217967E-3</v>
      </c>
      <c r="BJ239" s="460">
        <f t="shared" si="698"/>
        <v>220.91025249003326</v>
      </c>
      <c r="BK239">
        <f t="shared" si="648"/>
        <v>4.9948106297760431</v>
      </c>
      <c r="BL239" s="460">
        <f t="shared" si="699"/>
        <v>4152.2290357944221</v>
      </c>
      <c r="BM239" s="173">
        <f t="shared" si="649"/>
        <v>0.119784</v>
      </c>
      <c r="BN239" s="173">
        <f t="shared" si="650"/>
        <v>9.9820000000000006E-2</v>
      </c>
      <c r="BQ239" s="460">
        <f t="shared" si="700"/>
        <v>219.60400000000001</v>
      </c>
      <c r="BR239" s="528">
        <f t="shared" si="701"/>
        <v>0.54752673678669528</v>
      </c>
      <c r="BS239" s="528">
        <f t="shared" si="702"/>
        <v>5.1095253653885746E-3</v>
      </c>
      <c r="BT239" s="528">
        <f t="shared" si="703"/>
        <v>5.3234241032354749E-4</v>
      </c>
      <c r="BU239" s="528">
        <f t="shared" si="704"/>
        <v>133.52713732766031</v>
      </c>
      <c r="BV239" s="528"/>
      <c r="BW239" s="625">
        <f t="shared" si="705"/>
        <v>2.4840000000000009</v>
      </c>
      <c r="BX239" s="460">
        <f t="shared" si="706"/>
        <v>136564.30593222275</v>
      </c>
      <c r="BY239" s="173">
        <f t="shared" si="707"/>
        <v>140.93613896801716</v>
      </c>
      <c r="BZ239" s="5">
        <f t="shared" si="708"/>
        <v>24.84</v>
      </c>
      <c r="CA239" s="173">
        <f t="shared" si="709"/>
        <v>0.14984062335287185</v>
      </c>
      <c r="CB239" s="5">
        <f t="shared" si="710"/>
        <v>14.984062335287184</v>
      </c>
      <c r="CC239">
        <f t="shared" si="711"/>
        <v>23.000000000000004</v>
      </c>
      <c r="CE239" s="562">
        <f t="shared" si="651"/>
        <v>-50</v>
      </c>
      <c r="CG239" s="173">
        <f t="shared" si="652"/>
        <v>0.33711579438455475</v>
      </c>
      <c r="CH239" s="173">
        <f t="shared" si="653"/>
        <v>8.6177226906641077E-2</v>
      </c>
      <c r="CI239" s="170">
        <v>23</v>
      </c>
      <c r="CJ239" s="217">
        <f t="shared" si="712"/>
        <v>0.13800000000000001</v>
      </c>
      <c r="CK239" s="217">
        <f t="shared" si="654"/>
        <v>0.115</v>
      </c>
      <c r="CL239" s="217">
        <f t="shared" si="655"/>
        <v>23.46</v>
      </c>
      <c r="CM239" s="217">
        <f t="shared" si="656"/>
        <v>1.3800000000000001</v>
      </c>
      <c r="CN239" s="541">
        <f t="shared" si="657"/>
        <v>16</v>
      </c>
      <c r="CO239" s="443">
        <f t="shared" si="658"/>
        <v>8.5350000000000001</v>
      </c>
      <c r="CP239" s="443">
        <f t="shared" si="659"/>
        <v>24.535</v>
      </c>
      <c r="CQ239" s="443"/>
      <c r="CR239" s="217">
        <f t="shared" si="660"/>
        <v>0.34760448521916415</v>
      </c>
      <c r="CS239" s="172">
        <f t="shared" si="661"/>
        <v>175.08966662891231</v>
      </c>
      <c r="CT239" s="172">
        <f t="shared" si="662"/>
        <v>10.2993921546419</v>
      </c>
      <c r="CU239" s="217">
        <f t="shared" si="663"/>
        <v>1.02993921546419</v>
      </c>
      <c r="CV239" s="217">
        <f t="shared" si="664"/>
        <v>14.590805552409359</v>
      </c>
      <c r="CW239" s="217">
        <f t="shared" si="665"/>
        <v>170</v>
      </c>
      <c r="CX239" s="217">
        <f t="shared" si="666"/>
        <v>8.9325659824046912</v>
      </c>
      <c r="CY239" s="217">
        <f t="shared" si="667"/>
        <v>0.2791426869501466</v>
      </c>
      <c r="CZ239" s="217">
        <f t="shared" si="668"/>
        <v>0.52329033288838267</v>
      </c>
      <c r="DA239" s="197">
        <f t="shared" si="669"/>
        <v>350</v>
      </c>
      <c r="DB239" s="443">
        <f t="shared" si="670"/>
        <v>350</v>
      </c>
      <c r="DD239" s="217">
        <f t="shared" si="671"/>
        <v>31.805292730501623</v>
      </c>
      <c r="DE239" s="173">
        <f t="shared" si="672"/>
        <v>1.8632274593146818</v>
      </c>
      <c r="DF239" s="173">
        <f t="shared" si="673"/>
        <v>0.4897221442551708</v>
      </c>
      <c r="DG239" s="173"/>
      <c r="DH239" s="173">
        <f t="shared" si="674"/>
        <v>0.78109744190587771</v>
      </c>
      <c r="DI239" s="545">
        <f t="shared" si="675"/>
        <v>561.20135294117665</v>
      </c>
      <c r="DJ239" s="528">
        <f t="shared" si="676"/>
        <v>8.6065366284073561E-2</v>
      </c>
      <c r="DL239" s="173">
        <f t="shared" si="677"/>
        <v>16.848908400419131</v>
      </c>
      <c r="DM239" s="173">
        <f t="shared" si="678"/>
        <v>16.848908400419131</v>
      </c>
      <c r="DN239" s="173">
        <f t="shared" si="679"/>
        <v>3.8041296793228119</v>
      </c>
      <c r="DP239" s="545">
        <f t="shared" si="680"/>
        <v>138</v>
      </c>
      <c r="DQ239" s="460">
        <f t="shared" si="681"/>
        <v>350</v>
      </c>
      <c r="DS239">
        <f t="shared" si="682"/>
        <v>138</v>
      </c>
      <c r="DT239">
        <f t="shared" si="683"/>
        <v>350</v>
      </c>
      <c r="DV239" s="5">
        <f t="shared" si="684"/>
        <v>2.8571428571428572</v>
      </c>
      <c r="DW239" s="5">
        <f t="shared" si="685"/>
        <v>0.52652838751309783</v>
      </c>
      <c r="DX239" s="5">
        <f t="shared" si="686"/>
        <v>2.3306144696297593</v>
      </c>
      <c r="DY239" s="173">
        <f t="shared" si="687"/>
        <v>0.18428493562958423</v>
      </c>
      <c r="EA239" s="5">
        <f t="shared" si="713"/>
        <v>4.2741716162827945E-2</v>
      </c>
      <c r="EB239" s="5">
        <f t="shared" si="714"/>
        <v>0.50458970470005204</v>
      </c>
      <c r="EC239" s="5">
        <f t="shared" si="715"/>
        <v>5.467621545751415</v>
      </c>
      <c r="ED239" s="5"/>
      <c r="EE239" s="173">
        <f t="shared" si="716"/>
        <v>4.175957398541537</v>
      </c>
      <c r="EF239" s="173">
        <f t="shared" si="717"/>
        <v>0.41488411206061188</v>
      </c>
      <c r="EG239" s="173">
        <f t="shared" si="718"/>
        <v>0.32802555779873299</v>
      </c>
      <c r="EH239" s="173"/>
      <c r="EI239" s="528">
        <f t="shared" si="719"/>
        <v>0.69754480777735217</v>
      </c>
      <c r="EJ239" s="528">
        <f t="shared" si="720"/>
        <v>3.9788591881912274</v>
      </c>
      <c r="EK239" s="528">
        <f t="shared" si="721"/>
        <v>6.9999999999999993E-2</v>
      </c>
      <c r="EL239" s="528">
        <f t="shared" si="722"/>
        <v>4.2137635749999999E-2</v>
      </c>
      <c r="EM239">
        <f t="shared" si="723"/>
        <v>7.1999999999999998E-3</v>
      </c>
      <c r="EN239" s="460">
        <f t="shared" si="724"/>
        <v>77.199999999999989</v>
      </c>
      <c r="EP239" s="460">
        <f t="shared" si="725"/>
        <v>4795.7416317185789</v>
      </c>
      <c r="EQ239" s="173">
        <f t="shared" si="726"/>
        <v>9.6600000000000005E-2</v>
      </c>
      <c r="ER239" s="173">
        <f t="shared" si="688"/>
        <v>9.9820000000000006E-2</v>
      </c>
      <c r="ES239" s="528"/>
      <c r="EU239" s="460">
        <f t="shared" si="727"/>
        <v>196.42000000000002</v>
      </c>
      <c r="EV239" s="528">
        <f t="shared" si="728"/>
        <v>0.5231586058330141</v>
      </c>
      <c r="EW239" s="528">
        <f t="shared" si="729"/>
        <v>5.1638647932096705E-3</v>
      </c>
      <c r="EX239" s="528">
        <f t="shared" si="730"/>
        <v>5.3800383284584958E-4</v>
      </c>
      <c r="EY239" s="528">
        <f t="shared" si="731"/>
        <v>133.52713732766031</v>
      </c>
      <c r="EZ239" s="528"/>
      <c r="FA239" s="625">
        <f t="shared" si="732"/>
        <v>2.4840000000000009</v>
      </c>
      <c r="FB239" s="460">
        <f t="shared" si="733"/>
        <v>136539.99780211938</v>
      </c>
      <c r="FC239" s="173">
        <f t="shared" si="734"/>
        <v>141.53215943383796</v>
      </c>
      <c r="FD239" s="5">
        <f t="shared" si="735"/>
        <v>24.84</v>
      </c>
      <c r="FE239" s="173">
        <f t="shared" si="736"/>
        <v>0.14930382634047762</v>
      </c>
      <c r="FF239" s="5">
        <f t="shared" si="737"/>
        <v>14.930382634047762</v>
      </c>
      <c r="FG239">
        <f t="shared" si="738"/>
        <v>23.000000000000004</v>
      </c>
      <c r="FI239" s="562">
        <f t="shared" si="689"/>
        <v>-50</v>
      </c>
    </row>
    <row r="240" spans="5:165">
      <c r="E240" s="170">
        <v>24</v>
      </c>
      <c r="F240" s="217">
        <f t="shared" si="690"/>
        <v>0.14399999999999999</v>
      </c>
      <c r="G240" s="217">
        <f t="shared" si="617"/>
        <v>0.12</v>
      </c>
      <c r="H240" s="217">
        <f t="shared" si="618"/>
        <v>24.479999999999997</v>
      </c>
      <c r="I240" s="217">
        <f t="shared" si="619"/>
        <v>1.44</v>
      </c>
      <c r="J240" s="541">
        <f t="shared" si="620"/>
        <v>15.272591161158386</v>
      </c>
      <c r="K240" s="443">
        <f t="shared" si="621"/>
        <v>8.539580541657859</v>
      </c>
      <c r="L240" s="172">
        <f t="shared" si="622"/>
        <v>23.812171702816244</v>
      </c>
      <c r="M240" s="443"/>
      <c r="N240" s="217">
        <f t="shared" si="623"/>
        <v>0.3586224997969375</v>
      </c>
      <c r="O240" s="172">
        <f t="shared" si="624"/>
        <v>172.42705916676107</v>
      </c>
      <c r="P240" s="172">
        <f t="shared" si="625"/>
        <v>10.142768186280062</v>
      </c>
      <c r="Q240" s="217">
        <f t="shared" si="626"/>
        <v>1.0142768186280062</v>
      </c>
      <c r="R240" s="217">
        <f t="shared" si="627"/>
        <v>14.36892159723009</v>
      </c>
      <c r="S240" s="217">
        <f t="shared" si="628"/>
        <v>170</v>
      </c>
      <c r="T240" s="217">
        <f t="shared" si="629"/>
        <v>9.4648717427908338</v>
      </c>
      <c r="U240" s="217">
        <f t="shared" si="630"/>
        <v>0.30986463406622572</v>
      </c>
      <c r="V240" s="217">
        <f t="shared" si="631"/>
        <v>0.55417661889944181</v>
      </c>
      <c r="W240" s="197">
        <f t="shared" si="632"/>
        <v>350</v>
      </c>
      <c r="X240" s="443">
        <f t="shared" si="691"/>
        <v>350</v>
      </c>
      <c r="Z240" s="217">
        <f t="shared" si="633"/>
        <v>31.297684689092758</v>
      </c>
      <c r="AA240" s="173">
        <f t="shared" si="634"/>
        <v>1.8325071434373217</v>
      </c>
      <c r="AB240" s="173">
        <f t="shared" si="635"/>
        <v>0.47396072646746901</v>
      </c>
      <c r="AC240" s="173"/>
      <c r="AD240" s="173">
        <f t="shared" si="636"/>
        <v>0.78067846941020969</v>
      </c>
      <c r="AE240" s="545">
        <f t="shared" si="637"/>
        <v>585.91569081116029</v>
      </c>
      <c r="AF240" s="528">
        <f t="shared" si="638"/>
        <v>8.6019201722050881E-2</v>
      </c>
      <c r="AH240" s="173">
        <f t="shared" si="639"/>
        <v>17.211291974415268</v>
      </c>
      <c r="AI240" s="173">
        <f t="shared" si="640"/>
        <v>17.211291974415268</v>
      </c>
      <c r="AJ240" s="173">
        <f t="shared" si="641"/>
        <v>4.0725619563569877</v>
      </c>
      <c r="AL240" s="545">
        <f t="shared" si="642"/>
        <v>144</v>
      </c>
      <c r="AM240" s="460">
        <f t="shared" si="643"/>
        <v>350</v>
      </c>
      <c r="AO240">
        <f t="shared" si="644"/>
        <v>144</v>
      </c>
      <c r="AP240">
        <f t="shared" si="645"/>
        <v>350</v>
      </c>
      <c r="AR240" s="5">
        <f t="shared" si="616"/>
        <v>2.8571428571428572</v>
      </c>
      <c r="AS240" s="5">
        <f t="shared" si="604"/>
        <v>0.56346993751091268</v>
      </c>
      <c r="AT240" s="5">
        <f t="shared" si="605"/>
        <v>2.2936729196319448</v>
      </c>
      <c r="AU240" s="173">
        <f t="shared" si="606"/>
        <v>0.19721447812881943</v>
      </c>
      <c r="BA240" s="173">
        <f t="shared" si="692"/>
        <v>4.4128812628913021</v>
      </c>
      <c r="BB240" s="173">
        <f t="shared" si="693"/>
        <v>0.42043516306279044</v>
      </c>
      <c r="BC240" s="173">
        <f t="shared" si="694"/>
        <v>0.33241446194913543</v>
      </c>
      <c r="BD240" s="173"/>
      <c r="BE240" s="528">
        <f t="shared" si="695"/>
        <v>0.77894084161508537</v>
      </c>
      <c r="BF240" s="528">
        <f t="shared" si="646"/>
        <v>3.2274761378113763</v>
      </c>
      <c r="BG240" s="528">
        <f t="shared" si="647"/>
        <v>0.21381627625621741</v>
      </c>
      <c r="BH240" s="528">
        <f t="shared" si="696"/>
        <v>3.9691366484308183E-2</v>
      </c>
      <c r="BI240">
        <f t="shared" si="697"/>
        <v>6.8726660225212734E-3</v>
      </c>
      <c r="BJ240" s="460">
        <f t="shared" si="698"/>
        <v>220.68894227873866</v>
      </c>
      <c r="BK240">
        <f t="shared" si="648"/>
        <v>5.2230934046886572</v>
      </c>
      <c r="BL240" s="460">
        <f t="shared" si="699"/>
        <v>4266.7972881895084</v>
      </c>
      <c r="BM240" s="173">
        <f t="shared" si="649"/>
        <v>0.12499199999999998</v>
      </c>
      <c r="BN240" s="173">
        <f t="shared" si="650"/>
        <v>0.10415999999999999</v>
      </c>
      <c r="BQ240" s="460">
        <f t="shared" si="700"/>
        <v>229.15199999999996</v>
      </c>
      <c r="BR240" s="528">
        <f t="shared" si="701"/>
        <v>0.58420563121131397</v>
      </c>
      <c r="BS240" s="528">
        <f t="shared" si="702"/>
        <v>5.3029717901890558E-3</v>
      </c>
      <c r="BT240" s="528">
        <f t="shared" si="703"/>
        <v>5.5249687256466601E-4</v>
      </c>
      <c r="BU240" s="528">
        <f t="shared" si="704"/>
        <v>140.82306596327518</v>
      </c>
      <c r="BV240" s="528"/>
      <c r="BW240" s="625">
        <f t="shared" si="705"/>
        <v>2.5919999999999996</v>
      </c>
      <c r="BX240" s="460">
        <f t="shared" si="706"/>
        <v>144005.12706314927</v>
      </c>
      <c r="BY240" s="173">
        <f t="shared" si="707"/>
        <v>148.50107635133878</v>
      </c>
      <c r="BZ240" s="5">
        <f t="shared" si="708"/>
        <v>25.919999999999998</v>
      </c>
      <c r="CA240" s="173">
        <f t="shared" si="709"/>
        <v>0.14860589409383637</v>
      </c>
      <c r="CB240" s="5">
        <f t="shared" si="710"/>
        <v>14.860589409383637</v>
      </c>
      <c r="CC240">
        <f t="shared" si="711"/>
        <v>24</v>
      </c>
      <c r="CE240" s="562">
        <f t="shared" si="651"/>
        <v>-50</v>
      </c>
      <c r="CG240" s="173">
        <f t="shared" si="652"/>
        <v>0.34436642591013084</v>
      </c>
      <c r="CH240" s="173">
        <f t="shared" si="653"/>
        <v>8.8030712648348108E-2</v>
      </c>
      <c r="CI240" s="170">
        <v>24</v>
      </c>
      <c r="CJ240" s="217">
        <f t="shared" si="712"/>
        <v>0.14399999999999999</v>
      </c>
      <c r="CK240" s="217">
        <f t="shared" si="654"/>
        <v>0.12</v>
      </c>
      <c r="CL240" s="217">
        <f t="shared" si="655"/>
        <v>24.479999999999997</v>
      </c>
      <c r="CM240" s="217">
        <f t="shared" si="656"/>
        <v>1.44</v>
      </c>
      <c r="CN240" s="541">
        <f t="shared" si="657"/>
        <v>16</v>
      </c>
      <c r="CO240" s="443">
        <f t="shared" si="658"/>
        <v>8.5350000000000001</v>
      </c>
      <c r="CP240" s="443">
        <f t="shared" si="659"/>
        <v>24.535</v>
      </c>
      <c r="CQ240" s="443"/>
      <c r="CR240" s="217">
        <f t="shared" si="660"/>
        <v>0.34760448521916415</v>
      </c>
      <c r="CS240" s="172">
        <f t="shared" si="661"/>
        <v>175.08966662891231</v>
      </c>
      <c r="CT240" s="172">
        <f t="shared" si="662"/>
        <v>10.2993921546419</v>
      </c>
      <c r="CU240" s="217">
        <f t="shared" si="663"/>
        <v>1.02993921546419</v>
      </c>
      <c r="CV240" s="217">
        <f t="shared" si="664"/>
        <v>14.590805552409359</v>
      </c>
      <c r="CW240" s="217">
        <f t="shared" si="665"/>
        <v>170</v>
      </c>
      <c r="CX240" s="217">
        <f t="shared" si="666"/>
        <v>9.320938416422285</v>
      </c>
      <c r="CY240" s="217">
        <f t="shared" si="667"/>
        <v>0.29127932551319641</v>
      </c>
      <c r="CZ240" s="217">
        <f t="shared" si="668"/>
        <v>0.54604208649222519</v>
      </c>
      <c r="DA240" s="197">
        <f t="shared" si="669"/>
        <v>350</v>
      </c>
      <c r="DB240" s="443">
        <f t="shared" si="670"/>
        <v>350</v>
      </c>
      <c r="DD240" s="217">
        <f t="shared" si="671"/>
        <v>31.805292730501623</v>
      </c>
      <c r="DE240" s="173">
        <f t="shared" si="672"/>
        <v>1.8632274593146818</v>
      </c>
      <c r="DF240" s="173">
        <f t="shared" si="673"/>
        <v>0.4897221442551708</v>
      </c>
      <c r="DG240" s="173"/>
      <c r="DH240" s="173">
        <f t="shared" si="674"/>
        <v>0.78109744190587771</v>
      </c>
      <c r="DI240" s="545">
        <f t="shared" si="675"/>
        <v>585.60141176470586</v>
      </c>
      <c r="DJ240" s="528">
        <f t="shared" si="676"/>
        <v>8.6065366284073561E-2</v>
      </c>
      <c r="DL240" s="173">
        <f t="shared" si="677"/>
        <v>17.211291974415268</v>
      </c>
      <c r="DM240" s="173">
        <f t="shared" si="678"/>
        <v>17.211291974415268</v>
      </c>
      <c r="DN240" s="173">
        <f t="shared" si="679"/>
        <v>4.0725619563569877</v>
      </c>
      <c r="DP240" s="545">
        <f t="shared" si="680"/>
        <v>144</v>
      </c>
      <c r="DQ240" s="460">
        <f t="shared" si="681"/>
        <v>350</v>
      </c>
      <c r="DS240">
        <f t="shared" si="682"/>
        <v>144</v>
      </c>
      <c r="DT240">
        <f t="shared" si="683"/>
        <v>350</v>
      </c>
      <c r="DV240" s="5">
        <f t="shared" si="684"/>
        <v>2.8571428571428572</v>
      </c>
      <c r="DW240" s="5">
        <f t="shared" si="685"/>
        <v>0.537852874200477</v>
      </c>
      <c r="DX240" s="5">
        <f t="shared" si="686"/>
        <v>2.3192899829423803</v>
      </c>
      <c r="DY240" s="173">
        <f t="shared" si="687"/>
        <v>0.18824850597016696</v>
      </c>
      <c r="EA240" s="5">
        <f t="shared" si="713"/>
        <v>4.5559302285216874E-2</v>
      </c>
      <c r="EB240" s="5">
        <f t="shared" si="714"/>
        <v>0.537852874200477</v>
      </c>
      <c r="EC240" s="5">
        <f t="shared" si="715"/>
        <v>5.6776218782429462</v>
      </c>
      <c r="ED240" s="5"/>
      <c r="EE240" s="173">
        <f t="shared" si="716"/>
        <v>4.3114029424734222</v>
      </c>
      <c r="EF240" s="173">
        <f t="shared" si="717"/>
        <v>0.42277647524283973</v>
      </c>
      <c r="EG240" s="173">
        <f t="shared" si="718"/>
        <v>0.33426560594697891</v>
      </c>
      <c r="EH240" s="173"/>
      <c r="EI240" s="528">
        <f t="shared" si="719"/>
        <v>0.74352781329473927</v>
      </c>
      <c r="EJ240" s="528">
        <f t="shared" si="720"/>
        <v>4.0644358427006821</v>
      </c>
      <c r="EK240" s="528">
        <f t="shared" si="721"/>
        <v>6.9999999999999993E-2</v>
      </c>
      <c r="EL240" s="528">
        <f t="shared" si="722"/>
        <v>4.2137635749999999E-2</v>
      </c>
      <c r="EM240">
        <f t="shared" si="723"/>
        <v>7.1999999999999998E-3</v>
      </c>
      <c r="EN240" s="460">
        <f t="shared" si="724"/>
        <v>77.199999999999989</v>
      </c>
      <c r="EP240" s="460">
        <f t="shared" si="725"/>
        <v>4927.3012917454216</v>
      </c>
      <c r="EQ240" s="173">
        <f t="shared" si="726"/>
        <v>0.10079999999999999</v>
      </c>
      <c r="ER240" s="173">
        <f t="shared" si="688"/>
        <v>0.10415999999999999</v>
      </c>
      <c r="ES240" s="528"/>
      <c r="EU240" s="460">
        <f t="shared" si="727"/>
        <v>204.95999999999998</v>
      </c>
      <c r="EV240" s="528">
        <f t="shared" si="728"/>
        <v>0.55764585997105443</v>
      </c>
      <c r="EW240" s="528">
        <f t="shared" si="729"/>
        <v>5.3621984405627845E-3</v>
      </c>
      <c r="EX240" s="528">
        <f t="shared" si="730"/>
        <v>5.5866747659550492E-4</v>
      </c>
      <c r="EY240" s="528">
        <f t="shared" si="731"/>
        <v>140.82306596327518</v>
      </c>
      <c r="EZ240" s="528"/>
      <c r="FA240" s="625">
        <f t="shared" si="732"/>
        <v>2.5919999999999996</v>
      </c>
      <c r="FB240" s="460">
        <f t="shared" si="733"/>
        <v>143978.63268916341</v>
      </c>
      <c r="FC240" s="173">
        <f t="shared" si="734"/>
        <v>149.11089398090883</v>
      </c>
      <c r="FD240" s="5">
        <f t="shared" si="735"/>
        <v>25.919999999999998</v>
      </c>
      <c r="FE240" s="173">
        <f t="shared" si="736"/>
        <v>0.14808814267284251</v>
      </c>
      <c r="FF240" s="5">
        <f t="shared" si="737"/>
        <v>14.808814267284252</v>
      </c>
      <c r="FG240">
        <f t="shared" si="738"/>
        <v>24</v>
      </c>
      <c r="FI240" s="562">
        <f t="shared" si="689"/>
        <v>-50</v>
      </c>
    </row>
    <row r="241" spans="5:165">
      <c r="E241" s="170">
        <v>25</v>
      </c>
      <c r="F241" s="217">
        <f t="shared" si="690"/>
        <v>0.15</v>
      </c>
      <c r="G241" s="217">
        <f t="shared" si="617"/>
        <v>0.125</v>
      </c>
      <c r="H241" s="217">
        <f t="shared" si="618"/>
        <v>25.5</v>
      </c>
      <c r="I241" s="217">
        <f t="shared" si="619"/>
        <v>1.5</v>
      </c>
      <c r="J241" s="541">
        <f t="shared" si="620"/>
        <v>15.25759146268652</v>
      </c>
      <c r="K241" s="443">
        <f t="shared" si="621"/>
        <v>8.5396749957530478</v>
      </c>
      <c r="L241" s="172">
        <f t="shared" si="622"/>
        <v>23.797266458439566</v>
      </c>
      <c r="M241" s="443"/>
      <c r="N241" s="217">
        <f t="shared" si="623"/>
        <v>0.35885108950084899</v>
      </c>
      <c r="O241" s="172">
        <f t="shared" si="624"/>
        <v>172.36751191156756</v>
      </c>
      <c r="P241" s="172">
        <f t="shared" si="625"/>
        <v>10.139265406562798</v>
      </c>
      <c r="Q241" s="217">
        <f t="shared" si="626"/>
        <v>1.0139265406562799</v>
      </c>
      <c r="R241" s="217">
        <f t="shared" si="627"/>
        <v>14.363959325963963</v>
      </c>
      <c r="S241" s="217">
        <f t="shared" si="628"/>
        <v>170</v>
      </c>
      <c r="T241" s="217">
        <f t="shared" si="629"/>
        <v>9.8626474394558663</v>
      </c>
      <c r="U241" s="217">
        <f t="shared" si="630"/>
        <v>0.32320459830031634</v>
      </c>
      <c r="V241" s="217">
        <f t="shared" si="631"/>
        <v>0.57746035091269621</v>
      </c>
      <c r="W241" s="197">
        <f t="shared" si="632"/>
        <v>350</v>
      </c>
      <c r="X241" s="443">
        <f t="shared" si="691"/>
        <v>350</v>
      </c>
      <c r="Z241" s="217">
        <f t="shared" si="633"/>
        <v>31.286876111679486</v>
      </c>
      <c r="AA241" s="173">
        <f t="shared" si="634"/>
        <v>1.8318540299975747</v>
      </c>
      <c r="AB241" s="173">
        <f t="shared" si="635"/>
        <v>0.47362818200378998</v>
      </c>
      <c r="AC241" s="173"/>
      <c r="AD241" s="173">
        <f t="shared" si="636"/>
        <v>0.78066983462276185</v>
      </c>
      <c r="AE241" s="545">
        <f t="shared" si="637"/>
        <v>610.335595284703</v>
      </c>
      <c r="AF241" s="528">
        <f t="shared" si="638"/>
        <v>8.6018250296396911E-2</v>
      </c>
      <c r="AH241" s="173">
        <f t="shared" si="639"/>
        <v>17.566201313073599</v>
      </c>
      <c r="AI241" s="173">
        <f t="shared" si="640"/>
        <v>17.566201313073599</v>
      </c>
      <c r="AJ241" s="173">
        <f t="shared" si="641"/>
        <v>4.3354577627705666</v>
      </c>
      <c r="AL241" s="545">
        <f t="shared" si="642"/>
        <v>150</v>
      </c>
      <c r="AM241" s="460">
        <f t="shared" si="643"/>
        <v>350</v>
      </c>
      <c r="AO241">
        <f t="shared" si="644"/>
        <v>150</v>
      </c>
      <c r="AP241">
        <f t="shared" si="645"/>
        <v>350</v>
      </c>
      <c r="AR241" s="5">
        <f t="shared" si="616"/>
        <v>2.8571428571428572</v>
      </c>
      <c r="AS241" s="5">
        <f t="shared" si="604"/>
        <v>0.57565446538639276</v>
      </c>
      <c r="AT241" s="5">
        <f t="shared" si="605"/>
        <v>2.2814883917564646</v>
      </c>
      <c r="AU241" s="173">
        <f t="shared" si="606"/>
        <v>0.20147906288523745</v>
      </c>
      <c r="BA241" s="173">
        <f t="shared" si="692"/>
        <v>4.5523137802561617</v>
      </c>
      <c r="BB241" s="173">
        <f t="shared" si="693"/>
        <v>0.42796357101510996</v>
      </c>
      <c r="BC241" s="173">
        <f t="shared" si="694"/>
        <v>0.3383667511453417</v>
      </c>
      <c r="BD241" s="173"/>
      <c r="BE241" s="528">
        <f t="shared" si="695"/>
        <v>0.8289424301564059</v>
      </c>
      <c r="BF241" s="528">
        <f t="shared" si="646"/>
        <v>3.2919671398147021</v>
      </c>
      <c r="BG241" s="528">
        <f t="shared" si="647"/>
        <v>0.21360628047761127</v>
      </c>
      <c r="BH241" s="528">
        <f t="shared" si="696"/>
        <v>3.9641692362578099E-2</v>
      </c>
      <c r="BI241">
        <f t="shared" si="697"/>
        <v>6.8659161582089335E-3</v>
      </c>
      <c r="BJ241" s="460">
        <f t="shared" si="698"/>
        <v>220.47219663582021</v>
      </c>
      <c r="BK241">
        <f t="shared" si="648"/>
        <v>5.4596879587208074</v>
      </c>
      <c r="BL241" s="460">
        <f t="shared" si="699"/>
        <v>4381.0234589695065</v>
      </c>
      <c r="BM241" s="173">
        <f t="shared" si="649"/>
        <v>0.13019999999999998</v>
      </c>
      <c r="BN241" s="173">
        <f t="shared" si="650"/>
        <v>0.1085</v>
      </c>
      <c r="BQ241" s="460">
        <f t="shared" si="700"/>
        <v>238.69999999999996</v>
      </c>
      <c r="BR241" s="528">
        <f t="shared" si="701"/>
        <v>0.62170682261730437</v>
      </c>
      <c r="BS241" s="528">
        <f t="shared" si="702"/>
        <v>5.4945845434801518E-3</v>
      </c>
      <c r="BT241" s="528">
        <f t="shared" si="703"/>
        <v>5.7246029140326806E-4</v>
      </c>
      <c r="BU241" s="528">
        <f t="shared" si="704"/>
        <v>148.19541051817541</v>
      </c>
      <c r="BV241" s="528"/>
      <c r="BW241" s="625">
        <f t="shared" si="705"/>
        <v>2.7000000000000006</v>
      </c>
      <c r="BX241" s="460">
        <f t="shared" si="706"/>
        <v>151523.1843856276</v>
      </c>
      <c r="BY241" s="173">
        <f t="shared" si="707"/>
        <v>156.14290784459709</v>
      </c>
      <c r="BZ241" s="5">
        <f t="shared" si="708"/>
        <v>27</v>
      </c>
      <c r="CA241" s="173">
        <f t="shared" si="709"/>
        <v>0.14742585622212795</v>
      </c>
      <c r="CB241" s="5">
        <f t="shared" si="710"/>
        <v>14.742585622212795</v>
      </c>
      <c r="CC241">
        <f t="shared" si="711"/>
        <v>25</v>
      </c>
      <c r="CE241" s="562">
        <f t="shared" si="651"/>
        <v>-50</v>
      </c>
      <c r="CG241" s="173">
        <f t="shared" si="652"/>
        <v>0.35146751167740364</v>
      </c>
      <c r="CH241" s="173">
        <f t="shared" si="653"/>
        <v>8.9845969867509201E-2</v>
      </c>
      <c r="CI241" s="170">
        <v>25</v>
      </c>
      <c r="CJ241" s="217">
        <f t="shared" si="712"/>
        <v>0.15</v>
      </c>
      <c r="CK241" s="217">
        <f t="shared" si="654"/>
        <v>0.125</v>
      </c>
      <c r="CL241" s="217">
        <f t="shared" si="655"/>
        <v>25.5</v>
      </c>
      <c r="CM241" s="217">
        <f t="shared" si="656"/>
        <v>1.5</v>
      </c>
      <c r="CN241" s="541">
        <f t="shared" si="657"/>
        <v>16</v>
      </c>
      <c r="CO241" s="443">
        <f t="shared" si="658"/>
        <v>8.5350000000000001</v>
      </c>
      <c r="CP241" s="443">
        <f t="shared" si="659"/>
        <v>24.535</v>
      </c>
      <c r="CQ241" s="443"/>
      <c r="CR241" s="217">
        <f t="shared" si="660"/>
        <v>0.34760448521916415</v>
      </c>
      <c r="CS241" s="172">
        <f t="shared" si="661"/>
        <v>175.08966662891231</v>
      </c>
      <c r="CT241" s="172">
        <f t="shared" si="662"/>
        <v>10.2993921546419</v>
      </c>
      <c r="CU241" s="217">
        <f t="shared" si="663"/>
        <v>1.02993921546419</v>
      </c>
      <c r="CV241" s="217">
        <f t="shared" si="664"/>
        <v>14.590805552409359</v>
      </c>
      <c r="CW241" s="217">
        <f t="shared" si="665"/>
        <v>170</v>
      </c>
      <c r="CX241" s="217">
        <f t="shared" si="666"/>
        <v>9.7093108504398824</v>
      </c>
      <c r="CY241" s="217">
        <f t="shared" si="667"/>
        <v>0.30341596407624633</v>
      </c>
      <c r="CZ241" s="217">
        <f t="shared" si="668"/>
        <v>0.56879384009606815</v>
      </c>
      <c r="DA241" s="197">
        <f t="shared" si="669"/>
        <v>350</v>
      </c>
      <c r="DB241" s="443">
        <f t="shared" si="670"/>
        <v>350</v>
      </c>
      <c r="DD241" s="217">
        <f t="shared" si="671"/>
        <v>31.805292730501623</v>
      </c>
      <c r="DE241" s="173">
        <f t="shared" si="672"/>
        <v>1.8632274593146818</v>
      </c>
      <c r="DF241" s="173">
        <f t="shared" si="673"/>
        <v>0.4897221442551708</v>
      </c>
      <c r="DG241" s="173"/>
      <c r="DH241" s="173">
        <f t="shared" si="674"/>
        <v>0.78109744190587771</v>
      </c>
      <c r="DI241" s="545">
        <f t="shared" si="675"/>
        <v>610.00147058823529</v>
      </c>
      <c r="DJ241" s="528">
        <f t="shared" si="676"/>
        <v>8.6065366284073561E-2</v>
      </c>
      <c r="DL241" s="173">
        <f t="shared" si="677"/>
        <v>17.566201313073599</v>
      </c>
      <c r="DM241" s="173">
        <f t="shared" si="678"/>
        <v>17.566201313073599</v>
      </c>
      <c r="DN241" s="173">
        <f t="shared" si="679"/>
        <v>4.3354577627705666</v>
      </c>
      <c r="DP241" s="545">
        <f t="shared" si="680"/>
        <v>150</v>
      </c>
      <c r="DQ241" s="460">
        <f t="shared" si="681"/>
        <v>350</v>
      </c>
      <c r="DS241">
        <f t="shared" si="682"/>
        <v>150</v>
      </c>
      <c r="DT241">
        <f t="shared" si="683"/>
        <v>350</v>
      </c>
      <c r="DV241" s="5">
        <f t="shared" si="684"/>
        <v>2.8571428571428572</v>
      </c>
      <c r="DW241" s="5">
        <f t="shared" si="685"/>
        <v>0.54894379103354984</v>
      </c>
      <c r="DX241" s="5">
        <f t="shared" si="686"/>
        <v>2.3081990661093075</v>
      </c>
      <c r="DY241" s="173">
        <f t="shared" si="687"/>
        <v>0.19213032686174245</v>
      </c>
      <c r="EA241" s="5">
        <f t="shared" si="713"/>
        <v>4.8436216855901458E-2</v>
      </c>
      <c r="EB241" s="5">
        <f t="shared" si="714"/>
        <v>0.5718164489932811</v>
      </c>
      <c r="EC241" s="5">
        <f t="shared" si="715"/>
        <v>5.8859076185787336</v>
      </c>
      <c r="ED241" s="5"/>
      <c r="EE241" s="173">
        <f t="shared" si="716"/>
        <v>4.4454444634038328</v>
      </c>
      <c r="EF241" s="173">
        <f t="shared" si="717"/>
        <v>0.43046148689051983</v>
      </c>
      <c r="EG241" s="173">
        <f t="shared" si="718"/>
        <v>0.34034171288657589</v>
      </c>
      <c r="EH241" s="173"/>
      <c r="EI241" s="528">
        <f t="shared" si="719"/>
        <v>0.79047905908831173</v>
      </c>
      <c r="EJ241" s="528">
        <f t="shared" si="720"/>
        <v>4.1482474612065099</v>
      </c>
      <c r="EK241" s="528">
        <f t="shared" si="721"/>
        <v>6.9999999999999993E-2</v>
      </c>
      <c r="EL241" s="528">
        <f t="shared" si="722"/>
        <v>4.2137635749999999E-2</v>
      </c>
      <c r="EM241">
        <f t="shared" si="723"/>
        <v>7.1999999999999998E-3</v>
      </c>
      <c r="EN241" s="460">
        <f t="shared" si="724"/>
        <v>77.199999999999989</v>
      </c>
      <c r="EP241" s="460">
        <f t="shared" si="725"/>
        <v>5058.0641560448212</v>
      </c>
      <c r="EQ241" s="173">
        <f t="shared" si="726"/>
        <v>0.105</v>
      </c>
      <c r="ER241" s="173">
        <f t="shared" si="688"/>
        <v>0.1085</v>
      </c>
      <c r="ES241" s="528"/>
      <c r="EU241" s="460">
        <f t="shared" si="727"/>
        <v>213.5</v>
      </c>
      <c r="EV241" s="528">
        <f t="shared" si="728"/>
        <v>0.59285929431623374</v>
      </c>
      <c r="EW241" s="528">
        <f t="shared" si="729"/>
        <v>5.5589127508799147E-3</v>
      </c>
      <c r="EX241" s="528">
        <f t="shared" si="730"/>
        <v>5.7916240765284229E-4</v>
      </c>
      <c r="EY241" s="528">
        <f t="shared" si="731"/>
        <v>148.19541051817541</v>
      </c>
      <c r="EZ241" s="528"/>
      <c r="FA241" s="625">
        <f t="shared" si="732"/>
        <v>2.7000000000000006</v>
      </c>
      <c r="FB241" s="460">
        <f t="shared" si="733"/>
        <v>151494.40788765016</v>
      </c>
      <c r="FC241" s="173">
        <f t="shared" si="734"/>
        <v>156.76597204369497</v>
      </c>
      <c r="FD241" s="5">
        <f t="shared" si="735"/>
        <v>27</v>
      </c>
      <c r="FE241" s="173">
        <f t="shared" si="736"/>
        <v>0.14692600430715252</v>
      </c>
      <c r="FF241" s="5">
        <f t="shared" si="737"/>
        <v>14.692600430715252</v>
      </c>
      <c r="FG241">
        <f t="shared" si="738"/>
        <v>25</v>
      </c>
      <c r="FI241" s="562">
        <f t="shared" si="689"/>
        <v>-50</v>
      </c>
    </row>
    <row r="242" spans="5:165">
      <c r="E242" s="170">
        <v>26</v>
      </c>
      <c r="F242" s="217">
        <f t="shared" si="690"/>
        <v>0.156</v>
      </c>
      <c r="G242" s="217">
        <f t="shared" si="617"/>
        <v>0.13</v>
      </c>
      <c r="H242" s="217">
        <f t="shared" si="618"/>
        <v>26.52</v>
      </c>
      <c r="I242" s="217">
        <f t="shared" si="619"/>
        <v>1.56</v>
      </c>
      <c r="J242" s="541">
        <f t="shared" si="620"/>
        <v>15.242888876236137</v>
      </c>
      <c r="K242" s="443">
        <f t="shared" si="621"/>
        <v>8.5397675789141498</v>
      </c>
      <c r="L242" s="172">
        <f t="shared" si="622"/>
        <v>23.782656455150288</v>
      </c>
      <c r="M242" s="443"/>
      <c r="N242" s="217">
        <f t="shared" si="623"/>
        <v>0.35907542940035231</v>
      </c>
      <c r="O242" s="172">
        <f t="shared" si="624"/>
        <v>172.30906808355158</v>
      </c>
      <c r="P242" s="172">
        <f t="shared" si="625"/>
        <v>10.135827534326564</v>
      </c>
      <c r="Q242" s="217">
        <f t="shared" si="626"/>
        <v>1.0135827534326562</v>
      </c>
      <c r="R242" s="217">
        <f t="shared" si="627"/>
        <v>14.359089006962632</v>
      </c>
      <c r="S242" s="217">
        <f t="shared" si="628"/>
        <v>170</v>
      </c>
      <c r="T242" s="217">
        <f t="shared" si="629"/>
        <v>10.260632360583065</v>
      </c>
      <c r="U242" s="217">
        <f t="shared" si="630"/>
        <v>0.3365711199462828</v>
      </c>
      <c r="V242" s="217">
        <f t="shared" si="631"/>
        <v>0.60075594948965372</v>
      </c>
      <c r="W242" s="197">
        <f t="shared" si="632"/>
        <v>350</v>
      </c>
      <c r="X242" s="443">
        <f t="shared" si="691"/>
        <v>350</v>
      </c>
      <c r="Z242" s="217">
        <f t="shared" si="633"/>
        <v>31.276267820207682</v>
      </c>
      <c r="AA242" s="173">
        <f t="shared" si="634"/>
        <v>1.8312130588561362</v>
      </c>
      <c r="AB242" s="173">
        <f t="shared" si="635"/>
        <v>0.47330192345089606</v>
      </c>
      <c r="AC242" s="173"/>
      <c r="AD242" s="173">
        <f t="shared" si="636"/>
        <v>0.78066137105740152</v>
      </c>
      <c r="AE242" s="545">
        <f t="shared" si="637"/>
        <v>634.75590074799527</v>
      </c>
      <c r="AF242" s="528">
        <f t="shared" si="638"/>
        <v>8.6017317736880358E-2</v>
      </c>
      <c r="AH242" s="173">
        <f t="shared" si="639"/>
        <v>17.914080655012295</v>
      </c>
      <c r="AI242" s="173">
        <f t="shared" si="640"/>
        <v>17.914080655012295</v>
      </c>
      <c r="AJ242" s="173">
        <f t="shared" si="641"/>
        <v>4.5931461642066385</v>
      </c>
      <c r="AL242" s="545">
        <f t="shared" si="642"/>
        <v>156</v>
      </c>
      <c r="AM242" s="460">
        <f t="shared" si="643"/>
        <v>350</v>
      </c>
      <c r="AO242">
        <f t="shared" si="644"/>
        <v>156</v>
      </c>
      <c r="AP242">
        <f t="shared" si="645"/>
        <v>350</v>
      </c>
      <c r="AR242" s="5">
        <f t="shared" si="616"/>
        <v>2.8571428571428572</v>
      </c>
      <c r="AS242" s="5">
        <f t="shared" si="604"/>
        <v>0.58762091623394885</v>
      </c>
      <c r="AT242" s="5">
        <f t="shared" si="605"/>
        <v>2.2695219409089082</v>
      </c>
      <c r="AU242" s="173">
        <f t="shared" si="606"/>
        <v>0.20566732068188209</v>
      </c>
      <c r="BA242" s="173">
        <f t="shared" si="692"/>
        <v>4.6904719489406448</v>
      </c>
      <c r="BB242" s="173">
        <f t="shared" si="693"/>
        <v>0.43529284987860684</v>
      </c>
      <c r="BC242" s="173">
        <f t="shared" si="694"/>
        <v>0.34416160015876879</v>
      </c>
      <c r="BD242" s="173"/>
      <c r="BE242" s="528">
        <f t="shared" si="695"/>
        <v>0.88002108415196201</v>
      </c>
      <c r="BF242" s="528">
        <f t="shared" si="646"/>
        <v>3.3550998541830874</v>
      </c>
      <c r="BG242" s="528">
        <f t="shared" si="647"/>
        <v>0.21340044426730592</v>
      </c>
      <c r="BH242" s="528">
        <f t="shared" si="696"/>
        <v>3.9593032364459123E-2</v>
      </c>
      <c r="BI242">
        <f t="shared" si="697"/>
        <v>6.8592999943062616E-3</v>
      </c>
      <c r="BJ242" s="460">
        <f t="shared" si="698"/>
        <v>220.25974426161218</v>
      </c>
      <c r="BK242">
        <f t="shared" si="648"/>
        <v>5.7052469103947301</v>
      </c>
      <c r="BL242" s="460">
        <f t="shared" si="699"/>
        <v>4494.9737149611201</v>
      </c>
      <c r="BM242" s="173">
        <f t="shared" si="649"/>
        <v>0.135408</v>
      </c>
      <c r="BN242" s="173">
        <f t="shared" si="650"/>
        <v>0.11284</v>
      </c>
      <c r="BQ242" s="460">
        <f t="shared" si="700"/>
        <v>248.24799999999999</v>
      </c>
      <c r="BR242" s="528">
        <f t="shared" si="701"/>
        <v>0.66001581311397151</v>
      </c>
      <c r="BS242" s="528">
        <f t="shared" si="702"/>
        <v>5.6843959546631802E-3</v>
      </c>
      <c r="BT242" s="528">
        <f t="shared" si="703"/>
        <v>5.9223603511922122E-4</v>
      </c>
      <c r="BU242" s="528">
        <f t="shared" si="704"/>
        <v>155.64186575257025</v>
      </c>
      <c r="BV242" s="528"/>
      <c r="BW242" s="625">
        <f t="shared" si="705"/>
        <v>2.8080000000000007</v>
      </c>
      <c r="BX242" s="460">
        <f t="shared" si="706"/>
        <v>159116.158197674</v>
      </c>
      <c r="BY242" s="173">
        <f t="shared" si="707"/>
        <v>163.85937991263512</v>
      </c>
      <c r="BZ242" s="5">
        <f t="shared" si="708"/>
        <v>28.08</v>
      </c>
      <c r="CA242" s="173">
        <f t="shared" si="709"/>
        <v>0.14629619004073655</v>
      </c>
      <c r="CB242" s="5">
        <f t="shared" si="710"/>
        <v>14.629619004073655</v>
      </c>
      <c r="CC242">
        <f t="shared" si="711"/>
        <v>26</v>
      </c>
      <c r="CE242" s="562">
        <f t="shared" si="651"/>
        <v>-50</v>
      </c>
      <c r="CG242" s="173">
        <f t="shared" si="652"/>
        <v>0.35842794008739626</v>
      </c>
      <c r="CH242" s="173">
        <f t="shared" si="653"/>
        <v>9.1625270714419768E-2</v>
      </c>
      <c r="CI242" s="170">
        <v>26</v>
      </c>
      <c r="CJ242" s="217">
        <f t="shared" si="712"/>
        <v>0.156</v>
      </c>
      <c r="CK242" s="217">
        <f t="shared" si="654"/>
        <v>0.13</v>
      </c>
      <c r="CL242" s="217">
        <f t="shared" si="655"/>
        <v>26.52</v>
      </c>
      <c r="CM242" s="217">
        <f t="shared" si="656"/>
        <v>1.56</v>
      </c>
      <c r="CN242" s="541">
        <f t="shared" si="657"/>
        <v>16</v>
      </c>
      <c r="CO242" s="443">
        <f t="shared" si="658"/>
        <v>8.5350000000000001</v>
      </c>
      <c r="CP242" s="443">
        <f t="shared" si="659"/>
        <v>24.535</v>
      </c>
      <c r="CQ242" s="443"/>
      <c r="CR242" s="217">
        <f t="shared" si="660"/>
        <v>0.34760448521916415</v>
      </c>
      <c r="CS242" s="172">
        <f t="shared" si="661"/>
        <v>175.08966662891231</v>
      </c>
      <c r="CT242" s="172">
        <f t="shared" si="662"/>
        <v>10.2993921546419</v>
      </c>
      <c r="CU242" s="217">
        <f t="shared" si="663"/>
        <v>1.02993921546419</v>
      </c>
      <c r="CV242" s="217">
        <f t="shared" si="664"/>
        <v>14.590805552409359</v>
      </c>
      <c r="CW242" s="217">
        <f t="shared" si="665"/>
        <v>170</v>
      </c>
      <c r="CX242" s="217">
        <f t="shared" si="666"/>
        <v>10.097683284457476</v>
      </c>
      <c r="CY242" s="217">
        <f t="shared" si="667"/>
        <v>0.31555260263929613</v>
      </c>
      <c r="CZ242" s="217">
        <f t="shared" si="668"/>
        <v>0.59154559369991067</v>
      </c>
      <c r="DA242" s="197">
        <f t="shared" si="669"/>
        <v>350</v>
      </c>
      <c r="DB242" s="443">
        <f t="shared" si="670"/>
        <v>350</v>
      </c>
      <c r="DD242" s="217">
        <f t="shared" si="671"/>
        <v>31.805292730501623</v>
      </c>
      <c r="DE242" s="173">
        <f t="shared" si="672"/>
        <v>1.8632274593146818</v>
      </c>
      <c r="DF242" s="173">
        <f t="shared" si="673"/>
        <v>0.4897221442551708</v>
      </c>
      <c r="DG242" s="173"/>
      <c r="DH242" s="173">
        <f t="shared" si="674"/>
        <v>0.78109744190587771</v>
      </c>
      <c r="DI242" s="545">
        <f t="shared" si="675"/>
        <v>634.40152941176473</v>
      </c>
      <c r="DJ242" s="528">
        <f t="shared" si="676"/>
        <v>8.6065366284073561E-2</v>
      </c>
      <c r="DL242" s="173">
        <f t="shared" si="677"/>
        <v>17.914080655012295</v>
      </c>
      <c r="DM242" s="173">
        <f t="shared" si="678"/>
        <v>17.914080655012295</v>
      </c>
      <c r="DN242" s="173">
        <f t="shared" si="679"/>
        <v>4.5931461642066385</v>
      </c>
      <c r="DP242" s="545">
        <f t="shared" si="680"/>
        <v>156</v>
      </c>
      <c r="DQ242" s="460">
        <f t="shared" si="681"/>
        <v>350</v>
      </c>
      <c r="DS242">
        <f t="shared" si="682"/>
        <v>156</v>
      </c>
      <c r="DT242">
        <f t="shared" si="683"/>
        <v>350</v>
      </c>
      <c r="DV242" s="5">
        <f t="shared" si="684"/>
        <v>2.8571428571428572</v>
      </c>
      <c r="DW242" s="5">
        <f t="shared" si="685"/>
        <v>0.55981502046913412</v>
      </c>
      <c r="DX242" s="5">
        <f t="shared" si="686"/>
        <v>2.2973278366737233</v>
      </c>
      <c r="DY242" s="173">
        <f t="shared" si="687"/>
        <v>0.19593525716419694</v>
      </c>
      <c r="EA242" s="5">
        <f t="shared" si="713"/>
        <v>5.1371260701873485E-2</v>
      </c>
      <c r="EB242" s="5">
        <f t="shared" si="714"/>
        <v>0.60646627217489535</v>
      </c>
      <c r="EC242" s="5">
        <f t="shared" si="715"/>
        <v>6.0925134228587137</v>
      </c>
      <c r="ED242" s="5"/>
      <c r="EE242" s="173">
        <f t="shared" si="716"/>
        <v>4.578151850513958</v>
      </c>
      <c r="EF242" s="173">
        <f t="shared" si="717"/>
        <v>0.43795130836361701</v>
      </c>
      <c r="EG242" s="173">
        <f t="shared" si="718"/>
        <v>0.3462634939215814</v>
      </c>
      <c r="EH242" s="173"/>
      <c r="EI242" s="528">
        <f t="shared" si="719"/>
        <v>0.83837897465457523</v>
      </c>
      <c r="EJ242" s="528">
        <f t="shared" si="720"/>
        <v>4.230398950380744</v>
      </c>
      <c r="EK242" s="528">
        <f t="shared" si="721"/>
        <v>6.9999999999999993E-2</v>
      </c>
      <c r="EL242" s="528">
        <f t="shared" si="722"/>
        <v>4.2137635749999999E-2</v>
      </c>
      <c r="EM242">
        <f t="shared" si="723"/>
        <v>7.1999999999999998E-3</v>
      </c>
      <c r="EN242" s="460">
        <f t="shared" si="724"/>
        <v>77.199999999999989</v>
      </c>
      <c r="EP242" s="460">
        <f t="shared" si="725"/>
        <v>5188.1155607853198</v>
      </c>
      <c r="EQ242" s="173">
        <f t="shared" si="726"/>
        <v>0.10919999999999999</v>
      </c>
      <c r="ER242" s="173">
        <f t="shared" si="688"/>
        <v>0.11284</v>
      </c>
      <c r="ES242" s="528"/>
      <c r="EU242" s="460">
        <f t="shared" si="727"/>
        <v>222.04</v>
      </c>
      <c r="EV242" s="528">
        <f t="shared" si="728"/>
        <v>0.62878423099093139</v>
      </c>
      <c r="EW242" s="528">
        <f t="shared" si="729"/>
        <v>5.7540404549221184E-3</v>
      </c>
      <c r="EX242" s="528">
        <f t="shared" si="730"/>
        <v>5.9949203611390524E-4</v>
      </c>
      <c r="EY242" s="528">
        <f t="shared" si="731"/>
        <v>155.64186575257025</v>
      </c>
      <c r="EZ242" s="528"/>
      <c r="FA242" s="625">
        <f t="shared" si="732"/>
        <v>2.8080000000000007</v>
      </c>
      <c r="FB242" s="460">
        <f t="shared" si="733"/>
        <v>159085.00351605221</v>
      </c>
      <c r="FC242" s="173">
        <f t="shared" si="734"/>
        <v>164.49515907683752</v>
      </c>
      <c r="FD242" s="5">
        <f t="shared" si="735"/>
        <v>28.08</v>
      </c>
      <c r="FE242" s="173">
        <f t="shared" si="736"/>
        <v>0.14581319903672557</v>
      </c>
      <c r="FF242" s="5">
        <f t="shared" si="737"/>
        <v>14.581319903672558</v>
      </c>
      <c r="FG242">
        <f t="shared" si="738"/>
        <v>26</v>
      </c>
      <c r="FI242" s="562">
        <f t="shared" si="689"/>
        <v>-50</v>
      </c>
    </row>
    <row r="243" spans="5:165">
      <c r="E243" s="170">
        <v>27</v>
      </c>
      <c r="F243" s="217">
        <f t="shared" si="690"/>
        <v>0.16200000000000001</v>
      </c>
      <c r="G243" s="217">
        <f t="shared" si="617"/>
        <v>0.13500000000000001</v>
      </c>
      <c r="H243" s="217">
        <f t="shared" si="618"/>
        <v>27.54</v>
      </c>
      <c r="I243" s="217">
        <f t="shared" si="619"/>
        <v>1.62</v>
      </c>
      <c r="J243" s="541">
        <f t="shared" si="620"/>
        <v>15.228466416040094</v>
      </c>
      <c r="K243" s="443">
        <f t="shared" si="621"/>
        <v>8.5398583981016678</v>
      </c>
      <c r="L243" s="172">
        <f t="shared" si="622"/>
        <v>23.768324814141764</v>
      </c>
      <c r="M243" s="443"/>
      <c r="N243" s="217">
        <f t="shared" si="623"/>
        <v>0.35929576294836696</v>
      </c>
      <c r="O243" s="172">
        <f t="shared" si="624"/>
        <v>172.25166446525938</v>
      </c>
      <c r="P243" s="172">
        <f t="shared" si="625"/>
        <v>10.132450850897611</v>
      </c>
      <c r="Q243" s="217">
        <f t="shared" si="626"/>
        <v>1.013245085089761</v>
      </c>
      <c r="R243" s="217">
        <f t="shared" si="627"/>
        <v>14.354305372104948</v>
      </c>
      <c r="S243" s="217">
        <f t="shared" si="628"/>
        <v>170</v>
      </c>
      <c r="T243" s="217">
        <f t="shared" si="629"/>
        <v>10.658822982638256</v>
      </c>
      <c r="U243" s="217">
        <f t="shared" si="630"/>
        <v>0.3499637682298512</v>
      </c>
      <c r="V243" s="217">
        <f t="shared" si="631"/>
        <v>0.62406321543970888</v>
      </c>
      <c r="W243" s="197">
        <f t="shared" si="632"/>
        <v>350</v>
      </c>
      <c r="X243" s="443">
        <f t="shared" si="691"/>
        <v>350</v>
      </c>
      <c r="Z243" s="217">
        <f t="shared" si="633"/>
        <v>31.265848339912633</v>
      </c>
      <c r="AA243" s="173">
        <f t="shared" si="634"/>
        <v>1.8305835344332375</v>
      </c>
      <c r="AB243" s="173">
        <f t="shared" si="635"/>
        <v>0.47298159112323407</v>
      </c>
      <c r="AC243" s="173"/>
      <c r="AD243" s="173">
        <f t="shared" si="636"/>
        <v>0.78065306892542929</v>
      </c>
      <c r="AE243" s="545">
        <f t="shared" si="637"/>
        <v>659.1765994111181</v>
      </c>
      <c r="AF243" s="528">
        <f t="shared" si="638"/>
        <v>8.6016402964931571E-2</v>
      </c>
      <c r="AH243" s="173">
        <f t="shared" si="639"/>
        <v>18.255331902135957</v>
      </c>
      <c r="AI243" s="173">
        <f t="shared" si="640"/>
        <v>18.255331902135957</v>
      </c>
      <c r="AJ243" s="173">
        <f t="shared" si="641"/>
        <v>4.8459248657797209</v>
      </c>
      <c r="AL243" s="545">
        <f t="shared" si="642"/>
        <v>162</v>
      </c>
      <c r="AM243" s="460">
        <f t="shared" si="643"/>
        <v>350</v>
      </c>
      <c r="AO243">
        <f t="shared" si="644"/>
        <v>162</v>
      </c>
      <c r="AP243">
        <f t="shared" si="645"/>
        <v>350</v>
      </c>
      <c r="AR243" s="5">
        <f t="shared" si="616"/>
        <v>2.8571428571428572</v>
      </c>
      <c r="AS243" s="5">
        <f t="shared" ref="AS243:AS306" si="739">L*AI243/J243*1000000</f>
        <v>0.59938182228604697</v>
      </c>
      <c r="AT243" s="5">
        <f t="shared" ref="AT243:AT306" si="740">AR243-AS243</f>
        <v>2.2577610348568102</v>
      </c>
      <c r="AU243" s="173">
        <f t="shared" ref="AU243:AU306" si="741">AS243/AR243</f>
        <v>0.20978363780011644</v>
      </c>
      <c r="BA243" s="173">
        <f t="shared" si="692"/>
        <v>4.8274180728917084</v>
      </c>
      <c r="BB243" s="173">
        <f t="shared" si="693"/>
        <v>0.44243404222786187</v>
      </c>
      <c r="BC243" s="173">
        <f t="shared" si="694"/>
        <v>0.34980773973272822</v>
      </c>
      <c r="BD243" s="173"/>
      <c r="BE243" s="528">
        <f t="shared" si="695"/>
        <v>0.93215861001925993</v>
      </c>
      <c r="BF243" s="528">
        <f t="shared" si="646"/>
        <v>3.4169519336394636</v>
      </c>
      <c r="BG243" s="528">
        <f t="shared" si="647"/>
        <v>0.21319852982456133</v>
      </c>
      <c r="BH243" s="528">
        <f t="shared" si="696"/>
        <v>3.9545328512938294E-2</v>
      </c>
      <c r="BI243">
        <f t="shared" si="697"/>
        <v>6.8528098872180417E-3</v>
      </c>
      <c r="BJ243" s="460">
        <f t="shared" si="698"/>
        <v>220.05133971177938</v>
      </c>
      <c r="BK243">
        <f t="shared" si="648"/>
        <v>5.9604685509758388</v>
      </c>
      <c r="BL243" s="460">
        <f t="shared" si="699"/>
        <v>4608.7072118834412</v>
      </c>
      <c r="BM243" s="173">
        <f t="shared" si="649"/>
        <v>0.14061599999999999</v>
      </c>
      <c r="BN243" s="173">
        <f t="shared" si="650"/>
        <v>0.11718000000000001</v>
      </c>
      <c r="BQ243" s="460">
        <f t="shared" si="700"/>
        <v>257.79600000000005</v>
      </c>
      <c r="BR243" s="528">
        <f t="shared" si="701"/>
        <v>0.69911895751444486</v>
      </c>
      <c r="BS243" s="528">
        <f t="shared" si="702"/>
        <v>5.8724364516625632E-3</v>
      </c>
      <c r="BT243" s="528">
        <f t="shared" si="703"/>
        <v>6.1182727388460066E-4</v>
      </c>
      <c r="BU243" s="528">
        <f t="shared" si="704"/>
        <v>163.1602824611733</v>
      </c>
      <c r="BV243" s="528"/>
      <c r="BW243" s="625">
        <f t="shared" si="705"/>
        <v>2.9160000000000004</v>
      </c>
      <c r="BX243" s="460">
        <f t="shared" si="706"/>
        <v>166781.88568241327</v>
      </c>
      <c r="BY243" s="173">
        <f t="shared" si="707"/>
        <v>171.64838889429672</v>
      </c>
      <c r="BZ243" s="5">
        <f t="shared" si="708"/>
        <v>29.16</v>
      </c>
      <c r="CA243" s="173">
        <f t="shared" si="709"/>
        <v>0.14521305688752623</v>
      </c>
      <c r="CB243" s="5">
        <f t="shared" si="710"/>
        <v>14.521305688752623</v>
      </c>
      <c r="CC243">
        <f t="shared" si="711"/>
        <v>27</v>
      </c>
      <c r="CE243" s="562">
        <f t="shared" si="651"/>
        <v>-50</v>
      </c>
      <c r="CG243" s="173">
        <f t="shared" si="652"/>
        <v>0.36525575246104247</v>
      </c>
      <c r="CH243" s="173">
        <f t="shared" si="653"/>
        <v>9.3370670799496999E-2</v>
      </c>
      <c r="CI243" s="170">
        <v>27</v>
      </c>
      <c r="CJ243" s="217">
        <f t="shared" si="712"/>
        <v>0.16200000000000001</v>
      </c>
      <c r="CK243" s="217">
        <f t="shared" si="654"/>
        <v>0.13500000000000001</v>
      </c>
      <c r="CL243" s="217">
        <f t="shared" si="655"/>
        <v>27.54</v>
      </c>
      <c r="CM243" s="217">
        <f t="shared" si="656"/>
        <v>1.62</v>
      </c>
      <c r="CN243" s="541">
        <f t="shared" si="657"/>
        <v>16</v>
      </c>
      <c r="CO243" s="443">
        <f t="shared" si="658"/>
        <v>8.5350000000000001</v>
      </c>
      <c r="CP243" s="443">
        <f t="shared" si="659"/>
        <v>24.535</v>
      </c>
      <c r="CQ243" s="443"/>
      <c r="CR243" s="217">
        <f t="shared" si="660"/>
        <v>0.34760448521916415</v>
      </c>
      <c r="CS243" s="172">
        <f t="shared" si="661"/>
        <v>175.08966662891231</v>
      </c>
      <c r="CT243" s="172">
        <f t="shared" si="662"/>
        <v>10.2993921546419</v>
      </c>
      <c r="CU243" s="217">
        <f t="shared" si="663"/>
        <v>1.02993921546419</v>
      </c>
      <c r="CV243" s="217">
        <f t="shared" si="664"/>
        <v>14.590805552409359</v>
      </c>
      <c r="CW243" s="217">
        <f t="shared" si="665"/>
        <v>170</v>
      </c>
      <c r="CX243" s="217">
        <f t="shared" si="666"/>
        <v>10.486055718475072</v>
      </c>
      <c r="CY243" s="217">
        <f t="shared" si="667"/>
        <v>0.32768924120234599</v>
      </c>
      <c r="CZ243" s="217">
        <f t="shared" si="668"/>
        <v>0.6142973473037534</v>
      </c>
      <c r="DA243" s="197">
        <f t="shared" si="669"/>
        <v>350</v>
      </c>
      <c r="DB243" s="443">
        <f t="shared" si="670"/>
        <v>350</v>
      </c>
      <c r="DD243" s="217">
        <f t="shared" si="671"/>
        <v>31.805292730501623</v>
      </c>
      <c r="DE243" s="173">
        <f t="shared" si="672"/>
        <v>1.8632274593146818</v>
      </c>
      <c r="DF243" s="173">
        <f t="shared" si="673"/>
        <v>0.4897221442551708</v>
      </c>
      <c r="DG243" s="173"/>
      <c r="DH243" s="173">
        <f t="shared" si="674"/>
        <v>0.78109744190587771</v>
      </c>
      <c r="DI243" s="545">
        <f t="shared" si="675"/>
        <v>658.80158823529416</v>
      </c>
      <c r="DJ243" s="528">
        <f t="shared" si="676"/>
        <v>8.6065366284073561E-2</v>
      </c>
      <c r="DL243" s="173">
        <f t="shared" si="677"/>
        <v>18.255331902135957</v>
      </c>
      <c r="DM243" s="173">
        <f t="shared" si="678"/>
        <v>18.255331902135957</v>
      </c>
      <c r="DN243" s="173">
        <f t="shared" si="679"/>
        <v>4.8459248657797209</v>
      </c>
      <c r="DP243" s="545">
        <f t="shared" si="680"/>
        <v>162</v>
      </c>
      <c r="DQ243" s="460">
        <f t="shared" si="681"/>
        <v>350</v>
      </c>
      <c r="DS243">
        <f t="shared" si="682"/>
        <v>162</v>
      </c>
      <c r="DT243">
        <f t="shared" si="683"/>
        <v>350</v>
      </c>
      <c r="DV243" s="5">
        <f t="shared" si="684"/>
        <v>2.8571428571428572</v>
      </c>
      <c r="DW243" s="5">
        <f t="shared" si="685"/>
        <v>0.57047912194174866</v>
      </c>
      <c r="DX243" s="5">
        <f t="shared" si="686"/>
        <v>2.2866637352011088</v>
      </c>
      <c r="DY243" s="173">
        <f t="shared" si="687"/>
        <v>0.19966769267961201</v>
      </c>
      <c r="EA243" s="5">
        <f t="shared" si="713"/>
        <v>5.4363304561507807E-2</v>
      </c>
      <c r="EB243" s="5">
        <f t="shared" si="714"/>
        <v>0.64178901218446727</v>
      </c>
      <c r="EC243" s="5">
        <f t="shared" si="715"/>
        <v>6.297471926743853</v>
      </c>
      <c r="ED243" s="5"/>
      <c r="EE243" s="173">
        <f t="shared" si="716"/>
        <v>4.7095889694425761</v>
      </c>
      <c r="EF243" s="173">
        <f t="shared" si="717"/>
        <v>0.44525694362012597</v>
      </c>
      <c r="EG243" s="173">
        <f t="shared" si="718"/>
        <v>0.35203964926334186</v>
      </c>
      <c r="EH243" s="173"/>
      <c r="EI243" s="528">
        <f t="shared" si="719"/>
        <v>0.88720913044380756</v>
      </c>
      <c r="EJ243" s="528">
        <f t="shared" si="720"/>
        <v>4.3109852191069677</v>
      </c>
      <c r="EK243" s="528">
        <f t="shared" si="721"/>
        <v>6.9999999999999993E-2</v>
      </c>
      <c r="EL243" s="528">
        <f t="shared" si="722"/>
        <v>4.2137635749999999E-2</v>
      </c>
      <c r="EM243">
        <f t="shared" si="723"/>
        <v>7.1999999999999998E-3</v>
      </c>
      <c r="EN243" s="460">
        <f t="shared" si="724"/>
        <v>77.199999999999989</v>
      </c>
      <c r="EP243" s="460">
        <f t="shared" si="725"/>
        <v>5317.531985300775</v>
      </c>
      <c r="EQ243" s="173">
        <f t="shared" si="726"/>
        <v>0.1134</v>
      </c>
      <c r="ER243" s="173">
        <f t="shared" si="688"/>
        <v>0.11718000000000001</v>
      </c>
      <c r="ES243" s="528"/>
      <c r="EU243" s="460">
        <f t="shared" si="727"/>
        <v>230.58</v>
      </c>
      <c r="EV243" s="528">
        <f t="shared" si="728"/>
        <v>0.66540684783285564</v>
      </c>
      <c r="EW243" s="528">
        <f t="shared" si="729"/>
        <v>5.9476123752580804E-3</v>
      </c>
      <c r="EX243" s="528">
        <f t="shared" si="730"/>
        <v>6.1965957326728374E-4</v>
      </c>
      <c r="EY243" s="528">
        <f t="shared" si="731"/>
        <v>163.1602824611733</v>
      </c>
      <c r="EZ243" s="528"/>
      <c r="FA243" s="625">
        <f t="shared" si="732"/>
        <v>2.9160000000000004</v>
      </c>
      <c r="FB243" s="460">
        <f t="shared" si="733"/>
        <v>166748.25658095465</v>
      </c>
      <c r="FC243" s="173">
        <f t="shared" si="734"/>
        <v>172.29636856625544</v>
      </c>
      <c r="FD243" s="5">
        <f t="shared" si="735"/>
        <v>29.16</v>
      </c>
      <c r="FE243" s="173">
        <f t="shared" si="736"/>
        <v>0.14474598250494022</v>
      </c>
      <c r="FF243" s="5">
        <f t="shared" si="737"/>
        <v>14.474598250494022</v>
      </c>
      <c r="FG243">
        <f t="shared" si="738"/>
        <v>27</v>
      </c>
      <c r="FI243" s="562">
        <f t="shared" si="689"/>
        <v>-50</v>
      </c>
    </row>
    <row r="244" spans="5:165">
      <c r="E244" s="170">
        <v>28</v>
      </c>
      <c r="F244" s="217">
        <f t="shared" si="690"/>
        <v>0.16800000000000001</v>
      </c>
      <c r="G244" s="217">
        <f t="shared" si="617"/>
        <v>0.14000000000000001</v>
      </c>
      <c r="H244" s="217">
        <f t="shared" si="618"/>
        <v>28.560000000000002</v>
      </c>
      <c r="I244" s="217">
        <f t="shared" si="619"/>
        <v>1.6800000000000002</v>
      </c>
      <c r="J244" s="541">
        <f t="shared" si="620"/>
        <v>15.214308655622926</v>
      </c>
      <c r="K244" s="443">
        <f t="shared" si="621"/>
        <v>8.5399475504571392</v>
      </c>
      <c r="L244" s="172">
        <f t="shared" si="622"/>
        <v>23.754256206080065</v>
      </c>
      <c r="M244" s="443"/>
      <c r="N244" s="217">
        <f t="shared" si="623"/>
        <v>0.3595123112409338</v>
      </c>
      <c r="O244" s="172">
        <f t="shared" si="624"/>
        <v>172.19524364476115</v>
      </c>
      <c r="P244" s="172">
        <f t="shared" si="625"/>
        <v>10.129131979103597</v>
      </c>
      <c r="Q244" s="217">
        <f t="shared" si="626"/>
        <v>1.0129131979103596</v>
      </c>
      <c r="R244" s="217">
        <f t="shared" si="627"/>
        <v>14.34960363706343</v>
      </c>
      <c r="S244" s="217">
        <f t="shared" si="628"/>
        <v>170</v>
      </c>
      <c r="T244" s="217">
        <f t="shared" si="629"/>
        <v>11.057215981690835</v>
      </c>
      <c r="U244" s="217">
        <f t="shared" si="630"/>
        <v>0.36338213690716381</v>
      </c>
      <c r="V244" s="217">
        <f t="shared" si="631"/>
        <v>0.6473819608587027</v>
      </c>
      <c r="W244" s="197">
        <f t="shared" si="632"/>
        <v>350</v>
      </c>
      <c r="X244" s="443">
        <f t="shared" si="691"/>
        <v>350</v>
      </c>
      <c r="Z244" s="217">
        <f t="shared" si="633"/>
        <v>31.255607249805383</v>
      </c>
      <c r="AA244" s="173">
        <f t="shared" si="634"/>
        <v>1.8299648250259033</v>
      </c>
      <c r="AB244" s="173">
        <f t="shared" si="635"/>
        <v>0.47266685836001715</v>
      </c>
      <c r="AC244" s="173"/>
      <c r="AD244" s="173">
        <f t="shared" si="636"/>
        <v>0.7806449193367474</v>
      </c>
      <c r="AE244" s="545">
        <f t="shared" si="637"/>
        <v>683.59768392129854</v>
      </c>
      <c r="AF244" s="528">
        <f t="shared" si="638"/>
        <v>8.6015505000993475E-2</v>
      </c>
      <c r="AH244" s="173">
        <f t="shared" si="639"/>
        <v>18.590320061795602</v>
      </c>
      <c r="AI244" s="173">
        <f t="shared" si="640"/>
        <v>18.590320061795602</v>
      </c>
      <c r="AJ244" s="173">
        <f t="shared" si="641"/>
        <v>5.0940642433053833</v>
      </c>
      <c r="AL244" s="545">
        <f t="shared" si="642"/>
        <v>168</v>
      </c>
      <c r="AM244" s="460">
        <f t="shared" si="643"/>
        <v>350</v>
      </c>
      <c r="AO244">
        <f t="shared" si="644"/>
        <v>168</v>
      </c>
      <c r="AP244">
        <f t="shared" si="645"/>
        <v>350</v>
      </c>
      <c r="AR244" s="5">
        <f t="shared" si="616"/>
        <v>2.8571428571428572</v>
      </c>
      <c r="AS244" s="5">
        <f t="shared" si="739"/>
        <v>0.61094856436098943</v>
      </c>
      <c r="AT244" s="5">
        <f t="shared" si="740"/>
        <v>2.2461942927818677</v>
      </c>
      <c r="AU244" s="173">
        <f t="shared" si="741"/>
        <v>0.2138319975263463</v>
      </c>
      <c r="BA244" s="173">
        <f t="shared" si="692"/>
        <v>4.9632092556162792</v>
      </c>
      <c r="BB244" s="173">
        <f t="shared" si="693"/>
        <v>0.44939717915831884</v>
      </c>
      <c r="BC244" s="173">
        <f t="shared" si="694"/>
        <v>0.35531310089080609</v>
      </c>
      <c r="BD244" s="173"/>
      <c r="BE244" s="528">
        <f t="shared" si="695"/>
        <v>0.98533784460140394</v>
      </c>
      <c r="BF244" s="528">
        <f t="shared" si="646"/>
        <v>3.4775939023947675</v>
      </c>
      <c r="BG244" s="528">
        <f t="shared" si="647"/>
        <v>0.21300032117872097</v>
      </c>
      <c r="BH244" s="528">
        <f t="shared" si="696"/>
        <v>3.9498528153286534E-2</v>
      </c>
      <c r="BI244">
        <f t="shared" si="697"/>
        <v>6.8464388950303162E-3</v>
      </c>
      <c r="BJ244" s="460">
        <f t="shared" si="698"/>
        <v>219.84676007375128</v>
      </c>
      <c r="BK244">
        <f t="shared" si="648"/>
        <v>6.2261036735694359</v>
      </c>
      <c r="BL244" s="460">
        <f t="shared" si="699"/>
        <v>4722.2770352232092</v>
      </c>
      <c r="BM244" s="173">
        <f t="shared" si="649"/>
        <v>0.14582399999999998</v>
      </c>
      <c r="BN244" s="173">
        <f t="shared" si="650"/>
        <v>0.12152</v>
      </c>
      <c r="BQ244" s="460">
        <f t="shared" si="700"/>
        <v>267.34399999999999</v>
      </c>
      <c r="BR244" s="528">
        <f t="shared" si="701"/>
        <v>0.73900338345105299</v>
      </c>
      <c r="BS244" s="528">
        <f t="shared" si="702"/>
        <v>6.0587347390636233E-3</v>
      </c>
      <c r="BT244" s="528">
        <f t="shared" si="703"/>
        <v>6.3123699832320077E-4</v>
      </c>
      <c r="BU244" s="528">
        <f t="shared" si="704"/>
        <v>170.7486514904424</v>
      </c>
      <c r="BV244" s="528"/>
      <c r="BW244" s="625">
        <f t="shared" si="705"/>
        <v>3.0240000000000005</v>
      </c>
      <c r="BX244" s="460">
        <f t="shared" si="706"/>
        <v>174518.34484563084</v>
      </c>
      <c r="BY244" s="173">
        <f t="shared" si="707"/>
        <v>179.50796588085404</v>
      </c>
      <c r="BZ244" s="5">
        <f t="shared" si="708"/>
        <v>30.240000000000002</v>
      </c>
      <c r="CA244" s="173">
        <f t="shared" si="709"/>
        <v>0.14417303106137216</v>
      </c>
      <c r="CB244" s="5">
        <f t="shared" si="710"/>
        <v>14.417303106137217</v>
      </c>
      <c r="CC244">
        <f t="shared" si="711"/>
        <v>28.000000000000004</v>
      </c>
      <c r="CE244" s="562">
        <f t="shared" si="651"/>
        <v>-50</v>
      </c>
      <c r="CG244" s="173">
        <f t="shared" si="652"/>
        <v>0.37195825192684001</v>
      </c>
      <c r="CH244" s="173">
        <f t="shared" si="653"/>
        <v>9.508403702833286E-2</v>
      </c>
      <c r="CI244" s="170">
        <v>28</v>
      </c>
      <c r="CJ244" s="217">
        <f t="shared" si="712"/>
        <v>0.16800000000000001</v>
      </c>
      <c r="CK244" s="217">
        <f t="shared" si="654"/>
        <v>0.14000000000000001</v>
      </c>
      <c r="CL244" s="217">
        <f t="shared" si="655"/>
        <v>28.560000000000002</v>
      </c>
      <c r="CM244" s="217">
        <f t="shared" si="656"/>
        <v>1.6800000000000002</v>
      </c>
      <c r="CN244" s="541">
        <f t="shared" si="657"/>
        <v>16</v>
      </c>
      <c r="CO244" s="443">
        <f t="shared" si="658"/>
        <v>8.5350000000000001</v>
      </c>
      <c r="CP244" s="443">
        <f t="shared" si="659"/>
        <v>24.535</v>
      </c>
      <c r="CQ244" s="443"/>
      <c r="CR244" s="217">
        <f t="shared" si="660"/>
        <v>0.34760448521916415</v>
      </c>
      <c r="CS244" s="172">
        <f t="shared" si="661"/>
        <v>175.08966662891231</v>
      </c>
      <c r="CT244" s="172">
        <f t="shared" si="662"/>
        <v>10.2993921546419</v>
      </c>
      <c r="CU244" s="217">
        <f t="shared" si="663"/>
        <v>1.02993921546419</v>
      </c>
      <c r="CV244" s="217">
        <f t="shared" si="664"/>
        <v>14.590805552409359</v>
      </c>
      <c r="CW244" s="217">
        <f t="shared" si="665"/>
        <v>170</v>
      </c>
      <c r="CX244" s="217">
        <f t="shared" si="666"/>
        <v>10.874428152492669</v>
      </c>
      <c r="CY244" s="217">
        <f t="shared" si="667"/>
        <v>0.33982587976539591</v>
      </c>
      <c r="CZ244" s="217">
        <f t="shared" si="668"/>
        <v>0.63704910090759626</v>
      </c>
      <c r="DA244" s="197">
        <f t="shared" si="669"/>
        <v>350</v>
      </c>
      <c r="DB244" s="443">
        <f t="shared" si="670"/>
        <v>350</v>
      </c>
      <c r="DD244" s="217">
        <f t="shared" si="671"/>
        <v>31.805292730501623</v>
      </c>
      <c r="DE244" s="173">
        <f t="shared" si="672"/>
        <v>1.8632274593146818</v>
      </c>
      <c r="DF244" s="173">
        <f t="shared" si="673"/>
        <v>0.4897221442551708</v>
      </c>
      <c r="DG244" s="173"/>
      <c r="DH244" s="173">
        <f t="shared" si="674"/>
        <v>0.78109744190587771</v>
      </c>
      <c r="DI244" s="545">
        <f t="shared" si="675"/>
        <v>683.20164705882371</v>
      </c>
      <c r="DJ244" s="528">
        <f t="shared" si="676"/>
        <v>8.6065366284073561E-2</v>
      </c>
      <c r="DL244" s="173">
        <f t="shared" si="677"/>
        <v>18.590320061795602</v>
      </c>
      <c r="DM244" s="173">
        <f t="shared" si="678"/>
        <v>18.590320061795602</v>
      </c>
      <c r="DN244" s="173">
        <f t="shared" si="679"/>
        <v>5.0940642433053833</v>
      </c>
      <c r="DP244" s="545">
        <f t="shared" si="680"/>
        <v>168</v>
      </c>
      <c r="DQ244" s="460">
        <f t="shared" si="681"/>
        <v>350</v>
      </c>
      <c r="DS244">
        <f t="shared" si="682"/>
        <v>168</v>
      </c>
      <c r="DT244">
        <f t="shared" si="683"/>
        <v>350</v>
      </c>
      <c r="DV244" s="5">
        <f t="shared" si="684"/>
        <v>2.8571428571428572</v>
      </c>
      <c r="DW244" s="5">
        <f t="shared" si="685"/>
        <v>0.58094750193111255</v>
      </c>
      <c r="DX244" s="5">
        <f t="shared" si="686"/>
        <v>2.2761953552117449</v>
      </c>
      <c r="DY244" s="173">
        <f t="shared" si="687"/>
        <v>0.20333162567588939</v>
      </c>
      <c r="EA244" s="5">
        <f t="shared" si="713"/>
        <v>5.7411282543780535E-2</v>
      </c>
      <c r="EB244" s="5">
        <f t="shared" si="714"/>
        <v>0.67777208558629809</v>
      </c>
      <c r="EC244" s="5">
        <f t="shared" si="715"/>
        <v>6.5008139344847438</v>
      </c>
      <c r="ED244" s="5"/>
      <c r="EE244" s="173">
        <f t="shared" si="716"/>
        <v>4.8398143846497321</v>
      </c>
      <c r="EF244" s="173">
        <f t="shared" si="717"/>
        <v>0.4523883878848331</v>
      </c>
      <c r="EG244" s="173">
        <f t="shared" si="718"/>
        <v>0.3576780815745299</v>
      </c>
      <c r="EH244" s="173"/>
      <c r="EI244" s="528">
        <f t="shared" si="719"/>
        <v>0.9369521311144986</v>
      </c>
      <c r="EJ244" s="528">
        <f t="shared" si="720"/>
        <v>4.3900924636429925</v>
      </c>
      <c r="EK244" s="528">
        <f t="shared" si="721"/>
        <v>6.9999999999999993E-2</v>
      </c>
      <c r="EL244" s="528">
        <f t="shared" si="722"/>
        <v>4.2137635749999999E-2</v>
      </c>
      <c r="EM244">
        <f t="shared" si="723"/>
        <v>7.1999999999999998E-3</v>
      </c>
      <c r="EN244" s="460">
        <f t="shared" si="724"/>
        <v>77.199999999999989</v>
      </c>
      <c r="EP244" s="460">
        <f t="shared" si="725"/>
        <v>5446.3822305074909</v>
      </c>
      <c r="EQ244" s="173">
        <f t="shared" si="726"/>
        <v>0.1176</v>
      </c>
      <c r="ER244" s="173">
        <f t="shared" si="688"/>
        <v>0.12152</v>
      </c>
      <c r="ES244" s="528"/>
      <c r="EU244" s="460">
        <f t="shared" si="727"/>
        <v>239.12</v>
      </c>
      <c r="EV244" s="528">
        <f t="shared" si="728"/>
        <v>0.70271409833587395</v>
      </c>
      <c r="EW244" s="528">
        <f t="shared" si="729"/>
        <v>6.1396576047911457E-3</v>
      </c>
      <c r="EX244" s="528">
        <f t="shared" si="730"/>
        <v>6.3966805019418044E-4</v>
      </c>
      <c r="EY244" s="528">
        <f t="shared" si="731"/>
        <v>170.7486514904424</v>
      </c>
      <c r="EZ244" s="528"/>
      <c r="FA244" s="625">
        <f t="shared" si="732"/>
        <v>3.0240000000000005</v>
      </c>
      <c r="FB244" s="460">
        <f t="shared" si="733"/>
        <v>174482.14491443327</v>
      </c>
      <c r="FC244" s="173">
        <f t="shared" si="734"/>
        <v>180.16764714494076</v>
      </c>
      <c r="FD244" s="5">
        <f t="shared" si="735"/>
        <v>30.240000000000002</v>
      </c>
      <c r="FE244" s="173">
        <f t="shared" si="736"/>
        <v>0.14372101209405649</v>
      </c>
      <c r="FF244" s="5">
        <f t="shared" si="737"/>
        <v>14.372101209405649</v>
      </c>
      <c r="FG244">
        <f t="shared" si="738"/>
        <v>28.000000000000004</v>
      </c>
      <c r="FI244" s="562">
        <f t="shared" si="689"/>
        <v>-50</v>
      </c>
    </row>
    <row r="245" spans="5:165">
      <c r="E245" s="170">
        <v>29</v>
      </c>
      <c r="F245" s="217">
        <f t="shared" si="690"/>
        <v>0.17399999999999999</v>
      </c>
      <c r="G245" s="217">
        <f t="shared" si="617"/>
        <v>0.14499999999999999</v>
      </c>
      <c r="H245" s="217">
        <f t="shared" si="618"/>
        <v>29.58</v>
      </c>
      <c r="I245" s="217">
        <f t="shared" si="619"/>
        <v>1.7399999999999998</v>
      </c>
      <c r="J245" s="541">
        <f t="shared" si="620"/>
        <v>15.200401534468648</v>
      </c>
      <c r="K245" s="443">
        <f t="shared" si="621"/>
        <v>8.5400351245205623</v>
      </c>
      <c r="L245" s="172">
        <f t="shared" si="622"/>
        <v>23.740436658989211</v>
      </c>
      <c r="M245" s="443"/>
      <c r="N245" s="217">
        <f t="shared" si="623"/>
        <v>0.35972527578960584</v>
      </c>
      <c r="O245" s="172">
        <f t="shared" si="624"/>
        <v>172.13975329572446</v>
      </c>
      <c r="P245" s="172">
        <f t="shared" si="625"/>
        <v>10.125867840924968</v>
      </c>
      <c r="Q245" s="217">
        <f t="shared" si="626"/>
        <v>1.0125867840924969</v>
      </c>
      <c r="R245" s="217">
        <f t="shared" si="627"/>
        <v>14.344979441310372</v>
      </c>
      <c r="S245" s="217">
        <f t="shared" si="628"/>
        <v>170</v>
      </c>
      <c r="T245" s="217">
        <f t="shared" si="629"/>
        <v>11.455808215387862</v>
      </c>
      <c r="U245" s="217">
        <f t="shared" si="630"/>
        <v>0.37682584204800468</v>
      </c>
      <c r="V245" s="217">
        <f t="shared" si="631"/>
        <v>0.6707120081096265</v>
      </c>
      <c r="W245" s="197">
        <f t="shared" si="632"/>
        <v>350</v>
      </c>
      <c r="X245" s="443">
        <f t="shared" si="691"/>
        <v>350</v>
      </c>
      <c r="Z245" s="217">
        <f t="shared" si="633"/>
        <v>31.245535051997042</v>
      </c>
      <c r="AA245" s="173">
        <f t="shared" si="634"/>
        <v>1.8293563548868403</v>
      </c>
      <c r="AB245" s="173">
        <f t="shared" si="635"/>
        <v>0.47235742743027964</v>
      </c>
      <c r="AC245" s="173"/>
      <c r="AD245" s="173">
        <f t="shared" si="636"/>
        <v>0.78063691418844527</v>
      </c>
      <c r="AE245" s="545">
        <f t="shared" si="637"/>
        <v>708.01914732348689</v>
      </c>
      <c r="AF245" s="528">
        <f t="shared" si="638"/>
        <v>8.6014622952245365E-2</v>
      </c>
      <c r="AH245" s="173">
        <f t="shared" si="639"/>
        <v>18.919377821240769</v>
      </c>
      <c r="AI245" s="173">
        <f t="shared" si="640"/>
        <v>18.919377821240769</v>
      </c>
      <c r="AJ245" s="173">
        <f t="shared" si="641"/>
        <v>5.3378107317832857</v>
      </c>
      <c r="AL245" s="545">
        <f t="shared" si="642"/>
        <v>174</v>
      </c>
      <c r="AM245" s="460">
        <f t="shared" si="643"/>
        <v>350</v>
      </c>
      <c r="AO245">
        <f t="shared" si="644"/>
        <v>174</v>
      </c>
      <c r="AP245">
        <f t="shared" si="645"/>
        <v>350</v>
      </c>
      <c r="AR245" s="5">
        <f t="shared" si="616"/>
        <v>2.8571428571428572</v>
      </c>
      <c r="AS245" s="5">
        <f t="shared" si="739"/>
        <v>0.62233151467541548</v>
      </c>
      <c r="AT245" s="5">
        <f t="shared" si="740"/>
        <v>2.2348113424674416</v>
      </c>
      <c r="AU245" s="173">
        <f t="shared" si="741"/>
        <v>0.21781603013639542</v>
      </c>
      <c r="BA245" s="173">
        <f t="shared" si="692"/>
        <v>5.0978980033779955</v>
      </c>
      <c r="BB245" s="173">
        <f t="shared" si="693"/>
        <v>0.45619140550649995</v>
      </c>
      <c r="BC245" s="173">
        <f t="shared" si="694"/>
        <v>0.36068491394145225</v>
      </c>
      <c r="BD245" s="173"/>
      <c r="BE245" s="528">
        <f t="shared" si="695"/>
        <v>1.0395425621138141</v>
      </c>
      <c r="BF245" s="528">
        <f t="shared" si="646"/>
        <v>3.5370900399921328</v>
      </c>
      <c r="BG245" s="528">
        <f t="shared" si="647"/>
        <v>0.2128056214825611</v>
      </c>
      <c r="BH245" s="528">
        <f t="shared" si="696"/>
        <v>3.9452583293163521E-2</v>
      </c>
      <c r="BI245">
        <f t="shared" si="697"/>
        <v>6.8401806905108919E-3</v>
      </c>
      <c r="BJ245" s="460">
        <f t="shared" si="698"/>
        <v>219.64580217307201</v>
      </c>
      <c r="BK245">
        <f t="shared" si="648"/>
        <v>6.5029630759757779</v>
      </c>
      <c r="BL245" s="460">
        <f t="shared" si="699"/>
        <v>4835.730987572183</v>
      </c>
      <c r="BM245" s="173">
        <f t="shared" si="649"/>
        <v>0.15103199999999997</v>
      </c>
      <c r="BN245" s="173">
        <f t="shared" si="650"/>
        <v>0.12586</v>
      </c>
      <c r="BQ245" s="460">
        <f t="shared" si="700"/>
        <v>276.892</v>
      </c>
      <c r="BR245" s="528">
        <f t="shared" si="701"/>
        <v>0.77965692158536049</v>
      </c>
      <c r="BS245" s="528">
        <f t="shared" si="702"/>
        <v>6.2433179537398761E-3</v>
      </c>
      <c r="BT245" s="528">
        <f t="shared" si="703"/>
        <v>6.5046803572476404E-4</v>
      </c>
      <c r="BU245" s="528">
        <f t="shared" si="704"/>
        <v>178.40508990862335</v>
      </c>
      <c r="BV245" s="528"/>
      <c r="BW245" s="625">
        <f t="shared" si="705"/>
        <v>3.1319999999999992</v>
      </c>
      <c r="BX245" s="460">
        <f t="shared" si="706"/>
        <v>182323.64061619819</v>
      </c>
      <c r="BY245" s="173">
        <f t="shared" si="707"/>
        <v>187.43626360377036</v>
      </c>
      <c r="BZ245" s="5">
        <f t="shared" si="708"/>
        <v>31.319999999999997</v>
      </c>
      <c r="CA245" s="173">
        <f t="shared" si="709"/>
        <v>0.14317304329502265</v>
      </c>
      <c r="CB245" s="5">
        <f t="shared" si="710"/>
        <v>14.317304329502264</v>
      </c>
      <c r="CC245">
        <f t="shared" si="711"/>
        <v>28.999999999999996</v>
      </c>
      <c r="CE245" s="562">
        <f t="shared" si="651"/>
        <v>-50</v>
      </c>
      <c r="CG245" s="173">
        <f t="shared" si="652"/>
        <v>0.37854209494725782</v>
      </c>
      <c r="CH245" s="173">
        <f t="shared" si="653"/>
        <v>9.6767070998675528E-2</v>
      </c>
      <c r="CI245" s="170">
        <v>29</v>
      </c>
      <c r="CJ245" s="217">
        <f t="shared" si="712"/>
        <v>0.17399999999999999</v>
      </c>
      <c r="CK245" s="217">
        <f t="shared" si="654"/>
        <v>0.14499999999999999</v>
      </c>
      <c r="CL245" s="217">
        <f t="shared" si="655"/>
        <v>29.58</v>
      </c>
      <c r="CM245" s="217">
        <f t="shared" si="656"/>
        <v>1.7399999999999998</v>
      </c>
      <c r="CN245" s="541">
        <f t="shared" si="657"/>
        <v>16</v>
      </c>
      <c r="CO245" s="443">
        <f t="shared" si="658"/>
        <v>8.5350000000000001</v>
      </c>
      <c r="CP245" s="443">
        <f t="shared" si="659"/>
        <v>24.535</v>
      </c>
      <c r="CQ245" s="443"/>
      <c r="CR245" s="217">
        <f t="shared" si="660"/>
        <v>0.34760448521916415</v>
      </c>
      <c r="CS245" s="172">
        <f t="shared" si="661"/>
        <v>175.08966662891231</v>
      </c>
      <c r="CT245" s="172">
        <f t="shared" si="662"/>
        <v>10.2993921546419</v>
      </c>
      <c r="CU245" s="217">
        <f t="shared" si="663"/>
        <v>1.02993921546419</v>
      </c>
      <c r="CV245" s="217">
        <f t="shared" si="664"/>
        <v>14.590805552409359</v>
      </c>
      <c r="CW245" s="217">
        <f t="shared" si="665"/>
        <v>170</v>
      </c>
      <c r="CX245" s="217">
        <f t="shared" si="666"/>
        <v>11.262800586510261</v>
      </c>
      <c r="CY245" s="217">
        <f t="shared" si="667"/>
        <v>0.35196251832844566</v>
      </c>
      <c r="CZ245" s="217">
        <f t="shared" si="668"/>
        <v>0.65980085451143888</v>
      </c>
      <c r="DA245" s="197">
        <f t="shared" si="669"/>
        <v>350</v>
      </c>
      <c r="DB245" s="443">
        <f t="shared" si="670"/>
        <v>350</v>
      </c>
      <c r="DD245" s="217">
        <f t="shared" si="671"/>
        <v>31.805292730501623</v>
      </c>
      <c r="DE245" s="173">
        <f t="shared" si="672"/>
        <v>1.8632274593146818</v>
      </c>
      <c r="DF245" s="173">
        <f t="shared" si="673"/>
        <v>0.4897221442551708</v>
      </c>
      <c r="DG245" s="173"/>
      <c r="DH245" s="173">
        <f t="shared" si="674"/>
        <v>0.78109744190587771</v>
      </c>
      <c r="DI245" s="545">
        <f t="shared" si="675"/>
        <v>707.60170588235292</v>
      </c>
      <c r="DJ245" s="528">
        <f t="shared" si="676"/>
        <v>8.6065366284073561E-2</v>
      </c>
      <c r="DL245" s="173">
        <f t="shared" si="677"/>
        <v>18.919377821240769</v>
      </c>
      <c r="DM245" s="173">
        <f t="shared" si="678"/>
        <v>18.919377821240769</v>
      </c>
      <c r="DN245" s="173">
        <f t="shared" si="679"/>
        <v>5.3378107317832857</v>
      </c>
      <c r="DP245" s="545">
        <f t="shared" si="680"/>
        <v>174</v>
      </c>
      <c r="DQ245" s="460">
        <f t="shared" si="681"/>
        <v>350</v>
      </c>
      <c r="DS245">
        <f t="shared" si="682"/>
        <v>174</v>
      </c>
      <c r="DT245">
        <f t="shared" si="683"/>
        <v>350</v>
      </c>
      <c r="DV245" s="5">
        <f t="shared" si="684"/>
        <v>2.8571428571428572</v>
      </c>
      <c r="DW245" s="5">
        <f t="shared" si="685"/>
        <v>0.59123055691377402</v>
      </c>
      <c r="DX245" s="5">
        <f t="shared" si="686"/>
        <v>2.2659123002290831</v>
      </c>
      <c r="DY245" s="173">
        <f t="shared" si="687"/>
        <v>0.20693069491982091</v>
      </c>
      <c r="EA245" s="5">
        <f t="shared" si="713"/>
        <v>6.051418641352746E-2</v>
      </c>
      <c r="EB245" s="5">
        <f t="shared" si="714"/>
        <v>0.71440358960414352</v>
      </c>
      <c r="EC245" s="5">
        <f t="shared" si="715"/>
        <v>6.7025685840776275</v>
      </c>
      <c r="ED245" s="5"/>
      <c r="EE245" s="173">
        <f t="shared" si="716"/>
        <v>4.9688819725084237</v>
      </c>
      <c r="EF245" s="173">
        <f t="shared" si="717"/>
        <v>0.4593547526237205</v>
      </c>
      <c r="EG245" s="173">
        <f t="shared" si="718"/>
        <v>0.36318599477938435</v>
      </c>
      <c r="EH245" s="173"/>
      <c r="EI245" s="528">
        <f t="shared" si="719"/>
        <v>0.98759152226876812</v>
      </c>
      <c r="EJ245" s="528">
        <f t="shared" si="720"/>
        <v>4.4677992478748694</v>
      </c>
      <c r="EK245" s="528">
        <f t="shared" si="721"/>
        <v>6.9999999999999993E-2</v>
      </c>
      <c r="EL245" s="528">
        <f t="shared" si="722"/>
        <v>4.2137635749999999E-2</v>
      </c>
      <c r="EM245">
        <f t="shared" si="723"/>
        <v>7.1999999999999998E-3</v>
      </c>
      <c r="EN245" s="460">
        <f t="shared" si="724"/>
        <v>77.199999999999989</v>
      </c>
      <c r="EP245" s="460">
        <f t="shared" si="725"/>
        <v>5574.7284058936375</v>
      </c>
      <c r="EQ245" s="173">
        <f t="shared" si="726"/>
        <v>0.12179999999999998</v>
      </c>
      <c r="ER245" s="173">
        <f t="shared" si="688"/>
        <v>0.12586</v>
      </c>
      <c r="ES245" s="528"/>
      <c r="EU245" s="460">
        <f t="shared" si="727"/>
        <v>247.66</v>
      </c>
      <c r="EV245" s="528">
        <f t="shared" si="728"/>
        <v>0.74069364170157603</v>
      </c>
      <c r="EW245" s="528">
        <f t="shared" si="729"/>
        <v>6.3302036627399831E-3</v>
      </c>
      <c r="EX245" s="528">
        <f t="shared" si="730"/>
        <v>6.5952033401945503E-4</v>
      </c>
      <c r="EY245" s="528">
        <f t="shared" si="731"/>
        <v>178.40508990862335</v>
      </c>
      <c r="EZ245" s="528"/>
      <c r="FA245" s="625">
        <f t="shared" si="732"/>
        <v>3.1319999999999992</v>
      </c>
      <c r="FB245" s="460">
        <f t="shared" si="733"/>
        <v>182284.77327432169</v>
      </c>
      <c r="FC245" s="173">
        <f t="shared" si="734"/>
        <v>188.10716168021534</v>
      </c>
      <c r="FD245" s="5">
        <f t="shared" si="735"/>
        <v>31.319999999999997</v>
      </c>
      <c r="FE245" s="173">
        <f t="shared" si="736"/>
        <v>0.14273529202207225</v>
      </c>
      <c r="FF245" s="5">
        <f t="shared" si="737"/>
        <v>14.273529202207225</v>
      </c>
      <c r="FG245">
        <f t="shared" si="738"/>
        <v>28.999999999999996</v>
      </c>
      <c r="FI245" s="562">
        <f t="shared" si="689"/>
        <v>-50</v>
      </c>
    </row>
    <row r="246" spans="5:165">
      <c r="E246" s="170">
        <v>30</v>
      </c>
      <c r="F246" s="217">
        <f t="shared" si="690"/>
        <v>0.18</v>
      </c>
      <c r="G246" s="217">
        <f t="shared" si="617"/>
        <v>0.15</v>
      </c>
      <c r="H246" s="217">
        <f t="shared" si="618"/>
        <v>30.599999999999998</v>
      </c>
      <c r="I246" s="217">
        <f t="shared" si="619"/>
        <v>1.7999999999999998</v>
      </c>
      <c r="J246" s="541">
        <f t="shared" si="620"/>
        <v>15.186732194457981</v>
      </c>
      <c r="K246" s="443">
        <f t="shared" si="621"/>
        <v>8.5401212012603693</v>
      </c>
      <c r="L246" s="172">
        <f t="shared" si="622"/>
        <v>23.726853395718351</v>
      </c>
      <c r="M246" s="443"/>
      <c r="N246" s="217">
        <f t="shared" si="623"/>
        <v>0.35993484086690924</v>
      </c>
      <c r="O246" s="172">
        <f t="shared" si="624"/>
        <v>172.08514556835223</v>
      </c>
      <c r="P246" s="172">
        <f t="shared" si="625"/>
        <v>10.122655621667779</v>
      </c>
      <c r="Q246" s="217">
        <f t="shared" si="626"/>
        <v>1.0122655621667778</v>
      </c>
      <c r="R246" s="217">
        <f t="shared" si="627"/>
        <v>14.340428797362685</v>
      </c>
      <c r="S246" s="217">
        <f t="shared" si="628"/>
        <v>170</v>
      </c>
      <c r="T246" s="217">
        <f t="shared" si="629"/>
        <v>11.854596707126657</v>
      </c>
      <c r="U246" s="217">
        <f t="shared" si="630"/>
        <v>0.39029452008947307</v>
      </c>
      <c r="V246" s="217">
        <f t="shared" si="631"/>
        <v>0.69405318892764245</v>
      </c>
      <c r="W246" s="197">
        <f t="shared" si="632"/>
        <v>350</v>
      </c>
      <c r="X246" s="443">
        <f t="shared" si="691"/>
        <v>350</v>
      </c>
      <c r="Z246" s="217">
        <f t="shared" si="633"/>
        <v>31.235623061146288</v>
      </c>
      <c r="AA246" s="173">
        <f t="shared" si="634"/>
        <v>1.8287575975231161</v>
      </c>
      <c r="AB246" s="173">
        <f t="shared" si="635"/>
        <v>0.47205302606849336</v>
      </c>
      <c r="AC246" s="173"/>
      <c r="AD246" s="173">
        <f t="shared" si="636"/>
        <v>0.78062904607053885</v>
      </c>
      <c r="AE246" s="545">
        <f t="shared" si="637"/>
        <v>732.4409830257423</v>
      </c>
      <c r="AF246" s="528">
        <f t="shared" si="638"/>
        <v>8.6013756002216793E-2</v>
      </c>
      <c r="AH246" s="173">
        <f t="shared" si="639"/>
        <v>19.242809417694556</v>
      </c>
      <c r="AI246" s="173">
        <f t="shared" si="640"/>
        <v>19.242809417694556</v>
      </c>
      <c r="AJ246" s="173">
        <f t="shared" si="641"/>
        <v>5.5773896921194233</v>
      </c>
      <c r="AL246" s="545">
        <f t="shared" si="642"/>
        <v>180</v>
      </c>
      <c r="AM246" s="460">
        <f t="shared" si="643"/>
        <v>350</v>
      </c>
      <c r="AO246">
        <f t="shared" si="644"/>
        <v>180</v>
      </c>
      <c r="AP246">
        <f t="shared" si="645"/>
        <v>350</v>
      </c>
      <c r="AR246" s="5">
        <f t="shared" si="616"/>
        <v>2.8571428571428572</v>
      </c>
      <c r="AS246" s="5">
        <f t="shared" si="739"/>
        <v>0.63354015766198657</v>
      </c>
      <c r="AT246" s="5">
        <f t="shared" si="740"/>
        <v>2.2236026994808706</v>
      </c>
      <c r="AU246" s="173">
        <f t="shared" si="741"/>
        <v>0.22173905518169529</v>
      </c>
      <c r="BA246" s="173">
        <f t="shared" si="692"/>
        <v>5.2315327401248117</v>
      </c>
      <c r="BB246" s="173">
        <f t="shared" si="693"/>
        <v>0.46282508580455167</v>
      </c>
      <c r="BC246" s="173">
        <f t="shared" si="694"/>
        <v>0.36592979225028699</v>
      </c>
      <c r="BD246" s="173"/>
      <c r="BE246" s="528">
        <f t="shared" si="695"/>
        <v>1.0947573924399128</v>
      </c>
      <c r="BF246" s="528">
        <f t="shared" si="646"/>
        <v>3.5954991290561735</v>
      </c>
      <c r="BG246" s="528">
        <f t="shared" si="647"/>
        <v>0.21261425072241175</v>
      </c>
      <c r="BH246" s="528">
        <f t="shared" si="696"/>
        <v>3.9407450044333804E-2</v>
      </c>
      <c r="BI246">
        <f t="shared" si="697"/>
        <v>6.8340294875060912E-3</v>
      </c>
      <c r="BJ246" s="460">
        <f t="shared" si="698"/>
        <v>219.44828020991784</v>
      </c>
      <c r="BK246">
        <f t="shared" si="648"/>
        <v>6.7919259026911636</v>
      </c>
      <c r="BL246" s="460">
        <f t="shared" si="699"/>
        <v>4949.1122517503381</v>
      </c>
      <c r="BM246" s="173">
        <f t="shared" si="649"/>
        <v>0.15623999999999999</v>
      </c>
      <c r="BN246" s="173">
        <f t="shared" si="650"/>
        <v>0.13019999999999998</v>
      </c>
      <c r="BQ246" s="460">
        <f t="shared" si="700"/>
        <v>286.44</v>
      </c>
      <c r="BR246" s="528">
        <f t="shared" si="701"/>
        <v>0.82106804432993463</v>
      </c>
      <c r="BS246" s="528">
        <f t="shared" si="702"/>
        <v>6.4262118014997184E-3</v>
      </c>
      <c r="BT246" s="528">
        <f t="shared" si="703"/>
        <v>6.6952306428169097E-4</v>
      </c>
      <c r="BU246" s="528">
        <f t="shared" si="704"/>
        <v>186.12782897395272</v>
      </c>
      <c r="BV246" s="528"/>
      <c r="BW246" s="625">
        <f t="shared" si="705"/>
        <v>3.24</v>
      </c>
      <c r="BX246" s="460">
        <f t="shared" si="706"/>
        <v>190195.99275314843</v>
      </c>
      <c r="BY246" s="173">
        <f t="shared" si="707"/>
        <v>195.43154500489879</v>
      </c>
      <c r="BZ246" s="5">
        <f t="shared" si="708"/>
        <v>32.4</v>
      </c>
      <c r="CA246" s="173">
        <f t="shared" si="709"/>
        <v>0.14221033351331283</v>
      </c>
      <c r="CB246" s="5">
        <f t="shared" si="710"/>
        <v>14.221033351331283</v>
      </c>
      <c r="CC246">
        <f t="shared" si="711"/>
        <v>30</v>
      </c>
      <c r="CE246" s="562">
        <f t="shared" si="651"/>
        <v>-50</v>
      </c>
      <c r="CG246" s="173">
        <f t="shared" si="652"/>
        <v>0.38501336875184872</v>
      </c>
      <c r="CH246" s="173">
        <f t="shared" si="653"/>
        <v>9.8421328794728466E-2</v>
      </c>
      <c r="CI246" s="170">
        <v>30</v>
      </c>
      <c r="CJ246" s="217">
        <f t="shared" si="712"/>
        <v>0.18</v>
      </c>
      <c r="CK246" s="217">
        <f t="shared" si="654"/>
        <v>0.15</v>
      </c>
      <c r="CL246" s="217">
        <f t="shared" si="655"/>
        <v>30.599999999999998</v>
      </c>
      <c r="CM246" s="217">
        <f t="shared" si="656"/>
        <v>1.7999999999999998</v>
      </c>
      <c r="CN246" s="541">
        <f t="shared" si="657"/>
        <v>16</v>
      </c>
      <c r="CO246" s="443">
        <f t="shared" si="658"/>
        <v>8.5350000000000001</v>
      </c>
      <c r="CP246" s="443">
        <f t="shared" si="659"/>
        <v>24.535</v>
      </c>
      <c r="CQ246" s="443"/>
      <c r="CR246" s="217">
        <f t="shared" si="660"/>
        <v>0.34760448521916415</v>
      </c>
      <c r="CS246" s="172">
        <f t="shared" si="661"/>
        <v>175.08966662891231</v>
      </c>
      <c r="CT246" s="172">
        <f t="shared" si="662"/>
        <v>10.2993921546419</v>
      </c>
      <c r="CU246" s="217">
        <f t="shared" si="663"/>
        <v>1.02993921546419</v>
      </c>
      <c r="CV246" s="217">
        <f t="shared" si="664"/>
        <v>14.590805552409359</v>
      </c>
      <c r="CW246" s="217">
        <f t="shared" si="665"/>
        <v>170</v>
      </c>
      <c r="CX246" s="217">
        <f t="shared" si="666"/>
        <v>11.651173020527859</v>
      </c>
      <c r="CY246" s="217">
        <f t="shared" si="667"/>
        <v>0.36409915689149558</v>
      </c>
      <c r="CZ246" s="217">
        <f t="shared" si="668"/>
        <v>0.68255260811528173</v>
      </c>
      <c r="DA246" s="197">
        <f t="shared" si="669"/>
        <v>350</v>
      </c>
      <c r="DB246" s="443">
        <f t="shared" si="670"/>
        <v>350</v>
      </c>
      <c r="DD246" s="217">
        <f t="shared" si="671"/>
        <v>31.805292730501623</v>
      </c>
      <c r="DE246" s="173">
        <f t="shared" si="672"/>
        <v>1.8632274593146818</v>
      </c>
      <c r="DF246" s="173">
        <f t="shared" si="673"/>
        <v>0.4897221442551708</v>
      </c>
      <c r="DG246" s="173"/>
      <c r="DH246" s="173">
        <f t="shared" si="674"/>
        <v>0.78109744190587771</v>
      </c>
      <c r="DI246" s="545">
        <f t="shared" si="675"/>
        <v>732.00176470588247</v>
      </c>
      <c r="DJ246" s="528">
        <f t="shared" si="676"/>
        <v>8.6065366284073561E-2</v>
      </c>
      <c r="DL246" s="173">
        <f t="shared" si="677"/>
        <v>19.242809417694556</v>
      </c>
      <c r="DM246" s="173">
        <f t="shared" si="678"/>
        <v>19.242809417694556</v>
      </c>
      <c r="DN246" s="173">
        <f t="shared" si="679"/>
        <v>5.5773896921194233</v>
      </c>
      <c r="DP246" s="545">
        <f t="shared" si="680"/>
        <v>180</v>
      </c>
      <c r="DQ246" s="460">
        <f t="shared" si="681"/>
        <v>350</v>
      </c>
      <c r="DS246">
        <f t="shared" si="682"/>
        <v>180</v>
      </c>
      <c r="DT246">
        <f t="shared" si="683"/>
        <v>350</v>
      </c>
      <c r="DV246" s="5">
        <f t="shared" si="684"/>
        <v>2.8571428571428572</v>
      </c>
      <c r="DW246" s="5">
        <f t="shared" si="685"/>
        <v>0.60133779430295486</v>
      </c>
      <c r="DX246" s="5">
        <f t="shared" si="686"/>
        <v>2.2558050628399022</v>
      </c>
      <c r="DY246" s="173">
        <f t="shared" si="687"/>
        <v>0.21046822800603421</v>
      </c>
      <c r="EA246" s="5">
        <f t="shared" si="713"/>
        <v>6.3671060573254029E-2</v>
      </c>
      <c r="EB246" s="5">
        <f t="shared" si="714"/>
        <v>0.7516722428786935</v>
      </c>
      <c r="EC246" s="5">
        <f t="shared" si="715"/>
        <v>6.9027634922901004</v>
      </c>
      <c r="ED246" s="5"/>
      <c r="EE246" s="173">
        <f t="shared" si="716"/>
        <v>5.0968414448448023</v>
      </c>
      <c r="EF246" s="173">
        <f t="shared" si="717"/>
        <v>0.46616437128289562</v>
      </c>
      <c r="EG246" s="173">
        <f t="shared" si="718"/>
        <v>0.36856997766554089</v>
      </c>
      <c r="EH246" s="173"/>
      <c r="EI246" s="528">
        <f t="shared" si="719"/>
        <v>1.0391117085555062</v>
      </c>
      <c r="EJ246" s="528">
        <f t="shared" si="720"/>
        <v>4.5441774172326834</v>
      </c>
      <c r="EK246" s="528">
        <f t="shared" si="721"/>
        <v>6.9999999999999993E-2</v>
      </c>
      <c r="EL246" s="528">
        <f t="shared" si="722"/>
        <v>4.2137635749999999E-2</v>
      </c>
      <c r="EM246">
        <f t="shared" si="723"/>
        <v>7.1999999999999998E-3</v>
      </c>
      <c r="EN246" s="460">
        <f t="shared" si="724"/>
        <v>77.199999999999989</v>
      </c>
      <c r="EP246" s="460">
        <f t="shared" si="725"/>
        <v>5702.6267615381894</v>
      </c>
      <c r="EQ246" s="173">
        <f t="shared" si="726"/>
        <v>0.126</v>
      </c>
      <c r="ER246" s="173">
        <f t="shared" si="688"/>
        <v>0.13019999999999998</v>
      </c>
      <c r="ES246" s="528"/>
      <c r="EU246" s="460">
        <f t="shared" si="727"/>
        <v>256.2</v>
      </c>
      <c r="EV246" s="528">
        <f t="shared" si="728"/>
        <v>0.77933378141662957</v>
      </c>
      <c r="EW246" s="528">
        <f t="shared" si="729"/>
        <v>6.5192766316073203E-3</v>
      </c>
      <c r="EX246" s="528">
        <f t="shared" si="730"/>
        <v>6.792191421818866E-4</v>
      </c>
      <c r="EY246" s="528">
        <f t="shared" si="731"/>
        <v>186.12782897395272</v>
      </c>
      <c r="EZ246" s="528"/>
      <c r="FA246" s="625">
        <f t="shared" si="732"/>
        <v>3.24</v>
      </c>
      <c r="FB246" s="460">
        <f t="shared" si="733"/>
        <v>190154.36125114316</v>
      </c>
      <c r="FC246" s="173">
        <f t="shared" si="734"/>
        <v>196.11318801268135</v>
      </c>
      <c r="FD246" s="5">
        <f t="shared" si="735"/>
        <v>32.4</v>
      </c>
      <c r="FE246" s="173">
        <f t="shared" si="736"/>
        <v>0.14178612745187363</v>
      </c>
      <c r="FF246" s="5">
        <f t="shared" si="737"/>
        <v>14.178612745187364</v>
      </c>
      <c r="FG246">
        <f t="shared" si="738"/>
        <v>30</v>
      </c>
      <c r="FI246" s="562">
        <f t="shared" si="689"/>
        <v>-50</v>
      </c>
    </row>
    <row r="247" spans="5:165">
      <c r="E247" s="170">
        <v>31</v>
      </c>
      <c r="F247" s="217">
        <f t="shared" si="690"/>
        <v>0.186</v>
      </c>
      <c r="G247" s="217">
        <f t="shared" si="617"/>
        <v>0.155</v>
      </c>
      <c r="H247" s="217">
        <f t="shared" si="618"/>
        <v>31.62</v>
      </c>
      <c r="I247" s="217">
        <f t="shared" si="619"/>
        <v>1.8599999999999999</v>
      </c>
      <c r="J247" s="541">
        <f t="shared" si="620"/>
        <v>15.173288840657047</v>
      </c>
      <c r="K247" s="443">
        <f t="shared" si="621"/>
        <v>8.5402058549500399</v>
      </c>
      <c r="L247" s="172">
        <f t="shared" si="622"/>
        <v>23.713494695607089</v>
      </c>
      <c r="M247" s="443"/>
      <c r="N247" s="217">
        <f t="shared" si="623"/>
        <v>0.36014117550257607</v>
      </c>
      <c r="O247" s="172">
        <f t="shared" si="624"/>
        <v>172.03137657100729</v>
      </c>
      <c r="P247" s="172">
        <f t="shared" si="625"/>
        <v>10.119492739471017</v>
      </c>
      <c r="Q247" s="217">
        <f t="shared" si="626"/>
        <v>1.0119492739471017</v>
      </c>
      <c r="R247" s="217">
        <f t="shared" si="627"/>
        <v>14.33594804758394</v>
      </c>
      <c r="S247" s="217">
        <f t="shared" si="628"/>
        <v>170</v>
      </c>
      <c r="T247" s="217">
        <f t="shared" si="629"/>
        <v>12.253578632092774</v>
      </c>
      <c r="U247" s="217">
        <f t="shared" si="630"/>
        <v>0.40378782611911834</v>
      </c>
      <c r="V247" s="217">
        <f t="shared" si="631"/>
        <v>0.71740534363058728</v>
      </c>
      <c r="W247" s="197">
        <f t="shared" si="632"/>
        <v>350</v>
      </c>
      <c r="X247" s="443">
        <f t="shared" si="691"/>
        <v>350</v>
      </c>
      <c r="Z247" s="217">
        <f t="shared" si="633"/>
        <v>31.225863310367714</v>
      </c>
      <c r="AA247" s="173">
        <f t="shared" si="634"/>
        <v>1.8281680699926399</v>
      </c>
      <c r="AB247" s="173">
        <f t="shared" si="635"/>
        <v>0.47175340452599324</v>
      </c>
      <c r="AC247" s="173"/>
      <c r="AD247" s="173">
        <f t="shared" si="636"/>
        <v>0.78062130818574582</v>
      </c>
      <c r="AE247" s="545">
        <f t="shared" si="637"/>
        <v>756.86318476868996</v>
      </c>
      <c r="AF247" s="528">
        <f t="shared" si="638"/>
        <v>8.6012903401947921E-2</v>
      </c>
      <c r="AH247" s="173">
        <f t="shared" si="639"/>
        <v>19.560893932245826</v>
      </c>
      <c r="AI247" s="173">
        <f t="shared" si="640"/>
        <v>19.560893932245826</v>
      </c>
      <c r="AJ247" s="173">
        <f t="shared" si="641"/>
        <v>5.8130078510462901</v>
      </c>
      <c r="AL247" s="545">
        <f t="shared" si="642"/>
        <v>186</v>
      </c>
      <c r="AM247" s="460">
        <f t="shared" si="643"/>
        <v>350</v>
      </c>
      <c r="AO247">
        <f t="shared" si="644"/>
        <v>186</v>
      </c>
      <c r="AP247">
        <f t="shared" si="645"/>
        <v>350</v>
      </c>
      <c r="AR247" s="5">
        <f t="shared" si="616"/>
        <v>2.8571428571428572</v>
      </c>
      <c r="AS247" s="5">
        <f t="shared" si="739"/>
        <v>0.6445831927957546</v>
      </c>
      <c r="AT247" s="5">
        <f t="shared" si="740"/>
        <v>2.2125596643471024</v>
      </c>
      <c r="AU247" s="173">
        <f t="shared" si="741"/>
        <v>0.22560411747851411</v>
      </c>
      <c r="BA247" s="173">
        <f t="shared" si="692"/>
        <v>5.3641582495674465</v>
      </c>
      <c r="BB247" s="173">
        <f t="shared" si="693"/>
        <v>0.46930589447355009</v>
      </c>
      <c r="BC247" s="173">
        <f t="shared" si="694"/>
        <v>0.37105380355088002</v>
      </c>
      <c r="BD247" s="173"/>
      <c r="BE247" s="528">
        <f t="shared" si="695"/>
        <v>1.1509677490560997</v>
      </c>
      <c r="BF247" s="528">
        <f t="shared" si="646"/>
        <v>3.6528750917161981</v>
      </c>
      <c r="BG247" s="528">
        <f t="shared" si="647"/>
        <v>0.21242604376919869</v>
      </c>
      <c r="BH247" s="528">
        <f t="shared" si="696"/>
        <v>3.9363088147500995E-2</v>
      </c>
      <c r="BI247">
        <f t="shared" si="697"/>
        <v>6.8279799782956715E-3</v>
      </c>
      <c r="BJ247" s="460">
        <f t="shared" si="698"/>
        <v>219.25402374749436</v>
      </c>
      <c r="BK247">
        <f t="shared" si="648"/>
        <v>7.0939490117307917</v>
      </c>
      <c r="BL247" s="460">
        <f t="shared" si="699"/>
        <v>5062.4599526672919</v>
      </c>
      <c r="BM247" s="173">
        <f t="shared" si="649"/>
        <v>0.16144799999999998</v>
      </c>
      <c r="BN247" s="173">
        <f t="shared" si="650"/>
        <v>0.13453999999999999</v>
      </c>
      <c r="BQ247" s="460">
        <f t="shared" si="700"/>
        <v>295.988</v>
      </c>
      <c r="BR247" s="528">
        <f t="shared" si="701"/>
        <v>0.86322581179207469</v>
      </c>
      <c r="BS247" s="528">
        <f t="shared" si="702"/>
        <v>6.6074406776285679E-3</v>
      </c>
      <c r="BT247" s="528">
        <f t="shared" si="703"/>
        <v>6.884046256478753E-4</v>
      </c>
      <c r="BU247" s="528">
        <f t="shared" si="704"/>
        <v>193.91520361474042</v>
      </c>
      <c r="BV247" s="528"/>
      <c r="BW247" s="625">
        <f t="shared" si="705"/>
        <v>3.3480000000000016</v>
      </c>
      <c r="BX247" s="460">
        <f t="shared" si="706"/>
        <v>198133.72527183578</v>
      </c>
      <c r="BY247" s="173">
        <f t="shared" si="707"/>
        <v>203.49217322450306</v>
      </c>
      <c r="BZ247" s="5">
        <f t="shared" si="708"/>
        <v>33.480000000000004</v>
      </c>
      <c r="CA247" s="173">
        <f t="shared" si="709"/>
        <v>0.14128241111365286</v>
      </c>
      <c r="CB247" s="5">
        <f t="shared" si="710"/>
        <v>14.128241111365286</v>
      </c>
      <c r="CC247">
        <f t="shared" si="711"/>
        <v>31</v>
      </c>
      <c r="CE247" s="562">
        <f t="shared" si="651"/>
        <v>-50</v>
      </c>
      <c r="CG247" s="173">
        <f t="shared" si="652"/>
        <v>0.39137765724199852</v>
      </c>
      <c r="CH247" s="173">
        <f t="shared" si="653"/>
        <v>0.10004823783444354</v>
      </c>
      <c r="CI247" s="170">
        <v>31</v>
      </c>
      <c r="CJ247" s="217">
        <f t="shared" si="712"/>
        <v>0.186</v>
      </c>
      <c r="CK247" s="217">
        <f t="shared" si="654"/>
        <v>0.155</v>
      </c>
      <c r="CL247" s="217">
        <f t="shared" si="655"/>
        <v>31.62</v>
      </c>
      <c r="CM247" s="217">
        <f t="shared" si="656"/>
        <v>1.8599999999999999</v>
      </c>
      <c r="CN247" s="541">
        <f t="shared" si="657"/>
        <v>16</v>
      </c>
      <c r="CO247" s="443">
        <f t="shared" si="658"/>
        <v>8.5350000000000001</v>
      </c>
      <c r="CP247" s="443">
        <f t="shared" si="659"/>
        <v>24.535</v>
      </c>
      <c r="CQ247" s="443"/>
      <c r="CR247" s="217">
        <f t="shared" si="660"/>
        <v>0.34760448521916415</v>
      </c>
      <c r="CS247" s="172">
        <f t="shared" si="661"/>
        <v>175.08966662891231</v>
      </c>
      <c r="CT247" s="172">
        <f t="shared" si="662"/>
        <v>10.2993921546419</v>
      </c>
      <c r="CU247" s="217">
        <f t="shared" si="663"/>
        <v>1.02993921546419</v>
      </c>
      <c r="CV247" s="217">
        <f t="shared" si="664"/>
        <v>14.590805552409359</v>
      </c>
      <c r="CW247" s="217">
        <f t="shared" si="665"/>
        <v>170</v>
      </c>
      <c r="CX247" s="217">
        <f t="shared" si="666"/>
        <v>12.039545454545454</v>
      </c>
      <c r="CY247" s="217">
        <f t="shared" si="667"/>
        <v>0.37623579545454544</v>
      </c>
      <c r="CZ247" s="217">
        <f t="shared" si="668"/>
        <v>0.70530436171912436</v>
      </c>
      <c r="DA247" s="197">
        <f t="shared" si="669"/>
        <v>350</v>
      </c>
      <c r="DB247" s="443">
        <f t="shared" si="670"/>
        <v>350</v>
      </c>
      <c r="DD247" s="217">
        <f t="shared" si="671"/>
        <v>31.805292730501623</v>
      </c>
      <c r="DE247" s="173">
        <f t="shared" si="672"/>
        <v>1.8632274593146818</v>
      </c>
      <c r="DF247" s="173">
        <f t="shared" si="673"/>
        <v>0.4897221442551708</v>
      </c>
      <c r="DG247" s="173"/>
      <c r="DH247" s="173">
        <f t="shared" si="674"/>
        <v>0.78109744190587771</v>
      </c>
      <c r="DI247" s="545">
        <f t="shared" si="675"/>
        <v>756.40182352941179</v>
      </c>
      <c r="DJ247" s="528">
        <f t="shared" si="676"/>
        <v>8.6065366284073561E-2</v>
      </c>
      <c r="DL247" s="173">
        <f t="shared" si="677"/>
        <v>19.560893932245826</v>
      </c>
      <c r="DM247" s="173">
        <f t="shared" si="678"/>
        <v>19.560893932245826</v>
      </c>
      <c r="DN247" s="173">
        <f t="shared" si="679"/>
        <v>5.8130078510462901</v>
      </c>
      <c r="DP247" s="545">
        <f t="shared" si="680"/>
        <v>186</v>
      </c>
      <c r="DQ247" s="460">
        <f t="shared" si="681"/>
        <v>350</v>
      </c>
      <c r="DS247">
        <f t="shared" si="682"/>
        <v>186</v>
      </c>
      <c r="DT247">
        <f t="shared" si="683"/>
        <v>350</v>
      </c>
      <c r="DV247" s="5">
        <f t="shared" si="684"/>
        <v>2.8571428571428572</v>
      </c>
      <c r="DW247" s="5">
        <f t="shared" si="685"/>
        <v>0.61127793538268205</v>
      </c>
      <c r="DX247" s="5">
        <f t="shared" si="686"/>
        <v>2.2458649217601749</v>
      </c>
      <c r="DY247" s="173">
        <f t="shared" si="687"/>
        <v>0.21394727738393871</v>
      </c>
      <c r="EA247" s="5">
        <f t="shared" si="713"/>
        <v>6.6880997635987566E-2</v>
      </c>
      <c r="EB247" s="5">
        <f t="shared" si="714"/>
        <v>0.78956733320263084</v>
      </c>
      <c r="EC247" s="5">
        <f t="shared" si="715"/>
        <v>7.1014248826056727</v>
      </c>
      <c r="ED247" s="5"/>
      <c r="EE247" s="173">
        <f t="shared" si="716"/>
        <v>5.2237387985506061</v>
      </c>
      <c r="EF247" s="173">
        <f t="shared" si="717"/>
        <v>0.47282488929188415</v>
      </c>
      <c r="EG247" s="173">
        <f t="shared" si="718"/>
        <v>0.37383607504457905</v>
      </c>
      <c r="EH247" s="173"/>
      <c r="EI247" s="528">
        <f t="shared" si="719"/>
        <v>1.0914978814193173</v>
      </c>
      <c r="EJ247" s="528">
        <f t="shared" si="720"/>
        <v>4.6192928765411434</v>
      </c>
      <c r="EK247" s="528">
        <f t="shared" si="721"/>
        <v>6.9999999999999993E-2</v>
      </c>
      <c r="EL247" s="528">
        <f t="shared" si="722"/>
        <v>4.2137635749999999E-2</v>
      </c>
      <c r="EM247">
        <f t="shared" si="723"/>
        <v>7.1999999999999998E-3</v>
      </c>
      <c r="EN247" s="460">
        <f t="shared" si="724"/>
        <v>77.199999999999989</v>
      </c>
      <c r="EP247" s="460">
        <f t="shared" si="725"/>
        <v>5830.1283937104608</v>
      </c>
      <c r="EQ247" s="173">
        <f t="shared" si="726"/>
        <v>0.13019999999999998</v>
      </c>
      <c r="ER247" s="173">
        <f t="shared" si="688"/>
        <v>0.13453999999999999</v>
      </c>
      <c r="ES247" s="528"/>
      <c r="EU247" s="460">
        <f t="shared" si="727"/>
        <v>264.73999999999995</v>
      </c>
      <c r="EV247" s="528">
        <f t="shared" si="728"/>
        <v>0.81862341106448788</v>
      </c>
      <c r="EW247" s="528">
        <f t="shared" si="729"/>
        <v>6.7069012780164748E-3</v>
      </c>
      <c r="EX247" s="528">
        <f t="shared" si="730"/>
        <v>6.987670550236808E-4</v>
      </c>
      <c r="EY247" s="528">
        <f t="shared" si="731"/>
        <v>193.91520361474042</v>
      </c>
      <c r="EZ247" s="528"/>
      <c r="FA247" s="625">
        <f t="shared" si="732"/>
        <v>3.3480000000000016</v>
      </c>
      <c r="FB247" s="460">
        <f t="shared" si="733"/>
        <v>198089.23269413796</v>
      </c>
      <c r="FC247" s="173">
        <f t="shared" si="734"/>
        <v>204.18410108784843</v>
      </c>
      <c r="FD247" s="5">
        <f t="shared" si="735"/>
        <v>33.480000000000004</v>
      </c>
      <c r="FE247" s="173">
        <f t="shared" si="736"/>
        <v>0.14087108590129352</v>
      </c>
      <c r="FF247" s="5">
        <f t="shared" si="737"/>
        <v>14.087108590129352</v>
      </c>
      <c r="FG247">
        <f t="shared" si="738"/>
        <v>31</v>
      </c>
      <c r="FI247" s="562">
        <f t="shared" si="689"/>
        <v>-50</v>
      </c>
    </row>
    <row r="248" spans="5:165">
      <c r="E248" s="170">
        <v>32</v>
      </c>
      <c r="F248" s="217">
        <f t="shared" si="690"/>
        <v>0.192</v>
      </c>
      <c r="G248" s="217">
        <f t="shared" ref="G248:G279" si="742">IF(PLOT_TYPE=1, E248/100*Iout2, min_I*EXP(Q248*rr/100))</f>
        <v>0.16</v>
      </c>
      <c r="H248" s="217">
        <f t="shared" ref="H248:H279" si="743">F248*Vout</f>
        <v>32.64</v>
      </c>
      <c r="I248" s="217">
        <f t="shared" ref="I248:I279" si="744">Vout2*G248</f>
        <v>1.92</v>
      </c>
      <c r="J248" s="541">
        <f t="shared" ref="J248:J279" si="745">VIN_max-(F248/CG248/Nps+G248/CH248/(Nps/Nsec1sec2))*(Rdcr_pri+RON/1000)</f>
        <v>15.160060622167762</v>
      </c>
      <c r="K248" s="443">
        <f t="shared" ref="K248:K279" si="746">MAX((S248+Vfwd2+Rdcr_sec*F248/CG248)*Nps,(Vout2+Vfwd22+Rdcr_sec2*G248/CH248)*Nps/Nsec1sec2)</f>
        <v>8.5402891539183958</v>
      </c>
      <c r="L248" s="172">
        <f t="shared" ref="L248:L279" si="747">MAX((Vout+Vfwd2+F248/CG248*Rdcr_sec)*Nps+J248, (Vout2+Vfwd22+G248/CH248*Rdcr_sec2)*Nps/Nsec1sec2+J248)</f>
        <v>23.700349776086156</v>
      </c>
      <c r="M248" s="443"/>
      <c r="N248" s="217">
        <f t="shared" ref="N248:N279" si="748">MAX((Vout+Vfwd2+F248/CG248*Rdcr_sec)*Nps/((Vout+Vfwd2+F248/CG248*Rdcr_sec)*Nps+J248), (Vout2+Vfwd22+G248/CH248*Rdcr_sec2)*Nps/Nsec1sec2/((Vout2+Vfwd22+G248/CH248*Rdcr_sec2)*Nps/Nsec1sec2+J248))</f>
        <v>0.36034443519207537</v>
      </c>
      <c r="O248" s="172">
        <f t="shared" ref="O248:O279" si="749">N248*J248*Isw_max*0.5*Efficiency*Pout/(Pout+Pout2)</f>
        <v>171.97840592654686</v>
      </c>
      <c r="P248" s="172">
        <f t="shared" ref="P248:P279" si="750">N248*J248*Isw_max*0.5*Efficiency*(Pout2/Pout_total)</f>
        <v>10.116376819208639</v>
      </c>
      <c r="Q248" s="217">
        <f t="shared" si="626"/>
        <v>1.0116376819208639</v>
      </c>
      <c r="R248" s="217">
        <f t="shared" ref="R248:R279" si="751">O248/Vout2</f>
        <v>14.331533827212239</v>
      </c>
      <c r="S248" s="217">
        <f t="shared" ref="S248:S279" si="752">MIN(Vout,O248/F248)</f>
        <v>170</v>
      </c>
      <c r="T248" s="217">
        <f t="shared" ref="T248:T279" si="753">MIN(2*(Vout*F248+Vout2*G248)/(Efficiency*J248*N248), Isw_max)</f>
        <v>12.652751304889897</v>
      </c>
      <c r="U248" s="217">
        <f t="shared" si="630"/>
        <v>0.41730543235389311</v>
      </c>
      <c r="V248" s="217">
        <f t="shared" si="631"/>
        <v>0.74076832041949359</v>
      </c>
      <c r="W248" s="197">
        <f t="shared" si="632"/>
        <v>350</v>
      </c>
      <c r="X248" s="443">
        <f t="shared" si="691"/>
        <v>350</v>
      </c>
      <c r="Z248" s="217">
        <f t="shared" si="633"/>
        <v>31.216248470700943</v>
      </c>
      <c r="AA248" s="173">
        <f t="shared" si="634"/>
        <v>1.827587328022642</v>
      </c>
      <c r="AB248" s="173">
        <f t="shared" ref="AB248:AB279" si="754">0.5*AA248*Z248*Nps*W248/1000*(Pout/(Pout+Pout2))</f>
        <v>0.47145833304733664</v>
      </c>
      <c r="AC248" s="173"/>
      <c r="AD248" s="173">
        <f t="shared" si="636"/>
        <v>0.78061369428082106</v>
      </c>
      <c r="AE248" s="545">
        <f t="shared" ref="AE248:AE279" si="755">MAX(10, F248/(0.5*AD248/1000000*Isw_min*Nps)/1000*Pout_total/Pout)</f>
        <v>781.28574659846402</v>
      </c>
      <c r="AF248" s="528">
        <f t="shared" ref="AF248:AF279" si="756">0.5*AD248/1000000*Isw_min*Nps*W248*1000*(Pout/Pout_total)</f>
        <v>8.6012064462423821E-2</v>
      </c>
      <c r="AH248" s="173">
        <f t="shared" ref="AH248:AH279" si="757">SQRT((H248+I248)/(0.5*L*Fsw_DCM))</f>
        <v>19.873888109059802</v>
      </c>
      <c r="AI248" s="173">
        <f t="shared" ref="AI248:AI279" si="758">MAX(IF(F248&gt;AB248,T248,AH248),Isw_min)</f>
        <v>19.873888109059802</v>
      </c>
      <c r="AJ248" s="173">
        <f t="shared" ref="AJ248:AJ279" si="759">IF(F248&gt;AF248, (AI248-Isw_min)/1.08*0.8+1.2, AE248*0.2/350+1)</f>
        <v>6.0448553894270143</v>
      </c>
      <c r="AL248" s="545">
        <f t="shared" ref="AL248:AL279" si="760">F248*1000</f>
        <v>192</v>
      </c>
      <c r="AM248" s="460">
        <f t="shared" ref="AM248:AM279" si="761">IF(F248&gt;AF248, X248, AE248)</f>
        <v>350</v>
      </c>
      <c r="AO248">
        <f t="shared" si="644"/>
        <v>192</v>
      </c>
      <c r="AP248">
        <f t="shared" si="645"/>
        <v>350</v>
      </c>
      <c r="AR248" s="5">
        <f t="shared" si="616"/>
        <v>2.8571428571428572</v>
      </c>
      <c r="AS248" s="5">
        <f t="shared" si="739"/>
        <v>0.65546862259901706</v>
      </c>
      <c r="AT248" s="5">
        <f t="shared" si="740"/>
        <v>2.20167423454384</v>
      </c>
      <c r="AU248" s="173">
        <f t="shared" si="741"/>
        <v>0.22941401790965596</v>
      </c>
      <c r="BA248" s="173">
        <f t="shared" si="692"/>
        <v>5.4958160567255803</v>
      </c>
      <c r="BB248" s="173">
        <f t="shared" si="693"/>
        <v>0.47564089303055596</v>
      </c>
      <c r="BC248" s="173">
        <f t="shared" si="694"/>
        <v>0.37606253098803105</v>
      </c>
      <c r="BD248" s="173"/>
      <c r="BE248" s="528">
        <f t="shared" si="695"/>
        <v>1.2081597651745082</v>
      </c>
      <c r="BF248" s="528">
        <f t="shared" ref="BF248:BF279" si="762">0.5*L248*AI248*AM248*1000*Tfall</f>
        <v>3.7092675343146944</v>
      </c>
      <c r="BG248" s="528">
        <f t="shared" ref="BG248:BG279" si="763">Qg*Vdd*AM248*1000*0+Qg*J248*AM248*1000</f>
        <v>0.21224084871034871</v>
      </c>
      <c r="BH248" s="528">
        <f t="shared" si="696"/>
        <v>3.93194605656179E-2</v>
      </c>
      <c r="BI248">
        <f t="shared" si="697"/>
        <v>6.8220272799754929E-3</v>
      </c>
      <c r="BJ248" s="460">
        <f t="shared" si="698"/>
        <v>219.06287599032422</v>
      </c>
      <c r="BK248">
        <f t="shared" ref="BK248:BK279" si="764">(BF248+BG248*0+BH248+BI248*0+BE248*(1+RdsonTC*(Ta-25)))/(1-BE248*RdsonTC*ThetaJA)</f>
        <v>7.4100775797097036</v>
      </c>
      <c r="BL248" s="460">
        <f t="shared" si="699"/>
        <v>5175.8096360451436</v>
      </c>
      <c r="BM248" s="173">
        <f t="shared" ref="BM248:BM279" si="765">Vfwd2*F248*(1+Diode_TC/1000*(Ta-25))</f>
        <v>0.166656</v>
      </c>
      <c r="BN248" s="173">
        <f t="shared" ref="BN248:BN279" si="766">Vfwd22*G248*(1+Diode_TC/1000*(Ta-25))</f>
        <v>0.13887999999999998</v>
      </c>
      <c r="BQ248" s="460">
        <f t="shared" si="700"/>
        <v>305.536</v>
      </c>
      <c r="BR248" s="528">
        <f t="shared" si="701"/>
        <v>0.90611982388088108</v>
      </c>
      <c r="BS248" s="528">
        <f t="shared" si="702"/>
        <v>6.7870277736871423E-3</v>
      </c>
      <c r="BT248" s="528">
        <f t="shared" si="703"/>
        <v>7.0711513606561908E-4</v>
      </c>
      <c r="BU248" s="528">
        <f t="shared" si="704"/>
        <v>201.76564318845161</v>
      </c>
      <c r="BV248" s="528"/>
      <c r="BW248" s="625">
        <f t="shared" si="705"/>
        <v>3.4560000000000004</v>
      </c>
      <c r="BX248" s="460">
        <f t="shared" si="706"/>
        <v>206135.2571552422</v>
      </c>
      <c r="BY248" s="173">
        <f t="shared" si="707"/>
        <v>211.61660279128736</v>
      </c>
      <c r="BZ248" s="5">
        <f t="shared" si="708"/>
        <v>34.56</v>
      </c>
      <c r="CA248" s="173">
        <f t="shared" si="709"/>
        <v>0.14038702138277759</v>
      </c>
      <c r="CB248" s="5">
        <f t="shared" si="710"/>
        <v>14.03870213827776</v>
      </c>
      <c r="CC248">
        <f t="shared" si="711"/>
        <v>32</v>
      </c>
      <c r="CE248" s="562">
        <f t="shared" ref="CE248:CE279" si="767">IF(ABS(F248-Ioutmax_Vinmax)&lt;Iout/200, AM248, -50)</f>
        <v>-50</v>
      </c>
      <c r="CG248" s="173">
        <f t="shared" ref="CG248:CG279" si="768">MIN(SQRT(2*DT248*1000*Ls1_*CL248)/CW248, 1-DY248)</f>
        <v>0.39764009739816669</v>
      </c>
      <c r="CH248" s="173">
        <f t="shared" ref="CH248:CH279" si="769">MIN(SQRT(2*DT248*1000*Ls2_*CM248)/Vout2, 1-DY248)</f>
        <v>0.10164911128895675</v>
      </c>
      <c r="CI248" s="170">
        <v>32</v>
      </c>
      <c r="CJ248" s="217">
        <f t="shared" si="712"/>
        <v>0.192</v>
      </c>
      <c r="CK248" s="217">
        <f t="shared" si="654"/>
        <v>0.16</v>
      </c>
      <c r="CL248" s="217">
        <f t="shared" si="655"/>
        <v>32.64</v>
      </c>
      <c r="CM248" s="217">
        <f t="shared" si="656"/>
        <v>1.92</v>
      </c>
      <c r="CN248" s="541">
        <f t="shared" si="657"/>
        <v>16</v>
      </c>
      <c r="CO248" s="443">
        <f t="shared" ref="CO248:CO279" si="770">(CW248+Vfwd2)*Nps</f>
        <v>8.5350000000000001</v>
      </c>
      <c r="CP248" s="443">
        <f t="shared" ref="CP248:CP279" si="771">(Vout+Vfwd2)*Nps+CN248</f>
        <v>24.535</v>
      </c>
      <c r="CQ248" s="443"/>
      <c r="CR248" s="217">
        <f t="shared" si="660"/>
        <v>0.34760448521916415</v>
      </c>
      <c r="CS248" s="172">
        <f t="shared" si="661"/>
        <v>175.08966662891231</v>
      </c>
      <c r="CT248" s="172">
        <f t="shared" si="662"/>
        <v>10.2993921546419</v>
      </c>
      <c r="CU248" s="217">
        <f t="shared" si="663"/>
        <v>1.02993921546419</v>
      </c>
      <c r="CV248" s="217">
        <f t="shared" si="664"/>
        <v>14.590805552409359</v>
      </c>
      <c r="CW248" s="217">
        <f t="shared" si="665"/>
        <v>170</v>
      </c>
      <c r="CX248" s="217">
        <f t="shared" si="666"/>
        <v>12.42791788856305</v>
      </c>
      <c r="CY248" s="217">
        <f t="shared" si="667"/>
        <v>0.38837243401759525</v>
      </c>
      <c r="CZ248" s="217">
        <f t="shared" si="668"/>
        <v>0.7280561153229671</v>
      </c>
      <c r="DA248" s="197">
        <f t="shared" si="669"/>
        <v>350</v>
      </c>
      <c r="DB248" s="443">
        <f t="shared" si="670"/>
        <v>350</v>
      </c>
      <c r="DD248" s="217">
        <f t="shared" si="671"/>
        <v>31.805292730501623</v>
      </c>
      <c r="DE248" s="173">
        <f t="shared" si="672"/>
        <v>1.8632274593146818</v>
      </c>
      <c r="DF248" s="173">
        <f t="shared" si="673"/>
        <v>0.4897221442551708</v>
      </c>
      <c r="DG248" s="173"/>
      <c r="DH248" s="173">
        <f t="shared" si="674"/>
        <v>0.78109744190587771</v>
      </c>
      <c r="DI248" s="545">
        <f t="shared" si="675"/>
        <v>780.80188235294133</v>
      </c>
      <c r="DJ248" s="528">
        <f t="shared" si="676"/>
        <v>8.6065366284073561E-2</v>
      </c>
      <c r="DL248" s="173">
        <f t="shared" si="677"/>
        <v>19.873888109059802</v>
      </c>
      <c r="DM248" s="173">
        <f t="shared" si="678"/>
        <v>19.873888109059802</v>
      </c>
      <c r="DN248" s="173">
        <f t="shared" si="679"/>
        <v>6.0448553894270143</v>
      </c>
      <c r="DP248" s="545">
        <f t="shared" si="680"/>
        <v>192</v>
      </c>
      <c r="DQ248" s="460">
        <f t="shared" si="681"/>
        <v>350</v>
      </c>
      <c r="DS248">
        <f t="shared" si="682"/>
        <v>192</v>
      </c>
      <c r="DT248">
        <f t="shared" si="683"/>
        <v>350</v>
      </c>
      <c r="DV248" s="5">
        <f t="shared" si="684"/>
        <v>2.8571428571428572</v>
      </c>
      <c r="DW248" s="5">
        <f t="shared" si="685"/>
        <v>0.62105900340811881</v>
      </c>
      <c r="DX248" s="5">
        <f t="shared" si="686"/>
        <v>2.2360838537347383</v>
      </c>
      <c r="DY248" s="173">
        <f t="shared" si="687"/>
        <v>0.21737065119284157</v>
      </c>
      <c r="EA248" s="5">
        <f t="shared" si="713"/>
        <v>7.0143134502564E-2</v>
      </c>
      <c r="EB248" s="5">
        <f t="shared" si="714"/>
        <v>0.82807867121082523</v>
      </c>
      <c r="EC248" s="5">
        <f t="shared" si="715"/>
        <v>7.2985776985901865</v>
      </c>
      <c r="ED248" s="5"/>
      <c r="EE248" s="173">
        <f t="shared" si="716"/>
        <v>5.3496167037504767</v>
      </c>
      <c r="EF248" s="173">
        <f t="shared" si="717"/>
        <v>0.47934334110251353</v>
      </c>
      <c r="EG248" s="173">
        <f t="shared" si="718"/>
        <v>0.37898984866233937</v>
      </c>
      <c r="EH248" s="173"/>
      <c r="EI248" s="528">
        <f t="shared" si="719"/>
        <v>1.1447359550818446</v>
      </c>
      <c r="EJ248" s="528">
        <f t="shared" si="720"/>
        <v>4.6932062557744043</v>
      </c>
      <c r="EK248" s="528">
        <f t="shared" si="721"/>
        <v>6.9999999999999993E-2</v>
      </c>
      <c r="EL248" s="528">
        <f t="shared" si="722"/>
        <v>4.2137635749999999E-2</v>
      </c>
      <c r="EM248">
        <f t="shared" si="723"/>
        <v>7.1999999999999998E-3</v>
      </c>
      <c r="EN248" s="460">
        <f t="shared" si="724"/>
        <v>77.199999999999989</v>
      </c>
      <c r="EP248" s="460">
        <f t="shared" si="725"/>
        <v>5957.2798466062486</v>
      </c>
      <c r="EQ248" s="173">
        <f t="shared" si="726"/>
        <v>0.13439999999999999</v>
      </c>
      <c r="ER248" s="173">
        <f t="shared" ref="ER248:ER279" si="772">Vfwd22*CK248*(1+Diode_TC/1000*(Ta-25))</f>
        <v>0.13887999999999998</v>
      </c>
      <c r="ES248" s="528"/>
      <c r="EU248" s="460">
        <f t="shared" si="727"/>
        <v>273.27999999999997</v>
      </c>
      <c r="EV248" s="528">
        <f t="shared" si="728"/>
        <v>0.85855196631138342</v>
      </c>
      <c r="EW248" s="528">
        <f t="shared" si="729"/>
        <v>6.8931011597796188E-3</v>
      </c>
      <c r="EX248" s="528">
        <f t="shared" si="730"/>
        <v>7.1816652694551457E-4</v>
      </c>
      <c r="EY248" s="528">
        <f t="shared" si="731"/>
        <v>201.76564318845161</v>
      </c>
      <c r="EZ248" s="528"/>
      <c r="FA248" s="625">
        <f t="shared" si="732"/>
        <v>3.4560000000000004</v>
      </c>
      <c r="FB248" s="460">
        <f t="shared" si="733"/>
        <v>206087.80642244971</v>
      </c>
      <c r="FC248" s="173">
        <f t="shared" si="734"/>
        <v>212.31836626905596</v>
      </c>
      <c r="FD248" s="5">
        <f t="shared" si="735"/>
        <v>34.56</v>
      </c>
      <c r="FE248" s="173">
        <f t="shared" si="736"/>
        <v>0.13998796460899862</v>
      </c>
      <c r="FF248" s="5">
        <f t="shared" si="737"/>
        <v>13.998796460899863</v>
      </c>
      <c r="FG248">
        <f t="shared" si="738"/>
        <v>32</v>
      </c>
      <c r="FI248" s="562">
        <f t="shared" si="689"/>
        <v>-50</v>
      </c>
    </row>
    <row r="249" spans="5:165">
      <c r="E249" s="170">
        <v>33</v>
      </c>
      <c r="F249" s="217">
        <f t="shared" ref="F249:F280" si="773">IF(PLOT_TYPE=1, E249/100*Iout_max, min_I*EXP(O249*rr/100))</f>
        <v>0.19800000000000001</v>
      </c>
      <c r="G249" s="217">
        <f t="shared" si="742"/>
        <v>0.16500000000000001</v>
      </c>
      <c r="H249" s="217">
        <f t="shared" si="743"/>
        <v>33.660000000000004</v>
      </c>
      <c r="I249" s="217">
        <f t="shared" si="744"/>
        <v>1.98</v>
      </c>
      <c r="J249" s="541">
        <f t="shared" si="745"/>
        <v>15.147037529615609</v>
      </c>
      <c r="K249" s="443">
        <f t="shared" si="746"/>
        <v>8.5403711611951358</v>
      </c>
      <c r="L249" s="172">
        <f t="shared" si="747"/>
        <v>23.687408690810745</v>
      </c>
      <c r="M249" s="443"/>
      <c r="N249" s="217">
        <f t="shared" si="748"/>
        <v>0.36054476336655067</v>
      </c>
      <c r="O249" s="172">
        <f t="shared" si="749"/>
        <v>171.92619639061462</v>
      </c>
      <c r="P249" s="172">
        <f t="shared" si="750"/>
        <v>10.113305670036153</v>
      </c>
      <c r="Q249" s="217">
        <f t="shared" si="626"/>
        <v>1.0113305670036155</v>
      </c>
      <c r="R249" s="217">
        <f t="shared" si="751"/>
        <v>14.327183032551218</v>
      </c>
      <c r="S249" s="217">
        <f t="shared" si="752"/>
        <v>170</v>
      </c>
      <c r="T249" s="217">
        <f t="shared" si="753"/>
        <v>13.052112168535704</v>
      </c>
      <c r="U249" s="217">
        <f t="shared" si="630"/>
        <v>0.43084702678712289</v>
      </c>
      <c r="V249" s="217">
        <f t="shared" si="631"/>
        <v>0.76414197475635215</v>
      </c>
      <c r="W249" s="197">
        <f t="shared" si="632"/>
        <v>350</v>
      </c>
      <c r="X249" s="443">
        <f t="shared" si="691"/>
        <v>350</v>
      </c>
      <c r="Z249" s="217">
        <f t="shared" si="633"/>
        <v>31.206771781825843</v>
      </c>
      <c r="AA249" s="173">
        <f t="shared" si="634"/>
        <v>1.8270149618098552</v>
      </c>
      <c r="AB249" s="173">
        <f t="shared" si="754"/>
        <v>0.47116759969906863</v>
      </c>
      <c r="AC249" s="173"/>
      <c r="AD249" s="173">
        <f t="shared" si="636"/>
        <v>0.78060619858747882</v>
      </c>
      <c r="AE249" s="545">
        <f t="shared" si="755"/>
        <v>805.70866284263286</v>
      </c>
      <c r="AF249" s="528">
        <f t="shared" si="756"/>
        <v>8.6011238548064792E-2</v>
      </c>
      <c r="AH249" s="173">
        <f t="shared" si="757"/>
        <v>20.182028780929972</v>
      </c>
      <c r="AI249" s="173">
        <f t="shared" si="758"/>
        <v>20.182028780929972</v>
      </c>
      <c r="AJ249" s="173">
        <f t="shared" si="759"/>
        <v>6.2731077389604728</v>
      </c>
      <c r="AL249" s="545">
        <f t="shared" si="760"/>
        <v>198</v>
      </c>
      <c r="AM249" s="460">
        <f t="shared" si="761"/>
        <v>350</v>
      </c>
      <c r="AO249">
        <f t="shared" si="644"/>
        <v>198</v>
      </c>
      <c r="AP249">
        <f t="shared" si="645"/>
        <v>350</v>
      </c>
      <c r="AR249" s="5">
        <f t="shared" si="616"/>
        <v>2.8571428571428572</v>
      </c>
      <c r="AS249" s="5">
        <f t="shared" si="739"/>
        <v>0.66620382835488146</v>
      </c>
      <c r="AT249" s="5">
        <f t="shared" si="740"/>
        <v>2.1909390287879758</v>
      </c>
      <c r="AU249" s="173">
        <f t="shared" si="741"/>
        <v>0.23317133992420849</v>
      </c>
      <c r="BA249" s="173">
        <f t="shared" si="692"/>
        <v>5.6265447588572473</v>
      </c>
      <c r="BB249" s="173">
        <f t="shared" si="693"/>
        <v>0.48183659652476163</v>
      </c>
      <c r="BC249" s="173">
        <f t="shared" si="694"/>
        <v>0.38096112564509865</v>
      </c>
      <c r="BD249" s="173"/>
      <c r="BE249" s="528">
        <f t="shared" si="695"/>
        <v>1.2663202369369584</v>
      </c>
      <c r="BF249" s="528">
        <f t="shared" si="762"/>
        <v>3.7647222160557967</v>
      </c>
      <c r="BG249" s="528">
        <f t="shared" si="763"/>
        <v>0.21205852541461856</v>
      </c>
      <c r="BH249" s="528">
        <f t="shared" si="696"/>
        <v>3.9276533133984749E-2</v>
      </c>
      <c r="BI249">
        <f t="shared" si="697"/>
        <v>6.8161668883270242E-3</v>
      </c>
      <c r="BJ249" s="460">
        <f t="shared" si="698"/>
        <v>218.87469230294559</v>
      </c>
      <c r="BK249">
        <f t="shared" si="764"/>
        <v>7.7414571949649096</v>
      </c>
      <c r="BL249" s="460">
        <f t="shared" si="699"/>
        <v>5289.1936784296859</v>
      </c>
      <c r="BM249" s="173">
        <f t="shared" si="765"/>
        <v>0.17186399999999999</v>
      </c>
      <c r="BN249" s="173">
        <f t="shared" si="766"/>
        <v>0.14321999999999999</v>
      </c>
      <c r="BQ249" s="460">
        <f t="shared" si="700"/>
        <v>315.084</v>
      </c>
      <c r="BR249" s="528">
        <f t="shared" si="701"/>
        <v>0.94974017770271868</v>
      </c>
      <c r="BS249" s="528">
        <f t="shared" si="702"/>
        <v>6.964995172516978E-3</v>
      </c>
      <c r="BT249" s="528">
        <f t="shared" si="703"/>
        <v>7.2565689626390313E-4</v>
      </c>
      <c r="BU249" s="528">
        <f t="shared" si="704"/>
        <v>209.67766332897276</v>
      </c>
      <c r="BV249" s="528"/>
      <c r="BW249" s="625">
        <f t="shared" si="705"/>
        <v>3.5640000000000005</v>
      </c>
      <c r="BX249" s="460">
        <f t="shared" si="706"/>
        <v>214199.09415874426</v>
      </c>
      <c r="BY249" s="173">
        <f t="shared" si="707"/>
        <v>219.80337183717393</v>
      </c>
      <c r="BZ249" s="5">
        <f t="shared" si="708"/>
        <v>35.64</v>
      </c>
      <c r="CA249" s="173">
        <f t="shared" si="709"/>
        <v>0.13952211695168917</v>
      </c>
      <c r="CB249" s="5">
        <f t="shared" si="710"/>
        <v>13.952211695168918</v>
      </c>
      <c r="CC249">
        <f t="shared" si="711"/>
        <v>33</v>
      </c>
      <c r="CE249" s="562">
        <f t="shared" si="767"/>
        <v>-50</v>
      </c>
      <c r="CG249" s="173">
        <f t="shared" si="768"/>
        <v>0.40380542781073631</v>
      </c>
      <c r="CH249" s="173">
        <f t="shared" si="769"/>
        <v>0.10322516048857493</v>
      </c>
      <c r="CI249" s="170">
        <v>33</v>
      </c>
      <c r="CJ249" s="217">
        <f t="shared" si="712"/>
        <v>0.19800000000000001</v>
      </c>
      <c r="CK249" s="217">
        <f t="shared" si="654"/>
        <v>0.16500000000000001</v>
      </c>
      <c r="CL249" s="217">
        <f t="shared" si="655"/>
        <v>33.660000000000004</v>
      </c>
      <c r="CM249" s="217">
        <f t="shared" si="656"/>
        <v>1.98</v>
      </c>
      <c r="CN249" s="541">
        <f t="shared" si="657"/>
        <v>16</v>
      </c>
      <c r="CO249" s="443">
        <f t="shared" si="770"/>
        <v>8.5350000000000001</v>
      </c>
      <c r="CP249" s="443">
        <f t="shared" si="771"/>
        <v>24.535</v>
      </c>
      <c r="CQ249" s="443"/>
      <c r="CR249" s="217">
        <f t="shared" si="660"/>
        <v>0.34760448521916415</v>
      </c>
      <c r="CS249" s="172">
        <f t="shared" si="661"/>
        <v>175.08966662891231</v>
      </c>
      <c r="CT249" s="172">
        <f t="shared" si="662"/>
        <v>10.2993921546419</v>
      </c>
      <c r="CU249" s="217">
        <f t="shared" si="663"/>
        <v>1.02993921546419</v>
      </c>
      <c r="CV249" s="217">
        <f t="shared" si="664"/>
        <v>14.590805552409359</v>
      </c>
      <c r="CW249" s="217">
        <f t="shared" si="665"/>
        <v>170</v>
      </c>
      <c r="CX249" s="217">
        <f t="shared" si="666"/>
        <v>12.816290322580643</v>
      </c>
      <c r="CY249" s="217">
        <f t="shared" si="667"/>
        <v>0.40050907258064511</v>
      </c>
      <c r="CZ249" s="217">
        <f t="shared" si="668"/>
        <v>0.75080786892680984</v>
      </c>
      <c r="DA249" s="197">
        <f t="shared" si="669"/>
        <v>350</v>
      </c>
      <c r="DB249" s="443">
        <f t="shared" si="670"/>
        <v>350</v>
      </c>
      <c r="DD249" s="217">
        <f t="shared" si="671"/>
        <v>31.805292730501623</v>
      </c>
      <c r="DE249" s="173">
        <f t="shared" si="672"/>
        <v>1.8632274593146818</v>
      </c>
      <c r="DF249" s="173">
        <f t="shared" si="673"/>
        <v>0.4897221442551708</v>
      </c>
      <c r="DG249" s="173"/>
      <c r="DH249" s="173">
        <f t="shared" si="674"/>
        <v>0.78109744190587771</v>
      </c>
      <c r="DI249" s="545">
        <f t="shared" si="675"/>
        <v>805.20194117647077</v>
      </c>
      <c r="DJ249" s="528">
        <f t="shared" si="676"/>
        <v>8.6065366284073561E-2</v>
      </c>
      <c r="DL249" s="173">
        <f t="shared" si="677"/>
        <v>20.182028780929972</v>
      </c>
      <c r="DM249" s="173">
        <f t="shared" si="678"/>
        <v>20.182028780929972</v>
      </c>
      <c r="DN249" s="173">
        <f t="shared" si="679"/>
        <v>6.2731077389604728</v>
      </c>
      <c r="DP249" s="545">
        <f t="shared" si="680"/>
        <v>198</v>
      </c>
      <c r="DQ249" s="460">
        <f t="shared" si="681"/>
        <v>350</v>
      </c>
      <c r="DS249">
        <f t="shared" si="682"/>
        <v>198</v>
      </c>
      <c r="DT249">
        <f t="shared" si="683"/>
        <v>350</v>
      </c>
      <c r="DV249" s="5">
        <f t="shared" si="684"/>
        <v>2.8571428571428572</v>
      </c>
      <c r="DW249" s="5">
        <f t="shared" si="685"/>
        <v>0.63068839940406163</v>
      </c>
      <c r="DX249" s="5">
        <f t="shared" si="686"/>
        <v>2.2264544577387957</v>
      </c>
      <c r="DY249" s="173">
        <f t="shared" si="687"/>
        <v>0.22074093979142156</v>
      </c>
      <c r="EA249" s="5">
        <f t="shared" si="713"/>
        <v>7.3456648871767172E-2</v>
      </c>
      <c r="EB249" s="5">
        <f t="shared" si="714"/>
        <v>0.86719654918058475</v>
      </c>
      <c r="EC249" s="5">
        <f t="shared" si="715"/>
        <v>7.4942457047487876</v>
      </c>
      <c r="ED249" s="5"/>
      <c r="EE249" s="173">
        <f t="shared" si="716"/>
        <v>5.4745148405754653</v>
      </c>
      <c r="EF249" s="173">
        <f t="shared" si="717"/>
        <v>0.48572621647562025</v>
      </c>
      <c r="EG249" s="173">
        <f t="shared" si="718"/>
        <v>0.38403642960809808</v>
      </c>
      <c r="EH249" s="173"/>
      <c r="EI249" s="528">
        <f t="shared" si="719"/>
        <v>1.1988125095872406</v>
      </c>
      <c r="EJ249" s="528">
        <f t="shared" si="720"/>
        <v>4.7659734828486249</v>
      </c>
      <c r="EK249" s="528">
        <f t="shared" si="721"/>
        <v>6.9999999999999993E-2</v>
      </c>
      <c r="EL249" s="528">
        <f t="shared" si="722"/>
        <v>4.2137635749999999E-2</v>
      </c>
      <c r="EM249">
        <f t="shared" si="723"/>
        <v>7.1999999999999998E-3</v>
      </c>
      <c r="EN249" s="460">
        <f t="shared" si="724"/>
        <v>77.199999999999989</v>
      </c>
      <c r="EP249" s="460">
        <f t="shared" si="725"/>
        <v>6084.1236281858655</v>
      </c>
      <c r="EQ249" s="173">
        <f t="shared" si="726"/>
        <v>0.1386</v>
      </c>
      <c r="ER249" s="173">
        <f t="shared" si="772"/>
        <v>0.14321999999999999</v>
      </c>
      <c r="ES249" s="528"/>
      <c r="EU249" s="460">
        <f t="shared" si="727"/>
        <v>281.81999999999994</v>
      </c>
      <c r="EV249" s="528">
        <f t="shared" si="728"/>
        <v>0.89910938219043035</v>
      </c>
      <c r="EW249" s="528">
        <f t="shared" si="729"/>
        <v>7.0778987211516332E-3</v>
      </c>
      <c r="EX249" s="528">
        <f t="shared" si="730"/>
        <v>7.3741989633067842E-4</v>
      </c>
      <c r="EY249" s="528">
        <f t="shared" si="731"/>
        <v>209.67766332897276</v>
      </c>
      <c r="EZ249" s="528"/>
      <c r="FA249" s="625">
        <f t="shared" si="732"/>
        <v>3.5640000000000005</v>
      </c>
      <c r="FB249" s="460">
        <f t="shared" si="733"/>
        <v>214148.58802978066</v>
      </c>
      <c r="FC249" s="173">
        <f t="shared" si="734"/>
        <v>220.51453165796653</v>
      </c>
      <c r="FD249" s="5">
        <f t="shared" si="735"/>
        <v>35.64</v>
      </c>
      <c r="FE249" s="173">
        <f t="shared" si="736"/>
        <v>0.13913476279072332</v>
      </c>
      <c r="FF249" s="5">
        <f t="shared" si="737"/>
        <v>13.913476279072331</v>
      </c>
      <c r="FG249">
        <f t="shared" si="738"/>
        <v>33</v>
      </c>
      <c r="FI249" s="562">
        <f t="shared" si="689"/>
        <v>-50</v>
      </c>
    </row>
    <row r="250" spans="5:165">
      <c r="E250" s="170">
        <v>34</v>
      </c>
      <c r="F250" s="217">
        <f t="shared" si="773"/>
        <v>0.20400000000000001</v>
      </c>
      <c r="G250" s="217">
        <f t="shared" si="742"/>
        <v>0.17</v>
      </c>
      <c r="H250" s="217">
        <f t="shared" si="743"/>
        <v>34.68</v>
      </c>
      <c r="I250" s="217">
        <f t="shared" si="744"/>
        <v>2.04</v>
      </c>
      <c r="J250" s="541">
        <f t="shared" si="745"/>
        <v>15.134210306520526</v>
      </c>
      <c r="K250" s="443">
        <f t="shared" si="746"/>
        <v>8.5404519350689245</v>
      </c>
      <c r="L250" s="172">
        <f t="shared" si="747"/>
        <v>23.674662241589452</v>
      </c>
      <c r="M250" s="443"/>
      <c r="N250" s="217">
        <f t="shared" si="748"/>
        <v>0.36074229266366681</v>
      </c>
      <c r="O250" s="172">
        <f t="shared" si="749"/>
        <v>171.87471352163197</v>
      </c>
      <c r="P250" s="172">
        <f t="shared" si="750"/>
        <v>10.110277265978352</v>
      </c>
      <c r="Q250" s="217">
        <f t="shared" si="626"/>
        <v>1.0110277265978351</v>
      </c>
      <c r="R250" s="217">
        <f t="shared" si="751"/>
        <v>14.322892793469331</v>
      </c>
      <c r="S250" s="217">
        <f t="shared" si="752"/>
        <v>170</v>
      </c>
      <c r="T250" s="217">
        <f t="shared" si="753"/>
        <v>13.451658784635669</v>
      </c>
      <c r="U250" s="217">
        <f t="shared" si="630"/>
        <v>0.44441231198036357</v>
      </c>
      <c r="V250" s="217">
        <f t="shared" si="631"/>
        <v>0.78752616880848403</v>
      </c>
      <c r="W250" s="197">
        <f t="shared" si="632"/>
        <v>350</v>
      </c>
      <c r="X250" s="443">
        <f t="shared" si="691"/>
        <v>350</v>
      </c>
      <c r="Z250" s="217">
        <f t="shared" si="633"/>
        <v>31.197426992161777</v>
      </c>
      <c r="AA250" s="173">
        <f t="shared" si="634"/>
        <v>1.8264505923895233</v>
      </c>
      <c r="AB250" s="173">
        <f t="shared" si="754"/>
        <v>0.4708810084925466</v>
      </c>
      <c r="AC250" s="173"/>
      <c r="AD250" s="173">
        <f t="shared" si="636"/>
        <v>0.78059881577131829</v>
      </c>
      <c r="AE250" s="545">
        <f t="shared" si="755"/>
        <v>830.1319280886994</v>
      </c>
      <c r="AF250" s="528">
        <f t="shared" si="756"/>
        <v>8.6010425071098975E-2</v>
      </c>
      <c r="AH250" s="173">
        <f t="shared" si="757"/>
        <v>20.485534966340101</v>
      </c>
      <c r="AI250" s="173">
        <f t="shared" si="758"/>
        <v>20.485534966340101</v>
      </c>
      <c r="AJ250" s="173">
        <f t="shared" si="759"/>
        <v>6.4979271355605679</v>
      </c>
      <c r="AL250" s="545">
        <f t="shared" si="760"/>
        <v>204.00000000000003</v>
      </c>
      <c r="AM250" s="460">
        <f t="shared" si="761"/>
        <v>350</v>
      </c>
      <c r="AO250">
        <f t="shared" si="644"/>
        <v>204.00000000000003</v>
      </c>
      <c r="AP250">
        <f t="shared" si="645"/>
        <v>350</v>
      </c>
      <c r="AR250" s="5">
        <f t="shared" si="616"/>
        <v>2.8571428571428572</v>
      </c>
      <c r="AS250" s="5">
        <f t="shared" si="739"/>
        <v>0.67679563556461142</v>
      </c>
      <c r="AT250" s="5">
        <f t="shared" si="740"/>
        <v>2.1803472215782458</v>
      </c>
      <c r="AU250" s="173">
        <f t="shared" si="741"/>
        <v>0.23687847244761398</v>
      </c>
      <c r="BA250" s="173">
        <f t="shared" si="692"/>
        <v>5.7563803138120901</v>
      </c>
      <c r="BB250" s="173">
        <f t="shared" si="693"/>
        <v>0.48789903098475706</v>
      </c>
      <c r="BC250" s="173">
        <f t="shared" si="694"/>
        <v>0.38575435196432628</v>
      </c>
      <c r="BD250" s="173"/>
      <c r="BE250" s="528">
        <f t="shared" si="695"/>
        <v>1.325436572689735</v>
      </c>
      <c r="BF250" s="528">
        <f t="shared" si="762"/>
        <v>3.8192814541851829</v>
      </c>
      <c r="BG250" s="528">
        <f t="shared" si="763"/>
        <v>0.21187894429128737</v>
      </c>
      <c r="BH250" s="528">
        <f t="shared" si="696"/>
        <v>3.9234274257733889E-2</v>
      </c>
      <c r="BI250">
        <f t="shared" si="697"/>
        <v>6.8103946379342367E-3</v>
      </c>
      <c r="BJ250" s="460">
        <f t="shared" si="698"/>
        <v>218.68933892922161</v>
      </c>
      <c r="BK250">
        <f t="shared" si="764"/>
        <v>8.0893477351042105</v>
      </c>
      <c r="BL250" s="460">
        <f t="shared" si="699"/>
        <v>5402.6416400618737</v>
      </c>
      <c r="BM250" s="173">
        <f t="shared" si="765"/>
        <v>0.17707200000000001</v>
      </c>
      <c r="BN250" s="173">
        <f t="shared" si="766"/>
        <v>0.14756</v>
      </c>
      <c r="BQ250" s="460">
        <f t="shared" si="700"/>
        <v>324.63200000000001</v>
      </c>
      <c r="BR250" s="528">
        <f t="shared" si="701"/>
        <v>0.99407742951730127</v>
      </c>
      <c r="BS250" s="528">
        <f t="shared" si="702"/>
        <v>7.1413639330759476E-3</v>
      </c>
      <c r="BT250" s="528">
        <f t="shared" si="703"/>
        <v>7.4403210029708666E-4</v>
      </c>
      <c r="BU250" s="528">
        <f t="shared" si="704"/>
        <v>217.64985872466013</v>
      </c>
      <c r="BV250" s="528"/>
      <c r="BW250" s="625">
        <f t="shared" si="705"/>
        <v>3.6720000000000002</v>
      </c>
      <c r="BX250" s="460">
        <f t="shared" si="706"/>
        <v>222323.82155021079</v>
      </c>
      <c r="BY250" s="173">
        <f t="shared" si="707"/>
        <v>228.05109519027269</v>
      </c>
      <c r="BZ250" s="5">
        <f t="shared" si="708"/>
        <v>36.72</v>
      </c>
      <c r="CA250" s="173">
        <f t="shared" si="709"/>
        <v>0.13868583341248739</v>
      </c>
      <c r="CB250" s="5">
        <f t="shared" si="710"/>
        <v>13.868583341248739</v>
      </c>
      <c r="CC250">
        <f t="shared" si="711"/>
        <v>34</v>
      </c>
      <c r="CE250" s="562">
        <f t="shared" si="767"/>
        <v>-50</v>
      </c>
      <c r="CG250" s="173">
        <f t="shared" si="768"/>
        <v>0.40987803063838391</v>
      </c>
      <c r="CH250" s="173">
        <f t="shared" si="769"/>
        <v>0.10477750564863331</v>
      </c>
      <c r="CI250" s="170">
        <v>34</v>
      </c>
      <c r="CJ250" s="217">
        <f t="shared" si="712"/>
        <v>0.20400000000000001</v>
      </c>
      <c r="CK250" s="217">
        <f t="shared" si="654"/>
        <v>0.17</v>
      </c>
      <c r="CL250" s="217">
        <f t="shared" si="655"/>
        <v>34.68</v>
      </c>
      <c r="CM250" s="217">
        <f t="shared" si="656"/>
        <v>2.04</v>
      </c>
      <c r="CN250" s="541">
        <f t="shared" si="657"/>
        <v>16</v>
      </c>
      <c r="CO250" s="443">
        <f t="shared" si="770"/>
        <v>8.5350000000000001</v>
      </c>
      <c r="CP250" s="443">
        <f t="shared" si="771"/>
        <v>24.535</v>
      </c>
      <c r="CQ250" s="443"/>
      <c r="CR250" s="217">
        <f t="shared" si="660"/>
        <v>0.34760448521916415</v>
      </c>
      <c r="CS250" s="172">
        <f t="shared" si="661"/>
        <v>175.08966662891231</v>
      </c>
      <c r="CT250" s="172">
        <f t="shared" si="662"/>
        <v>10.2993921546419</v>
      </c>
      <c r="CU250" s="217">
        <f t="shared" si="663"/>
        <v>1.02993921546419</v>
      </c>
      <c r="CV250" s="217">
        <f t="shared" si="664"/>
        <v>14.590805552409359</v>
      </c>
      <c r="CW250" s="217">
        <f t="shared" si="665"/>
        <v>170</v>
      </c>
      <c r="CX250" s="217">
        <f t="shared" si="666"/>
        <v>13.204662756598239</v>
      </c>
      <c r="CY250" s="217">
        <f t="shared" si="667"/>
        <v>0.41264571114369492</v>
      </c>
      <c r="CZ250" s="217">
        <f t="shared" si="668"/>
        <v>0.77355962253065247</v>
      </c>
      <c r="DA250" s="197">
        <f t="shared" si="669"/>
        <v>350</v>
      </c>
      <c r="DB250" s="443">
        <f t="shared" si="670"/>
        <v>350</v>
      </c>
      <c r="DD250" s="217">
        <f t="shared" si="671"/>
        <v>31.805292730501623</v>
      </c>
      <c r="DE250" s="173">
        <f t="shared" si="672"/>
        <v>1.8632274593146818</v>
      </c>
      <c r="DF250" s="173">
        <f t="shared" si="673"/>
        <v>0.4897221442551708</v>
      </c>
      <c r="DG250" s="173"/>
      <c r="DH250" s="173">
        <f t="shared" si="674"/>
        <v>0.78109744190587771</v>
      </c>
      <c r="DI250" s="545">
        <f t="shared" si="675"/>
        <v>829.60200000000009</v>
      </c>
      <c r="DJ250" s="528">
        <f t="shared" si="676"/>
        <v>8.6065366284073561E-2</v>
      </c>
      <c r="DL250" s="173">
        <f t="shared" si="677"/>
        <v>20.485534966340101</v>
      </c>
      <c r="DM250" s="173">
        <f t="shared" si="678"/>
        <v>20.485534966340101</v>
      </c>
      <c r="DN250" s="173">
        <f t="shared" si="679"/>
        <v>6.4979271355605679</v>
      </c>
      <c r="DP250" s="545">
        <f t="shared" si="680"/>
        <v>204.00000000000003</v>
      </c>
      <c r="DQ250" s="460">
        <f t="shared" si="681"/>
        <v>350</v>
      </c>
      <c r="DS250">
        <f t="shared" si="682"/>
        <v>204.00000000000003</v>
      </c>
      <c r="DT250">
        <f t="shared" si="683"/>
        <v>350</v>
      </c>
      <c r="DV250" s="5">
        <f t="shared" si="684"/>
        <v>2.8571428571428572</v>
      </c>
      <c r="DW250" s="5">
        <f t="shared" si="685"/>
        <v>0.64017296769812815</v>
      </c>
      <c r="DX250" s="5">
        <f t="shared" si="686"/>
        <v>2.2169698894447292</v>
      </c>
      <c r="DY250" s="173">
        <f t="shared" si="687"/>
        <v>0.22406053869434484</v>
      </c>
      <c r="EA250" s="5">
        <f t="shared" si="713"/>
        <v>7.6820756123775383E-2</v>
      </c>
      <c r="EB250" s="5">
        <f t="shared" si="714"/>
        <v>0.9069117042390149</v>
      </c>
      <c r="EC250" s="5">
        <f t="shared" si="715"/>
        <v>7.6884515765943204</v>
      </c>
      <c r="ED250" s="5"/>
      <c r="EE250" s="173">
        <f t="shared" si="716"/>
        <v>5.5984701926955323</v>
      </c>
      <c r="EF250" s="173">
        <f t="shared" si="717"/>
        <v>0.49197951779502075</v>
      </c>
      <c r="EG250" s="173">
        <f t="shared" si="718"/>
        <v>0.38898056362950462</v>
      </c>
      <c r="EH250" s="173"/>
      <c r="EI250" s="528">
        <f t="shared" si="719"/>
        <v>1.2537147399400141</v>
      </c>
      <c r="EJ250" s="528">
        <f t="shared" si="720"/>
        <v>4.8376462788418619</v>
      </c>
      <c r="EK250" s="528">
        <f t="shared" si="721"/>
        <v>6.9999999999999993E-2</v>
      </c>
      <c r="EL250" s="528">
        <f t="shared" si="722"/>
        <v>4.2137635749999999E-2</v>
      </c>
      <c r="EM250">
        <f t="shared" si="723"/>
        <v>7.1999999999999998E-3</v>
      </c>
      <c r="EN250" s="460">
        <f t="shared" si="724"/>
        <v>77.199999999999989</v>
      </c>
      <c r="EP250" s="460">
        <f t="shared" si="725"/>
        <v>6210.6986545318769</v>
      </c>
      <c r="EQ250" s="173">
        <f t="shared" si="726"/>
        <v>0.14280000000000001</v>
      </c>
      <c r="ER250" s="173">
        <f t="shared" si="772"/>
        <v>0.14756</v>
      </c>
      <c r="ES250" s="528"/>
      <c r="EU250" s="460">
        <f t="shared" si="727"/>
        <v>290.36</v>
      </c>
      <c r="EV250" s="528">
        <f t="shared" si="728"/>
        <v>0.9402860549550105</v>
      </c>
      <c r="EW250" s="528">
        <f t="shared" si="729"/>
        <v>7.2613153778946339E-3</v>
      </c>
      <c r="EX250" s="528">
        <f t="shared" si="730"/>
        <v>7.5652939440763538E-4</v>
      </c>
      <c r="EY250" s="528">
        <f t="shared" si="731"/>
        <v>217.64985872466013</v>
      </c>
      <c r="EZ250" s="528"/>
      <c r="FA250" s="625">
        <f t="shared" si="732"/>
        <v>3.6720000000000002</v>
      </c>
      <c r="FB250" s="460">
        <f t="shared" si="733"/>
        <v>222270.16262438745</v>
      </c>
      <c r="FC250" s="173">
        <f t="shared" si="734"/>
        <v>228.77122127891931</v>
      </c>
      <c r="FD250" s="5">
        <f t="shared" si="735"/>
        <v>36.72</v>
      </c>
      <c r="FE250" s="173">
        <f t="shared" si="736"/>
        <v>0.13830965793563008</v>
      </c>
      <c r="FF250" s="5">
        <f t="shared" si="737"/>
        <v>13.830965793563008</v>
      </c>
      <c r="FG250">
        <f t="shared" si="738"/>
        <v>34</v>
      </c>
      <c r="FI250" s="562">
        <f t="shared" si="689"/>
        <v>-50</v>
      </c>
    </row>
    <row r="251" spans="5:165">
      <c r="E251" s="170">
        <v>35</v>
      </c>
      <c r="F251" s="217">
        <f t="shared" si="773"/>
        <v>0.21</v>
      </c>
      <c r="G251" s="217">
        <f t="shared" si="742"/>
        <v>0.17499999999999999</v>
      </c>
      <c r="H251" s="217">
        <f t="shared" si="743"/>
        <v>35.699999999999996</v>
      </c>
      <c r="I251" s="217">
        <f t="shared" si="744"/>
        <v>2.0999999999999996</v>
      </c>
      <c r="J251" s="541">
        <f t="shared" si="745"/>
        <v>15.121570372319832</v>
      </c>
      <c r="K251" s="443">
        <f t="shared" si="746"/>
        <v>8.5405315295721369</v>
      </c>
      <c r="L251" s="172">
        <f t="shared" si="747"/>
        <v>23.662101901891969</v>
      </c>
      <c r="M251" s="443"/>
      <c r="N251" s="217">
        <f t="shared" si="748"/>
        <v>0.36093714603136146</v>
      </c>
      <c r="O251" s="172">
        <f t="shared" si="749"/>
        <v>171.82392539418095</v>
      </c>
      <c r="P251" s="172">
        <f t="shared" si="750"/>
        <v>10.107289729069466</v>
      </c>
      <c r="Q251" s="217">
        <f t="shared" si="626"/>
        <v>1.0107289729069469</v>
      </c>
      <c r="R251" s="217">
        <f t="shared" si="751"/>
        <v>14.318660449515079</v>
      </c>
      <c r="S251" s="217">
        <f t="shared" si="752"/>
        <v>170</v>
      </c>
      <c r="T251" s="217">
        <f t="shared" si="753"/>
        <v>13.851388824577525</v>
      </c>
      <c r="U251" s="217">
        <f t="shared" si="630"/>
        <v>0.45800100398079735</v>
      </c>
      <c r="V251" s="217">
        <f t="shared" si="631"/>
        <v>0.81092077095062554</v>
      </c>
      <c r="W251" s="197">
        <f t="shared" si="632"/>
        <v>350</v>
      </c>
      <c r="X251" s="443">
        <f t="shared" si="691"/>
        <v>350</v>
      </c>
      <c r="Z251" s="217">
        <f t="shared" si="633"/>
        <v>31.188208306842927</v>
      </c>
      <c r="AA251" s="173">
        <f t="shared" si="634"/>
        <v>1.8258938684818244</v>
      </c>
      <c r="AB251" s="173">
        <f t="shared" si="754"/>
        <v>0.47059837775357016</v>
      </c>
      <c r="AC251" s="173"/>
      <c r="AD251" s="173">
        <f t="shared" si="636"/>
        <v>0.78059154088746197</v>
      </c>
      <c r="AE251" s="545">
        <f t="shared" si="755"/>
        <v>854.5555371648353</v>
      </c>
      <c r="AF251" s="528">
        <f t="shared" si="756"/>
        <v>8.6009623486674069E-2</v>
      </c>
      <c r="AH251" s="173">
        <f t="shared" si="757"/>
        <v>20.784609690826528</v>
      </c>
      <c r="AI251" s="173">
        <f t="shared" si="758"/>
        <v>20.784609690826528</v>
      </c>
      <c r="AJ251" s="173">
        <f t="shared" si="759"/>
        <v>6.7194639685134776</v>
      </c>
      <c r="AL251" s="545">
        <f t="shared" si="760"/>
        <v>210</v>
      </c>
      <c r="AM251" s="460">
        <f t="shared" si="761"/>
        <v>350</v>
      </c>
      <c r="AO251">
        <f t="shared" si="644"/>
        <v>210</v>
      </c>
      <c r="AP251">
        <f t="shared" si="645"/>
        <v>350</v>
      </c>
      <c r="AR251" s="5">
        <f t="shared" si="616"/>
        <v>2.8571428571428572</v>
      </c>
      <c r="AS251" s="5">
        <f t="shared" si="739"/>
        <v>0.6872503707972335</v>
      </c>
      <c r="AT251" s="5">
        <f t="shared" si="740"/>
        <v>2.1698924863456237</v>
      </c>
      <c r="AU251" s="173">
        <f t="shared" si="741"/>
        <v>0.24053762977903173</v>
      </c>
      <c r="BA251" s="173">
        <f t="shared" si="692"/>
        <v>5.885356292373519</v>
      </c>
      <c r="BB251" s="173">
        <f t="shared" si="693"/>
        <v>0.4938337833205958</v>
      </c>
      <c r="BC251" s="173">
        <f t="shared" si="694"/>
        <v>0.39044662720160117</v>
      </c>
      <c r="BD251" s="173"/>
      <c r="BE251" s="528">
        <f t="shared" si="695"/>
        <v>1.3854967475272231</v>
      </c>
      <c r="BF251" s="528">
        <f t="shared" si="762"/>
        <v>3.8729844759011849</v>
      </c>
      <c r="BG251" s="528">
        <f t="shared" si="763"/>
        <v>0.21170198521247763</v>
      </c>
      <c r="BH251" s="528">
        <f t="shared" si="696"/>
        <v>3.9192654649086368E-2</v>
      </c>
      <c r="BI251">
        <f t="shared" si="697"/>
        <v>6.8047066675439244E-3</v>
      </c>
      <c r="BJ251" s="460">
        <f t="shared" si="698"/>
        <v>218.50669188002155</v>
      </c>
      <c r="BK251">
        <f t="shared" si="764"/>
        <v>8.45513938455389</v>
      </c>
      <c r="BL251" s="460">
        <f t="shared" si="699"/>
        <v>5516.1805699575152</v>
      </c>
      <c r="BM251" s="173">
        <f t="shared" si="765"/>
        <v>0.18228</v>
      </c>
      <c r="BN251" s="173">
        <f t="shared" si="766"/>
        <v>0.15189999999999998</v>
      </c>
      <c r="BQ251" s="460">
        <f t="shared" si="700"/>
        <v>334.17999999999995</v>
      </c>
      <c r="BR251" s="528">
        <f t="shared" si="701"/>
        <v>1.0391225606454171</v>
      </c>
      <c r="BS251" s="528">
        <f t="shared" si="702"/>
        <v>7.3161541664619944E-3</v>
      </c>
      <c r="BT251" s="528">
        <f t="shared" si="703"/>
        <v>7.6224284346553071E-4</v>
      </c>
      <c r="BU251" s="528">
        <f t="shared" si="704"/>
        <v>225.68089669652699</v>
      </c>
      <c r="BV251" s="528"/>
      <c r="BW251" s="625">
        <f t="shared" si="705"/>
        <v>3.7800000000000002</v>
      </c>
      <c r="BX251" s="460">
        <f t="shared" si="706"/>
        <v>230508.09765418235</v>
      </c>
      <c r="BY251" s="173">
        <f t="shared" si="707"/>
        <v>236.35845822413984</v>
      </c>
      <c r="BZ251" s="5">
        <f t="shared" si="708"/>
        <v>37.799999999999997</v>
      </c>
      <c r="CA251" s="173">
        <f t="shared" si="709"/>
        <v>0.13787646839294809</v>
      </c>
      <c r="CB251" s="5">
        <f t="shared" si="710"/>
        <v>13.787646839294808</v>
      </c>
      <c r="CC251">
        <f t="shared" si="711"/>
        <v>35</v>
      </c>
      <c r="CE251" s="562">
        <f t="shared" si="767"/>
        <v>-50</v>
      </c>
      <c r="CG251" s="173">
        <f t="shared" si="768"/>
        <v>0.41586196805020315</v>
      </c>
      <c r="CH251" s="173">
        <f t="shared" si="769"/>
        <v>0.10630718518522968</v>
      </c>
      <c r="CI251" s="170">
        <v>35</v>
      </c>
      <c r="CJ251" s="217">
        <f t="shared" si="712"/>
        <v>0.21</v>
      </c>
      <c r="CK251" s="217">
        <f t="shared" si="654"/>
        <v>0.17499999999999999</v>
      </c>
      <c r="CL251" s="217">
        <f t="shared" si="655"/>
        <v>35.699999999999996</v>
      </c>
      <c r="CM251" s="217">
        <f t="shared" si="656"/>
        <v>2.0999999999999996</v>
      </c>
      <c r="CN251" s="541">
        <f t="shared" si="657"/>
        <v>16</v>
      </c>
      <c r="CO251" s="443">
        <f t="shared" si="770"/>
        <v>8.5350000000000001</v>
      </c>
      <c r="CP251" s="443">
        <f t="shared" si="771"/>
        <v>24.535</v>
      </c>
      <c r="CQ251" s="443"/>
      <c r="CR251" s="217">
        <f t="shared" si="660"/>
        <v>0.34760448521916415</v>
      </c>
      <c r="CS251" s="172">
        <f t="shared" si="661"/>
        <v>175.08966662891231</v>
      </c>
      <c r="CT251" s="172">
        <f t="shared" si="662"/>
        <v>10.2993921546419</v>
      </c>
      <c r="CU251" s="217">
        <f t="shared" si="663"/>
        <v>1.02993921546419</v>
      </c>
      <c r="CV251" s="217">
        <f t="shared" si="664"/>
        <v>14.590805552409359</v>
      </c>
      <c r="CW251" s="217">
        <f t="shared" si="665"/>
        <v>170</v>
      </c>
      <c r="CX251" s="217">
        <f t="shared" si="666"/>
        <v>13.593035190615833</v>
      </c>
      <c r="CY251" s="217">
        <f t="shared" si="667"/>
        <v>0.42478234970674478</v>
      </c>
      <c r="CZ251" s="217">
        <f t="shared" si="668"/>
        <v>0.7963113761344951</v>
      </c>
      <c r="DA251" s="197">
        <f t="shared" si="669"/>
        <v>350</v>
      </c>
      <c r="DB251" s="443">
        <f t="shared" si="670"/>
        <v>350</v>
      </c>
      <c r="DD251" s="217">
        <f t="shared" si="671"/>
        <v>31.805292730501623</v>
      </c>
      <c r="DE251" s="173">
        <f t="shared" si="672"/>
        <v>1.8632274593146818</v>
      </c>
      <c r="DF251" s="173">
        <f t="shared" si="673"/>
        <v>0.4897221442551708</v>
      </c>
      <c r="DG251" s="173"/>
      <c r="DH251" s="173">
        <f t="shared" si="674"/>
        <v>0.78109744190587771</v>
      </c>
      <c r="DI251" s="545">
        <f t="shared" si="675"/>
        <v>854.00205882352952</v>
      </c>
      <c r="DJ251" s="528">
        <f t="shared" si="676"/>
        <v>8.6065366284073561E-2</v>
      </c>
      <c r="DL251" s="173">
        <f t="shared" si="677"/>
        <v>20.784609690826528</v>
      </c>
      <c r="DM251" s="173">
        <f t="shared" si="678"/>
        <v>20.784609690826528</v>
      </c>
      <c r="DN251" s="173">
        <f t="shared" si="679"/>
        <v>6.7194639685134776</v>
      </c>
      <c r="DP251" s="545">
        <f t="shared" si="680"/>
        <v>210</v>
      </c>
      <c r="DQ251" s="460">
        <f t="shared" si="681"/>
        <v>350</v>
      </c>
      <c r="DS251">
        <f t="shared" si="682"/>
        <v>210</v>
      </c>
      <c r="DT251">
        <f t="shared" si="683"/>
        <v>350</v>
      </c>
      <c r="DV251" s="5">
        <f t="shared" si="684"/>
        <v>2.8571428571428572</v>
      </c>
      <c r="DW251" s="5">
        <f t="shared" si="685"/>
        <v>0.649519052838329</v>
      </c>
      <c r="DX251" s="5">
        <f t="shared" si="686"/>
        <v>2.2076238043045282</v>
      </c>
      <c r="DY251" s="173">
        <f t="shared" si="687"/>
        <v>0.22733166849341516</v>
      </c>
      <c r="EA251" s="5">
        <f t="shared" si="713"/>
        <v>8.0234706527087696E-2</v>
      </c>
      <c r="EB251" s="5">
        <f t="shared" si="714"/>
        <v>0.94721528538922972</v>
      </c>
      <c r="EC251" s="5">
        <f t="shared" si="715"/>
        <v>7.8812169813671646</v>
      </c>
      <c r="ED251" s="5"/>
      <c r="EE251" s="173">
        <f t="shared" si="716"/>
        <v>5.7215173042691907</v>
      </c>
      <c r="EF251" s="173">
        <f t="shared" si="717"/>
        <v>0.49810880985026534</v>
      </c>
      <c r="EG251" s="173">
        <f t="shared" si="718"/>
        <v>0.39382665049300741</v>
      </c>
      <c r="EH251" s="173"/>
      <c r="EI251" s="528">
        <f t="shared" si="719"/>
        <v>1.3094304105220715</v>
      </c>
      <c r="EJ251" s="528">
        <f t="shared" si="720"/>
        <v>4.9082725881076277</v>
      </c>
      <c r="EK251" s="528">
        <f t="shared" si="721"/>
        <v>6.9999999999999993E-2</v>
      </c>
      <c r="EL251" s="528">
        <f t="shared" si="722"/>
        <v>4.2137635749999999E-2</v>
      </c>
      <c r="EM251">
        <f t="shared" si="723"/>
        <v>7.1999999999999998E-3</v>
      </c>
      <c r="EN251" s="460">
        <f t="shared" si="724"/>
        <v>77.199999999999989</v>
      </c>
      <c r="EP251" s="460">
        <f t="shared" si="725"/>
        <v>6337.0406343796994</v>
      </c>
      <c r="EQ251" s="173">
        <f t="shared" si="726"/>
        <v>0.14699999999999999</v>
      </c>
      <c r="ER251" s="173">
        <f t="shared" si="772"/>
        <v>0.15189999999999998</v>
      </c>
      <c r="ES251" s="528"/>
      <c r="EU251" s="460">
        <f t="shared" si="727"/>
        <v>298.89999999999992</v>
      </c>
      <c r="EV251" s="528">
        <f t="shared" si="728"/>
        <v>0.9820728078915536</v>
      </c>
      <c r="EW251" s="528">
        <f t="shared" si="729"/>
        <v>7.4433715935134336E-3</v>
      </c>
      <c r="EX251" s="528">
        <f t="shared" si="730"/>
        <v>7.754971531927071E-4</v>
      </c>
      <c r="EY251" s="528">
        <f t="shared" si="731"/>
        <v>225.68089669652699</v>
      </c>
      <c r="EZ251" s="528"/>
      <c r="FA251" s="625">
        <f t="shared" si="732"/>
        <v>3.7800000000000002</v>
      </c>
      <c r="FB251" s="460">
        <f t="shared" si="733"/>
        <v>230451.18837316526</v>
      </c>
      <c r="FC251" s="173">
        <f t="shared" si="734"/>
        <v>237.08712900754495</v>
      </c>
      <c r="FD251" s="5">
        <f t="shared" si="735"/>
        <v>37.799999999999997</v>
      </c>
      <c r="FE251" s="173">
        <f t="shared" si="736"/>
        <v>0.13751098545964471</v>
      </c>
      <c r="FF251" s="5">
        <f t="shared" si="737"/>
        <v>13.751098545964471</v>
      </c>
      <c r="FG251">
        <f t="shared" si="738"/>
        <v>35</v>
      </c>
      <c r="FI251" s="562">
        <f t="shared" si="689"/>
        <v>-50</v>
      </c>
    </row>
    <row r="252" spans="5:165">
      <c r="E252" s="170">
        <v>36</v>
      </c>
      <c r="F252" s="217">
        <f t="shared" si="773"/>
        <v>0.216</v>
      </c>
      <c r="G252" s="217">
        <f t="shared" si="742"/>
        <v>0.18</v>
      </c>
      <c r="H252" s="217">
        <f t="shared" si="743"/>
        <v>36.72</v>
      </c>
      <c r="I252" s="217">
        <f t="shared" si="744"/>
        <v>2.16</v>
      </c>
      <c r="J252" s="541">
        <f t="shared" si="745"/>
        <v>15.109109755223823</v>
      </c>
      <c r="K252" s="443">
        <f t="shared" si="746"/>
        <v>8.5406099949036562</v>
      </c>
      <c r="L252" s="172">
        <f t="shared" si="747"/>
        <v>23.649719750127481</v>
      </c>
      <c r="M252" s="443"/>
      <c r="N252" s="217">
        <f t="shared" si="748"/>
        <v>0.3611294376905933</v>
      </c>
      <c r="O252" s="172">
        <f t="shared" si="749"/>
        <v>171.77380234900082</v>
      </c>
      <c r="P252" s="172">
        <f t="shared" si="750"/>
        <v>10.104341314647106</v>
      </c>
      <c r="Q252" s="217">
        <f t="shared" si="626"/>
        <v>1.0104341314647107</v>
      </c>
      <c r="R252" s="217">
        <f t="shared" si="751"/>
        <v>14.314483529083402</v>
      </c>
      <c r="S252" s="217">
        <f t="shared" si="752"/>
        <v>170</v>
      </c>
      <c r="T252" s="217">
        <f t="shared" si="753"/>
        <v>14.251300061614078</v>
      </c>
      <c r="U252" s="217">
        <f t="shared" si="630"/>
        <v>0.47161283134788379</v>
      </c>
      <c r="V252" s="217">
        <f t="shared" si="631"/>
        <v>0.83432565531724889</v>
      </c>
      <c r="W252" s="197">
        <f t="shared" si="632"/>
        <v>350</v>
      </c>
      <c r="X252" s="443">
        <f t="shared" si="691"/>
        <v>350</v>
      </c>
      <c r="Z252" s="217">
        <f t="shared" si="633"/>
        <v>31.179110342339644</v>
      </c>
      <c r="AA252" s="173">
        <f t="shared" si="634"/>
        <v>1.8253444637411618</v>
      </c>
      <c r="AB252" s="173">
        <f t="shared" si="754"/>
        <v>0.47031953870027582</v>
      </c>
      <c r="AC252" s="173"/>
      <c r="AD252" s="173">
        <f t="shared" si="636"/>
        <v>0.78058436934186115</v>
      </c>
      <c r="AE252" s="545">
        <f t="shared" si="755"/>
        <v>878.97948512255516</v>
      </c>
      <c r="AF252" s="528">
        <f t="shared" si="756"/>
        <v>8.6008833288593947E-2</v>
      </c>
      <c r="AH252" s="173">
        <f t="shared" si="757"/>
        <v>21.079441575688314</v>
      </c>
      <c r="AI252" s="173">
        <f t="shared" si="758"/>
        <v>21.079441575688314</v>
      </c>
      <c r="AJ252" s="173">
        <f t="shared" si="759"/>
        <v>6.9378579572999852</v>
      </c>
      <c r="AL252" s="545">
        <f t="shared" si="760"/>
        <v>216</v>
      </c>
      <c r="AM252" s="460">
        <f t="shared" si="761"/>
        <v>350</v>
      </c>
      <c r="AO252">
        <f t="shared" si="644"/>
        <v>216</v>
      </c>
      <c r="AP252">
        <f t="shared" si="645"/>
        <v>350</v>
      </c>
      <c r="AR252" s="5">
        <f t="shared" si="616"/>
        <v>2.8571428571428572</v>
      </c>
      <c r="AS252" s="5">
        <f t="shared" si="739"/>
        <v>0.69757391127562329</v>
      </c>
      <c r="AT252" s="5">
        <f t="shared" si="740"/>
        <v>2.159568945867234</v>
      </c>
      <c r="AU252" s="173">
        <f t="shared" si="741"/>
        <v>0.24415086894646815</v>
      </c>
      <c r="BA252" s="173">
        <f t="shared" si="692"/>
        <v>6.0135040999843259</v>
      </c>
      <c r="BB252" s="173">
        <f t="shared" si="693"/>
        <v>0.49964604485800956</v>
      </c>
      <c r="BC252" s="173">
        <f t="shared" si="694"/>
        <v>0.39504205584651331</v>
      </c>
      <c r="BD252" s="173"/>
      <c r="BE252" s="528">
        <f t="shared" si="695"/>
        <v>1.4464892624211318</v>
      </c>
      <c r="BF252" s="528">
        <f t="shared" si="762"/>
        <v>3.9258677253144372</v>
      </c>
      <c r="BG252" s="528">
        <f t="shared" si="763"/>
        <v>0.21152753657313353</v>
      </c>
      <c r="BH252" s="528">
        <f t="shared" si="696"/>
        <v>3.9151647098169887E-2</v>
      </c>
      <c r="BI252">
        <f t="shared" si="697"/>
        <v>6.7990993898507206E-3</v>
      </c>
      <c r="BJ252" s="460">
        <f t="shared" si="698"/>
        <v>218.32663596298423</v>
      </c>
      <c r="BK252">
        <f t="shared" si="764"/>
        <v>8.8403712226044906</v>
      </c>
      <c r="BL252" s="460">
        <f t="shared" si="699"/>
        <v>5629.8352707967233</v>
      </c>
      <c r="BM252" s="173">
        <f t="shared" si="765"/>
        <v>0.18748799999999999</v>
      </c>
      <c r="BN252" s="173">
        <f t="shared" si="766"/>
        <v>0.15623999999999999</v>
      </c>
      <c r="BQ252" s="460">
        <f t="shared" si="700"/>
        <v>343.72799999999995</v>
      </c>
      <c r="BR252" s="528">
        <f t="shared" si="701"/>
        <v>1.0848669468158489</v>
      </c>
      <c r="BS252" s="528">
        <f t="shared" si="702"/>
        <v>7.4893851042675628E-3</v>
      </c>
      <c r="BT252" s="528">
        <f t="shared" si="703"/>
        <v>7.802911294371986E-4</v>
      </c>
      <c r="BU252" s="528">
        <f t="shared" si="704"/>
        <v>233.76951146748385</v>
      </c>
      <c r="BV252" s="528"/>
      <c r="BW252" s="625">
        <f t="shared" si="705"/>
        <v>3.8879999999999995</v>
      </c>
      <c r="BX252" s="460">
        <f t="shared" si="706"/>
        <v>238750.64809053342</v>
      </c>
      <c r="BY252" s="173">
        <f t="shared" si="707"/>
        <v>244.72421136133013</v>
      </c>
      <c r="BZ252" s="5">
        <f t="shared" si="708"/>
        <v>38.879999999999995</v>
      </c>
      <c r="CA252" s="173">
        <f t="shared" si="709"/>
        <v>0.13709246351939519</v>
      </c>
      <c r="CB252" s="5">
        <f t="shared" si="710"/>
        <v>13.70924635193952</v>
      </c>
      <c r="CC252">
        <f t="shared" si="711"/>
        <v>36</v>
      </c>
      <c r="CE252" s="562">
        <f t="shared" si="767"/>
        <v>-50</v>
      </c>
      <c r="CG252" s="173">
        <f t="shared" si="768"/>
        <v>0.42176101401288429</v>
      </c>
      <c r="CH252" s="173">
        <f t="shared" si="769"/>
        <v>0.10781516384101104</v>
      </c>
      <c r="CI252" s="170">
        <v>36</v>
      </c>
      <c r="CJ252" s="217">
        <f t="shared" si="712"/>
        <v>0.216</v>
      </c>
      <c r="CK252" s="217">
        <f t="shared" si="654"/>
        <v>0.18</v>
      </c>
      <c r="CL252" s="217">
        <f t="shared" si="655"/>
        <v>36.72</v>
      </c>
      <c r="CM252" s="217">
        <f t="shared" si="656"/>
        <v>2.16</v>
      </c>
      <c r="CN252" s="541">
        <f t="shared" si="657"/>
        <v>16</v>
      </c>
      <c r="CO252" s="443">
        <f t="shared" si="770"/>
        <v>8.5350000000000001</v>
      </c>
      <c r="CP252" s="443">
        <f t="shared" si="771"/>
        <v>24.535</v>
      </c>
      <c r="CQ252" s="443"/>
      <c r="CR252" s="217">
        <f t="shared" si="660"/>
        <v>0.34760448521916415</v>
      </c>
      <c r="CS252" s="172">
        <f t="shared" si="661"/>
        <v>175.08966662891231</v>
      </c>
      <c r="CT252" s="172">
        <f t="shared" si="662"/>
        <v>10.2993921546419</v>
      </c>
      <c r="CU252" s="217">
        <f t="shared" si="663"/>
        <v>1.02993921546419</v>
      </c>
      <c r="CV252" s="217">
        <f t="shared" si="664"/>
        <v>14.590805552409359</v>
      </c>
      <c r="CW252" s="217">
        <f t="shared" si="665"/>
        <v>170</v>
      </c>
      <c r="CX252" s="217">
        <f t="shared" si="666"/>
        <v>13.981407624633428</v>
      </c>
      <c r="CY252" s="217">
        <f t="shared" si="667"/>
        <v>0.43691898826979458</v>
      </c>
      <c r="CZ252" s="217">
        <f t="shared" si="668"/>
        <v>0.81906312973833784</v>
      </c>
      <c r="DA252" s="197">
        <f t="shared" si="669"/>
        <v>350</v>
      </c>
      <c r="DB252" s="443">
        <f t="shared" si="670"/>
        <v>350</v>
      </c>
      <c r="DD252" s="217">
        <f t="shared" si="671"/>
        <v>31.805292730501623</v>
      </c>
      <c r="DE252" s="173">
        <f t="shared" si="672"/>
        <v>1.8632274593146818</v>
      </c>
      <c r="DF252" s="173">
        <f t="shared" si="673"/>
        <v>0.4897221442551708</v>
      </c>
      <c r="DG252" s="173"/>
      <c r="DH252" s="173">
        <f t="shared" si="674"/>
        <v>0.78109744190587771</v>
      </c>
      <c r="DI252" s="545">
        <f t="shared" si="675"/>
        <v>878.40211764705884</v>
      </c>
      <c r="DJ252" s="528">
        <f t="shared" si="676"/>
        <v>8.6065366284073561E-2</v>
      </c>
      <c r="DL252" s="173">
        <f t="shared" si="677"/>
        <v>21.079441575688314</v>
      </c>
      <c r="DM252" s="173">
        <f t="shared" si="678"/>
        <v>21.079441575688314</v>
      </c>
      <c r="DN252" s="173">
        <f t="shared" si="679"/>
        <v>6.9378579572999852</v>
      </c>
      <c r="DP252" s="545">
        <f t="shared" si="680"/>
        <v>216</v>
      </c>
      <c r="DQ252" s="460">
        <f t="shared" si="681"/>
        <v>350</v>
      </c>
      <c r="DS252">
        <f t="shared" si="682"/>
        <v>216</v>
      </c>
      <c r="DT252">
        <f t="shared" si="683"/>
        <v>350</v>
      </c>
      <c r="DV252" s="5">
        <f t="shared" si="684"/>
        <v>2.8571428571428572</v>
      </c>
      <c r="DW252" s="5">
        <f t="shared" si="685"/>
        <v>0.65873254924025981</v>
      </c>
      <c r="DX252" s="5">
        <f t="shared" si="686"/>
        <v>2.1984103079025976</v>
      </c>
      <c r="DY252" s="173">
        <f t="shared" si="687"/>
        <v>0.23055639223409094</v>
      </c>
      <c r="EA252" s="5">
        <f t="shared" si="713"/>
        <v>8.3697782726997724E-2</v>
      </c>
      <c r="EB252" s="5">
        <f t="shared" si="714"/>
        <v>0.98809882386038983</v>
      </c>
      <c r="EC252" s="5">
        <f t="shared" si="715"/>
        <v>8.0725626506183392</v>
      </c>
      <c r="ED252" s="5"/>
      <c r="EE252" s="173">
        <f t="shared" si="716"/>
        <v>5.8436885057825467</v>
      </c>
      <c r="EF252" s="173">
        <f t="shared" si="717"/>
        <v>0.50411926326370438</v>
      </c>
      <c r="EG252" s="173">
        <f t="shared" si="718"/>
        <v>0.39857877831919569</v>
      </c>
      <c r="EH252" s="173"/>
      <c r="EI252" s="528">
        <f t="shared" si="719"/>
        <v>1.3659478141046024</v>
      </c>
      <c r="EJ252" s="528">
        <f t="shared" si="720"/>
        <v>4.9778969534478099</v>
      </c>
      <c r="EK252" s="528">
        <f t="shared" si="721"/>
        <v>6.9999999999999993E-2</v>
      </c>
      <c r="EL252" s="528">
        <f t="shared" si="722"/>
        <v>4.2137635749999999E-2</v>
      </c>
      <c r="EM252">
        <f t="shared" si="723"/>
        <v>7.1999999999999998E-3</v>
      </c>
      <c r="EN252" s="460">
        <f t="shared" si="724"/>
        <v>77.199999999999989</v>
      </c>
      <c r="EP252" s="460">
        <f t="shared" si="725"/>
        <v>6463.1824033024122</v>
      </c>
      <c r="EQ252" s="173">
        <f t="shared" si="726"/>
        <v>0.1512</v>
      </c>
      <c r="ER252" s="173">
        <f t="shared" si="772"/>
        <v>0.15623999999999999</v>
      </c>
      <c r="ES252" s="528"/>
      <c r="EU252" s="460">
        <f t="shared" si="727"/>
        <v>307.44</v>
      </c>
      <c r="EV252" s="528">
        <f t="shared" si="728"/>
        <v>1.0244608605784518</v>
      </c>
      <c r="EW252" s="528">
        <f t="shared" si="729"/>
        <v>7.6240869478062029E-3</v>
      </c>
      <c r="EX252" s="528">
        <f t="shared" si="730"/>
        <v>7.9432521263211268E-4</v>
      </c>
      <c r="EY252" s="528">
        <f t="shared" si="731"/>
        <v>233.76951146748385</v>
      </c>
      <c r="EZ252" s="528"/>
      <c r="FA252" s="625">
        <f t="shared" si="732"/>
        <v>3.8879999999999995</v>
      </c>
      <c r="FB252" s="460">
        <f t="shared" si="733"/>
        <v>238690.39074022273</v>
      </c>
      <c r="FC252" s="173">
        <f t="shared" si="734"/>
        <v>245.46101314352515</v>
      </c>
      <c r="FD252" s="5">
        <f t="shared" si="735"/>
        <v>38.879999999999995</v>
      </c>
      <c r="FE252" s="173">
        <f t="shared" si="736"/>
        <v>0.13673722116328946</v>
      </c>
      <c r="FF252" s="5">
        <f t="shared" si="737"/>
        <v>13.673722116328946</v>
      </c>
      <c r="FG252">
        <f t="shared" si="738"/>
        <v>36</v>
      </c>
      <c r="FI252" s="562">
        <f t="shared" si="689"/>
        <v>-50</v>
      </c>
    </row>
    <row r="253" spans="5:165">
      <c r="E253" s="170">
        <v>37</v>
      </c>
      <c r="F253" s="217">
        <f t="shared" si="773"/>
        <v>0.222</v>
      </c>
      <c r="G253" s="217">
        <f t="shared" si="742"/>
        <v>0.185</v>
      </c>
      <c r="H253" s="217">
        <f t="shared" si="743"/>
        <v>37.74</v>
      </c>
      <c r="I253" s="217">
        <f t="shared" si="744"/>
        <v>2.2199999999999998</v>
      </c>
      <c r="J253" s="541">
        <f t="shared" si="745"/>
        <v>15.09682103341121</v>
      </c>
      <c r="K253" s="443">
        <f t="shared" si="746"/>
        <v>8.5406873777991894</v>
      </c>
      <c r="L253" s="172">
        <f t="shared" si="747"/>
        <v>23.637508411210398</v>
      </c>
      <c r="M253" s="443"/>
      <c r="N253" s="217">
        <f t="shared" si="748"/>
        <v>0.36131927397849839</v>
      </c>
      <c r="O253" s="172">
        <f t="shared" si="749"/>
        <v>171.72431677404234</v>
      </c>
      <c r="P253" s="172">
        <f t="shared" si="750"/>
        <v>10.101430398473077</v>
      </c>
      <c r="Q253" s="217">
        <f t="shared" si="626"/>
        <v>1.0101430398473079</v>
      </c>
      <c r="R253" s="217">
        <f t="shared" si="751"/>
        <v>14.310359731170195</v>
      </c>
      <c r="S253" s="217">
        <f t="shared" si="752"/>
        <v>170</v>
      </c>
      <c r="T253" s="217">
        <f t="shared" si="753"/>
        <v>14.651390363722303</v>
      </c>
      <c r="U253" s="217">
        <f t="shared" si="630"/>
        <v>0.48524753427549044</v>
      </c>
      <c r="V253" s="217">
        <f t="shared" si="631"/>
        <v>0.85774070139877623</v>
      </c>
      <c r="W253" s="197">
        <f t="shared" si="632"/>
        <v>350</v>
      </c>
      <c r="X253" s="443">
        <f t="shared" si="691"/>
        <v>350</v>
      </c>
      <c r="Z253" s="217">
        <f t="shared" si="633"/>
        <v>31.170128086716922</v>
      </c>
      <c r="AA253" s="173">
        <f t="shared" si="634"/>
        <v>1.8248020743471476</v>
      </c>
      <c r="AB253" s="173">
        <f t="shared" si="754"/>
        <v>0.47004433419767866</v>
      </c>
      <c r="AC253" s="173"/>
      <c r="AD253" s="173">
        <f t="shared" si="636"/>
        <v>0.78057729685740695</v>
      </c>
      <c r="AE253" s="545">
        <f t="shared" si="755"/>
        <v>903.4037672210884</v>
      </c>
      <c r="AF253" s="528">
        <f t="shared" si="756"/>
        <v>8.6008054005584672E-2</v>
      </c>
      <c r="AH253" s="173">
        <f t="shared" si="757"/>
        <v>21.370206229367895</v>
      </c>
      <c r="AI253" s="173">
        <f t="shared" si="758"/>
        <v>21.370206229367895</v>
      </c>
      <c r="AJ253" s="173">
        <f t="shared" si="759"/>
        <v>7.1532391822478232</v>
      </c>
      <c r="AL253" s="545">
        <f t="shared" si="760"/>
        <v>222</v>
      </c>
      <c r="AM253" s="460">
        <f t="shared" si="761"/>
        <v>350</v>
      </c>
      <c r="AO253">
        <f t="shared" si="644"/>
        <v>222</v>
      </c>
      <c r="AP253">
        <f t="shared" si="645"/>
        <v>350</v>
      </c>
      <c r="AR253" s="5">
        <f t="shared" si="616"/>
        <v>2.8571428571428572</v>
      </c>
      <c r="AS253" s="5">
        <f t="shared" si="739"/>
        <v>0.70777172830203372</v>
      </c>
      <c r="AT253" s="5">
        <f t="shared" si="740"/>
        <v>2.1493711288408237</v>
      </c>
      <c r="AU253" s="173">
        <f t="shared" si="741"/>
        <v>0.24772010490571181</v>
      </c>
      <c r="BA253" s="173">
        <f t="shared" si="692"/>
        <v>6.1408531723150945</v>
      </c>
      <c r="BB253" s="173">
        <f t="shared" si="693"/>
        <v>0.50534064947094981</v>
      </c>
      <c r="BC253" s="173">
        <f t="shared" si="694"/>
        <v>0.39954445977161251</v>
      </c>
      <c r="BD253" s="173"/>
      <c r="BE253" s="528">
        <f t="shared" si="695"/>
        <v>1.5084031073572945</v>
      </c>
      <c r="BF253" s="528">
        <f t="shared" si="762"/>
        <v>3.9779651322808776</v>
      </c>
      <c r="BG253" s="528">
        <f t="shared" si="763"/>
        <v>0.21135549446775692</v>
      </c>
      <c r="BH253" s="528">
        <f t="shared" si="696"/>
        <v>3.9111226272302964E-2</v>
      </c>
      <c r="BI253">
        <f t="shared" si="697"/>
        <v>6.7935694650350445E-3</v>
      </c>
      <c r="BJ253" s="460">
        <f t="shared" si="698"/>
        <v>218.14906393279196</v>
      </c>
      <c r="BK253">
        <f t="shared" si="764"/>
        <v>9.2467529073524872</v>
      </c>
      <c r="BL253" s="460">
        <f t="shared" si="699"/>
        <v>5743.6285298432676</v>
      </c>
      <c r="BM253" s="173">
        <f t="shared" si="765"/>
        <v>0.19269599999999998</v>
      </c>
      <c r="BN253" s="173">
        <f t="shared" si="766"/>
        <v>0.16058</v>
      </c>
      <c r="BQ253" s="460">
        <f t="shared" si="700"/>
        <v>353.27599999999995</v>
      </c>
      <c r="BR253" s="528">
        <f t="shared" si="701"/>
        <v>1.1313023305179708</v>
      </c>
      <c r="BS253" s="528">
        <f t="shared" si="702"/>
        <v>7.6610751602316403E-3</v>
      </c>
      <c r="BT253" s="528">
        <f t="shared" si="703"/>
        <v>7.9817887667094848E-4</v>
      </c>
      <c r="BU253" s="528">
        <f t="shared" si="704"/>
        <v>241.91449903105124</v>
      </c>
      <c r="BV253" s="528"/>
      <c r="BW253" s="625">
        <f t="shared" si="705"/>
        <v>3.9960000000000013</v>
      </c>
      <c r="BX253" s="460">
        <f t="shared" si="706"/>
        <v>247050.26061560609</v>
      </c>
      <c r="BY253" s="173">
        <f t="shared" si="707"/>
        <v>253.14716514544938</v>
      </c>
      <c r="BZ253" s="5">
        <f t="shared" si="708"/>
        <v>39.96</v>
      </c>
      <c r="CA253" s="173">
        <f t="shared" si="709"/>
        <v>0.13633238880451981</v>
      </c>
      <c r="CB253" s="5">
        <f t="shared" si="710"/>
        <v>13.63323888045198</v>
      </c>
      <c r="CC253">
        <f t="shared" si="711"/>
        <v>37</v>
      </c>
      <c r="CE253" s="562">
        <f t="shared" si="767"/>
        <v>-50</v>
      </c>
      <c r="CG253" s="173">
        <f t="shared" si="768"/>
        <v>0.42757868212969263</v>
      </c>
      <c r="CH253" s="173">
        <f t="shared" si="769"/>
        <v>0.10930233980167757</v>
      </c>
      <c r="CI253" s="170">
        <v>37</v>
      </c>
      <c r="CJ253" s="217">
        <f t="shared" si="712"/>
        <v>0.222</v>
      </c>
      <c r="CK253" s="217">
        <f t="shared" si="654"/>
        <v>0.185</v>
      </c>
      <c r="CL253" s="217">
        <f t="shared" si="655"/>
        <v>37.74</v>
      </c>
      <c r="CM253" s="217">
        <f t="shared" si="656"/>
        <v>2.2199999999999998</v>
      </c>
      <c r="CN253" s="541">
        <f t="shared" si="657"/>
        <v>16</v>
      </c>
      <c r="CO253" s="443">
        <f t="shared" si="770"/>
        <v>8.5350000000000001</v>
      </c>
      <c r="CP253" s="443">
        <f t="shared" si="771"/>
        <v>24.535</v>
      </c>
      <c r="CQ253" s="443"/>
      <c r="CR253" s="217">
        <f t="shared" si="660"/>
        <v>0.34760448521916415</v>
      </c>
      <c r="CS253" s="172">
        <f t="shared" si="661"/>
        <v>175.08966662891231</v>
      </c>
      <c r="CT253" s="172">
        <f t="shared" si="662"/>
        <v>10.2993921546419</v>
      </c>
      <c r="CU253" s="217">
        <f t="shared" si="663"/>
        <v>1.02993921546419</v>
      </c>
      <c r="CV253" s="217">
        <f t="shared" si="664"/>
        <v>14.590805552409359</v>
      </c>
      <c r="CW253" s="217">
        <f t="shared" si="665"/>
        <v>170</v>
      </c>
      <c r="CX253" s="217">
        <f t="shared" si="666"/>
        <v>14.369780058651026</v>
      </c>
      <c r="CY253" s="217">
        <f t="shared" si="667"/>
        <v>0.44905562683284456</v>
      </c>
      <c r="CZ253" s="217">
        <f t="shared" si="668"/>
        <v>0.8418148833421808</v>
      </c>
      <c r="DA253" s="197">
        <f t="shared" si="669"/>
        <v>350</v>
      </c>
      <c r="DB253" s="443">
        <f t="shared" si="670"/>
        <v>350</v>
      </c>
      <c r="DD253" s="217">
        <f t="shared" si="671"/>
        <v>31.805292730501623</v>
      </c>
      <c r="DE253" s="173">
        <f t="shared" si="672"/>
        <v>1.8632274593146818</v>
      </c>
      <c r="DF253" s="173">
        <f t="shared" si="673"/>
        <v>0.4897221442551708</v>
      </c>
      <c r="DG253" s="173"/>
      <c r="DH253" s="173">
        <f t="shared" si="674"/>
        <v>0.78109744190587771</v>
      </c>
      <c r="DI253" s="545">
        <f t="shared" si="675"/>
        <v>902.80217647058828</v>
      </c>
      <c r="DJ253" s="528">
        <f t="shared" si="676"/>
        <v>8.6065366284073561E-2</v>
      </c>
      <c r="DL253" s="173">
        <f t="shared" si="677"/>
        <v>21.370206229367895</v>
      </c>
      <c r="DM253" s="173">
        <f t="shared" si="678"/>
        <v>21.370206229367895</v>
      </c>
      <c r="DN253" s="173">
        <f t="shared" si="679"/>
        <v>7.1532391822478232</v>
      </c>
      <c r="DP253" s="545">
        <f t="shared" si="680"/>
        <v>222</v>
      </c>
      <c r="DQ253" s="460">
        <f t="shared" si="681"/>
        <v>350</v>
      </c>
      <c r="DS253">
        <f t="shared" si="682"/>
        <v>222</v>
      </c>
      <c r="DT253">
        <f t="shared" si="683"/>
        <v>350</v>
      </c>
      <c r="DV253" s="5">
        <f t="shared" si="684"/>
        <v>2.8571428571428572</v>
      </c>
      <c r="DW253" s="5">
        <f t="shared" si="685"/>
        <v>0.66781894466774661</v>
      </c>
      <c r="DX253" s="5">
        <f t="shared" si="686"/>
        <v>2.1893239124751105</v>
      </c>
      <c r="DY253" s="173">
        <f t="shared" si="687"/>
        <v>0.23373663063371131</v>
      </c>
      <c r="EA253" s="5">
        <f t="shared" si="713"/>
        <v>8.7209297480141043E-2</v>
      </c>
      <c r="EB253" s="5">
        <f t="shared" si="714"/>
        <v>1.0295542063627761</v>
      </c>
      <c r="EC253" s="5">
        <f t="shared" si="715"/>
        <v>8.2625084456810676</v>
      </c>
      <c r="ED253" s="5"/>
      <c r="EE253" s="173">
        <f t="shared" si="716"/>
        <v>5.9650141133024617</v>
      </c>
      <c r="EF253" s="173">
        <f t="shared" si="717"/>
        <v>0.51001569252650736</v>
      </c>
      <c r="EG253" s="173">
        <f t="shared" si="718"/>
        <v>0.40324075365574252</v>
      </c>
      <c r="EH253" s="173"/>
      <c r="EI253" s="528">
        <f t="shared" si="719"/>
        <v>1.4232557348759023</v>
      </c>
      <c r="EJ253" s="528">
        <f t="shared" si="720"/>
        <v>5.0465608446863355</v>
      </c>
      <c r="EK253" s="528">
        <f t="shared" si="721"/>
        <v>6.9999999999999993E-2</v>
      </c>
      <c r="EL253" s="528">
        <f t="shared" si="722"/>
        <v>4.2137635749999999E-2</v>
      </c>
      <c r="EM253">
        <f t="shared" si="723"/>
        <v>7.1999999999999998E-3</v>
      </c>
      <c r="EN253" s="460">
        <f t="shared" si="724"/>
        <v>77.199999999999989</v>
      </c>
      <c r="EP253" s="460">
        <f t="shared" si="725"/>
        <v>6589.1542153122382</v>
      </c>
      <c r="EQ253" s="173">
        <f t="shared" si="726"/>
        <v>0.15539999999999998</v>
      </c>
      <c r="ER253" s="173">
        <f t="shared" si="772"/>
        <v>0.16058</v>
      </c>
      <c r="ES253" s="528"/>
      <c r="EU253" s="460">
        <f t="shared" si="727"/>
        <v>315.97999999999996</v>
      </c>
      <c r="EV253" s="528">
        <f t="shared" si="728"/>
        <v>1.0674418011569267</v>
      </c>
      <c r="EW253" s="528">
        <f t="shared" si="729"/>
        <v>7.8034801986987855E-3</v>
      </c>
      <c r="EX253" s="528">
        <f t="shared" si="730"/>
        <v>8.1301552704425616E-4</v>
      </c>
      <c r="EY253" s="528">
        <f t="shared" si="731"/>
        <v>241.91449903105124</v>
      </c>
      <c r="EZ253" s="528"/>
      <c r="FA253" s="625">
        <f t="shared" si="732"/>
        <v>3.9960000000000013</v>
      </c>
      <c r="FB253" s="460">
        <f t="shared" si="733"/>
        <v>246986.55732793393</v>
      </c>
      <c r="FC253" s="173">
        <f t="shared" si="734"/>
        <v>253.89169154324614</v>
      </c>
      <c r="FD253" s="5">
        <f t="shared" si="735"/>
        <v>39.96</v>
      </c>
      <c r="FE253" s="173">
        <f t="shared" si="736"/>
        <v>0.13598696604446495</v>
      </c>
      <c r="FF253" s="5">
        <f t="shared" si="737"/>
        <v>13.598696604446495</v>
      </c>
      <c r="FG253">
        <f t="shared" si="738"/>
        <v>37</v>
      </c>
      <c r="FI253" s="562">
        <f t="shared" si="689"/>
        <v>-50</v>
      </c>
    </row>
    <row r="254" spans="5:165">
      <c r="E254" s="170">
        <v>38</v>
      </c>
      <c r="F254" s="217">
        <f t="shared" si="773"/>
        <v>0.22799999999999998</v>
      </c>
      <c r="G254" s="217">
        <f t="shared" si="742"/>
        <v>0.19</v>
      </c>
      <c r="H254" s="217">
        <f t="shared" si="743"/>
        <v>38.76</v>
      </c>
      <c r="I254" s="217">
        <f t="shared" si="744"/>
        <v>2.2800000000000002</v>
      </c>
      <c r="J254" s="541">
        <f t="shared" si="745"/>
        <v>15.084697283332213</v>
      </c>
      <c r="K254" s="443">
        <f t="shared" si="746"/>
        <v>8.5407637218567807</v>
      </c>
      <c r="L254" s="172">
        <f t="shared" si="747"/>
        <v>23.625461005188996</v>
      </c>
      <c r="M254" s="443"/>
      <c r="N254" s="217">
        <f t="shared" si="748"/>
        <v>0.36150675408962069</v>
      </c>
      <c r="O254" s="172">
        <f t="shared" si="749"/>
        <v>171.67544291198723</v>
      </c>
      <c r="P254" s="172">
        <f t="shared" si="750"/>
        <v>10.098555465411012</v>
      </c>
      <c r="Q254" s="217">
        <f t="shared" si="626"/>
        <v>1.0098555465411014</v>
      </c>
      <c r="R254" s="217">
        <f t="shared" si="751"/>
        <v>14.30628690933227</v>
      </c>
      <c r="S254" s="217">
        <f t="shared" si="752"/>
        <v>170</v>
      </c>
      <c r="T254" s="217">
        <f t="shared" si="753"/>
        <v>15.05165768714363</v>
      </c>
      <c r="U254" s="217">
        <f t="shared" si="630"/>
        <v>0.49890486379779425</v>
      </c>
      <c r="V254" s="217">
        <f t="shared" si="631"/>
        <v>0.88116579367631576</v>
      </c>
      <c r="W254" s="197">
        <f t="shared" si="632"/>
        <v>350</v>
      </c>
      <c r="X254" s="443">
        <f t="shared" si="691"/>
        <v>350</v>
      </c>
      <c r="Z254" s="217">
        <f t="shared" si="633"/>
        <v>31.161256864696849</v>
      </c>
      <c r="AA254" s="173">
        <f t="shared" si="634"/>
        <v>1.8242664168867981</v>
      </c>
      <c r="AB254" s="173">
        <f t="shared" si="754"/>
        <v>0.46977261766275763</v>
      </c>
      <c r="AC254" s="173"/>
      <c r="AD254" s="173">
        <f t="shared" si="636"/>
        <v>0.78057031944413968</v>
      </c>
      <c r="AE254" s="545">
        <f t="shared" si="755"/>
        <v>927.82837891324107</v>
      </c>
      <c r="AF254" s="528">
        <f t="shared" si="756"/>
        <v>8.6007285198011707E-2</v>
      </c>
      <c r="AH254" s="173">
        <f t="shared" si="757"/>
        <v>21.657067470656582</v>
      </c>
      <c r="AI254" s="173">
        <f t="shared" si="758"/>
        <v>21.657067470656582</v>
      </c>
      <c r="AJ254" s="173">
        <f t="shared" si="759"/>
        <v>7.3657289906098136</v>
      </c>
      <c r="AL254" s="545">
        <f t="shared" si="760"/>
        <v>227.99999999999997</v>
      </c>
      <c r="AM254" s="460">
        <f t="shared" si="761"/>
        <v>350</v>
      </c>
      <c r="AO254">
        <f t="shared" si="644"/>
        <v>227.99999999999997</v>
      </c>
      <c r="AP254">
        <f t="shared" si="645"/>
        <v>350</v>
      </c>
      <c r="AR254" s="5">
        <f t="shared" si="616"/>
        <v>2.8571428571428572</v>
      </c>
      <c r="AS254" s="5">
        <f t="shared" si="739"/>
        <v>0.71784892543340884</v>
      </c>
      <c r="AT254" s="5">
        <f t="shared" si="740"/>
        <v>2.1392939317094486</v>
      </c>
      <c r="AU254" s="173">
        <f t="shared" si="741"/>
        <v>0.25124712390169307</v>
      </c>
      <c r="BA254" s="173">
        <f t="shared" si="692"/>
        <v>6.2674311483825758</v>
      </c>
      <c r="BB254" s="173">
        <f t="shared" si="693"/>
        <v>0.51092210710997998</v>
      </c>
      <c r="BC254" s="173">
        <f t="shared" si="694"/>
        <v>0.40395740474142466</v>
      </c>
      <c r="BD254" s="173"/>
      <c r="BE254" s="528">
        <f t="shared" si="695"/>
        <v>1.5712277279886453</v>
      </c>
      <c r="BF254" s="528">
        <f t="shared" si="762"/>
        <v>4.0293083487411101</v>
      </c>
      <c r="BG254" s="528">
        <f t="shared" si="763"/>
        <v>0.21118576196665098</v>
      </c>
      <c r="BH254" s="528">
        <f t="shared" si="696"/>
        <v>3.9071368539539408E-2</v>
      </c>
      <c r="BI254">
        <f t="shared" si="697"/>
        <v>6.7881137774994955E-3</v>
      </c>
      <c r="BJ254" s="460">
        <f t="shared" si="698"/>
        <v>217.97387574415046</v>
      </c>
      <c r="BK254">
        <f t="shared" si="764"/>
        <v>9.6761901014633711</v>
      </c>
      <c r="BL254" s="460">
        <f t="shared" si="699"/>
        <v>5857.5813210134447</v>
      </c>
      <c r="BM254" s="173">
        <f t="shared" si="765"/>
        <v>0.19790399999999994</v>
      </c>
      <c r="BN254" s="173">
        <f t="shared" si="766"/>
        <v>0.16491999999999998</v>
      </c>
      <c r="BQ254" s="460">
        <f t="shared" si="700"/>
        <v>362.8239999999999</v>
      </c>
      <c r="BR254" s="528">
        <f t="shared" si="701"/>
        <v>1.1784207959914839</v>
      </c>
      <c r="BS254" s="528">
        <f t="shared" si="702"/>
        <v>7.831241986011055E-3</v>
      </c>
      <c r="BT254" s="528">
        <f t="shared" si="703"/>
        <v>8.1590792422713595E-4</v>
      </c>
      <c r="BU254" s="528">
        <f t="shared" si="704"/>
        <v>250.11471254225887</v>
      </c>
      <c r="BV254" s="528"/>
      <c r="BW254" s="625">
        <f t="shared" si="705"/>
        <v>4.104000000000001</v>
      </c>
      <c r="BX254" s="460">
        <f t="shared" si="706"/>
        <v>255405.78048816061</v>
      </c>
      <c r="BY254" s="173">
        <f t="shared" si="707"/>
        <v>261.62618580917405</v>
      </c>
      <c r="BZ254" s="5">
        <f t="shared" si="708"/>
        <v>41.04</v>
      </c>
      <c r="CA254" s="173">
        <f t="shared" si="709"/>
        <v>0.13559492908096124</v>
      </c>
      <c r="CB254" s="5">
        <f t="shared" si="710"/>
        <v>13.559492908096123</v>
      </c>
      <c r="CC254">
        <f t="shared" si="711"/>
        <v>38</v>
      </c>
      <c r="CE254" s="562">
        <f t="shared" si="767"/>
        <v>-50</v>
      </c>
      <c r="CG254" s="173">
        <f t="shared" si="768"/>
        <v>0.43331825011456981</v>
      </c>
      <c r="CH254" s="173">
        <f t="shared" si="769"/>
        <v>0.11076955095232049</v>
      </c>
      <c r="CI254" s="170">
        <v>38</v>
      </c>
      <c r="CJ254" s="217">
        <f t="shared" si="712"/>
        <v>0.22799999999999998</v>
      </c>
      <c r="CK254" s="217">
        <f t="shared" si="654"/>
        <v>0.19</v>
      </c>
      <c r="CL254" s="217">
        <f t="shared" si="655"/>
        <v>38.76</v>
      </c>
      <c r="CM254" s="217">
        <f t="shared" si="656"/>
        <v>2.2800000000000002</v>
      </c>
      <c r="CN254" s="541">
        <f t="shared" si="657"/>
        <v>16</v>
      </c>
      <c r="CO254" s="443">
        <f t="shared" si="770"/>
        <v>8.5350000000000001</v>
      </c>
      <c r="CP254" s="443">
        <f t="shared" si="771"/>
        <v>24.535</v>
      </c>
      <c r="CQ254" s="443"/>
      <c r="CR254" s="217">
        <f t="shared" si="660"/>
        <v>0.34760448521916415</v>
      </c>
      <c r="CS254" s="172">
        <f t="shared" si="661"/>
        <v>175.08966662891231</v>
      </c>
      <c r="CT254" s="172">
        <f t="shared" si="662"/>
        <v>10.2993921546419</v>
      </c>
      <c r="CU254" s="217">
        <f t="shared" si="663"/>
        <v>1.02993921546419</v>
      </c>
      <c r="CV254" s="217">
        <f t="shared" si="664"/>
        <v>14.590805552409359</v>
      </c>
      <c r="CW254" s="217">
        <f t="shared" si="665"/>
        <v>170</v>
      </c>
      <c r="CX254" s="217">
        <f t="shared" si="666"/>
        <v>14.75815249266862</v>
      </c>
      <c r="CY254" s="217">
        <f t="shared" si="667"/>
        <v>0.46119226539589431</v>
      </c>
      <c r="CZ254" s="217">
        <f t="shared" si="668"/>
        <v>0.86456663694602331</v>
      </c>
      <c r="DA254" s="197">
        <f t="shared" si="669"/>
        <v>350</v>
      </c>
      <c r="DB254" s="443">
        <f t="shared" si="670"/>
        <v>350</v>
      </c>
      <c r="DD254" s="217">
        <f t="shared" si="671"/>
        <v>31.805292730501623</v>
      </c>
      <c r="DE254" s="173">
        <f t="shared" si="672"/>
        <v>1.8632274593146818</v>
      </c>
      <c r="DF254" s="173">
        <f t="shared" si="673"/>
        <v>0.4897221442551708</v>
      </c>
      <c r="DG254" s="173"/>
      <c r="DH254" s="173">
        <f t="shared" si="674"/>
        <v>0.78109744190587771</v>
      </c>
      <c r="DI254" s="545">
        <f t="shared" si="675"/>
        <v>927.2022352941176</v>
      </c>
      <c r="DJ254" s="528">
        <f t="shared" si="676"/>
        <v>8.6065366284073561E-2</v>
      </c>
      <c r="DL254" s="173">
        <f t="shared" si="677"/>
        <v>21.657067470656582</v>
      </c>
      <c r="DM254" s="173">
        <f t="shared" si="678"/>
        <v>21.657067470656582</v>
      </c>
      <c r="DN254" s="173">
        <f t="shared" si="679"/>
        <v>7.3657289906098136</v>
      </c>
      <c r="DP254" s="545">
        <f t="shared" si="680"/>
        <v>227.99999999999997</v>
      </c>
      <c r="DQ254" s="460">
        <f t="shared" si="681"/>
        <v>350</v>
      </c>
      <c r="DS254">
        <f t="shared" si="682"/>
        <v>227.99999999999997</v>
      </c>
      <c r="DT254">
        <f t="shared" si="683"/>
        <v>350</v>
      </c>
      <c r="DV254" s="5">
        <f t="shared" si="684"/>
        <v>2.8571428571428572</v>
      </c>
      <c r="DW254" s="5">
        <f t="shared" si="685"/>
        <v>0.67678335845801818</v>
      </c>
      <c r="DX254" s="5">
        <f t="shared" si="686"/>
        <v>2.1803594986848389</v>
      </c>
      <c r="DY254" s="173">
        <f t="shared" si="687"/>
        <v>0.23687417546030637</v>
      </c>
      <c r="EA254" s="5">
        <f t="shared" si="713"/>
        <v>9.0768591604957732E-2</v>
      </c>
      <c r="EB254" s="5">
        <f t="shared" si="714"/>
        <v>1.0715736508918621</v>
      </c>
      <c r="EC254" s="5">
        <f t="shared" si="715"/>
        <v>8.4510734169024353</v>
      </c>
      <c r="ED254" s="5"/>
      <c r="EE254" s="173">
        <f t="shared" si="716"/>
        <v>6.0855226049060702</v>
      </c>
      <c r="EF254" s="173">
        <f t="shared" si="717"/>
        <v>0.51580258943985013</v>
      </c>
      <c r="EG254" s="173">
        <f t="shared" si="718"/>
        <v>0.40781612791747301</v>
      </c>
      <c r="EH254" s="173"/>
      <c r="EI254" s="528">
        <f t="shared" si="719"/>
        <v>1.4813434149929106</v>
      </c>
      <c r="EJ254" s="528">
        <f t="shared" si="720"/>
        <v>5.1143029475283832</v>
      </c>
      <c r="EK254" s="528">
        <f t="shared" si="721"/>
        <v>6.9999999999999993E-2</v>
      </c>
      <c r="EL254" s="528">
        <f t="shared" si="722"/>
        <v>4.2137635749999999E-2</v>
      </c>
      <c r="EM254">
        <f t="shared" si="723"/>
        <v>7.1999999999999998E-3</v>
      </c>
      <c r="EN254" s="460">
        <f t="shared" si="724"/>
        <v>77.199999999999989</v>
      </c>
      <c r="EP254" s="460">
        <f t="shared" si="725"/>
        <v>6714.9839982712929</v>
      </c>
      <c r="EQ254" s="173">
        <f t="shared" si="726"/>
        <v>0.15959999999999996</v>
      </c>
      <c r="ER254" s="173">
        <f t="shared" si="772"/>
        <v>0.16491999999999998</v>
      </c>
      <c r="ES254" s="528"/>
      <c r="EU254" s="460">
        <f t="shared" si="727"/>
        <v>324.51999999999992</v>
      </c>
      <c r="EV254" s="528">
        <f t="shared" si="728"/>
        <v>1.1110075612446828</v>
      </c>
      <c r="EW254" s="528">
        <f t="shared" si="729"/>
        <v>7.9815693381856383E-3</v>
      </c>
      <c r="EX254" s="528">
        <f t="shared" si="730"/>
        <v>8.3156997094800363E-4</v>
      </c>
      <c r="EY254" s="528">
        <f t="shared" si="731"/>
        <v>250.11471254225887</v>
      </c>
      <c r="EZ254" s="528"/>
      <c r="FA254" s="625">
        <f t="shared" si="732"/>
        <v>4.104000000000001</v>
      </c>
      <c r="FB254" s="460">
        <f t="shared" si="733"/>
        <v>255338.5332428127</v>
      </c>
      <c r="FC254" s="173">
        <f t="shared" si="734"/>
        <v>262.37803724108397</v>
      </c>
      <c r="FD254" s="5">
        <f t="shared" si="735"/>
        <v>41.04</v>
      </c>
      <c r="FE254" s="173">
        <f t="shared" si="736"/>
        <v>0.13525893309826942</v>
      </c>
      <c r="FF254" s="5">
        <f t="shared" si="737"/>
        <v>13.525893309826941</v>
      </c>
      <c r="FG254">
        <f t="shared" si="738"/>
        <v>38</v>
      </c>
      <c r="FI254" s="562">
        <f t="shared" si="689"/>
        <v>-50</v>
      </c>
    </row>
    <row r="255" spans="5:165">
      <c r="E255" s="170">
        <v>39</v>
      </c>
      <c r="F255" s="217">
        <f t="shared" si="773"/>
        <v>0.23399999999999999</v>
      </c>
      <c r="G255" s="217">
        <f t="shared" si="742"/>
        <v>0.19500000000000001</v>
      </c>
      <c r="H255" s="217">
        <f t="shared" si="743"/>
        <v>39.78</v>
      </c>
      <c r="I255" s="217">
        <f t="shared" si="744"/>
        <v>2.34</v>
      </c>
      <c r="J255" s="541">
        <f t="shared" si="745"/>
        <v>15.072732034096687</v>
      </c>
      <c r="K255" s="443">
        <f t="shared" si="746"/>
        <v>8.5408390678240611</v>
      </c>
      <c r="L255" s="172">
        <f t="shared" si="747"/>
        <v>23.613571101920748</v>
      </c>
      <c r="M255" s="443"/>
      <c r="N255" s="217">
        <f t="shared" si="748"/>
        <v>0.36169197072988857</v>
      </c>
      <c r="O255" s="172">
        <f t="shared" si="749"/>
        <v>171.62715669042814</v>
      </c>
      <c r="P255" s="172">
        <f t="shared" si="750"/>
        <v>10.095715099436948</v>
      </c>
      <c r="Q255" s="217">
        <f t="shared" si="626"/>
        <v>1.0095715099436948</v>
      </c>
      <c r="R255" s="217">
        <f t="shared" si="751"/>
        <v>14.302263057535678</v>
      </c>
      <c r="S255" s="217">
        <f t="shared" si="752"/>
        <v>170</v>
      </c>
      <c r="T255" s="217">
        <f t="shared" si="753"/>
        <v>15.452100070524013</v>
      </c>
      <c r="U255" s="217">
        <f t="shared" si="630"/>
        <v>0.51258458106895088</v>
      </c>
      <c r="V255" s="217">
        <f t="shared" si="631"/>
        <v>0.90460082129030928</v>
      </c>
      <c r="W255" s="197">
        <f t="shared" si="632"/>
        <v>350</v>
      </c>
      <c r="X255" s="443">
        <f t="shared" si="691"/>
        <v>350</v>
      </c>
      <c r="Z255" s="217">
        <f t="shared" si="633"/>
        <v>31.152492306834013</v>
      </c>
      <c r="AA255" s="173">
        <f t="shared" si="634"/>
        <v>1.8237372264860328</v>
      </c>
      <c r="AB255" s="173">
        <f t="shared" si="754"/>
        <v>0.46950425209842767</v>
      </c>
      <c r="AC255" s="173"/>
      <c r="AD255" s="173">
        <f t="shared" si="636"/>
        <v>0.78056343337296075</v>
      </c>
      <c r="AE255" s="545">
        <f t="shared" si="755"/>
        <v>952.25331583257207</v>
      </c>
      <c r="AF255" s="528">
        <f t="shared" si="756"/>
        <v>8.6006526454983648E-2</v>
      </c>
      <c r="AH255" s="173">
        <f t="shared" si="757"/>
        <v>21.940178407921589</v>
      </c>
      <c r="AI255" s="173">
        <f t="shared" si="758"/>
        <v>21.940178407921589</v>
      </c>
      <c r="AJ255" s="173">
        <f t="shared" si="759"/>
        <v>7.5754407959912999</v>
      </c>
      <c r="AL255" s="545">
        <f t="shared" si="760"/>
        <v>234</v>
      </c>
      <c r="AM255" s="460">
        <f t="shared" si="761"/>
        <v>350</v>
      </c>
      <c r="AO255">
        <f t="shared" si="644"/>
        <v>234</v>
      </c>
      <c r="AP255">
        <f t="shared" si="645"/>
        <v>350</v>
      </c>
      <c r="AR255" s="5">
        <f t="shared" si="616"/>
        <v>2.8571428571428572</v>
      </c>
      <c r="AS255" s="5">
        <f t="shared" si="739"/>
        <v>0.72781027216199923</v>
      </c>
      <c r="AT255" s="5">
        <f t="shared" si="740"/>
        <v>2.1293325849808582</v>
      </c>
      <c r="AU255" s="173">
        <f t="shared" si="741"/>
        <v>0.2547335952566997</v>
      </c>
      <c r="BA255" s="173">
        <f t="shared" si="692"/>
        <v>6.3932640243163643</v>
      </c>
      <c r="BB255" s="173">
        <f t="shared" si="693"/>
        <v>0.51639463338849312</v>
      </c>
      <c r="BC255" s="173">
        <f t="shared" si="694"/>
        <v>0.40828422380461221</v>
      </c>
      <c r="BD255" s="173"/>
      <c r="BE255" s="528">
        <f t="shared" si="695"/>
        <v>1.6349529953847151</v>
      </c>
      <c r="BF255" s="528">
        <f t="shared" si="762"/>
        <v>4.0799269572412271</v>
      </c>
      <c r="BG255" s="528">
        <f t="shared" si="763"/>
        <v>0.21101824847735359</v>
      </c>
      <c r="BH255" s="528">
        <f t="shared" si="696"/>
        <v>3.9032051812982665E-2</v>
      </c>
      <c r="BI255">
        <f t="shared" si="697"/>
        <v>6.7827294153435091E-3</v>
      </c>
      <c r="BJ255" s="460">
        <f t="shared" si="698"/>
        <v>217.80097789269709</v>
      </c>
      <c r="BK255">
        <f t="shared" si="764"/>
        <v>10.130814439420895</v>
      </c>
      <c r="BL255" s="460">
        <f t="shared" si="699"/>
        <v>5971.7129823316227</v>
      </c>
      <c r="BM255" s="173">
        <f t="shared" si="765"/>
        <v>0.20311199999999996</v>
      </c>
      <c r="BN255" s="173">
        <f t="shared" si="766"/>
        <v>0.16925999999999997</v>
      </c>
      <c r="BQ255" s="460">
        <f t="shared" si="700"/>
        <v>372.3719999999999</v>
      </c>
      <c r="BR255" s="528">
        <f t="shared" si="701"/>
        <v>1.2262147465385362</v>
      </c>
      <c r="BS255" s="528">
        <f t="shared" si="702"/>
        <v>7.9999025217730863E-3</v>
      </c>
      <c r="BT255" s="528">
        <f t="shared" si="703"/>
        <v>8.334800370386735E-4</v>
      </c>
      <c r="BU255" s="528">
        <f t="shared" si="704"/>
        <v>258.36905816519129</v>
      </c>
      <c r="BV255" s="528"/>
      <c r="BW255" s="625">
        <f t="shared" si="705"/>
        <v>4.2120000000000024</v>
      </c>
      <c r="BX255" s="460">
        <f t="shared" si="706"/>
        <v>263816.10629428859</v>
      </c>
      <c r="BY255" s="173">
        <f t="shared" si="707"/>
        <v>270.16019127662025</v>
      </c>
      <c r="BZ255" s="5">
        <f t="shared" si="708"/>
        <v>42.120000000000005</v>
      </c>
      <c r="CA255" s="173">
        <f t="shared" si="709"/>
        <v>0.13487887216864733</v>
      </c>
      <c r="CB255" s="5">
        <f t="shared" si="710"/>
        <v>13.487887216864733</v>
      </c>
      <c r="CC255">
        <f t="shared" si="711"/>
        <v>39</v>
      </c>
      <c r="CE255" s="562">
        <f t="shared" si="767"/>
        <v>-50</v>
      </c>
      <c r="CG255" s="173">
        <f t="shared" si="768"/>
        <v>0.43898278138549024</v>
      </c>
      <c r="CH255" s="173">
        <f t="shared" si="769"/>
        <v>0.11221758039735154</v>
      </c>
      <c r="CI255" s="170">
        <v>39</v>
      </c>
      <c r="CJ255" s="217">
        <f t="shared" si="712"/>
        <v>0.23399999999999999</v>
      </c>
      <c r="CK255" s="217">
        <f t="shared" si="654"/>
        <v>0.19500000000000001</v>
      </c>
      <c r="CL255" s="217">
        <f t="shared" si="655"/>
        <v>39.78</v>
      </c>
      <c r="CM255" s="217">
        <f t="shared" si="656"/>
        <v>2.34</v>
      </c>
      <c r="CN255" s="541">
        <f t="shared" si="657"/>
        <v>16</v>
      </c>
      <c r="CO255" s="443">
        <f t="shared" si="770"/>
        <v>8.5350000000000001</v>
      </c>
      <c r="CP255" s="443">
        <f t="shared" si="771"/>
        <v>24.535</v>
      </c>
      <c r="CQ255" s="443"/>
      <c r="CR255" s="217">
        <f t="shared" si="660"/>
        <v>0.34760448521916415</v>
      </c>
      <c r="CS255" s="172">
        <f t="shared" si="661"/>
        <v>175.08966662891231</v>
      </c>
      <c r="CT255" s="172">
        <f t="shared" si="662"/>
        <v>10.2993921546419</v>
      </c>
      <c r="CU255" s="217">
        <f t="shared" si="663"/>
        <v>1.02993921546419</v>
      </c>
      <c r="CV255" s="217">
        <f t="shared" si="664"/>
        <v>14.590805552409359</v>
      </c>
      <c r="CW255" s="217">
        <f t="shared" si="665"/>
        <v>170</v>
      </c>
      <c r="CX255" s="217">
        <f t="shared" si="666"/>
        <v>15.146524926686217</v>
      </c>
      <c r="CY255" s="217">
        <f t="shared" si="667"/>
        <v>0.47332890395894428</v>
      </c>
      <c r="CZ255" s="217">
        <f t="shared" si="668"/>
        <v>0.88731839054986628</v>
      </c>
      <c r="DA255" s="197">
        <f t="shared" si="669"/>
        <v>350</v>
      </c>
      <c r="DB255" s="443">
        <f t="shared" si="670"/>
        <v>350</v>
      </c>
      <c r="DD255" s="217">
        <f t="shared" si="671"/>
        <v>31.805292730501623</v>
      </c>
      <c r="DE255" s="173">
        <f t="shared" si="672"/>
        <v>1.8632274593146818</v>
      </c>
      <c r="DF255" s="173">
        <f t="shared" si="673"/>
        <v>0.4897221442551708</v>
      </c>
      <c r="DG255" s="173"/>
      <c r="DH255" s="173">
        <f t="shared" si="674"/>
        <v>0.78109744190587771</v>
      </c>
      <c r="DI255" s="545">
        <f t="shared" si="675"/>
        <v>951.60229411764703</v>
      </c>
      <c r="DJ255" s="528">
        <f t="shared" si="676"/>
        <v>8.6065366284073561E-2</v>
      </c>
      <c r="DL255" s="173">
        <f t="shared" si="677"/>
        <v>21.940178407921589</v>
      </c>
      <c r="DM255" s="173">
        <f t="shared" si="678"/>
        <v>21.940178407921589</v>
      </c>
      <c r="DN255" s="173">
        <f t="shared" si="679"/>
        <v>7.5754407959912999</v>
      </c>
      <c r="DP255" s="545">
        <f t="shared" si="680"/>
        <v>234</v>
      </c>
      <c r="DQ255" s="460">
        <f t="shared" si="681"/>
        <v>350</v>
      </c>
      <c r="DS255">
        <f t="shared" si="682"/>
        <v>234</v>
      </c>
      <c r="DT255">
        <f t="shared" si="683"/>
        <v>350</v>
      </c>
      <c r="DV255" s="5">
        <f t="shared" si="684"/>
        <v>2.8571428571428572</v>
      </c>
      <c r="DW255" s="5">
        <f t="shared" si="685"/>
        <v>0.68563057524754967</v>
      </c>
      <c r="DX255" s="5">
        <f t="shared" si="686"/>
        <v>2.1715122818953074</v>
      </c>
      <c r="DY255" s="173">
        <f t="shared" si="687"/>
        <v>0.23997070133664239</v>
      </c>
      <c r="EA255" s="5">
        <f t="shared" si="713"/>
        <v>9.4375032122309771E-2</v>
      </c>
      <c r="EB255" s="5">
        <f t="shared" si="714"/>
        <v>1.1141496847772681</v>
      </c>
      <c r="EC255" s="5">
        <f t="shared" si="715"/>
        <v>8.6382758573795329</v>
      </c>
      <c r="ED255" s="5"/>
      <c r="EE255" s="173">
        <f t="shared" si="716"/>
        <v>6.2052407774317997</v>
      </c>
      <c r="EF255" s="173">
        <f t="shared" si="717"/>
        <v>0.52148415262213133</v>
      </c>
      <c r="EG255" s="173">
        <f t="shared" si="718"/>
        <v>0.41230822071606221</v>
      </c>
      <c r="EH255" s="173"/>
      <c r="EI255" s="528">
        <f t="shared" si="719"/>
        <v>1.5402005242360963</v>
      </c>
      <c r="EJ255" s="528">
        <f t="shared" si="720"/>
        <v>5.1811594184191785</v>
      </c>
      <c r="EK255" s="528">
        <f t="shared" si="721"/>
        <v>6.9999999999999993E-2</v>
      </c>
      <c r="EL255" s="528">
        <f t="shared" si="722"/>
        <v>4.2137635749999999E-2</v>
      </c>
      <c r="EM255">
        <f t="shared" si="723"/>
        <v>7.1999999999999998E-3</v>
      </c>
      <c r="EN255" s="460">
        <f t="shared" si="724"/>
        <v>77.199999999999989</v>
      </c>
      <c r="EP255" s="460">
        <f t="shared" si="725"/>
        <v>6840.6975784052747</v>
      </c>
      <c r="EQ255" s="173">
        <f t="shared" si="726"/>
        <v>0.16379999999999997</v>
      </c>
      <c r="ER255" s="173">
        <f t="shared" si="772"/>
        <v>0.16925999999999997</v>
      </c>
      <c r="ES255" s="528"/>
      <c r="EU255" s="460">
        <f t="shared" si="727"/>
        <v>333.05999999999989</v>
      </c>
      <c r="EV255" s="528">
        <f t="shared" si="728"/>
        <v>1.1551503931770721</v>
      </c>
      <c r="EW255" s="528">
        <f t="shared" si="729"/>
        <v>8.1583716430806696E-3</v>
      </c>
      <c r="EX255" s="528">
        <f t="shared" si="730"/>
        <v>8.4999034435022532E-4</v>
      </c>
      <c r="EY255" s="528">
        <f t="shared" si="731"/>
        <v>258.36905816519129</v>
      </c>
      <c r="EZ255" s="528"/>
      <c r="FA255" s="625">
        <f t="shared" si="732"/>
        <v>4.2120000000000024</v>
      </c>
      <c r="FB255" s="460">
        <f t="shared" si="733"/>
        <v>263745.2169203558</v>
      </c>
      <c r="FC255" s="173">
        <f t="shared" si="734"/>
        <v>270.91897449876103</v>
      </c>
      <c r="FD255" s="5">
        <f t="shared" si="735"/>
        <v>42.120000000000005</v>
      </c>
      <c r="FE255" s="173">
        <f t="shared" si="736"/>
        <v>0.1345519358011017</v>
      </c>
      <c r="FF255" s="5">
        <f t="shared" si="737"/>
        <v>13.455193580110169</v>
      </c>
      <c r="FG255">
        <f t="shared" si="738"/>
        <v>39</v>
      </c>
      <c r="FI255" s="562">
        <f t="shared" si="689"/>
        <v>-50</v>
      </c>
    </row>
    <row r="256" spans="5:165">
      <c r="E256" s="170">
        <v>40</v>
      </c>
      <c r="F256" s="217">
        <f t="shared" si="773"/>
        <v>0.24</v>
      </c>
      <c r="G256" s="217">
        <f t="shared" si="742"/>
        <v>0.2</v>
      </c>
      <c r="H256" s="217">
        <f t="shared" si="743"/>
        <v>40.799999999999997</v>
      </c>
      <c r="I256" s="217">
        <f t="shared" si="744"/>
        <v>2.4000000000000004</v>
      </c>
      <c r="J256" s="541">
        <f t="shared" si="745"/>
        <v>15.06091922709412</v>
      </c>
      <c r="K256" s="443">
        <f t="shared" si="746"/>
        <v>8.5409134538524984</v>
      </c>
      <c r="L256" s="172">
        <f t="shared" si="747"/>
        <v>23.601832680946618</v>
      </c>
      <c r="M256" s="443"/>
      <c r="N256" s="217">
        <f t="shared" si="748"/>
        <v>0.36187501069556521</v>
      </c>
      <c r="O256" s="172">
        <f t="shared" si="749"/>
        <v>171.57943557152851</v>
      </c>
      <c r="P256" s="172">
        <f t="shared" si="750"/>
        <v>10.092907974795795</v>
      </c>
      <c r="Q256" s="217">
        <f t="shared" si="626"/>
        <v>1.0092907974795795</v>
      </c>
      <c r="R256" s="217">
        <f t="shared" si="751"/>
        <v>14.298286297627376</v>
      </c>
      <c r="S256" s="217">
        <f t="shared" si="752"/>
        <v>170</v>
      </c>
      <c r="T256" s="217">
        <f t="shared" si="753"/>
        <v>15.85271562958417</v>
      </c>
      <c r="U256" s="217">
        <f t="shared" si="630"/>
        <v>0.5262864567079556</v>
      </c>
      <c r="V256" s="217">
        <f t="shared" si="631"/>
        <v>0.92804567773916391</v>
      </c>
      <c r="W256" s="197">
        <f t="shared" si="632"/>
        <v>350</v>
      </c>
      <c r="X256" s="443">
        <f t="shared" si="691"/>
        <v>350</v>
      </c>
      <c r="Z256" s="217">
        <f t="shared" si="633"/>
        <v>31.143830322227021</v>
      </c>
      <c r="AA256" s="173">
        <f t="shared" si="634"/>
        <v>1.8232142551555279</v>
      </c>
      <c r="AB256" s="173">
        <f t="shared" si="754"/>
        <v>0.46923910923832535</v>
      </c>
      <c r="AC256" s="173"/>
      <c r="AD256" s="173">
        <f t="shared" si="636"/>
        <v>0.78055663515236462</v>
      </c>
      <c r="AE256" s="545">
        <f t="shared" si="755"/>
        <v>976.67857378172084</v>
      </c>
      <c r="AF256" s="528">
        <f t="shared" si="756"/>
        <v>8.6005777391788343E-2</v>
      </c>
      <c r="AH256" s="173">
        <f t="shared" si="757"/>
        <v>22.219682394541234</v>
      </c>
      <c r="AI256" s="173">
        <f t="shared" si="758"/>
        <v>22.219682394541234</v>
      </c>
      <c r="AJ256" s="173">
        <f t="shared" si="759"/>
        <v>7.7824807860799261</v>
      </c>
      <c r="AL256" s="545">
        <f t="shared" si="760"/>
        <v>240</v>
      </c>
      <c r="AM256" s="460">
        <f t="shared" si="761"/>
        <v>350</v>
      </c>
      <c r="AO256">
        <f t="shared" si="644"/>
        <v>240</v>
      </c>
      <c r="AP256">
        <f t="shared" si="645"/>
        <v>350</v>
      </c>
      <c r="AR256" s="5">
        <f t="shared" si="616"/>
        <v>2.8571428571428572</v>
      </c>
      <c r="AS256" s="5">
        <f t="shared" si="739"/>
        <v>0.73766023373157474</v>
      </c>
      <c r="AT256" s="5">
        <f t="shared" si="740"/>
        <v>2.1194826234112822</v>
      </c>
      <c r="AU256" s="173">
        <f t="shared" si="741"/>
        <v>0.25818108180605115</v>
      </c>
      <c r="BA256" s="173">
        <f t="shared" si="692"/>
        <v>6.5183762903762092</v>
      </c>
      <c r="BB256" s="173">
        <f t="shared" si="693"/>
        <v>0.52176217577907646</v>
      </c>
      <c r="BC256" s="173">
        <f t="shared" si="694"/>
        <v>0.41252803800596727</v>
      </c>
      <c r="BD256" s="173"/>
      <c r="BE256" s="528">
        <f t="shared" si="695"/>
        <v>1.6995691785175484</v>
      </c>
      <c r="BF256" s="528">
        <f t="shared" si="762"/>
        <v>4.129848655535433</v>
      </c>
      <c r="BG256" s="528">
        <f t="shared" si="763"/>
        <v>0.2108528691793177</v>
      </c>
      <c r="BH256" s="528">
        <f t="shared" si="696"/>
        <v>3.8993255412957985E-2</v>
      </c>
      <c r="BI256">
        <f t="shared" si="697"/>
        <v>6.7774136521923534E-3</v>
      </c>
      <c r="BJ256" s="460">
        <f t="shared" si="698"/>
        <v>217.63028283151007</v>
      </c>
      <c r="BK256">
        <f t="shared" si="764"/>
        <v>10.613019033088094</v>
      </c>
      <c r="BL256" s="460">
        <f t="shared" si="699"/>
        <v>6086.0413722974499</v>
      </c>
      <c r="BM256" s="173">
        <f t="shared" si="765"/>
        <v>0.20831999999999998</v>
      </c>
      <c r="BN256" s="173">
        <f t="shared" si="766"/>
        <v>0.17359999999999998</v>
      </c>
      <c r="BQ256" s="460">
        <f t="shared" si="700"/>
        <v>381.9199999999999</v>
      </c>
      <c r="BR256" s="528">
        <f t="shared" si="701"/>
        <v>1.2746768838881612</v>
      </c>
      <c r="BS256" s="528">
        <f t="shared" si="702"/>
        <v>8.1670730422114778E-3</v>
      </c>
      <c r="BT256" s="528">
        <f t="shared" si="703"/>
        <v>8.5089691070526388E-4</v>
      </c>
      <c r="BU256" s="528">
        <f t="shared" si="704"/>
        <v>266.67649132133914</v>
      </c>
      <c r="BV256" s="528"/>
      <c r="BW256" s="625">
        <f t="shared" si="705"/>
        <v>4.32</v>
      </c>
      <c r="BX256" s="460">
        <f t="shared" si="706"/>
        <v>272280.18617518025</v>
      </c>
      <c r="BY256" s="173">
        <f t="shared" si="707"/>
        <v>278.74814754747769</v>
      </c>
      <c r="BZ256" s="5">
        <f t="shared" si="708"/>
        <v>43.199999999999996</v>
      </c>
      <c r="CA256" s="173">
        <f t="shared" si="709"/>
        <v>0.13418309851784221</v>
      </c>
      <c r="CB256" s="5">
        <f t="shared" si="710"/>
        <v>13.418309851784221</v>
      </c>
      <c r="CC256">
        <f t="shared" si="711"/>
        <v>40</v>
      </c>
      <c r="CE256" s="562">
        <f t="shared" si="767"/>
        <v>-50</v>
      </c>
      <c r="CG256" s="173">
        <f t="shared" si="768"/>
        <v>0.444575144180969</v>
      </c>
      <c r="CH256" s="173">
        <f t="shared" si="769"/>
        <v>0.1136471613472743</v>
      </c>
      <c r="CI256" s="170">
        <v>40</v>
      </c>
      <c r="CJ256" s="217">
        <f t="shared" si="712"/>
        <v>0.24</v>
      </c>
      <c r="CK256" s="217">
        <f t="shared" si="654"/>
        <v>0.2</v>
      </c>
      <c r="CL256" s="217">
        <f t="shared" si="655"/>
        <v>40.799999999999997</v>
      </c>
      <c r="CM256" s="217">
        <f t="shared" si="656"/>
        <v>2.4000000000000004</v>
      </c>
      <c r="CN256" s="541">
        <f t="shared" si="657"/>
        <v>16</v>
      </c>
      <c r="CO256" s="443">
        <f t="shared" si="770"/>
        <v>8.5350000000000001</v>
      </c>
      <c r="CP256" s="443">
        <f t="shared" si="771"/>
        <v>24.535</v>
      </c>
      <c r="CQ256" s="443"/>
      <c r="CR256" s="217">
        <f t="shared" si="660"/>
        <v>0.34760448521916415</v>
      </c>
      <c r="CS256" s="172">
        <f t="shared" si="661"/>
        <v>175.08966662891231</v>
      </c>
      <c r="CT256" s="172">
        <f t="shared" si="662"/>
        <v>10.2993921546419</v>
      </c>
      <c r="CU256" s="217">
        <f t="shared" si="663"/>
        <v>1.02993921546419</v>
      </c>
      <c r="CV256" s="217">
        <f t="shared" si="664"/>
        <v>14.590805552409359</v>
      </c>
      <c r="CW256" s="217">
        <f t="shared" si="665"/>
        <v>170</v>
      </c>
      <c r="CX256" s="217">
        <f t="shared" si="666"/>
        <v>15.534897360703809</v>
      </c>
      <c r="CY256" s="217">
        <f t="shared" si="667"/>
        <v>0.48546554252199398</v>
      </c>
      <c r="CZ256" s="217">
        <f t="shared" si="668"/>
        <v>0.91007014415370868</v>
      </c>
      <c r="DA256" s="197">
        <f t="shared" si="669"/>
        <v>350</v>
      </c>
      <c r="DB256" s="443">
        <f t="shared" si="670"/>
        <v>350</v>
      </c>
      <c r="DD256" s="217">
        <f t="shared" si="671"/>
        <v>31.805292730501623</v>
      </c>
      <c r="DE256" s="173">
        <f t="shared" si="672"/>
        <v>1.8632274593146818</v>
      </c>
      <c r="DF256" s="173">
        <f t="shared" si="673"/>
        <v>0.4897221442551708</v>
      </c>
      <c r="DG256" s="173"/>
      <c r="DH256" s="173">
        <f t="shared" si="674"/>
        <v>0.78109744190587771</v>
      </c>
      <c r="DI256" s="545">
        <f t="shared" si="675"/>
        <v>976.00235294117635</v>
      </c>
      <c r="DJ256" s="528">
        <f t="shared" si="676"/>
        <v>8.6065366284073561E-2</v>
      </c>
      <c r="DL256" s="173">
        <f t="shared" si="677"/>
        <v>22.219682394541234</v>
      </c>
      <c r="DM256" s="173">
        <f t="shared" si="678"/>
        <v>22.219682394541234</v>
      </c>
      <c r="DN256" s="173">
        <f t="shared" si="679"/>
        <v>7.7824807860799261</v>
      </c>
      <c r="DP256" s="545">
        <f t="shared" si="680"/>
        <v>240</v>
      </c>
      <c r="DQ256" s="460">
        <f t="shared" si="681"/>
        <v>350</v>
      </c>
      <c r="DS256">
        <f t="shared" si="682"/>
        <v>240</v>
      </c>
      <c r="DT256">
        <f t="shared" si="683"/>
        <v>350</v>
      </c>
      <c r="DV256" s="5">
        <f t="shared" si="684"/>
        <v>2.8571428571428572</v>
      </c>
      <c r="DW256" s="5">
        <f t="shared" si="685"/>
        <v>0.69436507482941356</v>
      </c>
      <c r="DX256" s="5">
        <f t="shared" si="686"/>
        <v>2.1627777823134435</v>
      </c>
      <c r="DY256" s="173">
        <f t="shared" si="687"/>
        <v>0.24302777619029475</v>
      </c>
      <c r="EA256" s="5">
        <f t="shared" si="713"/>
        <v>9.8028010564152501E-2</v>
      </c>
      <c r="EB256" s="5">
        <f t="shared" si="714"/>
        <v>1.1572751247156894</v>
      </c>
      <c r="EC256" s="5">
        <f t="shared" si="715"/>
        <v>8.8241333518388494</v>
      </c>
      <c r="ED256" s="5"/>
      <c r="EE256" s="173">
        <f t="shared" si="716"/>
        <v>6.3241938861940517</v>
      </c>
      <c r="EF256" s="173">
        <f t="shared" si="717"/>
        <v>0.52706431363358097</v>
      </c>
      <c r="EG256" s="173">
        <f t="shared" si="718"/>
        <v>0.41672014051529543</v>
      </c>
      <c r="EH256" s="173"/>
      <c r="EI256" s="528">
        <f t="shared" si="719"/>
        <v>1.5998171324069688</v>
      </c>
      <c r="EJ256" s="528">
        <f t="shared" si="720"/>
        <v>5.2471641101694164</v>
      </c>
      <c r="EK256" s="528">
        <f t="shared" si="721"/>
        <v>6.9999999999999993E-2</v>
      </c>
      <c r="EL256" s="528">
        <f t="shared" si="722"/>
        <v>4.2137635749999999E-2</v>
      </c>
      <c r="EM256">
        <f t="shared" si="723"/>
        <v>7.1999999999999998E-3</v>
      </c>
      <c r="EN256" s="460">
        <f t="shared" si="724"/>
        <v>77.199999999999989</v>
      </c>
      <c r="EP256" s="460">
        <f t="shared" si="725"/>
        <v>6966.3188783263849</v>
      </c>
      <c r="EQ256" s="173">
        <f t="shared" si="726"/>
        <v>0.16799999999999998</v>
      </c>
      <c r="ER256" s="173">
        <f t="shared" si="772"/>
        <v>0.17359999999999998</v>
      </c>
      <c r="ES256" s="528"/>
      <c r="EU256" s="460">
        <f t="shared" si="727"/>
        <v>341.59999999999997</v>
      </c>
      <c r="EV256" s="528">
        <f t="shared" si="728"/>
        <v>1.1998628493052266</v>
      </c>
      <c r="EW256" s="528">
        <f t="shared" si="729"/>
        <v>8.3339037211811341E-3</v>
      </c>
      <c r="EX256" s="528">
        <f t="shared" si="730"/>
        <v>8.6827837755543787E-4</v>
      </c>
      <c r="EY256" s="528">
        <f t="shared" si="731"/>
        <v>266.67649132133914</v>
      </c>
      <c r="EZ256" s="528"/>
      <c r="FA256" s="625">
        <f t="shared" si="732"/>
        <v>4.32</v>
      </c>
      <c r="FB256" s="460">
        <f t="shared" si="733"/>
        <v>272205.55635274306</v>
      </c>
      <c r="FC256" s="173">
        <f t="shared" si="734"/>
        <v>279.51347523106949</v>
      </c>
      <c r="FD256" s="5">
        <f t="shared" si="735"/>
        <v>43.199999999999996</v>
      </c>
      <c r="FE256" s="173">
        <f t="shared" si="736"/>
        <v>0.13386487802862249</v>
      </c>
      <c r="FF256" s="5">
        <f t="shared" si="737"/>
        <v>13.386487802862248</v>
      </c>
      <c r="FG256">
        <f t="shared" si="738"/>
        <v>40</v>
      </c>
      <c r="FI256" s="562">
        <f t="shared" si="689"/>
        <v>-50</v>
      </c>
    </row>
    <row r="257" spans="5:165">
      <c r="E257" s="170">
        <v>41</v>
      </c>
      <c r="F257" s="217">
        <f t="shared" si="773"/>
        <v>0.24599999999999997</v>
      </c>
      <c r="G257" s="217">
        <f t="shared" si="742"/>
        <v>0.20499999999999999</v>
      </c>
      <c r="H257" s="217">
        <f t="shared" si="743"/>
        <v>41.819999999999993</v>
      </c>
      <c r="I257" s="217">
        <f t="shared" si="744"/>
        <v>2.46</v>
      </c>
      <c r="J257" s="541">
        <f t="shared" si="745"/>
        <v>15.049253180130197</v>
      </c>
      <c r="K257" s="443">
        <f t="shared" si="746"/>
        <v>8.5409869157232468</v>
      </c>
      <c r="L257" s="172">
        <f t="shared" si="747"/>
        <v>23.590240095853446</v>
      </c>
      <c r="M257" s="443"/>
      <c r="N257" s="217">
        <f t="shared" si="748"/>
        <v>0.36205595538743718</v>
      </c>
      <c r="O257" s="172">
        <f t="shared" si="749"/>
        <v>171.53225841850175</v>
      </c>
      <c r="P257" s="172">
        <f t="shared" si="750"/>
        <v>10.09013284814716</v>
      </c>
      <c r="Q257" s="217">
        <f t="shared" si="626"/>
        <v>1.0090132848147162</v>
      </c>
      <c r="R257" s="217">
        <f t="shared" si="751"/>
        <v>14.29435486820848</v>
      </c>
      <c r="S257" s="217">
        <f t="shared" si="752"/>
        <v>170</v>
      </c>
      <c r="T257" s="217">
        <f t="shared" si="753"/>
        <v>16.253502552259768</v>
      </c>
      <c r="U257" s="217">
        <f t="shared" si="630"/>
        <v>0.5400102702013001</v>
      </c>
      <c r="V257" s="217">
        <f t="shared" si="631"/>
        <v>0.95150026060445192</v>
      </c>
      <c r="W257" s="197">
        <f t="shared" si="632"/>
        <v>350</v>
      </c>
      <c r="X257" s="443">
        <f t="shared" si="691"/>
        <v>350</v>
      </c>
      <c r="Z257" s="217">
        <f t="shared" si="633"/>
        <v>31.135267074282662</v>
      </c>
      <c r="AA257" s="173">
        <f t="shared" si="634"/>
        <v>1.8226972703216076</v>
      </c>
      <c r="AB257" s="173">
        <f t="shared" si="754"/>
        <v>0.46897706878725548</v>
      </c>
      <c r="AC257" s="173"/>
      <c r="AD257" s="173">
        <f t="shared" si="636"/>
        <v>0.78054992150776947</v>
      </c>
      <c r="AE257" s="545">
        <f t="shared" si="755"/>
        <v>1001.1041487217728</v>
      </c>
      <c r="AF257" s="528">
        <f t="shared" si="756"/>
        <v>8.6005037647615357E-2</v>
      </c>
      <c r="AH257" s="173">
        <f t="shared" si="757"/>
        <v>22.495713877473257</v>
      </c>
      <c r="AI257" s="173">
        <f t="shared" si="758"/>
        <v>22.495713877473257</v>
      </c>
      <c r="AJ257" s="173">
        <f t="shared" si="759"/>
        <v>7.9869485512147582</v>
      </c>
      <c r="AL257" s="545">
        <f t="shared" si="760"/>
        <v>245.99999999999997</v>
      </c>
      <c r="AM257" s="460">
        <f t="shared" si="761"/>
        <v>350</v>
      </c>
      <c r="AO257">
        <f t="shared" si="644"/>
        <v>245.99999999999997</v>
      </c>
      <c r="AP257">
        <f t="shared" si="645"/>
        <v>350</v>
      </c>
      <c r="AR257" s="5">
        <f t="shared" si="616"/>
        <v>2.8571428571428572</v>
      </c>
      <c r="AS257" s="5">
        <f t="shared" si="739"/>
        <v>0.74740299761767437</v>
      </c>
      <c r="AT257" s="5">
        <f t="shared" si="740"/>
        <v>2.1097398595251828</v>
      </c>
      <c r="AU257" s="173">
        <f t="shared" si="741"/>
        <v>0.26159104916618603</v>
      </c>
      <c r="BA257" s="173">
        <f t="shared" si="692"/>
        <v>6.6427910534162899</v>
      </c>
      <c r="BB257" s="173">
        <f t="shared" si="693"/>
        <v>0.52702843688314183</v>
      </c>
      <c r="BC257" s="173">
        <f t="shared" si="694"/>
        <v>0.41669177478440156</v>
      </c>
      <c r="BD257" s="173"/>
      <c r="BE257" s="528">
        <f t="shared" si="695"/>
        <v>1.7650669191739001</v>
      </c>
      <c r="BF257" s="528">
        <f t="shared" si="762"/>
        <v>4.17909942054058</v>
      </c>
      <c r="BG257" s="528">
        <f t="shared" si="763"/>
        <v>0.21068954452182276</v>
      </c>
      <c r="BH257" s="528">
        <f t="shared" si="696"/>
        <v>3.8954959944600812E-2</v>
      </c>
      <c r="BI257">
        <f t="shared" si="697"/>
        <v>6.7721639310585882E-3</v>
      </c>
      <c r="BJ257" s="460">
        <f t="shared" si="698"/>
        <v>217.46170845288134</v>
      </c>
      <c r="BK257">
        <f t="shared" si="764"/>
        <v>11.125500766832564</v>
      </c>
      <c r="BL257" s="460">
        <f t="shared" si="699"/>
        <v>6200.583008111962</v>
      </c>
      <c r="BM257" s="173">
        <f t="shared" si="765"/>
        <v>0.21352799999999997</v>
      </c>
      <c r="BN257" s="173">
        <f t="shared" si="766"/>
        <v>0.17793999999999999</v>
      </c>
      <c r="BQ257" s="460">
        <f t="shared" si="700"/>
        <v>391.4679999999999</v>
      </c>
      <c r="BR257" s="528">
        <f t="shared" si="701"/>
        <v>1.323800189380425</v>
      </c>
      <c r="BS257" s="528">
        <f t="shared" si="702"/>
        <v>8.3327691985046332E-3</v>
      </c>
      <c r="BT257" s="528">
        <f t="shared" si="703"/>
        <v>8.6816017586487213E-4</v>
      </c>
      <c r="BU257" s="528">
        <f t="shared" si="704"/>
        <v>275.03601329097876</v>
      </c>
      <c r="BV257" s="528"/>
      <c r="BW257" s="625">
        <f t="shared" si="705"/>
        <v>4.4280000000000008</v>
      </c>
      <c r="BX257" s="460">
        <f t="shared" si="706"/>
        <v>280797.01440973353</v>
      </c>
      <c r="BY257" s="173">
        <f t="shared" si="707"/>
        <v>287.38906541784553</v>
      </c>
      <c r="BZ257" s="5">
        <f t="shared" si="708"/>
        <v>44.279999999999994</v>
      </c>
      <c r="CA257" s="173">
        <f t="shared" si="709"/>
        <v>0.1335065721134254</v>
      </c>
      <c r="CB257" s="5">
        <f t="shared" si="710"/>
        <v>13.35065721134254</v>
      </c>
      <c r="CC257">
        <f t="shared" si="711"/>
        <v>41</v>
      </c>
      <c r="CE257" s="562">
        <f t="shared" si="767"/>
        <v>-50</v>
      </c>
      <c r="CG257" s="173">
        <f t="shared" si="768"/>
        <v>0.45009802853835917</v>
      </c>
      <c r="CH257" s="173">
        <f t="shared" si="769"/>
        <v>0.1150589814588619</v>
      </c>
      <c r="CI257" s="170">
        <v>41</v>
      </c>
      <c r="CJ257" s="217">
        <f t="shared" si="712"/>
        <v>0.24599999999999997</v>
      </c>
      <c r="CK257" s="217">
        <f t="shared" si="654"/>
        <v>0.20499999999999999</v>
      </c>
      <c r="CL257" s="217">
        <f t="shared" si="655"/>
        <v>41.819999999999993</v>
      </c>
      <c r="CM257" s="217">
        <f t="shared" si="656"/>
        <v>2.46</v>
      </c>
      <c r="CN257" s="541">
        <f t="shared" si="657"/>
        <v>16</v>
      </c>
      <c r="CO257" s="443">
        <f t="shared" si="770"/>
        <v>8.5350000000000001</v>
      </c>
      <c r="CP257" s="443">
        <f t="shared" si="771"/>
        <v>24.535</v>
      </c>
      <c r="CQ257" s="443"/>
      <c r="CR257" s="217">
        <f t="shared" si="660"/>
        <v>0.34760448521916415</v>
      </c>
      <c r="CS257" s="172">
        <f t="shared" si="661"/>
        <v>175.08966662891231</v>
      </c>
      <c r="CT257" s="172">
        <f t="shared" si="662"/>
        <v>10.2993921546419</v>
      </c>
      <c r="CU257" s="217">
        <f t="shared" si="663"/>
        <v>1.02993921546419</v>
      </c>
      <c r="CV257" s="217">
        <f t="shared" si="664"/>
        <v>14.590805552409359</v>
      </c>
      <c r="CW257" s="217">
        <f t="shared" si="665"/>
        <v>170</v>
      </c>
      <c r="CX257" s="217">
        <f t="shared" si="666"/>
        <v>15.923269794721405</v>
      </c>
      <c r="CY257" s="217">
        <f t="shared" si="667"/>
        <v>0.49760218108504389</v>
      </c>
      <c r="CZ257" s="217">
        <f t="shared" si="668"/>
        <v>0.93282189775755153</v>
      </c>
      <c r="DA257" s="197">
        <f t="shared" si="669"/>
        <v>350</v>
      </c>
      <c r="DB257" s="443">
        <f t="shared" si="670"/>
        <v>350</v>
      </c>
      <c r="DD257" s="217">
        <f t="shared" si="671"/>
        <v>31.805292730501623</v>
      </c>
      <c r="DE257" s="173">
        <f t="shared" si="672"/>
        <v>1.8632274593146818</v>
      </c>
      <c r="DF257" s="173">
        <f t="shared" si="673"/>
        <v>0.4897221442551708</v>
      </c>
      <c r="DG257" s="173"/>
      <c r="DH257" s="173">
        <f t="shared" si="674"/>
        <v>0.78109744190587771</v>
      </c>
      <c r="DI257" s="545">
        <f t="shared" si="675"/>
        <v>1000.4024117647058</v>
      </c>
      <c r="DJ257" s="528">
        <f t="shared" si="676"/>
        <v>8.6065366284073561E-2</v>
      </c>
      <c r="DL257" s="173">
        <f t="shared" si="677"/>
        <v>22.495713877473257</v>
      </c>
      <c r="DM257" s="173">
        <f t="shared" si="678"/>
        <v>22.495713877473257</v>
      </c>
      <c r="DN257" s="173">
        <f t="shared" si="679"/>
        <v>7.9869485512147582</v>
      </c>
      <c r="DP257" s="545">
        <f t="shared" si="680"/>
        <v>245.99999999999997</v>
      </c>
      <c r="DQ257" s="460">
        <f t="shared" si="681"/>
        <v>350</v>
      </c>
      <c r="DS257">
        <f t="shared" si="682"/>
        <v>245.99999999999997</v>
      </c>
      <c r="DT257">
        <f t="shared" si="683"/>
        <v>350</v>
      </c>
      <c r="DV257" s="5">
        <f t="shared" si="684"/>
        <v>2.8571428571428572</v>
      </c>
      <c r="DW257" s="5">
        <f t="shared" si="685"/>
        <v>0.70299105867103928</v>
      </c>
      <c r="DX257" s="5">
        <f t="shared" si="686"/>
        <v>2.1541517984718181</v>
      </c>
      <c r="DY257" s="173">
        <f t="shared" si="687"/>
        <v>0.24604687053486374</v>
      </c>
      <c r="EA257" s="5">
        <f t="shared" si="713"/>
        <v>0.10172694143122096</v>
      </c>
      <c r="EB257" s="5">
        <f t="shared" si="714"/>
        <v>1.2009430585630254</v>
      </c>
      <c r="EC257" s="5">
        <f t="shared" si="715"/>
        <v>9.0086628212091426</v>
      </c>
      <c r="ED257" s="5"/>
      <c r="EE257" s="173">
        <f t="shared" si="716"/>
        <v>6.4424057698920327</v>
      </c>
      <c r="EF257" s="173">
        <f t="shared" si="717"/>
        <v>0.5325467601805558</v>
      </c>
      <c r="EG257" s="173">
        <f t="shared" si="718"/>
        <v>0.42105480297740094</v>
      </c>
      <c r="EH257" s="173"/>
      <c r="EI257" s="528">
        <f t="shared" si="719"/>
        <v>1.6601836841575264</v>
      </c>
      <c r="EJ257" s="528">
        <f t="shared" si="720"/>
        <v>5.3123487723441372</v>
      </c>
      <c r="EK257" s="528">
        <f t="shared" si="721"/>
        <v>6.9999999999999993E-2</v>
      </c>
      <c r="EL257" s="528">
        <f t="shared" si="722"/>
        <v>4.2137635749999999E-2</v>
      </c>
      <c r="EM257">
        <f t="shared" si="723"/>
        <v>7.1999999999999998E-3</v>
      </c>
      <c r="EN257" s="460">
        <f t="shared" si="724"/>
        <v>77.199999999999989</v>
      </c>
      <c r="EP257" s="460">
        <f t="shared" si="725"/>
        <v>7091.8700922516637</v>
      </c>
      <c r="EQ257" s="173">
        <f t="shared" si="726"/>
        <v>0.17219999999999996</v>
      </c>
      <c r="ER257" s="173">
        <f t="shared" si="772"/>
        <v>0.17793999999999999</v>
      </c>
      <c r="ES257" s="528"/>
      <c r="EU257" s="460">
        <f t="shared" si="727"/>
        <v>350.13999999999993</v>
      </c>
      <c r="EV257" s="528">
        <f t="shared" si="728"/>
        <v>1.2451377631181446</v>
      </c>
      <c r="EW257" s="528">
        <f t="shared" si="729"/>
        <v>8.5081815533641931E-3</v>
      </c>
      <c r="EX257" s="528">
        <f t="shared" si="730"/>
        <v>8.8643573555168974E-4</v>
      </c>
      <c r="EY257" s="528">
        <f t="shared" si="731"/>
        <v>275.03601329097876</v>
      </c>
      <c r="EZ257" s="528"/>
      <c r="FA257" s="625">
        <f t="shared" si="732"/>
        <v>4.4280000000000008</v>
      </c>
      <c r="FB257" s="460">
        <f t="shared" si="733"/>
        <v>280718.54567138583</v>
      </c>
      <c r="FC257" s="173">
        <f t="shared" si="734"/>
        <v>288.16055576363749</v>
      </c>
      <c r="FD257" s="5">
        <f t="shared" si="735"/>
        <v>44.279999999999994</v>
      </c>
      <c r="FE257" s="173">
        <f t="shared" si="736"/>
        <v>0.13319674519941158</v>
      </c>
      <c r="FF257" s="5">
        <f t="shared" si="737"/>
        <v>13.319674519941158</v>
      </c>
      <c r="FG257">
        <f t="shared" si="738"/>
        <v>41</v>
      </c>
      <c r="FI257" s="562">
        <f t="shared" si="689"/>
        <v>-50</v>
      </c>
    </row>
    <row r="258" spans="5:165">
      <c r="E258" s="170">
        <v>42</v>
      </c>
      <c r="F258" s="217">
        <f t="shared" si="773"/>
        <v>0.252</v>
      </c>
      <c r="G258" s="217">
        <f t="shared" si="742"/>
        <v>0.21</v>
      </c>
      <c r="H258" s="217">
        <f t="shared" si="743"/>
        <v>42.84</v>
      </c>
      <c r="I258" s="217">
        <f t="shared" si="744"/>
        <v>2.52</v>
      </c>
      <c r="J258" s="541">
        <f t="shared" si="745"/>
        <v>15.037728555477415</v>
      </c>
      <c r="K258" s="443">
        <f t="shared" si="746"/>
        <v>8.541059487048333</v>
      </c>
      <c r="L258" s="172">
        <f t="shared" si="747"/>
        <v>23.578788042525748</v>
      </c>
      <c r="M258" s="443"/>
      <c r="N258" s="217">
        <f t="shared" si="748"/>
        <v>0.3622348812688771</v>
      </c>
      <c r="O258" s="172">
        <f t="shared" si="749"/>
        <v>171.4856053766637</v>
      </c>
      <c r="P258" s="172">
        <f t="shared" si="750"/>
        <v>10.087388551568454</v>
      </c>
      <c r="Q258" s="217">
        <f t="shared" si="626"/>
        <v>1.0087388551568452</v>
      </c>
      <c r="R258" s="217">
        <f t="shared" si="751"/>
        <v>14.290467114721976</v>
      </c>
      <c r="S258" s="217">
        <f t="shared" si="752"/>
        <v>170</v>
      </c>
      <c r="T258" s="217">
        <f t="shared" si="753"/>
        <v>16.654459094259664</v>
      </c>
      <c r="U258" s="217">
        <f t="shared" si="630"/>
        <v>0.5537558093570375</v>
      </c>
      <c r="V258" s="217">
        <f t="shared" si="631"/>
        <v>0.9749644712997545</v>
      </c>
      <c r="W258" s="197">
        <f t="shared" si="632"/>
        <v>350</v>
      </c>
      <c r="X258" s="443">
        <f t="shared" si="691"/>
        <v>350</v>
      </c>
      <c r="Z258" s="217">
        <f t="shared" si="633"/>
        <v>31.126798959125509</v>
      </c>
      <c r="AA258" s="173">
        <f t="shared" si="634"/>
        <v>1.8221860535174941</v>
      </c>
      <c r="AB258" s="173">
        <f t="shared" si="754"/>
        <v>0.46871801774454175</v>
      </c>
      <c r="AC258" s="173"/>
      <c r="AD258" s="173">
        <f t="shared" si="636"/>
        <v>0.7805432893631058</v>
      </c>
      <c r="AE258" s="545">
        <f t="shared" si="755"/>
        <v>1025.5300367625327</v>
      </c>
      <c r="AF258" s="528">
        <f t="shared" si="756"/>
        <v>8.6004306883527407E-2</v>
      </c>
      <c r="AH258" s="173">
        <f t="shared" si="757"/>
        <v>22.768399153212332</v>
      </c>
      <c r="AI258" s="173">
        <f t="shared" si="758"/>
        <v>22.768399153212332</v>
      </c>
      <c r="AJ258" s="173">
        <f t="shared" si="759"/>
        <v>8.1889376443548123</v>
      </c>
      <c r="AL258" s="545">
        <f t="shared" si="760"/>
        <v>252</v>
      </c>
      <c r="AM258" s="460">
        <f t="shared" si="761"/>
        <v>350</v>
      </c>
      <c r="AO258">
        <f t="shared" si="644"/>
        <v>252</v>
      </c>
      <c r="AP258">
        <f t="shared" si="645"/>
        <v>350</v>
      </c>
      <c r="AR258" s="5">
        <f t="shared" si="616"/>
        <v>2.8571428571428572</v>
      </c>
      <c r="AS258" s="5">
        <f t="shared" si="739"/>
        <v>0.75704249711699512</v>
      </c>
      <c r="AT258" s="5">
        <f t="shared" si="740"/>
        <v>2.1001003600258619</v>
      </c>
      <c r="AU258" s="173">
        <f t="shared" si="741"/>
        <v>0.26496487399094826</v>
      </c>
      <c r="BA258" s="173">
        <f t="shared" si="692"/>
        <v>6.7665301466583196</v>
      </c>
      <c r="BB258" s="173">
        <f t="shared" si="693"/>
        <v>0.53219689516395585</v>
      </c>
      <c r="BC258" s="173">
        <f t="shared" si="694"/>
        <v>0.420778184365388</v>
      </c>
      <c r="BD258" s="173"/>
      <c r="BE258" s="528">
        <f t="shared" si="695"/>
        <v>1.8314372090254345</v>
      </c>
      <c r="BF258" s="528">
        <f t="shared" si="762"/>
        <v>4.2277036543970778</v>
      </c>
      <c r="BG258" s="528">
        <f t="shared" si="763"/>
        <v>0.2105281997766838</v>
      </c>
      <c r="BH258" s="528">
        <f t="shared" si="696"/>
        <v>3.8917147188804867E-2</v>
      </c>
      <c r="BI258">
        <f t="shared" si="697"/>
        <v>6.7669778499648368E-3</v>
      </c>
      <c r="BJ258" s="460">
        <f t="shared" si="698"/>
        <v>217.29517762664864</v>
      </c>
      <c r="BK258">
        <f t="shared" si="764"/>
        <v>11.67131096407129</v>
      </c>
      <c r="BL258" s="460">
        <f t="shared" si="699"/>
        <v>6315.3531882379666</v>
      </c>
      <c r="BM258" s="173">
        <f t="shared" si="765"/>
        <v>0.21873600000000001</v>
      </c>
      <c r="BN258" s="173">
        <f t="shared" si="766"/>
        <v>0.18228</v>
      </c>
      <c r="BQ258" s="460">
        <f t="shared" si="700"/>
        <v>401.01600000000002</v>
      </c>
      <c r="BR258" s="528">
        <f t="shared" si="701"/>
        <v>1.3735779067690757</v>
      </c>
      <c r="BS258" s="528">
        <f t="shared" si="702"/>
        <v>8.4970060566646379E-3</v>
      </c>
      <c r="BT258" s="528">
        <f t="shared" si="703"/>
        <v>8.8527140218916227E-4</v>
      </c>
      <c r="BU258" s="528">
        <f t="shared" si="704"/>
        <v>283.44666812652571</v>
      </c>
      <c r="BV258" s="528"/>
      <c r="BW258" s="625">
        <f t="shared" si="705"/>
        <v>4.5360000000000014</v>
      </c>
      <c r="BX258" s="460">
        <f t="shared" si="706"/>
        <v>289365.62831075367</v>
      </c>
      <c r="BY258" s="173">
        <f t="shared" si="707"/>
        <v>296.0819974989916</v>
      </c>
      <c r="BZ258" s="5">
        <f t="shared" si="708"/>
        <v>45.360000000000007</v>
      </c>
      <c r="CA258" s="173">
        <f t="shared" si="709"/>
        <v>0.13284833246131056</v>
      </c>
      <c r="CB258" s="5">
        <f t="shared" si="710"/>
        <v>13.284833246131056</v>
      </c>
      <c r="CC258">
        <f t="shared" si="711"/>
        <v>42.000000000000007</v>
      </c>
      <c r="CE258" s="562">
        <f t="shared" si="767"/>
        <v>-50</v>
      </c>
      <c r="CG258" s="173">
        <f t="shared" si="768"/>
        <v>0.45555396141917792</v>
      </c>
      <c r="CH258" s="173">
        <f t="shared" si="769"/>
        <v>0.11645368670165862</v>
      </c>
      <c r="CI258" s="170">
        <v>42</v>
      </c>
      <c r="CJ258" s="217">
        <f t="shared" si="712"/>
        <v>0.252</v>
      </c>
      <c r="CK258" s="217">
        <f t="shared" si="654"/>
        <v>0.21</v>
      </c>
      <c r="CL258" s="217">
        <f t="shared" si="655"/>
        <v>42.84</v>
      </c>
      <c r="CM258" s="217">
        <f t="shared" si="656"/>
        <v>2.52</v>
      </c>
      <c r="CN258" s="541">
        <f t="shared" si="657"/>
        <v>16</v>
      </c>
      <c r="CO258" s="443">
        <f t="shared" si="770"/>
        <v>8.5350000000000001</v>
      </c>
      <c r="CP258" s="443">
        <f t="shared" si="771"/>
        <v>24.535</v>
      </c>
      <c r="CQ258" s="443"/>
      <c r="CR258" s="217">
        <f t="shared" si="660"/>
        <v>0.34760448521916415</v>
      </c>
      <c r="CS258" s="172">
        <f t="shared" si="661"/>
        <v>175.08966662891231</v>
      </c>
      <c r="CT258" s="172">
        <f t="shared" si="662"/>
        <v>10.2993921546419</v>
      </c>
      <c r="CU258" s="217">
        <f t="shared" si="663"/>
        <v>1.02993921546419</v>
      </c>
      <c r="CV258" s="217">
        <f t="shared" si="664"/>
        <v>14.590805552409359</v>
      </c>
      <c r="CW258" s="217">
        <f t="shared" si="665"/>
        <v>170</v>
      </c>
      <c r="CX258" s="217">
        <f t="shared" si="666"/>
        <v>16.311642228739004</v>
      </c>
      <c r="CY258" s="217">
        <f t="shared" si="667"/>
        <v>0.50973881964809387</v>
      </c>
      <c r="CZ258" s="217">
        <f t="shared" si="668"/>
        <v>0.95557365136139449</v>
      </c>
      <c r="DA258" s="197">
        <f t="shared" si="669"/>
        <v>350</v>
      </c>
      <c r="DB258" s="443">
        <f t="shared" si="670"/>
        <v>350</v>
      </c>
      <c r="DD258" s="217">
        <f t="shared" si="671"/>
        <v>31.805292730501623</v>
      </c>
      <c r="DE258" s="173">
        <f t="shared" si="672"/>
        <v>1.8632274593146818</v>
      </c>
      <c r="DF258" s="173">
        <f t="shared" si="673"/>
        <v>0.4897221442551708</v>
      </c>
      <c r="DG258" s="173"/>
      <c r="DH258" s="173">
        <f t="shared" si="674"/>
        <v>0.78109744190587771</v>
      </c>
      <c r="DI258" s="545">
        <f t="shared" si="675"/>
        <v>1024.8024705882353</v>
      </c>
      <c r="DJ258" s="528">
        <f t="shared" si="676"/>
        <v>8.6065366284073561E-2</v>
      </c>
      <c r="DL258" s="173">
        <f t="shared" si="677"/>
        <v>22.768399153212332</v>
      </c>
      <c r="DM258" s="173">
        <f t="shared" si="678"/>
        <v>22.768399153212332</v>
      </c>
      <c r="DN258" s="173">
        <f t="shared" si="679"/>
        <v>8.1889376443548123</v>
      </c>
      <c r="DP258" s="545">
        <f t="shared" si="680"/>
        <v>252</v>
      </c>
      <c r="DQ258" s="460">
        <f t="shared" si="681"/>
        <v>350</v>
      </c>
      <c r="DS258">
        <f t="shared" si="682"/>
        <v>252</v>
      </c>
      <c r="DT258">
        <f t="shared" si="683"/>
        <v>350</v>
      </c>
      <c r="DV258" s="5">
        <f t="shared" si="684"/>
        <v>2.8571428571428572</v>
      </c>
      <c r="DW258" s="5">
        <f t="shared" si="685"/>
        <v>0.71151247353788527</v>
      </c>
      <c r="DX258" s="5">
        <f t="shared" si="686"/>
        <v>2.1456303836049719</v>
      </c>
      <c r="DY258" s="173">
        <f t="shared" si="687"/>
        <v>0.24902936573825984</v>
      </c>
      <c r="EA258" s="5">
        <f t="shared" si="713"/>
        <v>0.10547126078326299</v>
      </c>
      <c r="EB258" s="5">
        <f t="shared" si="714"/>
        <v>1.245146828691299</v>
      </c>
      <c r="EC258" s="5">
        <f t="shared" si="715"/>
        <v>9.1918805633637</v>
      </c>
      <c r="ED258" s="5"/>
      <c r="EE258" s="173">
        <f t="shared" si="716"/>
        <v>6.5598989626038682</v>
      </c>
      <c r="EF258" s="173">
        <f t="shared" si="717"/>
        <v>0.53793495678894487</v>
      </c>
      <c r="EG258" s="173">
        <f t="shared" si="718"/>
        <v>0.42531494730835057</v>
      </c>
      <c r="EH258" s="173"/>
      <c r="EI258" s="528">
        <f t="shared" si="719"/>
        <v>1.7212909759828523</v>
      </c>
      <c r="EJ258" s="528">
        <f t="shared" si="720"/>
        <v>5.3767432297816216</v>
      </c>
      <c r="EK258" s="528">
        <f t="shared" si="721"/>
        <v>6.9999999999999993E-2</v>
      </c>
      <c r="EL258" s="528">
        <f t="shared" si="722"/>
        <v>4.2137635749999999E-2</v>
      </c>
      <c r="EM258">
        <f t="shared" si="723"/>
        <v>7.1999999999999998E-3</v>
      </c>
      <c r="EN258" s="460">
        <f t="shared" si="724"/>
        <v>77.199999999999989</v>
      </c>
      <c r="EP258" s="460">
        <f t="shared" si="725"/>
        <v>7217.371841514474</v>
      </c>
      <c r="EQ258" s="173">
        <f t="shared" si="726"/>
        <v>0.1764</v>
      </c>
      <c r="ER258" s="173">
        <f t="shared" si="772"/>
        <v>0.18228</v>
      </c>
      <c r="ES258" s="528"/>
      <c r="EU258" s="460">
        <f t="shared" si="727"/>
        <v>358.68</v>
      </c>
      <c r="EV258" s="528">
        <f t="shared" si="728"/>
        <v>1.2909682319871392</v>
      </c>
      <c r="EW258" s="528">
        <f t="shared" si="729"/>
        <v>8.6812205320657195E-3</v>
      </c>
      <c r="EX258" s="528">
        <f t="shared" si="730"/>
        <v>9.044640220195251E-4</v>
      </c>
      <c r="EY258" s="528">
        <f t="shared" si="731"/>
        <v>283.44666812652571</v>
      </c>
      <c r="EZ258" s="528"/>
      <c r="FA258" s="625">
        <f t="shared" si="732"/>
        <v>4.5360000000000014</v>
      </c>
      <c r="FB258" s="460">
        <f t="shared" si="733"/>
        <v>289283.22204306693</v>
      </c>
      <c r="FC258" s="173">
        <f t="shared" si="734"/>
        <v>296.8592738845814</v>
      </c>
      <c r="FD258" s="5">
        <f t="shared" si="735"/>
        <v>45.360000000000007</v>
      </c>
      <c r="FE258" s="173">
        <f t="shared" si="736"/>
        <v>0.13254659647047917</v>
      </c>
      <c r="FF258" s="5">
        <f t="shared" si="737"/>
        <v>13.254659647047918</v>
      </c>
      <c r="FG258">
        <f t="shared" si="738"/>
        <v>42.000000000000007</v>
      </c>
      <c r="FI258" s="562">
        <f t="shared" si="689"/>
        <v>-50</v>
      </c>
    </row>
    <row r="259" spans="5:165">
      <c r="E259" s="170">
        <v>43</v>
      </c>
      <c r="F259" s="217">
        <f t="shared" si="773"/>
        <v>0.25800000000000001</v>
      </c>
      <c r="G259" s="217">
        <f t="shared" si="742"/>
        <v>0.215</v>
      </c>
      <c r="H259" s="217">
        <f t="shared" si="743"/>
        <v>43.86</v>
      </c>
      <c r="I259" s="217">
        <f t="shared" si="744"/>
        <v>2.58</v>
      </c>
      <c r="J259" s="541">
        <f t="shared" si="745"/>
        <v>15.026340331329976</v>
      </c>
      <c r="K259" s="443">
        <f t="shared" si="746"/>
        <v>8.5411311994503958</v>
      </c>
      <c r="L259" s="172">
        <f t="shared" si="747"/>
        <v>23.567471530780374</v>
      </c>
      <c r="M259" s="443"/>
      <c r="N259" s="217">
        <f t="shared" si="748"/>
        <v>0.36241186027509242</v>
      </c>
      <c r="O259" s="172">
        <f t="shared" si="749"/>
        <v>171.43945776716123</v>
      </c>
      <c r="P259" s="172">
        <f t="shared" si="750"/>
        <v>10.084673986303601</v>
      </c>
      <c r="Q259" s="217">
        <f t="shared" si="626"/>
        <v>1.0084673986303603</v>
      </c>
      <c r="R259" s="217">
        <f t="shared" si="751"/>
        <v>14.28662148059677</v>
      </c>
      <c r="S259" s="217">
        <f t="shared" si="752"/>
        <v>170</v>
      </c>
      <c r="T259" s="217">
        <f t="shared" si="753"/>
        <v>17.055583574997076</v>
      </c>
      <c r="U259" s="217">
        <f t="shared" si="630"/>
        <v>0.56752286980470279</v>
      </c>
      <c r="V259" s="217">
        <f t="shared" si="631"/>
        <v>0.99843821484059181</v>
      </c>
      <c r="W259" s="197">
        <f t="shared" si="632"/>
        <v>350</v>
      </c>
      <c r="X259" s="443">
        <f t="shared" si="691"/>
        <v>350</v>
      </c>
      <c r="Z259" s="217">
        <f t="shared" si="633"/>
        <v>31.118422586308267</v>
      </c>
      <c r="AA259" s="173">
        <f t="shared" si="634"/>
        <v>1.8216803992140218</v>
      </c>
      <c r="AB259" s="173">
        <f t="shared" si="754"/>
        <v>0.46846184979947669</v>
      </c>
      <c r="AC259" s="173"/>
      <c r="AD259" s="173">
        <f t="shared" si="636"/>
        <v>0.78053673582436633</v>
      </c>
      <c r="AE259" s="545">
        <f t="shared" si="755"/>
        <v>1049.9562341536139</v>
      </c>
      <c r="AF259" s="528">
        <f t="shared" si="756"/>
        <v>8.6003584780647777E-2</v>
      </c>
      <c r="AH259" s="173">
        <f t="shared" si="757"/>
        <v>23.037857043198638</v>
      </c>
      <c r="AI259" s="173">
        <f t="shared" si="758"/>
        <v>23.037857043198638</v>
      </c>
      <c r="AJ259" s="173">
        <f t="shared" si="759"/>
        <v>8.3885360813817051</v>
      </c>
      <c r="AL259" s="545">
        <f t="shared" si="760"/>
        <v>258</v>
      </c>
      <c r="AM259" s="460">
        <f t="shared" si="761"/>
        <v>350</v>
      </c>
      <c r="AO259">
        <f t="shared" si="644"/>
        <v>258</v>
      </c>
      <c r="AP259">
        <f t="shared" si="645"/>
        <v>350</v>
      </c>
      <c r="AR259" s="5">
        <f t="shared" si="616"/>
        <v>2.8571428571428572</v>
      </c>
      <c r="AS259" s="5">
        <f t="shared" si="739"/>
        <v>0.76658243242250468</v>
      </c>
      <c r="AT259" s="5">
        <f t="shared" si="740"/>
        <v>2.0905604247203526</v>
      </c>
      <c r="AU259" s="173">
        <f t="shared" si="741"/>
        <v>0.26830385134787665</v>
      </c>
      <c r="BA259" s="173">
        <f t="shared" si="692"/>
        <v>6.8896142283586164</v>
      </c>
      <c r="BB259" s="173">
        <f t="shared" si="693"/>
        <v>0.53727082347318422</v>
      </c>
      <c r="BC259" s="173">
        <f t="shared" si="694"/>
        <v>0.42478985440885858</v>
      </c>
      <c r="BD259" s="173"/>
      <c r="BE259" s="528">
        <f t="shared" si="695"/>
        <v>1.8986713686240597</v>
      </c>
      <c r="BF259" s="528">
        <f t="shared" si="762"/>
        <v>4.2756843149667052</v>
      </c>
      <c r="BG259" s="528">
        <f t="shared" si="763"/>
        <v>0.21036876463861964</v>
      </c>
      <c r="BH259" s="528">
        <f t="shared" si="696"/>
        <v>3.8879800004790042E-2</v>
      </c>
      <c r="BI259">
        <f t="shared" si="697"/>
        <v>6.7618531490984887E-3</v>
      </c>
      <c r="BJ259" s="460">
        <f t="shared" si="698"/>
        <v>217.13061778771814</v>
      </c>
      <c r="BK259">
        <f t="shared" si="764"/>
        <v>12.253916439930832</v>
      </c>
      <c r="BL259" s="460">
        <f t="shared" si="699"/>
        <v>6430.3661013832725</v>
      </c>
      <c r="BM259" s="173">
        <f t="shared" si="765"/>
        <v>0.22394399999999998</v>
      </c>
      <c r="BN259" s="173">
        <f t="shared" si="766"/>
        <v>0.18661999999999998</v>
      </c>
      <c r="BQ259" s="460">
        <f t="shared" si="700"/>
        <v>410.56399999999991</v>
      </c>
      <c r="BR259" s="528">
        <f t="shared" si="701"/>
        <v>1.4240035264680446</v>
      </c>
      <c r="BS259" s="528">
        <f t="shared" si="702"/>
        <v>8.6597981326666049E-3</v>
      </c>
      <c r="BT259" s="528">
        <f t="shared" si="703"/>
        <v>9.0223210204349636E-4</v>
      </c>
      <c r="BU259" s="528">
        <f t="shared" si="704"/>
        <v>291.90753984245282</v>
      </c>
      <c r="BV259" s="528"/>
      <c r="BW259" s="625">
        <f t="shared" si="705"/>
        <v>4.6440000000000001</v>
      </c>
      <c r="BX259" s="460">
        <f t="shared" si="706"/>
        <v>297985.10539915558</v>
      </c>
      <c r="BY259" s="173">
        <f t="shared" si="707"/>
        <v>304.82603550053886</v>
      </c>
      <c r="BZ259" s="5">
        <f t="shared" si="708"/>
        <v>46.44</v>
      </c>
      <c r="CA259" s="173">
        <f t="shared" si="709"/>
        <v>0.13220748750679812</v>
      </c>
      <c r="CB259" s="5">
        <f t="shared" si="710"/>
        <v>13.220748750679812</v>
      </c>
      <c r="CC259">
        <f t="shared" si="711"/>
        <v>43.000000000000007</v>
      </c>
      <c r="CE259" s="562">
        <f t="shared" si="767"/>
        <v>-50</v>
      </c>
      <c r="CG259" s="173">
        <f t="shared" si="768"/>
        <v>0.46094532022279394</v>
      </c>
      <c r="CH259" s="173">
        <f t="shared" si="769"/>
        <v>0.1178318848124963</v>
      </c>
      <c r="CI259" s="170">
        <v>43</v>
      </c>
      <c r="CJ259" s="217">
        <f t="shared" si="712"/>
        <v>0.25800000000000001</v>
      </c>
      <c r="CK259" s="217">
        <f t="shared" si="654"/>
        <v>0.215</v>
      </c>
      <c r="CL259" s="217">
        <f t="shared" si="655"/>
        <v>43.86</v>
      </c>
      <c r="CM259" s="217">
        <f t="shared" si="656"/>
        <v>2.58</v>
      </c>
      <c r="CN259" s="541">
        <f t="shared" si="657"/>
        <v>16</v>
      </c>
      <c r="CO259" s="443">
        <f t="shared" si="770"/>
        <v>8.5350000000000001</v>
      </c>
      <c r="CP259" s="443">
        <f t="shared" si="771"/>
        <v>24.535</v>
      </c>
      <c r="CQ259" s="443"/>
      <c r="CR259" s="217">
        <f t="shared" si="660"/>
        <v>0.34760448521916415</v>
      </c>
      <c r="CS259" s="172">
        <f t="shared" si="661"/>
        <v>175.08966662891231</v>
      </c>
      <c r="CT259" s="172">
        <f t="shared" si="662"/>
        <v>10.2993921546419</v>
      </c>
      <c r="CU259" s="217">
        <f t="shared" si="663"/>
        <v>1.02993921546419</v>
      </c>
      <c r="CV259" s="217">
        <f t="shared" si="664"/>
        <v>14.590805552409359</v>
      </c>
      <c r="CW259" s="217">
        <f t="shared" si="665"/>
        <v>170</v>
      </c>
      <c r="CX259" s="217">
        <f t="shared" si="666"/>
        <v>16.700014662756598</v>
      </c>
      <c r="CY259" s="217">
        <f t="shared" si="667"/>
        <v>0.52187545821114367</v>
      </c>
      <c r="CZ259" s="217">
        <f t="shared" si="668"/>
        <v>0.97832540496523712</v>
      </c>
      <c r="DA259" s="197">
        <f t="shared" si="669"/>
        <v>350</v>
      </c>
      <c r="DB259" s="443">
        <f t="shared" si="670"/>
        <v>350</v>
      </c>
      <c r="DD259" s="217">
        <f t="shared" si="671"/>
        <v>31.805292730501623</v>
      </c>
      <c r="DE259" s="173">
        <f t="shared" si="672"/>
        <v>1.8632274593146818</v>
      </c>
      <c r="DF259" s="173">
        <f t="shared" si="673"/>
        <v>0.4897221442551708</v>
      </c>
      <c r="DG259" s="173"/>
      <c r="DH259" s="173">
        <f t="shared" si="674"/>
        <v>0.78109744190587771</v>
      </c>
      <c r="DI259" s="545">
        <f t="shared" si="675"/>
        <v>1049.2025294117648</v>
      </c>
      <c r="DJ259" s="528">
        <f t="shared" si="676"/>
        <v>8.6065366284073561E-2</v>
      </c>
      <c r="DL259" s="173">
        <f t="shared" si="677"/>
        <v>23.037857043198638</v>
      </c>
      <c r="DM259" s="173">
        <f t="shared" si="678"/>
        <v>23.037857043198638</v>
      </c>
      <c r="DN259" s="173">
        <f t="shared" si="679"/>
        <v>8.3885360813817051</v>
      </c>
      <c r="DP259" s="545">
        <f t="shared" si="680"/>
        <v>258</v>
      </c>
      <c r="DQ259" s="460">
        <f t="shared" si="681"/>
        <v>350</v>
      </c>
      <c r="DS259">
        <f t="shared" si="682"/>
        <v>258</v>
      </c>
      <c r="DT259">
        <f t="shared" si="683"/>
        <v>350</v>
      </c>
      <c r="DV259" s="5">
        <f t="shared" si="684"/>
        <v>2.8571428571428572</v>
      </c>
      <c r="DW259" s="5">
        <f t="shared" si="685"/>
        <v>0.71993303259995745</v>
      </c>
      <c r="DX259" s="5">
        <f t="shared" si="686"/>
        <v>2.1372098245428996</v>
      </c>
      <c r="DY259" s="173">
        <f t="shared" si="687"/>
        <v>0.25197656140998509</v>
      </c>
      <c r="EA259" s="5">
        <f t="shared" si="713"/>
        <v>0.10926042494752296</v>
      </c>
      <c r="EB259" s="5">
        <f t="shared" si="714"/>
        <v>1.2898800167415905</v>
      </c>
      <c r="EC259" s="5">
        <f t="shared" si="715"/>
        <v>9.373802290445159</v>
      </c>
      <c r="ED259" s="5"/>
      <c r="EE259" s="173">
        <f t="shared" si="716"/>
        <v>6.6766947944764814</v>
      </c>
      <c r="EF259" s="173">
        <f t="shared" si="717"/>
        <v>0.54323216327617962</v>
      </c>
      <c r="EG259" s="173">
        <f t="shared" si="718"/>
        <v>0.42950315086263952</v>
      </c>
      <c r="EH259" s="173"/>
      <c r="EI259" s="528">
        <f t="shared" si="719"/>
        <v>1.7831301351435738</v>
      </c>
      <c r="EJ259" s="528">
        <f t="shared" si="720"/>
        <v>5.4403755420907061</v>
      </c>
      <c r="EK259" s="528">
        <f t="shared" si="721"/>
        <v>6.9999999999999993E-2</v>
      </c>
      <c r="EL259" s="528">
        <f t="shared" si="722"/>
        <v>4.2137635749999999E-2</v>
      </c>
      <c r="EM259">
        <f t="shared" si="723"/>
        <v>7.1999999999999998E-3</v>
      </c>
      <c r="EN259" s="460">
        <f t="shared" si="724"/>
        <v>77.199999999999989</v>
      </c>
      <c r="EP259" s="460">
        <f t="shared" si="725"/>
        <v>7342.8433129842797</v>
      </c>
      <c r="EQ259" s="173">
        <f t="shared" si="726"/>
        <v>0.18059999999999998</v>
      </c>
      <c r="ER259" s="173">
        <f t="shared" si="772"/>
        <v>0.18661999999999998</v>
      </c>
      <c r="ES259" s="528"/>
      <c r="EU259" s="460">
        <f t="shared" si="727"/>
        <v>367.21999999999997</v>
      </c>
      <c r="EV259" s="528">
        <f t="shared" si="728"/>
        <v>1.3373476013576804</v>
      </c>
      <c r="EW259" s="528">
        <f t="shared" si="729"/>
        <v>8.8530354965315368E-3</v>
      </c>
      <c r="EX259" s="528">
        <f t="shared" si="730"/>
        <v>9.2236478300467635E-4</v>
      </c>
      <c r="EY259" s="528">
        <f t="shared" si="731"/>
        <v>291.90753984245282</v>
      </c>
      <c r="EZ259" s="528"/>
      <c r="FA259" s="625">
        <f t="shared" si="732"/>
        <v>4.6440000000000001</v>
      </c>
      <c r="FB259" s="460">
        <f t="shared" si="733"/>
        <v>297898.66284409002</v>
      </c>
      <c r="FC259" s="173">
        <f t="shared" si="734"/>
        <v>305.60872615707433</v>
      </c>
      <c r="FD259" s="5">
        <f t="shared" si="735"/>
        <v>46.44</v>
      </c>
      <c r="FE259" s="173">
        <f t="shared" si="736"/>
        <v>0.13191355783880826</v>
      </c>
      <c r="FF259" s="5">
        <f t="shared" si="737"/>
        <v>13.191355783880827</v>
      </c>
      <c r="FG259">
        <f t="shared" si="738"/>
        <v>43.000000000000007</v>
      </c>
      <c r="FI259" s="562">
        <f t="shared" si="689"/>
        <v>-50</v>
      </c>
    </row>
    <row r="260" spans="5:165">
      <c r="E260" s="170">
        <v>44</v>
      </c>
      <c r="F260" s="217">
        <f t="shared" si="773"/>
        <v>0.26400000000000001</v>
      </c>
      <c r="G260" s="217">
        <f t="shared" si="742"/>
        <v>0.22</v>
      </c>
      <c r="H260" s="217">
        <f t="shared" si="743"/>
        <v>44.88</v>
      </c>
      <c r="I260" s="217">
        <f t="shared" si="744"/>
        <v>2.64</v>
      </c>
      <c r="J260" s="541">
        <f t="shared" si="745"/>
        <v>15.015083776229847</v>
      </c>
      <c r="K260" s="443">
        <f t="shared" si="746"/>
        <v>8.5412020827237445</v>
      </c>
      <c r="L260" s="172">
        <f t="shared" si="747"/>
        <v>23.556285858953594</v>
      </c>
      <c r="M260" s="443"/>
      <c r="N260" s="217">
        <f t="shared" si="748"/>
        <v>0.36258696017977249</v>
      </c>
      <c r="O260" s="172">
        <f t="shared" si="749"/>
        <v>171.39379799176405</v>
      </c>
      <c r="P260" s="172">
        <f t="shared" si="750"/>
        <v>10.081988117162592</v>
      </c>
      <c r="Q260" s="217">
        <f t="shared" si="626"/>
        <v>1.008198811716259</v>
      </c>
      <c r="R260" s="217">
        <f t="shared" si="751"/>
        <v>14.28281649931367</v>
      </c>
      <c r="S260" s="217">
        <f t="shared" si="752"/>
        <v>170</v>
      </c>
      <c r="T260" s="217">
        <f t="shared" si="753"/>
        <v>17.456874373854379</v>
      </c>
      <c r="U260" s="217">
        <f t="shared" si="630"/>
        <v>0.5813112545362582</v>
      </c>
      <c r="V260" s="217">
        <f t="shared" si="631"/>
        <v>1.0219213996332159</v>
      </c>
      <c r="W260" s="197">
        <f t="shared" si="632"/>
        <v>350</v>
      </c>
      <c r="X260" s="443">
        <f t="shared" si="691"/>
        <v>350</v>
      </c>
      <c r="Z260" s="217">
        <f t="shared" si="633"/>
        <v>31.110134761530286</v>
      </c>
      <c r="AA260" s="173">
        <f t="shared" si="634"/>
        <v>1.8211801137720784</v>
      </c>
      <c r="AB260" s="173">
        <f t="shared" si="754"/>
        <v>0.46820846478970435</v>
      </c>
      <c r="AC260" s="173"/>
      <c r="AD260" s="173">
        <f t="shared" si="636"/>
        <v>0.78053025816486732</v>
      </c>
      <c r="AE260" s="545">
        <f t="shared" si="755"/>
        <v>1074.3827372762619</v>
      </c>
      <c r="AF260" s="528">
        <f t="shared" si="756"/>
        <v>8.6002871038536322E-2</v>
      </c>
      <c r="AH260" s="173">
        <f t="shared" si="757"/>
        <v>23.304199498925389</v>
      </c>
      <c r="AI260" s="173">
        <f t="shared" si="758"/>
        <v>23.304199498925389</v>
      </c>
      <c r="AJ260" s="173">
        <f t="shared" si="759"/>
        <v>8.5858267893274469</v>
      </c>
      <c r="AL260" s="545">
        <f t="shared" si="760"/>
        <v>264</v>
      </c>
      <c r="AM260" s="460">
        <f t="shared" si="761"/>
        <v>350</v>
      </c>
      <c r="AO260">
        <f t="shared" si="644"/>
        <v>264</v>
      </c>
      <c r="AP260">
        <f t="shared" si="645"/>
        <v>350</v>
      </c>
      <c r="AR260" s="5">
        <f t="shared" si="616"/>
        <v>2.8571428571428572</v>
      </c>
      <c r="AS260" s="5">
        <f t="shared" si="739"/>
        <v>0.77602628950422226</v>
      </c>
      <c r="AT260" s="5">
        <f t="shared" si="740"/>
        <v>2.081116567638635</v>
      </c>
      <c r="AU260" s="173">
        <f t="shared" si="741"/>
        <v>0.27160920132647776</v>
      </c>
      <c r="BA260" s="173">
        <f t="shared" si="692"/>
        <v>7.0120628707241011</v>
      </c>
      <c r="BB260" s="173">
        <f t="shared" si="693"/>
        <v>0.54225330565144647</v>
      </c>
      <c r="BC260" s="173">
        <f t="shared" si="694"/>
        <v>0.42872922313433026</v>
      </c>
      <c r="BD260" s="173"/>
      <c r="BE260" s="528">
        <f t="shared" si="695"/>
        <v>1.9667610281195007</v>
      </c>
      <c r="BF260" s="528">
        <f t="shared" si="762"/>
        <v>4.323063032747311</v>
      </c>
      <c r="BG260" s="528">
        <f t="shared" si="763"/>
        <v>0.21021117286721785</v>
      </c>
      <c r="BH260" s="528">
        <f t="shared" si="696"/>
        <v>3.8842902242811596E-2</v>
      </c>
      <c r="BI260">
        <f t="shared" si="697"/>
        <v>6.7567876993034313E-3</v>
      </c>
      <c r="BJ260" s="460">
        <f t="shared" si="698"/>
        <v>216.9679605665213</v>
      </c>
      <c r="BK260">
        <f t="shared" si="764"/>
        <v>12.877273526046226</v>
      </c>
      <c r="BL260" s="460">
        <f t="shared" si="699"/>
        <v>6545.6349236761444</v>
      </c>
      <c r="BM260" s="173">
        <f t="shared" si="765"/>
        <v>0.22915199999999999</v>
      </c>
      <c r="BN260" s="173">
        <f t="shared" si="766"/>
        <v>0.19095999999999999</v>
      </c>
      <c r="BQ260" s="460">
        <f t="shared" si="700"/>
        <v>420.11199999999997</v>
      </c>
      <c r="BR260" s="528">
        <f t="shared" si="701"/>
        <v>1.4750707710896256</v>
      </c>
      <c r="BS260" s="528">
        <f t="shared" si="702"/>
        <v>8.8211594246976315E-3</v>
      </c>
      <c r="BT260" s="528">
        <f t="shared" si="703"/>
        <v>9.1904373384683175E-4</v>
      </c>
      <c r="BU260" s="528">
        <f t="shared" si="704"/>
        <v>300.41774985111215</v>
      </c>
      <c r="BV260" s="528"/>
      <c r="BW260" s="625">
        <f t="shared" si="705"/>
        <v>4.7520000000000007</v>
      </c>
      <c r="BX260" s="460">
        <f t="shared" si="706"/>
        <v>306654.5608253603</v>
      </c>
      <c r="BY260" s="173">
        <f t="shared" si="707"/>
        <v>313.6203077490365</v>
      </c>
      <c r="BZ260" s="5">
        <f t="shared" si="708"/>
        <v>47.52</v>
      </c>
      <c r="CA260" s="173">
        <f t="shared" si="709"/>
        <v>0.13158320735835055</v>
      </c>
      <c r="CB260" s="5">
        <f t="shared" si="710"/>
        <v>13.158320735835055</v>
      </c>
      <c r="CC260">
        <f t="shared" si="711"/>
        <v>44.000000000000007</v>
      </c>
      <c r="CE260" s="562">
        <f t="shared" si="767"/>
        <v>-50</v>
      </c>
      <c r="CG260" s="173">
        <f t="shared" si="768"/>
        <v>0.46627434489352121</v>
      </c>
      <c r="CH260" s="173">
        <f t="shared" si="769"/>
        <v>0.11919414839044212</v>
      </c>
      <c r="CI260" s="170">
        <v>44</v>
      </c>
      <c r="CJ260" s="217">
        <f t="shared" si="712"/>
        <v>0.26400000000000001</v>
      </c>
      <c r="CK260" s="217">
        <f t="shared" si="654"/>
        <v>0.22</v>
      </c>
      <c r="CL260" s="217">
        <f t="shared" si="655"/>
        <v>44.88</v>
      </c>
      <c r="CM260" s="217">
        <f t="shared" si="656"/>
        <v>2.64</v>
      </c>
      <c r="CN260" s="541">
        <f t="shared" si="657"/>
        <v>16</v>
      </c>
      <c r="CO260" s="443">
        <f t="shared" si="770"/>
        <v>8.5350000000000001</v>
      </c>
      <c r="CP260" s="443">
        <f t="shared" si="771"/>
        <v>24.535</v>
      </c>
      <c r="CQ260" s="443"/>
      <c r="CR260" s="217">
        <f t="shared" si="660"/>
        <v>0.34760448521916415</v>
      </c>
      <c r="CS260" s="172">
        <f t="shared" si="661"/>
        <v>175.08966662891231</v>
      </c>
      <c r="CT260" s="172">
        <f t="shared" si="662"/>
        <v>10.2993921546419</v>
      </c>
      <c r="CU260" s="217">
        <f t="shared" si="663"/>
        <v>1.02993921546419</v>
      </c>
      <c r="CV260" s="217">
        <f t="shared" si="664"/>
        <v>14.590805552409359</v>
      </c>
      <c r="CW260" s="217">
        <f t="shared" si="665"/>
        <v>170</v>
      </c>
      <c r="CX260" s="217">
        <f t="shared" si="666"/>
        <v>17.088387096774195</v>
      </c>
      <c r="CY260" s="217">
        <f t="shared" si="667"/>
        <v>0.53401209677419359</v>
      </c>
      <c r="CZ260" s="217">
        <f t="shared" si="668"/>
        <v>1.0010771585690799</v>
      </c>
      <c r="DA260" s="197">
        <f t="shared" si="669"/>
        <v>350</v>
      </c>
      <c r="DB260" s="443">
        <f t="shared" si="670"/>
        <v>350</v>
      </c>
      <c r="DD260" s="217">
        <f t="shared" si="671"/>
        <v>31.805292730501623</v>
      </c>
      <c r="DE260" s="173">
        <f t="shared" si="672"/>
        <v>1.8632274593146818</v>
      </c>
      <c r="DF260" s="173">
        <f t="shared" si="673"/>
        <v>0.4897221442551708</v>
      </c>
      <c r="DG260" s="173"/>
      <c r="DH260" s="173">
        <f t="shared" si="674"/>
        <v>0.78109744190587771</v>
      </c>
      <c r="DI260" s="545">
        <f t="shared" si="675"/>
        <v>1073.6025882352942</v>
      </c>
      <c r="DJ260" s="528">
        <f t="shared" si="676"/>
        <v>8.6065366284073561E-2</v>
      </c>
      <c r="DL260" s="173">
        <f t="shared" si="677"/>
        <v>23.304199498925389</v>
      </c>
      <c r="DM260" s="173">
        <f t="shared" si="678"/>
        <v>23.304199498925389</v>
      </c>
      <c r="DN260" s="173">
        <f t="shared" si="679"/>
        <v>8.5858267893274469</v>
      </c>
      <c r="DP260" s="545">
        <f t="shared" si="680"/>
        <v>264</v>
      </c>
      <c r="DQ260" s="460">
        <f t="shared" si="681"/>
        <v>350</v>
      </c>
      <c r="DS260">
        <f t="shared" si="682"/>
        <v>264</v>
      </c>
      <c r="DT260">
        <f t="shared" si="683"/>
        <v>350</v>
      </c>
      <c r="DV260" s="5">
        <f t="shared" si="684"/>
        <v>2.8571428571428572</v>
      </c>
      <c r="DW260" s="5">
        <f t="shared" si="685"/>
        <v>0.7282562343414184</v>
      </c>
      <c r="DX260" s="5">
        <f t="shared" si="686"/>
        <v>2.1288866228014389</v>
      </c>
      <c r="DY260" s="173">
        <f t="shared" si="687"/>
        <v>0.25488968201949641</v>
      </c>
      <c r="EA260" s="5">
        <f t="shared" si="713"/>
        <v>0.11309390933302028</v>
      </c>
      <c r="EB260" s="5">
        <f t="shared" si="714"/>
        <v>1.3351364296259336</v>
      </c>
      <c r="EC260" s="5">
        <f t="shared" si="715"/>
        <v>9.5544431631328575</v>
      </c>
      <c r="ED260" s="5"/>
      <c r="EE260" s="173">
        <f t="shared" si="716"/>
        <v>6.7928134824881115</v>
      </c>
      <c r="EF260" s="173">
        <f t="shared" si="717"/>
        <v>0.54844145130180899</v>
      </c>
      <c r="EG260" s="173">
        <f t="shared" si="718"/>
        <v>0.43362184222889666</v>
      </c>
      <c r="EH260" s="173"/>
      <c r="EI260" s="528">
        <f t="shared" si="719"/>
        <v>1.8456926003148906</v>
      </c>
      <c r="EJ260" s="528">
        <f t="shared" si="720"/>
        <v>5.5032721465465446</v>
      </c>
      <c r="EK260" s="528">
        <f t="shared" si="721"/>
        <v>6.9999999999999993E-2</v>
      </c>
      <c r="EL260" s="528">
        <f t="shared" si="722"/>
        <v>4.2137635749999999E-2</v>
      </c>
      <c r="EM260">
        <f t="shared" si="723"/>
        <v>7.1999999999999998E-3</v>
      </c>
      <c r="EN260" s="460">
        <f t="shared" si="724"/>
        <v>77.199999999999989</v>
      </c>
      <c r="EP260" s="460">
        <f t="shared" si="725"/>
        <v>7468.3023826114359</v>
      </c>
      <c r="EQ260" s="173">
        <f t="shared" si="726"/>
        <v>0.18479999999999999</v>
      </c>
      <c r="ER260" s="173">
        <f t="shared" si="772"/>
        <v>0.19095999999999999</v>
      </c>
      <c r="ES260" s="528"/>
      <c r="EU260" s="460">
        <f t="shared" si="727"/>
        <v>375.76</v>
      </c>
      <c r="EV260" s="528">
        <f t="shared" si="728"/>
        <v>1.3842694502361679</v>
      </c>
      <c r="EW260" s="528">
        <f t="shared" si="729"/>
        <v>9.0236407651810343E-3</v>
      </c>
      <c r="EX260" s="528">
        <f t="shared" si="730"/>
        <v>9.4013951028991069E-4</v>
      </c>
      <c r="EY260" s="528">
        <f t="shared" si="731"/>
        <v>300.41774985111215</v>
      </c>
      <c r="EZ260" s="528"/>
      <c r="FA260" s="625">
        <f t="shared" si="732"/>
        <v>4.7520000000000007</v>
      </c>
      <c r="FB260" s="460">
        <f t="shared" si="733"/>
        <v>306563.9830816238</v>
      </c>
      <c r="FC260" s="173">
        <f t="shared" si="734"/>
        <v>314.40804546423522</v>
      </c>
      <c r="FD260" s="5">
        <f t="shared" si="735"/>
        <v>47.52</v>
      </c>
      <c r="FE260" s="173">
        <f t="shared" si="736"/>
        <v>0.13129681602608995</v>
      </c>
      <c r="FF260" s="5">
        <f t="shared" si="737"/>
        <v>13.129681602608995</v>
      </c>
      <c r="FG260">
        <f t="shared" si="738"/>
        <v>44.000000000000007</v>
      </c>
      <c r="FI260" s="562">
        <f t="shared" si="689"/>
        <v>-50</v>
      </c>
    </row>
    <row r="261" spans="5:165">
      <c r="E261" s="170">
        <v>45</v>
      </c>
      <c r="F261" s="217">
        <f t="shared" si="773"/>
        <v>0.27</v>
      </c>
      <c r="G261" s="217">
        <f t="shared" si="742"/>
        <v>0.22500000000000001</v>
      </c>
      <c r="H261" s="217">
        <f t="shared" si="743"/>
        <v>45.900000000000006</v>
      </c>
      <c r="I261" s="217">
        <f t="shared" si="744"/>
        <v>2.7</v>
      </c>
      <c r="J261" s="541">
        <f t="shared" si="745"/>
        <v>15.00395442609452</v>
      </c>
      <c r="K261" s="443">
        <f t="shared" si="746"/>
        <v>8.5412721649790022</v>
      </c>
      <c r="L261" s="172">
        <f t="shared" si="747"/>
        <v>23.545226591073522</v>
      </c>
      <c r="M261" s="443"/>
      <c r="N261" s="217">
        <f t="shared" si="748"/>
        <v>0.36276024492442871</v>
      </c>
      <c r="O261" s="172">
        <f t="shared" si="749"/>
        <v>171.34860944734305</v>
      </c>
      <c r="P261" s="172">
        <f t="shared" si="750"/>
        <v>10.079329967490766</v>
      </c>
      <c r="Q261" s="217">
        <f t="shared" si="626"/>
        <v>1.0079329967490769</v>
      </c>
      <c r="R261" s="217">
        <f t="shared" si="751"/>
        <v>14.279050787278587</v>
      </c>
      <c r="S261" s="217">
        <f t="shared" si="752"/>
        <v>170</v>
      </c>
      <c r="T261" s="217">
        <f t="shared" si="753"/>
        <v>17.858329926747182</v>
      </c>
      <c r="U261" s="217">
        <f t="shared" si="630"/>
        <v>0.59512077348383574</v>
      </c>
      <c r="V261" s="217">
        <f t="shared" si="631"/>
        <v>1.0454139372803304</v>
      </c>
      <c r="W261" s="197">
        <f t="shared" si="632"/>
        <v>350</v>
      </c>
      <c r="X261" s="443">
        <f t="shared" si="691"/>
        <v>350</v>
      </c>
      <c r="Z261" s="217">
        <f t="shared" si="633"/>
        <v>31.10193247111437</v>
      </c>
      <c r="AA261" s="173">
        <f t="shared" si="634"/>
        <v>1.8206850145016324</v>
      </c>
      <c r="AB261" s="173">
        <f t="shared" si="754"/>
        <v>0.46795776821470558</v>
      </c>
      <c r="AC261" s="173"/>
      <c r="AD261" s="173">
        <f t="shared" si="636"/>
        <v>0.78052385381201073</v>
      </c>
      <c r="AE261" s="545">
        <f t="shared" si="755"/>
        <v>1098.8095426358279</v>
      </c>
      <c r="AF261" s="528">
        <f t="shared" si="756"/>
        <v>8.6002165373730816E-2</v>
      </c>
      <c r="AH261" s="173">
        <f t="shared" si="757"/>
        <v>23.567532145487181</v>
      </c>
      <c r="AI261" s="173">
        <f t="shared" si="758"/>
        <v>23.567532145487181</v>
      </c>
      <c r="AJ261" s="173">
        <f t="shared" si="759"/>
        <v>8.7808880090028492</v>
      </c>
      <c r="AL261" s="545">
        <f t="shared" si="760"/>
        <v>270</v>
      </c>
      <c r="AM261" s="460">
        <f t="shared" si="761"/>
        <v>350</v>
      </c>
      <c r="AO261">
        <f t="shared" si="644"/>
        <v>270</v>
      </c>
      <c r="AP261">
        <f t="shared" si="645"/>
        <v>350</v>
      </c>
      <c r="AR261" s="5">
        <f t="shared" si="616"/>
        <v>2.8571428571428572</v>
      </c>
      <c r="AS261" s="5">
        <f t="shared" si="739"/>
        <v>0.78537735706858358</v>
      </c>
      <c r="AT261" s="5">
        <f t="shared" si="740"/>
        <v>2.0717655000742736</v>
      </c>
      <c r="AU261" s="173">
        <f t="shared" si="741"/>
        <v>0.27488207497400424</v>
      </c>
      <c r="BA261" s="173">
        <f t="shared" si="692"/>
        <v>7.1338946402399461</v>
      </c>
      <c r="BB261" s="173">
        <f t="shared" si="693"/>
        <v>0.54714725144218057</v>
      </c>
      <c r="BC261" s="173">
        <f t="shared" si="694"/>
        <v>0.43259859111246046</v>
      </c>
      <c r="BD261" s="173"/>
      <c r="BE261" s="528">
        <f t="shared" si="695"/>
        <v>2.035698109521769</v>
      </c>
      <c r="BF261" s="528">
        <f t="shared" si="762"/>
        <v>4.3698602158935005</v>
      </c>
      <c r="BG261" s="528">
        <f t="shared" si="763"/>
        <v>0.21005536196532329</v>
      </c>
      <c r="BH261" s="528">
        <f t="shared" si="696"/>
        <v>3.8806438665749704E-2</v>
      </c>
      <c r="BI261">
        <f t="shared" si="697"/>
        <v>6.7517794917425341E-3</v>
      </c>
      <c r="BJ261" s="460">
        <f t="shared" si="698"/>
        <v>216.80714145706582</v>
      </c>
      <c r="BK261">
        <f t="shared" si="764"/>
        <v>13.545918414276262</v>
      </c>
      <c r="BL261" s="460">
        <f t="shared" si="699"/>
        <v>6661.1719055380845</v>
      </c>
      <c r="BM261" s="173">
        <f t="shared" si="765"/>
        <v>0.23436000000000001</v>
      </c>
      <c r="BN261" s="173">
        <f t="shared" si="766"/>
        <v>0.1953</v>
      </c>
      <c r="BQ261" s="460">
        <f t="shared" si="700"/>
        <v>429.66</v>
      </c>
      <c r="BR261" s="528">
        <f t="shared" si="701"/>
        <v>1.5267735821413269</v>
      </c>
      <c r="BS261" s="528">
        <f t="shared" si="702"/>
        <v>8.9811034428219829E-3</v>
      </c>
      <c r="BT261" s="528">
        <f t="shared" si="703"/>
        <v>9.3570770516242881E-4</v>
      </c>
      <c r="BU261" s="528">
        <f t="shared" si="704"/>
        <v>308.97645461782099</v>
      </c>
      <c r="BV261" s="528"/>
      <c r="BW261" s="625">
        <f t="shared" si="705"/>
        <v>4.8600000000000021</v>
      </c>
      <c r="BX261" s="460">
        <f t="shared" si="706"/>
        <v>315373.14501111029</v>
      </c>
      <c r="BY261" s="173">
        <f t="shared" si="707"/>
        <v>322.46397691664839</v>
      </c>
      <c r="BZ261" s="5">
        <f t="shared" si="708"/>
        <v>48.600000000000009</v>
      </c>
      <c r="CA261" s="173">
        <f t="shared" si="709"/>
        <v>0.13097471870980609</v>
      </c>
      <c r="CB261" s="5">
        <f t="shared" si="710"/>
        <v>13.097471870980609</v>
      </c>
      <c r="CC261">
        <f t="shared" si="711"/>
        <v>45.000000000000007</v>
      </c>
      <c r="CE261" s="562">
        <f t="shared" si="767"/>
        <v>-50</v>
      </c>
      <c r="CG261" s="173">
        <f t="shared" si="768"/>
        <v>0.47154314879602544</v>
      </c>
      <c r="CH261" s="173">
        <f t="shared" si="769"/>
        <v>0.12054101767688902</v>
      </c>
      <c r="CI261" s="170">
        <v>45</v>
      </c>
      <c r="CJ261" s="217">
        <f t="shared" si="712"/>
        <v>0.27</v>
      </c>
      <c r="CK261" s="217">
        <f t="shared" si="654"/>
        <v>0.22500000000000001</v>
      </c>
      <c r="CL261" s="217">
        <f t="shared" si="655"/>
        <v>45.900000000000006</v>
      </c>
      <c r="CM261" s="217">
        <f t="shared" si="656"/>
        <v>2.7</v>
      </c>
      <c r="CN261" s="541">
        <f t="shared" si="657"/>
        <v>16</v>
      </c>
      <c r="CO261" s="443">
        <f t="shared" si="770"/>
        <v>8.5350000000000001</v>
      </c>
      <c r="CP261" s="443">
        <f t="shared" si="771"/>
        <v>24.535</v>
      </c>
      <c r="CQ261" s="443"/>
      <c r="CR261" s="217">
        <f t="shared" si="660"/>
        <v>0.34760448521916415</v>
      </c>
      <c r="CS261" s="172">
        <f t="shared" si="661"/>
        <v>175.08966662891231</v>
      </c>
      <c r="CT261" s="172">
        <f t="shared" si="662"/>
        <v>10.2993921546419</v>
      </c>
      <c r="CU261" s="217">
        <f t="shared" si="663"/>
        <v>1.02993921546419</v>
      </c>
      <c r="CV261" s="217">
        <f t="shared" si="664"/>
        <v>14.590805552409359</v>
      </c>
      <c r="CW261" s="217">
        <f t="shared" si="665"/>
        <v>170</v>
      </c>
      <c r="CX261" s="217">
        <f t="shared" si="666"/>
        <v>17.476759530791789</v>
      </c>
      <c r="CY261" s="217">
        <f t="shared" si="667"/>
        <v>0.54614873533724329</v>
      </c>
      <c r="CZ261" s="217">
        <f t="shared" si="668"/>
        <v>1.0238289121729225</v>
      </c>
      <c r="DA261" s="197">
        <f t="shared" si="669"/>
        <v>350</v>
      </c>
      <c r="DB261" s="443">
        <f t="shared" si="670"/>
        <v>350</v>
      </c>
      <c r="DD261" s="217">
        <f t="shared" si="671"/>
        <v>31.805292730501623</v>
      </c>
      <c r="DE261" s="173">
        <f t="shared" si="672"/>
        <v>1.8632274593146818</v>
      </c>
      <c r="DF261" s="173">
        <f t="shared" si="673"/>
        <v>0.4897221442551708</v>
      </c>
      <c r="DG261" s="173"/>
      <c r="DH261" s="173">
        <f t="shared" si="674"/>
        <v>0.78109744190587771</v>
      </c>
      <c r="DI261" s="545">
        <f t="shared" si="675"/>
        <v>1098.0026470588236</v>
      </c>
      <c r="DJ261" s="528">
        <f t="shared" si="676"/>
        <v>8.6065366284073561E-2</v>
      </c>
      <c r="DL261" s="173">
        <f t="shared" si="677"/>
        <v>23.567532145487181</v>
      </c>
      <c r="DM261" s="173">
        <f t="shared" si="678"/>
        <v>23.567532145487181</v>
      </c>
      <c r="DN261" s="173">
        <f t="shared" si="679"/>
        <v>8.7808880090028492</v>
      </c>
      <c r="DP261" s="545">
        <f t="shared" si="680"/>
        <v>270</v>
      </c>
      <c r="DQ261" s="460">
        <f t="shared" si="681"/>
        <v>350</v>
      </c>
      <c r="DS261">
        <f t="shared" si="682"/>
        <v>270</v>
      </c>
      <c r="DT261">
        <f t="shared" si="683"/>
        <v>350</v>
      </c>
      <c r="DV261" s="5">
        <f t="shared" si="684"/>
        <v>2.8571428571428572</v>
      </c>
      <c r="DW261" s="5">
        <f t="shared" si="685"/>
        <v>0.73648537954647442</v>
      </c>
      <c r="DX261" s="5">
        <f t="shared" si="686"/>
        <v>2.1206574775963829</v>
      </c>
      <c r="DY261" s="173">
        <f t="shared" si="687"/>
        <v>0.25776988284126606</v>
      </c>
      <c r="EA261" s="5">
        <f t="shared" si="713"/>
        <v>0.11697120733973418</v>
      </c>
      <c r="EB261" s="5">
        <f t="shared" si="714"/>
        <v>1.3809100866496395</v>
      </c>
      <c r="EC261" s="5">
        <f t="shared" si="715"/>
        <v>9.7338178221673992</v>
      </c>
      <c r="ED261" s="5"/>
      <c r="EE261" s="173">
        <f t="shared" si="716"/>
        <v>6.9082742124651908</v>
      </c>
      <c r="EF261" s="173">
        <f t="shared" si="717"/>
        <v>0.55356571923546483</v>
      </c>
      <c r="EG261" s="173">
        <f t="shared" si="718"/>
        <v>0.43767331298514983</v>
      </c>
      <c r="EH261" s="173"/>
      <c r="EI261" s="528">
        <f t="shared" si="719"/>
        <v>1.908970103784462</v>
      </c>
      <c r="EJ261" s="528">
        <f t="shared" si="720"/>
        <v>5.5654579864492071</v>
      </c>
      <c r="EK261" s="528">
        <f t="shared" si="721"/>
        <v>6.9999999999999993E-2</v>
      </c>
      <c r="EL261" s="528">
        <f t="shared" si="722"/>
        <v>4.2137635749999999E-2</v>
      </c>
      <c r="EM261">
        <f t="shared" si="723"/>
        <v>7.1999999999999998E-3</v>
      </c>
      <c r="EN261" s="460">
        <f t="shared" si="724"/>
        <v>77.199999999999989</v>
      </c>
      <c r="EP261" s="460">
        <f t="shared" si="725"/>
        <v>7593.7657259836687</v>
      </c>
      <c r="EQ261" s="173">
        <f t="shared" si="726"/>
        <v>0.189</v>
      </c>
      <c r="ER261" s="173">
        <f t="shared" si="772"/>
        <v>0.1953</v>
      </c>
      <c r="ES261" s="528"/>
      <c r="EU261" s="460">
        <f t="shared" si="727"/>
        <v>384.29999999999995</v>
      </c>
      <c r="EV261" s="528">
        <f t="shared" si="728"/>
        <v>1.4317275778383465</v>
      </c>
      <c r="EW261" s="528">
        <f t="shared" si="729"/>
        <v>9.1930501653803252E-3</v>
      </c>
      <c r="EX261" s="528">
        <f t="shared" si="730"/>
        <v>9.5778964449698466E-4</v>
      </c>
      <c r="EY261" s="528">
        <f t="shared" si="731"/>
        <v>308.97645461782099</v>
      </c>
      <c r="EZ261" s="528"/>
      <c r="FA261" s="625">
        <f t="shared" si="732"/>
        <v>4.8600000000000021</v>
      </c>
      <c r="FB261" s="460">
        <f t="shared" si="733"/>
        <v>315278.33303546923</v>
      </c>
      <c r="FC261" s="173">
        <f t="shared" si="734"/>
        <v>323.25639876145289</v>
      </c>
      <c r="FD261" s="5">
        <f t="shared" si="735"/>
        <v>48.600000000000009</v>
      </c>
      <c r="FE261" s="173">
        <f t="shared" si="736"/>
        <v>0.13069561304275704</v>
      </c>
      <c r="FF261" s="5">
        <f t="shared" si="737"/>
        <v>13.069561304275704</v>
      </c>
      <c r="FG261">
        <f t="shared" si="738"/>
        <v>45.000000000000007</v>
      </c>
      <c r="FI261" s="562">
        <f t="shared" si="689"/>
        <v>-50</v>
      </c>
    </row>
    <row r="262" spans="5:165">
      <c r="E262" s="170">
        <v>46</v>
      </c>
      <c r="F262" s="217">
        <f t="shared" si="773"/>
        <v>0.27600000000000002</v>
      </c>
      <c r="G262" s="217">
        <f t="shared" si="742"/>
        <v>0.23</v>
      </c>
      <c r="H262" s="217">
        <f t="shared" si="743"/>
        <v>46.92</v>
      </c>
      <c r="I262" s="217">
        <f t="shared" si="744"/>
        <v>2.7600000000000002</v>
      </c>
      <c r="J262" s="541">
        <f t="shared" si="745"/>
        <v>14.992948063530122</v>
      </c>
      <c r="K262" s="443">
        <f t="shared" si="746"/>
        <v>8.5413414727733752</v>
      </c>
      <c r="L262" s="172">
        <f t="shared" si="747"/>
        <v>23.534289536303497</v>
      </c>
      <c r="M262" s="443"/>
      <c r="N262" s="217">
        <f t="shared" si="748"/>
        <v>0.36293177491496748</v>
      </c>
      <c r="O262" s="172">
        <f t="shared" si="749"/>
        <v>171.30387644885835</v>
      </c>
      <c r="P262" s="172">
        <f t="shared" si="750"/>
        <v>10.076698614638726</v>
      </c>
      <c r="Q262" s="217">
        <f t="shared" si="626"/>
        <v>1.0076698614638726</v>
      </c>
      <c r="R262" s="217">
        <f t="shared" si="751"/>
        <v>14.275323037404862</v>
      </c>
      <c r="S262" s="217">
        <f t="shared" si="752"/>
        <v>170</v>
      </c>
      <c r="T262" s="217">
        <f t="shared" si="753"/>
        <v>18.2599487229575</v>
      </c>
      <c r="U262" s="217">
        <f t="shared" si="630"/>
        <v>0.6089512431305707</v>
      </c>
      <c r="V262" s="217">
        <f t="shared" si="631"/>
        <v>1.0689157424020241</v>
      </c>
      <c r="W262" s="197">
        <f t="shared" si="632"/>
        <v>350</v>
      </c>
      <c r="X262" s="443">
        <f t="shared" si="691"/>
        <v>350</v>
      </c>
      <c r="Z262" s="217">
        <f t="shared" si="633"/>
        <v>31.093812868028071</v>
      </c>
      <c r="AA262" s="173">
        <f t="shared" si="634"/>
        <v>1.8201949288143791</v>
      </c>
      <c r="AB262" s="173">
        <f t="shared" si="754"/>
        <v>0.46770967079768538</v>
      </c>
      <c r="AC262" s="173"/>
      <c r="AD262" s="173">
        <f t="shared" si="636"/>
        <v>0.78051752033536237</v>
      </c>
      <c r="AE262" s="545">
        <f t="shared" si="755"/>
        <v>1123.2366468548328</v>
      </c>
      <c r="AF262" s="528">
        <f t="shared" si="756"/>
        <v>8.6001467518433447E-2</v>
      </c>
      <c r="AH262" s="173">
        <f t="shared" si="757"/>
        <v>23.827954771054703</v>
      </c>
      <c r="AI262" s="173">
        <f t="shared" si="758"/>
        <v>23.827954771054703</v>
      </c>
      <c r="AJ262" s="173">
        <f t="shared" si="759"/>
        <v>8.9737936575713828</v>
      </c>
      <c r="AL262" s="545">
        <f t="shared" si="760"/>
        <v>276</v>
      </c>
      <c r="AM262" s="460">
        <f t="shared" si="761"/>
        <v>350</v>
      </c>
      <c r="AO262">
        <f t="shared" si="644"/>
        <v>276</v>
      </c>
      <c r="AP262">
        <f t="shared" si="645"/>
        <v>350</v>
      </c>
      <c r="AR262" s="5">
        <f t="shared" si="616"/>
        <v>2.8571428571428572</v>
      </c>
      <c r="AS262" s="5">
        <f t="shared" si="739"/>
        <v>0.79463874183008265</v>
      </c>
      <c r="AT262" s="5">
        <f t="shared" si="740"/>
        <v>2.0625041153127746</v>
      </c>
      <c r="AU262" s="173">
        <f t="shared" si="741"/>
        <v>0.27812355964052893</v>
      </c>
      <c r="BA262" s="173">
        <f t="shared" si="692"/>
        <v>7.2551271704102245</v>
      </c>
      <c r="BB262" s="173">
        <f t="shared" si="693"/>
        <v>0.55195540992374481</v>
      </c>
      <c r="BC262" s="173">
        <f t="shared" si="694"/>
        <v>0.43640013188505439</v>
      </c>
      <c r="BD262" s="173"/>
      <c r="BE262" s="528">
        <f t="shared" si="695"/>
        <v>2.105474810352987</v>
      </c>
      <c r="BF262" s="528">
        <f t="shared" si="762"/>
        <v>4.4160951447895718</v>
      </c>
      <c r="BG262" s="528">
        <f t="shared" si="763"/>
        <v>0.2099012728894217</v>
      </c>
      <c r="BH262" s="528">
        <f t="shared" si="696"/>
        <v>3.8770394878499502E-2</v>
      </c>
      <c r="BI262">
        <f t="shared" si="697"/>
        <v>6.7468266285885545E-3</v>
      </c>
      <c r="BJ262" s="460">
        <f t="shared" si="698"/>
        <v>216.64809951801027</v>
      </c>
      <c r="BK262">
        <f t="shared" si="764"/>
        <v>14.265078188652748</v>
      </c>
      <c r="BL262" s="460">
        <f t="shared" si="699"/>
        <v>6776.9884495390679</v>
      </c>
      <c r="BM262" s="173">
        <f t="shared" si="765"/>
        <v>0.239568</v>
      </c>
      <c r="BN262" s="173">
        <f t="shared" si="766"/>
        <v>0.19964000000000001</v>
      </c>
      <c r="BQ262" s="460">
        <f t="shared" si="700"/>
        <v>439.20800000000003</v>
      </c>
      <c r="BR262" s="528">
        <f t="shared" si="701"/>
        <v>1.5791061077647401</v>
      </c>
      <c r="BS262" s="528">
        <f t="shared" si="702"/>
        <v>9.1396432363226743E-3</v>
      </c>
      <c r="BT262" s="528">
        <f t="shared" si="703"/>
        <v>9.5222537554646438E-4</v>
      </c>
      <c r="BU262" s="528">
        <f t="shared" si="704"/>
        <v>317.58284351199831</v>
      </c>
      <c r="BV262" s="528"/>
      <c r="BW262" s="625">
        <f t="shared" si="705"/>
        <v>4.9680000000000009</v>
      </c>
      <c r="BX262" s="460">
        <f t="shared" si="706"/>
        <v>324140.04148837493</v>
      </c>
      <c r="BY262" s="173">
        <f t="shared" si="707"/>
        <v>331.35623793791399</v>
      </c>
      <c r="BZ262" s="5">
        <f t="shared" si="708"/>
        <v>49.68</v>
      </c>
      <c r="CA262" s="173">
        <f t="shared" si="709"/>
        <v>0.13038129987021038</v>
      </c>
      <c r="CB262" s="5">
        <f t="shared" si="710"/>
        <v>13.038129987021039</v>
      </c>
      <c r="CC262">
        <f t="shared" si="711"/>
        <v>46.000000000000007</v>
      </c>
      <c r="CE262" s="562">
        <f t="shared" si="767"/>
        <v>-50</v>
      </c>
      <c r="CG262" s="173">
        <f t="shared" si="768"/>
        <v>0.47675372850881698</v>
      </c>
      <c r="CH262" s="173">
        <f t="shared" si="769"/>
        <v>0.1218730030590754</v>
      </c>
      <c r="CI262" s="170">
        <v>46</v>
      </c>
      <c r="CJ262" s="217">
        <f t="shared" si="712"/>
        <v>0.27600000000000002</v>
      </c>
      <c r="CK262" s="217">
        <f t="shared" si="654"/>
        <v>0.23</v>
      </c>
      <c r="CL262" s="217">
        <f t="shared" si="655"/>
        <v>46.92</v>
      </c>
      <c r="CM262" s="217">
        <f t="shared" si="656"/>
        <v>2.7600000000000002</v>
      </c>
      <c r="CN262" s="541">
        <f t="shared" si="657"/>
        <v>16</v>
      </c>
      <c r="CO262" s="443">
        <f t="shared" si="770"/>
        <v>8.5350000000000001</v>
      </c>
      <c r="CP262" s="443">
        <f t="shared" si="771"/>
        <v>24.535</v>
      </c>
      <c r="CQ262" s="443"/>
      <c r="CR262" s="217">
        <f t="shared" si="660"/>
        <v>0.34760448521916415</v>
      </c>
      <c r="CS262" s="172">
        <f t="shared" si="661"/>
        <v>175.08966662891231</v>
      </c>
      <c r="CT262" s="172">
        <f t="shared" si="662"/>
        <v>10.2993921546419</v>
      </c>
      <c r="CU262" s="217">
        <f t="shared" si="663"/>
        <v>1.02993921546419</v>
      </c>
      <c r="CV262" s="217">
        <f t="shared" si="664"/>
        <v>14.590805552409359</v>
      </c>
      <c r="CW262" s="217">
        <f t="shared" si="665"/>
        <v>170</v>
      </c>
      <c r="CX262" s="217">
        <f t="shared" si="666"/>
        <v>17.865131964809382</v>
      </c>
      <c r="CY262" s="217">
        <f t="shared" si="667"/>
        <v>0.5582853739002932</v>
      </c>
      <c r="CZ262" s="217">
        <f t="shared" si="668"/>
        <v>1.0465806657767653</v>
      </c>
      <c r="DA262" s="197">
        <f t="shared" si="669"/>
        <v>350</v>
      </c>
      <c r="DB262" s="443">
        <f t="shared" si="670"/>
        <v>350</v>
      </c>
      <c r="DD262" s="217">
        <f t="shared" si="671"/>
        <v>31.805292730501623</v>
      </c>
      <c r="DE262" s="173">
        <f t="shared" si="672"/>
        <v>1.8632274593146818</v>
      </c>
      <c r="DF262" s="173">
        <f t="shared" si="673"/>
        <v>0.4897221442551708</v>
      </c>
      <c r="DG262" s="173"/>
      <c r="DH262" s="173">
        <f t="shared" si="674"/>
        <v>0.78109744190587771</v>
      </c>
      <c r="DI262" s="545">
        <f t="shared" si="675"/>
        <v>1122.4027058823533</v>
      </c>
      <c r="DJ262" s="528">
        <f t="shared" si="676"/>
        <v>8.6065366284073561E-2</v>
      </c>
      <c r="DL262" s="173">
        <f t="shared" si="677"/>
        <v>23.827954771054703</v>
      </c>
      <c r="DM262" s="173">
        <f t="shared" si="678"/>
        <v>23.827954771054703</v>
      </c>
      <c r="DN262" s="173">
        <f t="shared" si="679"/>
        <v>8.9737936575713828</v>
      </c>
      <c r="DP262" s="545">
        <f t="shared" si="680"/>
        <v>276</v>
      </c>
      <c r="DQ262" s="460">
        <f t="shared" si="681"/>
        <v>350</v>
      </c>
      <c r="DS262">
        <f t="shared" si="682"/>
        <v>276</v>
      </c>
      <c r="DT262">
        <f t="shared" si="683"/>
        <v>350</v>
      </c>
      <c r="DV262" s="5">
        <f t="shared" si="684"/>
        <v>2.8571428571428572</v>
      </c>
      <c r="DW262" s="5">
        <f t="shared" si="685"/>
        <v>0.74462358659545946</v>
      </c>
      <c r="DX262" s="5">
        <f t="shared" si="686"/>
        <v>2.1125192705473976</v>
      </c>
      <c r="DY262" s="173">
        <f t="shared" si="687"/>
        <v>0.26061825530841082</v>
      </c>
      <c r="EA262" s="5">
        <f t="shared" si="713"/>
        <v>0.12089182935314519</v>
      </c>
      <c r="EB262" s="5">
        <f t="shared" si="714"/>
        <v>1.4271952076412973</v>
      </c>
      <c r="EC262" s="5">
        <f t="shared" si="715"/>
        <v>9.91194041740839</v>
      </c>
      <c r="ED262" s="5"/>
      <c r="EE262" s="173">
        <f t="shared" si="716"/>
        <v>7.0230952133716107</v>
      </c>
      <c r="EF262" s="173">
        <f t="shared" si="717"/>
        <v>0.558607705546737</v>
      </c>
      <c r="EG262" s="173">
        <f t="shared" si="718"/>
        <v>0.44165972828544703</v>
      </c>
      <c r="EH262" s="173"/>
      <c r="EI262" s="528">
        <f t="shared" si="719"/>
        <v>1.9729546550433292</v>
      </c>
      <c r="EJ262" s="528">
        <f t="shared" si="720"/>
        <v>5.6269566267128361</v>
      </c>
      <c r="EK262" s="528">
        <f t="shared" si="721"/>
        <v>6.9999999999999993E-2</v>
      </c>
      <c r="EL262" s="528">
        <f t="shared" si="722"/>
        <v>4.2137635749999999E-2</v>
      </c>
      <c r="EM262">
        <f t="shared" si="723"/>
        <v>7.1999999999999998E-3</v>
      </c>
      <c r="EN262" s="460">
        <f t="shared" si="724"/>
        <v>77.199999999999989</v>
      </c>
      <c r="EP262" s="460">
        <f t="shared" si="725"/>
        <v>7719.2489175061655</v>
      </c>
      <c r="EQ262" s="173">
        <f t="shared" si="726"/>
        <v>0.19320000000000001</v>
      </c>
      <c r="ER262" s="173">
        <f t="shared" si="772"/>
        <v>0.19964000000000001</v>
      </c>
      <c r="ES262" s="528"/>
      <c r="EU262" s="460">
        <f t="shared" si="727"/>
        <v>392.84000000000003</v>
      </c>
      <c r="EV262" s="528">
        <f t="shared" si="728"/>
        <v>1.4797159912824969</v>
      </c>
      <c r="EW262" s="528">
        <f t="shared" si="729"/>
        <v>9.3612770608857004E-3</v>
      </c>
      <c r="EX262" s="528">
        <f t="shared" si="730"/>
        <v>9.7531657794587448E-4</v>
      </c>
      <c r="EY262" s="528">
        <f t="shared" si="731"/>
        <v>317.58284351199831</v>
      </c>
      <c r="EZ262" s="528"/>
      <c r="FA262" s="625">
        <f t="shared" si="732"/>
        <v>4.9680000000000009</v>
      </c>
      <c r="FB262" s="460">
        <f t="shared" si="733"/>
        <v>324040.89609691966</v>
      </c>
      <c r="FC262" s="173">
        <f t="shared" si="734"/>
        <v>332.15298501442584</v>
      </c>
      <c r="FD262" s="5">
        <f t="shared" si="735"/>
        <v>49.68</v>
      </c>
      <c r="FE262" s="173">
        <f t="shared" si="736"/>
        <v>0.13010924134310467</v>
      </c>
      <c r="FF262" s="5">
        <f t="shared" si="737"/>
        <v>13.010924134310468</v>
      </c>
      <c r="FG262">
        <f t="shared" si="738"/>
        <v>46.000000000000007</v>
      </c>
      <c r="FI262" s="562">
        <f t="shared" si="689"/>
        <v>-50</v>
      </c>
    </row>
    <row r="263" spans="5:165">
      <c r="E263" s="170">
        <v>47</v>
      </c>
      <c r="F263" s="217">
        <f t="shared" si="773"/>
        <v>0.28199999999999997</v>
      </c>
      <c r="G263" s="217">
        <f t="shared" si="742"/>
        <v>0.23499999999999999</v>
      </c>
      <c r="H263" s="217">
        <f t="shared" si="743"/>
        <v>47.94</v>
      </c>
      <c r="I263" s="217">
        <f t="shared" si="744"/>
        <v>2.82</v>
      </c>
      <c r="J263" s="541">
        <f t="shared" si="745"/>
        <v>14.982060699157966</v>
      </c>
      <c r="K263" s="443">
        <f t="shared" si="746"/>
        <v>8.5414100312282475</v>
      </c>
      <c r="L263" s="172">
        <f t="shared" si="747"/>
        <v>23.523470730386215</v>
      </c>
      <c r="M263" s="443"/>
      <c r="N263" s="217">
        <f t="shared" si="748"/>
        <v>0.36310160728939389</v>
      </c>
      <c r="O263" s="172">
        <f t="shared" si="749"/>
        <v>171.25958415984408</v>
      </c>
      <c r="P263" s="172">
        <f t="shared" si="750"/>
        <v>10.074093185873181</v>
      </c>
      <c r="Q263" s="217">
        <f t="shared" si="626"/>
        <v>1.0074093185873181</v>
      </c>
      <c r="R263" s="217">
        <f t="shared" si="751"/>
        <v>14.271632013320341</v>
      </c>
      <c r="S263" s="217">
        <f t="shared" si="752"/>
        <v>170</v>
      </c>
      <c r="T263" s="217">
        <f t="shared" si="753"/>
        <v>18.66172930220964</v>
      </c>
      <c r="U263" s="217">
        <f t="shared" si="630"/>
        <v>0.62280248615127021</v>
      </c>
      <c r="V263" s="217">
        <f t="shared" si="631"/>
        <v>1.0924267324704291</v>
      </c>
      <c r="W263" s="197">
        <f t="shared" si="632"/>
        <v>350</v>
      </c>
      <c r="X263" s="443">
        <f t="shared" si="691"/>
        <v>350</v>
      </c>
      <c r="Z263" s="217">
        <f t="shared" si="633"/>
        <v>31.085773259265821</v>
      </c>
      <c r="AA263" s="173">
        <f t="shared" si="634"/>
        <v>1.8197096934588746</v>
      </c>
      <c r="AB263" s="173">
        <f t="shared" si="754"/>
        <v>0.46746408809010637</v>
      </c>
      <c r="AC263" s="173"/>
      <c r="AD263" s="173">
        <f t="shared" si="636"/>
        <v>0.78051125543589028</v>
      </c>
      <c r="AE263" s="545">
        <f t="shared" si="755"/>
        <v>1147.6640466665624</v>
      </c>
      <c r="AF263" s="528">
        <f t="shared" si="756"/>
        <v>8.6000777219324961E-2</v>
      </c>
      <c r="AH263" s="173">
        <f t="shared" si="757"/>
        <v>24.085561768708775</v>
      </c>
      <c r="AI263" s="173">
        <f t="shared" si="758"/>
        <v>24.085561768708775</v>
      </c>
      <c r="AJ263" s="173">
        <f t="shared" si="759"/>
        <v>9.1646136558336586</v>
      </c>
      <c r="AL263" s="545">
        <f t="shared" si="760"/>
        <v>282</v>
      </c>
      <c r="AM263" s="460">
        <f t="shared" si="761"/>
        <v>350</v>
      </c>
      <c r="AO263">
        <f t="shared" si="644"/>
        <v>282</v>
      </c>
      <c r="AP263">
        <f t="shared" si="645"/>
        <v>350</v>
      </c>
      <c r="AR263" s="5">
        <f t="shared" ref="AR263:AR316" si="774">1/AM263*1000</f>
        <v>2.8571428571428572</v>
      </c>
      <c r="AS263" s="5">
        <f t="shared" si="739"/>
        <v>0.80381338229601662</v>
      </c>
      <c r="AT263" s="5">
        <f t="shared" si="740"/>
        <v>2.0533294748468407</v>
      </c>
      <c r="AU263" s="173">
        <f t="shared" si="741"/>
        <v>0.28133468380360582</v>
      </c>
      <c r="BA263" s="173">
        <f t="shared" si="692"/>
        <v>7.3757772277770437</v>
      </c>
      <c r="BB263" s="173">
        <f t="shared" si="693"/>
        <v>0.5566803816358844</v>
      </c>
      <c r="BC263" s="173">
        <f t="shared" si="694"/>
        <v>0.44013590155278115</v>
      </c>
      <c r="BD263" s="173"/>
      <c r="BE263" s="528">
        <f t="shared" si="695"/>
        <v>2.1760835885517764</v>
      </c>
      <c r="BF263" s="528">
        <f t="shared" si="762"/>
        <v>4.4617860574176484</v>
      </c>
      <c r="BG263" s="528">
        <f t="shared" si="763"/>
        <v>0.20974884978821151</v>
      </c>
      <c r="BH263" s="528">
        <f t="shared" si="696"/>
        <v>3.8734757264233581E-2</v>
      </c>
      <c r="BI263">
        <f t="shared" si="697"/>
        <v>6.7419273146210844E-3</v>
      </c>
      <c r="BJ263" s="460">
        <f t="shared" si="698"/>
        <v>216.4907771028326</v>
      </c>
      <c r="BK263">
        <f t="shared" si="764"/>
        <v>15.040808303201491</v>
      </c>
      <c r="BL263" s="460">
        <f t="shared" si="699"/>
        <v>6893.0951803364915</v>
      </c>
      <c r="BM263" s="173">
        <f t="shared" si="765"/>
        <v>0.24477599999999997</v>
      </c>
      <c r="BN263" s="173">
        <f t="shared" si="766"/>
        <v>0.20397999999999997</v>
      </c>
      <c r="BQ263" s="460">
        <f t="shared" si="700"/>
        <v>448.75599999999991</v>
      </c>
      <c r="BR263" s="528">
        <f t="shared" si="701"/>
        <v>1.6320626914138323</v>
      </c>
      <c r="BS263" s="528">
        <f t="shared" si="702"/>
        <v>9.2967914189482168E-3</v>
      </c>
      <c r="BT263" s="528">
        <f t="shared" si="703"/>
        <v>9.685980591783973E-4</v>
      </c>
      <c r="BU263" s="528">
        <f t="shared" si="704"/>
        <v>326.23613683402874</v>
      </c>
      <c r="BV263" s="528"/>
      <c r="BW263" s="625">
        <f t="shared" si="705"/>
        <v>5.0760000000000005</v>
      </c>
      <c r="BX263" s="460">
        <f t="shared" si="706"/>
        <v>332954.46491492074</v>
      </c>
      <c r="BY263" s="173">
        <f t="shared" si="707"/>
        <v>340.29631609525723</v>
      </c>
      <c r="BZ263" s="5">
        <f t="shared" si="708"/>
        <v>50.76</v>
      </c>
      <c r="CA263" s="173">
        <f t="shared" si="709"/>
        <v>0.12980227632389243</v>
      </c>
      <c r="CB263" s="5">
        <f t="shared" si="710"/>
        <v>12.980227632389244</v>
      </c>
      <c r="CC263">
        <f t="shared" si="711"/>
        <v>47</v>
      </c>
      <c r="CE263" s="562">
        <f t="shared" si="767"/>
        <v>-50</v>
      </c>
      <c r="CG263" s="173">
        <f t="shared" si="768"/>
        <v>0.48190797266454</v>
      </c>
      <c r="CH263" s="173">
        <f t="shared" si="769"/>
        <v>0.1231905873299366</v>
      </c>
      <c r="CI263" s="170">
        <v>47</v>
      </c>
      <c r="CJ263" s="217">
        <f t="shared" si="712"/>
        <v>0.28199999999999997</v>
      </c>
      <c r="CK263" s="217">
        <f t="shared" si="654"/>
        <v>0.23499999999999999</v>
      </c>
      <c r="CL263" s="217">
        <f t="shared" si="655"/>
        <v>47.94</v>
      </c>
      <c r="CM263" s="217">
        <f t="shared" si="656"/>
        <v>2.82</v>
      </c>
      <c r="CN263" s="541">
        <f t="shared" si="657"/>
        <v>16</v>
      </c>
      <c r="CO263" s="443">
        <f t="shared" si="770"/>
        <v>8.5350000000000001</v>
      </c>
      <c r="CP263" s="443">
        <f t="shared" si="771"/>
        <v>24.535</v>
      </c>
      <c r="CQ263" s="443"/>
      <c r="CR263" s="217">
        <f t="shared" si="660"/>
        <v>0.34760448521916415</v>
      </c>
      <c r="CS263" s="172">
        <f t="shared" si="661"/>
        <v>175.08966662891231</v>
      </c>
      <c r="CT263" s="172">
        <f t="shared" si="662"/>
        <v>10.2993921546419</v>
      </c>
      <c r="CU263" s="217">
        <f t="shared" si="663"/>
        <v>1.02993921546419</v>
      </c>
      <c r="CV263" s="217">
        <f t="shared" si="664"/>
        <v>14.590805552409359</v>
      </c>
      <c r="CW263" s="217">
        <f t="shared" si="665"/>
        <v>170</v>
      </c>
      <c r="CX263" s="217">
        <f t="shared" si="666"/>
        <v>18.253504398826976</v>
      </c>
      <c r="CY263" s="217">
        <f t="shared" si="667"/>
        <v>0.57042201246334301</v>
      </c>
      <c r="CZ263" s="217">
        <f t="shared" si="668"/>
        <v>1.0693324193806077</v>
      </c>
      <c r="DA263" s="197">
        <f t="shared" si="669"/>
        <v>350</v>
      </c>
      <c r="DB263" s="443">
        <f t="shared" si="670"/>
        <v>350</v>
      </c>
      <c r="DD263" s="217">
        <f t="shared" si="671"/>
        <v>31.805292730501623</v>
      </c>
      <c r="DE263" s="173">
        <f t="shared" si="672"/>
        <v>1.8632274593146818</v>
      </c>
      <c r="DF263" s="173">
        <f t="shared" si="673"/>
        <v>0.4897221442551708</v>
      </c>
      <c r="DG263" s="173"/>
      <c r="DH263" s="173">
        <f t="shared" si="674"/>
        <v>0.78109744190587771</v>
      </c>
      <c r="DI263" s="545">
        <f t="shared" si="675"/>
        <v>1146.8027647058823</v>
      </c>
      <c r="DJ263" s="528">
        <f t="shared" si="676"/>
        <v>8.6065366284073561E-2</v>
      </c>
      <c r="DL263" s="173">
        <f t="shared" si="677"/>
        <v>24.085561768708775</v>
      </c>
      <c r="DM263" s="173">
        <f t="shared" si="678"/>
        <v>24.085561768708775</v>
      </c>
      <c r="DN263" s="173">
        <f t="shared" si="679"/>
        <v>9.1646136558336586</v>
      </c>
      <c r="DP263" s="545">
        <f t="shared" si="680"/>
        <v>282</v>
      </c>
      <c r="DQ263" s="460">
        <f t="shared" si="681"/>
        <v>350</v>
      </c>
      <c r="DS263">
        <f t="shared" si="682"/>
        <v>282</v>
      </c>
      <c r="DT263">
        <f t="shared" si="683"/>
        <v>350</v>
      </c>
      <c r="DV263" s="5">
        <f t="shared" si="684"/>
        <v>2.8571428571428572</v>
      </c>
      <c r="DW263" s="5">
        <f t="shared" si="685"/>
        <v>0.75267380527214922</v>
      </c>
      <c r="DX263" s="5">
        <f t="shared" si="686"/>
        <v>2.1044690518707081</v>
      </c>
      <c r="DY263" s="173">
        <f t="shared" si="687"/>
        <v>0.26343583184525221</v>
      </c>
      <c r="EA263" s="5">
        <f t="shared" si="713"/>
        <v>0.12485530181573297</v>
      </c>
      <c r="EB263" s="5">
        <f t="shared" si="714"/>
        <v>1.4739862019912919</v>
      </c>
      <c r="EC263" s="5">
        <f t="shared" si="715"/>
        <v>10.088824634668175</v>
      </c>
      <c r="ED263" s="5"/>
      <c r="EE263" s="173">
        <f t="shared" si="716"/>
        <v>7.1372938247503201</v>
      </c>
      <c r="EF263" s="173">
        <f t="shared" si="717"/>
        <v>0.56357000089272002</v>
      </c>
      <c r="EG263" s="173">
        <f t="shared" si="718"/>
        <v>0.44558313641680086</v>
      </c>
      <c r="EH263" s="173"/>
      <c r="EI263" s="528">
        <f t="shared" si="719"/>
        <v>2.037638525632762</v>
      </c>
      <c r="EJ263" s="528">
        <f t="shared" si="720"/>
        <v>5.687790358204472</v>
      </c>
      <c r="EK263" s="528">
        <f t="shared" si="721"/>
        <v>6.9999999999999993E-2</v>
      </c>
      <c r="EL263" s="528">
        <f t="shared" si="722"/>
        <v>4.2137635749999999E-2</v>
      </c>
      <c r="EM263">
        <f t="shared" si="723"/>
        <v>7.1999999999999998E-3</v>
      </c>
      <c r="EN263" s="460">
        <f t="shared" si="724"/>
        <v>77.199999999999989</v>
      </c>
      <c r="EP263" s="460">
        <f t="shared" si="725"/>
        <v>7844.7665195872332</v>
      </c>
      <c r="EQ263" s="173">
        <f t="shared" si="726"/>
        <v>0.19739999999999996</v>
      </c>
      <c r="ER263" s="173">
        <f t="shared" si="772"/>
        <v>0.20397999999999997</v>
      </c>
      <c r="ES263" s="528"/>
      <c r="EU263" s="460">
        <f t="shared" si="727"/>
        <v>401.37999999999994</v>
      </c>
      <c r="EV263" s="528">
        <f t="shared" si="728"/>
        <v>1.5282288942245714</v>
      </c>
      <c r="EW263" s="528">
        <f t="shared" si="729"/>
        <v>9.528334377186613E-3</v>
      </c>
      <c r="EX263" s="528">
        <f t="shared" si="730"/>
        <v>9.9272165729516687E-4</v>
      </c>
      <c r="EY263" s="528">
        <f t="shared" si="731"/>
        <v>326.23613683402874</v>
      </c>
      <c r="EZ263" s="528"/>
      <c r="FA263" s="625">
        <f t="shared" si="732"/>
        <v>5.0760000000000005</v>
      </c>
      <c r="FB263" s="460">
        <f t="shared" si="733"/>
        <v>332850.88678428781</v>
      </c>
      <c r="FC263" s="173">
        <f t="shared" si="734"/>
        <v>341.09703330387504</v>
      </c>
      <c r="FD263" s="5">
        <f t="shared" si="735"/>
        <v>50.76</v>
      </c>
      <c r="FE263" s="173">
        <f t="shared" si="736"/>
        <v>0.12953703949633316</v>
      </c>
      <c r="FF263" s="5">
        <f t="shared" si="737"/>
        <v>12.953703949633317</v>
      </c>
      <c r="FG263">
        <f t="shared" si="738"/>
        <v>47</v>
      </c>
      <c r="FI263" s="562">
        <f t="shared" si="689"/>
        <v>-50</v>
      </c>
    </row>
    <row r="264" spans="5:165">
      <c r="E264" s="170">
        <v>48</v>
      </c>
      <c r="F264" s="217">
        <f t="shared" si="773"/>
        <v>0.28799999999999998</v>
      </c>
      <c r="G264" s="217">
        <f t="shared" si="742"/>
        <v>0.24</v>
      </c>
      <c r="H264" s="217">
        <f t="shared" si="743"/>
        <v>48.959999999999994</v>
      </c>
      <c r="I264" s="217">
        <f t="shared" si="744"/>
        <v>2.88</v>
      </c>
      <c r="J264" s="541">
        <f t="shared" si="745"/>
        <v>14.971288554720125</v>
      </c>
      <c r="K264" s="443">
        <f t="shared" si="746"/>
        <v>8.5414778641355582</v>
      </c>
      <c r="L264" s="172">
        <f t="shared" si="747"/>
        <v>23.512766418855684</v>
      </c>
      <c r="M264" s="443"/>
      <c r="N264" s="217">
        <f t="shared" si="748"/>
        <v>0.36326979616000682</v>
      </c>
      <c r="O264" s="172">
        <f t="shared" si="749"/>
        <v>171.21571852951664</v>
      </c>
      <c r="P264" s="172">
        <f t="shared" si="750"/>
        <v>10.071512854677451</v>
      </c>
      <c r="Q264" s="217">
        <f t="shared" si="626"/>
        <v>1.0071512854677449</v>
      </c>
      <c r="R264" s="217">
        <f t="shared" si="751"/>
        <v>14.267976544126386</v>
      </c>
      <c r="S264" s="217">
        <f t="shared" si="752"/>
        <v>170</v>
      </c>
      <c r="T264" s="217">
        <f t="shared" si="753"/>
        <v>19.063670251965235</v>
      </c>
      <c r="U264" s="217">
        <f t="shared" si="630"/>
        <v>0.63667433108003479</v>
      </c>
      <c r="V264" s="217">
        <f t="shared" si="631"/>
        <v>1.1159468276567721</v>
      </c>
      <c r="W264" s="197">
        <f t="shared" si="632"/>
        <v>350</v>
      </c>
      <c r="X264" s="443">
        <f t="shared" si="691"/>
        <v>350</v>
      </c>
      <c r="Z264" s="217">
        <f t="shared" si="633"/>
        <v>31.077811094433279</v>
      </c>
      <c r="AA264" s="173">
        <f t="shared" si="634"/>
        <v>1.8192291538285519</v>
      </c>
      <c r="AB264" s="173">
        <f t="shared" si="754"/>
        <v>0.46722094011390014</v>
      </c>
      <c r="AC264" s="173"/>
      <c r="AD264" s="173">
        <f t="shared" si="636"/>
        <v>0.78050505693622929</v>
      </c>
      <c r="AE264" s="545">
        <f t="shared" si="755"/>
        <v>1172.0917389091428</v>
      </c>
      <c r="AF264" s="528">
        <f t="shared" si="756"/>
        <v>8.6000094236491936E-2</v>
      </c>
      <c r="AH264" s="173">
        <f t="shared" si="757"/>
        <v>24.340442536181275</v>
      </c>
      <c r="AI264" s="173">
        <f t="shared" si="758"/>
        <v>24.340442536181275</v>
      </c>
      <c r="AJ264" s="173">
        <f t="shared" si="759"/>
        <v>9.3534142243318072</v>
      </c>
      <c r="AL264" s="545">
        <f t="shared" si="760"/>
        <v>288</v>
      </c>
      <c r="AM264" s="460">
        <f t="shared" si="761"/>
        <v>350</v>
      </c>
      <c r="AO264">
        <f t="shared" si="644"/>
        <v>288</v>
      </c>
      <c r="AP264">
        <f t="shared" si="645"/>
        <v>350</v>
      </c>
      <c r="AR264" s="5">
        <f t="shared" si="774"/>
        <v>2.8571428571428572</v>
      </c>
      <c r="AS264" s="5">
        <f t="shared" si="739"/>
        <v>0.81290406123750969</v>
      </c>
      <c r="AT264" s="5">
        <f t="shared" si="740"/>
        <v>2.0442387959053474</v>
      </c>
      <c r="AU264" s="173">
        <f t="shared" si="741"/>
        <v>0.28451642143312839</v>
      </c>
      <c r="BA264" s="173">
        <f t="shared" si="692"/>
        <v>7.4958607719685313</v>
      </c>
      <c r="BB264" s="173">
        <f t="shared" si="693"/>
        <v>0.56132462955246387</v>
      </c>
      <c r="BC264" s="173">
        <f t="shared" si="694"/>
        <v>0.44380784745069757</v>
      </c>
      <c r="BD264" s="173"/>
      <c r="BE264" s="528">
        <f t="shared" si="695"/>
        <v>2.2475171485094667</v>
      </c>
      <c r="BF264" s="528">
        <f t="shared" si="762"/>
        <v>4.5069502265928749</v>
      </c>
      <c r="BG264" s="528">
        <f t="shared" si="763"/>
        <v>0.20959803976608174</v>
      </c>
      <c r="BH264" s="528">
        <f t="shared" si="696"/>
        <v>3.8699512926736734E-2</v>
      </c>
      <c r="BI264">
        <f t="shared" si="697"/>
        <v>6.737079849624056E-3</v>
      </c>
      <c r="BJ264" s="460">
        <f t="shared" si="698"/>
        <v>216.33511961570579</v>
      </c>
      <c r="BK264">
        <f t="shared" si="764"/>
        <v>15.88016416870351</v>
      </c>
      <c r="BL264" s="460">
        <f t="shared" si="699"/>
        <v>7009.5020076447845</v>
      </c>
      <c r="BM264" s="173">
        <f t="shared" si="765"/>
        <v>0.24998399999999996</v>
      </c>
      <c r="BN264" s="173">
        <f t="shared" si="766"/>
        <v>0.20831999999999998</v>
      </c>
      <c r="BQ264" s="460">
        <f t="shared" si="700"/>
        <v>458.30399999999992</v>
      </c>
      <c r="BR264" s="528">
        <f t="shared" si="701"/>
        <v>1.6856378613820999</v>
      </c>
      <c r="BS264" s="528">
        <f t="shared" si="702"/>
        <v>9.4525601922663249E-3</v>
      </c>
      <c r="BT264" s="528">
        <f t="shared" si="703"/>
        <v>9.8482702729410835E-4</v>
      </c>
      <c r="BU264" s="528">
        <f t="shared" si="704"/>
        <v>334.93558400004895</v>
      </c>
      <c r="BV264" s="528"/>
      <c r="BW264" s="625">
        <f t="shared" si="705"/>
        <v>5.1839999999999993</v>
      </c>
      <c r="BX264" s="460">
        <f t="shared" si="706"/>
        <v>341815.65924865066</v>
      </c>
      <c r="BY264" s="173">
        <f t="shared" si="707"/>
        <v>349.28346525629541</v>
      </c>
      <c r="BZ264" s="5">
        <f t="shared" si="708"/>
        <v>51.839999999999996</v>
      </c>
      <c r="CA264" s="173">
        <f t="shared" si="709"/>
        <v>0.12923701675462229</v>
      </c>
      <c r="CB264" s="5">
        <f t="shared" si="710"/>
        <v>12.92370167546223</v>
      </c>
      <c r="CC264">
        <f t="shared" si="711"/>
        <v>48</v>
      </c>
      <c r="CE264" s="562">
        <f t="shared" si="767"/>
        <v>-50</v>
      </c>
      <c r="CG264" s="173">
        <f t="shared" si="768"/>
        <v>0.48700766994805661</v>
      </c>
      <c r="CH264" s="173">
        <f t="shared" si="769"/>
        <v>0.12449422773266267</v>
      </c>
      <c r="CI264" s="170">
        <v>48</v>
      </c>
      <c r="CJ264" s="217">
        <f t="shared" si="712"/>
        <v>0.28799999999999998</v>
      </c>
      <c r="CK264" s="217">
        <f t="shared" si="654"/>
        <v>0.24</v>
      </c>
      <c r="CL264" s="217">
        <f t="shared" si="655"/>
        <v>48.959999999999994</v>
      </c>
      <c r="CM264" s="217">
        <f t="shared" si="656"/>
        <v>2.88</v>
      </c>
      <c r="CN264" s="541">
        <f t="shared" si="657"/>
        <v>16</v>
      </c>
      <c r="CO264" s="443">
        <f t="shared" si="770"/>
        <v>8.5350000000000001</v>
      </c>
      <c r="CP264" s="443">
        <f t="shared" si="771"/>
        <v>24.535</v>
      </c>
      <c r="CQ264" s="443"/>
      <c r="CR264" s="217">
        <f t="shared" si="660"/>
        <v>0.34760448521916415</v>
      </c>
      <c r="CS264" s="172">
        <f t="shared" si="661"/>
        <v>175.08966662891231</v>
      </c>
      <c r="CT264" s="172">
        <f t="shared" si="662"/>
        <v>10.2993921546419</v>
      </c>
      <c r="CU264" s="217">
        <f t="shared" si="663"/>
        <v>1.02993921546419</v>
      </c>
      <c r="CV264" s="217">
        <f t="shared" si="664"/>
        <v>14.590805552409359</v>
      </c>
      <c r="CW264" s="217">
        <f t="shared" si="665"/>
        <v>170</v>
      </c>
      <c r="CX264" s="217">
        <f t="shared" si="666"/>
        <v>18.64187683284457</v>
      </c>
      <c r="CY264" s="217">
        <f t="shared" si="667"/>
        <v>0.58255865102639282</v>
      </c>
      <c r="CZ264" s="217">
        <f t="shared" si="668"/>
        <v>1.0920841729844504</v>
      </c>
      <c r="DA264" s="197">
        <f t="shared" si="669"/>
        <v>350</v>
      </c>
      <c r="DB264" s="443">
        <f t="shared" si="670"/>
        <v>350</v>
      </c>
      <c r="DD264" s="217">
        <f t="shared" si="671"/>
        <v>31.805292730501623</v>
      </c>
      <c r="DE264" s="173">
        <f t="shared" si="672"/>
        <v>1.8632274593146818</v>
      </c>
      <c r="DF264" s="173">
        <f t="shared" si="673"/>
        <v>0.4897221442551708</v>
      </c>
      <c r="DG264" s="173"/>
      <c r="DH264" s="173">
        <f t="shared" si="674"/>
        <v>0.78109744190587771</v>
      </c>
      <c r="DI264" s="545">
        <f t="shared" si="675"/>
        <v>1171.2028235294117</v>
      </c>
      <c r="DJ264" s="528">
        <f t="shared" si="676"/>
        <v>8.6065366284073561E-2</v>
      </c>
      <c r="DL264" s="173">
        <f t="shared" si="677"/>
        <v>24.340442536181275</v>
      </c>
      <c r="DM264" s="173">
        <f t="shared" si="678"/>
        <v>24.340442536181275</v>
      </c>
      <c r="DN264" s="173">
        <f t="shared" si="679"/>
        <v>9.3534142243318072</v>
      </c>
      <c r="DP264" s="545">
        <f t="shared" si="680"/>
        <v>288</v>
      </c>
      <c r="DQ264" s="460">
        <f t="shared" si="681"/>
        <v>350</v>
      </c>
      <c r="DS264">
        <f t="shared" si="682"/>
        <v>288</v>
      </c>
      <c r="DT264">
        <f t="shared" si="683"/>
        <v>350</v>
      </c>
      <c r="DV264" s="5">
        <f t="shared" si="684"/>
        <v>2.8571428571428572</v>
      </c>
      <c r="DW264" s="5">
        <f t="shared" si="685"/>
        <v>0.76063882925566484</v>
      </c>
      <c r="DX264" s="5">
        <f t="shared" si="686"/>
        <v>2.0965040278871925</v>
      </c>
      <c r="DY264" s="173">
        <f t="shared" si="687"/>
        <v>0.26622359023948267</v>
      </c>
      <c r="EA264" s="5">
        <f t="shared" si="713"/>
        <v>0.1288611663680185</v>
      </c>
      <c r="EB264" s="5">
        <f t="shared" si="714"/>
        <v>1.5212776585113297</v>
      </c>
      <c r="EC264" s="5">
        <f t="shared" si="715"/>
        <v>10.264483720535694</v>
      </c>
      <c r="ED264" s="5"/>
      <c r="EE264" s="173">
        <f t="shared" si="716"/>
        <v>7.2508865580804356</v>
      </c>
      <c r="EF264" s="173">
        <f t="shared" si="717"/>
        <v>0.56845505905481442</v>
      </c>
      <c r="EG264" s="173">
        <f t="shared" si="718"/>
        <v>0.44944547744630309</v>
      </c>
      <c r="EH264" s="173"/>
      <c r="EI264" s="528">
        <f t="shared" si="719"/>
        <v>2.1030142351260621</v>
      </c>
      <c r="EJ264" s="528">
        <f t="shared" si="720"/>
        <v>5.747980292142624</v>
      </c>
      <c r="EK264" s="528">
        <f t="shared" si="721"/>
        <v>6.9999999999999993E-2</v>
      </c>
      <c r="EL264" s="528">
        <f t="shared" si="722"/>
        <v>4.2137635749999999E-2</v>
      </c>
      <c r="EM264">
        <f t="shared" si="723"/>
        <v>7.1999999999999998E-3</v>
      </c>
      <c r="EN264" s="460">
        <f t="shared" si="724"/>
        <v>77.199999999999989</v>
      </c>
      <c r="EP264" s="460">
        <f t="shared" si="725"/>
        <v>7970.3321630186856</v>
      </c>
      <c r="EQ264" s="173">
        <f t="shared" si="726"/>
        <v>0.20159999999999997</v>
      </c>
      <c r="ER264" s="173">
        <f t="shared" si="772"/>
        <v>0.20831999999999998</v>
      </c>
      <c r="ES264" s="528"/>
      <c r="EU264" s="460">
        <f t="shared" si="727"/>
        <v>409.91999999999996</v>
      </c>
      <c r="EV264" s="528">
        <f t="shared" si="728"/>
        <v>1.5772606763445465</v>
      </c>
      <c r="EW264" s="528">
        <f t="shared" si="729"/>
        <v>9.6942346249503757E-3</v>
      </c>
      <c r="EX264" s="528">
        <f t="shared" si="730"/>
        <v>1.0100061859846766E-3</v>
      </c>
      <c r="EY264" s="528">
        <f t="shared" si="731"/>
        <v>334.93558400004895</v>
      </c>
      <c r="EZ264" s="528"/>
      <c r="FA264" s="625">
        <f t="shared" si="732"/>
        <v>5.1839999999999993</v>
      </c>
      <c r="FB264" s="460">
        <f t="shared" si="733"/>
        <v>341707.54891720449</v>
      </c>
      <c r="FC264" s="173">
        <f t="shared" si="734"/>
        <v>350.08780108022313</v>
      </c>
      <c r="FD264" s="5">
        <f t="shared" si="735"/>
        <v>51.839999999999996</v>
      </c>
      <c r="FE264" s="173">
        <f t="shared" si="736"/>
        <v>0.12897838830923006</v>
      </c>
      <c r="FF264" s="5">
        <f t="shared" si="737"/>
        <v>12.897838830923005</v>
      </c>
      <c r="FG264">
        <f t="shared" si="738"/>
        <v>48</v>
      </c>
      <c r="FI264" s="562">
        <f t="shared" si="689"/>
        <v>-50</v>
      </c>
    </row>
    <row r="265" spans="5:165">
      <c r="E265" s="170">
        <v>49</v>
      </c>
      <c r="F265" s="217">
        <f t="shared" si="773"/>
        <v>0.29399999999999998</v>
      </c>
      <c r="G265" s="217">
        <f t="shared" si="742"/>
        <v>0.245</v>
      </c>
      <c r="H265" s="217">
        <f t="shared" si="743"/>
        <v>49.98</v>
      </c>
      <c r="I265" s="217">
        <f t="shared" si="744"/>
        <v>2.94</v>
      </c>
      <c r="J265" s="541">
        <f t="shared" si="745"/>
        <v>14.960628047761126</v>
      </c>
      <c r="K265" s="443">
        <f t="shared" si="746"/>
        <v>8.5415449940542665</v>
      </c>
      <c r="L265" s="172">
        <f t="shared" si="747"/>
        <v>23.502173041815393</v>
      </c>
      <c r="M265" s="443"/>
      <c r="N265" s="217">
        <f t="shared" si="748"/>
        <v>0.36343639283299595</v>
      </c>
      <c r="O265" s="172">
        <f t="shared" si="749"/>
        <v>171.17226623575121</v>
      </c>
      <c r="P265" s="172">
        <f t="shared" si="750"/>
        <v>10.068956837397129</v>
      </c>
      <c r="Q265" s="217">
        <f t="shared" si="626"/>
        <v>1.0068956837397129</v>
      </c>
      <c r="R265" s="217">
        <f t="shared" si="751"/>
        <v>14.264355519645934</v>
      </c>
      <c r="S265" s="217">
        <f t="shared" si="752"/>
        <v>170</v>
      </c>
      <c r="T265" s="217">
        <f t="shared" si="753"/>
        <v>19.465770204916964</v>
      </c>
      <c r="U265" s="217">
        <f t="shared" si="630"/>
        <v>0.65056661200229604</v>
      </c>
      <c r="V265" s="217">
        <f t="shared" si="631"/>
        <v>1.1394759506896588</v>
      </c>
      <c r="W265" s="197">
        <f t="shared" si="632"/>
        <v>350</v>
      </c>
      <c r="X265" s="443">
        <f t="shared" si="691"/>
        <v>350</v>
      </c>
      <c r="Z265" s="217">
        <f t="shared" si="633"/>
        <v>31.06992395539686</v>
      </c>
      <c r="AA265" s="173">
        <f t="shared" si="634"/>
        <v>1.818753163334297</v>
      </c>
      <c r="AB265" s="173">
        <f t="shared" si="754"/>
        <v>0.46698015103705959</v>
      </c>
      <c r="AC265" s="173"/>
      <c r="AD265" s="173">
        <f t="shared" si="636"/>
        <v>0.78049892277185284</v>
      </c>
      <c r="AE265" s="545">
        <f t="shared" si="755"/>
        <v>1196.5197205200488</v>
      </c>
      <c r="AF265" s="528">
        <f t="shared" si="756"/>
        <v>8.5999418342454156E-2</v>
      </c>
      <c r="AH265" s="173">
        <f t="shared" si="757"/>
        <v>24.592681838303037</v>
      </c>
      <c r="AI265" s="173">
        <f t="shared" si="758"/>
        <v>24.592681838303037</v>
      </c>
      <c r="AJ265" s="173">
        <f t="shared" si="759"/>
        <v>9.5402581518294074</v>
      </c>
      <c r="AL265" s="545">
        <f t="shared" si="760"/>
        <v>294</v>
      </c>
      <c r="AM265" s="460">
        <f t="shared" si="761"/>
        <v>350</v>
      </c>
      <c r="AO265">
        <f t="shared" si="644"/>
        <v>294</v>
      </c>
      <c r="AP265">
        <f t="shared" si="645"/>
        <v>350</v>
      </c>
      <c r="AR265" s="5">
        <f t="shared" si="774"/>
        <v>2.8571428571428572</v>
      </c>
      <c r="AS265" s="5">
        <f t="shared" si="739"/>
        <v>0.82191341699666665</v>
      </c>
      <c r="AT265" s="5">
        <f t="shared" si="740"/>
        <v>2.0352294401461908</v>
      </c>
      <c r="AU265" s="173">
        <f t="shared" si="741"/>
        <v>0.28766969594883329</v>
      </c>
      <c r="BA265" s="173">
        <f t="shared" si="692"/>
        <v>7.6153930104286021</v>
      </c>
      <c r="BB265" s="173">
        <f t="shared" si="693"/>
        <v>0.56589048903191508</v>
      </c>
      <c r="BC265" s="173">
        <f t="shared" si="694"/>
        <v>0.44741781601550684</v>
      </c>
      <c r="BD265" s="173"/>
      <c r="BE265" s="528">
        <f t="shared" si="695"/>
        <v>2.3197684281313924</v>
      </c>
      <c r="BF265" s="528">
        <f t="shared" si="762"/>
        <v>4.5516040299931051</v>
      </c>
      <c r="BG265" s="528">
        <f t="shared" si="763"/>
        <v>0.20944879266865576</v>
      </c>
      <c r="BH265" s="528">
        <f t="shared" si="696"/>
        <v>3.8664649638120392E-2</v>
      </c>
      <c r="BI265">
        <f t="shared" si="697"/>
        <v>6.7322826214925068E-3</v>
      </c>
      <c r="BJ265" s="460">
        <f t="shared" si="698"/>
        <v>216.18107529014827</v>
      </c>
      <c r="BK265">
        <f t="shared" si="764"/>
        <v>16.791417157199902</v>
      </c>
      <c r="BL265" s="460">
        <f t="shared" si="699"/>
        <v>7126.2181830527661</v>
      </c>
      <c r="BM265" s="173">
        <f t="shared" si="765"/>
        <v>0.25519199999999997</v>
      </c>
      <c r="BN265" s="173">
        <f t="shared" si="766"/>
        <v>0.21265999999999999</v>
      </c>
      <c r="BQ265" s="460">
        <f t="shared" si="700"/>
        <v>467.85199999999992</v>
      </c>
      <c r="BR265" s="528">
        <f t="shared" si="701"/>
        <v>1.7398263210985441</v>
      </c>
      <c r="BS265" s="528">
        <f t="shared" si="702"/>
        <v>9.6069613673033984E-3</v>
      </c>
      <c r="BT265" s="528">
        <f t="shared" si="703"/>
        <v>1.0009135104404297E-3</v>
      </c>
      <c r="BU265" s="528">
        <f t="shared" si="704"/>
        <v>343.6804618689726</v>
      </c>
      <c r="BV265" s="528"/>
      <c r="BW265" s="625">
        <f t="shared" si="705"/>
        <v>5.2920000000000007</v>
      </c>
      <c r="BX265" s="460">
        <f t="shared" si="706"/>
        <v>350722.89606494887</v>
      </c>
      <c r="BY265" s="173">
        <f t="shared" si="707"/>
        <v>358.31696624800162</v>
      </c>
      <c r="BZ265" s="5">
        <f t="shared" si="708"/>
        <v>52.919999999999995</v>
      </c>
      <c r="CA265" s="173">
        <f t="shared" si="709"/>
        <v>0.12868492947709842</v>
      </c>
      <c r="CB265" s="5">
        <f t="shared" si="710"/>
        <v>12.868492947709843</v>
      </c>
      <c r="CC265">
        <f t="shared" si="711"/>
        <v>49</v>
      </c>
      <c r="CE265" s="562">
        <f t="shared" si="767"/>
        <v>-50</v>
      </c>
      <c r="CG265" s="173">
        <f t="shared" si="768"/>
        <v>0.49205451634836506</v>
      </c>
      <c r="CH265" s="173">
        <f t="shared" si="769"/>
        <v>0.12578435781451289</v>
      </c>
      <c r="CI265" s="170">
        <v>49</v>
      </c>
      <c r="CJ265" s="217">
        <f t="shared" si="712"/>
        <v>0.29399999999999998</v>
      </c>
      <c r="CK265" s="217">
        <f t="shared" si="654"/>
        <v>0.245</v>
      </c>
      <c r="CL265" s="217">
        <f t="shared" si="655"/>
        <v>49.98</v>
      </c>
      <c r="CM265" s="217">
        <f t="shared" si="656"/>
        <v>2.94</v>
      </c>
      <c r="CN265" s="541">
        <f t="shared" si="657"/>
        <v>16</v>
      </c>
      <c r="CO265" s="443">
        <f t="shared" si="770"/>
        <v>8.5350000000000001</v>
      </c>
      <c r="CP265" s="443">
        <f t="shared" si="771"/>
        <v>24.535</v>
      </c>
      <c r="CQ265" s="443"/>
      <c r="CR265" s="217">
        <f t="shared" si="660"/>
        <v>0.34760448521916415</v>
      </c>
      <c r="CS265" s="172">
        <f t="shared" si="661"/>
        <v>175.08966662891231</v>
      </c>
      <c r="CT265" s="172">
        <f t="shared" si="662"/>
        <v>10.2993921546419</v>
      </c>
      <c r="CU265" s="217">
        <f t="shared" si="663"/>
        <v>1.02993921546419</v>
      </c>
      <c r="CV265" s="217">
        <f t="shared" si="664"/>
        <v>14.590805552409359</v>
      </c>
      <c r="CW265" s="217">
        <f t="shared" si="665"/>
        <v>170</v>
      </c>
      <c r="CX265" s="217">
        <f t="shared" si="666"/>
        <v>19.030249266862167</v>
      </c>
      <c r="CY265" s="217">
        <f t="shared" si="667"/>
        <v>0.59469528958944262</v>
      </c>
      <c r="CZ265" s="217">
        <f t="shared" si="668"/>
        <v>1.1148359265882932</v>
      </c>
      <c r="DA265" s="197">
        <f t="shared" si="669"/>
        <v>350</v>
      </c>
      <c r="DB265" s="443">
        <f t="shared" si="670"/>
        <v>350</v>
      </c>
      <c r="DD265" s="217">
        <f t="shared" si="671"/>
        <v>31.805292730501623</v>
      </c>
      <c r="DE265" s="173">
        <f t="shared" si="672"/>
        <v>1.8632274593146818</v>
      </c>
      <c r="DF265" s="173">
        <f t="shared" si="673"/>
        <v>0.4897221442551708</v>
      </c>
      <c r="DG265" s="173"/>
      <c r="DH265" s="173">
        <f t="shared" si="674"/>
        <v>0.78109744190587771</v>
      </c>
      <c r="DI265" s="545">
        <f t="shared" si="675"/>
        <v>1195.6028823529412</v>
      </c>
      <c r="DJ265" s="528">
        <f t="shared" si="676"/>
        <v>8.6065366284073561E-2</v>
      </c>
      <c r="DL265" s="173">
        <f t="shared" si="677"/>
        <v>24.592681838303037</v>
      </c>
      <c r="DM265" s="173">
        <f t="shared" si="678"/>
        <v>24.592681838303037</v>
      </c>
      <c r="DN265" s="173">
        <f t="shared" si="679"/>
        <v>9.5402581518294074</v>
      </c>
      <c r="DP265" s="545">
        <f t="shared" si="680"/>
        <v>294</v>
      </c>
      <c r="DQ265" s="460">
        <f t="shared" si="681"/>
        <v>350</v>
      </c>
      <c r="DS265">
        <f t="shared" si="682"/>
        <v>294</v>
      </c>
      <c r="DT265">
        <f t="shared" si="683"/>
        <v>350</v>
      </c>
      <c r="DV265" s="5">
        <f t="shared" si="684"/>
        <v>2.8571428571428572</v>
      </c>
      <c r="DW265" s="5">
        <f t="shared" si="685"/>
        <v>0.76852130744696989</v>
      </c>
      <c r="DX265" s="5">
        <f t="shared" si="686"/>
        <v>2.0886215496958873</v>
      </c>
      <c r="DY265" s="173">
        <f t="shared" si="687"/>
        <v>0.26898245760643946</v>
      </c>
      <c r="EA265" s="5">
        <f t="shared" si="713"/>
        <v>0.13290897905259361</v>
      </c>
      <c r="EB265" s="5">
        <f t="shared" si="714"/>
        <v>1.5690643360375633</v>
      </c>
      <c r="EC265" s="5">
        <f t="shared" si="715"/>
        <v>10.438930505380045</v>
      </c>
      <c r="ED265" s="5"/>
      <c r="EE265" s="173">
        <f t="shared" si="716"/>
        <v>7.3638891527139512</v>
      </c>
      <c r="EF265" s="173">
        <f t="shared" si="717"/>
        <v>0.57326520685594895</v>
      </c>
      <c r="EG265" s="173">
        <f t="shared" si="718"/>
        <v>0.4532485910621144</v>
      </c>
      <c r="EH265" s="173"/>
      <c r="EI265" s="528">
        <f t="shared" si="719"/>
        <v>2.1690745381383278</v>
      </c>
      <c r="EJ265" s="528">
        <f t="shared" si="720"/>
        <v>5.8075464456891135</v>
      </c>
      <c r="EK265" s="528">
        <f t="shared" si="721"/>
        <v>6.9999999999999993E-2</v>
      </c>
      <c r="EL265" s="528">
        <f t="shared" si="722"/>
        <v>4.2137635749999999E-2</v>
      </c>
      <c r="EM265">
        <f t="shared" si="723"/>
        <v>7.1999999999999998E-3</v>
      </c>
      <c r="EN265" s="460">
        <f t="shared" si="724"/>
        <v>77.199999999999989</v>
      </c>
      <c r="EP265" s="460">
        <f t="shared" si="725"/>
        <v>8095.9586195774409</v>
      </c>
      <c r="EQ265" s="173">
        <f t="shared" si="726"/>
        <v>0.20579999999999998</v>
      </c>
      <c r="ER265" s="173">
        <f t="shared" si="772"/>
        <v>0.21265999999999999</v>
      </c>
      <c r="ES265" s="528"/>
      <c r="EU265" s="460">
        <f t="shared" si="727"/>
        <v>418.45999999999992</v>
      </c>
      <c r="EV265" s="528">
        <f t="shared" si="728"/>
        <v>1.6268059036037457</v>
      </c>
      <c r="EW265" s="528">
        <f t="shared" si="729"/>
        <v>9.858989921747819E-3</v>
      </c>
      <c r="EX265" s="528">
        <f t="shared" si="730"/>
        <v>1.0271714264989591E-3</v>
      </c>
      <c r="EY265" s="528">
        <f t="shared" si="731"/>
        <v>343.6804618689726</v>
      </c>
      <c r="EZ265" s="528"/>
      <c r="FA265" s="625">
        <f t="shared" si="732"/>
        <v>5.2920000000000007</v>
      </c>
      <c r="FB265" s="460">
        <f t="shared" si="733"/>
        <v>350610.15393392456</v>
      </c>
      <c r="FC265" s="173">
        <f t="shared" si="734"/>
        <v>359.12457255350199</v>
      </c>
      <c r="FD265" s="5">
        <f t="shared" si="735"/>
        <v>52.919999999999995</v>
      </c>
      <c r="FE265" s="173">
        <f t="shared" si="736"/>
        <v>0.12843270734534087</v>
      </c>
      <c r="FF265" s="5">
        <f t="shared" si="737"/>
        <v>12.843270734534087</v>
      </c>
      <c r="FG265">
        <f t="shared" si="738"/>
        <v>49</v>
      </c>
      <c r="FI265" s="562">
        <f t="shared" si="689"/>
        <v>-50</v>
      </c>
    </row>
    <row r="266" spans="5:165">
      <c r="E266" s="170">
        <v>50</v>
      </c>
      <c r="F266" s="217">
        <f t="shared" si="773"/>
        <v>0.3</v>
      </c>
      <c r="G266" s="217">
        <f t="shared" si="742"/>
        <v>0.25</v>
      </c>
      <c r="H266" s="217">
        <f t="shared" si="743"/>
        <v>51</v>
      </c>
      <c r="I266" s="217">
        <f t="shared" si="744"/>
        <v>3</v>
      </c>
      <c r="J266" s="541">
        <f t="shared" si="745"/>
        <v>14.950075777709703</v>
      </c>
      <c r="K266" s="443">
        <f t="shared" si="746"/>
        <v>8.541611442397997</v>
      </c>
      <c r="L266" s="172">
        <f t="shared" si="747"/>
        <v>23.4916872201077</v>
      </c>
      <c r="M266" s="443"/>
      <c r="N266" s="217">
        <f t="shared" si="748"/>
        <v>0.36360144600796523</v>
      </c>
      <c r="O266" s="172">
        <f t="shared" si="749"/>
        <v>171.12921463327106</v>
      </c>
      <c r="P266" s="172">
        <f t="shared" si="750"/>
        <v>10.066424390192413</v>
      </c>
      <c r="Q266" s="217">
        <f t="shared" si="626"/>
        <v>1.0066424390192414</v>
      </c>
      <c r="R266" s="217">
        <f t="shared" si="751"/>
        <v>14.260767886105922</v>
      </c>
      <c r="S266" s="217">
        <f t="shared" si="752"/>
        <v>170</v>
      </c>
      <c r="T266" s="217">
        <f t="shared" si="753"/>
        <v>19.868027836662378</v>
      </c>
      <c r="U266" s="217">
        <f t="shared" si="630"/>
        <v>0.66447916826900821</v>
      </c>
      <c r="V266" s="217">
        <f t="shared" si="631"/>
        <v>1.1630140267235436</v>
      </c>
      <c r="W266" s="197">
        <f t="shared" si="632"/>
        <v>350</v>
      </c>
      <c r="X266" s="443">
        <f t="shared" si="691"/>
        <v>350</v>
      </c>
      <c r="Z266" s="217">
        <f t="shared" si="633"/>
        <v>31.062109546879451</v>
      </c>
      <c r="AA266" s="173">
        <f t="shared" si="634"/>
        <v>1.818281582834385</v>
      </c>
      <c r="AB266" s="173">
        <f t="shared" si="754"/>
        <v>0.46674164887888397</v>
      </c>
      <c r="AC266" s="173"/>
      <c r="AD266" s="173">
        <f t="shared" si="636"/>
        <v>0.78049285098305143</v>
      </c>
      <c r="AE266" s="545">
        <f t="shared" si="755"/>
        <v>1220.9479885310079</v>
      </c>
      <c r="AF266" s="528">
        <f t="shared" si="756"/>
        <v>8.5998749321280654E-2</v>
      </c>
      <c r="AH266" s="173">
        <f t="shared" si="757"/>
        <v>24.842360136324753</v>
      </c>
      <c r="AI266" s="173">
        <f t="shared" si="758"/>
        <v>24.842360136324753</v>
      </c>
      <c r="AJ266" s="173">
        <f t="shared" si="759"/>
        <v>9.7252050392529021</v>
      </c>
      <c r="AL266" s="545">
        <f t="shared" si="760"/>
        <v>300</v>
      </c>
      <c r="AM266" s="460">
        <f t="shared" si="761"/>
        <v>350</v>
      </c>
      <c r="AO266">
        <f t="shared" si="644"/>
        <v>300</v>
      </c>
      <c r="AP266">
        <f t="shared" si="645"/>
        <v>350</v>
      </c>
      <c r="AR266" s="5">
        <f t="shared" si="774"/>
        <v>2.8571428571428572</v>
      </c>
      <c r="AS266" s="5">
        <f t="shared" si="739"/>
        <v>0.83084395375989561</v>
      </c>
      <c r="AT266" s="5">
        <f t="shared" si="740"/>
        <v>2.0262989033829615</v>
      </c>
      <c r="AU266" s="173">
        <f t="shared" si="741"/>
        <v>0.29079538381596348</v>
      </c>
      <c r="BA266" s="173">
        <f t="shared" si="692"/>
        <v>7.7343884483980041</v>
      </c>
      <c r="BB266" s="173">
        <f t="shared" si="693"/>
        <v>0.57038017685949116</v>
      </c>
      <c r="BC266" s="173">
        <f t="shared" si="694"/>
        <v>0.45096755993476217</v>
      </c>
      <c r="BD266" s="173"/>
      <c r="BE266" s="528">
        <f t="shared" si="695"/>
        <v>2.3928305868284996</v>
      </c>
      <c r="BF266" s="528">
        <f t="shared" si="762"/>
        <v>4.5957630137880292</v>
      </c>
      <c r="BG266" s="528">
        <f t="shared" si="763"/>
        <v>0.20930106088793585</v>
      </c>
      <c r="BH266" s="528">
        <f t="shared" si="696"/>
        <v>3.8630155791316005E-2</v>
      </c>
      <c r="BI266">
        <f t="shared" si="697"/>
        <v>6.7275340999693664E-3</v>
      </c>
      <c r="BJ266" s="460">
        <f t="shared" si="698"/>
        <v>216.02859498790522</v>
      </c>
      <c r="BK266">
        <f t="shared" si="764"/>
        <v>17.784329053026028</v>
      </c>
      <c r="BL266" s="460">
        <f t="shared" si="699"/>
        <v>7243.2523513957494</v>
      </c>
      <c r="BM266" s="173">
        <f t="shared" si="765"/>
        <v>0.26039999999999996</v>
      </c>
      <c r="BN266" s="173">
        <f t="shared" si="766"/>
        <v>0.217</v>
      </c>
      <c r="BQ266" s="460">
        <f t="shared" si="700"/>
        <v>477.39999999999992</v>
      </c>
      <c r="BR266" s="528">
        <f t="shared" si="701"/>
        <v>1.7946229401213745</v>
      </c>
      <c r="BS266" s="528">
        <f t="shared" si="702"/>
        <v>9.7600063846279318E-3</v>
      </c>
      <c r="BT266" s="528">
        <f t="shared" si="703"/>
        <v>1.0168587005675665E-3</v>
      </c>
      <c r="BU266" s="528">
        <f t="shared" si="704"/>
        <v>352.47007319792641</v>
      </c>
      <c r="BV266" s="528"/>
      <c r="BW266" s="625">
        <f t="shared" si="705"/>
        <v>5.4000000000000012</v>
      </c>
      <c r="BX266" s="460">
        <f t="shared" si="706"/>
        <v>359675.47300313291</v>
      </c>
      <c r="BY266" s="173">
        <f t="shared" si="707"/>
        <v>367.39612535452869</v>
      </c>
      <c r="BZ266" s="5">
        <f t="shared" si="708"/>
        <v>54</v>
      </c>
      <c r="CA266" s="173">
        <f t="shared" si="709"/>
        <v>0.12814545922691803</v>
      </c>
      <c r="CB266" s="5">
        <f t="shared" si="710"/>
        <v>12.814545922691803</v>
      </c>
      <c r="CC266">
        <f t="shared" si="711"/>
        <v>50</v>
      </c>
      <c r="CE266" s="562">
        <f t="shared" si="767"/>
        <v>-50</v>
      </c>
      <c r="CG266" s="173">
        <f t="shared" si="768"/>
        <v>0.49705012174770835</v>
      </c>
      <c r="CH266" s="173">
        <f t="shared" si="769"/>
        <v>0.12706138911119594</v>
      </c>
      <c r="CI266" s="170">
        <v>50</v>
      </c>
      <c r="CJ266" s="217">
        <f t="shared" si="712"/>
        <v>0.3</v>
      </c>
      <c r="CK266" s="217">
        <f t="shared" si="654"/>
        <v>0.25</v>
      </c>
      <c r="CL266" s="217">
        <f t="shared" si="655"/>
        <v>51</v>
      </c>
      <c r="CM266" s="217">
        <f t="shared" si="656"/>
        <v>3</v>
      </c>
      <c r="CN266" s="541">
        <f t="shared" si="657"/>
        <v>16</v>
      </c>
      <c r="CO266" s="443">
        <f t="shared" si="770"/>
        <v>8.5350000000000001</v>
      </c>
      <c r="CP266" s="443">
        <f t="shared" si="771"/>
        <v>24.535</v>
      </c>
      <c r="CQ266" s="443"/>
      <c r="CR266" s="217">
        <f t="shared" si="660"/>
        <v>0.34760448521916415</v>
      </c>
      <c r="CS266" s="172">
        <f t="shared" si="661"/>
        <v>175.08966662891231</v>
      </c>
      <c r="CT266" s="172">
        <f t="shared" si="662"/>
        <v>10.2993921546419</v>
      </c>
      <c r="CU266" s="217">
        <f t="shared" si="663"/>
        <v>1.02993921546419</v>
      </c>
      <c r="CV266" s="217">
        <f t="shared" si="664"/>
        <v>14.590805552409359</v>
      </c>
      <c r="CW266" s="217">
        <f t="shared" si="665"/>
        <v>170</v>
      </c>
      <c r="CX266" s="217">
        <f t="shared" si="666"/>
        <v>19.418621700879765</v>
      </c>
      <c r="CY266" s="217">
        <f t="shared" si="667"/>
        <v>0.60683192815249265</v>
      </c>
      <c r="CZ266" s="217">
        <f t="shared" si="668"/>
        <v>1.1375876801921363</v>
      </c>
      <c r="DA266" s="197">
        <f t="shared" si="669"/>
        <v>350</v>
      </c>
      <c r="DB266" s="443">
        <f t="shared" si="670"/>
        <v>350</v>
      </c>
      <c r="DD266" s="217">
        <f t="shared" si="671"/>
        <v>31.805292730501623</v>
      </c>
      <c r="DE266" s="173">
        <f t="shared" si="672"/>
        <v>1.8632274593146818</v>
      </c>
      <c r="DF266" s="173">
        <f t="shared" si="673"/>
        <v>0.4897221442551708</v>
      </c>
      <c r="DG266" s="173"/>
      <c r="DH266" s="173">
        <f t="shared" si="674"/>
        <v>0.78109744190587771</v>
      </c>
      <c r="DI266" s="545">
        <f t="shared" si="675"/>
        <v>1220.0029411764706</v>
      </c>
      <c r="DJ266" s="528">
        <f t="shared" si="676"/>
        <v>8.6065366284073561E-2</v>
      </c>
      <c r="DL266" s="173">
        <f t="shared" si="677"/>
        <v>24.842360136324753</v>
      </c>
      <c r="DM266" s="173">
        <f t="shared" si="678"/>
        <v>24.842360136324753</v>
      </c>
      <c r="DN266" s="173">
        <f t="shared" si="679"/>
        <v>9.7252050392529021</v>
      </c>
      <c r="DP266" s="545">
        <f t="shared" si="680"/>
        <v>300</v>
      </c>
      <c r="DQ266" s="460">
        <f t="shared" si="681"/>
        <v>350</v>
      </c>
      <c r="DS266">
        <f t="shared" si="682"/>
        <v>300</v>
      </c>
      <c r="DT266">
        <f t="shared" si="683"/>
        <v>350</v>
      </c>
      <c r="DV266" s="5">
        <f t="shared" si="684"/>
        <v>2.8571428571428572</v>
      </c>
      <c r="DW266" s="5">
        <f t="shared" si="685"/>
        <v>0.77632375426014855</v>
      </c>
      <c r="DX266" s="5">
        <f t="shared" si="686"/>
        <v>2.0808191028827085</v>
      </c>
      <c r="DY266" s="173">
        <f t="shared" si="687"/>
        <v>0.27171331399105197</v>
      </c>
      <c r="EA266" s="5">
        <f t="shared" si="713"/>
        <v>0.1369983095753203</v>
      </c>
      <c r="EB266" s="5">
        <f t="shared" si="714"/>
        <v>1.6173411547086429</v>
      </c>
      <c r="EC266" s="5">
        <f t="shared" si="715"/>
        <v>10.612177424701814</v>
      </c>
      <c r="ED266" s="5"/>
      <c r="EE266" s="173">
        <f t="shared" si="716"/>
        <v>7.4763166269715127</v>
      </c>
      <c r="EF266" s="173">
        <f t="shared" si="717"/>
        <v>0.57800265317206478</v>
      </c>
      <c r="EG266" s="173">
        <f t="shared" si="718"/>
        <v>0.45699422369833925</v>
      </c>
      <c r="EH266" s="173"/>
      <c r="EI266" s="528">
        <f t="shared" si="719"/>
        <v>2.2358124122692282</v>
      </c>
      <c r="EJ266" s="528">
        <f t="shared" si="720"/>
        <v>5.8665078197180058</v>
      </c>
      <c r="EK266" s="528">
        <f t="shared" si="721"/>
        <v>6.9999999999999993E-2</v>
      </c>
      <c r="EL266" s="528">
        <f t="shared" si="722"/>
        <v>4.2137635749999999E-2</v>
      </c>
      <c r="EM266">
        <f t="shared" si="723"/>
        <v>7.1999999999999998E-3</v>
      </c>
      <c r="EN266" s="460">
        <f t="shared" si="724"/>
        <v>77.199999999999989</v>
      </c>
      <c r="EP266" s="460">
        <f t="shared" si="725"/>
        <v>8221.6578677372345</v>
      </c>
      <c r="EQ266" s="173">
        <f t="shared" si="726"/>
        <v>0.21</v>
      </c>
      <c r="ER266" s="173">
        <f t="shared" si="772"/>
        <v>0.217</v>
      </c>
      <c r="ES266" s="528"/>
      <c r="EU266" s="460">
        <f t="shared" si="727"/>
        <v>427</v>
      </c>
      <c r="EV266" s="528">
        <f t="shared" si="728"/>
        <v>1.6768593092019208</v>
      </c>
      <c r="EW266" s="528">
        <f t="shared" si="729"/>
        <v>1.0022612012218386E-2</v>
      </c>
      <c r="EX266" s="528">
        <f t="shared" si="730"/>
        <v>1.0442186024682387E-3</v>
      </c>
      <c r="EY266" s="528">
        <f t="shared" si="731"/>
        <v>352.47007319792641</v>
      </c>
      <c r="EZ266" s="528"/>
      <c r="FA266" s="625">
        <f t="shared" si="732"/>
        <v>5.4000000000000012</v>
      </c>
      <c r="FB266" s="460">
        <f t="shared" si="733"/>
        <v>359557.99933774304</v>
      </c>
      <c r="FC266" s="173">
        <f t="shared" si="734"/>
        <v>368.20665720548021</v>
      </c>
      <c r="FD266" s="5">
        <f t="shared" si="735"/>
        <v>54</v>
      </c>
      <c r="FE266" s="173">
        <f t="shared" si="736"/>
        <v>0.1278994517931516</v>
      </c>
      <c r="FF266" s="5">
        <f t="shared" si="737"/>
        <v>12.78994517931516</v>
      </c>
      <c r="FG266">
        <f t="shared" si="738"/>
        <v>50</v>
      </c>
      <c r="FI266" s="562">
        <f t="shared" si="689"/>
        <v>-50</v>
      </c>
    </row>
    <row r="267" spans="5:165">
      <c r="E267" s="170">
        <v>51</v>
      </c>
      <c r="F267" s="217">
        <f t="shared" si="773"/>
        <v>0.30599999999999999</v>
      </c>
      <c r="G267" s="217">
        <f t="shared" si="742"/>
        <v>0.255</v>
      </c>
      <c r="H267" s="217">
        <f t="shared" si="743"/>
        <v>52.019999999999996</v>
      </c>
      <c r="I267" s="217">
        <f t="shared" si="744"/>
        <v>3.06</v>
      </c>
      <c r="J267" s="541">
        <f t="shared" si="745"/>
        <v>14.939628513207319</v>
      </c>
      <c r="K267" s="443">
        <f t="shared" si="746"/>
        <v>8.5416772295148267</v>
      </c>
      <c r="L267" s="172">
        <f t="shared" si="747"/>
        <v>23.481305742722146</v>
      </c>
      <c r="M267" s="443"/>
      <c r="N267" s="217">
        <f t="shared" si="748"/>
        <v>0.36376500195958034</v>
      </c>
      <c r="O267" s="172">
        <f t="shared" si="749"/>
        <v>171.08655170647867</v>
      </c>
      <c r="P267" s="172">
        <f t="shared" si="750"/>
        <v>10.063914806263449</v>
      </c>
      <c r="Q267" s="217">
        <f t="shared" si="626"/>
        <v>1.0063914806263452</v>
      </c>
      <c r="R267" s="217">
        <f t="shared" si="751"/>
        <v>14.257212642206555</v>
      </c>
      <c r="S267" s="217">
        <f t="shared" si="752"/>
        <v>170</v>
      </c>
      <c r="T267" s="217">
        <f t="shared" si="753"/>
        <v>20.27044186354172</v>
      </c>
      <c r="U267" s="217">
        <f t="shared" si="630"/>
        <v>0.67841184423098988</v>
      </c>
      <c r="V267" s="217">
        <f t="shared" si="631"/>
        <v>1.1865609832164716</v>
      </c>
      <c r="W267" s="197">
        <f t="shared" si="632"/>
        <v>350</v>
      </c>
      <c r="X267" s="443">
        <f t="shared" si="691"/>
        <v>350</v>
      </c>
      <c r="Z267" s="217">
        <f t="shared" si="633"/>
        <v>31.054365687898649</v>
      </c>
      <c r="AA267" s="173">
        <f t="shared" si="634"/>
        <v>1.8178142801154848</v>
      </c>
      <c r="AB267" s="173">
        <f t="shared" si="754"/>
        <v>0.46650536524162983</v>
      </c>
      <c r="AC267" s="173"/>
      <c r="AD267" s="173">
        <f t="shared" si="636"/>
        <v>0.78048683970763177</v>
      </c>
      <c r="AE267" s="545">
        <f t="shared" si="755"/>
        <v>1245.3765400632612</v>
      </c>
      <c r="AF267" s="528">
        <f t="shared" si="756"/>
        <v>8.5998086967785367E-2</v>
      </c>
      <c r="AH267" s="173">
        <f t="shared" si="757"/>
        <v>25.089553887738106</v>
      </c>
      <c r="AI267" s="173">
        <f t="shared" si="758"/>
        <v>25.089553887738106</v>
      </c>
      <c r="AJ267" s="173">
        <f t="shared" si="759"/>
        <v>9.9083115217813109</v>
      </c>
      <c r="AL267" s="545">
        <f t="shared" si="760"/>
        <v>306</v>
      </c>
      <c r="AM267" s="460">
        <f t="shared" si="761"/>
        <v>350</v>
      </c>
      <c r="AO267">
        <f t="shared" si="644"/>
        <v>306</v>
      </c>
      <c r="AP267">
        <f t="shared" si="645"/>
        <v>350</v>
      </c>
      <c r="AR267" s="5">
        <f t="shared" si="774"/>
        <v>2.8571428571428572</v>
      </c>
      <c r="AS267" s="5">
        <f t="shared" si="739"/>
        <v>0.83969805091062955</v>
      </c>
      <c r="AT267" s="5">
        <f t="shared" si="740"/>
        <v>2.0174448062322279</v>
      </c>
      <c r="AU267" s="173">
        <f t="shared" si="741"/>
        <v>0.29389431781872033</v>
      </c>
      <c r="BA267" s="173">
        <f t="shared" si="692"/>
        <v>7.8528609346451956</v>
      </c>
      <c r="BB267" s="173">
        <f t="shared" si="693"/>
        <v>0.57479579948067749</v>
      </c>
      <c r="BC267" s="173">
        <f t="shared" si="694"/>
        <v>0.45445874465656155</v>
      </c>
      <c r="BD267" s="173"/>
      <c r="BE267" s="528">
        <f t="shared" si="695"/>
        <v>2.4666969943550647</v>
      </c>
      <c r="BF267" s="528">
        <f t="shared" si="762"/>
        <v>4.6394419505685418</v>
      </c>
      <c r="BG267" s="528">
        <f t="shared" si="763"/>
        <v>0.20915479918490246</v>
      </c>
      <c r="BH267" s="528">
        <f t="shared" si="696"/>
        <v>3.8596020356823725E-2</v>
      </c>
      <c r="BI267">
        <f t="shared" si="697"/>
        <v>6.7228328309432931E-3</v>
      </c>
      <c r="BJ267" s="460">
        <f t="shared" si="698"/>
        <v>215.87763201584576</v>
      </c>
      <c r="BK267">
        <f t="shared" si="764"/>
        <v>18.870504280887459</v>
      </c>
      <c r="BL267" s="460">
        <f t="shared" si="699"/>
        <v>7360.6125972962764</v>
      </c>
      <c r="BM267" s="173">
        <f t="shared" si="765"/>
        <v>0.26560799999999996</v>
      </c>
      <c r="BN267" s="173">
        <f t="shared" si="766"/>
        <v>0.22133999999999998</v>
      </c>
      <c r="BQ267" s="460">
        <f t="shared" si="700"/>
        <v>486.94799999999992</v>
      </c>
      <c r="BR267" s="528">
        <f t="shared" si="701"/>
        <v>1.8500227457662983</v>
      </c>
      <c r="BS267" s="528">
        <f t="shared" si="702"/>
        <v>9.9117063330189364E-3</v>
      </c>
      <c r="BT267" s="528">
        <f t="shared" si="703"/>
        <v>1.0326637529740892E-3</v>
      </c>
      <c r="BU267" s="528">
        <f t="shared" si="704"/>
        <v>361.30374521386602</v>
      </c>
      <c r="BV267" s="528"/>
      <c r="BW267" s="625">
        <f t="shared" si="705"/>
        <v>5.5080000000000009</v>
      </c>
      <c r="BX267" s="460">
        <f t="shared" si="706"/>
        <v>368672.71232971828</v>
      </c>
      <c r="BY267" s="173">
        <f t="shared" si="707"/>
        <v>376.52027292701456</v>
      </c>
      <c r="BZ267" s="5">
        <f t="shared" si="708"/>
        <v>55.08</v>
      </c>
      <c r="CA267" s="173">
        <f t="shared" si="709"/>
        <v>0.12761808426686111</v>
      </c>
      <c r="CB267" s="5">
        <f t="shared" si="710"/>
        <v>12.761808426686111</v>
      </c>
      <c r="CC267">
        <f t="shared" si="711"/>
        <v>51</v>
      </c>
      <c r="CE267" s="562">
        <f t="shared" si="767"/>
        <v>-50</v>
      </c>
      <c r="CG267" s="173">
        <f t="shared" si="768"/>
        <v>0.50199601592044529</v>
      </c>
      <c r="CH267" s="173">
        <f t="shared" si="769"/>
        <v>0.12832571268036688</v>
      </c>
      <c r="CI267" s="170">
        <v>51</v>
      </c>
      <c r="CJ267" s="217">
        <f t="shared" si="712"/>
        <v>0.30599999999999999</v>
      </c>
      <c r="CK267" s="217">
        <f t="shared" si="654"/>
        <v>0.255</v>
      </c>
      <c r="CL267" s="217">
        <f t="shared" si="655"/>
        <v>52.019999999999996</v>
      </c>
      <c r="CM267" s="217">
        <f t="shared" si="656"/>
        <v>3.06</v>
      </c>
      <c r="CN267" s="541">
        <f t="shared" si="657"/>
        <v>16</v>
      </c>
      <c r="CO267" s="443">
        <f t="shared" si="770"/>
        <v>8.5350000000000001</v>
      </c>
      <c r="CP267" s="443">
        <f t="shared" si="771"/>
        <v>24.535</v>
      </c>
      <c r="CQ267" s="443"/>
      <c r="CR267" s="217">
        <f t="shared" si="660"/>
        <v>0.34760448521916415</v>
      </c>
      <c r="CS267" s="172">
        <f t="shared" si="661"/>
        <v>175.08966662891231</v>
      </c>
      <c r="CT267" s="172">
        <f t="shared" si="662"/>
        <v>10.2993921546419</v>
      </c>
      <c r="CU267" s="217">
        <f t="shared" si="663"/>
        <v>1.02993921546419</v>
      </c>
      <c r="CV267" s="217">
        <f t="shared" si="664"/>
        <v>14.590805552409359</v>
      </c>
      <c r="CW267" s="217">
        <f t="shared" si="665"/>
        <v>170</v>
      </c>
      <c r="CX267" s="217">
        <f t="shared" si="666"/>
        <v>19.806994134897359</v>
      </c>
      <c r="CY267" s="217">
        <f t="shared" si="667"/>
        <v>0.61896856671554246</v>
      </c>
      <c r="CZ267" s="217">
        <f t="shared" si="668"/>
        <v>1.1603394337959787</v>
      </c>
      <c r="DA267" s="197">
        <f t="shared" si="669"/>
        <v>350</v>
      </c>
      <c r="DB267" s="443">
        <f t="shared" si="670"/>
        <v>350</v>
      </c>
      <c r="DD267" s="217">
        <f t="shared" si="671"/>
        <v>31.805292730501623</v>
      </c>
      <c r="DE267" s="173">
        <f t="shared" si="672"/>
        <v>1.8632274593146818</v>
      </c>
      <c r="DF267" s="173">
        <f t="shared" si="673"/>
        <v>0.4897221442551708</v>
      </c>
      <c r="DG267" s="173"/>
      <c r="DH267" s="173">
        <f t="shared" si="674"/>
        <v>0.78109744190587771</v>
      </c>
      <c r="DI267" s="545">
        <f t="shared" si="675"/>
        <v>1244.4030000000002</v>
      </c>
      <c r="DJ267" s="528">
        <f t="shared" si="676"/>
        <v>8.6065366284073561E-2</v>
      </c>
      <c r="DL267" s="173">
        <f t="shared" si="677"/>
        <v>25.089553887738106</v>
      </c>
      <c r="DM267" s="173">
        <f t="shared" si="678"/>
        <v>25.089553887738106</v>
      </c>
      <c r="DN267" s="173">
        <f t="shared" si="679"/>
        <v>9.9083115217813109</v>
      </c>
      <c r="DP267" s="545">
        <f t="shared" si="680"/>
        <v>306</v>
      </c>
      <c r="DQ267" s="460">
        <f t="shared" si="681"/>
        <v>350</v>
      </c>
      <c r="DS267">
        <f t="shared" si="682"/>
        <v>306</v>
      </c>
      <c r="DT267">
        <f t="shared" si="683"/>
        <v>350</v>
      </c>
      <c r="DV267" s="5">
        <f t="shared" si="684"/>
        <v>2.8571428571428572</v>
      </c>
      <c r="DW267" s="5">
        <f t="shared" si="685"/>
        <v>0.7840485589918158</v>
      </c>
      <c r="DX267" s="5">
        <f t="shared" si="686"/>
        <v>2.0730942981510414</v>
      </c>
      <c r="DY267" s="173">
        <f t="shared" si="687"/>
        <v>0.27441699564713551</v>
      </c>
      <c r="EA267" s="5">
        <f t="shared" si="713"/>
        <v>0.14112874061852684</v>
      </c>
      <c r="EB267" s="5">
        <f t="shared" si="714"/>
        <v>1.6661031878576087</v>
      </c>
      <c r="EC267" s="5">
        <f t="shared" si="715"/>
        <v>10.784236538981716</v>
      </c>
      <c r="ED267" s="5"/>
      <c r="EE267" s="173">
        <f t="shared" si="716"/>
        <v>7.5881833249045156</v>
      </c>
      <c r="EF267" s="173">
        <f t="shared" si="717"/>
        <v>0.58266949713698657</v>
      </c>
      <c r="EG267" s="173">
        <f t="shared" si="718"/>
        <v>0.46068403502215666</v>
      </c>
      <c r="EH267" s="173"/>
      <c r="EI267" s="528">
        <f t="shared" si="719"/>
        <v>2.3032210468943579</v>
      </c>
      <c r="EJ267" s="528">
        <f t="shared" si="720"/>
        <v>5.9248824696181739</v>
      </c>
      <c r="EK267" s="528">
        <f t="shared" si="721"/>
        <v>6.9999999999999993E-2</v>
      </c>
      <c r="EL267" s="528">
        <f t="shared" si="722"/>
        <v>4.2137635749999999E-2</v>
      </c>
      <c r="EM267">
        <f t="shared" si="723"/>
        <v>7.1999999999999998E-3</v>
      </c>
      <c r="EN267" s="460">
        <f t="shared" si="724"/>
        <v>77.199999999999989</v>
      </c>
      <c r="EP267" s="460">
        <f t="shared" si="725"/>
        <v>8347.4411522625305</v>
      </c>
      <c r="EQ267" s="173">
        <f t="shared" si="726"/>
        <v>0.21419999999999997</v>
      </c>
      <c r="ER267" s="173">
        <f t="shared" si="772"/>
        <v>0.22133999999999998</v>
      </c>
      <c r="ES267" s="528"/>
      <c r="EU267" s="460">
        <f t="shared" si="727"/>
        <v>435.53999999999991</v>
      </c>
      <c r="EV267" s="528">
        <f t="shared" si="728"/>
        <v>1.7274157851707685</v>
      </c>
      <c r="EW267" s="528">
        <f t="shared" si="729"/>
        <v>1.0185112286816064E-2</v>
      </c>
      <c r="EX267" s="528">
        <f t="shared" si="730"/>
        <v>1.0611489006214783E-3</v>
      </c>
      <c r="EY267" s="528">
        <f t="shared" si="731"/>
        <v>361.30374521386602</v>
      </c>
      <c r="EZ267" s="528"/>
      <c r="FA267" s="625">
        <f t="shared" si="732"/>
        <v>5.5080000000000009</v>
      </c>
      <c r="FB267" s="460">
        <f t="shared" si="733"/>
        <v>368550.40726022422</v>
      </c>
      <c r="FC267" s="173">
        <f t="shared" si="734"/>
        <v>377.33338841248673</v>
      </c>
      <c r="FD267" s="5">
        <f t="shared" si="735"/>
        <v>55.08</v>
      </c>
      <c r="FE267" s="173">
        <f t="shared" si="736"/>
        <v>0.12737810964229032</v>
      </c>
      <c r="FF267" s="5">
        <f t="shared" si="737"/>
        <v>12.737810964229032</v>
      </c>
      <c r="FG267">
        <f t="shared" si="738"/>
        <v>51</v>
      </c>
      <c r="FI267" s="562">
        <f t="shared" si="689"/>
        <v>-50</v>
      </c>
    </row>
    <row r="268" spans="5:165">
      <c r="E268" s="170">
        <v>52</v>
      </c>
      <c r="F268" s="217">
        <f t="shared" si="773"/>
        <v>0.312</v>
      </c>
      <c r="G268" s="217">
        <f t="shared" si="742"/>
        <v>0.26</v>
      </c>
      <c r="H268" s="217">
        <f t="shared" si="743"/>
        <v>53.04</v>
      </c>
      <c r="I268" s="217">
        <f t="shared" si="744"/>
        <v>3.12</v>
      </c>
      <c r="J268" s="541">
        <f t="shared" si="745"/>
        <v>14.929283180549611</v>
      </c>
      <c r="K268" s="443">
        <f t="shared" si="746"/>
        <v>8.5417423747600747</v>
      </c>
      <c r="L268" s="172">
        <f t="shared" si="747"/>
        <v>23.471025555309687</v>
      </c>
      <c r="M268" s="443"/>
      <c r="N268" s="217">
        <f t="shared" si="748"/>
        <v>0.36392710470325979</v>
      </c>
      <c r="O268" s="172">
        <f t="shared" si="749"/>
        <v>171.04426602643036</v>
      </c>
      <c r="P268" s="172">
        <f t="shared" si="750"/>
        <v>10.061427413319432</v>
      </c>
      <c r="Q268" s="217">
        <f t="shared" si="626"/>
        <v>1.0061427413319433</v>
      </c>
      <c r="R268" s="217">
        <f t="shared" si="751"/>
        <v>14.253688835535863</v>
      </c>
      <c r="S268" s="217">
        <f t="shared" si="752"/>
        <v>170</v>
      </c>
      <c r="T268" s="217">
        <f t="shared" si="753"/>
        <v>20.673011040625031</v>
      </c>
      <c r="U268" s="217">
        <f t="shared" si="630"/>
        <v>0.6923644889916265</v>
      </c>
      <c r="V268" s="217">
        <f t="shared" si="631"/>
        <v>1.2101167498162637</v>
      </c>
      <c r="W268" s="197">
        <f t="shared" si="632"/>
        <v>350</v>
      </c>
      <c r="X268" s="443">
        <f t="shared" si="691"/>
        <v>350</v>
      </c>
      <c r="Z268" s="217">
        <f t="shared" si="633"/>
        <v>31.046690303957114</v>
      </c>
      <c r="AA268" s="173">
        <f t="shared" si="634"/>
        <v>1.8173511294192579</v>
      </c>
      <c r="AB268" s="173">
        <f t="shared" si="754"/>
        <v>0.46627123506573198</v>
      </c>
      <c r="AC268" s="173"/>
      <c r="AD268" s="173">
        <f t="shared" si="636"/>
        <v>0.78048088717425446</v>
      </c>
      <c r="AE268" s="545">
        <f t="shared" si="755"/>
        <v>1269.8053723231562</v>
      </c>
      <c r="AF268" s="528">
        <f t="shared" si="756"/>
        <v>8.5997431086792864E-2</v>
      </c>
      <c r="AH268" s="173">
        <f t="shared" si="757"/>
        <v>25.334335819763886</v>
      </c>
      <c r="AI268" s="173">
        <f t="shared" si="758"/>
        <v>25.334335819763886</v>
      </c>
      <c r="AJ268" s="173">
        <f t="shared" si="759"/>
        <v>10.089631471430039</v>
      </c>
      <c r="AL268" s="545">
        <f t="shared" si="760"/>
        <v>312</v>
      </c>
      <c r="AM268" s="460">
        <f t="shared" si="761"/>
        <v>350</v>
      </c>
      <c r="AO268">
        <f t="shared" si="644"/>
        <v>312</v>
      </c>
      <c r="AP268">
        <f t="shared" si="645"/>
        <v>350</v>
      </c>
      <c r="AR268" s="5">
        <f t="shared" si="774"/>
        <v>2.8571428571428572</v>
      </c>
      <c r="AS268" s="5">
        <f t="shared" si="739"/>
        <v>0.84847797156029359</v>
      </c>
      <c r="AT268" s="5">
        <f t="shared" si="740"/>
        <v>2.0086648855825637</v>
      </c>
      <c r="AU268" s="173">
        <f t="shared" si="741"/>
        <v>0.29696729004610273</v>
      </c>
      <c r="BA268" s="173">
        <f t="shared" si="692"/>
        <v>7.9708237033844123</v>
      </c>
      <c r="BB268" s="173">
        <f t="shared" si="693"/>
        <v>0.57913936051250292</v>
      </c>
      <c r="BC268" s="173">
        <f t="shared" si="694"/>
        <v>0.45789295432831983</v>
      </c>
      <c r="BD268" s="173"/>
      <c r="BE268" s="528">
        <f t="shared" si="695"/>
        <v>2.5413612204173921</v>
      </c>
      <c r="BF268" s="528">
        <f t="shared" si="762"/>
        <v>4.6826548921882463</v>
      </c>
      <c r="BG268" s="528">
        <f t="shared" si="763"/>
        <v>0.20900996452769455</v>
      </c>
      <c r="BH268" s="528">
        <f t="shared" si="696"/>
        <v>3.8562232843260033E-2</v>
      </c>
      <c r="BI268">
        <f t="shared" si="697"/>
        <v>6.7181774312473248E-3</v>
      </c>
      <c r="BJ268" s="460">
        <f t="shared" si="698"/>
        <v>215.72814195894188</v>
      </c>
      <c r="BK268">
        <f t="shared" si="764"/>
        <v>20.063846909259297</v>
      </c>
      <c r="BL268" s="460">
        <f t="shared" si="699"/>
        <v>7478.30648740784</v>
      </c>
      <c r="BM268" s="173">
        <f t="shared" si="765"/>
        <v>0.270816</v>
      </c>
      <c r="BN268" s="173">
        <f t="shared" si="766"/>
        <v>0.22567999999999999</v>
      </c>
      <c r="BQ268" s="460">
        <f t="shared" si="700"/>
        <v>496.49599999999998</v>
      </c>
      <c r="BR268" s="528">
        <f t="shared" si="701"/>
        <v>1.9060209153130439</v>
      </c>
      <c r="BS268" s="528">
        <f t="shared" si="702"/>
        <v>1.0062071966844924E-2</v>
      </c>
      <c r="BT268" s="528">
        <f t="shared" si="703"/>
        <v>1.048329788117584E-3</v>
      </c>
      <c r="BU268" s="528">
        <f t="shared" si="704"/>
        <v>370.18082829051002</v>
      </c>
      <c r="BV268" s="528"/>
      <c r="BW268" s="625">
        <f t="shared" si="705"/>
        <v>5.6160000000000014</v>
      </c>
      <c r="BX268" s="460">
        <f t="shared" si="706"/>
        <v>377713.95960757806</v>
      </c>
      <c r="BY268" s="173">
        <f t="shared" si="707"/>
        <v>385.68876209498586</v>
      </c>
      <c r="BZ268" s="5">
        <f t="shared" si="708"/>
        <v>56.16</v>
      </c>
      <c r="CA268" s="173">
        <f t="shared" si="709"/>
        <v>0.1271023137729807</v>
      </c>
      <c r="CB268" s="5">
        <f t="shared" si="710"/>
        <v>12.71023137729807</v>
      </c>
      <c r="CC268">
        <f t="shared" si="711"/>
        <v>52</v>
      </c>
      <c r="CE268" s="562">
        <f t="shared" si="767"/>
        <v>-50</v>
      </c>
      <c r="CG268" s="173">
        <f t="shared" si="768"/>
        <v>0.50689365400504682</v>
      </c>
      <c r="CH268" s="173">
        <f t="shared" si="769"/>
        <v>0.12957770050043879</v>
      </c>
      <c r="CI268" s="170">
        <v>52</v>
      </c>
      <c r="CJ268" s="217">
        <f t="shared" si="712"/>
        <v>0.312</v>
      </c>
      <c r="CK268" s="217">
        <f t="shared" si="654"/>
        <v>0.26</v>
      </c>
      <c r="CL268" s="217">
        <f t="shared" si="655"/>
        <v>53.04</v>
      </c>
      <c r="CM268" s="217">
        <f t="shared" si="656"/>
        <v>3.12</v>
      </c>
      <c r="CN268" s="541">
        <f t="shared" si="657"/>
        <v>16</v>
      </c>
      <c r="CO268" s="443">
        <f t="shared" si="770"/>
        <v>8.5350000000000001</v>
      </c>
      <c r="CP268" s="443">
        <f t="shared" si="771"/>
        <v>24.535</v>
      </c>
      <c r="CQ268" s="443"/>
      <c r="CR268" s="217">
        <f t="shared" si="660"/>
        <v>0.34760448521916415</v>
      </c>
      <c r="CS268" s="172">
        <f t="shared" si="661"/>
        <v>175.08966662891231</v>
      </c>
      <c r="CT268" s="172">
        <f t="shared" si="662"/>
        <v>10.2993921546419</v>
      </c>
      <c r="CU268" s="217">
        <f t="shared" si="663"/>
        <v>1.02993921546419</v>
      </c>
      <c r="CV268" s="217">
        <f t="shared" si="664"/>
        <v>14.590805552409359</v>
      </c>
      <c r="CW268" s="217">
        <f t="shared" si="665"/>
        <v>170</v>
      </c>
      <c r="CX268" s="217">
        <f t="shared" si="666"/>
        <v>20.195366568914952</v>
      </c>
      <c r="CY268" s="217">
        <f t="shared" si="667"/>
        <v>0.63110520527859226</v>
      </c>
      <c r="CZ268" s="217">
        <f t="shared" si="668"/>
        <v>1.1830911873998213</v>
      </c>
      <c r="DA268" s="197">
        <f t="shared" si="669"/>
        <v>350</v>
      </c>
      <c r="DB268" s="443">
        <f t="shared" si="670"/>
        <v>350</v>
      </c>
      <c r="DD268" s="217">
        <f t="shared" si="671"/>
        <v>31.805292730501623</v>
      </c>
      <c r="DE268" s="173">
        <f t="shared" si="672"/>
        <v>1.8632274593146818</v>
      </c>
      <c r="DF268" s="173">
        <f t="shared" si="673"/>
        <v>0.4897221442551708</v>
      </c>
      <c r="DG268" s="173"/>
      <c r="DH268" s="173">
        <f t="shared" si="674"/>
        <v>0.78109744190587771</v>
      </c>
      <c r="DI268" s="545">
        <f t="shared" si="675"/>
        <v>1268.8030588235295</v>
      </c>
      <c r="DJ268" s="528">
        <f t="shared" si="676"/>
        <v>8.6065366284073561E-2</v>
      </c>
      <c r="DL268" s="173">
        <f t="shared" si="677"/>
        <v>25.334335819763886</v>
      </c>
      <c r="DM268" s="173">
        <f t="shared" si="678"/>
        <v>25.334335819763886</v>
      </c>
      <c r="DN268" s="173">
        <f t="shared" si="679"/>
        <v>10.089631471430039</v>
      </c>
      <c r="DP268" s="545">
        <f t="shared" si="680"/>
        <v>312</v>
      </c>
      <c r="DQ268" s="460">
        <f t="shared" si="681"/>
        <v>350</v>
      </c>
      <c r="DS268">
        <f t="shared" si="682"/>
        <v>312</v>
      </c>
      <c r="DT268">
        <f t="shared" si="683"/>
        <v>350</v>
      </c>
      <c r="DV268" s="5">
        <f t="shared" si="684"/>
        <v>2.8571428571428572</v>
      </c>
      <c r="DW268" s="5">
        <f t="shared" si="685"/>
        <v>0.79169799436762145</v>
      </c>
      <c r="DX268" s="5">
        <f t="shared" si="686"/>
        <v>2.0654448627752355</v>
      </c>
      <c r="DY268" s="173">
        <f t="shared" si="687"/>
        <v>0.27709429802866747</v>
      </c>
      <c r="EA268" s="5">
        <f t="shared" si="713"/>
        <v>0.145299867201587</v>
      </c>
      <c r="EB268" s="5">
        <f t="shared" si="714"/>
        <v>1.7153456544631798</v>
      </c>
      <c r="EC268" s="5">
        <f t="shared" si="715"/>
        <v>10.955119552159848</v>
      </c>
      <c r="ED268" s="5"/>
      <c r="EE268" s="173">
        <f t="shared" si="716"/>
        <v>7.6995029591686954</v>
      </c>
      <c r="EF268" s="173">
        <f t="shared" si="717"/>
        <v>0.58726773562723167</v>
      </c>
      <c r="EG268" s="173">
        <f t="shared" si="718"/>
        <v>0.46431960385163712</v>
      </c>
      <c r="EH268" s="173"/>
      <c r="EI268" s="528">
        <f t="shared" si="719"/>
        <v>2.3712938327299002</v>
      </c>
      <c r="EJ268" s="528">
        <f t="shared" si="720"/>
        <v>5.9826875698773554</v>
      </c>
      <c r="EK268" s="528">
        <f t="shared" si="721"/>
        <v>6.9999999999999993E-2</v>
      </c>
      <c r="EL268" s="528">
        <f t="shared" si="722"/>
        <v>4.2137635749999999E-2</v>
      </c>
      <c r="EM268">
        <f t="shared" si="723"/>
        <v>7.1999999999999998E-3</v>
      </c>
      <c r="EN268" s="460">
        <f t="shared" si="724"/>
        <v>77.199999999999989</v>
      </c>
      <c r="EP268" s="460">
        <f t="shared" si="725"/>
        <v>8473.3190383572546</v>
      </c>
      <c r="EQ268" s="173">
        <f t="shared" si="726"/>
        <v>0.21839999999999998</v>
      </c>
      <c r="ER268" s="173">
        <f t="shared" si="772"/>
        <v>0.22567999999999999</v>
      </c>
      <c r="ES268" s="528"/>
      <c r="EU268" s="460">
        <f t="shared" si="727"/>
        <v>444.08</v>
      </c>
      <c r="EV268" s="528">
        <f t="shared" si="728"/>
        <v>1.7784703745474248</v>
      </c>
      <c r="EW268" s="528">
        <f t="shared" si="729"/>
        <v>1.0346501799262081E-2</v>
      </c>
      <c r="EX268" s="528">
        <f t="shared" si="730"/>
        <v>1.0779634726047062E-3</v>
      </c>
      <c r="EY268" s="528">
        <f t="shared" si="731"/>
        <v>370.18082829051002</v>
      </c>
      <c r="EZ268" s="528"/>
      <c r="FA268" s="625">
        <f t="shared" si="732"/>
        <v>5.6160000000000014</v>
      </c>
      <c r="FB268" s="460">
        <f t="shared" si="733"/>
        <v>377586.72313032928</v>
      </c>
      <c r="FC268" s="173">
        <f t="shared" si="734"/>
        <v>386.50412216868654</v>
      </c>
      <c r="FD268" s="5">
        <f t="shared" si="735"/>
        <v>56.16</v>
      </c>
      <c r="FE268" s="173">
        <f t="shared" si="736"/>
        <v>0.12686819913225098</v>
      </c>
      <c r="FF268" s="5">
        <f t="shared" si="737"/>
        <v>12.686819913225097</v>
      </c>
      <c r="FG268">
        <f t="shared" si="738"/>
        <v>52</v>
      </c>
      <c r="FI268" s="562">
        <f t="shared" si="689"/>
        <v>-50</v>
      </c>
    </row>
    <row r="269" spans="5:165">
      <c r="E269" s="170">
        <v>53</v>
      </c>
      <c r="F269" s="217">
        <f t="shared" si="773"/>
        <v>0.318</v>
      </c>
      <c r="G269" s="217">
        <f t="shared" si="742"/>
        <v>0.26500000000000001</v>
      </c>
      <c r="H269" s="217">
        <f t="shared" si="743"/>
        <v>54.06</v>
      </c>
      <c r="I269" s="217">
        <f t="shared" si="744"/>
        <v>3.18</v>
      </c>
      <c r="J269" s="541">
        <f t="shared" si="745"/>
        <v>14.919036853123568</v>
      </c>
      <c r="K269" s="443">
        <f t="shared" si="746"/>
        <v>8.5418068965628198</v>
      </c>
      <c r="L269" s="172">
        <f t="shared" si="747"/>
        <v>23.46084374968639</v>
      </c>
      <c r="M269" s="443"/>
      <c r="N269" s="217">
        <f t="shared" si="748"/>
        <v>0.36408779614659004</v>
      </c>
      <c r="O269" s="172">
        <f t="shared" si="749"/>
        <v>171.00234671151816</v>
      </c>
      <c r="P269" s="172">
        <f t="shared" si="750"/>
        <v>10.058961571265774</v>
      </c>
      <c r="Q269" s="217">
        <f t="shared" si="626"/>
        <v>1.0058961571265774</v>
      </c>
      <c r="R269" s="217">
        <f t="shared" si="751"/>
        <v>14.25019555929318</v>
      </c>
      <c r="S269" s="217">
        <f t="shared" si="752"/>
        <v>170</v>
      </c>
      <c r="T269" s="217">
        <f t="shared" si="753"/>
        <v>21.075734159835633</v>
      </c>
      <c r="U269" s="217">
        <f t="shared" si="630"/>
        <v>0.70633695617633152</v>
      </c>
      <c r="V269" s="217">
        <f t="shared" si="631"/>
        <v>1.2336812582544101</v>
      </c>
      <c r="W269" s="197">
        <f t="shared" si="632"/>
        <v>350</v>
      </c>
      <c r="X269" s="443">
        <f t="shared" si="691"/>
        <v>350</v>
      </c>
      <c r="Z269" s="217">
        <f t="shared" si="633"/>
        <v>31.03908141990582</v>
      </c>
      <c r="AA269" s="173">
        <f t="shared" si="634"/>
        <v>1.8168920110097424</v>
      </c>
      <c r="AB269" s="173">
        <f t="shared" si="754"/>
        <v>0.46603919640611319</v>
      </c>
      <c r="AC269" s="173"/>
      <c r="AD269" s="173">
        <f t="shared" si="636"/>
        <v>0.78047499169634704</v>
      </c>
      <c r="AE269" s="545">
        <f t="shared" si="755"/>
        <v>1294.2344825980299</v>
      </c>
      <c r="AF269" s="528">
        <f t="shared" si="756"/>
        <v>8.5996781492467866E-2</v>
      </c>
      <c r="AH269" s="173">
        <f t="shared" si="757"/>
        <v>25.576775179279906</v>
      </c>
      <c r="AI269" s="173">
        <f t="shared" si="758"/>
        <v>25.576775179279906</v>
      </c>
      <c r="AJ269" s="173">
        <f t="shared" si="759"/>
        <v>10.269216182182646</v>
      </c>
      <c r="AL269" s="545">
        <f t="shared" si="760"/>
        <v>318</v>
      </c>
      <c r="AM269" s="460">
        <f t="shared" si="761"/>
        <v>350</v>
      </c>
      <c r="AO269">
        <f t="shared" si="644"/>
        <v>318</v>
      </c>
      <c r="AP269">
        <f t="shared" si="645"/>
        <v>350</v>
      </c>
      <c r="AR269" s="5">
        <f t="shared" si="774"/>
        <v>2.8571428571428572</v>
      </c>
      <c r="AS269" s="5">
        <f t="shared" si="739"/>
        <v>0.85718587034406812</v>
      </c>
      <c r="AT269" s="5">
        <f t="shared" si="740"/>
        <v>1.999956986798789</v>
      </c>
      <c r="AU269" s="173">
        <f t="shared" si="741"/>
        <v>0.30001505462042383</v>
      </c>
      <c r="BA269" s="173">
        <f t="shared" si="692"/>
        <v>8.0882894127657963</v>
      </c>
      <c r="BB269" s="173">
        <f t="shared" si="693"/>
        <v>0.5834127676087113</v>
      </c>
      <c r="BC269" s="173">
        <f t="shared" si="694"/>
        <v>0.46127169722467359</v>
      </c>
      <c r="BD269" s="173"/>
      <c r="BE269" s="528">
        <f t="shared" si="695"/>
        <v>2.6168170249863709</v>
      </c>
      <c r="BF269" s="528">
        <f t="shared" si="762"/>
        <v>4.7254152180528006</v>
      </c>
      <c r="BG269" s="528">
        <f t="shared" si="763"/>
        <v>0.20886651594372996</v>
      </c>
      <c r="BH269" s="528">
        <f t="shared" si="696"/>
        <v>3.8528783261303927E-2</v>
      </c>
      <c r="BI269">
        <f t="shared" si="697"/>
        <v>6.713566583905606E-3</v>
      </c>
      <c r="BJ269" s="460">
        <f t="shared" si="698"/>
        <v>215.58008252763554</v>
      </c>
      <c r="BK269">
        <f t="shared" si="764"/>
        <v>21.381160695613747</v>
      </c>
      <c r="BL269" s="460">
        <f t="shared" si="699"/>
        <v>7596.3411088281118</v>
      </c>
      <c r="BM269" s="173">
        <f t="shared" si="765"/>
        <v>0.27602399999999999</v>
      </c>
      <c r="BN269" s="173">
        <f t="shared" si="766"/>
        <v>0.23002</v>
      </c>
      <c r="BQ269" s="460">
        <f t="shared" si="700"/>
        <v>506.04399999999993</v>
      </c>
      <c r="BR269" s="528">
        <f t="shared" si="701"/>
        <v>1.9626127687397781</v>
      </c>
      <c r="BS269" s="528">
        <f t="shared" si="702"/>
        <v>1.0211113722265686E-2</v>
      </c>
      <c r="BT269" s="528">
        <f t="shared" si="703"/>
        <v>1.0638578933026548E-3</v>
      </c>
      <c r="BU269" s="528">
        <f t="shared" si="704"/>
        <v>379.10069472095375</v>
      </c>
      <c r="BV269" s="528"/>
      <c r="BW269" s="625">
        <f t="shared" si="705"/>
        <v>5.724000000000002</v>
      </c>
      <c r="BX269" s="460">
        <f t="shared" si="706"/>
        <v>386798.5824613091</v>
      </c>
      <c r="BY269" s="173">
        <f t="shared" si="707"/>
        <v>394.9009675701372</v>
      </c>
      <c r="BZ269" s="5">
        <f t="shared" si="708"/>
        <v>57.24</v>
      </c>
      <c r="CA269" s="173">
        <f t="shared" si="709"/>
        <v>0.12659768546879308</v>
      </c>
      <c r="CB269" s="5">
        <f t="shared" si="710"/>
        <v>12.659768546879308</v>
      </c>
      <c r="CC269">
        <f t="shared" si="711"/>
        <v>53</v>
      </c>
      <c r="CE269" s="562">
        <f t="shared" si="767"/>
        <v>-50</v>
      </c>
      <c r="CG269" s="173">
        <f t="shared" si="768"/>
        <v>0.51174442150469646</v>
      </c>
      <c r="CH269" s="173">
        <f t="shared" si="769"/>
        <v>0.13081770674889062</v>
      </c>
      <c r="CI269" s="170">
        <v>53</v>
      </c>
      <c r="CJ269" s="217">
        <f t="shared" si="712"/>
        <v>0.318</v>
      </c>
      <c r="CK269" s="217">
        <f t="shared" si="654"/>
        <v>0.26500000000000001</v>
      </c>
      <c r="CL269" s="217">
        <f t="shared" si="655"/>
        <v>54.06</v>
      </c>
      <c r="CM269" s="217">
        <f t="shared" si="656"/>
        <v>3.18</v>
      </c>
      <c r="CN269" s="541">
        <f t="shared" si="657"/>
        <v>16</v>
      </c>
      <c r="CO269" s="443">
        <f t="shared" si="770"/>
        <v>8.5350000000000001</v>
      </c>
      <c r="CP269" s="443">
        <f t="shared" si="771"/>
        <v>24.535</v>
      </c>
      <c r="CQ269" s="443"/>
      <c r="CR269" s="217">
        <f t="shared" si="660"/>
        <v>0.34760448521916415</v>
      </c>
      <c r="CS269" s="172">
        <f t="shared" si="661"/>
        <v>175.08966662891231</v>
      </c>
      <c r="CT269" s="172">
        <f t="shared" si="662"/>
        <v>10.2993921546419</v>
      </c>
      <c r="CU269" s="217">
        <f t="shared" si="663"/>
        <v>1.02993921546419</v>
      </c>
      <c r="CV269" s="217">
        <f t="shared" si="664"/>
        <v>14.590805552409359</v>
      </c>
      <c r="CW269" s="217">
        <f t="shared" si="665"/>
        <v>170</v>
      </c>
      <c r="CX269" s="217">
        <f t="shared" si="666"/>
        <v>20.58373900293255</v>
      </c>
      <c r="CY269" s="217">
        <f t="shared" si="667"/>
        <v>0.64324184384164207</v>
      </c>
      <c r="CZ269" s="217">
        <f t="shared" si="668"/>
        <v>1.2058429410036642</v>
      </c>
      <c r="DA269" s="197">
        <f t="shared" si="669"/>
        <v>350</v>
      </c>
      <c r="DB269" s="443">
        <f t="shared" si="670"/>
        <v>350</v>
      </c>
      <c r="DD269" s="217">
        <f t="shared" si="671"/>
        <v>31.805292730501623</v>
      </c>
      <c r="DE269" s="173">
        <f t="shared" si="672"/>
        <v>1.8632274593146818</v>
      </c>
      <c r="DF269" s="173">
        <f t="shared" si="673"/>
        <v>0.4897221442551708</v>
      </c>
      <c r="DG269" s="173"/>
      <c r="DH269" s="173">
        <f t="shared" si="674"/>
        <v>0.78109744190587771</v>
      </c>
      <c r="DI269" s="545">
        <f t="shared" si="675"/>
        <v>1293.2031176470587</v>
      </c>
      <c r="DJ269" s="528">
        <f t="shared" si="676"/>
        <v>8.6065366284073561E-2</v>
      </c>
      <c r="DL269" s="173">
        <f t="shared" si="677"/>
        <v>25.576775179279906</v>
      </c>
      <c r="DM269" s="173">
        <f t="shared" si="678"/>
        <v>25.576775179279906</v>
      </c>
      <c r="DN269" s="173">
        <f t="shared" si="679"/>
        <v>10.269216182182646</v>
      </c>
      <c r="DP269" s="545">
        <f t="shared" si="680"/>
        <v>318</v>
      </c>
      <c r="DQ269" s="460">
        <f t="shared" si="681"/>
        <v>350</v>
      </c>
      <c r="DS269">
        <f t="shared" si="682"/>
        <v>318</v>
      </c>
      <c r="DT269">
        <f t="shared" si="683"/>
        <v>350</v>
      </c>
      <c r="DV269" s="5">
        <f t="shared" si="684"/>
        <v>2.8571428571428572</v>
      </c>
      <c r="DW269" s="5">
        <f t="shared" si="685"/>
        <v>0.79927422435249695</v>
      </c>
      <c r="DX269" s="5">
        <f t="shared" si="686"/>
        <v>2.0578686327903601</v>
      </c>
      <c r="DY269" s="173">
        <f t="shared" si="687"/>
        <v>0.27974597852337391</v>
      </c>
      <c r="EA269" s="5">
        <f t="shared" si="713"/>
        <v>0.14951129608476121</v>
      </c>
      <c r="EB269" s="5">
        <f t="shared" si="714"/>
        <v>1.7650639121117642</v>
      </c>
      <c r="EC269" s="5">
        <f t="shared" si="715"/>
        <v>11.124837828864688</v>
      </c>
      <c r="ED269" s="5"/>
      <c r="EE269" s="173">
        <f t="shared" si="716"/>
        <v>7.8102886504009934</v>
      </c>
      <c r="EF269" s="173">
        <f t="shared" si="717"/>
        <v>0.59179927010253097</v>
      </c>
      <c r="EG269" s="173">
        <f t="shared" si="718"/>
        <v>0.46790243356415956</v>
      </c>
      <c r="EH269" s="173"/>
      <c r="EI269" s="528">
        <f t="shared" si="719"/>
        <v>2.4400243521033027</v>
      </c>
      <c r="EJ269" s="528">
        <f t="shared" si="720"/>
        <v>6.0399394731024634</v>
      </c>
      <c r="EK269" s="528">
        <f t="shared" si="721"/>
        <v>6.9999999999999993E-2</v>
      </c>
      <c r="EL269" s="528">
        <f t="shared" si="722"/>
        <v>4.2137635749999999E-2</v>
      </c>
      <c r="EM269">
        <f t="shared" si="723"/>
        <v>7.1999999999999998E-3</v>
      </c>
      <c r="EN269" s="460">
        <f t="shared" si="724"/>
        <v>77.199999999999989</v>
      </c>
      <c r="EP269" s="460">
        <f t="shared" si="725"/>
        <v>8599.3014609557667</v>
      </c>
      <c r="EQ269" s="173">
        <f t="shared" si="726"/>
        <v>0.22259999999999999</v>
      </c>
      <c r="ER269" s="173">
        <f t="shared" si="772"/>
        <v>0.23002</v>
      </c>
      <c r="ES269" s="528"/>
      <c r="EU269" s="460">
        <f t="shared" si="727"/>
        <v>452.62</v>
      </c>
      <c r="EV269" s="528">
        <f t="shared" si="728"/>
        <v>1.8300182640774769</v>
      </c>
      <c r="EW269" s="528">
        <f t="shared" si="729"/>
        <v>1.0506791282816652E-2</v>
      </c>
      <c r="EX269" s="528">
        <f t="shared" si="730"/>
        <v>1.0946634366763139E-3</v>
      </c>
      <c r="EY269" s="528">
        <f t="shared" si="731"/>
        <v>379.10069472095375</v>
      </c>
      <c r="EZ269" s="528"/>
      <c r="FA269" s="625">
        <f t="shared" si="732"/>
        <v>5.724000000000002</v>
      </c>
      <c r="FB269" s="460">
        <f t="shared" si="733"/>
        <v>386666.31443975068</v>
      </c>
      <c r="FC269" s="173">
        <f t="shared" si="734"/>
        <v>395.71823590070647</v>
      </c>
      <c r="FD269" s="5">
        <f t="shared" si="735"/>
        <v>57.24</v>
      </c>
      <c r="FE269" s="173">
        <f t="shared" si="736"/>
        <v>0.12636926644280655</v>
      </c>
      <c r="FF269" s="5">
        <f t="shared" si="737"/>
        <v>12.636926644280654</v>
      </c>
      <c r="FG269">
        <f t="shared" si="738"/>
        <v>53</v>
      </c>
      <c r="FI269" s="562">
        <f t="shared" si="689"/>
        <v>-50</v>
      </c>
    </row>
    <row r="270" spans="5:165">
      <c r="E270" s="170">
        <v>54</v>
      </c>
      <c r="F270" s="217">
        <f t="shared" si="773"/>
        <v>0.32400000000000001</v>
      </c>
      <c r="G270" s="217">
        <f t="shared" si="742"/>
        <v>0.27</v>
      </c>
      <c r="H270" s="217">
        <f t="shared" si="743"/>
        <v>55.08</v>
      </c>
      <c r="I270" s="217">
        <f t="shared" si="744"/>
        <v>3.24</v>
      </c>
      <c r="J270" s="541">
        <f t="shared" si="745"/>
        <v>14.908886741737581</v>
      </c>
      <c r="K270" s="443">
        <f t="shared" si="746"/>
        <v>8.5418708124867866</v>
      </c>
      <c r="L270" s="172">
        <f t="shared" si="747"/>
        <v>23.450757554224367</v>
      </c>
      <c r="M270" s="443"/>
      <c r="N270" s="217">
        <f t="shared" si="748"/>
        <v>0.3642471162279392</v>
      </c>
      <c r="O270" s="172">
        <f t="shared" si="749"/>
        <v>170.96078339147556</v>
      </c>
      <c r="P270" s="172">
        <f t="shared" si="750"/>
        <v>10.056516670086797</v>
      </c>
      <c r="Q270" s="217">
        <f t="shared" si="626"/>
        <v>1.0056516670086797</v>
      </c>
      <c r="R270" s="217">
        <f t="shared" si="751"/>
        <v>14.24673194928963</v>
      </c>
      <c r="S270" s="217">
        <f t="shared" si="752"/>
        <v>170</v>
      </c>
      <c r="T270" s="217">
        <f t="shared" si="753"/>
        <v>21.478610048198302</v>
      </c>
      <c r="U270" s="217">
        <f t="shared" si="630"/>
        <v>0.72032910371733894</v>
      </c>
      <c r="V270" s="217">
        <f t="shared" si="631"/>
        <v>1.2572544422470171</v>
      </c>
      <c r="W270" s="197">
        <f t="shared" si="632"/>
        <v>350</v>
      </c>
      <c r="X270" s="443">
        <f t="shared" si="691"/>
        <v>350</v>
      </c>
      <c r="Z270" s="217">
        <f t="shared" si="633"/>
        <v>31.031537153410692</v>
      </c>
      <c r="AA270" s="173">
        <f t="shared" si="634"/>
        <v>1.8164368107773163</v>
      </c>
      <c r="AB270" s="173">
        <f t="shared" si="754"/>
        <v>0.46580919022740519</v>
      </c>
      <c r="AC270" s="173"/>
      <c r="AD270" s="173">
        <f t="shared" si="636"/>
        <v>0.7804691516665313</v>
      </c>
      <c r="AE270" s="545">
        <f t="shared" si="755"/>
        <v>1318.6638682523719</v>
      </c>
      <c r="AF270" s="528">
        <f t="shared" si="756"/>
        <v>8.5996138007701145E-2</v>
      </c>
      <c r="AH270" s="173">
        <f t="shared" si="757"/>
        <v>25.816937961622902</v>
      </c>
      <c r="AI270" s="173">
        <f t="shared" si="758"/>
        <v>25.816937961622902</v>
      </c>
      <c r="AJ270" s="173">
        <f t="shared" si="759"/>
        <v>10.447114539473754</v>
      </c>
      <c r="AL270" s="545">
        <f t="shared" si="760"/>
        <v>324</v>
      </c>
      <c r="AM270" s="460">
        <f t="shared" si="761"/>
        <v>350</v>
      </c>
      <c r="AO270">
        <f t="shared" si="644"/>
        <v>324</v>
      </c>
      <c r="AP270">
        <f t="shared" si="645"/>
        <v>350</v>
      </c>
      <c r="AR270" s="5">
        <f t="shared" si="774"/>
        <v>2.8571428571428572</v>
      </c>
      <c r="AS270" s="5">
        <f t="shared" si="739"/>
        <v>0.86582380055742592</v>
      </c>
      <c r="AT270" s="5">
        <f t="shared" si="740"/>
        <v>1.9913190565854313</v>
      </c>
      <c r="AU270" s="173">
        <f t="shared" si="741"/>
        <v>0.30303833019509907</v>
      </c>
      <c r="BA270" s="173">
        <f t="shared" si="692"/>
        <v>8.2052701802771519</v>
      </c>
      <c r="BB270" s="173">
        <f t="shared" si="693"/>
        <v>0.58761783874548423</v>
      </c>
      <c r="BC270" s="173">
        <f t="shared" si="694"/>
        <v>0.46459641071724944</v>
      </c>
      <c r="BD270" s="173"/>
      <c r="BE270" s="528">
        <f t="shared" si="695"/>
        <v>2.6930583492538176</v>
      </c>
      <c r="BF270" s="528">
        <f t="shared" si="762"/>
        <v>4.7677356793274521</v>
      </c>
      <c r="BG270" s="528">
        <f t="shared" si="763"/>
        <v>0.20872441438432615</v>
      </c>
      <c r="BH270" s="528">
        <f t="shared" si="696"/>
        <v>3.8495662090690788E-2</v>
      </c>
      <c r="BI270">
        <f t="shared" si="697"/>
        <v>6.7089990337819106E-3</v>
      </c>
      <c r="BJ270" s="460">
        <f t="shared" si="698"/>
        <v>215.43341341810807</v>
      </c>
      <c r="BK270">
        <f t="shared" si="764"/>
        <v>22.84294729048921</v>
      </c>
      <c r="BL270" s="460">
        <f t="shared" si="699"/>
        <v>7714.7231040900688</v>
      </c>
      <c r="BM270" s="173">
        <f t="shared" si="765"/>
        <v>0.28123199999999998</v>
      </c>
      <c r="BN270" s="173">
        <f t="shared" si="766"/>
        <v>0.23436000000000001</v>
      </c>
      <c r="BQ270" s="460">
        <f t="shared" si="700"/>
        <v>515.5920000000001</v>
      </c>
      <c r="BR270" s="528">
        <f t="shared" si="701"/>
        <v>2.0197937619403632</v>
      </c>
      <c r="BS270" s="528">
        <f t="shared" si="702"/>
        <v>1.0358841732357417E-2</v>
      </c>
      <c r="BT270" s="528">
        <f t="shared" si="703"/>
        <v>1.0792491242567557E-3</v>
      </c>
      <c r="BU270" s="528">
        <f t="shared" si="704"/>
        <v>388.0627375773621</v>
      </c>
      <c r="BV270" s="528"/>
      <c r="BW270" s="625">
        <f t="shared" si="705"/>
        <v>5.8320000000000007</v>
      </c>
      <c r="BX270" s="460">
        <f t="shared" si="706"/>
        <v>395925.96943015908</v>
      </c>
      <c r="BY270" s="173">
        <f t="shared" si="707"/>
        <v>404.15628453424915</v>
      </c>
      <c r="BZ270" s="5">
        <f t="shared" si="708"/>
        <v>58.32</v>
      </c>
      <c r="CA270" s="173">
        <f t="shared" si="709"/>
        <v>0.1261037634799651</v>
      </c>
      <c r="CB270" s="5">
        <f t="shared" si="710"/>
        <v>12.61037634799651</v>
      </c>
      <c r="CC270">
        <f t="shared" si="711"/>
        <v>54</v>
      </c>
      <c r="CE270" s="562">
        <f t="shared" si="767"/>
        <v>-50</v>
      </c>
      <c r="CG270" s="173">
        <f t="shared" si="768"/>
        <v>0.51654963886519623</v>
      </c>
      <c r="CH270" s="173">
        <f t="shared" si="769"/>
        <v>0.13204606897252216</v>
      </c>
      <c r="CI270" s="170">
        <v>54</v>
      </c>
      <c r="CJ270" s="217">
        <f t="shared" si="712"/>
        <v>0.32400000000000001</v>
      </c>
      <c r="CK270" s="217">
        <f t="shared" si="654"/>
        <v>0.27</v>
      </c>
      <c r="CL270" s="217">
        <f t="shared" si="655"/>
        <v>55.08</v>
      </c>
      <c r="CM270" s="217">
        <f t="shared" si="656"/>
        <v>3.24</v>
      </c>
      <c r="CN270" s="541">
        <f t="shared" si="657"/>
        <v>16</v>
      </c>
      <c r="CO270" s="443">
        <f t="shared" si="770"/>
        <v>8.5350000000000001</v>
      </c>
      <c r="CP270" s="443">
        <f t="shared" si="771"/>
        <v>24.535</v>
      </c>
      <c r="CQ270" s="443"/>
      <c r="CR270" s="217">
        <f t="shared" si="660"/>
        <v>0.34760448521916415</v>
      </c>
      <c r="CS270" s="172">
        <f t="shared" si="661"/>
        <v>175.08966662891231</v>
      </c>
      <c r="CT270" s="172">
        <f t="shared" si="662"/>
        <v>10.2993921546419</v>
      </c>
      <c r="CU270" s="217">
        <f t="shared" si="663"/>
        <v>1.02993921546419</v>
      </c>
      <c r="CV270" s="217">
        <f t="shared" si="664"/>
        <v>14.590805552409359</v>
      </c>
      <c r="CW270" s="217">
        <f t="shared" si="665"/>
        <v>170</v>
      </c>
      <c r="CX270" s="217">
        <f t="shared" si="666"/>
        <v>20.972111436950144</v>
      </c>
      <c r="CY270" s="217">
        <f t="shared" si="667"/>
        <v>0.65537848240469199</v>
      </c>
      <c r="CZ270" s="217">
        <f t="shared" si="668"/>
        <v>1.2285946946075068</v>
      </c>
      <c r="DA270" s="197">
        <f t="shared" si="669"/>
        <v>350</v>
      </c>
      <c r="DB270" s="443">
        <f t="shared" si="670"/>
        <v>350</v>
      </c>
      <c r="DD270" s="217">
        <f t="shared" si="671"/>
        <v>31.805292730501623</v>
      </c>
      <c r="DE270" s="173">
        <f t="shared" si="672"/>
        <v>1.8632274593146818</v>
      </c>
      <c r="DF270" s="173">
        <f t="shared" si="673"/>
        <v>0.4897221442551708</v>
      </c>
      <c r="DG270" s="173"/>
      <c r="DH270" s="173">
        <f t="shared" si="674"/>
        <v>0.78109744190587771</v>
      </c>
      <c r="DI270" s="545">
        <f t="shared" si="675"/>
        <v>1317.6031764705883</v>
      </c>
      <c r="DJ270" s="528">
        <f t="shared" si="676"/>
        <v>8.6065366284073561E-2</v>
      </c>
      <c r="DL270" s="173">
        <f t="shared" si="677"/>
        <v>25.816937961622902</v>
      </c>
      <c r="DM270" s="173">
        <f t="shared" si="678"/>
        <v>25.816937961622902</v>
      </c>
      <c r="DN270" s="173">
        <f t="shared" si="679"/>
        <v>10.447114539473754</v>
      </c>
      <c r="DP270" s="545">
        <f t="shared" si="680"/>
        <v>324</v>
      </c>
      <c r="DQ270" s="460">
        <f t="shared" si="681"/>
        <v>350</v>
      </c>
      <c r="DS270">
        <f t="shared" si="682"/>
        <v>324</v>
      </c>
      <c r="DT270">
        <f t="shared" si="683"/>
        <v>350</v>
      </c>
      <c r="DV270" s="5">
        <f t="shared" si="684"/>
        <v>2.8571428571428572</v>
      </c>
      <c r="DW270" s="5">
        <f t="shared" si="685"/>
        <v>0.80677931130071556</v>
      </c>
      <c r="DX270" s="5">
        <f t="shared" si="686"/>
        <v>2.0503635458421416</v>
      </c>
      <c r="DY270" s="173">
        <f t="shared" si="687"/>
        <v>0.28237275895525044</v>
      </c>
      <c r="EA270" s="5">
        <f t="shared" si="713"/>
        <v>0.15376264521260696</v>
      </c>
      <c r="EB270" s="5">
        <f t="shared" si="714"/>
        <v>1.81525345042661</v>
      </c>
      <c r="EC270" s="5">
        <f t="shared" si="715"/>
        <v>11.293402410498516</v>
      </c>
      <c r="ED270" s="5"/>
      <c r="EE270" s="173">
        <f t="shared" si="716"/>
        <v>7.9205529634453953</v>
      </c>
      <c r="EF270" s="173">
        <f t="shared" si="717"/>
        <v>0.59626591286860209</v>
      </c>
      <c r="EG270" s="173">
        <f t="shared" si="718"/>
        <v>0.4714339570480332</v>
      </c>
      <c r="EH270" s="173"/>
      <c r="EI270" s="528">
        <f t="shared" si="719"/>
        <v>2.5094063698697453</v>
      </c>
      <c r="EJ270" s="528">
        <f t="shared" si="720"/>
        <v>6.0966537640510232</v>
      </c>
      <c r="EK270" s="528">
        <f t="shared" si="721"/>
        <v>6.9999999999999993E-2</v>
      </c>
      <c r="EL270" s="528">
        <f t="shared" si="722"/>
        <v>4.2137635749999999E-2</v>
      </c>
      <c r="EM270">
        <f t="shared" si="723"/>
        <v>7.1999999999999998E-3</v>
      </c>
      <c r="EN270" s="460">
        <f t="shared" si="724"/>
        <v>77.199999999999989</v>
      </c>
      <c r="EP270" s="460">
        <f t="shared" si="725"/>
        <v>8725.3977696707698</v>
      </c>
      <c r="EQ270" s="173">
        <f t="shared" si="726"/>
        <v>0.2268</v>
      </c>
      <c r="ER270" s="173">
        <f t="shared" si="772"/>
        <v>0.23436000000000001</v>
      </c>
      <c r="ES270" s="528"/>
      <c r="EU270" s="460">
        <f t="shared" si="727"/>
        <v>461.16</v>
      </c>
      <c r="EV270" s="528">
        <f t="shared" si="728"/>
        <v>1.8820547774023089</v>
      </c>
      <c r="EW270" s="528">
        <f t="shared" si="729"/>
        <v>1.0665991165470821E-2</v>
      </c>
      <c r="EX270" s="528">
        <f t="shared" si="730"/>
        <v>1.1112498792898342E-3</v>
      </c>
      <c r="EY270" s="528">
        <f t="shared" si="731"/>
        <v>388.0627375773621</v>
      </c>
      <c r="EZ270" s="528"/>
      <c r="FA270" s="625">
        <f t="shared" si="732"/>
        <v>5.8320000000000007</v>
      </c>
      <c r="FB270" s="460">
        <f t="shared" si="733"/>
        <v>395788.56959580915</v>
      </c>
      <c r="FC270" s="173">
        <f t="shared" si="734"/>
        <v>404.97512736547992</v>
      </c>
      <c r="FD270" s="5">
        <f t="shared" si="735"/>
        <v>58.32</v>
      </c>
      <c r="FE270" s="173">
        <f t="shared" si="736"/>
        <v>0.12588088359926364</v>
      </c>
      <c r="FF270" s="5">
        <f t="shared" si="737"/>
        <v>12.588088359926363</v>
      </c>
      <c r="FG270">
        <f t="shared" si="738"/>
        <v>54</v>
      </c>
      <c r="FI270" s="562">
        <f t="shared" si="689"/>
        <v>-50</v>
      </c>
    </row>
    <row r="271" spans="5:165">
      <c r="E271" s="170">
        <v>55</v>
      </c>
      <c r="F271" s="217">
        <f t="shared" si="773"/>
        <v>0.33</v>
      </c>
      <c r="G271" s="217">
        <f t="shared" si="742"/>
        <v>0.27500000000000002</v>
      </c>
      <c r="H271" s="217">
        <f t="shared" si="743"/>
        <v>56.1</v>
      </c>
      <c r="I271" s="217">
        <f t="shared" si="744"/>
        <v>3.3000000000000003</v>
      </c>
      <c r="J271" s="541">
        <f t="shared" si="745"/>
        <v>14.898830185753772</v>
      </c>
      <c r="K271" s="443">
        <f t="shared" si="746"/>
        <v>8.5419341392861856</v>
      </c>
      <c r="L271" s="172">
        <f t="shared" si="747"/>
        <v>23.440764325039957</v>
      </c>
      <c r="M271" s="443"/>
      <c r="N271" s="217">
        <f t="shared" si="748"/>
        <v>0.36440510304356832</v>
      </c>
      <c r="O271" s="172">
        <f t="shared" si="749"/>
        <v>170.9195661743702</v>
      </c>
      <c r="P271" s="172">
        <f t="shared" si="750"/>
        <v>10.054092127904129</v>
      </c>
      <c r="Q271" s="217">
        <f t="shared" si="626"/>
        <v>1.0054092127904131</v>
      </c>
      <c r="R271" s="217">
        <f t="shared" si="751"/>
        <v>14.243297181197518</v>
      </c>
      <c r="S271" s="217">
        <f t="shared" si="752"/>
        <v>170</v>
      </c>
      <c r="T271" s="217">
        <f t="shared" si="753"/>
        <v>21.881637566201725</v>
      </c>
      <c r="U271" s="217">
        <f t="shared" si="630"/>
        <v>0.73434079365254112</v>
      </c>
      <c r="V271" s="217">
        <f t="shared" si="631"/>
        <v>1.2808362374022169</v>
      </c>
      <c r="W271" s="197">
        <f t="shared" si="632"/>
        <v>350</v>
      </c>
      <c r="X271" s="443">
        <f t="shared" si="691"/>
        <v>350</v>
      </c>
      <c r="Z271" s="217">
        <f t="shared" si="633"/>
        <v>31.02405570896131</v>
      </c>
      <c r="AA271" s="173">
        <f t="shared" si="634"/>
        <v>1.8159854198755192</v>
      </c>
      <c r="AB271" s="173">
        <f t="shared" si="754"/>
        <v>0.46558116021615781</v>
      </c>
      <c r="AC271" s="173"/>
      <c r="AD271" s="173">
        <f t="shared" si="636"/>
        <v>0.78046336555151352</v>
      </c>
      <c r="AE271" s="545">
        <f t="shared" si="755"/>
        <v>1343.0935267242337</v>
      </c>
      <c r="AF271" s="528">
        <f t="shared" si="756"/>
        <v>8.5995500463546384E-2</v>
      </c>
      <c r="AH271" s="173">
        <f t="shared" si="757"/>
        <v>26.054887120406853</v>
      </c>
      <c r="AI271" s="173">
        <f t="shared" si="758"/>
        <v>26.054887120406853</v>
      </c>
      <c r="AJ271" s="173">
        <f t="shared" si="759"/>
        <v>10.623373175610014</v>
      </c>
      <c r="AL271" s="545">
        <f t="shared" si="760"/>
        <v>330</v>
      </c>
      <c r="AM271" s="460">
        <f t="shared" si="761"/>
        <v>350</v>
      </c>
      <c r="AO271">
        <f t="shared" si="644"/>
        <v>330</v>
      </c>
      <c r="AP271">
        <f t="shared" si="645"/>
        <v>350</v>
      </c>
      <c r="AR271" s="5">
        <f t="shared" si="774"/>
        <v>2.8571428571428572</v>
      </c>
      <c r="AS271" s="5">
        <f t="shared" si="739"/>
        <v>0.8743937207003164</v>
      </c>
      <c r="AT271" s="5">
        <f t="shared" si="740"/>
        <v>1.9827491364425409</v>
      </c>
      <c r="AU271" s="173">
        <f t="shared" si="741"/>
        <v>0.30603780224511073</v>
      </c>
      <c r="BA271" s="173">
        <f t="shared" si="692"/>
        <v>8.3217776153574956</v>
      </c>
      <c r="BB271" s="173">
        <f t="shared" si="693"/>
        <v>0.59175630798641532</v>
      </c>
      <c r="BC271" s="173">
        <f t="shared" si="694"/>
        <v>0.46786846583270542</v>
      </c>
      <c r="BD271" s="173"/>
      <c r="BE271" s="528">
        <f t="shared" si="695"/>
        <v>2.7700793071786034</v>
      </c>
      <c r="BF271" s="528">
        <f t="shared" si="762"/>
        <v>4.8096284394766862</v>
      </c>
      <c r="BG271" s="528">
        <f t="shared" si="763"/>
        <v>0.2085836226005528</v>
      </c>
      <c r="BH271" s="528">
        <f t="shared" si="696"/>
        <v>3.8462860249944622E-2</v>
      </c>
      <c r="BI271">
        <f t="shared" si="697"/>
        <v>6.7044735835891968E-3</v>
      </c>
      <c r="BJ271" s="460">
        <f t="shared" si="698"/>
        <v>215.28809618414198</v>
      </c>
      <c r="BK271">
        <f t="shared" si="764"/>
        <v>24.474483401899217</v>
      </c>
      <c r="BL271" s="460">
        <f t="shared" si="699"/>
        <v>7833.4587030893763</v>
      </c>
      <c r="BM271" s="173">
        <f t="shared" si="765"/>
        <v>0.28643999999999997</v>
      </c>
      <c r="BN271" s="173">
        <f t="shared" si="766"/>
        <v>0.2387</v>
      </c>
      <c r="BQ271" s="460">
        <f t="shared" si="700"/>
        <v>525.14</v>
      </c>
      <c r="BR271" s="528">
        <f t="shared" si="701"/>
        <v>2.0775594803839526</v>
      </c>
      <c r="BS271" s="528">
        <f t="shared" si="702"/>
        <v>1.0505265841251396E-2</v>
      </c>
      <c r="BT271" s="528">
        <f t="shared" si="703"/>
        <v>1.0945045066032472E-3</v>
      </c>
      <c r="BU271" s="528">
        <f t="shared" si="704"/>
        <v>397.06636965005214</v>
      </c>
      <c r="BV271" s="528"/>
      <c r="BW271" s="625">
        <f t="shared" si="705"/>
        <v>5.9400000000000013</v>
      </c>
      <c r="BX271" s="460">
        <f t="shared" si="706"/>
        <v>405095.52890078397</v>
      </c>
      <c r="BY271" s="173">
        <f t="shared" si="707"/>
        <v>413.4541276038733</v>
      </c>
      <c r="BZ271" s="5">
        <f t="shared" si="708"/>
        <v>59.4</v>
      </c>
      <c r="CA271" s="173">
        <f t="shared" si="709"/>
        <v>0.12562013638540445</v>
      </c>
      <c r="CB271" s="5">
        <f t="shared" si="710"/>
        <v>12.562013638540446</v>
      </c>
      <c r="CC271">
        <f t="shared" si="711"/>
        <v>55.000000000000007</v>
      </c>
      <c r="CE271" s="562">
        <f t="shared" si="767"/>
        <v>-50</v>
      </c>
      <c r="CG271" s="173">
        <f t="shared" si="768"/>
        <v>0.52131056567304757</v>
      </c>
      <c r="CH271" s="173">
        <f t="shared" si="769"/>
        <v>0.13326310916061285</v>
      </c>
      <c r="CI271" s="170">
        <v>55</v>
      </c>
      <c r="CJ271" s="217">
        <f t="shared" si="712"/>
        <v>0.33</v>
      </c>
      <c r="CK271" s="217">
        <f t="shared" si="654"/>
        <v>0.27500000000000002</v>
      </c>
      <c r="CL271" s="217">
        <f t="shared" si="655"/>
        <v>56.1</v>
      </c>
      <c r="CM271" s="217">
        <f t="shared" si="656"/>
        <v>3.3000000000000003</v>
      </c>
      <c r="CN271" s="541">
        <f t="shared" si="657"/>
        <v>16</v>
      </c>
      <c r="CO271" s="443">
        <f t="shared" si="770"/>
        <v>8.5350000000000001</v>
      </c>
      <c r="CP271" s="443">
        <f t="shared" si="771"/>
        <v>24.535</v>
      </c>
      <c r="CQ271" s="443"/>
      <c r="CR271" s="217">
        <f t="shared" si="660"/>
        <v>0.34760448521916415</v>
      </c>
      <c r="CS271" s="172">
        <f t="shared" si="661"/>
        <v>175.08966662891231</v>
      </c>
      <c r="CT271" s="172">
        <f t="shared" si="662"/>
        <v>10.2993921546419</v>
      </c>
      <c r="CU271" s="217">
        <f t="shared" si="663"/>
        <v>1.02993921546419</v>
      </c>
      <c r="CV271" s="217">
        <f t="shared" si="664"/>
        <v>14.590805552409359</v>
      </c>
      <c r="CW271" s="217">
        <f t="shared" si="665"/>
        <v>170</v>
      </c>
      <c r="CX271" s="217">
        <f t="shared" si="666"/>
        <v>21.360483870967741</v>
      </c>
      <c r="CY271" s="217">
        <f t="shared" si="667"/>
        <v>0.6675151209677419</v>
      </c>
      <c r="CZ271" s="217">
        <f t="shared" si="668"/>
        <v>1.2513464482113497</v>
      </c>
      <c r="DA271" s="197">
        <f t="shared" si="669"/>
        <v>350</v>
      </c>
      <c r="DB271" s="443">
        <f t="shared" si="670"/>
        <v>350</v>
      </c>
      <c r="DD271" s="217">
        <f t="shared" si="671"/>
        <v>31.805292730501623</v>
      </c>
      <c r="DE271" s="173">
        <f t="shared" si="672"/>
        <v>1.8632274593146818</v>
      </c>
      <c r="DF271" s="173">
        <f t="shared" si="673"/>
        <v>0.4897221442551708</v>
      </c>
      <c r="DG271" s="173"/>
      <c r="DH271" s="173">
        <f t="shared" si="674"/>
        <v>0.78109744190587771</v>
      </c>
      <c r="DI271" s="545">
        <f t="shared" si="675"/>
        <v>1342.0032352941178</v>
      </c>
      <c r="DJ271" s="528">
        <f t="shared" si="676"/>
        <v>8.6065366284073561E-2</v>
      </c>
      <c r="DL271" s="173">
        <f t="shared" si="677"/>
        <v>26.054887120406853</v>
      </c>
      <c r="DM271" s="173">
        <f t="shared" si="678"/>
        <v>26.054887120406853</v>
      </c>
      <c r="DN271" s="173">
        <f t="shared" si="679"/>
        <v>10.623373175610014</v>
      </c>
      <c r="DP271" s="545">
        <f t="shared" si="680"/>
        <v>330</v>
      </c>
      <c r="DQ271" s="460">
        <f t="shared" si="681"/>
        <v>350</v>
      </c>
      <c r="DS271">
        <f t="shared" si="682"/>
        <v>330</v>
      </c>
      <c r="DT271">
        <f t="shared" si="683"/>
        <v>350</v>
      </c>
      <c r="DV271" s="5">
        <f t="shared" si="684"/>
        <v>2.8571428571428572</v>
      </c>
      <c r="DW271" s="5">
        <f t="shared" si="685"/>
        <v>0.81421522251271417</v>
      </c>
      <c r="DX271" s="5">
        <f t="shared" si="686"/>
        <v>2.0429276346301428</v>
      </c>
      <c r="DY271" s="173">
        <f t="shared" si="687"/>
        <v>0.28497532787944996</v>
      </c>
      <c r="EA271" s="5">
        <f t="shared" si="713"/>
        <v>0.15805354319364454</v>
      </c>
      <c r="EB271" s="5">
        <f t="shared" si="714"/>
        <v>1.8659098849249702</v>
      </c>
      <c r="EC271" s="5">
        <f t="shared" si="715"/>
        <v>11.460824030275102</v>
      </c>
      <c r="ED271" s="5"/>
      <c r="EE271" s="173">
        <f t="shared" si="716"/>
        <v>8.0303079407334668</v>
      </c>
      <c r="EF271" s="173">
        <f t="shared" si="717"/>
        <v>0.60066939282072929</v>
      </c>
      <c r="EG271" s="173">
        <f t="shared" si="718"/>
        <v>0.47491554124362434</v>
      </c>
      <c r="EH271" s="173"/>
      <c r="EI271" s="528">
        <f t="shared" si="719"/>
        <v>2.5794338249202786</v>
      </c>
      <c r="EJ271" s="528">
        <f t="shared" si="720"/>
        <v>6.1528453091796278</v>
      </c>
      <c r="EK271" s="528">
        <f t="shared" si="721"/>
        <v>6.9999999999999993E-2</v>
      </c>
      <c r="EL271" s="528">
        <f t="shared" si="722"/>
        <v>4.2137635749999999E-2</v>
      </c>
      <c r="EM271">
        <f t="shared" si="723"/>
        <v>7.1999999999999998E-3</v>
      </c>
      <c r="EN271" s="460">
        <f t="shared" si="724"/>
        <v>77.199999999999989</v>
      </c>
      <c r="EP271" s="460">
        <f t="shared" si="725"/>
        <v>8851.6167698499066</v>
      </c>
      <c r="EQ271" s="173">
        <f t="shared" si="726"/>
        <v>0.23099999999999998</v>
      </c>
      <c r="ER271" s="173">
        <f t="shared" si="772"/>
        <v>0.2387</v>
      </c>
      <c r="ES271" s="528"/>
      <c r="EU271" s="460">
        <f t="shared" si="727"/>
        <v>469.7</v>
      </c>
      <c r="EV271" s="528">
        <f t="shared" si="728"/>
        <v>1.934575368690209</v>
      </c>
      <c r="EW271" s="528">
        <f t="shared" si="729"/>
        <v>1.0824111584148708E-2</v>
      </c>
      <c r="EX271" s="528">
        <f t="shared" si="730"/>
        <v>1.1277238565736232E-3</v>
      </c>
      <c r="EY271" s="528">
        <f t="shared" si="731"/>
        <v>397.06636965005214</v>
      </c>
      <c r="EZ271" s="528"/>
      <c r="FA271" s="625">
        <f t="shared" si="732"/>
        <v>5.9400000000000013</v>
      </c>
      <c r="FB271" s="460">
        <f t="shared" si="733"/>
        <v>404952.89685418305</v>
      </c>
      <c r="FC271" s="173">
        <f t="shared" si="734"/>
        <v>414.274213624033</v>
      </c>
      <c r="FD271" s="5">
        <f t="shared" si="735"/>
        <v>59.4</v>
      </c>
      <c r="FE271" s="173">
        <f t="shared" si="736"/>
        <v>0.12540264656911904</v>
      </c>
      <c r="FF271" s="5">
        <f t="shared" si="737"/>
        <v>12.540264656911903</v>
      </c>
      <c r="FG271">
        <f t="shared" si="738"/>
        <v>55.000000000000007</v>
      </c>
      <c r="FI271" s="562">
        <f t="shared" si="689"/>
        <v>-50</v>
      </c>
    </row>
    <row r="272" spans="5:165">
      <c r="E272" s="170">
        <v>56</v>
      </c>
      <c r="F272" s="217">
        <f t="shared" si="773"/>
        <v>0.33600000000000002</v>
      </c>
      <c r="G272" s="217">
        <f t="shared" si="742"/>
        <v>0.28000000000000003</v>
      </c>
      <c r="H272" s="217">
        <f t="shared" si="743"/>
        <v>57.120000000000005</v>
      </c>
      <c r="I272" s="217">
        <f t="shared" si="744"/>
        <v>3.3600000000000003</v>
      </c>
      <c r="J272" s="541">
        <f t="shared" si="745"/>
        <v>14.888864644942791</v>
      </c>
      <c r="K272" s="443">
        <f t="shared" si="746"/>
        <v>8.5419968929570107</v>
      </c>
      <c r="L272" s="172">
        <f t="shared" si="747"/>
        <v>23.430861537899801</v>
      </c>
      <c r="M272" s="443"/>
      <c r="N272" s="217">
        <f t="shared" si="748"/>
        <v>0.36456179296438551</v>
      </c>
      <c r="O272" s="172">
        <f t="shared" si="749"/>
        <v>170.87868561628645</v>
      </c>
      <c r="P272" s="172">
        <f t="shared" si="750"/>
        <v>10.05168738919332</v>
      </c>
      <c r="Q272" s="217">
        <f t="shared" si="626"/>
        <v>1.005168738919332</v>
      </c>
      <c r="R272" s="217">
        <f t="shared" si="751"/>
        <v>14.239890468023871</v>
      </c>
      <c r="S272" s="217">
        <f t="shared" si="752"/>
        <v>170</v>
      </c>
      <c r="T272" s="217">
        <f t="shared" si="753"/>
        <v>22.284815606265759</v>
      </c>
      <c r="U272" s="217">
        <f t="shared" si="630"/>
        <v>0.74837189193721043</v>
      </c>
      <c r="V272" s="217">
        <f t="shared" si="631"/>
        <v>1.3044265811334985</v>
      </c>
      <c r="W272" s="197">
        <f t="shared" si="632"/>
        <v>350</v>
      </c>
      <c r="X272" s="443">
        <f t="shared" si="691"/>
        <v>350</v>
      </c>
      <c r="Z272" s="217">
        <f t="shared" si="633"/>
        <v>31.016635372367958</v>
      </c>
      <c r="AA272" s="173">
        <f t="shared" si="634"/>
        <v>1.8155377343874699</v>
      </c>
      <c r="AB272" s="173">
        <f t="shared" si="754"/>
        <v>0.46535505260835214</v>
      </c>
      <c r="AC272" s="173"/>
      <c r="AD272" s="173">
        <f t="shared" si="636"/>
        <v>0.78045763188738948</v>
      </c>
      <c r="AE272" s="545">
        <f t="shared" si="755"/>
        <v>1367.5234555218706</v>
      </c>
      <c r="AF272" s="528">
        <f t="shared" si="756"/>
        <v>8.5994868698703084E-2</v>
      </c>
      <c r="AH272" s="173">
        <f t="shared" si="757"/>
        <v>26.290682760247975</v>
      </c>
      <c r="AI272" s="173">
        <f t="shared" si="758"/>
        <v>26.290682760247975</v>
      </c>
      <c r="AJ272" s="173">
        <f t="shared" si="759"/>
        <v>10.798036612529362</v>
      </c>
      <c r="AL272" s="545">
        <f t="shared" si="760"/>
        <v>336</v>
      </c>
      <c r="AM272" s="460">
        <f t="shared" si="761"/>
        <v>350</v>
      </c>
      <c r="AO272">
        <f t="shared" si="644"/>
        <v>336</v>
      </c>
      <c r="AP272">
        <f t="shared" si="645"/>
        <v>350</v>
      </c>
      <c r="AR272" s="5">
        <f t="shared" si="774"/>
        <v>2.8571428571428572</v>
      </c>
      <c r="AS272" s="5">
        <f t="shared" si="739"/>
        <v>0.88289750048798954</v>
      </c>
      <c r="AT272" s="5">
        <f t="shared" si="740"/>
        <v>1.9742453566548677</v>
      </c>
      <c r="AU272" s="173">
        <f t="shared" si="741"/>
        <v>0.30901412517079635</v>
      </c>
      <c r="BA272" s="173">
        <f t="shared" si="692"/>
        <v>8.4378228494885743</v>
      </c>
      <c r="BB272" s="173">
        <f t="shared" si="693"/>
        <v>0.59582983077853879</v>
      </c>
      <c r="BC272" s="173">
        <f t="shared" si="694"/>
        <v>0.47108917144000251</v>
      </c>
      <c r="BD272" s="173"/>
      <c r="BE272" s="528">
        <f t="shared" si="695"/>
        <v>2.8478741775740595</v>
      </c>
      <c r="BF272" s="528">
        <f t="shared" si="762"/>
        <v>4.8511051115012291</v>
      </c>
      <c r="BG272" s="528">
        <f t="shared" si="763"/>
        <v>0.20844410502919908</v>
      </c>
      <c r="BH272" s="528">
        <f t="shared" si="696"/>
        <v>3.8430369068576262E-2</v>
      </c>
      <c r="BI272">
        <f t="shared" si="697"/>
        <v>6.699989090224256E-3</v>
      </c>
      <c r="BJ272" s="460">
        <f t="shared" si="698"/>
        <v>215.14409411942333</v>
      </c>
      <c r="BK272">
        <f t="shared" si="764"/>
        <v>26.3072977041599</v>
      </c>
      <c r="BL272" s="460">
        <f t="shared" si="699"/>
        <v>7952.5537522632885</v>
      </c>
      <c r="BM272" s="173">
        <f t="shared" si="765"/>
        <v>0.29164799999999996</v>
      </c>
      <c r="BN272" s="173">
        <f t="shared" si="766"/>
        <v>0.24304000000000001</v>
      </c>
      <c r="BQ272" s="460">
        <f t="shared" si="700"/>
        <v>534.68799999999999</v>
      </c>
      <c r="BR272" s="528">
        <f t="shared" si="701"/>
        <v>2.1359056331805446</v>
      </c>
      <c r="BS272" s="528">
        <f t="shared" si="702"/>
        <v>1.0650395617367464E-2</v>
      </c>
      <c r="BT272" s="528">
        <f t="shared" si="703"/>
        <v>1.1096250372401404E-3</v>
      </c>
      <c r="BU272" s="528">
        <f t="shared" si="704"/>
        <v>406.11102245910797</v>
      </c>
      <c r="BV272" s="528"/>
      <c r="BW272" s="625">
        <f t="shared" si="705"/>
        <v>6.0480000000000009</v>
      </c>
      <c r="BX272" s="460">
        <f t="shared" si="706"/>
        <v>414306.68811294308</v>
      </c>
      <c r="BY272" s="173">
        <f t="shared" si="707"/>
        <v>422.79392986520639</v>
      </c>
      <c r="BZ272" s="5">
        <f t="shared" si="708"/>
        <v>60.480000000000004</v>
      </c>
      <c r="CA272" s="173">
        <f t="shared" si="709"/>
        <v>0.12514641544365726</v>
      </c>
      <c r="CB272" s="5">
        <f t="shared" si="710"/>
        <v>12.514641544365727</v>
      </c>
      <c r="CC272">
        <f t="shared" si="711"/>
        <v>56.000000000000007</v>
      </c>
      <c r="CE272" s="562">
        <f t="shared" si="767"/>
        <v>-50</v>
      </c>
      <c r="CG272" s="173">
        <f t="shared" si="768"/>
        <v>0.52602840451152555</v>
      </c>
      <c r="CH272" s="173">
        <f t="shared" si="769"/>
        <v>0.13446913473065392</v>
      </c>
      <c r="CI272" s="170">
        <v>56</v>
      </c>
      <c r="CJ272" s="217">
        <f t="shared" si="712"/>
        <v>0.33600000000000002</v>
      </c>
      <c r="CK272" s="217">
        <f t="shared" si="654"/>
        <v>0.28000000000000003</v>
      </c>
      <c r="CL272" s="217">
        <f t="shared" si="655"/>
        <v>57.120000000000005</v>
      </c>
      <c r="CM272" s="217">
        <f t="shared" si="656"/>
        <v>3.3600000000000003</v>
      </c>
      <c r="CN272" s="541">
        <f t="shared" si="657"/>
        <v>16</v>
      </c>
      <c r="CO272" s="443">
        <f t="shared" si="770"/>
        <v>8.5350000000000001</v>
      </c>
      <c r="CP272" s="443">
        <f t="shared" si="771"/>
        <v>24.535</v>
      </c>
      <c r="CQ272" s="443"/>
      <c r="CR272" s="217">
        <f t="shared" si="660"/>
        <v>0.34760448521916415</v>
      </c>
      <c r="CS272" s="172">
        <f t="shared" si="661"/>
        <v>175.08966662891231</v>
      </c>
      <c r="CT272" s="172">
        <f t="shared" si="662"/>
        <v>10.2993921546419</v>
      </c>
      <c r="CU272" s="217">
        <f t="shared" si="663"/>
        <v>1.02993921546419</v>
      </c>
      <c r="CV272" s="217">
        <f t="shared" si="664"/>
        <v>14.590805552409359</v>
      </c>
      <c r="CW272" s="217">
        <f t="shared" si="665"/>
        <v>170</v>
      </c>
      <c r="CX272" s="217">
        <f t="shared" si="666"/>
        <v>21.748856304985338</v>
      </c>
      <c r="CY272" s="217">
        <f t="shared" si="667"/>
        <v>0.67965175953079182</v>
      </c>
      <c r="CZ272" s="217">
        <f t="shared" si="668"/>
        <v>1.2740982018151925</v>
      </c>
      <c r="DA272" s="197">
        <f t="shared" si="669"/>
        <v>350</v>
      </c>
      <c r="DB272" s="443">
        <f t="shared" si="670"/>
        <v>350</v>
      </c>
      <c r="DD272" s="217">
        <f t="shared" si="671"/>
        <v>31.805292730501623</v>
      </c>
      <c r="DE272" s="173">
        <f t="shared" si="672"/>
        <v>1.8632274593146818</v>
      </c>
      <c r="DF272" s="173">
        <f t="shared" si="673"/>
        <v>0.4897221442551708</v>
      </c>
      <c r="DG272" s="173"/>
      <c r="DH272" s="173">
        <f t="shared" si="674"/>
        <v>0.78109744190587771</v>
      </c>
      <c r="DI272" s="545">
        <f t="shared" si="675"/>
        <v>1366.4032941176474</v>
      </c>
      <c r="DJ272" s="528">
        <f t="shared" si="676"/>
        <v>8.6065366284073561E-2</v>
      </c>
      <c r="DL272" s="173">
        <f t="shared" si="677"/>
        <v>26.290682760247975</v>
      </c>
      <c r="DM272" s="173">
        <f t="shared" si="678"/>
        <v>26.290682760247975</v>
      </c>
      <c r="DN272" s="173">
        <f t="shared" si="679"/>
        <v>10.798036612529362</v>
      </c>
      <c r="DP272" s="545">
        <f t="shared" si="680"/>
        <v>336</v>
      </c>
      <c r="DQ272" s="460">
        <f t="shared" si="681"/>
        <v>350</v>
      </c>
      <c r="DS272">
        <f t="shared" si="682"/>
        <v>336</v>
      </c>
      <c r="DT272">
        <f t="shared" si="683"/>
        <v>350</v>
      </c>
      <c r="DV272" s="5">
        <f t="shared" si="684"/>
        <v>2.8571428571428572</v>
      </c>
      <c r="DW272" s="5">
        <f t="shared" si="685"/>
        <v>0.82158383625774922</v>
      </c>
      <c r="DX272" s="5">
        <f t="shared" si="686"/>
        <v>2.035559020885108</v>
      </c>
      <c r="DY272" s="173">
        <f t="shared" si="687"/>
        <v>0.28755434269021224</v>
      </c>
      <c r="EA272" s="5">
        <f t="shared" si="713"/>
        <v>0.16238362881329632</v>
      </c>
      <c r="EB272" s="5">
        <f t="shared" si="714"/>
        <v>1.9170289512680818</v>
      </c>
      <c r="EC272" s="5">
        <f t="shared" si="715"/>
        <v>11.627113127295738</v>
      </c>
      <c r="ED272" s="5"/>
      <c r="EE272" s="173">
        <f t="shared" si="716"/>
        <v>8.1395651330906436</v>
      </c>
      <c r="EF272" s="173">
        <f t="shared" si="717"/>
        <v>0.60501136071982242</v>
      </c>
      <c r="EG272" s="173">
        <f t="shared" si="718"/>
        <v>0.4783484913148387</v>
      </c>
      <c r="EH272" s="173"/>
      <c r="EI272" s="528">
        <f t="shared" si="719"/>
        <v>2.650100822232996</v>
      </c>
      <c r="EJ272" s="528">
        <f t="shared" si="720"/>
        <v>6.2085283021558348</v>
      </c>
      <c r="EK272" s="528">
        <f t="shared" si="721"/>
        <v>6.9999999999999993E-2</v>
      </c>
      <c r="EL272" s="528">
        <f t="shared" si="722"/>
        <v>4.2137635749999999E-2</v>
      </c>
      <c r="EM272">
        <f t="shared" si="723"/>
        <v>7.1999999999999998E-3</v>
      </c>
      <c r="EN272" s="460">
        <f t="shared" si="724"/>
        <v>77.199999999999989</v>
      </c>
      <c r="EP272" s="460">
        <f t="shared" si="725"/>
        <v>8977.9667601388301</v>
      </c>
      <c r="EQ272" s="173">
        <f t="shared" si="726"/>
        <v>0.23519999999999999</v>
      </c>
      <c r="ER272" s="173">
        <f t="shared" si="772"/>
        <v>0.24304000000000001</v>
      </c>
      <c r="ES272" s="528"/>
      <c r="EU272" s="460">
        <f t="shared" si="727"/>
        <v>478.24</v>
      </c>
      <c r="EV272" s="528">
        <f t="shared" si="728"/>
        <v>1.9875756166747469</v>
      </c>
      <c r="EW272" s="528">
        <f t="shared" si="729"/>
        <v>1.0981162398001532E-2</v>
      </c>
      <c r="EX272" s="528">
        <f t="shared" si="730"/>
        <v>1.1440863957159115E-3</v>
      </c>
      <c r="EY272" s="528">
        <f t="shared" si="731"/>
        <v>406.11102245910797</v>
      </c>
      <c r="EZ272" s="528"/>
      <c r="FA272" s="625">
        <f t="shared" si="732"/>
        <v>6.0480000000000009</v>
      </c>
      <c r="FB272" s="460">
        <f t="shared" si="733"/>
        <v>414158.72332457645</v>
      </c>
      <c r="FC272" s="173">
        <f t="shared" si="734"/>
        <v>423.6149300847153</v>
      </c>
      <c r="FD272" s="5">
        <f t="shared" si="735"/>
        <v>60.480000000000004</v>
      </c>
      <c r="FE272" s="173">
        <f t="shared" si="736"/>
        <v>0.12493417352959298</v>
      </c>
      <c r="FF272" s="5">
        <f t="shared" si="737"/>
        <v>12.493417352959298</v>
      </c>
      <c r="FG272">
        <f t="shared" si="738"/>
        <v>56.000000000000007</v>
      </c>
      <c r="FI272" s="562">
        <f t="shared" si="689"/>
        <v>-50</v>
      </c>
    </row>
    <row r="273" spans="5:165">
      <c r="E273" s="170">
        <v>57</v>
      </c>
      <c r="F273" s="217">
        <f t="shared" si="773"/>
        <v>0.34199999999999997</v>
      </c>
      <c r="G273" s="217">
        <f t="shared" si="742"/>
        <v>0.28499999999999998</v>
      </c>
      <c r="H273" s="217">
        <f t="shared" si="743"/>
        <v>58.139999999999993</v>
      </c>
      <c r="I273" s="217">
        <f t="shared" si="744"/>
        <v>3.42</v>
      </c>
      <c r="J273" s="541">
        <f t="shared" si="745"/>
        <v>14.878987691990339</v>
      </c>
      <c r="K273" s="443">
        <f t="shared" si="746"/>
        <v>8.5420590887842209</v>
      </c>
      <c r="L273" s="172">
        <f t="shared" si="747"/>
        <v>23.42104678077456</v>
      </c>
      <c r="M273" s="443"/>
      <c r="N273" s="217">
        <f t="shared" si="748"/>
        <v>0.36471722074335594</v>
      </c>
      <c r="O273" s="172">
        <f t="shared" si="749"/>
        <v>170.83813269343406</v>
      </c>
      <c r="P273" s="172">
        <f t="shared" si="750"/>
        <v>10.049301923143178</v>
      </c>
      <c r="Q273" s="217">
        <f t="shared" si="626"/>
        <v>1.0049301923143179</v>
      </c>
      <c r="R273" s="217">
        <f t="shared" si="751"/>
        <v>14.236511057786172</v>
      </c>
      <c r="S273" s="217">
        <f t="shared" si="752"/>
        <v>170</v>
      </c>
      <c r="T273" s="217">
        <f t="shared" si="753"/>
        <v>22.688143091305101</v>
      </c>
      <c r="U273" s="217">
        <f t="shared" si="630"/>
        <v>0.7624222682675712</v>
      </c>
      <c r="V273" s="217">
        <f t="shared" si="631"/>
        <v>1.3280254125784949</v>
      </c>
      <c r="W273" s="197">
        <f t="shared" si="632"/>
        <v>350</v>
      </c>
      <c r="X273" s="443">
        <f t="shared" si="691"/>
        <v>350</v>
      </c>
      <c r="Z273" s="217">
        <f t="shared" si="633"/>
        <v>31.009274505698954</v>
      </c>
      <c r="AA273" s="173">
        <f t="shared" si="634"/>
        <v>1.8150936550189833</v>
      </c>
      <c r="AB273" s="173">
        <f t="shared" si="754"/>
        <v>0.46513081603071499</v>
      </c>
      <c r="AC273" s="173"/>
      <c r="AD273" s="173">
        <f t="shared" si="636"/>
        <v>0.7804519492753268</v>
      </c>
      <c r="AE273" s="545">
        <f t="shared" si="755"/>
        <v>1391.953652220591</v>
      </c>
      <c r="AF273" s="528">
        <f t="shared" si="756"/>
        <v>8.5994242559040632E-2</v>
      </c>
      <c r="AH273" s="173">
        <f t="shared" si="757"/>
        <v>26.524382314068259</v>
      </c>
      <c r="AI273" s="173">
        <f t="shared" si="758"/>
        <v>26.524382314068259</v>
      </c>
      <c r="AJ273" s="173">
        <f t="shared" si="759"/>
        <v>10.971147393136981</v>
      </c>
      <c r="AL273" s="545">
        <f t="shared" si="760"/>
        <v>341.99999999999994</v>
      </c>
      <c r="AM273" s="460">
        <f t="shared" si="761"/>
        <v>350</v>
      </c>
      <c r="AO273">
        <f t="shared" si="644"/>
        <v>341.99999999999994</v>
      </c>
      <c r="AP273">
        <f t="shared" si="645"/>
        <v>350</v>
      </c>
      <c r="AR273" s="5">
        <f t="shared" si="774"/>
        <v>2.8571428571428572</v>
      </c>
      <c r="AS273" s="5">
        <f t="shared" si="739"/>
        <v>0.89133692638064588</v>
      </c>
      <c r="AT273" s="5">
        <f t="shared" si="740"/>
        <v>1.9658059307622113</v>
      </c>
      <c r="AU273" s="173">
        <f t="shared" si="741"/>
        <v>0.31196792423322606</v>
      </c>
      <c r="BA273" s="173">
        <f t="shared" si="692"/>
        <v>8.5534165640008091</v>
      </c>
      <c r="BB273" s="173">
        <f t="shared" si="693"/>
        <v>0.59983998882522271</v>
      </c>
      <c r="BC273" s="173">
        <f t="shared" si="694"/>
        <v>0.47425977810312886</v>
      </c>
      <c r="BD273" s="173"/>
      <c r="BE273" s="528">
        <f t="shared" si="695"/>
        <v>2.9264373966929362</v>
      </c>
      <c r="BF273" s="528">
        <f t="shared" si="762"/>
        <v>4.8921767921954178</v>
      </c>
      <c r="BG273" s="528">
        <f t="shared" si="763"/>
        <v>0.20830582768786476</v>
      </c>
      <c r="BH273" s="528">
        <f t="shared" si="696"/>
        <v>3.8398180261506126E-2</v>
      </c>
      <c r="BI273">
        <f t="shared" si="697"/>
        <v>6.695544461395652E-3</v>
      </c>
      <c r="BJ273" s="460">
        <f t="shared" si="698"/>
        <v>215.00137214926042</v>
      </c>
      <c r="BK273">
        <f t="shared" si="764"/>
        <v>28.381231982826773</v>
      </c>
      <c r="BL273" s="460">
        <f t="shared" si="699"/>
        <v>8072.0137412991198</v>
      </c>
      <c r="BM273" s="173">
        <f t="shared" si="765"/>
        <v>0.29685599999999995</v>
      </c>
      <c r="BN273" s="173">
        <f t="shared" si="766"/>
        <v>0.24737999999999999</v>
      </c>
      <c r="BQ273" s="460">
        <f t="shared" si="700"/>
        <v>544.23599999999999</v>
      </c>
      <c r="BR273" s="528">
        <f t="shared" si="701"/>
        <v>2.1948280475197022</v>
      </c>
      <c r="BS273" s="528">
        <f t="shared" si="702"/>
        <v>1.0794240365815298E-2</v>
      </c>
      <c r="BT273" s="528">
        <f t="shared" si="703"/>
        <v>1.1246116856321452E-3</v>
      </c>
      <c r="BU273" s="528">
        <f t="shared" si="704"/>
        <v>415.1961453323421</v>
      </c>
      <c r="BV273" s="528"/>
      <c r="BW273" s="625">
        <f t="shared" si="705"/>
        <v>6.1559999999999997</v>
      </c>
      <c r="BX273" s="460">
        <f t="shared" si="706"/>
        <v>423558.89223191328</v>
      </c>
      <c r="BY273" s="173">
        <f t="shared" si="707"/>
        <v>432.17514197321236</v>
      </c>
      <c r="BZ273" s="5">
        <f t="shared" si="708"/>
        <v>61.559999999999995</v>
      </c>
      <c r="CA273" s="173">
        <f t="shared" si="709"/>
        <v>0.12468223297611646</v>
      </c>
      <c r="CB273" s="5">
        <f t="shared" si="710"/>
        <v>12.468223297611646</v>
      </c>
      <c r="CC273">
        <f t="shared" si="711"/>
        <v>56.999999999999993</v>
      </c>
      <c r="CE273" s="562">
        <f t="shared" si="767"/>
        <v>-50</v>
      </c>
      <c r="CG273" s="173">
        <f t="shared" si="768"/>
        <v>0.53070430450819717</v>
      </c>
      <c r="CH273" s="173">
        <f t="shared" si="769"/>
        <v>0.13566443943520382</v>
      </c>
      <c r="CI273" s="170">
        <v>57</v>
      </c>
      <c r="CJ273" s="217">
        <f t="shared" si="712"/>
        <v>0.34199999999999997</v>
      </c>
      <c r="CK273" s="217">
        <f t="shared" si="654"/>
        <v>0.28499999999999998</v>
      </c>
      <c r="CL273" s="217">
        <f t="shared" si="655"/>
        <v>58.139999999999993</v>
      </c>
      <c r="CM273" s="217">
        <f t="shared" si="656"/>
        <v>3.42</v>
      </c>
      <c r="CN273" s="541">
        <f t="shared" si="657"/>
        <v>16</v>
      </c>
      <c r="CO273" s="443">
        <f t="shared" si="770"/>
        <v>8.5350000000000001</v>
      </c>
      <c r="CP273" s="443">
        <f t="shared" si="771"/>
        <v>24.535</v>
      </c>
      <c r="CQ273" s="443"/>
      <c r="CR273" s="217">
        <f t="shared" si="660"/>
        <v>0.34760448521916415</v>
      </c>
      <c r="CS273" s="172">
        <f t="shared" si="661"/>
        <v>175.08966662891231</v>
      </c>
      <c r="CT273" s="172">
        <f t="shared" si="662"/>
        <v>10.2993921546419</v>
      </c>
      <c r="CU273" s="217">
        <f t="shared" si="663"/>
        <v>1.02993921546419</v>
      </c>
      <c r="CV273" s="217">
        <f t="shared" si="664"/>
        <v>14.590805552409359</v>
      </c>
      <c r="CW273" s="217">
        <f t="shared" si="665"/>
        <v>170</v>
      </c>
      <c r="CX273" s="217">
        <f t="shared" si="666"/>
        <v>22.137228739002929</v>
      </c>
      <c r="CY273" s="217">
        <f t="shared" si="667"/>
        <v>0.69178839809384141</v>
      </c>
      <c r="CZ273" s="217">
        <f t="shared" si="668"/>
        <v>1.2968499554190349</v>
      </c>
      <c r="DA273" s="197">
        <f t="shared" si="669"/>
        <v>350</v>
      </c>
      <c r="DB273" s="443">
        <f t="shared" si="670"/>
        <v>350</v>
      </c>
      <c r="DD273" s="217">
        <f t="shared" si="671"/>
        <v>31.805292730501623</v>
      </c>
      <c r="DE273" s="173">
        <f t="shared" si="672"/>
        <v>1.8632274593146818</v>
      </c>
      <c r="DF273" s="173">
        <f t="shared" si="673"/>
        <v>0.4897221442551708</v>
      </c>
      <c r="DG273" s="173"/>
      <c r="DH273" s="173">
        <f t="shared" si="674"/>
        <v>0.78109744190587771</v>
      </c>
      <c r="DI273" s="545">
        <f t="shared" si="675"/>
        <v>1390.8033529411762</v>
      </c>
      <c r="DJ273" s="528">
        <f t="shared" si="676"/>
        <v>8.6065366284073561E-2</v>
      </c>
      <c r="DL273" s="173">
        <f t="shared" si="677"/>
        <v>26.524382314068259</v>
      </c>
      <c r="DM273" s="173">
        <f t="shared" si="678"/>
        <v>26.524382314068259</v>
      </c>
      <c r="DN273" s="173">
        <f t="shared" si="679"/>
        <v>10.971147393136981</v>
      </c>
      <c r="DP273" s="545">
        <f t="shared" si="680"/>
        <v>341.99999999999994</v>
      </c>
      <c r="DQ273" s="460">
        <f t="shared" si="681"/>
        <v>350</v>
      </c>
      <c r="DS273">
        <f t="shared" si="682"/>
        <v>341.99999999999994</v>
      </c>
      <c r="DT273">
        <f t="shared" si="683"/>
        <v>350</v>
      </c>
      <c r="DV273" s="5">
        <f t="shared" si="684"/>
        <v>2.8571428571428572</v>
      </c>
      <c r="DW273" s="5">
        <f t="shared" si="685"/>
        <v>0.82888694731463308</v>
      </c>
      <c r="DX273" s="5">
        <f t="shared" si="686"/>
        <v>2.028255909828224</v>
      </c>
      <c r="DY273" s="173">
        <f t="shared" si="687"/>
        <v>0.29011043156012156</v>
      </c>
      <c r="EA273" s="5">
        <f t="shared" si="713"/>
        <v>0.16675255057741439</v>
      </c>
      <c r="EB273" s="5">
        <f t="shared" si="714"/>
        <v>1.9686064998722532</v>
      </c>
      <c r="EC273" s="5">
        <f t="shared" si="715"/>
        <v>11.792279859741294</v>
      </c>
      <c r="ED273" s="5"/>
      <c r="EE273" s="173">
        <f t="shared" si="716"/>
        <v>8.2483356282091886</v>
      </c>
      <c r="EF273" s="173">
        <f t="shared" si="717"/>
        <v>0.60929339404665517</v>
      </c>
      <c r="EG273" s="173">
        <f t="shared" si="718"/>
        <v>0.48173405448709605</v>
      </c>
      <c r="EH273" s="173"/>
      <c r="EI273" s="528">
        <f t="shared" si="719"/>
        <v>2.721401625423403</v>
      </c>
      <c r="EJ273" s="528">
        <f t="shared" si="720"/>
        <v>6.2637163057282734</v>
      </c>
      <c r="EK273" s="528">
        <f t="shared" si="721"/>
        <v>6.9999999999999993E-2</v>
      </c>
      <c r="EL273" s="528">
        <f t="shared" si="722"/>
        <v>4.2137635749999999E-2</v>
      </c>
      <c r="EM273">
        <f t="shared" si="723"/>
        <v>7.1999999999999998E-3</v>
      </c>
      <c r="EN273" s="460">
        <f t="shared" si="724"/>
        <v>77.199999999999989</v>
      </c>
      <c r="EP273" s="460">
        <f t="shared" si="725"/>
        <v>9104.4555669016772</v>
      </c>
      <c r="EQ273" s="173">
        <f t="shared" si="726"/>
        <v>0.23939999999999997</v>
      </c>
      <c r="ER273" s="173">
        <f t="shared" si="772"/>
        <v>0.24737999999999999</v>
      </c>
      <c r="ES273" s="528"/>
      <c r="EU273" s="460">
        <f t="shared" si="727"/>
        <v>486.78</v>
      </c>
      <c r="EV273" s="528">
        <f t="shared" si="728"/>
        <v>2.041051219067552</v>
      </c>
      <c r="EW273" s="528">
        <f t="shared" si="729"/>
        <v>1.1137153200866778E-2</v>
      </c>
      <c r="EX273" s="528">
        <f t="shared" si="730"/>
        <v>1.160338496262882E-3</v>
      </c>
      <c r="EY273" s="528">
        <f t="shared" si="731"/>
        <v>415.1961453323421</v>
      </c>
      <c r="EZ273" s="528"/>
      <c r="FA273" s="625">
        <f t="shared" si="732"/>
        <v>6.1559999999999997</v>
      </c>
      <c r="FB273" s="460">
        <f t="shared" si="733"/>
        <v>423405.4940431068</v>
      </c>
      <c r="FC273" s="173">
        <f t="shared" si="734"/>
        <v>432.99672961000846</v>
      </c>
      <c r="FD273" s="5">
        <f t="shared" si="735"/>
        <v>61.559999999999995</v>
      </c>
      <c r="FE273" s="173">
        <f t="shared" si="736"/>
        <v>0.12447510328803782</v>
      </c>
      <c r="FF273" s="5">
        <f t="shared" si="737"/>
        <v>12.447510328803782</v>
      </c>
      <c r="FG273">
        <f t="shared" si="738"/>
        <v>56.999999999999993</v>
      </c>
      <c r="FI273" s="562">
        <f t="shared" si="689"/>
        <v>-50</v>
      </c>
    </row>
    <row r="274" spans="5:165">
      <c r="E274" s="170">
        <v>58</v>
      </c>
      <c r="F274" s="217">
        <f t="shared" si="773"/>
        <v>0.34799999999999998</v>
      </c>
      <c r="G274" s="217">
        <f t="shared" si="742"/>
        <v>0.28999999999999998</v>
      </c>
      <c r="H274" s="217">
        <f t="shared" si="743"/>
        <v>59.16</v>
      </c>
      <c r="I274" s="217">
        <f t="shared" si="744"/>
        <v>3.4799999999999995</v>
      </c>
      <c r="J274" s="541">
        <f t="shared" si="745"/>
        <v>14.869197005592847</v>
      </c>
      <c r="K274" s="443">
        <f t="shared" si="746"/>
        <v>8.5421207413852169</v>
      </c>
      <c r="L274" s="172">
        <f t="shared" si="747"/>
        <v>23.411317746978064</v>
      </c>
      <c r="M274" s="443"/>
      <c r="N274" s="217">
        <f t="shared" si="748"/>
        <v>0.36487141961446551</v>
      </c>
      <c r="O274" s="172">
        <f t="shared" si="749"/>
        <v>170.79789877644995</v>
      </c>
      <c r="P274" s="172">
        <f t="shared" si="750"/>
        <v>10.046935222144114</v>
      </c>
      <c r="Q274" s="217">
        <f t="shared" si="626"/>
        <v>1.0046935222144115</v>
      </c>
      <c r="R274" s="217">
        <f t="shared" si="751"/>
        <v>14.23315823137083</v>
      </c>
      <c r="S274" s="217">
        <f t="shared" si="752"/>
        <v>170</v>
      </c>
      <c r="T274" s="217">
        <f t="shared" si="753"/>
        <v>23.091618973381706</v>
      </c>
      <c r="U274" s="217">
        <f t="shared" si="630"/>
        <v>0.77649179591527717</v>
      </c>
      <c r="V274" s="217">
        <f t="shared" si="631"/>
        <v>1.3516326725227894</v>
      </c>
      <c r="W274" s="197">
        <f t="shared" si="632"/>
        <v>350</v>
      </c>
      <c r="X274" s="443">
        <f t="shared" si="691"/>
        <v>350</v>
      </c>
      <c r="Z274" s="217">
        <f t="shared" si="633"/>
        <v>31.001971542616129</v>
      </c>
      <c r="AA274" s="173">
        <f t="shared" si="634"/>
        <v>1.8146530868158131</v>
      </c>
      <c r="AB274" s="173">
        <f t="shared" si="754"/>
        <v>0.46490840135450962</v>
      </c>
      <c r="AC274" s="173"/>
      <c r="AD274" s="173">
        <f t="shared" si="636"/>
        <v>0.7804463163775861</v>
      </c>
      <c r="AE274" s="545">
        <f t="shared" si="755"/>
        <v>1416.384114459803</v>
      </c>
      <c r="AF274" s="528">
        <f t="shared" si="756"/>
        <v>8.5993621897159936E-2</v>
      </c>
      <c r="AH274" s="173">
        <f t="shared" si="757"/>
        <v>26.756040706459434</v>
      </c>
      <c r="AI274" s="173">
        <f t="shared" si="758"/>
        <v>26.756040706459434</v>
      </c>
      <c r="AJ274" s="173">
        <f t="shared" si="759"/>
        <v>11.14274620231563</v>
      </c>
      <c r="AL274" s="545">
        <f t="shared" si="760"/>
        <v>348</v>
      </c>
      <c r="AM274" s="460">
        <f t="shared" si="761"/>
        <v>350</v>
      </c>
      <c r="AO274">
        <f t="shared" si="644"/>
        <v>348</v>
      </c>
      <c r="AP274">
        <f t="shared" si="645"/>
        <v>350</v>
      </c>
      <c r="AR274" s="5">
        <f t="shared" si="774"/>
        <v>2.8571428571428572</v>
      </c>
      <c r="AS274" s="5">
        <f t="shared" si="739"/>
        <v>0.89971370667815864</v>
      </c>
      <c r="AT274" s="5">
        <f t="shared" si="740"/>
        <v>1.9574291504646986</v>
      </c>
      <c r="AU274" s="173">
        <f t="shared" si="741"/>
        <v>0.31489979733735551</v>
      </c>
      <c r="BA274" s="173">
        <f t="shared" si="692"/>
        <v>8.6685690158041542</v>
      </c>
      <c r="BB274" s="173">
        <f t="shared" si="693"/>
        <v>0.60378829457654992</v>
      </c>
      <c r="BC274" s="173">
        <f t="shared" si="694"/>
        <v>0.47738148163138983</v>
      </c>
      <c r="BD274" s="173"/>
      <c r="BE274" s="528">
        <f t="shared" si="695"/>
        <v>3.0057635512703924</v>
      </c>
      <c r="BF274" s="528">
        <f t="shared" si="762"/>
        <v>4.9328540937112599</v>
      </c>
      <c r="BG274" s="528">
        <f t="shared" si="763"/>
        <v>0.20816875807829985</v>
      </c>
      <c r="BH274" s="528">
        <f t="shared" si="696"/>
        <v>3.8366285905497906E-2</v>
      </c>
      <c r="BI274">
        <f t="shared" si="697"/>
        <v>6.6911386525167812E-3</v>
      </c>
      <c r="BJ274" s="460">
        <f t="shared" si="698"/>
        <v>214.85989673081662</v>
      </c>
      <c r="BK274">
        <f t="shared" si="764"/>
        <v>30.747375186456491</v>
      </c>
      <c r="BL274" s="460">
        <f t="shared" si="699"/>
        <v>8191.8438276179677</v>
      </c>
      <c r="BM274" s="173">
        <f t="shared" si="765"/>
        <v>0.30206399999999994</v>
      </c>
      <c r="BN274" s="173">
        <f t="shared" si="766"/>
        <v>0.25172</v>
      </c>
      <c r="BQ274" s="460">
        <f t="shared" si="700"/>
        <v>553.78399999999999</v>
      </c>
      <c r="BR274" s="528">
        <f t="shared" si="701"/>
        <v>2.2543226634527942</v>
      </c>
      <c r="BS274" s="528">
        <f t="shared" si="702"/>
        <v>1.0936809140029757E-2</v>
      </c>
      <c r="BT274" s="528">
        <f t="shared" si="703"/>
        <v>1.1394653950229049E-3</v>
      </c>
      <c r="BU274" s="528">
        <f t="shared" si="704"/>
        <v>424.32120454406993</v>
      </c>
      <c r="BV274" s="528"/>
      <c r="BW274" s="625">
        <f t="shared" si="705"/>
        <v>6.2640000000000002</v>
      </c>
      <c r="BX274" s="460">
        <f t="shared" si="706"/>
        <v>432851.60348205781</v>
      </c>
      <c r="BY274" s="173">
        <f t="shared" si="707"/>
        <v>441.59723130967575</v>
      </c>
      <c r="BZ274" s="5">
        <f t="shared" si="708"/>
        <v>62.639999999999993</v>
      </c>
      <c r="CA274" s="173">
        <f t="shared" si="709"/>
        <v>0.12422724089076602</v>
      </c>
      <c r="CB274" s="5">
        <f t="shared" si="710"/>
        <v>12.422724089076603</v>
      </c>
      <c r="CC274">
        <f t="shared" si="711"/>
        <v>57.999999999999993</v>
      </c>
      <c r="CE274" s="562">
        <f t="shared" si="767"/>
        <v>-50</v>
      </c>
      <c r="CG274" s="173">
        <f t="shared" si="768"/>
        <v>0.53533936460353593</v>
      </c>
      <c r="CH274" s="173">
        <f t="shared" si="769"/>
        <v>0.13684930419744712</v>
      </c>
      <c r="CI274" s="170">
        <v>58</v>
      </c>
      <c r="CJ274" s="217">
        <f t="shared" si="712"/>
        <v>0.34799999999999998</v>
      </c>
      <c r="CK274" s="217">
        <f t="shared" si="654"/>
        <v>0.28999999999999998</v>
      </c>
      <c r="CL274" s="217">
        <f t="shared" si="655"/>
        <v>59.16</v>
      </c>
      <c r="CM274" s="217">
        <f t="shared" si="656"/>
        <v>3.4799999999999995</v>
      </c>
      <c r="CN274" s="541">
        <f t="shared" si="657"/>
        <v>16</v>
      </c>
      <c r="CO274" s="443">
        <f t="shared" si="770"/>
        <v>8.5350000000000001</v>
      </c>
      <c r="CP274" s="443">
        <f t="shared" si="771"/>
        <v>24.535</v>
      </c>
      <c r="CQ274" s="443"/>
      <c r="CR274" s="217">
        <f t="shared" si="660"/>
        <v>0.34760448521916415</v>
      </c>
      <c r="CS274" s="172">
        <f t="shared" si="661"/>
        <v>175.08966662891231</v>
      </c>
      <c r="CT274" s="172">
        <f t="shared" si="662"/>
        <v>10.2993921546419</v>
      </c>
      <c r="CU274" s="217">
        <f t="shared" si="663"/>
        <v>1.02993921546419</v>
      </c>
      <c r="CV274" s="217">
        <f t="shared" si="664"/>
        <v>14.590805552409359</v>
      </c>
      <c r="CW274" s="217">
        <f t="shared" si="665"/>
        <v>170</v>
      </c>
      <c r="CX274" s="217">
        <f t="shared" si="666"/>
        <v>22.525601173020522</v>
      </c>
      <c r="CY274" s="217">
        <f t="shared" si="667"/>
        <v>0.70392503665689132</v>
      </c>
      <c r="CZ274" s="217">
        <f t="shared" si="668"/>
        <v>1.3196017090228778</v>
      </c>
      <c r="DA274" s="197">
        <f t="shared" si="669"/>
        <v>350</v>
      </c>
      <c r="DB274" s="443">
        <f t="shared" si="670"/>
        <v>350</v>
      </c>
      <c r="DD274" s="217">
        <f t="shared" si="671"/>
        <v>31.805292730501623</v>
      </c>
      <c r="DE274" s="173">
        <f t="shared" si="672"/>
        <v>1.8632274593146818</v>
      </c>
      <c r="DF274" s="173">
        <f t="shared" si="673"/>
        <v>0.4897221442551708</v>
      </c>
      <c r="DG274" s="173"/>
      <c r="DH274" s="173">
        <f t="shared" si="674"/>
        <v>0.78109744190587771</v>
      </c>
      <c r="DI274" s="545">
        <f t="shared" si="675"/>
        <v>1415.2034117647058</v>
      </c>
      <c r="DJ274" s="528">
        <f t="shared" si="676"/>
        <v>8.6065366284073561E-2</v>
      </c>
      <c r="DL274" s="173">
        <f t="shared" si="677"/>
        <v>26.756040706459434</v>
      </c>
      <c r="DM274" s="173">
        <f t="shared" si="678"/>
        <v>26.756040706459434</v>
      </c>
      <c r="DN274" s="173">
        <f t="shared" si="679"/>
        <v>11.14274620231563</v>
      </c>
      <c r="DP274" s="545">
        <f t="shared" si="680"/>
        <v>348</v>
      </c>
      <c r="DQ274" s="460">
        <f t="shared" si="681"/>
        <v>350</v>
      </c>
      <c r="DS274">
        <f t="shared" si="682"/>
        <v>348</v>
      </c>
      <c r="DT274">
        <f t="shared" si="683"/>
        <v>350</v>
      </c>
      <c r="DV274" s="5">
        <f t="shared" si="684"/>
        <v>2.8571428571428572</v>
      </c>
      <c r="DW274" s="5">
        <f t="shared" si="685"/>
        <v>0.8361262720768573</v>
      </c>
      <c r="DX274" s="5">
        <f t="shared" si="686"/>
        <v>2.021016585066</v>
      </c>
      <c r="DY274" s="173">
        <f t="shared" si="687"/>
        <v>0.29264419522690005</v>
      </c>
      <c r="EA274" s="5">
        <f t="shared" si="713"/>
        <v>0.17115996628396843</v>
      </c>
      <c r="EB274" s="5">
        <f t="shared" si="714"/>
        <v>2.0206384908524053</v>
      </c>
      <c r="EC274" s="5">
        <f t="shared" si="715"/>
        <v>11.956334117250455</v>
      </c>
      <c r="ED274" s="5"/>
      <c r="EE274" s="173">
        <f t="shared" si="716"/>
        <v>8.3566300770022792</v>
      </c>
      <c r="EF274" s="173">
        <f t="shared" si="717"/>
        <v>0.61351700147479649</v>
      </c>
      <c r="EG274" s="173">
        <f t="shared" si="718"/>
        <v>0.48507342358382477</v>
      </c>
      <c r="EH274" s="173"/>
      <c r="EI274" s="528">
        <f t="shared" si="719"/>
        <v>2.7933306497543646</v>
      </c>
      <c r="EJ274" s="528">
        <f t="shared" si="720"/>
        <v>6.3184222903049543</v>
      </c>
      <c r="EK274" s="528">
        <f t="shared" si="721"/>
        <v>6.9999999999999993E-2</v>
      </c>
      <c r="EL274" s="528">
        <f t="shared" si="722"/>
        <v>4.2137635749999999E-2</v>
      </c>
      <c r="EM274">
        <f t="shared" si="723"/>
        <v>7.1999999999999998E-3</v>
      </c>
      <c r="EN274" s="460">
        <f t="shared" si="724"/>
        <v>77.199999999999989</v>
      </c>
      <c r="EP274" s="460">
        <f t="shared" si="725"/>
        <v>9231.0905758093177</v>
      </c>
      <c r="EQ274" s="173">
        <f t="shared" si="726"/>
        <v>0.24359999999999996</v>
      </c>
      <c r="ER274" s="173">
        <f t="shared" si="772"/>
        <v>0.25172</v>
      </c>
      <c r="ES274" s="528"/>
      <c r="EU274" s="460">
        <f t="shared" si="727"/>
        <v>495.32</v>
      </c>
      <c r="EV274" s="528">
        <f t="shared" si="728"/>
        <v>2.0949979873157734</v>
      </c>
      <c r="EW274" s="528">
        <f t="shared" si="729"/>
        <v>1.1292093332958763E-2</v>
      </c>
      <c r="EX274" s="528">
        <f t="shared" si="730"/>
        <v>1.1764811313366634E-3</v>
      </c>
      <c r="EY274" s="528">
        <f t="shared" si="731"/>
        <v>424.32120454406993</v>
      </c>
      <c r="EZ274" s="528"/>
      <c r="FA274" s="625">
        <f t="shared" si="732"/>
        <v>6.2640000000000002</v>
      </c>
      <c r="FB274" s="460">
        <f t="shared" si="733"/>
        <v>432692.67110585002</v>
      </c>
      <c r="FC274" s="173">
        <f t="shared" si="734"/>
        <v>442.41908168165935</v>
      </c>
      <c r="FD274" s="5">
        <f t="shared" si="735"/>
        <v>62.639999999999993</v>
      </c>
      <c r="FE274" s="173">
        <f t="shared" si="736"/>
        <v>0.12402509383938219</v>
      </c>
      <c r="FF274" s="5">
        <f t="shared" si="737"/>
        <v>12.402509383938218</v>
      </c>
      <c r="FG274">
        <f t="shared" si="738"/>
        <v>57.999999999999993</v>
      </c>
      <c r="FI274" s="562">
        <f t="shared" si="689"/>
        <v>-50</v>
      </c>
    </row>
    <row r="275" spans="5:165">
      <c r="E275" s="170">
        <v>59</v>
      </c>
      <c r="F275" s="217">
        <f t="shared" si="773"/>
        <v>0.35399999999999998</v>
      </c>
      <c r="G275" s="217">
        <f t="shared" si="742"/>
        <v>0.29499999999999998</v>
      </c>
      <c r="H275" s="217">
        <f t="shared" si="743"/>
        <v>60.18</v>
      </c>
      <c r="I275" s="217">
        <f t="shared" si="744"/>
        <v>3.54</v>
      </c>
      <c r="J275" s="541">
        <f t="shared" si="745"/>
        <v>14.859490364086641</v>
      </c>
      <c r="K275" s="443">
        <f t="shared" si="746"/>
        <v>8.5421818647499652</v>
      </c>
      <c r="L275" s="172">
        <f t="shared" si="747"/>
        <v>23.401672228836606</v>
      </c>
      <c r="M275" s="443"/>
      <c r="N275" s="217">
        <f t="shared" si="748"/>
        <v>0.36502442138403679</v>
      </c>
      <c r="O275" s="172">
        <f t="shared" si="749"/>
        <v>170.75797560668656</v>
      </c>
      <c r="P275" s="172">
        <f t="shared" si="750"/>
        <v>10.044586800393326</v>
      </c>
      <c r="Q275" s="217">
        <f t="shared" si="626"/>
        <v>1.0044586800393327</v>
      </c>
      <c r="R275" s="217">
        <f t="shared" si="751"/>
        <v>14.229831300557214</v>
      </c>
      <c r="S275" s="217">
        <f t="shared" si="752"/>
        <v>170</v>
      </c>
      <c r="T275" s="217">
        <f t="shared" si="753"/>
        <v>23.49524223243894</v>
      </c>
      <c r="U275" s="217">
        <f t="shared" si="630"/>
        <v>0.79058035157193995</v>
      </c>
      <c r="V275" s="217">
        <f t="shared" si="631"/>
        <v>1.3752483033283358</v>
      </c>
      <c r="W275" s="197">
        <f t="shared" si="632"/>
        <v>350</v>
      </c>
      <c r="X275" s="443">
        <f t="shared" si="691"/>
        <v>350</v>
      </c>
      <c r="Z275" s="217">
        <f t="shared" si="633"/>
        <v>30.994724984070842</v>
      </c>
      <c r="AA275" s="173">
        <f t="shared" si="634"/>
        <v>1.8142159389027519</v>
      </c>
      <c r="AB275" s="173">
        <f t="shared" si="754"/>
        <v>0.46468776156062719</v>
      </c>
      <c r="AC275" s="173"/>
      <c r="AD275" s="173">
        <f t="shared" si="636"/>
        <v>0.78044073191384855</v>
      </c>
      <c r="AE275" s="545">
        <f t="shared" si="755"/>
        <v>1440.814839940238</v>
      </c>
      <c r="AF275" s="528">
        <f t="shared" si="756"/>
        <v>8.5993006571988884E-2</v>
      </c>
      <c r="AH275" s="173">
        <f t="shared" si="757"/>
        <v>26.985710504423846</v>
      </c>
      <c r="AI275" s="173">
        <f t="shared" si="758"/>
        <v>26.985710504423846</v>
      </c>
      <c r="AJ275" s="173">
        <f t="shared" si="759"/>
        <v>11.312871978585564</v>
      </c>
      <c r="AL275" s="545">
        <f t="shared" si="760"/>
        <v>354</v>
      </c>
      <c r="AM275" s="460">
        <f t="shared" si="761"/>
        <v>350</v>
      </c>
      <c r="AO275">
        <f t="shared" si="644"/>
        <v>354</v>
      </c>
      <c r="AP275">
        <f t="shared" si="645"/>
        <v>350</v>
      </c>
      <c r="AR275" s="5">
        <f t="shared" si="774"/>
        <v>2.8571428571428572</v>
      </c>
      <c r="AS275" s="5">
        <f t="shared" si="739"/>
        <v>0.90802947622095509</v>
      </c>
      <c r="AT275" s="5">
        <f t="shared" si="740"/>
        <v>1.9491133809219021</v>
      </c>
      <c r="AU275" s="173">
        <f t="shared" si="741"/>
        <v>0.31781031667733428</v>
      </c>
      <c r="BA275" s="173">
        <f t="shared" si="692"/>
        <v>8.7832900612317442</v>
      </c>
      <c r="BB275" s="173">
        <f t="shared" si="693"/>
        <v>0.60767619537326467</v>
      </c>
      <c r="BC275" s="173">
        <f t="shared" si="694"/>
        <v>0.48045542635579563</v>
      </c>
      <c r="BD275" s="173"/>
      <c r="BE275" s="528">
        <f t="shared" si="695"/>
        <v>3.0858473719892938</v>
      </c>
      <c r="BF275" s="528">
        <f t="shared" si="762"/>
        <v>4.9731471726835483</v>
      </c>
      <c r="BG275" s="528">
        <f t="shared" si="763"/>
        <v>0.20803286509721297</v>
      </c>
      <c r="BH275" s="528">
        <f t="shared" si="696"/>
        <v>3.8334678417413171E-2</v>
      </c>
      <c r="BI275">
        <f t="shared" si="697"/>
        <v>6.686770663838988E-3</v>
      </c>
      <c r="BJ275" s="460">
        <f t="shared" si="698"/>
        <v>214.71963576105196</v>
      </c>
      <c r="BK275">
        <f t="shared" si="764"/>
        <v>33.472334442750665</v>
      </c>
      <c r="BL275" s="460">
        <f t="shared" si="699"/>
        <v>8312.0488588513072</v>
      </c>
      <c r="BM275" s="173">
        <f t="shared" si="765"/>
        <v>0.30727199999999993</v>
      </c>
      <c r="BN275" s="173">
        <f t="shared" si="766"/>
        <v>0.25606000000000001</v>
      </c>
      <c r="BQ275" s="460">
        <f t="shared" si="700"/>
        <v>563.33199999999999</v>
      </c>
      <c r="BR275" s="528">
        <f t="shared" si="701"/>
        <v>2.3143855289919699</v>
      </c>
      <c r="BS275" s="528">
        <f t="shared" si="702"/>
        <v>1.1078110752699783E-2</v>
      </c>
      <c r="BT275" s="528">
        <f t="shared" si="703"/>
        <v>1.1541870835736468E-3</v>
      </c>
      <c r="BU275" s="528">
        <f t="shared" si="704"/>
        <v>433.48568250970703</v>
      </c>
      <c r="BV275" s="528"/>
      <c r="BW275" s="625">
        <f t="shared" si="705"/>
        <v>6.3720000000000008</v>
      </c>
      <c r="BX275" s="460">
        <f t="shared" si="706"/>
        <v>442184.30033653526</v>
      </c>
      <c r="BY275" s="173">
        <f t="shared" si="707"/>
        <v>451.05968119538659</v>
      </c>
      <c r="BZ275" s="5">
        <f t="shared" si="708"/>
        <v>63.72</v>
      </c>
      <c r="CA275" s="173">
        <f t="shared" si="709"/>
        <v>0.12378110933211994</v>
      </c>
      <c r="CB275" s="5">
        <f t="shared" si="710"/>
        <v>12.378110933211994</v>
      </c>
      <c r="CC275">
        <f t="shared" si="711"/>
        <v>59</v>
      </c>
      <c r="CE275" s="562">
        <f t="shared" si="767"/>
        <v>-50</v>
      </c>
      <c r="CG275" s="173">
        <f t="shared" si="768"/>
        <v>0.53993463656696983</v>
      </c>
      <c r="CH275" s="173">
        <f t="shared" si="769"/>
        <v>0.13802399788218986</v>
      </c>
      <c r="CI275" s="170">
        <v>59</v>
      </c>
      <c r="CJ275" s="217">
        <f t="shared" si="712"/>
        <v>0.35399999999999998</v>
      </c>
      <c r="CK275" s="217">
        <f t="shared" si="654"/>
        <v>0.29499999999999998</v>
      </c>
      <c r="CL275" s="217">
        <f t="shared" si="655"/>
        <v>60.18</v>
      </c>
      <c r="CM275" s="217">
        <f t="shared" si="656"/>
        <v>3.54</v>
      </c>
      <c r="CN275" s="541">
        <f t="shared" si="657"/>
        <v>16</v>
      </c>
      <c r="CO275" s="443">
        <f t="shared" si="770"/>
        <v>8.5350000000000001</v>
      </c>
      <c r="CP275" s="443">
        <f t="shared" si="771"/>
        <v>24.535</v>
      </c>
      <c r="CQ275" s="443"/>
      <c r="CR275" s="217">
        <f t="shared" si="660"/>
        <v>0.34760448521916415</v>
      </c>
      <c r="CS275" s="172">
        <f t="shared" si="661"/>
        <v>175.08966662891231</v>
      </c>
      <c r="CT275" s="172">
        <f t="shared" si="662"/>
        <v>10.2993921546419</v>
      </c>
      <c r="CU275" s="217">
        <f t="shared" si="663"/>
        <v>1.02993921546419</v>
      </c>
      <c r="CV275" s="217">
        <f t="shared" si="664"/>
        <v>14.590805552409359</v>
      </c>
      <c r="CW275" s="217">
        <f t="shared" si="665"/>
        <v>170</v>
      </c>
      <c r="CX275" s="217">
        <f t="shared" si="666"/>
        <v>22.91397360703812</v>
      </c>
      <c r="CY275" s="217">
        <f t="shared" si="667"/>
        <v>0.71606167521994124</v>
      </c>
      <c r="CZ275" s="217">
        <f t="shared" si="668"/>
        <v>1.3423534626267206</v>
      </c>
      <c r="DA275" s="197">
        <f t="shared" si="669"/>
        <v>350</v>
      </c>
      <c r="DB275" s="443">
        <f t="shared" si="670"/>
        <v>350</v>
      </c>
      <c r="DD275" s="217">
        <f t="shared" si="671"/>
        <v>31.805292730501623</v>
      </c>
      <c r="DE275" s="173">
        <f t="shared" si="672"/>
        <v>1.8632274593146818</v>
      </c>
      <c r="DF275" s="173">
        <f t="shared" si="673"/>
        <v>0.4897221442551708</v>
      </c>
      <c r="DG275" s="173"/>
      <c r="DH275" s="173">
        <f t="shared" si="674"/>
        <v>0.78109744190587771</v>
      </c>
      <c r="DI275" s="545">
        <f t="shared" si="675"/>
        <v>1439.6034705882353</v>
      </c>
      <c r="DJ275" s="528">
        <f t="shared" si="676"/>
        <v>8.6065366284073561E-2</v>
      </c>
      <c r="DL275" s="173">
        <f t="shared" si="677"/>
        <v>26.985710504423846</v>
      </c>
      <c r="DM275" s="173">
        <f t="shared" si="678"/>
        <v>26.985710504423846</v>
      </c>
      <c r="DN275" s="173">
        <f t="shared" si="679"/>
        <v>11.312871978585564</v>
      </c>
      <c r="DP275" s="545">
        <f t="shared" si="680"/>
        <v>354</v>
      </c>
      <c r="DQ275" s="460">
        <f t="shared" si="681"/>
        <v>350</v>
      </c>
      <c r="DS275">
        <f t="shared" si="682"/>
        <v>354</v>
      </c>
      <c r="DT275">
        <f t="shared" si="683"/>
        <v>350</v>
      </c>
      <c r="DV275" s="5">
        <f t="shared" si="684"/>
        <v>2.8571428571428572</v>
      </c>
      <c r="DW275" s="5">
        <f t="shared" si="685"/>
        <v>0.84330345326324507</v>
      </c>
      <c r="DX275" s="5">
        <f t="shared" si="686"/>
        <v>2.0138394038796124</v>
      </c>
      <c r="DY275" s="173">
        <f t="shared" si="687"/>
        <v>0.29515620864213576</v>
      </c>
      <c r="EA275" s="5">
        <f t="shared" si="713"/>
        <v>0.17560554262069927</v>
      </c>
      <c r="EB275" s="5">
        <f t="shared" si="714"/>
        <v>2.0731209892721441</v>
      </c>
      <c r="EC275" s="5">
        <f t="shared" si="715"/>
        <v>12.119285532547506</v>
      </c>
      <c r="ED275" s="5"/>
      <c r="EE275" s="173">
        <f t="shared" si="716"/>
        <v>8.4644587180306647</v>
      </c>
      <c r="EF275" s="173">
        <f t="shared" si="717"/>
        <v>0.61768362699822377</v>
      </c>
      <c r="EG275" s="173">
        <f t="shared" si="718"/>
        <v>0.48836774028993424</v>
      </c>
      <c r="EH275" s="173"/>
      <c r="EI275" s="528">
        <f t="shared" si="719"/>
        <v>2.865882455569813</v>
      </c>
      <c r="EJ275" s="528">
        <f t="shared" si="720"/>
        <v>6.372658669550626</v>
      </c>
      <c r="EK275" s="528">
        <f t="shared" si="721"/>
        <v>6.9999999999999993E-2</v>
      </c>
      <c r="EL275" s="528">
        <f t="shared" si="722"/>
        <v>4.2137635749999999E-2</v>
      </c>
      <c r="EM275">
        <f t="shared" si="723"/>
        <v>7.1999999999999998E-3</v>
      </c>
      <c r="EN275" s="460">
        <f t="shared" si="724"/>
        <v>77.199999999999989</v>
      </c>
      <c r="EP275" s="460">
        <f t="shared" si="725"/>
        <v>9357.8787608704388</v>
      </c>
      <c r="EQ275" s="173">
        <f t="shared" si="726"/>
        <v>0.24779999999999996</v>
      </c>
      <c r="ER275" s="173">
        <f t="shared" si="772"/>
        <v>0.25606000000000001</v>
      </c>
      <c r="ES275" s="528"/>
      <c r="EU275" s="460">
        <f t="shared" si="727"/>
        <v>503.85999999999996</v>
      </c>
      <c r="EV275" s="528">
        <f t="shared" si="728"/>
        <v>2.1494118416773595</v>
      </c>
      <c r="EW275" s="528">
        <f t="shared" si="729"/>
        <v>1.1445991891850424E-2</v>
      </c>
      <c r="EX275" s="528">
        <f t="shared" si="730"/>
        <v>1.1925152487794832E-3</v>
      </c>
      <c r="EY275" s="528">
        <f t="shared" si="731"/>
        <v>433.48568250970703</v>
      </c>
      <c r="EZ275" s="528"/>
      <c r="FA275" s="625">
        <f t="shared" si="732"/>
        <v>6.3720000000000008</v>
      </c>
      <c r="FB275" s="460">
        <f t="shared" si="733"/>
        <v>442019.73285852507</v>
      </c>
      <c r="FC275" s="173">
        <f t="shared" si="734"/>
        <v>451.88147161939548</v>
      </c>
      <c r="FD275" s="5">
        <f t="shared" si="735"/>
        <v>63.72</v>
      </c>
      <c r="FE275" s="173">
        <f t="shared" si="736"/>
        <v>0.12358382104664851</v>
      </c>
      <c r="FF275" s="5">
        <f t="shared" si="737"/>
        <v>12.358382104664852</v>
      </c>
      <c r="FG275">
        <f t="shared" si="738"/>
        <v>59</v>
      </c>
      <c r="FI275" s="562">
        <f t="shared" si="689"/>
        <v>-50</v>
      </c>
    </row>
    <row r="276" spans="5:165">
      <c r="E276" s="170">
        <v>60</v>
      </c>
      <c r="F276" s="217">
        <f t="shared" si="773"/>
        <v>0.36</v>
      </c>
      <c r="G276" s="217">
        <f t="shared" si="742"/>
        <v>0.3</v>
      </c>
      <c r="H276" s="217">
        <f t="shared" si="743"/>
        <v>61.199999999999996</v>
      </c>
      <c r="I276" s="217">
        <f t="shared" si="744"/>
        <v>3.5999999999999996</v>
      </c>
      <c r="J276" s="541">
        <f t="shared" si="745"/>
        <v>14.849865639561072</v>
      </c>
      <c r="K276" s="443">
        <f t="shared" si="746"/>
        <v>8.5422424722780583</v>
      </c>
      <c r="L276" s="172">
        <f t="shared" si="747"/>
        <v>23.392108111839129</v>
      </c>
      <c r="M276" s="443"/>
      <c r="N276" s="217">
        <f t="shared" si="748"/>
        <v>0.36517625651510605</v>
      </c>
      <c r="O276" s="172">
        <f t="shared" si="749"/>
        <v>170.71835527430119</v>
      </c>
      <c r="P276" s="172">
        <f t="shared" si="750"/>
        <v>10.042256192605951</v>
      </c>
      <c r="Q276" s="217">
        <f t="shared" si="626"/>
        <v>1.0042256192605952</v>
      </c>
      <c r="R276" s="217">
        <f t="shared" si="751"/>
        <v>14.226529606191766</v>
      </c>
      <c r="S276" s="217">
        <f t="shared" si="752"/>
        <v>170</v>
      </c>
      <c r="T276" s="217">
        <f t="shared" si="753"/>
        <v>23.899011875111338</v>
      </c>
      <c r="U276" s="217">
        <f t="shared" si="630"/>
        <v>0.80468781520294408</v>
      </c>
      <c r="V276" s="217">
        <f t="shared" si="631"/>
        <v>1.398872248866164</v>
      </c>
      <c r="W276" s="197">
        <f t="shared" si="632"/>
        <v>350</v>
      </c>
      <c r="X276" s="443">
        <f t="shared" si="691"/>
        <v>350</v>
      </c>
      <c r="Z276" s="217">
        <f t="shared" si="633"/>
        <v>30.987533394326931</v>
      </c>
      <c r="AA276" s="173">
        <f t="shared" si="634"/>
        <v>1.8137821242425543</v>
      </c>
      <c r="AB276" s="173">
        <f t="shared" si="754"/>
        <v>0.46446885161492552</v>
      </c>
      <c r="AC276" s="173"/>
      <c r="AD276" s="173">
        <f t="shared" si="636"/>
        <v>0.78043519465782496</v>
      </c>
      <c r="AE276" s="545">
        <f t="shared" si="755"/>
        <v>1465.2458264213421</v>
      </c>
      <c r="AF276" s="528">
        <f t="shared" si="756"/>
        <v>8.599239644840849E-2</v>
      </c>
      <c r="AH276" s="173">
        <f t="shared" si="757"/>
        <v>27.213442056664359</v>
      </c>
      <c r="AI276" s="173">
        <f t="shared" si="758"/>
        <v>27.213442056664359</v>
      </c>
      <c r="AJ276" s="173">
        <f t="shared" si="759"/>
        <v>11.48156201728224</v>
      </c>
      <c r="AL276" s="545">
        <f t="shared" si="760"/>
        <v>360</v>
      </c>
      <c r="AM276" s="460">
        <f t="shared" si="761"/>
        <v>350</v>
      </c>
      <c r="AO276">
        <f t="shared" si="644"/>
        <v>360</v>
      </c>
      <c r="AP276">
        <f t="shared" si="645"/>
        <v>350</v>
      </c>
      <c r="AR276" s="5">
        <f t="shared" si="774"/>
        <v>2.8571428571428572</v>
      </c>
      <c r="AS276" s="5">
        <f t="shared" si="739"/>
        <v>0.91628580073363963</v>
      </c>
      <c r="AT276" s="5">
        <f t="shared" si="740"/>
        <v>1.9408570564092176</v>
      </c>
      <c r="AU276" s="173">
        <f t="shared" si="741"/>
        <v>0.32070003025677385</v>
      </c>
      <c r="BA276" s="173">
        <f t="shared" si="692"/>
        <v>8.8975891781642993</v>
      </c>
      <c r="BB276" s="173">
        <f t="shared" si="693"/>
        <v>0.61150507727642178</v>
      </c>
      <c r="BC276" s="173">
        <f t="shared" si="694"/>
        <v>0.4834827081569486</v>
      </c>
      <c r="BD276" s="173"/>
      <c r="BE276" s="528">
        <f t="shared" si="695"/>
        <v>3.1666837273354584</v>
      </c>
      <c r="BF276" s="528">
        <f t="shared" si="762"/>
        <v>5.0130657571425044</v>
      </c>
      <c r="BG276" s="528">
        <f t="shared" si="763"/>
        <v>0.20789811895385499</v>
      </c>
      <c r="BH276" s="528">
        <f t="shared" si="696"/>
        <v>3.8303350534117896E-2</v>
      </c>
      <c r="BI276">
        <f t="shared" si="697"/>
        <v>6.6824395378024823E-3</v>
      </c>
      <c r="BJ276" s="460">
        <f t="shared" si="698"/>
        <v>214.58055849165746</v>
      </c>
      <c r="BK276">
        <f t="shared" si="764"/>
        <v>36.644612215423713</v>
      </c>
      <c r="BL276" s="460">
        <f t="shared" si="699"/>
        <v>8432.6333935037383</v>
      </c>
      <c r="BM276" s="173">
        <f t="shared" si="765"/>
        <v>0.31247999999999998</v>
      </c>
      <c r="BN276" s="173">
        <f t="shared" si="766"/>
        <v>0.26039999999999996</v>
      </c>
      <c r="BQ276" s="460">
        <f t="shared" si="700"/>
        <v>572.88</v>
      </c>
      <c r="BR276" s="528">
        <f t="shared" si="701"/>
        <v>2.3750127955015934</v>
      </c>
      <c r="BS276" s="528">
        <f t="shared" si="702"/>
        <v>1.1218153786045276E-2</v>
      </c>
      <c r="BT276" s="528">
        <f t="shared" si="703"/>
        <v>1.1687776454338858E-3</v>
      </c>
      <c r="BU276" s="528">
        <f t="shared" si="704"/>
        <v>442.68907703166855</v>
      </c>
      <c r="BV276" s="528"/>
      <c r="BW276" s="625">
        <f t="shared" si="705"/>
        <v>6.48</v>
      </c>
      <c r="BX276" s="460">
        <f t="shared" si="706"/>
        <v>451556.47675860167</v>
      </c>
      <c r="BY276" s="173">
        <f t="shared" si="707"/>
        <v>460.56199015210535</v>
      </c>
      <c r="BZ276" s="5">
        <f t="shared" si="708"/>
        <v>64.8</v>
      </c>
      <c r="CA276" s="173">
        <f t="shared" si="709"/>
        <v>0.12334352544469154</v>
      </c>
      <c r="CB276" s="5">
        <f t="shared" si="710"/>
        <v>12.334352544469155</v>
      </c>
      <c r="CC276">
        <f t="shared" si="711"/>
        <v>60</v>
      </c>
      <c r="CE276" s="562">
        <f t="shared" si="767"/>
        <v>-50</v>
      </c>
      <c r="CG276" s="173">
        <f t="shared" si="768"/>
        <v>0.54449112778381803</v>
      </c>
      <c r="CH276" s="173">
        <f t="shared" si="769"/>
        <v>0.13918877800828661</v>
      </c>
      <c r="CI276" s="170">
        <v>60</v>
      </c>
      <c r="CJ276" s="217">
        <f t="shared" si="712"/>
        <v>0.36</v>
      </c>
      <c r="CK276" s="217">
        <f t="shared" si="654"/>
        <v>0.3</v>
      </c>
      <c r="CL276" s="217">
        <f t="shared" si="655"/>
        <v>61.199999999999996</v>
      </c>
      <c r="CM276" s="217">
        <f t="shared" si="656"/>
        <v>3.5999999999999996</v>
      </c>
      <c r="CN276" s="541">
        <f t="shared" si="657"/>
        <v>16</v>
      </c>
      <c r="CO276" s="443">
        <f t="shared" si="770"/>
        <v>8.5350000000000001</v>
      </c>
      <c r="CP276" s="443">
        <f t="shared" si="771"/>
        <v>24.535</v>
      </c>
      <c r="CQ276" s="443"/>
      <c r="CR276" s="217">
        <f t="shared" si="660"/>
        <v>0.34760448521916415</v>
      </c>
      <c r="CS276" s="172">
        <f t="shared" si="661"/>
        <v>175.08966662891231</v>
      </c>
      <c r="CT276" s="172">
        <f t="shared" si="662"/>
        <v>10.2993921546419</v>
      </c>
      <c r="CU276" s="217">
        <f t="shared" si="663"/>
        <v>1.02993921546419</v>
      </c>
      <c r="CV276" s="217">
        <f t="shared" si="664"/>
        <v>14.590805552409359</v>
      </c>
      <c r="CW276" s="217">
        <f t="shared" si="665"/>
        <v>170</v>
      </c>
      <c r="CX276" s="217">
        <f t="shared" si="666"/>
        <v>23.302346041055717</v>
      </c>
      <c r="CY276" s="217">
        <f t="shared" si="667"/>
        <v>0.72819831378299116</v>
      </c>
      <c r="CZ276" s="217">
        <f t="shared" si="668"/>
        <v>1.3651052162305635</v>
      </c>
      <c r="DA276" s="197">
        <f t="shared" si="669"/>
        <v>350</v>
      </c>
      <c r="DB276" s="443">
        <f t="shared" si="670"/>
        <v>350</v>
      </c>
      <c r="DD276" s="217">
        <f t="shared" si="671"/>
        <v>31.805292730501623</v>
      </c>
      <c r="DE276" s="173">
        <f t="shared" si="672"/>
        <v>1.8632274593146818</v>
      </c>
      <c r="DF276" s="173">
        <f t="shared" si="673"/>
        <v>0.4897221442551708</v>
      </c>
      <c r="DG276" s="173"/>
      <c r="DH276" s="173">
        <f t="shared" si="674"/>
        <v>0.78109744190587771</v>
      </c>
      <c r="DI276" s="545">
        <f t="shared" si="675"/>
        <v>1464.0035294117649</v>
      </c>
      <c r="DJ276" s="528">
        <f t="shared" si="676"/>
        <v>8.6065366284073561E-2</v>
      </c>
      <c r="DL276" s="173">
        <f t="shared" si="677"/>
        <v>27.213442056664359</v>
      </c>
      <c r="DM276" s="173">
        <f t="shared" si="678"/>
        <v>27.213442056664359</v>
      </c>
      <c r="DN276" s="173">
        <f t="shared" si="679"/>
        <v>11.48156201728224</v>
      </c>
      <c r="DP276" s="545">
        <f t="shared" si="680"/>
        <v>360</v>
      </c>
      <c r="DQ276" s="460">
        <f t="shared" si="681"/>
        <v>350</v>
      </c>
      <c r="DS276">
        <f t="shared" si="682"/>
        <v>360</v>
      </c>
      <c r="DT276">
        <f t="shared" si="683"/>
        <v>350</v>
      </c>
      <c r="DV276" s="5">
        <f t="shared" si="684"/>
        <v>2.8571428571428572</v>
      </c>
      <c r="DW276" s="5">
        <f t="shared" si="685"/>
        <v>0.85042006427076111</v>
      </c>
      <c r="DX276" s="5">
        <f t="shared" si="686"/>
        <v>2.0067227928720959</v>
      </c>
      <c r="DY276" s="173">
        <f t="shared" si="687"/>
        <v>0.29764702249476638</v>
      </c>
      <c r="EA276" s="5">
        <f t="shared" si="713"/>
        <v>0.18008895478674941</v>
      </c>
      <c r="EB276" s="5">
        <f t="shared" si="714"/>
        <v>2.1260501606769022</v>
      </c>
      <c r="EC276" s="5">
        <f t="shared" si="715"/>
        <v>12.281143492377225</v>
      </c>
      <c r="ED276" s="5"/>
      <c r="EE276" s="173">
        <f t="shared" si="716"/>
        <v>8.5718314001731137</v>
      </c>
      <c r="EF276" s="173">
        <f t="shared" si="717"/>
        <v>0.62179465374566423</v>
      </c>
      <c r="EG276" s="173">
        <f t="shared" si="718"/>
        <v>0.49161809816760021</v>
      </c>
      <c r="EH276" s="173"/>
      <c r="EI276" s="528">
        <f t="shared" si="719"/>
        <v>2.9390517421197506</v>
      </c>
      <c r="EJ276" s="528">
        <f t="shared" si="720"/>
        <v>6.4264373332800044</v>
      </c>
      <c r="EK276" s="528">
        <f t="shared" si="721"/>
        <v>6.9999999999999993E-2</v>
      </c>
      <c r="EL276" s="528">
        <f t="shared" si="722"/>
        <v>4.2137635749999999E-2</v>
      </c>
      <c r="EM276">
        <f t="shared" si="723"/>
        <v>7.1999999999999998E-3</v>
      </c>
      <c r="EN276" s="460">
        <f t="shared" si="724"/>
        <v>77.199999999999989</v>
      </c>
      <c r="EP276" s="460">
        <f t="shared" si="725"/>
        <v>9484.8267111497535</v>
      </c>
      <c r="EQ276" s="173">
        <f t="shared" si="726"/>
        <v>0.252</v>
      </c>
      <c r="ER276" s="173">
        <f t="shared" si="772"/>
        <v>0.26039999999999996</v>
      </c>
      <c r="ES276" s="528"/>
      <c r="EU276" s="460">
        <f t="shared" si="727"/>
        <v>512.4</v>
      </c>
      <c r="EV276" s="528">
        <f t="shared" si="728"/>
        <v>2.2042888065898127</v>
      </c>
      <c r="EW276" s="528">
        <f t="shared" si="729"/>
        <v>1.1598857742800714E-2</v>
      </c>
      <c r="EX276" s="528">
        <f t="shared" si="730"/>
        <v>1.2084417722296411E-3</v>
      </c>
      <c r="EY276" s="528">
        <f t="shared" si="731"/>
        <v>442.68907703166855</v>
      </c>
      <c r="EZ276" s="528"/>
      <c r="FA276" s="625">
        <f t="shared" si="732"/>
        <v>6.48</v>
      </c>
      <c r="FB276" s="460">
        <f t="shared" si="733"/>
        <v>451386.17313777341</v>
      </c>
      <c r="FC276" s="173">
        <f t="shared" si="734"/>
        <v>461.38339984892315</v>
      </c>
      <c r="FD276" s="5">
        <f t="shared" si="735"/>
        <v>64.8</v>
      </c>
      <c r="FE276" s="173">
        <f t="shared" si="736"/>
        <v>0.12315097743221329</v>
      </c>
      <c r="FF276" s="5">
        <f t="shared" si="737"/>
        <v>12.31509774322133</v>
      </c>
      <c r="FG276">
        <f t="shared" si="738"/>
        <v>60</v>
      </c>
      <c r="FI276" s="562">
        <f t="shared" si="689"/>
        <v>-50</v>
      </c>
    </row>
    <row r="277" spans="5:165">
      <c r="E277" s="170">
        <v>61</v>
      </c>
      <c r="F277" s="217">
        <f t="shared" si="773"/>
        <v>0.36599999999999999</v>
      </c>
      <c r="G277" s="217">
        <f t="shared" si="742"/>
        <v>0.30499999999999999</v>
      </c>
      <c r="H277" s="217">
        <f t="shared" si="743"/>
        <v>62.22</v>
      </c>
      <c r="I277" s="217">
        <f t="shared" si="744"/>
        <v>3.66</v>
      </c>
      <c r="J277" s="541">
        <f t="shared" si="745"/>
        <v>14.840320792411411</v>
      </c>
      <c r="K277" s="443">
        <f t="shared" si="746"/>
        <v>8.5423025768130216</v>
      </c>
      <c r="L277" s="172">
        <f t="shared" si="747"/>
        <v>23.382623369224433</v>
      </c>
      <c r="M277" s="443"/>
      <c r="N277" s="217">
        <f t="shared" si="748"/>
        <v>0.36532695420549627</v>
      </c>
      <c r="O277" s="172">
        <f t="shared" si="749"/>
        <v>170.67903019798274</v>
      </c>
      <c r="P277" s="172">
        <f t="shared" si="750"/>
        <v>10.039942952822514</v>
      </c>
      <c r="Q277" s="217">
        <f t="shared" si="626"/>
        <v>1.0039942952822514</v>
      </c>
      <c r="R277" s="217">
        <f t="shared" si="751"/>
        <v>14.223252516498562</v>
      </c>
      <c r="S277" s="217">
        <f t="shared" si="752"/>
        <v>170</v>
      </c>
      <c r="T277" s="217">
        <f t="shared" si="753"/>
        <v>24.302926933604201</v>
      </c>
      <c r="U277" s="217">
        <f t="shared" si="630"/>
        <v>0.81881406990984607</v>
      </c>
      <c r="V277" s="217">
        <f t="shared" si="631"/>
        <v>1.4225044544530274</v>
      </c>
      <c r="W277" s="197">
        <f t="shared" si="632"/>
        <v>350</v>
      </c>
      <c r="X277" s="443">
        <f t="shared" si="691"/>
        <v>350</v>
      </c>
      <c r="Z277" s="217">
        <f t="shared" si="633"/>
        <v>30.980395397280905</v>
      </c>
      <c r="AA277" s="173">
        <f t="shared" si="634"/>
        <v>1.8133515594128675</v>
      </c>
      <c r="AB277" s="173">
        <f t="shared" si="754"/>
        <v>0.46425162835288192</v>
      </c>
      <c r="AC277" s="173"/>
      <c r="AD277" s="173">
        <f t="shared" si="636"/>
        <v>0.78042970343411544</v>
      </c>
      <c r="AE277" s="545">
        <f t="shared" si="755"/>
        <v>1489.6770717188167</v>
      </c>
      <c r="AF277" s="528">
        <f t="shared" si="756"/>
        <v>8.5991791396907158E-2</v>
      </c>
      <c r="AH277" s="173">
        <f t="shared" si="757"/>
        <v>27.439283622468821</v>
      </c>
      <c r="AI277" s="173">
        <f t="shared" si="758"/>
        <v>27.439283622468821</v>
      </c>
      <c r="AJ277" s="173">
        <f t="shared" si="759"/>
        <v>11.648852066026286</v>
      </c>
      <c r="AL277" s="545">
        <f t="shared" si="760"/>
        <v>366</v>
      </c>
      <c r="AM277" s="460">
        <f t="shared" si="761"/>
        <v>350</v>
      </c>
      <c r="AO277">
        <f t="shared" si="644"/>
        <v>366</v>
      </c>
      <c r="AP277">
        <f t="shared" si="645"/>
        <v>350</v>
      </c>
      <c r="AR277" s="5">
        <f t="shared" si="774"/>
        <v>2.8571428571428572</v>
      </c>
      <c r="AS277" s="5">
        <f t="shared" si="739"/>
        <v>0.9244841808439842</v>
      </c>
      <c r="AT277" s="5">
        <f t="shared" si="740"/>
        <v>1.9326586762988729</v>
      </c>
      <c r="AU277" s="173">
        <f t="shared" si="741"/>
        <v>0.32356946329539449</v>
      </c>
      <c r="BA277" s="173">
        <f t="shared" si="692"/>
        <v>9.0114754865857343</v>
      </c>
      <c r="BB277" s="173">
        <f t="shared" si="693"/>
        <v>0.61527626861139761</v>
      </c>
      <c r="BC277" s="173">
        <f t="shared" si="694"/>
        <v>0.48646437726709396</v>
      </c>
      <c r="BD277" s="173"/>
      <c r="BE277" s="528">
        <f t="shared" si="695"/>
        <v>3.2482676178134238</v>
      </c>
      <c r="BF277" s="528">
        <f t="shared" si="762"/>
        <v>5.0526191714159445</v>
      </c>
      <c r="BG277" s="528">
        <f t="shared" si="763"/>
        <v>0.20776449109375977</v>
      </c>
      <c r="BH277" s="528">
        <f t="shared" si="696"/>
        <v>3.8272295293890035E-2</v>
      </c>
      <c r="BI277">
        <f t="shared" si="697"/>
        <v>6.6781443565851351E-3</v>
      </c>
      <c r="BJ277" s="460">
        <f t="shared" si="698"/>
        <v>214.44263545034491</v>
      </c>
      <c r="BK277">
        <f t="shared" si="764"/>
        <v>40.384409800584301</v>
      </c>
      <c r="BL277" s="460">
        <f t="shared" si="699"/>
        <v>8553.6017199736034</v>
      </c>
      <c r="BM277" s="173">
        <f t="shared" si="765"/>
        <v>0.31768799999999997</v>
      </c>
      <c r="BN277" s="173">
        <f t="shared" si="766"/>
        <v>0.26473999999999998</v>
      </c>
      <c r="BQ277" s="460">
        <f t="shared" si="700"/>
        <v>582.428</v>
      </c>
      <c r="BR277" s="528">
        <f t="shared" si="701"/>
        <v>2.4362007133600678</v>
      </c>
      <c r="BS277" s="528">
        <f t="shared" si="702"/>
        <v>1.1356946601490942E-2</v>
      </c>
      <c r="BT277" s="528">
        <f t="shared" si="703"/>
        <v>1.1832379517493076E-3</v>
      </c>
      <c r="BU277" s="528">
        <f t="shared" si="704"/>
        <v>451.93090059252563</v>
      </c>
      <c r="BV277" s="528"/>
      <c r="BW277" s="625">
        <f t="shared" si="705"/>
        <v>6.588000000000001</v>
      </c>
      <c r="BX277" s="460">
        <f t="shared" si="706"/>
        <v>460967.64149043895</v>
      </c>
      <c r="BY277" s="173">
        <f t="shared" si="707"/>
        <v>470.10367121041259</v>
      </c>
      <c r="BZ277" s="5">
        <f t="shared" si="708"/>
        <v>65.88</v>
      </c>
      <c r="CA277" s="173">
        <f t="shared" si="709"/>
        <v>0.12291419223877308</v>
      </c>
      <c r="CB277" s="5">
        <f t="shared" si="710"/>
        <v>12.291419223877307</v>
      </c>
      <c r="CC277">
        <f t="shared" si="711"/>
        <v>61</v>
      </c>
      <c r="CE277" s="562">
        <f t="shared" si="767"/>
        <v>-50</v>
      </c>
      <c r="CG277" s="173">
        <f t="shared" si="768"/>
        <v>0.54900980383403197</v>
      </c>
      <c r="CH277" s="173">
        <f t="shared" si="769"/>
        <v>0.14034389140784656</v>
      </c>
      <c r="CI277" s="170">
        <v>61</v>
      </c>
      <c r="CJ277" s="217">
        <f t="shared" si="712"/>
        <v>0.36599999999999999</v>
      </c>
      <c r="CK277" s="217">
        <f t="shared" si="654"/>
        <v>0.30499999999999999</v>
      </c>
      <c r="CL277" s="217">
        <f t="shared" si="655"/>
        <v>62.22</v>
      </c>
      <c r="CM277" s="217">
        <f t="shared" si="656"/>
        <v>3.66</v>
      </c>
      <c r="CN277" s="541">
        <f t="shared" si="657"/>
        <v>16</v>
      </c>
      <c r="CO277" s="443">
        <f t="shared" si="770"/>
        <v>8.5350000000000001</v>
      </c>
      <c r="CP277" s="443">
        <f t="shared" si="771"/>
        <v>24.535</v>
      </c>
      <c r="CQ277" s="443"/>
      <c r="CR277" s="217">
        <f t="shared" si="660"/>
        <v>0.34760448521916415</v>
      </c>
      <c r="CS277" s="172">
        <f t="shared" si="661"/>
        <v>175.08966662891231</v>
      </c>
      <c r="CT277" s="172">
        <f t="shared" si="662"/>
        <v>10.2993921546419</v>
      </c>
      <c r="CU277" s="217">
        <f t="shared" si="663"/>
        <v>1.02993921546419</v>
      </c>
      <c r="CV277" s="217">
        <f t="shared" si="664"/>
        <v>14.590805552409359</v>
      </c>
      <c r="CW277" s="217">
        <f t="shared" si="665"/>
        <v>170</v>
      </c>
      <c r="CX277" s="217">
        <f t="shared" si="666"/>
        <v>23.690718475073311</v>
      </c>
      <c r="CY277" s="217">
        <f t="shared" si="667"/>
        <v>0.74033495234604085</v>
      </c>
      <c r="CZ277" s="217">
        <f t="shared" si="668"/>
        <v>1.3878569698344057</v>
      </c>
      <c r="DA277" s="197">
        <f t="shared" si="669"/>
        <v>350</v>
      </c>
      <c r="DB277" s="443">
        <f t="shared" si="670"/>
        <v>350</v>
      </c>
      <c r="DD277" s="217">
        <f t="shared" si="671"/>
        <v>31.805292730501623</v>
      </c>
      <c r="DE277" s="173">
        <f t="shared" si="672"/>
        <v>1.8632274593146818</v>
      </c>
      <c r="DF277" s="173">
        <f t="shared" si="673"/>
        <v>0.4897221442551708</v>
      </c>
      <c r="DG277" s="173"/>
      <c r="DH277" s="173">
        <f t="shared" si="674"/>
        <v>0.78109744190587771</v>
      </c>
      <c r="DI277" s="545">
        <f t="shared" si="675"/>
        <v>1488.4035882352941</v>
      </c>
      <c r="DJ277" s="528">
        <f t="shared" si="676"/>
        <v>8.6065366284073561E-2</v>
      </c>
      <c r="DL277" s="173">
        <f t="shared" si="677"/>
        <v>27.439283622468821</v>
      </c>
      <c r="DM277" s="173">
        <f t="shared" si="678"/>
        <v>27.439283622468821</v>
      </c>
      <c r="DN277" s="173">
        <f t="shared" si="679"/>
        <v>11.648852066026286</v>
      </c>
      <c r="DP277" s="545">
        <f t="shared" si="680"/>
        <v>366</v>
      </c>
      <c r="DQ277" s="460">
        <f t="shared" si="681"/>
        <v>350</v>
      </c>
      <c r="DS277">
        <f t="shared" si="682"/>
        <v>366</v>
      </c>
      <c r="DT277">
        <f t="shared" si="683"/>
        <v>350</v>
      </c>
      <c r="DV277" s="5">
        <f t="shared" si="684"/>
        <v>2.8571428571428572</v>
      </c>
      <c r="DW277" s="5">
        <f t="shared" si="685"/>
        <v>0.85747761320215066</v>
      </c>
      <c r="DX277" s="5">
        <f t="shared" si="686"/>
        <v>1.9996652439407065</v>
      </c>
      <c r="DY277" s="173">
        <f t="shared" si="687"/>
        <v>0.30011716462075272</v>
      </c>
      <c r="EA277" s="5">
        <f t="shared" si="713"/>
        <v>0.18460988613646304</v>
      </c>
      <c r="EB277" s="5">
        <f t="shared" si="714"/>
        <v>2.1794222668887993</v>
      </c>
      <c r="EC277" s="5">
        <f t="shared" si="715"/>
        <v>12.441917147799076</v>
      </c>
      <c r="ED277" s="5"/>
      <c r="EE277" s="173">
        <f t="shared" si="716"/>
        <v>8.6787576036940273</v>
      </c>
      <c r="EF277" s="173">
        <f t="shared" si="717"/>
        <v>0.62585140751025192</v>
      </c>
      <c r="EG277" s="173">
        <f t="shared" si="718"/>
        <v>0.49482554544696622</v>
      </c>
      <c r="EH277" s="173"/>
      <c r="EI277" s="528">
        <f t="shared" si="719"/>
        <v>3.0128333417470761</v>
      </c>
      <c r="EJ277" s="528">
        <f t="shared" si="720"/>
        <v>6.4797696778937484</v>
      </c>
      <c r="EK277" s="528">
        <f t="shared" si="721"/>
        <v>6.9999999999999993E-2</v>
      </c>
      <c r="EL277" s="528">
        <f t="shared" si="722"/>
        <v>4.2137635749999999E-2</v>
      </c>
      <c r="EM277">
        <f t="shared" si="723"/>
        <v>7.1999999999999998E-3</v>
      </c>
      <c r="EN277" s="460">
        <f t="shared" si="724"/>
        <v>77.199999999999989</v>
      </c>
      <c r="EP277" s="460">
        <f t="shared" si="725"/>
        <v>9611.9406553908248</v>
      </c>
      <c r="EQ277" s="173">
        <f t="shared" si="726"/>
        <v>0.25619999999999998</v>
      </c>
      <c r="ER277" s="173">
        <f t="shared" si="772"/>
        <v>0.26473999999999998</v>
      </c>
      <c r="ES277" s="528"/>
      <c r="EU277" s="460">
        <f t="shared" si="727"/>
        <v>520.93999999999994</v>
      </c>
      <c r="EV277" s="528">
        <f t="shared" si="728"/>
        <v>2.2596250063103067</v>
      </c>
      <c r="EW277" s="528">
        <f t="shared" si="729"/>
        <v>1.1750699528476901E-2</v>
      </c>
      <c r="EX277" s="528">
        <f t="shared" si="730"/>
        <v>1.2242616021344382E-3</v>
      </c>
      <c r="EY277" s="528">
        <f t="shared" si="731"/>
        <v>451.93090059252563</v>
      </c>
      <c r="EZ277" s="528"/>
      <c r="FA277" s="625">
        <f t="shared" si="732"/>
        <v>6.588000000000001</v>
      </c>
      <c r="FB277" s="460">
        <f t="shared" si="733"/>
        <v>460791.50055996655</v>
      </c>
      <c r="FC277" s="173">
        <f t="shared" si="734"/>
        <v>470.92438121535741</v>
      </c>
      <c r="FD277" s="5">
        <f t="shared" si="735"/>
        <v>65.88</v>
      </c>
      <c r="FE277" s="173">
        <f t="shared" si="736"/>
        <v>0.12272627106888308</v>
      </c>
      <c r="FF277" s="5">
        <f t="shared" si="737"/>
        <v>12.272627106888308</v>
      </c>
      <c r="FG277">
        <f t="shared" si="738"/>
        <v>61</v>
      </c>
      <c r="FI277" s="562">
        <f t="shared" si="689"/>
        <v>-50</v>
      </c>
    </row>
    <row r="278" spans="5:165">
      <c r="E278" s="170">
        <v>62</v>
      </c>
      <c r="F278" s="217">
        <f t="shared" si="773"/>
        <v>0.372</v>
      </c>
      <c r="G278" s="217">
        <f t="shared" si="742"/>
        <v>0.31</v>
      </c>
      <c r="H278" s="217">
        <f t="shared" si="743"/>
        <v>63.24</v>
      </c>
      <c r="I278" s="217">
        <f t="shared" si="744"/>
        <v>3.7199999999999998</v>
      </c>
      <c r="J278" s="541">
        <f t="shared" si="745"/>
        <v>14.830853866292012</v>
      </c>
      <c r="K278" s="443">
        <f t="shared" si="746"/>
        <v>8.5423621906740923</v>
      </c>
      <c r="L278" s="172">
        <f t="shared" si="747"/>
        <v>23.373216056966104</v>
      </c>
      <c r="M278" s="443"/>
      <c r="N278" s="217">
        <f t="shared" si="748"/>
        <v>0.3654765424601526</v>
      </c>
      <c r="O278" s="172">
        <f t="shared" si="749"/>
        <v>170.63999310616896</v>
      </c>
      <c r="P278" s="172">
        <f t="shared" si="750"/>
        <v>10.037646653304057</v>
      </c>
      <c r="Q278" s="217">
        <f t="shared" si="626"/>
        <v>1.0037646653304055</v>
      </c>
      <c r="R278" s="217">
        <f t="shared" si="751"/>
        <v>14.21999942551408</v>
      </c>
      <c r="S278" s="217">
        <f t="shared" si="752"/>
        <v>170</v>
      </c>
      <c r="T278" s="217">
        <f t="shared" si="753"/>
        <v>24.706986464637776</v>
      </c>
      <c r="U278" s="217">
        <f t="shared" si="630"/>
        <v>0.83295900180071625</v>
      </c>
      <c r="V278" s="217">
        <f t="shared" si="631"/>
        <v>1.4461448667917058</v>
      </c>
      <c r="W278" s="197">
        <f t="shared" si="632"/>
        <v>350</v>
      </c>
      <c r="X278" s="443">
        <f t="shared" si="691"/>
        <v>350</v>
      </c>
      <c r="Z278" s="217">
        <f t="shared" si="633"/>
        <v>30.973309673052515</v>
      </c>
      <c r="AA278" s="173">
        <f t="shared" si="634"/>
        <v>1.8129241643995642</v>
      </c>
      <c r="AB278" s="173">
        <f t="shared" si="754"/>
        <v>0.46403605037272305</v>
      </c>
      <c r="AC278" s="173"/>
      <c r="AD278" s="173">
        <f t="shared" si="636"/>
        <v>0.78042425711530139</v>
      </c>
      <c r="AE278" s="545">
        <f t="shared" si="755"/>
        <v>1514.1085737023041</v>
      </c>
      <c r="AF278" s="528">
        <f t="shared" si="756"/>
        <v>8.5991191293260077E-2</v>
      </c>
      <c r="AH278" s="173">
        <f t="shared" si="757"/>
        <v>27.663281491123627</v>
      </c>
      <c r="AI278" s="173">
        <f t="shared" si="758"/>
        <v>27.663281491123627</v>
      </c>
      <c r="AJ278" s="173">
        <f t="shared" si="759"/>
        <v>11.814776413177993</v>
      </c>
      <c r="AL278" s="545">
        <f t="shared" si="760"/>
        <v>372</v>
      </c>
      <c r="AM278" s="460">
        <f t="shared" si="761"/>
        <v>350</v>
      </c>
      <c r="AO278">
        <f t="shared" si="644"/>
        <v>372</v>
      </c>
      <c r="AP278">
        <f t="shared" si="645"/>
        <v>350</v>
      </c>
      <c r="AR278" s="5">
        <f t="shared" si="774"/>
        <v>2.8571428571428572</v>
      </c>
      <c r="AS278" s="5">
        <f t="shared" si="739"/>
        <v>0.93262605580645364</v>
      </c>
      <c r="AT278" s="5">
        <f t="shared" si="740"/>
        <v>1.9245168013364036</v>
      </c>
      <c r="AU278" s="173">
        <f t="shared" si="741"/>
        <v>0.32641911953225877</v>
      </c>
      <c r="BA278" s="173">
        <f t="shared" si="692"/>
        <v>9.1249577677050215</v>
      </c>
      <c r="BB278" s="173">
        <f t="shared" si="693"/>
        <v>0.61899104325189003</v>
      </c>
      <c r="BC278" s="173">
        <f t="shared" si="694"/>
        <v>0.48940144086659393</v>
      </c>
      <c r="BD278" s="173"/>
      <c r="BE278" s="528">
        <f t="shared" si="695"/>
        <v>3.3305941704960085</v>
      </c>
      <c r="BF278" s="528">
        <f t="shared" si="762"/>
        <v>5.0918163592015437</v>
      </c>
      <c r="BG278" s="528">
        <f t="shared" si="763"/>
        <v>0.20763195412808819</v>
      </c>
      <c r="BH278" s="528">
        <f t="shared" si="696"/>
        <v>3.8241506019193267E-2</v>
      </c>
      <c r="BI278">
        <f t="shared" si="697"/>
        <v>6.6738842398314053E-3</v>
      </c>
      <c r="BJ278" s="460">
        <f t="shared" si="698"/>
        <v>214.30583836791959</v>
      </c>
      <c r="BK278">
        <f t="shared" si="764"/>
        <v>44.85921614595425</v>
      </c>
      <c r="BL278" s="460">
        <f t="shared" si="699"/>
        <v>8674.9578740846646</v>
      </c>
      <c r="BM278" s="173">
        <f t="shared" si="765"/>
        <v>0.32289599999999996</v>
      </c>
      <c r="BN278" s="173">
        <f t="shared" si="766"/>
        <v>0.26907999999999999</v>
      </c>
      <c r="BQ278" s="460">
        <f t="shared" si="700"/>
        <v>591.976</v>
      </c>
      <c r="BR278" s="528">
        <f t="shared" si="701"/>
        <v>2.497945627872006</v>
      </c>
      <c r="BS278" s="528">
        <f t="shared" si="702"/>
        <v>1.1494497348781895E-2</v>
      </c>
      <c r="BT278" s="528">
        <f t="shared" si="703"/>
        <v>1.1975688516114912E-3</v>
      </c>
      <c r="BU278" s="528">
        <f t="shared" si="704"/>
        <v>461.21067969170156</v>
      </c>
      <c r="BV278" s="528"/>
      <c r="BW278" s="625">
        <f t="shared" si="705"/>
        <v>6.6960000000000015</v>
      </c>
      <c r="BX278" s="460">
        <f t="shared" si="706"/>
        <v>470417.31738577399</v>
      </c>
      <c r="BY278" s="173">
        <f t="shared" si="707"/>
        <v>479.68425125985863</v>
      </c>
      <c r="BZ278" s="5">
        <f t="shared" si="708"/>
        <v>66.960000000000008</v>
      </c>
      <c r="CA278" s="173">
        <f t="shared" si="709"/>
        <v>0.12249282754858642</v>
      </c>
      <c r="CB278" s="5">
        <f t="shared" si="710"/>
        <v>12.249282754858642</v>
      </c>
      <c r="CC278">
        <f t="shared" si="711"/>
        <v>62</v>
      </c>
      <c r="CE278" s="562">
        <f t="shared" si="767"/>
        <v>-50</v>
      </c>
      <c r="CG278" s="173">
        <f t="shared" si="768"/>
        <v>0.55349159088144284</v>
      </c>
      <c r="CH278" s="173">
        <f t="shared" si="769"/>
        <v>0.14148957483699906</v>
      </c>
      <c r="CI278" s="170">
        <v>62</v>
      </c>
      <c r="CJ278" s="217">
        <f t="shared" si="712"/>
        <v>0.372</v>
      </c>
      <c r="CK278" s="217">
        <f t="shared" si="654"/>
        <v>0.31</v>
      </c>
      <c r="CL278" s="217">
        <f t="shared" si="655"/>
        <v>63.24</v>
      </c>
      <c r="CM278" s="217">
        <f t="shared" si="656"/>
        <v>3.7199999999999998</v>
      </c>
      <c r="CN278" s="541">
        <f t="shared" si="657"/>
        <v>16</v>
      </c>
      <c r="CO278" s="443">
        <f t="shared" si="770"/>
        <v>8.5350000000000001</v>
      </c>
      <c r="CP278" s="443">
        <f t="shared" si="771"/>
        <v>24.535</v>
      </c>
      <c r="CQ278" s="443"/>
      <c r="CR278" s="217">
        <f t="shared" si="660"/>
        <v>0.34760448521916415</v>
      </c>
      <c r="CS278" s="172">
        <f t="shared" si="661"/>
        <v>175.08966662891231</v>
      </c>
      <c r="CT278" s="172">
        <f t="shared" si="662"/>
        <v>10.2993921546419</v>
      </c>
      <c r="CU278" s="217">
        <f t="shared" si="663"/>
        <v>1.02993921546419</v>
      </c>
      <c r="CV278" s="217">
        <f t="shared" si="664"/>
        <v>14.590805552409359</v>
      </c>
      <c r="CW278" s="217">
        <f t="shared" si="665"/>
        <v>170</v>
      </c>
      <c r="CX278" s="217">
        <f t="shared" si="666"/>
        <v>24.079090909090908</v>
      </c>
      <c r="CY278" s="217">
        <f t="shared" si="667"/>
        <v>0.75247159090909088</v>
      </c>
      <c r="CZ278" s="217">
        <f t="shared" si="668"/>
        <v>1.4106087234382487</v>
      </c>
      <c r="DA278" s="197">
        <f t="shared" si="669"/>
        <v>350</v>
      </c>
      <c r="DB278" s="443">
        <f t="shared" si="670"/>
        <v>350</v>
      </c>
      <c r="DD278" s="217">
        <f t="shared" si="671"/>
        <v>31.805292730501623</v>
      </c>
      <c r="DE278" s="173">
        <f t="shared" si="672"/>
        <v>1.8632274593146818</v>
      </c>
      <c r="DF278" s="173">
        <f t="shared" si="673"/>
        <v>0.4897221442551708</v>
      </c>
      <c r="DG278" s="173"/>
      <c r="DH278" s="173">
        <f t="shared" si="674"/>
        <v>0.78109744190587771</v>
      </c>
      <c r="DI278" s="545">
        <f t="shared" si="675"/>
        <v>1512.8036470588236</v>
      </c>
      <c r="DJ278" s="528">
        <f t="shared" si="676"/>
        <v>8.6065366284073561E-2</v>
      </c>
      <c r="DL278" s="173">
        <f t="shared" si="677"/>
        <v>27.663281491123627</v>
      </c>
      <c r="DM278" s="173">
        <f t="shared" si="678"/>
        <v>27.663281491123627</v>
      </c>
      <c r="DN278" s="173">
        <f t="shared" si="679"/>
        <v>11.814776413177993</v>
      </c>
      <c r="DP278" s="545">
        <f t="shared" si="680"/>
        <v>372</v>
      </c>
      <c r="DQ278" s="460">
        <f t="shared" si="681"/>
        <v>350</v>
      </c>
      <c r="DS278">
        <f t="shared" si="682"/>
        <v>372</v>
      </c>
      <c r="DT278">
        <f t="shared" si="683"/>
        <v>350</v>
      </c>
      <c r="DV278" s="5">
        <f t="shared" si="684"/>
        <v>2.8571428571428572</v>
      </c>
      <c r="DW278" s="5">
        <f t="shared" si="685"/>
        <v>0.86447754659761333</v>
      </c>
      <c r="DX278" s="5">
        <f t="shared" si="686"/>
        <v>1.9926653105452439</v>
      </c>
      <c r="DY278" s="173">
        <f t="shared" si="687"/>
        <v>0.30256714130916468</v>
      </c>
      <c r="EA278" s="5">
        <f t="shared" si="713"/>
        <v>0.18916802784371303</v>
      </c>
      <c r="EB278" s="5">
        <f t="shared" si="714"/>
        <v>2.2332336620438347</v>
      </c>
      <c r="EC278" s="5">
        <f t="shared" si="715"/>
        <v>12.601615423888124</v>
      </c>
      <c r="ED278" s="5"/>
      <c r="EE278" s="173">
        <f t="shared" si="716"/>
        <v>8.7852464598459008</v>
      </c>
      <c r="EF278" s="173">
        <f t="shared" si="717"/>
        <v>0.62985516002005215</v>
      </c>
      <c r="EG278" s="173">
        <f t="shared" si="718"/>
        <v>0.49799108761196342</v>
      </c>
      <c r="EH278" s="173"/>
      <c r="EI278" s="528">
        <f t="shared" si="719"/>
        <v>3.0872222144093975</v>
      </c>
      <c r="EJ278" s="528">
        <f t="shared" si="720"/>
        <v>6.5326666345779127</v>
      </c>
      <c r="EK278" s="528">
        <f t="shared" si="721"/>
        <v>6.9999999999999993E-2</v>
      </c>
      <c r="EL278" s="528">
        <f t="shared" si="722"/>
        <v>4.2137635749999999E-2</v>
      </c>
      <c r="EM278">
        <f t="shared" si="723"/>
        <v>7.1999999999999998E-3</v>
      </c>
      <c r="EN278" s="460">
        <f t="shared" si="724"/>
        <v>77.199999999999989</v>
      </c>
      <c r="EP278" s="460">
        <f t="shared" si="725"/>
        <v>9739.2264847373099</v>
      </c>
      <c r="EQ278" s="173">
        <f t="shared" si="726"/>
        <v>0.26039999999999996</v>
      </c>
      <c r="ER278" s="173">
        <f t="shared" si="772"/>
        <v>0.26907999999999999</v>
      </c>
      <c r="ES278" s="528"/>
      <c r="EU278" s="460">
        <f t="shared" si="727"/>
        <v>529.4799999999999</v>
      </c>
      <c r="EV278" s="528">
        <f t="shared" si="728"/>
        <v>2.3154166608070481</v>
      </c>
      <c r="EW278" s="528">
        <f t="shared" si="729"/>
        <v>1.1901525678116564E-2</v>
      </c>
      <c r="EX278" s="528">
        <f t="shared" si="730"/>
        <v>1.2399756167047313E-3</v>
      </c>
      <c r="EY278" s="528">
        <f t="shared" si="731"/>
        <v>461.21067969170156</v>
      </c>
      <c r="EZ278" s="528"/>
      <c r="FA278" s="625">
        <f t="shared" si="732"/>
        <v>6.6960000000000015</v>
      </c>
      <c r="FB278" s="460">
        <f t="shared" si="733"/>
        <v>470235.23785380344</v>
      </c>
      <c r="FC278" s="173">
        <f t="shared" si="734"/>
        <v>480.50394433854075</v>
      </c>
      <c r="FD278" s="5">
        <f t="shared" si="735"/>
        <v>66.960000000000008</v>
      </c>
      <c r="FE278" s="173">
        <f t="shared" si="736"/>
        <v>0.1223094245611055</v>
      </c>
      <c r="FF278" s="5">
        <f t="shared" si="737"/>
        <v>12.230942456110549</v>
      </c>
      <c r="FG278">
        <f t="shared" si="738"/>
        <v>62</v>
      </c>
      <c r="FI278" s="562">
        <f t="shared" si="689"/>
        <v>-50</v>
      </c>
    </row>
    <row r="279" spans="5:165">
      <c r="E279" s="170">
        <v>63</v>
      </c>
      <c r="F279" s="217">
        <f t="shared" si="773"/>
        <v>0.378</v>
      </c>
      <c r="G279" s="217">
        <f t="shared" si="742"/>
        <v>0.315</v>
      </c>
      <c r="H279" s="217">
        <f t="shared" si="743"/>
        <v>64.260000000000005</v>
      </c>
      <c r="I279" s="217">
        <f t="shared" si="744"/>
        <v>3.7800000000000002</v>
      </c>
      <c r="J279" s="541">
        <f t="shared" si="745"/>
        <v>14.821462983434389</v>
      </c>
      <c r="K279" s="443">
        <f t="shared" si="746"/>
        <v>8.5424213256857087</v>
      </c>
      <c r="L279" s="172">
        <f t="shared" si="747"/>
        <v>23.363884309120095</v>
      </c>
      <c r="M279" s="443"/>
      <c r="N279" s="217">
        <f t="shared" si="748"/>
        <v>0.36562504815824537</v>
      </c>
      <c r="O279" s="172">
        <f t="shared" si="749"/>
        <v>170.60123701962118</v>
      </c>
      <c r="P279" s="172">
        <f t="shared" si="750"/>
        <v>10.035366883507129</v>
      </c>
      <c r="Q279" s="217">
        <f t="shared" si="626"/>
        <v>1.0035366883507129</v>
      </c>
      <c r="R279" s="217">
        <f t="shared" si="751"/>
        <v>14.216769751635098</v>
      </c>
      <c r="S279" s="217">
        <f t="shared" si="752"/>
        <v>170</v>
      </c>
      <c r="T279" s="217">
        <f t="shared" si="753"/>
        <v>25.111189548451453</v>
      </c>
      <c r="U279" s="217">
        <f t="shared" si="630"/>
        <v>0.84712249986784893</v>
      </c>
      <c r="V279" s="217">
        <f t="shared" si="631"/>
        <v>1.4697934339146959</v>
      </c>
      <c r="W279" s="197">
        <f t="shared" si="632"/>
        <v>350</v>
      </c>
      <c r="X279" s="443">
        <f t="shared" si="691"/>
        <v>350</v>
      </c>
      <c r="Z279" s="217">
        <f t="shared" si="633"/>
        <v>30.966274954821998</v>
      </c>
      <c r="AA279" s="173">
        <f t="shared" si="634"/>
        <v>1.8124998624050133</v>
      </c>
      <c r="AB279" s="173">
        <f t="shared" si="754"/>
        <v>0.46382207793628272</v>
      </c>
      <c r="AC279" s="173"/>
      <c r="AD279" s="173">
        <f t="shared" si="636"/>
        <v>0.78041885461924654</v>
      </c>
      <c r="AE279" s="545">
        <f t="shared" si="755"/>
        <v>1538.5403302932059</v>
      </c>
      <c r="AF279" s="528">
        <f t="shared" si="756"/>
        <v>8.5990596018231794E-2</v>
      </c>
      <c r="AH279" s="173">
        <f t="shared" si="757"/>
        <v>27.885480092693403</v>
      </c>
      <c r="AI279" s="173">
        <f t="shared" si="758"/>
        <v>27.885480092693403</v>
      </c>
      <c r="AJ279" s="173">
        <f t="shared" si="759"/>
        <v>11.979367969896346</v>
      </c>
      <c r="AL279" s="545">
        <f t="shared" si="760"/>
        <v>378</v>
      </c>
      <c r="AM279" s="460">
        <f t="shared" si="761"/>
        <v>350</v>
      </c>
      <c r="AO279">
        <f t="shared" si="644"/>
        <v>378</v>
      </c>
      <c r="AP279">
        <f t="shared" si="645"/>
        <v>350</v>
      </c>
      <c r="AR279" s="5">
        <f t="shared" si="774"/>
        <v>2.8571428571428572</v>
      </c>
      <c r="AS279" s="5">
        <f t="shared" si="739"/>
        <v>0.94071280695638371</v>
      </c>
      <c r="AT279" s="5">
        <f t="shared" si="740"/>
        <v>1.9164300501864735</v>
      </c>
      <c r="AU279" s="173">
        <f t="shared" si="741"/>
        <v>0.32924948243473429</v>
      </c>
      <c r="BA279" s="173">
        <f t="shared" si="692"/>
        <v>9.2380444817657761</v>
      </c>
      <c r="BB279" s="173">
        <f t="shared" si="693"/>
        <v>0.6226506236668552</v>
      </c>
      <c r="BC279" s="173">
        <f t="shared" si="694"/>
        <v>0.49229486549296975</v>
      </c>
      <c r="BD279" s="173"/>
      <c r="BE279" s="528">
        <f t="shared" si="695"/>
        <v>3.4136586338833239</v>
      </c>
      <c r="BF279" s="528">
        <f t="shared" si="762"/>
        <v>5.1306659049709369</v>
      </c>
      <c r="BG279" s="528">
        <f t="shared" si="763"/>
        <v>0.20750048176808142</v>
      </c>
      <c r="BH279" s="528">
        <f t="shared" si="696"/>
        <v>3.8210976300696371E-2</v>
      </c>
      <c r="BI279">
        <f t="shared" si="697"/>
        <v>6.6696583425454748E-3</v>
      </c>
      <c r="BJ279" s="460">
        <f t="shared" si="698"/>
        <v>214.1701401106269</v>
      </c>
      <c r="BK279">
        <f t="shared" si="764"/>
        <v>50.309599592716111</v>
      </c>
      <c r="BL279" s="460">
        <f t="shared" si="699"/>
        <v>8796.7056552655831</v>
      </c>
      <c r="BM279" s="173">
        <f t="shared" si="765"/>
        <v>0.32810400000000001</v>
      </c>
      <c r="BN279" s="173">
        <f t="shared" si="766"/>
        <v>0.27341999999999994</v>
      </c>
      <c r="BQ279" s="460">
        <f t="shared" si="700"/>
        <v>601.524</v>
      </c>
      <c r="BR279" s="528">
        <f t="shared" si="701"/>
        <v>2.5602439754124928</v>
      </c>
      <c r="BS279" s="528">
        <f t="shared" si="702"/>
        <v>1.1630813974581711E-2</v>
      </c>
      <c r="BT279" s="528">
        <f t="shared" si="703"/>
        <v>1.211771172953706E-3</v>
      </c>
      <c r="BU279" s="528">
        <f t="shared" si="704"/>
        <v>470.52795422238518</v>
      </c>
      <c r="BV279" s="528"/>
      <c r="BW279" s="625">
        <f t="shared" si="705"/>
        <v>6.8040000000000012</v>
      </c>
      <c r="BX279" s="460">
        <f t="shared" si="706"/>
        <v>479905.04078294517</v>
      </c>
      <c r="BY279" s="173">
        <f t="shared" si="707"/>
        <v>489.30327043821075</v>
      </c>
      <c r="BZ279" s="5">
        <f t="shared" si="708"/>
        <v>68.040000000000006</v>
      </c>
      <c r="CA279" s="173">
        <f t="shared" si="709"/>
        <v>0.12207916307395908</v>
      </c>
      <c r="CB279" s="5">
        <f t="shared" si="710"/>
        <v>12.207916307395909</v>
      </c>
      <c r="CC279">
        <f t="shared" si="711"/>
        <v>63</v>
      </c>
      <c r="CE279" s="562">
        <f t="shared" si="767"/>
        <v>-50</v>
      </c>
      <c r="CG279" s="173">
        <f t="shared" si="768"/>
        <v>0.55793737789025999</v>
      </c>
      <c r="CH279" s="173">
        <f t="shared" si="769"/>
        <v>0.1426260555424993</v>
      </c>
      <c r="CI279" s="170">
        <v>63</v>
      </c>
      <c r="CJ279" s="217">
        <f t="shared" si="712"/>
        <v>0.378</v>
      </c>
      <c r="CK279" s="217">
        <f t="shared" si="654"/>
        <v>0.315</v>
      </c>
      <c r="CL279" s="217">
        <f t="shared" si="655"/>
        <v>64.260000000000005</v>
      </c>
      <c r="CM279" s="217">
        <f t="shared" si="656"/>
        <v>3.7800000000000002</v>
      </c>
      <c r="CN279" s="541">
        <f t="shared" si="657"/>
        <v>16</v>
      </c>
      <c r="CO279" s="443">
        <f t="shared" si="770"/>
        <v>8.5350000000000001</v>
      </c>
      <c r="CP279" s="443">
        <f t="shared" si="771"/>
        <v>24.535</v>
      </c>
      <c r="CQ279" s="443"/>
      <c r="CR279" s="217">
        <f t="shared" si="660"/>
        <v>0.34760448521916415</v>
      </c>
      <c r="CS279" s="172">
        <f t="shared" si="661"/>
        <v>175.08966662891231</v>
      </c>
      <c r="CT279" s="172">
        <f t="shared" si="662"/>
        <v>10.2993921546419</v>
      </c>
      <c r="CU279" s="217">
        <f t="shared" si="663"/>
        <v>1.02993921546419</v>
      </c>
      <c r="CV279" s="217">
        <f t="shared" si="664"/>
        <v>14.590805552409359</v>
      </c>
      <c r="CW279" s="217">
        <f t="shared" si="665"/>
        <v>170</v>
      </c>
      <c r="CX279" s="217">
        <f t="shared" si="666"/>
        <v>24.467463343108506</v>
      </c>
      <c r="CY279" s="217">
        <f t="shared" si="667"/>
        <v>0.7646082294721408</v>
      </c>
      <c r="CZ279" s="217">
        <f t="shared" si="668"/>
        <v>1.4333604770420916</v>
      </c>
      <c r="DA279" s="197">
        <f t="shared" si="669"/>
        <v>350</v>
      </c>
      <c r="DB279" s="443">
        <f t="shared" si="670"/>
        <v>350</v>
      </c>
      <c r="DD279" s="217">
        <f t="shared" si="671"/>
        <v>31.805292730501623</v>
      </c>
      <c r="DE279" s="173">
        <f t="shared" si="672"/>
        <v>1.8632274593146818</v>
      </c>
      <c r="DF279" s="173">
        <f t="shared" si="673"/>
        <v>0.4897221442551708</v>
      </c>
      <c r="DG279" s="173"/>
      <c r="DH279" s="173">
        <f t="shared" si="674"/>
        <v>0.78109744190587771</v>
      </c>
      <c r="DI279" s="545">
        <f t="shared" si="675"/>
        <v>1537.2037058823528</v>
      </c>
      <c r="DJ279" s="528">
        <f t="shared" si="676"/>
        <v>8.6065366284073561E-2</v>
      </c>
      <c r="DL279" s="173">
        <f t="shared" si="677"/>
        <v>27.885480092693403</v>
      </c>
      <c r="DM279" s="173">
        <f t="shared" si="678"/>
        <v>27.885480092693403</v>
      </c>
      <c r="DN279" s="173">
        <f t="shared" si="679"/>
        <v>11.979367969896346</v>
      </c>
      <c r="DP279" s="545">
        <f t="shared" si="680"/>
        <v>378</v>
      </c>
      <c r="DQ279" s="460">
        <f t="shared" si="681"/>
        <v>350</v>
      </c>
      <c r="DS279">
        <f t="shared" si="682"/>
        <v>378</v>
      </c>
      <c r="DT279">
        <f t="shared" si="683"/>
        <v>350</v>
      </c>
      <c r="DV279" s="5">
        <f t="shared" si="684"/>
        <v>2.8571428571428572</v>
      </c>
      <c r="DW279" s="5">
        <f t="shared" si="685"/>
        <v>0.87142125289666883</v>
      </c>
      <c r="DX279" s="5">
        <f t="shared" si="686"/>
        <v>1.9857216042461885</v>
      </c>
      <c r="DY279" s="173">
        <f t="shared" si="687"/>
        <v>0.3049974385138341</v>
      </c>
      <c r="EA279" s="5">
        <f t="shared" si="713"/>
        <v>0.19376307858525932</v>
      </c>
      <c r="EB279" s="5">
        <f t="shared" si="714"/>
        <v>2.2874807888537556</v>
      </c>
      <c r="EC279" s="5">
        <f t="shared" si="715"/>
        <v>12.760247028886008</v>
      </c>
      <c r="ED279" s="5"/>
      <c r="EE279" s="173">
        <f t="shared" si="716"/>
        <v>8.8913067691304981</v>
      </c>
      <c r="EF279" s="173">
        <f t="shared" si="717"/>
        <v>0.63380713197234051</v>
      </c>
      <c r="EG279" s="173">
        <f t="shared" si="718"/>
        <v>0.50111568979934473</v>
      </c>
      <c r="EH279" s="173"/>
      <c r="EI279" s="528">
        <f t="shared" si="719"/>
        <v>3.1622134425114328</v>
      </c>
      <c r="EJ279" s="528">
        <f t="shared" si="720"/>
        <v>6.5851386954644902</v>
      </c>
      <c r="EK279" s="528">
        <f t="shared" si="721"/>
        <v>6.9999999999999993E-2</v>
      </c>
      <c r="EL279" s="528">
        <f t="shared" si="722"/>
        <v>4.2137635749999999E-2</v>
      </c>
      <c r="EM279">
        <f t="shared" si="723"/>
        <v>7.1999999999999998E-3</v>
      </c>
      <c r="EN279" s="460">
        <f t="shared" si="724"/>
        <v>77.199999999999989</v>
      </c>
      <c r="EP279" s="460">
        <f t="shared" si="725"/>
        <v>9866.6897737259242</v>
      </c>
      <c r="EQ279" s="173">
        <f t="shared" si="726"/>
        <v>0.2646</v>
      </c>
      <c r="ER279" s="173">
        <f t="shared" si="772"/>
        <v>0.27341999999999994</v>
      </c>
      <c r="ES279" s="528"/>
      <c r="EU279" s="460">
        <f t="shared" si="727"/>
        <v>538.02</v>
      </c>
      <c r="EV279" s="528">
        <f t="shared" si="728"/>
        <v>2.3716600818835745</v>
      </c>
      <c r="EW279" s="528">
        <f t="shared" si="729"/>
        <v>1.2051344416170114E-2</v>
      </c>
      <c r="EX279" s="528">
        <f t="shared" si="730"/>
        <v>1.2555846728153656E-3</v>
      </c>
      <c r="EY279" s="528">
        <f t="shared" si="731"/>
        <v>470.52795422238518</v>
      </c>
      <c r="EZ279" s="528"/>
      <c r="FA279" s="625">
        <f t="shared" si="732"/>
        <v>6.8040000000000012</v>
      </c>
      <c r="FB279" s="460">
        <f t="shared" si="733"/>
        <v>479716.92123335769</v>
      </c>
      <c r="FC279" s="173">
        <f t="shared" si="734"/>
        <v>490.12163100708364</v>
      </c>
      <c r="FD279" s="5">
        <f t="shared" si="735"/>
        <v>68.040000000000006</v>
      </c>
      <c r="FE279" s="173">
        <f t="shared" si="736"/>
        <v>0.12190017410769768</v>
      </c>
      <c r="FF279" s="5">
        <f t="shared" si="737"/>
        <v>12.190017410769768</v>
      </c>
      <c r="FG279">
        <f t="shared" si="738"/>
        <v>63</v>
      </c>
      <c r="FI279" s="562">
        <f t="shared" si="689"/>
        <v>-50</v>
      </c>
    </row>
    <row r="280" spans="5:165">
      <c r="E280" s="170">
        <v>64</v>
      </c>
      <c r="F280" s="217">
        <f t="shared" si="773"/>
        <v>0.38400000000000001</v>
      </c>
      <c r="G280" s="217">
        <f t="shared" ref="G280:G316" si="775">IF(PLOT_TYPE=1, E280/100*Iout2, min_I*EXP(Q280*rr/100))</f>
        <v>0.32</v>
      </c>
      <c r="H280" s="217">
        <f t="shared" ref="H280:H316" si="776">F280*Vout</f>
        <v>65.28</v>
      </c>
      <c r="I280" s="217">
        <f t="shared" ref="I280:I316" si="777">Vout2*G280</f>
        <v>3.84</v>
      </c>
      <c r="J280" s="541">
        <f t="shared" ref="J280:J316" si="778">VIN_max-(F280/CG280/Nps+G280/CH280/(Nps/Nsec1sec2))*(Rdcr_pri+RON/1000)</f>
        <v>14.812146340298431</v>
      </c>
      <c r="K280" s="443">
        <f t="shared" ref="K280:K316" si="779">MAX((S280+Vfwd2+Rdcr_sec*F280/CG280)*Nps,(Vout2+Vfwd22+Rdcr_sec2*G280/CH280)*Nps/Nsec1sec2)</f>
        <v>8.5424799932048749</v>
      </c>
      <c r="L280" s="172">
        <f t="shared" ref="L280:L316" si="780">MAX((Vout+Vfwd2+F280/CG280*Rdcr_sec)*Nps+J280, (Vout2+Vfwd22+G280/CH280*Rdcr_sec2)*Nps/Nsec1sec2+J280)</f>
        <v>23.354626333503305</v>
      </c>
      <c r="M280" s="443"/>
      <c r="N280" s="217">
        <f t="shared" ref="N280:N316" si="781">MAX((Vout+Vfwd2+F280/CG280*Rdcr_sec)*Nps/((Vout+Vfwd2+F280/CG280*Rdcr_sec)*Nps+J280), (Vout2+Vfwd22+G280/CH280*Rdcr_sec2)*Nps/Nsec1sec2/((Vout2+Vfwd22+G280/CH280*Rdcr_sec2)*Nps/Nsec1sec2+J280))</f>
        <v>0.36577249711549814</v>
      </c>
      <c r="O280" s="172">
        <f t="shared" ref="O280:O311" si="782">N280*J280*Isw_max*0.5*Efficiency*Pout/(Pout+Pout2)</f>
        <v>170.56275523523976</v>
      </c>
      <c r="P280" s="172">
        <f t="shared" ref="P280:P316" si="783">N280*J280*Isw_max*0.5*Efficiency*(Pout2/Pout_total)</f>
        <v>10.033103249131749</v>
      </c>
      <c r="Q280" s="217">
        <f t="shared" ref="Q280:Q316" si="784">O280/Vout</f>
        <v>1.0033103249131752</v>
      </c>
      <c r="R280" s="217">
        <f t="shared" ref="R280:R316" si="785">O280/Vout2</f>
        <v>14.21356293626998</v>
      </c>
      <c r="S280" s="217">
        <f t="shared" ref="S280:S316" si="786">MIN(Vout,O280/F280)</f>
        <v>170</v>
      </c>
      <c r="T280" s="217">
        <f t="shared" ref="T280:T316" si="787">MIN(2*(Vout*F280+Vout2*G280)/(Efficiency*J280*N280), Isw_max)</f>
        <v>25.515535287863592</v>
      </c>
      <c r="U280" s="217">
        <f t="shared" ref="U280:U316" si="788">L*T280/J280*1000000</f>
        <v>0.86130445587231175</v>
      </c>
      <c r="V280" s="217">
        <f t="shared" ref="V280:V316" si="789">L*T280/K280*1000000</f>
        <v>1.4934501051310598</v>
      </c>
      <c r="W280" s="197">
        <f t="shared" ref="W280:W316" si="790">IF(1/((350000*L)*(1/J280+1/K280))&gt;Isw_min, 350, 0.001/((Isw_min*L)*(1/J280+1/K280)))</f>
        <v>350</v>
      </c>
      <c r="X280" s="443">
        <f t="shared" si="691"/>
        <v>350</v>
      </c>
      <c r="Z280" s="217">
        <f t="shared" ref="Z280:Z316" si="791">1/((W280*1000*L)*(1/J280+1/K280))</f>
        <v>30.959290025892251</v>
      </c>
      <c r="AA280" s="173">
        <f t="shared" ref="AA280:AA316" si="792">L*Z280/K280*1000000</f>
        <v>1.8120785796700052</v>
      </c>
      <c r="AB280" s="173">
        <f t="shared" ref="AB280:AB311" si="793">0.5*AA280*Z280*Nps*W280/1000*(Pout/(Pout+Pout2))</f>
        <v>0.4636096728769139</v>
      </c>
      <c r="AC280" s="173"/>
      <c r="AD280" s="173">
        <f t="shared" ref="AD280:AD316" si="794">L*Isw_min/K280*1000000</f>
        <v>0.78041349490659317</v>
      </c>
      <c r="AE280" s="545">
        <f t="shared" ref="AE280:AE311" si="795">MAX(10, F280/(0.5*AD280/1000000*Isw_min*Nps)/1000*Pout_total/Pout)</f>
        <v>1562.9723394626144</v>
      </c>
      <c r="AF280" s="528">
        <f t="shared" ref="AF280:AF316" si="796">0.5*AD280/1000000*Isw_min*Nps*W280*1000*(Pout/Pout_total)</f>
        <v>8.5990005457300539E-2</v>
      </c>
      <c r="AH280" s="173">
        <f t="shared" ref="AH280:AH315" si="797">SQRT((H280+I280)/(0.5*L*Fsw_DCM))</f>
        <v>28.105922100917759</v>
      </c>
      <c r="AI280" s="173">
        <f t="shared" ref="AI280:AI311" si="798">MAX(IF(F280&gt;AB280,T280,AH280),Isw_min)</f>
        <v>28.105922100917759</v>
      </c>
      <c r="AJ280" s="173">
        <f t="shared" ref="AJ280:AJ311" si="799">IF(F280&gt;AF280, (AI280-Isw_min)/1.08*0.8+1.2, AE280*0.2/350+1)</f>
        <v>12.142658346358832</v>
      </c>
      <c r="AL280" s="545">
        <f t="shared" ref="AL280:AL316" si="800">F280*1000</f>
        <v>384</v>
      </c>
      <c r="AM280" s="460">
        <f t="shared" ref="AM280:AM316" si="801">IF(F280&gt;AF280, X280, AE280)</f>
        <v>350</v>
      </c>
      <c r="AO280">
        <f t="shared" ref="AO280:AO316" si="802">IF(H280&gt;O280, "",AL280)</f>
        <v>384</v>
      </c>
      <c r="AP280">
        <f t="shared" ref="AP280:AP316" si="803">IF(H280&gt;O280, "",AM280)</f>
        <v>350</v>
      </c>
      <c r="AR280" s="5">
        <f t="shared" si="774"/>
        <v>2.8571428571428572</v>
      </c>
      <c r="AS280" s="5">
        <f t="shared" si="739"/>
        <v>0.94874576091824814</v>
      </c>
      <c r="AT280" s="5">
        <f t="shared" si="740"/>
        <v>1.9083970962246091</v>
      </c>
      <c r="AU280" s="173">
        <f t="shared" si="741"/>
        <v>0.33206101632138685</v>
      </c>
      <c r="BA280" s="173">
        <f t="shared" si="692"/>
        <v>9.3507437846529484</v>
      </c>
      <c r="BB280" s="173">
        <f t="shared" si="693"/>
        <v>0.62625618375097702</v>
      </c>
      <c r="BC280" s="173">
        <f t="shared" si="694"/>
        <v>0.49514557927879471</v>
      </c>
      <c r="BD280" s="173"/>
      <c r="BE280" s="528">
        <f t="shared" si="695"/>
        <v>3.4974563730490296</v>
      </c>
      <c r="BF280" s="528">
        <f t="shared" ref="BF280:BF316" si="804">0.5*L280*AI280*AM280*1000*Tfall</f>
        <v>5.1691760538507054</v>
      </c>
      <c r="BG280" s="528">
        <f t="shared" ref="BG280:BG316" si="805">Qg*Vdd*AM280*1000*0+Qg*J280*AM280*1000</f>
        <v>0.20737004876417803</v>
      </c>
      <c r="BH280" s="528">
        <f t="shared" si="696"/>
        <v>3.8180699982429622E-2</v>
      </c>
      <c r="BI280">
        <f t="shared" si="697"/>
        <v>6.6654658531342939E-3</v>
      </c>
      <c r="BJ280" s="460">
        <f t="shared" si="698"/>
        <v>214.03551461731232</v>
      </c>
      <c r="BK280">
        <f t="shared" ref="BK280:BK316" si="806">(BF280+BG280*0+BH280+BI280*0+BE280*(1+RdsonTC*(Ta-25)))/(1-BE280*RdsonTC*ThetaJA)</f>
        <v>57.093947271783655</v>
      </c>
      <c r="BL280" s="460">
        <f t="shared" si="699"/>
        <v>8918.8486414994768</v>
      </c>
      <c r="BM280" s="173">
        <f t="shared" ref="BM280:BM316" si="807">Vfwd2*F280*(1+Diode_TC/1000*(Ta-25))</f>
        <v>0.333312</v>
      </c>
      <c r="BN280" s="173">
        <f t="shared" ref="BN280:BN316" si="808">Vfwd22*G280*(1+Diode_TC/1000*(Ta-25))</f>
        <v>0.27775999999999995</v>
      </c>
      <c r="BQ280" s="460">
        <f t="shared" si="700"/>
        <v>611.072</v>
      </c>
      <c r="BR280" s="528">
        <f t="shared" si="701"/>
        <v>2.6230922797867722</v>
      </c>
      <c r="BS280" s="528">
        <f t="shared" si="702"/>
        <v>1.1765904230590126E-2</v>
      </c>
      <c r="BT280" s="528">
        <f t="shared" si="703"/>
        <v>1.2258457233966658E-3</v>
      </c>
      <c r="BU280" s="528">
        <f t="shared" si="704"/>
        <v>479.88227688561506</v>
      </c>
      <c r="BV280" s="528"/>
      <c r="BW280" s="625">
        <f t="shared" si="705"/>
        <v>6.9120000000000026</v>
      </c>
      <c r="BX280" s="460">
        <f t="shared" si="706"/>
        <v>489430.36091535579</v>
      </c>
      <c r="BY280" s="173">
        <f t="shared" si="707"/>
        <v>498.96028155685525</v>
      </c>
      <c r="BZ280" s="5">
        <f t="shared" si="708"/>
        <v>69.12</v>
      </c>
      <c r="CA280" s="173">
        <f t="shared" si="709"/>
        <v>0.12167294349765644</v>
      </c>
      <c r="CB280" s="5">
        <f t="shared" si="710"/>
        <v>12.167294349765644</v>
      </c>
      <c r="CC280">
        <f t="shared" si="711"/>
        <v>64</v>
      </c>
      <c r="CE280" s="562">
        <f t="shared" ref="CE280:CE316" si="809">IF(ABS(F280-Ioutmax_Vinmax)&lt;Iout/200, AM280, -50)</f>
        <v>-50</v>
      </c>
      <c r="CG280" s="173">
        <f t="shared" ref="CG280:CG316" si="810">MIN(SQRT(2*DT280*1000*Ls1_*CL280)/CW280, 1-DY280)</f>
        <v>0.56234801868384587</v>
      </c>
      <c r="CH280" s="173">
        <f t="shared" ref="CH280:CH316" si="811">MIN(SQRT(2*DT280*1000*Ls2_*CM280)/Vout2, 1-DY280)</f>
        <v>0.14375355178801472</v>
      </c>
      <c r="CI280" s="170">
        <v>64</v>
      </c>
      <c r="CJ280" s="217">
        <f t="shared" si="712"/>
        <v>0.38400000000000001</v>
      </c>
      <c r="CK280" s="217">
        <f t="shared" ref="CK280:CK316" si="812">IF(PLOT_TYPE=1, CI280/100*Iout2, min_I*EXP(CU280*rr/100))</f>
        <v>0.32</v>
      </c>
      <c r="CL280" s="217">
        <f t="shared" ref="CL280:CL316" si="813">CJ280*Vout</f>
        <v>65.28</v>
      </c>
      <c r="CM280" s="217">
        <f t="shared" ref="CM280:CM316" si="814">Vout2*CK280</f>
        <v>3.84</v>
      </c>
      <c r="CN280" s="541">
        <f t="shared" ref="CN280:CN316" si="815">VIN_max</f>
        <v>16</v>
      </c>
      <c r="CO280" s="443">
        <f t="shared" ref="CO280:CO316" si="816">(CW280+Vfwd2)*Nps</f>
        <v>8.5350000000000001</v>
      </c>
      <c r="CP280" s="443">
        <f t="shared" ref="CP280:CP316" si="817">(Vout+Vfwd2)*Nps+CN280</f>
        <v>24.535</v>
      </c>
      <c r="CQ280" s="443"/>
      <c r="CR280" s="217">
        <f t="shared" ref="CR280:CR316" si="818">(Vout+Vfwd1)*Nps/((Vout+Vfwd1)*Nps+CN280)</f>
        <v>0.34760448521916415</v>
      </c>
      <c r="CS280" s="172">
        <f t="shared" ref="CS280:CS316" si="819">CR280*CN280*Isw_max*0.5*Efficiency*Pout/(Pout+Pout2)</f>
        <v>175.08966662891231</v>
      </c>
      <c r="CT280" s="172">
        <f t="shared" ref="CT280:CT316" si="820">CR280*CN280*Isw_max*0.5*Efficiency*(Pout2/Pout_total)</f>
        <v>10.2993921546419</v>
      </c>
      <c r="CU280" s="217">
        <f t="shared" ref="CU280:CU316" si="821">CS280/Vout</f>
        <v>1.02993921546419</v>
      </c>
      <c r="CV280" s="217">
        <f t="shared" ref="CV280:CV316" si="822">CS280/Vout2</f>
        <v>14.590805552409359</v>
      </c>
      <c r="CW280" s="217">
        <f t="shared" ref="CW280:CW316" si="823">MIN(Vout,CS280/CJ280)</f>
        <v>170</v>
      </c>
      <c r="CX280" s="217">
        <f t="shared" ref="CX280:CX316" si="824">MIN(2*(Vout*CJ280+Vout2*CK280)/(Efficiency*CN280*CR280), Isw_max)</f>
        <v>24.855835777126099</v>
      </c>
      <c r="CY280" s="217">
        <f t="shared" ref="CY280:CY316" si="825">L*CX280/CN280*1000000</f>
        <v>0.77674486803519049</v>
      </c>
      <c r="CZ280" s="217">
        <f t="shared" ref="CZ280:CZ316" si="826">L*CX280/CO280*1000000</f>
        <v>1.4561122306459342</v>
      </c>
      <c r="DA280" s="197">
        <f t="shared" ref="DA280:DA316" si="827">IF(1/((350000*L)*(1/CN280+1/CO280))&gt;Isw_min, 350, 0.001/((Isw_min*L)*(1/CN280+1/CO280)))</f>
        <v>350</v>
      </c>
      <c r="DB280" s="443">
        <f t="shared" ref="DB280:DB316" si="828">MIN(1/(CY280+CZ280)*1000, 350)</f>
        <v>350</v>
      </c>
      <c r="DD280" s="217">
        <f t="shared" ref="DD280:DD316" si="829">1/((DA280*1000*L)*(1/CN280+1/CO280))</f>
        <v>31.805292730501623</v>
      </c>
      <c r="DE280" s="173">
        <f t="shared" ref="DE280:DE316" si="830">L*DD280/CO280*1000000</f>
        <v>1.8632274593146818</v>
      </c>
      <c r="DF280" s="173">
        <f t="shared" ref="DF280:DF316" si="831">0.5*DE280*DD280*Nps*DA280/1000*(Pout/(Pout+Pout2))</f>
        <v>0.4897221442551708</v>
      </c>
      <c r="DG280" s="173"/>
      <c r="DH280" s="173">
        <f t="shared" ref="DH280:DH316" si="832">L*Isw_min/CO280*1000000</f>
        <v>0.78109744190587771</v>
      </c>
      <c r="DI280" s="545">
        <f t="shared" ref="DI280:DI316" si="833">MAX(10, CJ280/(0.5*DH280/1000000*Isw_min*Nps)/1000*Pout_total/Pout)</f>
        <v>1561.6037647058827</v>
      </c>
      <c r="DJ280" s="528">
        <f t="shared" ref="DJ280:DJ316" si="834">0.5*DH280/1000000*Isw_min*Nps*DA280*1000*(Pout/Pout_total)</f>
        <v>8.6065366284073561E-2</v>
      </c>
      <c r="DL280" s="173">
        <f t="shared" ref="DL280:DL316" si="835">SQRT((CL280+CM280)/(0.5*L*Fsw_DCM))</f>
        <v>28.105922100917759</v>
      </c>
      <c r="DM280" s="173">
        <f t="shared" ref="DM280:DM316" si="836">MAX(IF(CJ280&gt;DF280,CX280,DL280),Isw_min)</f>
        <v>28.105922100917759</v>
      </c>
      <c r="DN280" s="173">
        <f t="shared" ref="DN280:DN316" si="837">IF(CJ280&gt;DJ280, (DM280-Isw_min)/1.08*0.8+1.2, DI280*0.2/350+1)</f>
        <v>12.142658346358832</v>
      </c>
      <c r="DP280" s="545">
        <f t="shared" ref="DP280:DP316" si="838">CJ280*1000</f>
        <v>384</v>
      </c>
      <c r="DQ280" s="460">
        <f t="shared" ref="DQ280:DQ316" si="839">IF(CJ280&gt;DJ280, DB280, DI280)</f>
        <v>350</v>
      </c>
      <c r="DS280">
        <f t="shared" ref="DS280:DS316" si="840">IF(CL280&gt;CS280, "",DP280)</f>
        <v>384</v>
      </c>
      <c r="DT280">
        <f t="shared" ref="DT280:DT316" si="841">IF(CL280&gt;CS280, "",DQ280)</f>
        <v>350</v>
      </c>
      <c r="DV280" s="5">
        <f t="shared" si="684"/>
        <v>2.8571428571428572</v>
      </c>
      <c r="DW280" s="5">
        <f t="shared" ref="DW280:DW316" si="842">L*DM280/CN280*1000000</f>
        <v>0.87831006565367986</v>
      </c>
      <c r="DX280" s="5">
        <f t="shared" ref="DX280:DX316" si="843">DV280-DW280</f>
        <v>1.9788327914891775</v>
      </c>
      <c r="DY280" s="173">
        <f t="shared" ref="DY280:DY316" si="844">DW280/DV280</f>
        <v>0.30740852297878796</v>
      </c>
      <c r="EA280" s="5">
        <f t="shared" si="713"/>
        <v>0.19839474424177239</v>
      </c>
      <c r="EB280" s="5">
        <f t="shared" si="714"/>
        <v>2.3421601750764798</v>
      </c>
      <c r="EC280" s="5">
        <f t="shared" si="715"/>
        <v>12.917820462841352</v>
      </c>
      <c r="ED280" s="5"/>
      <c r="EE280" s="173">
        <f t="shared" si="716"/>
        <v>8.9969470183303386</v>
      </c>
      <c r="EF280" s="173">
        <f t="shared" si="717"/>
        <v>0.63770849585217426</v>
      </c>
      <c r="EG280" s="173">
        <f t="shared" si="718"/>
        <v>0.50420027902717068</v>
      </c>
      <c r="EH280" s="173"/>
      <c r="EI280" s="528">
        <f t="shared" si="719"/>
        <v>3.2378022260257269</v>
      </c>
      <c r="EJ280" s="528">
        <f t="shared" si="720"/>
        <v>6.6371959379304171</v>
      </c>
      <c r="EK280" s="528">
        <f t="shared" si="721"/>
        <v>6.9999999999999993E-2</v>
      </c>
      <c r="EL280" s="528">
        <f t="shared" si="722"/>
        <v>4.2137635749999999E-2</v>
      </c>
      <c r="EM280">
        <f t="shared" si="723"/>
        <v>7.1999999999999998E-3</v>
      </c>
      <c r="EN280" s="460">
        <f t="shared" si="724"/>
        <v>77.199999999999989</v>
      </c>
      <c r="EP280" s="460">
        <f t="shared" si="725"/>
        <v>9994.3357997061448</v>
      </c>
      <c r="EQ280" s="173">
        <f t="shared" si="726"/>
        <v>0.26879999999999998</v>
      </c>
      <c r="ER280" s="173">
        <f t="shared" ref="ER280:ER316" si="845">Vfwd22*CK280*(1+Diode_TC/1000*(Ta-25))</f>
        <v>0.27775999999999995</v>
      </c>
      <c r="ES280" s="528"/>
      <c r="EU280" s="460">
        <f t="shared" si="727"/>
        <v>546.55999999999995</v>
      </c>
      <c r="EV280" s="528">
        <f t="shared" si="728"/>
        <v>2.4283516695192948</v>
      </c>
      <c r="EW280" s="528">
        <f t="shared" si="729"/>
        <v>1.2200163770461276E-2</v>
      </c>
      <c r="EX280" s="528">
        <f t="shared" si="730"/>
        <v>1.2710896068553841E-3</v>
      </c>
      <c r="EY280" s="528">
        <f t="shared" si="731"/>
        <v>479.88227688561506</v>
      </c>
      <c r="EZ280" s="528"/>
      <c r="FA280" s="625">
        <f t="shared" si="732"/>
        <v>6.9120000000000026</v>
      </c>
      <c r="FB280" s="460">
        <f t="shared" si="733"/>
        <v>489236.09980851167</v>
      </c>
      <c r="FC280" s="173">
        <f t="shared" si="734"/>
        <v>499.77699560821782</v>
      </c>
      <c r="FD280" s="5">
        <f t="shared" si="735"/>
        <v>69.12</v>
      </c>
      <c r="FE280" s="173">
        <f t="shared" si="736"/>
        <v>0.12149826863842476</v>
      </c>
      <c r="FF280" s="5">
        <f t="shared" si="737"/>
        <v>12.149826863842476</v>
      </c>
      <c r="FG280">
        <f t="shared" si="738"/>
        <v>64</v>
      </c>
      <c r="FI280" s="562">
        <f t="shared" ref="FI280:FI316" si="846">IF(ABS(CJ280-Ioutmax_Vinmax)&lt;Iout/200, DQ280, -50)</f>
        <v>-50</v>
      </c>
    </row>
    <row r="281" spans="5:165">
      <c r="E281" s="170">
        <v>65</v>
      </c>
      <c r="F281" s="217">
        <f t="shared" ref="F281:F312" si="847">IF(PLOT_TYPE=1, E281/100*Iout_max, min_I*EXP(O281*rr/100))</f>
        <v>0.39</v>
      </c>
      <c r="G281" s="217">
        <f t="shared" si="775"/>
        <v>0.32500000000000001</v>
      </c>
      <c r="H281" s="217">
        <f t="shared" si="776"/>
        <v>66.3</v>
      </c>
      <c r="I281" s="217">
        <f t="shared" si="777"/>
        <v>3.9000000000000004</v>
      </c>
      <c r="J281" s="541">
        <f t="shared" si="778"/>
        <v>14.80290220352828</v>
      </c>
      <c r="K281" s="443">
        <f t="shared" si="779"/>
        <v>8.5425382041466538</v>
      </c>
      <c r="L281" s="172">
        <f t="shared" si="780"/>
        <v>23.345440407674936</v>
      </c>
      <c r="M281" s="443"/>
      <c r="N281" s="217">
        <f t="shared" si="781"/>
        <v>0.36591891414214872</v>
      </c>
      <c r="O281" s="172">
        <f t="shared" si="782"/>
        <v>170.52454131101354</v>
      </c>
      <c r="P281" s="172">
        <f t="shared" si="783"/>
        <v>10.03085537123609</v>
      </c>
      <c r="Q281" s="217">
        <f t="shared" si="784"/>
        <v>1.0030855371236089</v>
      </c>
      <c r="R281" s="217">
        <f t="shared" si="785"/>
        <v>14.210378442584462</v>
      </c>
      <c r="S281" s="217">
        <f t="shared" si="786"/>
        <v>170</v>
      </c>
      <c r="T281" s="217">
        <f t="shared" si="787"/>
        <v>25.920022807383027</v>
      </c>
      <c r="U281" s="217">
        <f t="shared" si="788"/>
        <v>0.87550476423484624</v>
      </c>
      <c r="V281" s="217">
        <f t="shared" si="789"/>
        <v>1.5171148309761804</v>
      </c>
      <c r="W281" s="197">
        <f t="shared" si="790"/>
        <v>350</v>
      </c>
      <c r="X281" s="443">
        <f t="shared" ref="X281:X316" si="848">MIN(1/(U281+V281+0.2)*1000, 350)</f>
        <v>350</v>
      </c>
      <c r="Z281" s="217">
        <f t="shared" si="791"/>
        <v>30.952353716957088</v>
      </c>
      <c r="AA281" s="173">
        <f t="shared" si="792"/>
        <v>1.811660245308147</v>
      </c>
      <c r="AB281" s="173">
        <f t="shared" si="793"/>
        <v>0.46339879851385518</v>
      </c>
      <c r="AC281" s="173"/>
      <c r="AD281" s="173">
        <f t="shared" si="794"/>
        <v>0.78040817697842824</v>
      </c>
      <c r="AE281" s="545">
        <f t="shared" si="795"/>
        <v>1587.4045992293695</v>
      </c>
      <c r="AF281" s="528">
        <f t="shared" si="796"/>
        <v>8.5989419500400885E-2</v>
      </c>
      <c r="AH281" s="173">
        <f t="shared" si="797"/>
        <v>28.324648528899953</v>
      </c>
      <c r="AI281" s="173">
        <f t="shared" si="798"/>
        <v>28.324648528899953</v>
      </c>
      <c r="AJ281" s="173">
        <f t="shared" si="799"/>
        <v>12.30467792264194</v>
      </c>
      <c r="AL281" s="545">
        <f t="shared" si="800"/>
        <v>390</v>
      </c>
      <c r="AM281" s="460">
        <f t="shared" si="801"/>
        <v>350</v>
      </c>
      <c r="AO281">
        <f t="shared" si="802"/>
        <v>390</v>
      </c>
      <c r="AP281">
        <f t="shared" si="803"/>
        <v>350</v>
      </c>
      <c r="AR281" s="5">
        <f t="shared" si="774"/>
        <v>2.8571428571428572</v>
      </c>
      <c r="AS281" s="5">
        <f t="shared" si="739"/>
        <v>0.95672619258907055</v>
      </c>
      <c r="AT281" s="5">
        <f t="shared" si="740"/>
        <v>1.9004166645537865</v>
      </c>
      <c r="AU281" s="173">
        <f t="shared" si="741"/>
        <v>0.33485416740617469</v>
      </c>
      <c r="BA281" s="173">
        <f t="shared" ref="BA281:BA316" si="849">AI281*SQRT(AU281/3)</f>
        <v>9.4630635433952897</v>
      </c>
      <c r="BB281" s="173">
        <f t="shared" ref="BB281:BB316" si="850">AI281*Npri_sec1*SQRT((1-AU281)/3)*(Pout/Pout_total)</f>
        <v>0.62980885145717813</v>
      </c>
      <c r="BC281" s="173">
        <f t="shared" ref="BC281:BC316" si="851">AI281*Npri_sec2*SQRT((1-AU281)/3)*(Pout2/Pout_total)</f>
        <v>0.49795447403307225</v>
      </c>
      <c r="BD281" s="173"/>
      <c r="BE281" s="528">
        <f t="shared" ref="BE281:BE315" si="852">Rdson*BA281^2</f>
        <v>3.5819828650534804</v>
      </c>
      <c r="BF281" s="528">
        <f t="shared" si="804"/>
        <v>5.2073547301106995</v>
      </c>
      <c r="BG281" s="528">
        <f t="shared" si="805"/>
        <v>0.20724063084939592</v>
      </c>
      <c r="BH281" s="528">
        <f t="shared" ref="BH281:BH316" si="853">0.5*(Coss+Csw)*L281^2*AM281*1000</f>
        <v>3.8150671147981118E-2</v>
      </c>
      <c r="BI281">
        <f t="shared" ref="BI281:BI316" si="854">J281*IQ</f>
        <v>6.6613059915877262E-3</v>
      </c>
      <c r="BJ281" s="460">
        <f t="shared" ref="BJ281:BJ316" si="855">(BG281+BI281)*1000</f>
        <v>213.90193684098367</v>
      </c>
      <c r="BK281">
        <f t="shared" si="806"/>
        <v>65.770657643814289</v>
      </c>
      <c r="BL281" s="460">
        <f t="shared" ref="BL281:BL316" si="856">SUM(BE281:BI281)*1000</f>
        <v>9041.3902031531452</v>
      </c>
      <c r="BM281" s="173">
        <f t="shared" si="807"/>
        <v>0.33851999999999993</v>
      </c>
      <c r="BN281" s="173">
        <f t="shared" si="808"/>
        <v>0.28209999999999996</v>
      </c>
      <c r="BQ281" s="460">
        <f t="shared" ref="BQ281:BQ316" si="857">SUM(BM281:BP281)*1000</f>
        <v>620.62</v>
      </c>
      <c r="BR281" s="528">
        <f t="shared" ref="BR281:BR316" si="858">Rdcr_pri*BA281^2</f>
        <v>2.6864871487901101</v>
      </c>
      <c r="BS281" s="528">
        <f t="shared" ref="BS281:BS316" si="859">Rdcr_sec*BB281^2</f>
        <v>1.1899775681214296E-2</v>
      </c>
      <c r="BT281" s="528">
        <f t="shared" ref="BT281:BT316" si="860">Rdcr_sec2*BC281^2</f>
        <v>1.2397932910477682E-3</v>
      </c>
      <c r="BU281" s="528">
        <f t="shared" ref="BU281:BU316" si="861">AI281^2.5*AM281^2.5*k_core</f>
        <v>489.27321263876331</v>
      </c>
      <c r="BV281" s="528"/>
      <c r="BW281" s="625">
        <f t="shared" ref="BW281:BW316" si="862">0.5*Lleak*0.000000001*AI281^2*AM281*1000</f>
        <v>7.0200000000000005</v>
      </c>
      <c r="BX281" s="460">
        <f t="shared" ref="BX281:BX316" si="863">SUM(BR281:BW281)*1000</f>
        <v>498992.83935652568</v>
      </c>
      <c r="BY281" s="173">
        <f t="shared" ref="BY281:BY315" si="864">SUM(BE281:BI281,BM281:BP281,BR281:BW281)</f>
        <v>508.65484955967884</v>
      </c>
      <c r="BZ281" s="5">
        <f t="shared" ref="BZ281:BZ316" si="865">MIN(H281+I281,O281+P281)</f>
        <v>70.2</v>
      </c>
      <c r="CA281" s="173">
        <f t="shared" ref="CA281:CA316" si="866">BZ281/(BZ281+BY281)</f>
        <v>0.1212739256713483</v>
      </c>
      <c r="CB281" s="5">
        <f t="shared" ref="CB281:CB316" si="867">CA281*100</f>
        <v>12.12739256713483</v>
      </c>
      <c r="CC281">
        <f t="shared" ref="CC281:CC316" si="868">F281/Iout*100</f>
        <v>65</v>
      </c>
      <c r="CE281" s="562">
        <f t="shared" si="809"/>
        <v>-50</v>
      </c>
      <c r="CG281" s="173">
        <f t="shared" si="810"/>
        <v>0.56672433385927168</v>
      </c>
      <c r="CH281" s="173">
        <f t="shared" si="811"/>
        <v>0.14487227334354483</v>
      </c>
      <c r="CI281" s="170">
        <v>65</v>
      </c>
      <c r="CJ281" s="217">
        <f t="shared" ref="CJ281:CJ316" si="869">IF(PLOT_TYPE=1, CI281/100*Iout_max, min_I*EXP(CS281*rr/100))</f>
        <v>0.39</v>
      </c>
      <c r="CK281" s="217">
        <f t="shared" si="812"/>
        <v>0.32500000000000001</v>
      </c>
      <c r="CL281" s="217">
        <f t="shared" si="813"/>
        <v>66.3</v>
      </c>
      <c r="CM281" s="217">
        <f t="shared" si="814"/>
        <v>3.9000000000000004</v>
      </c>
      <c r="CN281" s="541">
        <f t="shared" si="815"/>
        <v>16</v>
      </c>
      <c r="CO281" s="443">
        <f t="shared" si="816"/>
        <v>8.5350000000000001</v>
      </c>
      <c r="CP281" s="443">
        <f t="shared" si="817"/>
        <v>24.535</v>
      </c>
      <c r="CQ281" s="443"/>
      <c r="CR281" s="217">
        <f t="shared" si="818"/>
        <v>0.34760448521916415</v>
      </c>
      <c r="CS281" s="172">
        <f t="shared" si="819"/>
        <v>175.08966662891231</v>
      </c>
      <c r="CT281" s="172">
        <f t="shared" si="820"/>
        <v>10.2993921546419</v>
      </c>
      <c r="CU281" s="217">
        <f t="shared" si="821"/>
        <v>1.02993921546419</v>
      </c>
      <c r="CV281" s="217">
        <f t="shared" si="822"/>
        <v>14.590805552409359</v>
      </c>
      <c r="CW281" s="217">
        <f t="shared" si="823"/>
        <v>170</v>
      </c>
      <c r="CX281" s="217">
        <f t="shared" si="824"/>
        <v>25.244208211143693</v>
      </c>
      <c r="CY281" s="217">
        <f t="shared" si="825"/>
        <v>0.7888815065982403</v>
      </c>
      <c r="CZ281" s="217">
        <f t="shared" si="826"/>
        <v>1.4788639842497768</v>
      </c>
      <c r="DA281" s="197">
        <f t="shared" si="827"/>
        <v>350</v>
      </c>
      <c r="DB281" s="443">
        <f t="shared" si="828"/>
        <v>350</v>
      </c>
      <c r="DD281" s="217">
        <f t="shared" si="829"/>
        <v>31.805292730501623</v>
      </c>
      <c r="DE281" s="173">
        <f t="shared" si="830"/>
        <v>1.8632274593146818</v>
      </c>
      <c r="DF281" s="173">
        <f t="shared" si="831"/>
        <v>0.4897221442551708</v>
      </c>
      <c r="DG281" s="173"/>
      <c r="DH281" s="173">
        <f t="shared" si="832"/>
        <v>0.78109744190587771</v>
      </c>
      <c r="DI281" s="545">
        <f t="shared" si="833"/>
        <v>1586.0038235294119</v>
      </c>
      <c r="DJ281" s="528">
        <f t="shared" si="834"/>
        <v>8.6065366284073561E-2</v>
      </c>
      <c r="DL281" s="173">
        <f t="shared" si="835"/>
        <v>28.324648528899953</v>
      </c>
      <c r="DM281" s="173">
        <f t="shared" si="836"/>
        <v>28.324648528899953</v>
      </c>
      <c r="DN281" s="173">
        <f t="shared" si="837"/>
        <v>12.30467792264194</v>
      </c>
      <c r="DP281" s="545">
        <f t="shared" si="838"/>
        <v>390</v>
      </c>
      <c r="DQ281" s="460">
        <f t="shared" si="839"/>
        <v>350</v>
      </c>
      <c r="DS281">
        <f t="shared" si="840"/>
        <v>390</v>
      </c>
      <c r="DT281">
        <f t="shared" si="841"/>
        <v>350</v>
      </c>
      <c r="DV281" s="5">
        <f t="shared" ref="DV281:DV316" si="870">1/DQ281*1000</f>
        <v>2.8571428571428572</v>
      </c>
      <c r="DW281" s="5">
        <f t="shared" si="842"/>
        <v>0.88514526652812342</v>
      </c>
      <c r="DX281" s="5">
        <f t="shared" si="843"/>
        <v>1.9719975906147338</v>
      </c>
      <c r="DY281" s="173">
        <f t="shared" si="844"/>
        <v>0.3098008432848432</v>
      </c>
      <c r="EA281" s="5">
        <f t="shared" ref="EA281:EA316" si="871">CJ281*DW281/Vout_ripple*1000</f>
        <v>0.20306273761527538</v>
      </c>
      <c r="EB281" s="5">
        <f t="shared" ref="EB281:EB316" si="872">CK281*DW281/Vout_ripple2*1000</f>
        <v>2.3972684301803344</v>
      </c>
      <c r="EC281" s="5">
        <f t="shared" ref="EC281:EC316" si="873">CL281/Efficiency/CN281*DX281/Vinripple1</f>
        <v>13.074344025775684</v>
      </c>
      <c r="ED281" s="5"/>
      <c r="EE281" s="173">
        <f t="shared" ref="EE281:EE316" si="874">DM281*SQRT(DY281/3)</f>
        <v>9.1021753964111429</v>
      </c>
      <c r="EF281" s="173">
        <f t="shared" ref="EF281:EF316" si="875">DM281*Npri_sec1*SQRT((1-DY281)/3)*(Pout/Pout_total)</f>
        <v>0.64156037855370662</v>
      </c>
      <c r="EG281" s="173">
        <f t="shared" ref="EG281:EG316" si="876">DM281*Npri_sec2*SQRT((1-DY281)/3)*(Pout2/Pout_total)</f>
        <v>0.50724574626733543</v>
      </c>
      <c r="EH281" s="173"/>
      <c r="EI281" s="528">
        <f t="shared" ref="EI281:EI316" si="877">Rdson*EE281^2</f>
        <v>3.3139838778812942</v>
      </c>
      <c r="EJ281" s="528">
        <f t="shared" ref="EJ281:EJ316" si="878">0.5*CP281*DM281*DQ281*1000*Trise</f>
        <v>6.6888480471943934</v>
      </c>
      <c r="EK281" s="528">
        <f t="shared" ref="EK281:EK316" si="879">Qg*Vdd*DQ281*1000</f>
        <v>6.9999999999999993E-2</v>
      </c>
      <c r="EL281" s="528">
        <f t="shared" ref="EL281:EL316" si="880">0.5*(Coss+Csw)*CP281^2*DQ281*1000</f>
        <v>4.2137635749999999E-2</v>
      </c>
      <c r="EM281">
        <f t="shared" ref="EM281:EM316" si="881">CN281*IQ</f>
        <v>7.1999999999999998E-3</v>
      </c>
      <c r="EN281" s="460">
        <f t="shared" ref="EN281:EN316" si="882">(EK281+EM281)*1000</f>
        <v>77.199999999999989</v>
      </c>
      <c r="EP281" s="460">
        <f t="shared" ref="EP281:EP316" si="883">SUM(EI281:EM281)*1000</f>
        <v>10122.169560825687</v>
      </c>
      <c r="EQ281" s="173">
        <f t="shared" ref="EQ281:EQ316" si="884">Vfwd2*CJ281</f>
        <v>0.27299999999999996</v>
      </c>
      <c r="ER281" s="173">
        <f t="shared" si="845"/>
        <v>0.28209999999999996</v>
      </c>
      <c r="ES281" s="528"/>
      <c r="EU281" s="460">
        <f t="shared" ref="EU281:EU316" si="885">SUM(EQ281:ET281)*1000</f>
        <v>555.09999999999991</v>
      </c>
      <c r="EV281" s="528">
        <f t="shared" ref="EV281:EV316" si="886">Rdcr_pri*EE281^2</f>
        <v>2.4854879084109704</v>
      </c>
      <c r="EW281" s="528">
        <f t="shared" ref="EW281:EW316" si="887">Rdcr_sec*EF281^2</f>
        <v>1.234799157989926E-2</v>
      </c>
      <c r="EX281" s="528">
        <f t="shared" ref="EX281:EX316" si="888">Rdcr_sec2*EG281^2</f>
        <v>1.2864912355315303E-3</v>
      </c>
      <c r="EY281" s="528">
        <f t="shared" ref="EY281:EY316" si="889">DM281^2.5*DQ281^2.5*k_core</f>
        <v>489.27321263876331</v>
      </c>
      <c r="EZ281" s="528"/>
      <c r="FA281" s="625">
        <f t="shared" ref="FA281:FA316" si="890">0.5*Lleak*0.000000001*DM281^2*DQ281*1000</f>
        <v>7.0200000000000005</v>
      </c>
      <c r="FB281" s="460">
        <f t="shared" ref="FB281:FB316" si="891">SUM(EV281:FA281)*1000</f>
        <v>498792.33502998971</v>
      </c>
      <c r="FC281" s="173">
        <f t="shared" ref="FC281:FC316" si="892">SUM(EI281:EM281,EQ281:ET281,EV281:FA281)</f>
        <v>509.46960459081538</v>
      </c>
      <c r="FD281" s="5">
        <f t="shared" ref="FD281:FD316" si="893">MIN(CL281+CM281,CS281+CT281)</f>
        <v>70.2</v>
      </c>
      <c r="FE281" s="173">
        <f t="shared" ref="FE281:FE316" si="894">FD281/(FD281+FC281)</f>
        <v>0.12110346901758576</v>
      </c>
      <c r="FF281" s="5">
        <f t="shared" ref="FF281:FF316" si="895">FE281*100</f>
        <v>12.110346901758575</v>
      </c>
      <c r="FG281">
        <f t="shared" ref="FG281:FG316" si="896">CJ281/Iout*100</f>
        <v>65</v>
      </c>
      <c r="FI281" s="562">
        <f t="shared" si="846"/>
        <v>-50</v>
      </c>
    </row>
    <row r="282" spans="5:165">
      <c r="E282" s="170">
        <v>66</v>
      </c>
      <c r="F282" s="217">
        <f t="shared" si="847"/>
        <v>0.39600000000000002</v>
      </c>
      <c r="G282" s="217">
        <f t="shared" si="775"/>
        <v>0.33</v>
      </c>
      <c r="H282" s="217">
        <f t="shared" si="776"/>
        <v>67.320000000000007</v>
      </c>
      <c r="I282" s="217">
        <f t="shared" si="777"/>
        <v>3.96</v>
      </c>
      <c r="J282" s="541">
        <f t="shared" si="778"/>
        <v>14.793728906187134</v>
      </c>
      <c r="K282" s="443">
        <f t="shared" si="779"/>
        <v>8.5425959690078539</v>
      </c>
      <c r="L282" s="172">
        <f t="shared" si="780"/>
        <v>23.33632487519499</v>
      </c>
      <c r="M282" s="443"/>
      <c r="N282" s="217">
        <f t="shared" si="781"/>
        <v>0.36606432309691073</v>
      </c>
      <c r="O282" s="172">
        <f t="shared" si="782"/>
        <v>170.48658905200759</v>
      </c>
      <c r="P282" s="172">
        <f t="shared" si="783"/>
        <v>10.028622885412211</v>
      </c>
      <c r="Q282" s="217">
        <f t="shared" si="784"/>
        <v>1.0028622885412211</v>
      </c>
      <c r="R282" s="217">
        <f t="shared" si="785"/>
        <v>14.207215754333966</v>
      </c>
      <c r="S282" s="217">
        <f t="shared" si="786"/>
        <v>170</v>
      </c>
      <c r="T282" s="217">
        <f t="shared" si="787"/>
        <v>26.3246512523687</v>
      </c>
      <c r="U282" s="217">
        <f t="shared" si="788"/>
        <v>0.88972332193268133</v>
      </c>
      <c r="V282" s="217">
        <f t="shared" si="789"/>
        <v>1.5407875631642491</v>
      </c>
      <c r="W282" s="197">
        <f t="shared" si="790"/>
        <v>350</v>
      </c>
      <c r="X282" s="443">
        <f t="shared" si="848"/>
        <v>350</v>
      </c>
      <c r="Z282" s="217">
        <f t="shared" si="791"/>
        <v>30.945464903557685</v>
      </c>
      <c r="AA282" s="173">
        <f t="shared" si="792"/>
        <v>1.8112447911516834</v>
      </c>
      <c r="AB282" s="173">
        <f t="shared" si="793"/>
        <v>0.46318941957249959</v>
      </c>
      <c r="AC282" s="173"/>
      <c r="AD282" s="173">
        <f t="shared" si="794"/>
        <v>0.78040289987411637</v>
      </c>
      <c r="AE282" s="545">
        <f t="shared" si="795"/>
        <v>1611.8371076582114</v>
      </c>
      <c r="AF282" s="528">
        <f t="shared" si="796"/>
        <v>8.5988838041685042E-2</v>
      </c>
      <c r="AH282" s="173">
        <f t="shared" si="797"/>
        <v>28.541698818195307</v>
      </c>
      <c r="AI282" s="173">
        <f t="shared" si="798"/>
        <v>28.541698818195307</v>
      </c>
      <c r="AJ282" s="173">
        <f t="shared" si="799"/>
        <v>12.465455914712573</v>
      </c>
      <c r="AL282" s="545">
        <f t="shared" si="800"/>
        <v>396</v>
      </c>
      <c r="AM282" s="460">
        <f t="shared" si="801"/>
        <v>350</v>
      </c>
      <c r="AO282">
        <f t="shared" si="802"/>
        <v>396</v>
      </c>
      <c r="AP282">
        <f t="shared" si="803"/>
        <v>350</v>
      </c>
      <c r="AR282" s="5">
        <f t="shared" si="774"/>
        <v>2.8571428571428572</v>
      </c>
      <c r="AS282" s="5">
        <f t="shared" si="739"/>
        <v>0.96465532791595232</v>
      </c>
      <c r="AT282" s="5">
        <f t="shared" si="740"/>
        <v>1.892487529226905</v>
      </c>
      <c r="AU282" s="173">
        <f t="shared" si="741"/>
        <v>0.33762936477058331</v>
      </c>
      <c r="BA282" s="173">
        <f t="shared" si="849"/>
        <v>9.5750113506529129</v>
      </c>
      <c r="BB282" s="173">
        <f t="shared" si="850"/>
        <v>0.63330971124783964</v>
      </c>
      <c r="BC282" s="173">
        <f t="shared" si="851"/>
        <v>0.50072240717927863</v>
      </c>
      <c r="BD282" s="173"/>
      <c r="BE282" s="528">
        <f t="shared" si="852"/>
        <v>3.6672336946052848</v>
      </c>
      <c r="BF282" s="528">
        <f t="shared" si="804"/>
        <v>5.245209554377074</v>
      </c>
      <c r="BG282" s="528">
        <f t="shared" si="805"/>
        <v>0.20711220468661987</v>
      </c>
      <c r="BH282" s="528">
        <f t="shared" si="853"/>
        <v>3.8120884107645116E-2</v>
      </c>
      <c r="BI282">
        <f t="shared" si="854"/>
        <v>6.6571780077842105E-3</v>
      </c>
      <c r="BJ282" s="460">
        <f t="shared" si="855"/>
        <v>213.76938269440407</v>
      </c>
      <c r="BK282">
        <f t="shared" si="806"/>
        <v>77.26029649720337</v>
      </c>
      <c r="BL282" s="460">
        <f t="shared" si="856"/>
        <v>9164.3335157844103</v>
      </c>
      <c r="BM282" s="173">
        <f t="shared" si="807"/>
        <v>0.34372799999999998</v>
      </c>
      <c r="BN282" s="173">
        <f t="shared" si="808"/>
        <v>0.28643999999999997</v>
      </c>
      <c r="BQ282" s="460">
        <f t="shared" si="857"/>
        <v>630.16800000000001</v>
      </c>
      <c r="BR282" s="528">
        <f t="shared" si="858"/>
        <v>2.7504252709539636</v>
      </c>
      <c r="BS282" s="528">
        <f t="shared" si="859"/>
        <v>1.2032435710824661E-2</v>
      </c>
      <c r="BT282" s="528">
        <f t="shared" si="860"/>
        <v>1.2536146452570565E-3</v>
      </c>
      <c r="BU282" s="528">
        <f t="shared" si="861"/>
        <v>498.70033817591934</v>
      </c>
      <c r="BV282" s="528"/>
      <c r="BW282" s="625">
        <f t="shared" si="862"/>
        <v>7.1280000000000001</v>
      </c>
      <c r="BX282" s="460">
        <f t="shared" si="863"/>
        <v>508592.0494972294</v>
      </c>
      <c r="BY282" s="173">
        <f t="shared" si="864"/>
        <v>518.38655101301379</v>
      </c>
      <c r="BZ282" s="5">
        <f t="shared" si="865"/>
        <v>71.28</v>
      </c>
      <c r="CA282" s="173">
        <f t="shared" si="866"/>
        <v>0.12088187786393004</v>
      </c>
      <c r="CB282" s="5">
        <f t="shared" si="867"/>
        <v>12.088187786393004</v>
      </c>
      <c r="CC282">
        <f t="shared" si="868"/>
        <v>66</v>
      </c>
      <c r="CE282" s="562">
        <f t="shared" si="809"/>
        <v>-50</v>
      </c>
      <c r="CG282" s="173">
        <f t="shared" si="810"/>
        <v>0.57106711256981302</v>
      </c>
      <c r="CH282" s="173">
        <f t="shared" si="811"/>
        <v>0.14598242194108199</v>
      </c>
      <c r="CI282" s="170">
        <v>66</v>
      </c>
      <c r="CJ282" s="217">
        <f t="shared" si="869"/>
        <v>0.39600000000000002</v>
      </c>
      <c r="CK282" s="217">
        <f t="shared" si="812"/>
        <v>0.33</v>
      </c>
      <c r="CL282" s="217">
        <f t="shared" si="813"/>
        <v>67.320000000000007</v>
      </c>
      <c r="CM282" s="217">
        <f t="shared" si="814"/>
        <v>3.96</v>
      </c>
      <c r="CN282" s="541">
        <f t="shared" si="815"/>
        <v>16</v>
      </c>
      <c r="CO282" s="443">
        <f t="shared" si="816"/>
        <v>8.5350000000000001</v>
      </c>
      <c r="CP282" s="443">
        <f t="shared" si="817"/>
        <v>24.535</v>
      </c>
      <c r="CQ282" s="443"/>
      <c r="CR282" s="217">
        <f t="shared" si="818"/>
        <v>0.34760448521916415</v>
      </c>
      <c r="CS282" s="172">
        <f t="shared" si="819"/>
        <v>175.08966662891231</v>
      </c>
      <c r="CT282" s="172">
        <f t="shared" si="820"/>
        <v>10.2993921546419</v>
      </c>
      <c r="CU282" s="217">
        <f t="shared" si="821"/>
        <v>1.02993921546419</v>
      </c>
      <c r="CV282" s="217">
        <f t="shared" si="822"/>
        <v>14.590805552409359</v>
      </c>
      <c r="CW282" s="217">
        <f t="shared" si="823"/>
        <v>170</v>
      </c>
      <c r="CX282" s="217">
        <f t="shared" si="824"/>
        <v>25.632580645161287</v>
      </c>
      <c r="CY282" s="217">
        <f t="shared" si="825"/>
        <v>0.80101814516129022</v>
      </c>
      <c r="CZ282" s="217">
        <f t="shared" si="826"/>
        <v>1.5016157378536197</v>
      </c>
      <c r="DA282" s="197">
        <f t="shared" si="827"/>
        <v>350</v>
      </c>
      <c r="DB282" s="443">
        <f t="shared" si="828"/>
        <v>350</v>
      </c>
      <c r="DD282" s="217">
        <f t="shared" si="829"/>
        <v>31.805292730501623</v>
      </c>
      <c r="DE282" s="173">
        <f t="shared" si="830"/>
        <v>1.8632274593146818</v>
      </c>
      <c r="DF282" s="173">
        <f t="shared" si="831"/>
        <v>0.4897221442551708</v>
      </c>
      <c r="DG282" s="173"/>
      <c r="DH282" s="173">
        <f t="shared" si="832"/>
        <v>0.78109744190587771</v>
      </c>
      <c r="DI282" s="545">
        <f t="shared" si="833"/>
        <v>1610.4038823529415</v>
      </c>
      <c r="DJ282" s="528">
        <f t="shared" si="834"/>
        <v>8.6065366284073561E-2</v>
      </c>
      <c r="DL282" s="173">
        <f t="shared" si="835"/>
        <v>28.541698818195307</v>
      </c>
      <c r="DM282" s="173">
        <f t="shared" si="836"/>
        <v>28.541698818195307</v>
      </c>
      <c r="DN282" s="173">
        <f t="shared" si="837"/>
        <v>12.465455914712573</v>
      </c>
      <c r="DP282" s="545">
        <f t="shared" si="838"/>
        <v>396</v>
      </c>
      <c r="DQ282" s="460">
        <f t="shared" si="839"/>
        <v>350</v>
      </c>
      <c r="DS282">
        <f t="shared" si="840"/>
        <v>396</v>
      </c>
      <c r="DT282">
        <f t="shared" si="841"/>
        <v>350</v>
      </c>
      <c r="DV282" s="5">
        <f t="shared" si="870"/>
        <v>2.8571428571428572</v>
      </c>
      <c r="DW282" s="5">
        <f t="shared" si="842"/>
        <v>0.89192808806860335</v>
      </c>
      <c r="DX282" s="5">
        <f t="shared" si="843"/>
        <v>1.9652147690742539</v>
      </c>
      <c r="DY282" s="173">
        <f t="shared" si="844"/>
        <v>0.31217483082401115</v>
      </c>
      <c r="EA282" s="5">
        <f t="shared" si="871"/>
        <v>0.2077667781618629</v>
      </c>
      <c r="EB282" s="5">
        <f t="shared" si="872"/>
        <v>2.4528022421886595</v>
      </c>
      <c r="EC282" s="5">
        <f t="shared" si="873"/>
        <v>13.229825825407877</v>
      </c>
      <c r="ED282" s="5"/>
      <c r="EE282" s="173">
        <f t="shared" si="874"/>
        <v>9.2069998093863372</v>
      </c>
      <c r="EF282" s="173">
        <f t="shared" si="875"/>
        <v>0.64536386382087085</v>
      </c>
      <c r="EG282" s="173">
        <f t="shared" si="876"/>
        <v>0.51025294837527868</v>
      </c>
      <c r="EH282" s="173"/>
      <c r="EI282" s="528">
        <f t="shared" si="877"/>
        <v>3.3907538196016023</v>
      </c>
      <c r="EJ282" s="528">
        <f t="shared" si="878"/>
        <v>6.7401043373550609</v>
      </c>
      <c r="EK282" s="528">
        <f t="shared" si="879"/>
        <v>6.9999999999999993E-2</v>
      </c>
      <c r="EL282" s="528">
        <f t="shared" si="880"/>
        <v>4.2137635749999999E-2</v>
      </c>
      <c r="EM282">
        <f t="shared" si="881"/>
        <v>7.1999999999999998E-3</v>
      </c>
      <c r="EN282" s="460">
        <f t="shared" si="882"/>
        <v>77.199999999999989</v>
      </c>
      <c r="EP282" s="460">
        <f t="shared" si="883"/>
        <v>10250.195792706663</v>
      </c>
      <c r="EQ282" s="173">
        <f t="shared" si="884"/>
        <v>0.2772</v>
      </c>
      <c r="ER282" s="173">
        <f t="shared" si="845"/>
        <v>0.28643999999999997</v>
      </c>
      <c r="ES282" s="528"/>
      <c r="EU282" s="460">
        <f t="shared" si="885"/>
        <v>563.63999999999987</v>
      </c>
      <c r="EV282" s="528">
        <f t="shared" si="886"/>
        <v>2.5430653647012016</v>
      </c>
      <c r="EW282" s="528">
        <f t="shared" si="887"/>
        <v>1.2494835501774106E-2</v>
      </c>
      <c r="EX282" s="528">
        <f t="shared" si="888"/>
        <v>1.301790356628324E-3</v>
      </c>
      <c r="EY282" s="528">
        <f t="shared" si="889"/>
        <v>498.70033817591934</v>
      </c>
      <c r="EZ282" s="528"/>
      <c r="FA282" s="625">
        <f t="shared" si="890"/>
        <v>7.1280000000000001</v>
      </c>
      <c r="FB282" s="460">
        <f t="shared" si="891"/>
        <v>508385.20016647893</v>
      </c>
      <c r="FC282" s="173">
        <f t="shared" si="892"/>
        <v>519.19903595918561</v>
      </c>
      <c r="FD282" s="5">
        <f t="shared" si="893"/>
        <v>71.28</v>
      </c>
      <c r="FE282" s="173">
        <f t="shared" si="894"/>
        <v>0.12071554730848554</v>
      </c>
      <c r="FF282" s="5">
        <f t="shared" si="895"/>
        <v>12.071554730848554</v>
      </c>
      <c r="FG282">
        <f t="shared" si="896"/>
        <v>66</v>
      </c>
      <c r="FI282" s="562">
        <f t="shared" si="846"/>
        <v>-50</v>
      </c>
    </row>
    <row r="283" spans="5:165">
      <c r="E283" s="170">
        <v>67</v>
      </c>
      <c r="F283" s="217">
        <f t="shared" si="847"/>
        <v>0.40200000000000002</v>
      </c>
      <c r="G283" s="217">
        <f t="shared" si="775"/>
        <v>0.33500000000000002</v>
      </c>
      <c r="H283" s="217">
        <f t="shared" si="776"/>
        <v>68.34</v>
      </c>
      <c r="I283" s="217">
        <f t="shared" si="777"/>
        <v>4.0200000000000005</v>
      </c>
      <c r="J283" s="541">
        <f t="shared" si="778"/>
        <v>14.784624844247865</v>
      </c>
      <c r="K283" s="443">
        <f t="shared" si="779"/>
        <v>8.5426532978891387</v>
      </c>
      <c r="L283" s="172">
        <f t="shared" si="780"/>
        <v>23.327278142137004</v>
      </c>
      <c r="M283" s="443"/>
      <c r="N283" s="217">
        <f t="shared" si="781"/>
        <v>0.36620874693726907</v>
      </c>
      <c r="O283" s="172">
        <f t="shared" si="782"/>
        <v>170.44889249730309</v>
      </c>
      <c r="P283" s="172">
        <f t="shared" si="783"/>
        <v>10.026405441017829</v>
      </c>
      <c r="Q283" s="217">
        <f t="shared" si="784"/>
        <v>1.0026405441017829</v>
      </c>
      <c r="R283" s="217">
        <f t="shared" si="785"/>
        <v>14.204074374775258</v>
      </c>
      <c r="S283" s="217">
        <f t="shared" si="786"/>
        <v>170</v>
      </c>
      <c r="T283" s="217">
        <f t="shared" si="787"/>
        <v>26.7294197882341</v>
      </c>
      <c r="U283" s="217">
        <f t="shared" si="788"/>
        <v>0.90396002840185352</v>
      </c>
      <c r="V283" s="217">
        <f t="shared" si="789"/>
        <v>1.564468254543284</v>
      </c>
      <c r="W283" s="197">
        <f t="shared" si="790"/>
        <v>350</v>
      </c>
      <c r="X283" s="443">
        <f t="shared" si="848"/>
        <v>350</v>
      </c>
      <c r="Z283" s="217">
        <f t="shared" si="791"/>
        <v>30.93862250371216</v>
      </c>
      <c r="AA283" s="173">
        <f t="shared" si="792"/>
        <v>1.8108321516078025</v>
      </c>
      <c r="AB283" s="173">
        <f t="shared" si="793"/>
        <v>0.46298150211008759</v>
      </c>
      <c r="AC283" s="173"/>
      <c r="AD283" s="173">
        <f t="shared" si="794"/>
        <v>0.78039766266927602</v>
      </c>
      <c r="AE283" s="545">
        <f t="shared" si="795"/>
        <v>1636.269862858036</v>
      </c>
      <c r="AF283" s="528">
        <f t="shared" si="796"/>
        <v>8.5988260979299888E-2</v>
      </c>
      <c r="AH283" s="173">
        <f t="shared" si="797"/>
        <v>28.757110921847289</v>
      </c>
      <c r="AI283" s="173">
        <f t="shared" si="798"/>
        <v>28.757110921847289</v>
      </c>
      <c r="AJ283" s="173">
        <f t="shared" si="799"/>
        <v>12.625020435936262</v>
      </c>
      <c r="AL283" s="545">
        <f t="shared" si="800"/>
        <v>402</v>
      </c>
      <c r="AM283" s="460">
        <f t="shared" si="801"/>
        <v>350</v>
      </c>
      <c r="AO283">
        <f t="shared" si="802"/>
        <v>402</v>
      </c>
      <c r="AP283">
        <f t="shared" si="803"/>
        <v>350</v>
      </c>
      <c r="AR283" s="5">
        <f t="shared" si="774"/>
        <v>2.8571428571428572</v>
      </c>
      <c r="AS283" s="5">
        <f t="shared" si="739"/>
        <v>0.97253434648480741</v>
      </c>
      <c r="AT283" s="5">
        <f t="shared" si="740"/>
        <v>1.8846085106580497</v>
      </c>
      <c r="AU283" s="173">
        <f t="shared" si="741"/>
        <v>0.34038702126968257</v>
      </c>
      <c r="BA283" s="173">
        <f t="shared" si="849"/>
        <v>9.6865945382706204</v>
      </c>
      <c r="BB283" s="173">
        <f t="shared" si="850"/>
        <v>0.6367598063797667</v>
      </c>
      <c r="BC283" s="173">
        <f t="shared" si="851"/>
        <v>0.50345020356195547</v>
      </c>
      <c r="BD283" s="173"/>
      <c r="BE283" s="528">
        <f t="shared" si="852"/>
        <v>3.7532045499541686</v>
      </c>
      <c r="BF283" s="528">
        <f t="shared" si="804"/>
        <v>5.2827478596759629</v>
      </c>
      <c r="BG283" s="528">
        <f t="shared" si="805"/>
        <v>0.20698474781947016</v>
      </c>
      <c r="BH283" s="528">
        <f t="shared" si="853"/>
        <v>3.8091333386443604E-2</v>
      </c>
      <c r="BI283">
        <f t="shared" si="854"/>
        <v>6.6530811799115396E-3</v>
      </c>
      <c r="BJ283" s="460">
        <f t="shared" si="855"/>
        <v>213.6378289993817</v>
      </c>
      <c r="BK283">
        <f t="shared" si="806"/>
        <v>93.1960416260101</v>
      </c>
      <c r="BL283" s="460">
        <f t="shared" si="856"/>
        <v>9287.6815720159557</v>
      </c>
      <c r="BM283" s="173">
        <f t="shared" si="807"/>
        <v>0.34893599999999997</v>
      </c>
      <c r="BN283" s="173">
        <f t="shared" si="808"/>
        <v>0.29077999999999998</v>
      </c>
      <c r="BQ283" s="460">
        <f t="shared" si="857"/>
        <v>639.71599999999989</v>
      </c>
      <c r="BR283" s="528">
        <f t="shared" si="858"/>
        <v>2.8149034124656263</v>
      </c>
      <c r="BS283" s="528">
        <f t="shared" si="859"/>
        <v>1.216389153062394E-2</v>
      </c>
      <c r="BT283" s="528">
        <f t="shared" si="860"/>
        <v>1.267310537332872E-3</v>
      </c>
      <c r="BU283" s="528">
        <f t="shared" si="861"/>
        <v>508.16324143784033</v>
      </c>
      <c r="BV283" s="528"/>
      <c r="BW283" s="625">
        <f t="shared" si="862"/>
        <v>7.2360000000000015</v>
      </c>
      <c r="BX283" s="460">
        <f t="shared" si="863"/>
        <v>518227.57605237392</v>
      </c>
      <c r="BY283" s="173">
        <f t="shared" si="864"/>
        <v>528.15497362438987</v>
      </c>
      <c r="BZ283" s="5">
        <f t="shared" si="865"/>
        <v>72.36</v>
      </c>
      <c r="CA283" s="173">
        <f t="shared" si="866"/>
        <v>0.12049657906658583</v>
      </c>
      <c r="CB283" s="5">
        <f t="shared" si="867"/>
        <v>12.049657906658583</v>
      </c>
      <c r="CC283">
        <f t="shared" si="868"/>
        <v>67</v>
      </c>
      <c r="CE283" s="562">
        <f t="shared" si="809"/>
        <v>-50</v>
      </c>
      <c r="CG283" s="173">
        <f t="shared" si="810"/>
        <v>0.57537711418634974</v>
      </c>
      <c r="CH283" s="173">
        <f t="shared" si="811"/>
        <v>0.147084191699317</v>
      </c>
      <c r="CI283" s="170">
        <v>67</v>
      </c>
      <c r="CJ283" s="217">
        <f t="shared" si="869"/>
        <v>0.40200000000000002</v>
      </c>
      <c r="CK283" s="217">
        <f t="shared" si="812"/>
        <v>0.33500000000000002</v>
      </c>
      <c r="CL283" s="217">
        <f t="shared" si="813"/>
        <v>68.34</v>
      </c>
      <c r="CM283" s="217">
        <f t="shared" si="814"/>
        <v>4.0200000000000005</v>
      </c>
      <c r="CN283" s="541">
        <f t="shared" si="815"/>
        <v>16</v>
      </c>
      <c r="CO283" s="443">
        <f t="shared" si="816"/>
        <v>8.5350000000000001</v>
      </c>
      <c r="CP283" s="443">
        <f t="shared" si="817"/>
        <v>24.535</v>
      </c>
      <c r="CQ283" s="443"/>
      <c r="CR283" s="217">
        <f t="shared" si="818"/>
        <v>0.34760448521916415</v>
      </c>
      <c r="CS283" s="172">
        <f t="shared" si="819"/>
        <v>175.08966662891231</v>
      </c>
      <c r="CT283" s="172">
        <f t="shared" si="820"/>
        <v>10.2993921546419</v>
      </c>
      <c r="CU283" s="217">
        <f t="shared" si="821"/>
        <v>1.02993921546419</v>
      </c>
      <c r="CV283" s="217">
        <f t="shared" si="822"/>
        <v>14.590805552409359</v>
      </c>
      <c r="CW283" s="217">
        <f t="shared" si="823"/>
        <v>170</v>
      </c>
      <c r="CX283" s="217">
        <f t="shared" si="824"/>
        <v>26.020953079178884</v>
      </c>
      <c r="CY283" s="217">
        <f t="shared" si="825"/>
        <v>0.81315478372434014</v>
      </c>
      <c r="CZ283" s="217">
        <f t="shared" si="826"/>
        <v>1.5243674914574625</v>
      </c>
      <c r="DA283" s="197">
        <f t="shared" si="827"/>
        <v>350</v>
      </c>
      <c r="DB283" s="443">
        <f t="shared" si="828"/>
        <v>350</v>
      </c>
      <c r="DD283" s="217">
        <f t="shared" si="829"/>
        <v>31.805292730501623</v>
      </c>
      <c r="DE283" s="173">
        <f t="shared" si="830"/>
        <v>1.8632274593146818</v>
      </c>
      <c r="DF283" s="173">
        <f t="shared" si="831"/>
        <v>0.4897221442551708</v>
      </c>
      <c r="DG283" s="173"/>
      <c r="DH283" s="173">
        <f t="shared" si="832"/>
        <v>0.78109744190587771</v>
      </c>
      <c r="DI283" s="545">
        <f t="shared" si="833"/>
        <v>1634.803941176471</v>
      </c>
      <c r="DJ283" s="528">
        <f t="shared" si="834"/>
        <v>8.6065366284073561E-2</v>
      </c>
      <c r="DL283" s="173">
        <f t="shared" si="835"/>
        <v>28.757110921847289</v>
      </c>
      <c r="DM283" s="173">
        <f t="shared" si="836"/>
        <v>28.757110921847289</v>
      </c>
      <c r="DN283" s="173">
        <f t="shared" si="837"/>
        <v>12.625020435936262</v>
      </c>
      <c r="DP283" s="545">
        <f t="shared" si="838"/>
        <v>402</v>
      </c>
      <c r="DQ283" s="460">
        <f t="shared" si="839"/>
        <v>350</v>
      </c>
      <c r="DS283">
        <f t="shared" si="840"/>
        <v>402</v>
      </c>
      <c r="DT283">
        <f t="shared" si="841"/>
        <v>350</v>
      </c>
      <c r="DV283" s="5">
        <f t="shared" si="870"/>
        <v>2.8571428571428572</v>
      </c>
      <c r="DW283" s="5">
        <f t="shared" si="842"/>
        <v>0.89865971630772779</v>
      </c>
      <c r="DX283" s="5">
        <f t="shared" si="843"/>
        <v>1.9584831408351295</v>
      </c>
      <c r="DY283" s="173">
        <f t="shared" si="844"/>
        <v>0.31453090070770473</v>
      </c>
      <c r="EA283" s="5">
        <f t="shared" si="871"/>
        <v>0.21250659173865094</v>
      </c>
      <c r="EB283" s="5">
        <f t="shared" si="872"/>
        <v>2.5087583746924071</v>
      </c>
      <c r="EC283" s="5">
        <f t="shared" si="873"/>
        <v>13.384273784467277</v>
      </c>
      <c r="ED283" s="5"/>
      <c r="EE283" s="173">
        <f t="shared" si="874"/>
        <v>9.3114278942259752</v>
      </c>
      <c r="EF283" s="173">
        <f t="shared" si="875"/>
        <v>0.64911999452241853</v>
      </c>
      <c r="EG283" s="173">
        <f t="shared" si="876"/>
        <v>0.51322270988873009</v>
      </c>
      <c r="EH283" s="173"/>
      <c r="EI283" s="528">
        <f t="shared" si="877"/>
        <v>3.4681075771747834</v>
      </c>
      <c r="EJ283" s="528">
        <f t="shared" si="878"/>
        <v>6.7909737709999103</v>
      </c>
      <c r="EK283" s="528">
        <f t="shared" si="879"/>
        <v>6.9999999999999993E-2</v>
      </c>
      <c r="EL283" s="528">
        <f t="shared" si="880"/>
        <v>4.2137635749999999E-2</v>
      </c>
      <c r="EM283">
        <f t="shared" si="881"/>
        <v>7.1999999999999998E-3</v>
      </c>
      <c r="EN283" s="460">
        <f t="shared" si="882"/>
        <v>77.199999999999989</v>
      </c>
      <c r="EP283" s="460">
        <f t="shared" si="883"/>
        <v>10378.418983924692</v>
      </c>
      <c r="EQ283" s="173">
        <f t="shared" si="884"/>
        <v>0.28139999999999998</v>
      </c>
      <c r="ER283" s="173">
        <f t="shared" si="845"/>
        <v>0.29077999999999998</v>
      </c>
      <c r="ES283" s="528"/>
      <c r="EU283" s="460">
        <f t="shared" si="885"/>
        <v>572.17999999999995</v>
      </c>
      <c r="EV283" s="528">
        <f t="shared" si="886"/>
        <v>2.6010806828810873</v>
      </c>
      <c r="EW283" s="528">
        <f t="shared" si="887"/>
        <v>1.2640703018663541E-2</v>
      </c>
      <c r="EX283" s="528">
        <f t="shared" si="888"/>
        <v>1.3169877497276581E-3</v>
      </c>
      <c r="EY283" s="528">
        <f t="shared" si="889"/>
        <v>508.16324143784033</v>
      </c>
      <c r="EZ283" s="528"/>
      <c r="FA283" s="625">
        <f t="shared" si="890"/>
        <v>7.2360000000000015</v>
      </c>
      <c r="FB283" s="460">
        <f t="shared" si="891"/>
        <v>518014.2798114898</v>
      </c>
      <c r="FC283" s="173">
        <f t="shared" si="892"/>
        <v>528.96487879541451</v>
      </c>
      <c r="FD283" s="5">
        <f t="shared" si="893"/>
        <v>72.36</v>
      </c>
      <c r="FE283" s="173">
        <f t="shared" si="894"/>
        <v>0.12033428609332268</v>
      </c>
      <c r="FF283" s="5">
        <f t="shared" si="895"/>
        <v>12.033428609332269</v>
      </c>
      <c r="FG283">
        <f t="shared" si="896"/>
        <v>67</v>
      </c>
      <c r="FI283" s="562">
        <f t="shared" si="846"/>
        <v>-50</v>
      </c>
    </row>
    <row r="284" spans="5:165">
      <c r="E284" s="170">
        <v>68</v>
      </c>
      <c r="F284" s="217">
        <f t="shared" si="847"/>
        <v>0.40800000000000003</v>
      </c>
      <c r="G284" s="217">
        <f t="shared" si="775"/>
        <v>0.34</v>
      </c>
      <c r="H284" s="217">
        <f t="shared" si="776"/>
        <v>69.36</v>
      </c>
      <c r="I284" s="217">
        <f t="shared" si="777"/>
        <v>4.08</v>
      </c>
      <c r="J284" s="541">
        <f t="shared" si="778"/>
        <v>14.775588473318484</v>
      </c>
      <c r="K284" s="443">
        <f t="shared" si="779"/>
        <v>8.5427102005156517</v>
      </c>
      <c r="L284" s="172">
        <f t="shared" si="780"/>
        <v>23.318298673834136</v>
      </c>
      <c r="M284" s="443"/>
      <c r="N284" s="217">
        <f t="shared" si="781"/>
        <v>0.36635220776640853</v>
      </c>
      <c r="O284" s="172">
        <f t="shared" si="782"/>
        <v>170.41144590781133</v>
      </c>
      <c r="P284" s="172">
        <f t="shared" si="783"/>
        <v>10.024202700459488</v>
      </c>
      <c r="Q284" s="217">
        <f t="shared" si="784"/>
        <v>1.002420270045949</v>
      </c>
      <c r="R284" s="217">
        <f t="shared" si="785"/>
        <v>14.200953825650943</v>
      </c>
      <c r="S284" s="217">
        <f t="shared" si="786"/>
        <v>170</v>
      </c>
      <c r="T284" s="217">
        <f t="shared" si="787"/>
        <v>27.134327599693496</v>
      </c>
      <c r="U284" s="217">
        <f t="shared" si="788"/>
        <v>0.91821478544466162</v>
      </c>
      <c r="V284" s="217">
        <f t="shared" si="789"/>
        <v>1.5881568590525068</v>
      </c>
      <c r="W284" s="197">
        <f t="shared" si="790"/>
        <v>350</v>
      </c>
      <c r="X284" s="443">
        <f t="shared" si="848"/>
        <v>350</v>
      </c>
      <c r="Z284" s="217">
        <f t="shared" si="791"/>
        <v>30.931825475703572</v>
      </c>
      <c r="AA284" s="173">
        <f t="shared" si="792"/>
        <v>1.8104222635245475</v>
      </c>
      <c r="AB284" s="173">
        <f t="shared" si="793"/>
        <v>0.46277501344636618</v>
      </c>
      <c r="AC284" s="173"/>
      <c r="AD284" s="173">
        <f t="shared" si="794"/>
        <v>0.7803924644738921</v>
      </c>
      <c r="AE284" s="545">
        <f t="shared" si="795"/>
        <v>1660.7028629802426</v>
      </c>
      <c r="AF284" s="528">
        <f t="shared" si="796"/>
        <v>8.5987688215178867E-2</v>
      </c>
      <c r="AH284" s="173">
        <f t="shared" si="797"/>
        <v>28.970921381866432</v>
      </c>
      <c r="AI284" s="173">
        <f t="shared" si="798"/>
        <v>28.970921381866432</v>
      </c>
      <c r="AJ284" s="173">
        <f t="shared" si="799"/>
        <v>12.783398554468961</v>
      </c>
      <c r="AL284" s="545">
        <f t="shared" si="800"/>
        <v>408.00000000000006</v>
      </c>
      <c r="AM284" s="460">
        <f t="shared" si="801"/>
        <v>350</v>
      </c>
      <c r="AO284">
        <f t="shared" si="802"/>
        <v>408.00000000000006</v>
      </c>
      <c r="AP284">
        <f t="shared" si="803"/>
        <v>350</v>
      </c>
      <c r="AR284" s="5">
        <f t="shared" si="774"/>
        <v>2.8571428571428572</v>
      </c>
      <c r="AS284" s="5">
        <f t="shared" si="739"/>
        <v>0.98036438393576164</v>
      </c>
      <c r="AT284" s="5">
        <f t="shared" si="740"/>
        <v>1.8767784732070956</v>
      </c>
      <c r="AU284" s="173">
        <f t="shared" si="741"/>
        <v>0.34312753437751659</v>
      </c>
      <c r="BA284" s="173">
        <f t="shared" si="849"/>
        <v>9.7978201899703059</v>
      </c>
      <c r="BB284" s="173">
        <f t="shared" si="850"/>
        <v>0.64016014103647734</v>
      </c>
      <c r="BC284" s="173">
        <f t="shared" si="851"/>
        <v>0.50613865713259221</v>
      </c>
      <c r="BD284" s="173"/>
      <c r="BE284" s="528">
        <f t="shared" si="852"/>
        <v>3.8398912189995906</v>
      </c>
      <c r="BF284" s="528">
        <f t="shared" si="804"/>
        <v>5.3199767064034162</v>
      </c>
      <c r="BG284" s="528">
        <f t="shared" si="805"/>
        <v>0.20685823862645877</v>
      </c>
      <c r="BH284" s="528">
        <f t="shared" si="853"/>
        <v>3.8062013712949441E-2</v>
      </c>
      <c r="BI284">
        <f t="shared" si="854"/>
        <v>6.6490148129933176E-3</v>
      </c>
      <c r="BJ284" s="460">
        <f t="shared" si="855"/>
        <v>213.50725343945209</v>
      </c>
      <c r="BK284">
        <f t="shared" si="806"/>
        <v>116.77869639510082</v>
      </c>
      <c r="BL284" s="460">
        <f t="shared" si="856"/>
        <v>9411.4371925554078</v>
      </c>
      <c r="BM284" s="173">
        <f t="shared" si="807"/>
        <v>0.35414400000000001</v>
      </c>
      <c r="BN284" s="173">
        <f t="shared" si="808"/>
        <v>0.29511999999999999</v>
      </c>
      <c r="BQ284" s="460">
        <f t="shared" si="857"/>
        <v>649.26400000000001</v>
      </c>
      <c r="BR284" s="528">
        <f t="shared" si="858"/>
        <v>2.8799184142496927</v>
      </c>
      <c r="BS284" s="528">
        <f t="shared" si="859"/>
        <v>1.2294150185155277E-2</v>
      </c>
      <c r="BT284" s="528">
        <f t="shared" si="860"/>
        <v>1.2808817012199187E-3</v>
      </c>
      <c r="BU284" s="528">
        <f t="shared" si="861"/>
        <v>517.66152114940519</v>
      </c>
      <c r="BV284" s="528"/>
      <c r="BW284" s="625">
        <f t="shared" si="862"/>
        <v>7.3439999999999994</v>
      </c>
      <c r="BX284" s="460">
        <f t="shared" si="863"/>
        <v>527899.01459554129</v>
      </c>
      <c r="BY284" s="173">
        <f t="shared" si="864"/>
        <v>537.95971578809667</v>
      </c>
      <c r="BZ284" s="5">
        <f t="shared" si="865"/>
        <v>73.44</v>
      </c>
      <c r="CA284" s="173">
        <f t="shared" si="866"/>
        <v>0.1201178183495482</v>
      </c>
      <c r="CB284" s="5">
        <f t="shared" si="867"/>
        <v>12.011781834954819</v>
      </c>
      <c r="CC284">
        <f t="shared" si="868"/>
        <v>68</v>
      </c>
      <c r="CE284" s="562">
        <f t="shared" si="809"/>
        <v>-50</v>
      </c>
      <c r="CG284" s="173">
        <f t="shared" si="810"/>
        <v>0.57965506984757742</v>
      </c>
      <c r="CH284" s="173">
        <f t="shared" si="811"/>
        <v>0.14817776951992082</v>
      </c>
      <c r="CI284" s="170">
        <v>68</v>
      </c>
      <c r="CJ284" s="217">
        <f t="shared" si="869"/>
        <v>0.40800000000000003</v>
      </c>
      <c r="CK284" s="217">
        <f t="shared" si="812"/>
        <v>0.34</v>
      </c>
      <c r="CL284" s="217">
        <f t="shared" si="813"/>
        <v>69.36</v>
      </c>
      <c r="CM284" s="217">
        <f t="shared" si="814"/>
        <v>4.08</v>
      </c>
      <c r="CN284" s="541">
        <f t="shared" si="815"/>
        <v>16</v>
      </c>
      <c r="CO284" s="443">
        <f t="shared" si="816"/>
        <v>8.5350000000000001</v>
      </c>
      <c r="CP284" s="443">
        <f t="shared" si="817"/>
        <v>24.535</v>
      </c>
      <c r="CQ284" s="443"/>
      <c r="CR284" s="217">
        <f t="shared" si="818"/>
        <v>0.34760448521916415</v>
      </c>
      <c r="CS284" s="172">
        <f t="shared" si="819"/>
        <v>175.08966662891231</v>
      </c>
      <c r="CT284" s="172">
        <f t="shared" si="820"/>
        <v>10.2993921546419</v>
      </c>
      <c r="CU284" s="217">
        <f t="shared" si="821"/>
        <v>1.02993921546419</v>
      </c>
      <c r="CV284" s="217">
        <f t="shared" si="822"/>
        <v>14.590805552409359</v>
      </c>
      <c r="CW284" s="217">
        <f t="shared" si="823"/>
        <v>170</v>
      </c>
      <c r="CX284" s="217">
        <f t="shared" si="824"/>
        <v>26.409325513196478</v>
      </c>
      <c r="CY284" s="217">
        <f t="shared" si="825"/>
        <v>0.82529142228738983</v>
      </c>
      <c r="CZ284" s="217">
        <f t="shared" si="826"/>
        <v>1.5471192450613049</v>
      </c>
      <c r="DA284" s="197">
        <f t="shared" si="827"/>
        <v>350</v>
      </c>
      <c r="DB284" s="443">
        <f t="shared" si="828"/>
        <v>350</v>
      </c>
      <c r="DD284" s="217">
        <f t="shared" si="829"/>
        <v>31.805292730501623</v>
      </c>
      <c r="DE284" s="173">
        <f t="shared" si="830"/>
        <v>1.8632274593146818</v>
      </c>
      <c r="DF284" s="173">
        <f t="shared" si="831"/>
        <v>0.4897221442551708</v>
      </c>
      <c r="DG284" s="173"/>
      <c r="DH284" s="173">
        <f t="shared" si="832"/>
        <v>0.78109744190587771</v>
      </c>
      <c r="DI284" s="545">
        <f t="shared" si="833"/>
        <v>1659.2040000000002</v>
      </c>
      <c r="DJ284" s="528">
        <f t="shared" si="834"/>
        <v>8.6065366284073561E-2</v>
      </c>
      <c r="DL284" s="173">
        <f t="shared" si="835"/>
        <v>28.970921381866432</v>
      </c>
      <c r="DM284" s="173">
        <f t="shared" si="836"/>
        <v>28.970921381866432</v>
      </c>
      <c r="DN284" s="173">
        <f t="shared" si="837"/>
        <v>12.783398554468961</v>
      </c>
      <c r="DP284" s="545">
        <f t="shared" si="838"/>
        <v>408.00000000000006</v>
      </c>
      <c r="DQ284" s="460">
        <f t="shared" si="839"/>
        <v>350</v>
      </c>
      <c r="DS284">
        <f t="shared" si="840"/>
        <v>408.00000000000006</v>
      </c>
      <c r="DT284">
        <f t="shared" si="841"/>
        <v>350</v>
      </c>
      <c r="DV284" s="5">
        <f t="shared" si="870"/>
        <v>2.8571428571428572</v>
      </c>
      <c r="DW284" s="5">
        <f t="shared" si="842"/>
        <v>0.90534129318332601</v>
      </c>
      <c r="DX284" s="5">
        <f t="shared" si="843"/>
        <v>1.9518015639595312</v>
      </c>
      <c r="DY284" s="173">
        <f t="shared" si="844"/>
        <v>0.3168694526141641</v>
      </c>
      <c r="EA284" s="5">
        <f t="shared" si="871"/>
        <v>0.21728191036399827</v>
      </c>
      <c r="EB284" s="5">
        <f t="shared" si="872"/>
        <v>2.5651336640194238</v>
      </c>
      <c r="EC284" s="5">
        <f t="shared" si="873"/>
        <v>13.537695647623309</v>
      </c>
      <c r="ED284" s="5"/>
      <c r="EE284" s="173">
        <f t="shared" si="874"/>
        <v>9.4154670318848908</v>
      </c>
      <c r="EF284" s="173">
        <f t="shared" si="875"/>
        <v>0.65282977477485316</v>
      </c>
      <c r="EG284" s="173">
        <f t="shared" si="876"/>
        <v>0.5161558247061947</v>
      </c>
      <c r="EH284" s="173"/>
      <c r="EI284" s="528">
        <f t="shared" si="877"/>
        <v>3.5460407771404512</v>
      </c>
      <c r="EJ284" s="528">
        <f t="shared" si="878"/>
        <v>6.8414649775018948</v>
      </c>
      <c r="EK284" s="528">
        <f t="shared" si="879"/>
        <v>6.9999999999999993E-2</v>
      </c>
      <c r="EL284" s="528">
        <f t="shared" si="880"/>
        <v>4.2137635749999999E-2</v>
      </c>
      <c r="EM284">
        <f t="shared" si="881"/>
        <v>7.1999999999999998E-3</v>
      </c>
      <c r="EN284" s="460">
        <f t="shared" si="882"/>
        <v>77.199999999999989</v>
      </c>
      <c r="EP284" s="460">
        <f t="shared" si="883"/>
        <v>10506.843390392345</v>
      </c>
      <c r="EQ284" s="173">
        <f t="shared" si="884"/>
        <v>0.28560000000000002</v>
      </c>
      <c r="ER284" s="173">
        <f t="shared" si="845"/>
        <v>0.29511999999999999</v>
      </c>
      <c r="ES284" s="528"/>
      <c r="EU284" s="460">
        <f t="shared" si="885"/>
        <v>580.72</v>
      </c>
      <c r="EV284" s="528">
        <f t="shared" si="886"/>
        <v>2.6595305828553384</v>
      </c>
      <c r="EW284" s="528">
        <f t="shared" si="887"/>
        <v>1.2785601444977566E-2</v>
      </c>
      <c r="EX284" s="528">
        <f t="shared" si="888"/>
        <v>1.33208417689066E-3</v>
      </c>
      <c r="EY284" s="528">
        <f t="shared" si="889"/>
        <v>517.66152114940519</v>
      </c>
      <c r="EZ284" s="528"/>
      <c r="FA284" s="625">
        <f t="shared" si="890"/>
        <v>7.3439999999999994</v>
      </c>
      <c r="FB284" s="460">
        <f t="shared" si="891"/>
        <v>527679.16941788245</v>
      </c>
      <c r="FC284" s="173">
        <f t="shared" si="892"/>
        <v>538.76673280827481</v>
      </c>
      <c r="FD284" s="5">
        <f t="shared" si="893"/>
        <v>73.44</v>
      </c>
      <c r="FE284" s="173">
        <f t="shared" si="894"/>
        <v>0.11995947784357223</v>
      </c>
      <c r="FF284" s="5">
        <f t="shared" si="895"/>
        <v>11.995947784357224</v>
      </c>
      <c r="FG284">
        <f t="shared" si="896"/>
        <v>68</v>
      </c>
      <c r="FI284" s="562">
        <f t="shared" si="846"/>
        <v>-50</v>
      </c>
    </row>
    <row r="285" spans="5:165">
      <c r="E285" s="170">
        <v>69</v>
      </c>
      <c r="F285" s="217">
        <f t="shared" si="847"/>
        <v>0.41399999999999998</v>
      </c>
      <c r="G285" s="217">
        <f t="shared" si="775"/>
        <v>0.34499999999999997</v>
      </c>
      <c r="H285" s="217">
        <f t="shared" si="776"/>
        <v>70.38</v>
      </c>
      <c r="I285" s="217">
        <f t="shared" si="777"/>
        <v>4.1399999999999997</v>
      </c>
      <c r="J285" s="541">
        <f t="shared" si="778"/>
        <v>14.766618305583547</v>
      </c>
      <c r="K285" s="443">
        <f t="shared" si="779"/>
        <v>8.5427666862562592</v>
      </c>
      <c r="L285" s="172">
        <f t="shared" si="780"/>
        <v>23.309384991839806</v>
      </c>
      <c r="M285" s="443"/>
      <c r="N285" s="217">
        <f t="shared" si="781"/>
        <v>0.36649472687704659</v>
      </c>
      <c r="O285" s="172">
        <f t="shared" si="782"/>
        <v>170.37424375489158</v>
      </c>
      <c r="P285" s="172">
        <f t="shared" si="783"/>
        <v>10.022014338523034</v>
      </c>
      <c r="Q285" s="217">
        <f t="shared" si="784"/>
        <v>1.0022014338523033</v>
      </c>
      <c r="R285" s="217">
        <f t="shared" si="785"/>
        <v>14.197853646240965</v>
      </c>
      <c r="S285" s="217">
        <f t="shared" si="786"/>
        <v>170</v>
      </c>
      <c r="T285" s="217">
        <f t="shared" si="787"/>
        <v>27.539373890047209</v>
      </c>
      <c r="U285" s="217">
        <f t="shared" si="788"/>
        <v>0.93248749714191603</v>
      </c>
      <c r="V285" s="217">
        <f t="shared" si="789"/>
        <v>1.6118533316819361</v>
      </c>
      <c r="W285" s="197">
        <f t="shared" si="790"/>
        <v>350</v>
      </c>
      <c r="X285" s="443">
        <f t="shared" si="848"/>
        <v>350</v>
      </c>
      <c r="Z285" s="217">
        <f t="shared" si="791"/>
        <v>30.925072816013934</v>
      </c>
      <c r="AA285" s="173">
        <f t="shared" si="792"/>
        <v>1.8100150660655809</v>
      </c>
      <c r="AB285" s="173">
        <f t="shared" si="793"/>
        <v>0.46256992209882525</v>
      </c>
      <c r="AC285" s="173"/>
      <c r="AD285" s="173">
        <f t="shared" si="794"/>
        <v>0.78038730443055493</v>
      </c>
      <c r="AE285" s="545">
        <f t="shared" si="795"/>
        <v>1685.1361062171611</v>
      </c>
      <c r="AF285" s="528">
        <f t="shared" si="796"/>
        <v>8.598711965484819E-2</v>
      </c>
      <c r="AH285" s="173">
        <f t="shared" si="797"/>
        <v>29.183165401599993</v>
      </c>
      <c r="AI285" s="173">
        <f t="shared" si="798"/>
        <v>29.183165401599993</v>
      </c>
      <c r="AJ285" s="173">
        <f t="shared" si="799"/>
        <v>12.940616346864191</v>
      </c>
      <c r="AL285" s="545">
        <f t="shared" si="800"/>
        <v>414</v>
      </c>
      <c r="AM285" s="460">
        <f t="shared" si="801"/>
        <v>350</v>
      </c>
      <c r="AO285">
        <f t="shared" si="802"/>
        <v>414</v>
      </c>
      <c r="AP285">
        <f t="shared" si="803"/>
        <v>350</v>
      </c>
      <c r="AR285" s="5">
        <f t="shared" si="774"/>
        <v>2.8571428571428572</v>
      </c>
      <c r="AS285" s="5">
        <f t="shared" si="739"/>
        <v>0.98814653421918774</v>
      </c>
      <c r="AT285" s="5">
        <f t="shared" si="740"/>
        <v>1.8689963229236695</v>
      </c>
      <c r="AU285" s="173">
        <f t="shared" si="741"/>
        <v>0.34585128697671569</v>
      </c>
      <c r="BA285" s="173">
        <f t="shared" si="849"/>
        <v>9.908695153248912</v>
      </c>
      <c r="BB285" s="173">
        <f t="shared" si="850"/>
        <v>0.64351168232010714</v>
      </c>
      <c r="BC285" s="173">
        <f t="shared" si="851"/>
        <v>0.50878853252451273</v>
      </c>
      <c r="BD285" s="173"/>
      <c r="BE285" s="528">
        <f t="shared" si="852"/>
        <v>3.9272895856007395</v>
      </c>
      <c r="BF285" s="528">
        <f t="shared" si="804"/>
        <v>5.3569028963081644</v>
      </c>
      <c r="BG285" s="528">
        <f t="shared" si="805"/>
        <v>0.20673265627816967</v>
      </c>
      <c r="BH285" s="528">
        <f t="shared" si="853"/>
        <v>3.8032920008846484E-2</v>
      </c>
      <c r="BI285">
        <f t="shared" si="854"/>
        <v>6.6449782375125957E-3</v>
      </c>
      <c r="BJ285" s="460">
        <f t="shared" si="855"/>
        <v>213.37763451568225</v>
      </c>
      <c r="BK285">
        <f t="shared" si="806"/>
        <v>155.25142726727896</v>
      </c>
      <c r="BL285" s="460">
        <f t="shared" si="856"/>
        <v>9535.6030364334329</v>
      </c>
      <c r="BM285" s="173">
        <f t="shared" si="807"/>
        <v>0.35935199999999995</v>
      </c>
      <c r="BN285" s="173">
        <f t="shared" si="808"/>
        <v>0.29945999999999995</v>
      </c>
      <c r="BQ285" s="460">
        <f t="shared" si="857"/>
        <v>658.8119999999999</v>
      </c>
      <c r="BR285" s="528">
        <f t="shared" si="858"/>
        <v>2.9454671892005542</v>
      </c>
      <c r="BS285" s="528">
        <f t="shared" si="859"/>
        <v>1.2423218558473635E-2</v>
      </c>
      <c r="BT285" s="528">
        <f t="shared" si="860"/>
        <v>1.2943288541422356E-3</v>
      </c>
      <c r="BU285" s="528">
        <f t="shared" si="861"/>
        <v>527.19478638261762</v>
      </c>
      <c r="BV285" s="528"/>
      <c r="BW285" s="625">
        <f t="shared" si="862"/>
        <v>7.452</v>
      </c>
      <c r="BX285" s="460">
        <f t="shared" si="863"/>
        <v>537605.97111923085</v>
      </c>
      <c r="BY285" s="173">
        <f t="shared" si="864"/>
        <v>547.80038615566423</v>
      </c>
      <c r="BZ285" s="5">
        <f t="shared" si="865"/>
        <v>74.52</v>
      </c>
      <c r="CA285" s="173">
        <f t="shared" si="866"/>
        <v>0.11974539426603313</v>
      </c>
      <c r="CB285" s="5">
        <f t="shared" si="867"/>
        <v>11.974539426603313</v>
      </c>
      <c r="CC285">
        <f t="shared" si="868"/>
        <v>69</v>
      </c>
      <c r="CE285" s="562">
        <f t="shared" si="809"/>
        <v>-50</v>
      </c>
      <c r="CG285" s="173">
        <f t="shared" si="810"/>
        <v>0.58390168390799158</v>
      </c>
      <c r="CH285" s="173">
        <f t="shared" si="811"/>
        <v>0.14926333545769405</v>
      </c>
      <c r="CI285" s="170">
        <v>69</v>
      </c>
      <c r="CJ285" s="217">
        <f t="shared" si="869"/>
        <v>0.41399999999999998</v>
      </c>
      <c r="CK285" s="217">
        <f t="shared" si="812"/>
        <v>0.34499999999999997</v>
      </c>
      <c r="CL285" s="217">
        <f t="shared" si="813"/>
        <v>70.38</v>
      </c>
      <c r="CM285" s="217">
        <f t="shared" si="814"/>
        <v>4.1399999999999997</v>
      </c>
      <c r="CN285" s="541">
        <f t="shared" si="815"/>
        <v>16</v>
      </c>
      <c r="CO285" s="443">
        <f t="shared" si="816"/>
        <v>8.5350000000000001</v>
      </c>
      <c r="CP285" s="443">
        <f t="shared" si="817"/>
        <v>24.535</v>
      </c>
      <c r="CQ285" s="443"/>
      <c r="CR285" s="217">
        <f t="shared" si="818"/>
        <v>0.34760448521916415</v>
      </c>
      <c r="CS285" s="172">
        <f t="shared" si="819"/>
        <v>175.08966662891231</v>
      </c>
      <c r="CT285" s="172">
        <f t="shared" si="820"/>
        <v>10.2993921546419</v>
      </c>
      <c r="CU285" s="217">
        <f t="shared" si="821"/>
        <v>1.02993921546419</v>
      </c>
      <c r="CV285" s="217">
        <f t="shared" si="822"/>
        <v>14.590805552409359</v>
      </c>
      <c r="CW285" s="217">
        <f t="shared" si="823"/>
        <v>170</v>
      </c>
      <c r="CX285" s="217">
        <f t="shared" si="824"/>
        <v>26.797697947214072</v>
      </c>
      <c r="CY285" s="217">
        <f t="shared" si="825"/>
        <v>0.83742806085043964</v>
      </c>
      <c r="CZ285" s="217">
        <f t="shared" si="826"/>
        <v>1.5698709986651476</v>
      </c>
      <c r="DA285" s="197">
        <f t="shared" si="827"/>
        <v>350</v>
      </c>
      <c r="DB285" s="443">
        <f t="shared" si="828"/>
        <v>350</v>
      </c>
      <c r="DD285" s="217">
        <f t="shared" si="829"/>
        <v>31.805292730501623</v>
      </c>
      <c r="DE285" s="173">
        <f t="shared" si="830"/>
        <v>1.8632274593146818</v>
      </c>
      <c r="DF285" s="173">
        <f t="shared" si="831"/>
        <v>0.4897221442551708</v>
      </c>
      <c r="DG285" s="173"/>
      <c r="DH285" s="173">
        <f t="shared" si="832"/>
        <v>0.78109744190587771</v>
      </c>
      <c r="DI285" s="545">
        <f t="shared" si="833"/>
        <v>1683.6040588235294</v>
      </c>
      <c r="DJ285" s="528">
        <f t="shared" si="834"/>
        <v>8.6065366284073561E-2</v>
      </c>
      <c r="DL285" s="173">
        <f t="shared" si="835"/>
        <v>29.183165401599993</v>
      </c>
      <c r="DM285" s="173">
        <f t="shared" si="836"/>
        <v>29.183165401599993</v>
      </c>
      <c r="DN285" s="173">
        <f t="shared" si="837"/>
        <v>12.940616346864191</v>
      </c>
      <c r="DP285" s="545">
        <f t="shared" si="838"/>
        <v>414</v>
      </c>
      <c r="DQ285" s="460">
        <f t="shared" si="839"/>
        <v>350</v>
      </c>
      <c r="DS285">
        <f t="shared" si="840"/>
        <v>414</v>
      </c>
      <c r="DT285">
        <f t="shared" si="841"/>
        <v>350</v>
      </c>
      <c r="DV285" s="5">
        <f t="shared" si="870"/>
        <v>2.8571428571428572</v>
      </c>
      <c r="DW285" s="5">
        <f t="shared" si="842"/>
        <v>0.91197391879999967</v>
      </c>
      <c r="DX285" s="5">
        <f t="shared" si="843"/>
        <v>1.9451689383428574</v>
      </c>
      <c r="DY285" s="173">
        <f t="shared" si="844"/>
        <v>0.31919087157999987</v>
      </c>
      <c r="EA285" s="5">
        <f t="shared" si="871"/>
        <v>0.22209247199011756</v>
      </c>
      <c r="EB285" s="5">
        <f t="shared" si="872"/>
        <v>2.6219250165499992</v>
      </c>
      <c r="EC285" s="5">
        <f t="shared" si="873"/>
        <v>13.690098988057031</v>
      </c>
      <c r="ED285" s="5"/>
      <c r="EE285" s="173">
        <f t="shared" si="874"/>
        <v>9.5191243595179476</v>
      </c>
      <c r="EF285" s="173">
        <f t="shared" si="875"/>
        <v>0.65649417192551363</v>
      </c>
      <c r="EG285" s="173">
        <f t="shared" si="876"/>
        <v>0.5190530576548642</v>
      </c>
      <c r="EH285" s="173"/>
      <c r="EI285" s="528">
        <f t="shared" si="877"/>
        <v>3.6245491428787187</v>
      </c>
      <c r="EJ285" s="528">
        <f t="shared" si="878"/>
        <v>6.8915862701094621</v>
      </c>
      <c r="EK285" s="528">
        <f t="shared" si="879"/>
        <v>6.9999999999999993E-2</v>
      </c>
      <c r="EL285" s="528">
        <f t="shared" si="880"/>
        <v>4.2137635749999999E-2</v>
      </c>
      <c r="EM285">
        <f t="shared" si="881"/>
        <v>7.1999999999999998E-3</v>
      </c>
      <c r="EN285" s="460">
        <f t="shared" si="882"/>
        <v>77.199999999999989</v>
      </c>
      <c r="EP285" s="460">
        <f t="shared" si="883"/>
        <v>10635.47304873818</v>
      </c>
      <c r="EQ285" s="173">
        <f t="shared" si="884"/>
        <v>0.28979999999999995</v>
      </c>
      <c r="ER285" s="173">
        <f t="shared" si="845"/>
        <v>0.29945999999999995</v>
      </c>
      <c r="ES285" s="528"/>
      <c r="EU285" s="460">
        <f t="shared" si="885"/>
        <v>589.25999999999988</v>
      </c>
      <c r="EV285" s="528">
        <f t="shared" si="886"/>
        <v>2.718411857159039</v>
      </c>
      <c r="EW285" s="528">
        <f t="shared" si="887"/>
        <v>1.2929537933164975E-2</v>
      </c>
      <c r="EX285" s="528">
        <f t="shared" si="888"/>
        <v>1.3470803833043189E-3</v>
      </c>
      <c r="EY285" s="528">
        <f t="shared" si="889"/>
        <v>527.19478638261762</v>
      </c>
      <c r="EZ285" s="528"/>
      <c r="FA285" s="625">
        <f t="shared" si="890"/>
        <v>7.452</v>
      </c>
      <c r="FB285" s="460">
        <f t="shared" si="891"/>
        <v>537379.47485809308</v>
      </c>
      <c r="FC285" s="173">
        <f t="shared" si="892"/>
        <v>548.60420790683133</v>
      </c>
      <c r="FD285" s="5">
        <f t="shared" si="893"/>
        <v>74.52</v>
      </c>
      <c r="FE285" s="173">
        <f t="shared" si="894"/>
        <v>0.11959092433645609</v>
      </c>
      <c r="FF285" s="5">
        <f t="shared" si="895"/>
        <v>11.959092433645608</v>
      </c>
      <c r="FG285">
        <f t="shared" si="896"/>
        <v>69</v>
      </c>
      <c r="FI285" s="562">
        <f t="shared" si="846"/>
        <v>-50</v>
      </c>
    </row>
    <row r="286" spans="5:165">
      <c r="E286" s="170">
        <v>70</v>
      </c>
      <c r="F286" s="217">
        <f t="shared" si="847"/>
        <v>0.42</v>
      </c>
      <c r="G286" s="217">
        <f t="shared" si="775"/>
        <v>0.35</v>
      </c>
      <c r="H286" s="217">
        <f t="shared" si="776"/>
        <v>71.399999999999991</v>
      </c>
      <c r="I286" s="217">
        <f t="shared" si="777"/>
        <v>4.1999999999999993</v>
      </c>
      <c r="J286" s="541">
        <f t="shared" si="778"/>
        <v>14.757712906944358</v>
      </c>
      <c r="K286" s="443">
        <f t="shared" si="779"/>
        <v>8.542822764141583</v>
      </c>
      <c r="L286" s="172">
        <f t="shared" si="780"/>
        <v>23.300535671085939</v>
      </c>
      <c r="M286" s="443"/>
      <c r="N286" s="217">
        <f t="shared" si="781"/>
        <v>0.36663632479241787</v>
      </c>
      <c r="O286" s="172">
        <f t="shared" si="782"/>
        <v>170.33728070970935</v>
      </c>
      <c r="P286" s="172">
        <f t="shared" si="783"/>
        <v>10.019840041747608</v>
      </c>
      <c r="Q286" s="217">
        <f t="shared" si="784"/>
        <v>1.001984004174761</v>
      </c>
      <c r="R286" s="217">
        <f t="shared" si="785"/>
        <v>14.19477339247578</v>
      </c>
      <c r="S286" s="217">
        <f t="shared" si="786"/>
        <v>170</v>
      </c>
      <c r="T286" s="217">
        <f t="shared" si="787"/>
        <v>27.944557880503233</v>
      </c>
      <c r="U286" s="217">
        <f t="shared" si="788"/>
        <v>0.94677806976966272</v>
      </c>
      <c r="V286" s="217">
        <f t="shared" si="789"/>
        <v>1.6355576284340256</v>
      </c>
      <c r="W286" s="197">
        <f t="shared" si="790"/>
        <v>350</v>
      </c>
      <c r="X286" s="443">
        <f t="shared" si="848"/>
        <v>350</v>
      </c>
      <c r="Z286" s="217">
        <f t="shared" si="791"/>
        <v>30.918363557392624</v>
      </c>
      <c r="AA286" s="173">
        <f t="shared" si="792"/>
        <v>1.809610500593092</v>
      </c>
      <c r="AB286" s="173">
        <f t="shared" si="793"/>
        <v>0.46236619772214482</v>
      </c>
      <c r="AC286" s="173"/>
      <c r="AD286" s="173">
        <f t="shared" si="794"/>
        <v>0.78038218171281004</v>
      </c>
      <c r="AE286" s="545">
        <f t="shared" si="795"/>
        <v>1709.5695908005682</v>
      </c>
      <c r="AF286" s="528">
        <f t="shared" si="796"/>
        <v>8.5986555207244811E-2</v>
      </c>
      <c r="AH286" s="173">
        <f t="shared" si="797"/>
        <v>29.393876913398138</v>
      </c>
      <c r="AI286" s="173">
        <f t="shared" si="798"/>
        <v>29.393876913398138</v>
      </c>
      <c r="AJ286" s="173">
        <f t="shared" si="799"/>
        <v>13.096698948196149</v>
      </c>
      <c r="AL286" s="545">
        <f t="shared" si="800"/>
        <v>420</v>
      </c>
      <c r="AM286" s="460">
        <f t="shared" si="801"/>
        <v>350</v>
      </c>
      <c r="AO286">
        <f t="shared" si="802"/>
        <v>420</v>
      </c>
      <c r="AP286">
        <f t="shared" si="803"/>
        <v>350</v>
      </c>
      <c r="AR286" s="5">
        <f t="shared" si="774"/>
        <v>2.8571428571428572</v>
      </c>
      <c r="AS286" s="5">
        <f t="shared" si="739"/>
        <v>0.99588185170503674</v>
      </c>
      <c r="AT286" s="5">
        <f t="shared" si="740"/>
        <v>1.8612610054378205</v>
      </c>
      <c r="AU286" s="173">
        <f t="shared" si="741"/>
        <v>0.34855864809676285</v>
      </c>
      <c r="BA286" s="173">
        <f t="shared" si="849"/>
        <v>10.019226050542411</v>
      </c>
      <c r="BB286" s="173">
        <f t="shared" si="850"/>
        <v>0.64681536211406232</v>
      </c>
      <c r="BC286" s="173">
        <f t="shared" si="851"/>
        <v>0.51140056652556953</v>
      </c>
      <c r="BD286" s="173"/>
      <c r="BE286" s="528">
        <f t="shared" si="852"/>
        <v>4.0153956260747075</v>
      </c>
      <c r="BF286" s="528">
        <f t="shared" si="804"/>
        <v>5.3935329855656251</v>
      </c>
      <c r="BG286" s="528">
        <f t="shared" si="805"/>
        <v>0.20660798069722103</v>
      </c>
      <c r="BH286" s="528">
        <f t="shared" si="853"/>
        <v>3.8004047379168376E-2</v>
      </c>
      <c r="BI286">
        <f t="shared" si="854"/>
        <v>6.6409708081249606E-3</v>
      </c>
      <c r="BJ286" s="460">
        <f t="shared" si="855"/>
        <v>213.24895150534599</v>
      </c>
      <c r="BK286">
        <f t="shared" si="806"/>
        <v>229.22575532639883</v>
      </c>
      <c r="BL286" s="460">
        <f t="shared" si="856"/>
        <v>9660.1816105248472</v>
      </c>
      <c r="BM286" s="173">
        <f t="shared" si="807"/>
        <v>0.36456</v>
      </c>
      <c r="BN286" s="173">
        <f t="shared" si="808"/>
        <v>0.30379999999999996</v>
      </c>
      <c r="BQ286" s="460">
        <f t="shared" si="857"/>
        <v>668.3599999999999</v>
      </c>
      <c r="BR286" s="528">
        <f t="shared" si="858"/>
        <v>3.0115467195560304</v>
      </c>
      <c r="BS286" s="528">
        <f t="shared" si="859"/>
        <v>1.2551103380002366E-2</v>
      </c>
      <c r="BT286" s="528">
        <f t="shared" si="860"/>
        <v>1.3076526972133674E-3</v>
      </c>
      <c r="BU286" s="528">
        <f t="shared" si="861"/>
        <v>536.76265614340832</v>
      </c>
      <c r="BV286" s="528"/>
      <c r="BW286" s="625">
        <f t="shared" si="862"/>
        <v>7.5600000000000005</v>
      </c>
      <c r="BX286" s="460">
        <f t="shared" si="863"/>
        <v>547348.06161904149</v>
      </c>
      <c r="BY286" s="173">
        <f t="shared" si="864"/>
        <v>557.67660322956635</v>
      </c>
      <c r="BZ286" s="5">
        <f t="shared" si="865"/>
        <v>75.599999999999994</v>
      </c>
      <c r="CA286" s="173">
        <f t="shared" si="866"/>
        <v>0.11937911429927653</v>
      </c>
      <c r="CB286" s="5">
        <f t="shared" si="867"/>
        <v>11.937911429927652</v>
      </c>
      <c r="CC286">
        <f t="shared" si="868"/>
        <v>70</v>
      </c>
      <c r="CE286" s="562">
        <f t="shared" si="809"/>
        <v>-50</v>
      </c>
      <c r="CG286" s="173">
        <f t="shared" si="810"/>
        <v>0.58811763529176408</v>
      </c>
      <c r="CH286" s="173">
        <f t="shared" si="811"/>
        <v>0.15034106306665998</v>
      </c>
      <c r="CI286" s="170">
        <v>70</v>
      </c>
      <c r="CJ286" s="217">
        <f t="shared" si="869"/>
        <v>0.42</v>
      </c>
      <c r="CK286" s="217">
        <f t="shared" si="812"/>
        <v>0.35</v>
      </c>
      <c r="CL286" s="217">
        <f t="shared" si="813"/>
        <v>71.399999999999991</v>
      </c>
      <c r="CM286" s="217">
        <f t="shared" si="814"/>
        <v>4.1999999999999993</v>
      </c>
      <c r="CN286" s="541">
        <f t="shared" si="815"/>
        <v>16</v>
      </c>
      <c r="CO286" s="443">
        <f t="shared" si="816"/>
        <v>8.5350000000000001</v>
      </c>
      <c r="CP286" s="443">
        <f t="shared" si="817"/>
        <v>24.535</v>
      </c>
      <c r="CQ286" s="443"/>
      <c r="CR286" s="217">
        <f t="shared" si="818"/>
        <v>0.34760448521916415</v>
      </c>
      <c r="CS286" s="172">
        <f t="shared" si="819"/>
        <v>175.08966662891231</v>
      </c>
      <c r="CT286" s="172">
        <f t="shared" si="820"/>
        <v>10.2993921546419</v>
      </c>
      <c r="CU286" s="217">
        <f t="shared" si="821"/>
        <v>1.02993921546419</v>
      </c>
      <c r="CV286" s="217">
        <f t="shared" si="822"/>
        <v>14.590805552409359</v>
      </c>
      <c r="CW286" s="217">
        <f t="shared" si="823"/>
        <v>170</v>
      </c>
      <c r="CX286" s="217">
        <f t="shared" si="824"/>
        <v>27.186070381231666</v>
      </c>
      <c r="CY286" s="217">
        <f t="shared" si="825"/>
        <v>0.84956469941348955</v>
      </c>
      <c r="CZ286" s="217">
        <f t="shared" si="826"/>
        <v>1.5926227522689902</v>
      </c>
      <c r="DA286" s="197">
        <f t="shared" si="827"/>
        <v>350</v>
      </c>
      <c r="DB286" s="443">
        <f t="shared" si="828"/>
        <v>350</v>
      </c>
      <c r="DD286" s="217">
        <f t="shared" si="829"/>
        <v>31.805292730501623</v>
      </c>
      <c r="DE286" s="173">
        <f t="shared" si="830"/>
        <v>1.8632274593146818</v>
      </c>
      <c r="DF286" s="173">
        <f t="shared" si="831"/>
        <v>0.4897221442551708</v>
      </c>
      <c r="DG286" s="173"/>
      <c r="DH286" s="173">
        <f t="shared" si="832"/>
        <v>0.78109744190587771</v>
      </c>
      <c r="DI286" s="545">
        <f t="shared" si="833"/>
        <v>1708.004117647059</v>
      </c>
      <c r="DJ286" s="528">
        <f t="shared" si="834"/>
        <v>8.6065366284073561E-2</v>
      </c>
      <c r="DL286" s="173">
        <f t="shared" si="835"/>
        <v>29.393876913398138</v>
      </c>
      <c r="DM286" s="173">
        <f t="shared" si="836"/>
        <v>29.393876913398138</v>
      </c>
      <c r="DN286" s="173">
        <f t="shared" si="837"/>
        <v>13.096698948196149</v>
      </c>
      <c r="DP286" s="545">
        <f t="shared" si="838"/>
        <v>420</v>
      </c>
      <c r="DQ286" s="460">
        <f t="shared" si="839"/>
        <v>350</v>
      </c>
      <c r="DS286">
        <f t="shared" si="840"/>
        <v>420</v>
      </c>
      <c r="DT286">
        <f t="shared" si="841"/>
        <v>350</v>
      </c>
      <c r="DV286" s="5">
        <f t="shared" si="870"/>
        <v>2.8571428571428572</v>
      </c>
      <c r="DW286" s="5">
        <f t="shared" si="842"/>
        <v>0.91855865354369171</v>
      </c>
      <c r="DX286" s="5">
        <f t="shared" si="843"/>
        <v>1.9385842035991656</v>
      </c>
      <c r="DY286" s="173">
        <f t="shared" si="844"/>
        <v>0.32149552874029208</v>
      </c>
      <c r="EA286" s="5">
        <f t="shared" si="871"/>
        <v>0.22693802028726498</v>
      </c>
      <c r="EB286" s="5">
        <f t="shared" si="872"/>
        <v>2.6791294061691007</v>
      </c>
      <c r="EC286" s="5">
        <f t="shared" si="873"/>
        <v>13.84149121369804</v>
      </c>
      <c r="ED286" s="5"/>
      <c r="EE286" s="173">
        <f t="shared" si="874"/>
        <v>9.6224067819441164</v>
      </c>
      <c r="EF286" s="173">
        <f t="shared" si="875"/>
        <v>0.6601141184069037</v>
      </c>
      <c r="EG286" s="173">
        <f t="shared" si="876"/>
        <v>0.52191514595673216</v>
      </c>
      <c r="EH286" s="173"/>
      <c r="EI286" s="528">
        <f t="shared" si="877"/>
        <v>3.7036284910881649</v>
      </c>
      <c r="EJ286" s="528">
        <f t="shared" si="878"/>
        <v>6.9413456619259</v>
      </c>
      <c r="EK286" s="528">
        <f t="shared" si="879"/>
        <v>6.9999999999999993E-2</v>
      </c>
      <c r="EL286" s="528">
        <f t="shared" si="880"/>
        <v>4.2137635749999999E-2</v>
      </c>
      <c r="EM286">
        <f t="shared" si="881"/>
        <v>7.1999999999999998E-3</v>
      </c>
      <c r="EN286" s="460">
        <f t="shared" si="882"/>
        <v>77.199999999999989</v>
      </c>
      <c r="EP286" s="460">
        <f t="shared" si="883"/>
        <v>10764.311788764066</v>
      </c>
      <c r="EQ286" s="173">
        <f t="shared" si="884"/>
        <v>0.29399999999999998</v>
      </c>
      <c r="ER286" s="173">
        <f t="shared" si="845"/>
        <v>0.30379999999999996</v>
      </c>
      <c r="ES286" s="528"/>
      <c r="EU286" s="460">
        <f t="shared" si="885"/>
        <v>597.79999999999984</v>
      </c>
      <c r="EV286" s="528">
        <f t="shared" si="886"/>
        <v>2.7777213683161235</v>
      </c>
      <c r="EW286" s="528">
        <f t="shared" si="887"/>
        <v>1.307251947960371E-2</v>
      </c>
      <c r="EX286" s="528">
        <f t="shared" si="888"/>
        <v>1.3619770978951851E-3</v>
      </c>
      <c r="EY286" s="528">
        <f t="shared" si="889"/>
        <v>536.76265614340832</v>
      </c>
      <c r="EZ286" s="528"/>
      <c r="FA286" s="625">
        <f t="shared" si="890"/>
        <v>7.5600000000000005</v>
      </c>
      <c r="FB286" s="460">
        <f t="shared" si="891"/>
        <v>547114.81200830184</v>
      </c>
      <c r="FC286" s="173">
        <f t="shared" si="892"/>
        <v>558.47692379706598</v>
      </c>
      <c r="FD286" s="5">
        <f t="shared" si="893"/>
        <v>75.599999999999994</v>
      </c>
      <c r="FE286" s="173">
        <f t="shared" si="894"/>
        <v>0.11922843611352665</v>
      </c>
      <c r="FF286" s="5">
        <f t="shared" si="895"/>
        <v>11.922843611352665</v>
      </c>
      <c r="FG286">
        <f t="shared" si="896"/>
        <v>70</v>
      </c>
      <c r="FI286" s="562">
        <f t="shared" si="846"/>
        <v>-50</v>
      </c>
    </row>
    <row r="287" spans="5:165">
      <c r="E287" s="170">
        <v>71</v>
      </c>
      <c r="F287" s="217">
        <f t="shared" si="847"/>
        <v>0.42599999999999999</v>
      </c>
      <c r="G287" s="217">
        <f t="shared" si="775"/>
        <v>0.35499999999999998</v>
      </c>
      <c r="H287" s="217">
        <f t="shared" si="776"/>
        <v>72.42</v>
      </c>
      <c r="I287" s="217">
        <f t="shared" si="777"/>
        <v>4.26</v>
      </c>
      <c r="J287" s="541">
        <f t="shared" si="778"/>
        <v>14.748870894342364</v>
      </c>
      <c r="K287" s="443">
        <f t="shared" si="779"/>
        <v>8.5428784428808271</v>
      </c>
      <c r="L287" s="172">
        <f t="shared" si="780"/>
        <v>23.291749337223191</v>
      </c>
      <c r="M287" s="443"/>
      <c r="N287" s="217">
        <f t="shared" si="781"/>
        <v>0.36677702130463063</v>
      </c>
      <c r="O287" s="172">
        <f t="shared" si="782"/>
        <v>170.30055163327546</v>
      </c>
      <c r="P287" s="172">
        <f t="shared" si="783"/>
        <v>10.017679507839732</v>
      </c>
      <c r="Q287" s="217">
        <f t="shared" si="784"/>
        <v>1.0017679507839734</v>
      </c>
      <c r="R287" s="217">
        <f t="shared" si="785"/>
        <v>14.191712636106288</v>
      </c>
      <c r="S287" s="217">
        <f t="shared" si="786"/>
        <v>170</v>
      </c>
      <c r="T287" s="217">
        <f t="shared" si="787"/>
        <v>28.349878809533141</v>
      </c>
      <c r="U287" s="217">
        <f t="shared" si="788"/>
        <v>0.96108641172010312</v>
      </c>
      <c r="V287" s="217">
        <f t="shared" si="789"/>
        <v>1.6592697062872523</v>
      </c>
      <c r="W287" s="197">
        <f t="shared" si="790"/>
        <v>350</v>
      </c>
      <c r="X287" s="443">
        <f t="shared" si="848"/>
        <v>350</v>
      </c>
      <c r="Z287" s="217">
        <f t="shared" si="791"/>
        <v>30.911696767048323</v>
      </c>
      <c r="AA287" s="173">
        <f t="shared" si="792"/>
        <v>1.8092085105581985</v>
      </c>
      <c r="AB287" s="173">
        <f t="shared" si="793"/>
        <v>0.46216381105151688</v>
      </c>
      <c r="AC287" s="173"/>
      <c r="AD287" s="173">
        <f t="shared" si="794"/>
        <v>0.78037709552361778</v>
      </c>
      <c r="AE287" s="545">
        <f t="shared" si="795"/>
        <v>1734.0033150002696</v>
      </c>
      <c r="AF287" s="528">
        <f t="shared" si="796"/>
        <v>8.5985994784546771E-2</v>
      </c>
      <c r="AH287" s="173">
        <f t="shared" si="797"/>
        <v>29.603088641945071</v>
      </c>
      <c r="AI287" s="173">
        <f t="shared" si="798"/>
        <v>29.603088641945071</v>
      </c>
      <c r="AJ287" s="173">
        <f t="shared" si="799"/>
        <v>13.251670598971655</v>
      </c>
      <c r="AL287" s="545">
        <f t="shared" si="800"/>
        <v>426</v>
      </c>
      <c r="AM287" s="460">
        <f t="shared" si="801"/>
        <v>350</v>
      </c>
      <c r="AO287">
        <f t="shared" si="802"/>
        <v>426</v>
      </c>
      <c r="AP287">
        <f t="shared" si="803"/>
        <v>350</v>
      </c>
      <c r="AR287" s="5">
        <f t="shared" si="774"/>
        <v>2.8571428571428572</v>
      </c>
      <c r="AS287" s="5">
        <f t="shared" si="739"/>
        <v>1.0035713531569646</v>
      </c>
      <c r="AT287" s="5">
        <f t="shared" si="740"/>
        <v>1.8535715039858927</v>
      </c>
      <c r="AU287" s="173">
        <f t="shared" si="741"/>
        <v>0.35124997360493759</v>
      </c>
      <c r="BA287" s="173">
        <f t="shared" si="849"/>
        <v>10.12941928971094</v>
      </c>
      <c r="BB287" s="173">
        <f t="shared" si="850"/>
        <v>0.65007207882653328</v>
      </c>
      <c r="BC287" s="173">
        <f t="shared" si="851"/>
        <v>0.51397546945664296</v>
      </c>
      <c r="BD287" s="173"/>
      <c r="BE287" s="528">
        <f t="shared" si="852"/>
        <v>4.104205405870724</v>
      </c>
      <c r="BF287" s="528">
        <f t="shared" si="804"/>
        <v>5.4298732970142947</v>
      </c>
      <c r="BG287" s="528">
        <f t="shared" si="805"/>
        <v>0.20648419252079309</v>
      </c>
      <c r="BH287" s="528">
        <f t="shared" si="853"/>
        <v>3.7975391103162587E-2</v>
      </c>
      <c r="BI287">
        <f t="shared" si="854"/>
        <v>6.6369919024540638E-3</v>
      </c>
      <c r="BJ287" s="460">
        <f t="shared" si="855"/>
        <v>213.12118442324714</v>
      </c>
      <c r="BK287">
        <f t="shared" si="806"/>
        <v>429.94555168641642</v>
      </c>
      <c r="BL287" s="460">
        <f t="shared" si="856"/>
        <v>9785.1752784114287</v>
      </c>
      <c r="BM287" s="173">
        <f t="shared" si="807"/>
        <v>0.36976799999999993</v>
      </c>
      <c r="BN287" s="173">
        <f t="shared" si="808"/>
        <v>0.30813999999999997</v>
      </c>
      <c r="BQ287" s="460">
        <f t="shared" si="857"/>
        <v>677.9079999999999</v>
      </c>
      <c r="BR287" s="528">
        <f t="shared" si="858"/>
        <v>3.0781540544030426</v>
      </c>
      <c r="BS287" s="528">
        <f t="shared" si="859"/>
        <v>1.2677811230095514E-2</v>
      </c>
      <c r="BT287" s="528">
        <f t="shared" si="860"/>
        <v>1.3208539160158828E-3</v>
      </c>
      <c r="BU287" s="528">
        <f t="shared" si="861"/>
        <v>546.36475898061997</v>
      </c>
      <c r="BV287" s="528"/>
      <c r="BW287" s="625">
        <f t="shared" si="862"/>
        <v>7.6680000000000019</v>
      </c>
      <c r="BX287" s="460">
        <f t="shared" si="863"/>
        <v>557124.91170016921</v>
      </c>
      <c r="BY287" s="173">
        <f t="shared" si="864"/>
        <v>567.58799497858058</v>
      </c>
      <c r="BZ287" s="5">
        <f t="shared" si="865"/>
        <v>76.680000000000007</v>
      </c>
      <c r="CA287" s="173">
        <f t="shared" si="866"/>
        <v>0.11901879434900273</v>
      </c>
      <c r="CB287" s="5">
        <f t="shared" si="867"/>
        <v>11.901879434900273</v>
      </c>
      <c r="CC287">
        <f t="shared" si="868"/>
        <v>71</v>
      </c>
      <c r="CE287" s="562">
        <f t="shared" si="809"/>
        <v>-50</v>
      </c>
      <c r="CG287" s="173">
        <f t="shared" si="810"/>
        <v>0.59230357875988271</v>
      </c>
      <c r="CH287" s="173">
        <f t="shared" si="811"/>
        <v>0.15141111972398452</v>
      </c>
      <c r="CI287" s="170">
        <v>71</v>
      </c>
      <c r="CJ287" s="217">
        <f t="shared" si="869"/>
        <v>0.42599999999999999</v>
      </c>
      <c r="CK287" s="217">
        <f t="shared" si="812"/>
        <v>0.35499999999999998</v>
      </c>
      <c r="CL287" s="217">
        <f t="shared" si="813"/>
        <v>72.42</v>
      </c>
      <c r="CM287" s="217">
        <f t="shared" si="814"/>
        <v>4.26</v>
      </c>
      <c r="CN287" s="541">
        <f t="shared" si="815"/>
        <v>16</v>
      </c>
      <c r="CO287" s="443">
        <f t="shared" si="816"/>
        <v>8.5350000000000001</v>
      </c>
      <c r="CP287" s="443">
        <f t="shared" si="817"/>
        <v>24.535</v>
      </c>
      <c r="CQ287" s="443"/>
      <c r="CR287" s="217">
        <f t="shared" si="818"/>
        <v>0.34760448521916415</v>
      </c>
      <c r="CS287" s="172">
        <f t="shared" si="819"/>
        <v>175.08966662891231</v>
      </c>
      <c r="CT287" s="172">
        <f t="shared" si="820"/>
        <v>10.2993921546419</v>
      </c>
      <c r="CU287" s="217">
        <f t="shared" si="821"/>
        <v>1.02993921546419</v>
      </c>
      <c r="CV287" s="217">
        <f t="shared" si="822"/>
        <v>14.590805552409359</v>
      </c>
      <c r="CW287" s="217">
        <f t="shared" si="823"/>
        <v>170</v>
      </c>
      <c r="CX287" s="217">
        <f t="shared" si="824"/>
        <v>27.574442815249267</v>
      </c>
      <c r="CY287" s="217">
        <f t="shared" si="825"/>
        <v>0.86170133797653958</v>
      </c>
      <c r="CZ287" s="217">
        <f t="shared" si="826"/>
        <v>1.6153745058728333</v>
      </c>
      <c r="DA287" s="197">
        <f t="shared" si="827"/>
        <v>350</v>
      </c>
      <c r="DB287" s="443">
        <f t="shared" si="828"/>
        <v>350</v>
      </c>
      <c r="DD287" s="217">
        <f t="shared" si="829"/>
        <v>31.805292730501623</v>
      </c>
      <c r="DE287" s="173">
        <f t="shared" si="830"/>
        <v>1.8632274593146818</v>
      </c>
      <c r="DF287" s="173">
        <f t="shared" si="831"/>
        <v>0.4897221442551708</v>
      </c>
      <c r="DG287" s="173"/>
      <c r="DH287" s="173">
        <f t="shared" si="832"/>
        <v>0.78109744190587771</v>
      </c>
      <c r="DI287" s="545">
        <f t="shared" si="833"/>
        <v>1732.4041764705883</v>
      </c>
      <c r="DJ287" s="528">
        <f t="shared" si="834"/>
        <v>8.6065366284073561E-2</v>
      </c>
      <c r="DL287" s="173">
        <f t="shared" si="835"/>
        <v>29.603088641945071</v>
      </c>
      <c r="DM287" s="173">
        <f t="shared" si="836"/>
        <v>29.603088641945071</v>
      </c>
      <c r="DN287" s="173">
        <f t="shared" si="837"/>
        <v>13.251670598971655</v>
      </c>
      <c r="DP287" s="545">
        <f t="shared" si="838"/>
        <v>426</v>
      </c>
      <c r="DQ287" s="460">
        <f t="shared" si="839"/>
        <v>350</v>
      </c>
      <c r="DS287">
        <f t="shared" si="840"/>
        <v>426</v>
      </c>
      <c r="DT287">
        <f t="shared" si="841"/>
        <v>350</v>
      </c>
      <c r="DV287" s="5">
        <f t="shared" si="870"/>
        <v>2.8571428571428572</v>
      </c>
      <c r="DW287" s="5">
        <f t="shared" si="842"/>
        <v>0.92509652006078347</v>
      </c>
      <c r="DX287" s="5">
        <f t="shared" si="843"/>
        <v>1.9320463370820737</v>
      </c>
      <c r="DY287" s="173">
        <f t="shared" si="844"/>
        <v>0.32378378202127422</v>
      </c>
      <c r="EA287" s="5">
        <f t="shared" si="871"/>
        <v>0.23181830443876106</v>
      </c>
      <c r="EB287" s="5">
        <f t="shared" si="872"/>
        <v>2.736743871846484</v>
      </c>
      <c r="EC287" s="5">
        <f t="shared" si="873"/>
        <v>13.991879573148378</v>
      </c>
      <c r="ED287" s="5"/>
      <c r="EE287" s="173">
        <f t="shared" si="874"/>
        <v>9.7253209824156706</v>
      </c>
      <c r="EF287" s="173">
        <f t="shared" si="875"/>
        <v>0.66369051347234864</v>
      </c>
      <c r="EG287" s="173">
        <f t="shared" si="876"/>
        <v>0.52474280060087952</v>
      </c>
      <c r="EH287" s="173"/>
      <c r="EI287" s="528">
        <f t="shared" si="877"/>
        <v>3.7832747284405803</v>
      </c>
      <c r="EJ287" s="528">
        <f t="shared" si="878"/>
        <v>6.9907508808649279</v>
      </c>
      <c r="EK287" s="528">
        <f t="shared" si="879"/>
        <v>6.9999999999999993E-2</v>
      </c>
      <c r="EL287" s="528">
        <f t="shared" si="880"/>
        <v>4.2137635749999999E-2</v>
      </c>
      <c r="EM287">
        <f t="shared" si="881"/>
        <v>7.1999999999999998E-3</v>
      </c>
      <c r="EN287" s="460">
        <f t="shared" si="882"/>
        <v>77.199999999999989</v>
      </c>
      <c r="EP287" s="460">
        <f t="shared" si="883"/>
        <v>10893.363245055507</v>
      </c>
      <c r="EQ287" s="173">
        <f t="shared" si="884"/>
        <v>0.29819999999999997</v>
      </c>
      <c r="ER287" s="173">
        <f t="shared" si="845"/>
        <v>0.30813999999999997</v>
      </c>
      <c r="ES287" s="528"/>
      <c r="EU287" s="460">
        <f t="shared" si="885"/>
        <v>606.33999999999992</v>
      </c>
      <c r="EV287" s="528">
        <f t="shared" si="886"/>
        <v>2.837456046330435</v>
      </c>
      <c r="EW287" s="528">
        <f t="shared" si="887"/>
        <v>1.3214552930195692E-2</v>
      </c>
      <c r="EX287" s="528">
        <f t="shared" si="888"/>
        <v>1.3767750339122721E-3</v>
      </c>
      <c r="EY287" s="528">
        <f t="shared" si="889"/>
        <v>546.36475898061997</v>
      </c>
      <c r="EZ287" s="528"/>
      <c r="FA287" s="625">
        <f t="shared" si="890"/>
        <v>7.6680000000000019</v>
      </c>
      <c r="FB287" s="460">
        <f t="shared" si="891"/>
        <v>556884.80635491456</v>
      </c>
      <c r="FC287" s="173">
        <f t="shared" si="892"/>
        <v>568.38450959996999</v>
      </c>
      <c r="FD287" s="5">
        <f t="shared" si="893"/>
        <v>76.680000000000007</v>
      </c>
      <c r="FE287" s="173">
        <f t="shared" si="894"/>
        <v>0.11887183197778514</v>
      </c>
      <c r="FF287" s="5">
        <f t="shared" si="895"/>
        <v>11.887183197778514</v>
      </c>
      <c r="FG287">
        <f t="shared" si="896"/>
        <v>71</v>
      </c>
      <c r="FI287" s="562">
        <f t="shared" si="846"/>
        <v>-50</v>
      </c>
    </row>
    <row r="288" spans="5:165">
      <c r="E288" s="170">
        <v>72</v>
      </c>
      <c r="F288" s="217">
        <f t="shared" si="847"/>
        <v>0.432</v>
      </c>
      <c r="G288" s="217">
        <f t="shared" si="775"/>
        <v>0.36</v>
      </c>
      <c r="H288" s="217">
        <f t="shared" si="776"/>
        <v>73.44</v>
      </c>
      <c r="I288" s="217">
        <f t="shared" si="777"/>
        <v>4.32</v>
      </c>
      <c r="J288" s="541">
        <f t="shared" si="778"/>
        <v>14.740090933251643</v>
      </c>
      <c r="K288" s="443">
        <f t="shared" si="779"/>
        <v>8.5429337308775946</v>
      </c>
      <c r="L288" s="172">
        <f t="shared" si="780"/>
        <v>23.283024664129236</v>
      </c>
      <c r="M288" s="443"/>
      <c r="N288" s="217">
        <f t="shared" si="781"/>
        <v>0.36691683551060195</v>
      </c>
      <c r="O288" s="172">
        <f t="shared" si="782"/>
        <v>170.26405156711584</v>
      </c>
      <c r="P288" s="172">
        <f t="shared" si="783"/>
        <v>10.01553244512446</v>
      </c>
      <c r="Q288" s="217">
        <f t="shared" si="784"/>
        <v>1.0015532445124462</v>
      </c>
      <c r="R288" s="217">
        <f t="shared" si="785"/>
        <v>14.18867096392632</v>
      </c>
      <c r="S288" s="217">
        <f t="shared" si="786"/>
        <v>170</v>
      </c>
      <c r="T288" s="217">
        <f t="shared" si="787"/>
        <v>28.755335932259673</v>
      </c>
      <c r="U288" s="217">
        <f t="shared" si="788"/>
        <v>0.97541243342642958</v>
      </c>
      <c r="V288" s="217">
        <f t="shared" si="789"/>
        <v>1.6829895231614835</v>
      </c>
      <c r="W288" s="197">
        <f t="shared" si="790"/>
        <v>350</v>
      </c>
      <c r="X288" s="443">
        <f t="shared" si="848"/>
        <v>349.84582825912429</v>
      </c>
      <c r="Z288" s="217">
        <f t="shared" si="791"/>
        <v>30.905071544955472</v>
      </c>
      <c r="AA288" s="173">
        <f t="shared" si="792"/>
        <v>1.8088090413982802</v>
      </c>
      <c r="AB288" s="173">
        <f t="shared" si="793"/>
        <v>0.46196273384955311</v>
      </c>
      <c r="AC288" s="173"/>
      <c r="AD288" s="173">
        <f t="shared" si="794"/>
        <v>0.78037204509390679</v>
      </c>
      <c r="AE288" s="545">
        <f t="shared" si="795"/>
        <v>1758.4372771227568</v>
      </c>
      <c r="AF288" s="528">
        <f t="shared" si="796"/>
        <v>8.5985438302013814E-2</v>
      </c>
      <c r="AH288" s="173">
        <f t="shared" si="797"/>
        <v>29.810832163589701</v>
      </c>
      <c r="AI288" s="173">
        <f t="shared" si="798"/>
        <v>29.810832163589701</v>
      </c>
      <c r="AJ288" s="173">
        <f t="shared" si="799"/>
        <v>13.405554689078787</v>
      </c>
      <c r="AL288" s="545">
        <f t="shared" si="800"/>
        <v>432</v>
      </c>
      <c r="AM288" s="460">
        <f t="shared" si="801"/>
        <v>349.84582825912429</v>
      </c>
      <c r="AO288">
        <f t="shared" si="802"/>
        <v>432</v>
      </c>
      <c r="AP288">
        <f t="shared" si="803"/>
        <v>349.84582825912429</v>
      </c>
      <c r="AR288" s="5">
        <f t="shared" si="774"/>
        <v>2.8584019565879135</v>
      </c>
      <c r="AS288" s="5">
        <f t="shared" si="739"/>
        <v>1.0112160195816875</v>
      </c>
      <c r="AT288" s="5">
        <f t="shared" si="740"/>
        <v>1.847185937006226</v>
      </c>
      <c r="AU288" s="173">
        <f t="shared" si="741"/>
        <v>0.35376970591945028</v>
      </c>
      <c r="BA288" s="173">
        <f t="shared" si="849"/>
        <v>10.237025671513409</v>
      </c>
      <c r="BB288" s="173">
        <f t="shared" si="850"/>
        <v>0.65336151443662727</v>
      </c>
      <c r="BC288" s="173">
        <f t="shared" si="851"/>
        <v>0.51657624138180769</v>
      </c>
      <c r="BD288" s="173"/>
      <c r="BE288" s="528">
        <f t="shared" si="852"/>
        <v>4.1918677839689824</v>
      </c>
      <c r="BF288" s="528">
        <f t="shared" si="804"/>
        <v>5.463522240381903</v>
      </c>
      <c r="BG288" s="528">
        <f t="shared" si="805"/>
        <v>0.20627037284632918</v>
      </c>
      <c r="BH288" s="528">
        <f t="shared" si="853"/>
        <v>3.7930231349096642E-2</v>
      </c>
      <c r="BI288">
        <f t="shared" si="854"/>
        <v>6.633040919963239E-3</v>
      </c>
      <c r="BJ288" s="460">
        <f t="shared" si="855"/>
        <v>212.90341376629243</v>
      </c>
      <c r="BK288">
        <f t="shared" si="806"/>
        <v>2698.0423103524226</v>
      </c>
      <c r="BL288" s="460">
        <f t="shared" si="856"/>
        <v>9906.223669466277</v>
      </c>
      <c r="BM288" s="173">
        <f t="shared" si="807"/>
        <v>0.37497599999999998</v>
      </c>
      <c r="BN288" s="173">
        <f t="shared" si="808"/>
        <v>0.31247999999999998</v>
      </c>
      <c r="BQ288" s="460">
        <f t="shared" si="857"/>
        <v>687.4559999999999</v>
      </c>
      <c r="BR288" s="528">
        <f t="shared" si="858"/>
        <v>3.1439008379767368</v>
      </c>
      <c r="BS288" s="528">
        <f t="shared" si="859"/>
        <v>1.2806438056407693E-2</v>
      </c>
      <c r="BT288" s="528">
        <f t="shared" si="860"/>
        <v>1.3342550658007781E-3</v>
      </c>
      <c r="BU288" s="528">
        <f t="shared" si="861"/>
        <v>555.38865201611259</v>
      </c>
      <c r="BV288" s="528"/>
      <c r="BW288" s="625">
        <f t="shared" si="862"/>
        <v>7.7725747444084297</v>
      </c>
      <c r="BX288" s="460">
        <f t="shared" si="863"/>
        <v>566319.26829161996</v>
      </c>
      <c r="BY288" s="173">
        <f t="shared" si="864"/>
        <v>576.91294796108627</v>
      </c>
      <c r="BZ288" s="5">
        <f t="shared" si="865"/>
        <v>77.759999999999991</v>
      </c>
      <c r="CA288" s="173">
        <f t="shared" si="866"/>
        <v>0.11877686445144216</v>
      </c>
      <c r="CB288" s="5">
        <f t="shared" si="867"/>
        <v>11.877686445144215</v>
      </c>
      <c r="CC288">
        <f t="shared" si="868"/>
        <v>72</v>
      </c>
      <c r="CE288" s="562">
        <f t="shared" si="809"/>
        <v>-50</v>
      </c>
      <c r="CG288" s="173">
        <f t="shared" si="810"/>
        <v>0.59646014609725007</v>
      </c>
      <c r="CH288" s="173">
        <f t="shared" si="811"/>
        <v>0.15247366693343514</v>
      </c>
      <c r="CI288" s="170">
        <v>72</v>
      </c>
      <c r="CJ288" s="217">
        <f t="shared" si="869"/>
        <v>0.432</v>
      </c>
      <c r="CK288" s="217">
        <f t="shared" si="812"/>
        <v>0.36</v>
      </c>
      <c r="CL288" s="217">
        <f t="shared" si="813"/>
        <v>73.44</v>
      </c>
      <c r="CM288" s="217">
        <f t="shared" si="814"/>
        <v>4.32</v>
      </c>
      <c r="CN288" s="541">
        <f t="shared" si="815"/>
        <v>16</v>
      </c>
      <c r="CO288" s="443">
        <f t="shared" si="816"/>
        <v>8.5350000000000001</v>
      </c>
      <c r="CP288" s="443">
        <f t="shared" si="817"/>
        <v>24.535</v>
      </c>
      <c r="CQ288" s="443"/>
      <c r="CR288" s="217">
        <f t="shared" si="818"/>
        <v>0.34760448521916415</v>
      </c>
      <c r="CS288" s="172">
        <f t="shared" si="819"/>
        <v>175.08966662891231</v>
      </c>
      <c r="CT288" s="172">
        <f t="shared" si="820"/>
        <v>10.2993921546419</v>
      </c>
      <c r="CU288" s="217">
        <f t="shared" si="821"/>
        <v>1.02993921546419</v>
      </c>
      <c r="CV288" s="217">
        <f t="shared" si="822"/>
        <v>14.590805552409359</v>
      </c>
      <c r="CW288" s="217">
        <f t="shared" si="823"/>
        <v>170</v>
      </c>
      <c r="CX288" s="217">
        <f t="shared" si="824"/>
        <v>27.962815249266857</v>
      </c>
      <c r="CY288" s="217">
        <f t="shared" si="825"/>
        <v>0.87383797653958917</v>
      </c>
      <c r="CZ288" s="217">
        <f t="shared" si="826"/>
        <v>1.6381262594766757</v>
      </c>
      <c r="DA288" s="197">
        <f t="shared" si="827"/>
        <v>350</v>
      </c>
      <c r="DB288" s="443">
        <f t="shared" si="828"/>
        <v>350</v>
      </c>
      <c r="DD288" s="217">
        <f t="shared" si="829"/>
        <v>31.805292730501623</v>
      </c>
      <c r="DE288" s="173">
        <f t="shared" si="830"/>
        <v>1.8632274593146818</v>
      </c>
      <c r="DF288" s="173">
        <f t="shared" si="831"/>
        <v>0.4897221442551708</v>
      </c>
      <c r="DG288" s="173"/>
      <c r="DH288" s="173">
        <f t="shared" si="832"/>
        <v>0.78109744190587771</v>
      </c>
      <c r="DI288" s="545">
        <f t="shared" si="833"/>
        <v>1756.8042352941177</v>
      </c>
      <c r="DJ288" s="528">
        <f t="shared" si="834"/>
        <v>8.6065366284073561E-2</v>
      </c>
      <c r="DL288" s="173">
        <f t="shared" si="835"/>
        <v>29.810832163589701</v>
      </c>
      <c r="DM288" s="173">
        <f t="shared" si="836"/>
        <v>29.810832163589701</v>
      </c>
      <c r="DN288" s="173">
        <f t="shared" si="837"/>
        <v>13.405554689078787</v>
      </c>
      <c r="DP288" s="545">
        <f t="shared" si="838"/>
        <v>432</v>
      </c>
      <c r="DQ288" s="460">
        <f t="shared" si="839"/>
        <v>350</v>
      </c>
      <c r="DS288">
        <f t="shared" si="840"/>
        <v>432</v>
      </c>
      <c r="DT288">
        <f t="shared" si="841"/>
        <v>350</v>
      </c>
      <c r="DV288" s="5">
        <f t="shared" si="870"/>
        <v>2.8571428571428572</v>
      </c>
      <c r="DW288" s="5">
        <f t="shared" si="842"/>
        <v>0.93158850511217806</v>
      </c>
      <c r="DX288" s="5">
        <f t="shared" si="843"/>
        <v>1.9255543520306793</v>
      </c>
      <c r="DY288" s="173">
        <f t="shared" si="844"/>
        <v>0.32605597678926229</v>
      </c>
      <c r="EA288" s="5">
        <f t="shared" si="871"/>
        <v>0.2367330789461535</v>
      </c>
      <c r="EB288" s="5">
        <f t="shared" si="872"/>
        <v>2.7947655153365343</v>
      </c>
      <c r="EC288" s="5">
        <f t="shared" si="873"/>
        <v>14.141271161313307</v>
      </c>
      <c r="ED288" s="5"/>
      <c r="EE288" s="173">
        <f t="shared" si="874"/>
        <v>9.8278734327437594</v>
      </c>
      <c r="EF288" s="173">
        <f t="shared" si="875"/>
        <v>0.66722422482213051</v>
      </c>
      <c r="EG288" s="173">
        <f t="shared" si="876"/>
        <v>0.52753670762916938</v>
      </c>
      <c r="EH288" s="173"/>
      <c r="EI288" s="528">
        <f t="shared" si="877"/>
        <v>3.8634838484012244</v>
      </c>
      <c r="EJ288" s="528">
        <f t="shared" si="878"/>
        <v>7.0398093836616065</v>
      </c>
      <c r="EK288" s="528">
        <f t="shared" si="879"/>
        <v>6.9999999999999993E-2</v>
      </c>
      <c r="EL288" s="528">
        <f t="shared" si="880"/>
        <v>4.2137635749999999E-2</v>
      </c>
      <c r="EM288">
        <f t="shared" si="881"/>
        <v>7.1999999999999998E-3</v>
      </c>
      <c r="EN288" s="460">
        <f t="shared" si="882"/>
        <v>77.199999999999989</v>
      </c>
      <c r="EP288" s="460">
        <f t="shared" si="883"/>
        <v>11022.630867812832</v>
      </c>
      <c r="EQ288" s="173">
        <f t="shared" si="884"/>
        <v>0.3024</v>
      </c>
      <c r="ER288" s="173">
        <f t="shared" si="845"/>
        <v>0.31247999999999998</v>
      </c>
      <c r="ES288" s="528"/>
      <c r="EU288" s="460">
        <f t="shared" si="885"/>
        <v>614.88</v>
      </c>
      <c r="EV288" s="528">
        <f t="shared" si="886"/>
        <v>2.8976128863009181</v>
      </c>
      <c r="EW288" s="528">
        <f t="shared" si="887"/>
        <v>1.3355644985684789E-2</v>
      </c>
      <c r="EX288" s="528">
        <f t="shared" si="888"/>
        <v>1.3914748894811185E-3</v>
      </c>
      <c r="EY288" s="528">
        <f t="shared" si="889"/>
        <v>556.00073261568434</v>
      </c>
      <c r="EZ288" s="528"/>
      <c r="FA288" s="625">
        <f t="shared" si="890"/>
        <v>7.7759999999999998</v>
      </c>
      <c r="FB288" s="460">
        <f t="shared" si="891"/>
        <v>566689.09262186033</v>
      </c>
      <c r="FC288" s="173">
        <f t="shared" si="892"/>
        <v>578.32660348967318</v>
      </c>
      <c r="FD288" s="5">
        <f t="shared" si="893"/>
        <v>77.759999999999991</v>
      </c>
      <c r="FE288" s="173">
        <f t="shared" si="894"/>
        <v>0.1185209385261041</v>
      </c>
      <c r="FF288" s="5">
        <f t="shared" si="895"/>
        <v>11.852093852610409</v>
      </c>
      <c r="FG288">
        <f t="shared" si="896"/>
        <v>72</v>
      </c>
      <c r="FI288" s="562">
        <f t="shared" si="846"/>
        <v>-50</v>
      </c>
    </row>
    <row r="289" spans="5:165">
      <c r="E289" s="170">
        <v>73</v>
      </c>
      <c r="F289" s="217">
        <f t="shared" si="847"/>
        <v>0.438</v>
      </c>
      <c r="G289" s="217">
        <f t="shared" si="775"/>
        <v>0.36499999999999999</v>
      </c>
      <c r="H289" s="217">
        <f t="shared" si="776"/>
        <v>74.459999999999994</v>
      </c>
      <c r="I289" s="217">
        <f t="shared" si="777"/>
        <v>4.38</v>
      </c>
      <c r="J289" s="541">
        <f t="shared" si="778"/>
        <v>14.731371735327581</v>
      </c>
      <c r="K289" s="443">
        <f t="shared" si="779"/>
        <v>8.5429886362446759</v>
      </c>
      <c r="L289" s="172">
        <f t="shared" si="780"/>
        <v>23.274360371572257</v>
      </c>
      <c r="M289" s="443"/>
      <c r="N289" s="217">
        <f t="shared" si="781"/>
        <v>0.36705578584575166</v>
      </c>
      <c r="O289" s="172">
        <f t="shared" si="782"/>
        <v>170.22777572452131</v>
      </c>
      <c r="P289" s="172">
        <f t="shared" si="783"/>
        <v>10.013398572030667</v>
      </c>
      <c r="Q289" s="217">
        <f t="shared" si="784"/>
        <v>1.0013398572030665</v>
      </c>
      <c r="R289" s="217">
        <f t="shared" si="785"/>
        <v>14.185647977043443</v>
      </c>
      <c r="S289" s="217">
        <f t="shared" si="786"/>
        <v>170</v>
      </c>
      <c r="T289" s="217">
        <f t="shared" si="787"/>
        <v>29.160928519874531</v>
      </c>
      <c r="U289" s="217">
        <f t="shared" si="788"/>
        <v>0.98975604729134481</v>
      </c>
      <c r="V289" s="217">
        <f t="shared" si="789"/>
        <v>1.7067170378850627</v>
      </c>
      <c r="W289" s="197">
        <f t="shared" si="790"/>
        <v>350</v>
      </c>
      <c r="X289" s="443">
        <f t="shared" si="848"/>
        <v>345.24746841868051</v>
      </c>
      <c r="Z289" s="217">
        <f t="shared" si="791"/>
        <v>30.89848702226606</v>
      </c>
      <c r="AA289" s="173">
        <f t="shared" si="792"/>
        <v>1.8084120404407096</v>
      </c>
      <c r="AB289" s="173">
        <f t="shared" si="793"/>
        <v>0.46176293885649777</v>
      </c>
      <c r="AC289" s="173"/>
      <c r="AD289" s="173">
        <f t="shared" si="794"/>
        <v>0.78036702968121918</v>
      </c>
      <c r="AE289" s="545">
        <f t="shared" si="795"/>
        <v>1782.8714755099329</v>
      </c>
      <c r="AF289" s="528">
        <f t="shared" si="796"/>
        <v>8.5984885677838047E-2</v>
      </c>
      <c r="AH289" s="173">
        <f t="shared" si="797"/>
        <v>30.017137961980509</v>
      </c>
      <c r="AI289" s="173">
        <f t="shared" si="798"/>
        <v>30.017137961980509</v>
      </c>
      <c r="AJ289" s="173">
        <f t="shared" si="799"/>
        <v>13.558373798997906</v>
      </c>
      <c r="AL289" s="545">
        <f t="shared" si="800"/>
        <v>438</v>
      </c>
      <c r="AM289" s="460">
        <f t="shared" si="801"/>
        <v>345.24746841868051</v>
      </c>
      <c r="AO289">
        <f t="shared" si="802"/>
        <v>438</v>
      </c>
      <c r="AP289">
        <f t="shared" si="803"/>
        <v>345.24746841868051</v>
      </c>
      <c r="AR289" s="5">
        <f t="shared" si="774"/>
        <v>2.8964730851764076</v>
      </c>
      <c r="AS289" s="5">
        <f t="shared" si="739"/>
        <v>1.0188167979630791</v>
      </c>
      <c r="AT289" s="5">
        <f t="shared" si="740"/>
        <v>1.8776562872133284</v>
      </c>
      <c r="AU289" s="173">
        <f t="shared" si="741"/>
        <v>0.35174392027917939</v>
      </c>
      <c r="BA289" s="173">
        <f t="shared" si="849"/>
        <v>10.278315718019082</v>
      </c>
      <c r="BB289" s="173">
        <f t="shared" si="850"/>
        <v>0.65891345178882088</v>
      </c>
      <c r="BC289" s="173">
        <f t="shared" si="851"/>
        <v>0.52096584631936882</v>
      </c>
      <c r="BD289" s="173"/>
      <c r="BE289" s="528">
        <f t="shared" si="852"/>
        <v>4.2257509599711245</v>
      </c>
      <c r="BF289" s="528">
        <f t="shared" si="804"/>
        <v>5.4270029371514772</v>
      </c>
      <c r="BG289" s="528">
        <f t="shared" si="805"/>
        <v>0.20343875191825408</v>
      </c>
      <c r="BH289" s="528">
        <f t="shared" si="853"/>
        <v>3.7403824221817095E-2</v>
      </c>
      <c r="BI289">
        <f t="shared" si="854"/>
        <v>6.6291172808974116E-3</v>
      </c>
      <c r="BJ289" s="460">
        <f t="shared" si="855"/>
        <v>210.06786919915149</v>
      </c>
      <c r="BK289">
        <f t="shared" si="806"/>
        <v>-2682.0114761150066</v>
      </c>
      <c r="BL289" s="460">
        <f t="shared" si="856"/>
        <v>9900.2255905435704</v>
      </c>
      <c r="BM289" s="173">
        <f t="shared" si="807"/>
        <v>0.38018399999999997</v>
      </c>
      <c r="BN289" s="173">
        <f t="shared" si="808"/>
        <v>0.31681999999999999</v>
      </c>
      <c r="BQ289" s="460">
        <f t="shared" si="857"/>
        <v>697.00399999999991</v>
      </c>
      <c r="BR289" s="528">
        <f t="shared" si="858"/>
        <v>3.1693132199783434</v>
      </c>
      <c r="BS289" s="528">
        <f t="shared" si="859"/>
        <v>1.3025008108447762E-2</v>
      </c>
      <c r="BT289" s="528">
        <f t="shared" si="860"/>
        <v>1.357027065156281E-3</v>
      </c>
      <c r="BU289" s="528">
        <f t="shared" si="861"/>
        <v>546.66272814338458</v>
      </c>
      <c r="BV289" s="528"/>
      <c r="BW289" s="625">
        <f t="shared" si="862"/>
        <v>7.7769458314653637</v>
      </c>
      <c r="BX289" s="460">
        <f t="shared" si="863"/>
        <v>557623.36923000193</v>
      </c>
      <c r="BY289" s="173">
        <f t="shared" si="864"/>
        <v>568.22059882054543</v>
      </c>
      <c r="BZ289" s="5">
        <f t="shared" si="865"/>
        <v>78.839999999999989</v>
      </c>
      <c r="CA289" s="173">
        <f t="shared" si="866"/>
        <v>0.12184330207048401</v>
      </c>
      <c r="CB289" s="5">
        <f t="shared" si="867"/>
        <v>12.184330207048401</v>
      </c>
      <c r="CC289">
        <f t="shared" si="868"/>
        <v>73</v>
      </c>
      <c r="CE289" s="562">
        <f t="shared" si="809"/>
        <v>-50</v>
      </c>
      <c r="CG289" s="173">
        <f t="shared" si="810"/>
        <v>0.60058794722583397</v>
      </c>
      <c r="CH289" s="173">
        <f t="shared" si="811"/>
        <v>0.15352886060993692</v>
      </c>
      <c r="CI289" s="170">
        <v>73</v>
      </c>
      <c r="CJ289" s="217">
        <f t="shared" si="869"/>
        <v>0.438</v>
      </c>
      <c r="CK289" s="217">
        <f t="shared" si="812"/>
        <v>0.36499999999999999</v>
      </c>
      <c r="CL289" s="217">
        <f t="shared" si="813"/>
        <v>74.459999999999994</v>
      </c>
      <c r="CM289" s="217">
        <f t="shared" si="814"/>
        <v>4.38</v>
      </c>
      <c r="CN289" s="541">
        <f t="shared" si="815"/>
        <v>16</v>
      </c>
      <c r="CO289" s="443">
        <f t="shared" si="816"/>
        <v>8.5350000000000001</v>
      </c>
      <c r="CP289" s="443">
        <f t="shared" si="817"/>
        <v>24.535</v>
      </c>
      <c r="CQ289" s="443"/>
      <c r="CR289" s="217">
        <f t="shared" si="818"/>
        <v>0.34760448521916415</v>
      </c>
      <c r="CS289" s="172">
        <f t="shared" si="819"/>
        <v>175.08966662891231</v>
      </c>
      <c r="CT289" s="172">
        <f t="shared" si="820"/>
        <v>10.2993921546419</v>
      </c>
      <c r="CU289" s="217">
        <f t="shared" si="821"/>
        <v>1.02993921546419</v>
      </c>
      <c r="CV289" s="217">
        <f t="shared" si="822"/>
        <v>14.590805552409359</v>
      </c>
      <c r="CW289" s="217">
        <f t="shared" si="823"/>
        <v>170</v>
      </c>
      <c r="CX289" s="217">
        <f t="shared" si="824"/>
        <v>28.351187683284451</v>
      </c>
      <c r="CY289" s="217">
        <f t="shared" si="825"/>
        <v>0.88597461510263897</v>
      </c>
      <c r="CZ289" s="217">
        <f t="shared" si="826"/>
        <v>1.6608780130805183</v>
      </c>
      <c r="DA289" s="197">
        <f t="shared" si="827"/>
        <v>350</v>
      </c>
      <c r="DB289" s="443">
        <f t="shared" si="828"/>
        <v>350</v>
      </c>
      <c r="DD289" s="217">
        <f t="shared" si="829"/>
        <v>31.805292730501623</v>
      </c>
      <c r="DE289" s="173">
        <f t="shared" si="830"/>
        <v>1.8632274593146818</v>
      </c>
      <c r="DF289" s="173">
        <f t="shared" si="831"/>
        <v>0.4897221442551708</v>
      </c>
      <c r="DG289" s="173"/>
      <c r="DH289" s="173">
        <f t="shared" si="832"/>
        <v>0.78109744190587771</v>
      </c>
      <c r="DI289" s="545">
        <f t="shared" si="833"/>
        <v>1781.2042941176469</v>
      </c>
      <c r="DJ289" s="528">
        <f t="shared" si="834"/>
        <v>8.6065366284073561E-2</v>
      </c>
      <c r="DL289" s="173">
        <f t="shared" si="835"/>
        <v>30.017137961980509</v>
      </c>
      <c r="DM289" s="173">
        <f t="shared" si="836"/>
        <v>30.017137961980509</v>
      </c>
      <c r="DN289" s="173">
        <f t="shared" si="837"/>
        <v>13.558373798997906</v>
      </c>
      <c r="DP289" s="545">
        <f t="shared" si="838"/>
        <v>438</v>
      </c>
      <c r="DQ289" s="460">
        <f t="shared" si="839"/>
        <v>350</v>
      </c>
      <c r="DS289">
        <f t="shared" si="840"/>
        <v>438</v>
      </c>
      <c r="DT289">
        <f t="shared" si="841"/>
        <v>350</v>
      </c>
      <c r="DV289" s="5">
        <f t="shared" si="870"/>
        <v>2.8571428571428572</v>
      </c>
      <c r="DW289" s="5">
        <f t="shared" si="842"/>
        <v>0.93803556131189081</v>
      </c>
      <c r="DX289" s="5">
        <f t="shared" si="843"/>
        <v>1.9191072958309663</v>
      </c>
      <c r="DY289" s="173">
        <f t="shared" si="844"/>
        <v>0.3283124464591618</v>
      </c>
      <c r="EA289" s="5">
        <f t="shared" si="871"/>
        <v>0.24168210344388716</v>
      </c>
      <c r="EB289" s="5">
        <f t="shared" si="872"/>
        <v>2.8531914989903346</v>
      </c>
      <c r="EC289" s="5">
        <f t="shared" si="873"/>
        <v>14.289672924757374</v>
      </c>
      <c r="ED289" s="5"/>
      <c r="EE289" s="173">
        <f t="shared" si="874"/>
        <v>9.9300704028272619</v>
      </c>
      <c r="EF289" s="173">
        <f t="shared" si="875"/>
        <v>0.67071609012843636</v>
      </c>
      <c r="EG289" s="173">
        <f t="shared" si="876"/>
        <v>0.53029752934193641</v>
      </c>
      <c r="EH289" s="173"/>
      <c r="EI289" s="528">
        <f t="shared" si="877"/>
        <v>3.9442519282042396</v>
      </c>
      <c r="EJ289" s="528">
        <f t="shared" si="878"/>
        <v>7.0885283690104712</v>
      </c>
      <c r="EK289" s="528">
        <f t="shared" si="879"/>
        <v>6.9999999999999993E-2</v>
      </c>
      <c r="EL289" s="528">
        <f t="shared" si="880"/>
        <v>4.2137635749999999E-2</v>
      </c>
      <c r="EM289">
        <f t="shared" si="881"/>
        <v>7.1999999999999998E-3</v>
      </c>
      <c r="EN289" s="460">
        <f t="shared" si="882"/>
        <v>77.199999999999989</v>
      </c>
      <c r="EP289" s="460">
        <f t="shared" si="883"/>
        <v>11152.117932964711</v>
      </c>
      <c r="EQ289" s="173">
        <f t="shared" si="884"/>
        <v>0.30659999999999998</v>
      </c>
      <c r="ER289" s="173">
        <f t="shared" si="845"/>
        <v>0.31681999999999999</v>
      </c>
      <c r="ES289" s="528"/>
      <c r="EU289" s="460">
        <f t="shared" si="885"/>
        <v>623.41999999999996</v>
      </c>
      <c r="EV289" s="528">
        <f t="shared" si="886"/>
        <v>2.9581889461531796</v>
      </c>
      <c r="EW289" s="528">
        <f t="shared" si="887"/>
        <v>1.3495802206715302E-2</v>
      </c>
      <c r="EX289" s="528">
        <f t="shared" si="888"/>
        <v>1.4060773481308095E-3</v>
      </c>
      <c r="EY289" s="528">
        <f t="shared" si="889"/>
        <v>565.67022359161729</v>
      </c>
      <c r="EZ289" s="528"/>
      <c r="FA289" s="625">
        <f t="shared" si="890"/>
        <v>7.8840000000000003</v>
      </c>
      <c r="FB289" s="460">
        <f t="shared" si="891"/>
        <v>576527.31441732531</v>
      </c>
      <c r="FC289" s="173">
        <f t="shared" si="892"/>
        <v>588.30285235028998</v>
      </c>
      <c r="FD289" s="5">
        <f t="shared" si="893"/>
        <v>78.839999999999989</v>
      </c>
      <c r="FE289" s="173">
        <f t="shared" si="894"/>
        <v>0.11817558971403663</v>
      </c>
      <c r="FF289" s="5">
        <f t="shared" si="895"/>
        <v>11.817558971403663</v>
      </c>
      <c r="FG289">
        <f t="shared" si="896"/>
        <v>73</v>
      </c>
      <c r="FI289" s="562">
        <f t="shared" si="846"/>
        <v>-50</v>
      </c>
    </row>
    <row r="290" spans="5:165">
      <c r="E290" s="170">
        <v>74</v>
      </c>
      <c r="F290" s="217">
        <f t="shared" si="847"/>
        <v>0.44400000000000001</v>
      </c>
      <c r="G290" s="217">
        <f t="shared" si="775"/>
        <v>0.37</v>
      </c>
      <c r="H290" s="217">
        <f t="shared" si="776"/>
        <v>75.48</v>
      </c>
      <c r="I290" s="217">
        <f t="shared" si="777"/>
        <v>4.4399999999999995</v>
      </c>
      <c r="J290" s="541">
        <f t="shared" si="778"/>
        <v>14.722712056200017</v>
      </c>
      <c r="K290" s="443">
        <f t="shared" si="779"/>
        <v>8.5430431668179523</v>
      </c>
      <c r="L290" s="172">
        <f t="shared" si="780"/>
        <v>23.265755223017969</v>
      </c>
      <c r="M290" s="443"/>
      <c r="N290" s="217">
        <f t="shared" si="781"/>
        <v>0.36719389011562775</v>
      </c>
      <c r="O290" s="172">
        <f t="shared" si="782"/>
        <v>170.19171948233657</v>
      </c>
      <c r="P290" s="172">
        <f t="shared" si="783"/>
        <v>10.011277616608032</v>
      </c>
      <c r="Q290" s="217">
        <f t="shared" si="784"/>
        <v>1.0011277616608034</v>
      </c>
      <c r="R290" s="217">
        <f t="shared" si="785"/>
        <v>14.182643290194713</v>
      </c>
      <c r="S290" s="217">
        <f t="shared" si="786"/>
        <v>170</v>
      </c>
      <c r="T290" s="217">
        <f t="shared" si="787"/>
        <v>29.566655859083966</v>
      </c>
      <c r="U290" s="217">
        <f t="shared" si="788"/>
        <v>1.0041171676190217</v>
      </c>
      <c r="V290" s="217">
        <f t="shared" si="789"/>
        <v>1.7304522101634616</v>
      </c>
      <c r="W290" s="197">
        <f t="shared" si="790"/>
        <v>350</v>
      </c>
      <c r="X290" s="443">
        <f t="shared" si="848"/>
        <v>340.7654995553907</v>
      </c>
      <c r="Z290" s="217">
        <f t="shared" si="791"/>
        <v>30.891942359819069</v>
      </c>
      <c r="AA290" s="173">
        <f t="shared" si="792"/>
        <v>1.8080174568124923</v>
      </c>
      <c r="AB290" s="173">
        <f t="shared" si="793"/>
        <v>0.46156439974349883</v>
      </c>
      <c r="AC290" s="173"/>
      <c r="AD290" s="173">
        <f t="shared" si="794"/>
        <v>0.78036204856843949</v>
      </c>
      <c r="AE290" s="545">
        <f t="shared" si="795"/>
        <v>1807.3059085378873</v>
      </c>
      <c r="AF290" s="528">
        <f t="shared" si="796"/>
        <v>8.598433683300398E-2</v>
      </c>
      <c r="AH290" s="173">
        <f t="shared" si="797"/>
        <v>30.222035480282077</v>
      </c>
      <c r="AI290" s="173">
        <f t="shared" si="798"/>
        <v>30.222035480282077</v>
      </c>
      <c r="AJ290" s="173">
        <f t="shared" si="799"/>
        <v>13.710149738480551</v>
      </c>
      <c r="AL290" s="545">
        <f t="shared" si="800"/>
        <v>444</v>
      </c>
      <c r="AM290" s="460">
        <f t="shared" si="801"/>
        <v>340.7654995553907</v>
      </c>
      <c r="AO290">
        <f t="shared" si="802"/>
        <v>444</v>
      </c>
      <c r="AP290">
        <f t="shared" si="803"/>
        <v>340.7654995553907</v>
      </c>
      <c r="AR290" s="5">
        <f t="shared" si="774"/>
        <v>2.9345693777824833</v>
      </c>
      <c r="AS290" s="5">
        <f t="shared" si="739"/>
        <v>1.0263746028896557</v>
      </c>
      <c r="AT290" s="5">
        <f t="shared" si="740"/>
        <v>1.9081947748928276</v>
      </c>
      <c r="AU290" s="173">
        <f t="shared" si="741"/>
        <v>0.34975305428465925</v>
      </c>
      <c r="BA290" s="173">
        <f t="shared" si="849"/>
        <v>10.319148008099631</v>
      </c>
      <c r="BB290" s="173">
        <f t="shared" si="850"/>
        <v>0.6644291303369102</v>
      </c>
      <c r="BC290" s="173">
        <f t="shared" si="851"/>
        <v>0.52532678345766826</v>
      </c>
      <c r="BD290" s="173"/>
      <c r="BE290" s="528">
        <f t="shared" si="852"/>
        <v>4.2593926245226639</v>
      </c>
      <c r="BF290" s="528">
        <f t="shared" si="804"/>
        <v>5.3911200450237979</v>
      </c>
      <c r="BG290" s="528">
        <f t="shared" si="805"/>
        <v>0.2006796931456469</v>
      </c>
      <c r="BH290" s="528">
        <f t="shared" si="853"/>
        <v>3.6890957167038899E-2</v>
      </c>
      <c r="BI290">
        <f t="shared" si="854"/>
        <v>6.6252204252900074E-3</v>
      </c>
      <c r="BJ290" s="460">
        <f t="shared" si="855"/>
        <v>207.30491357093692</v>
      </c>
      <c r="BK290">
        <f t="shared" si="806"/>
        <v>-900.74144273978243</v>
      </c>
      <c r="BL290" s="460">
        <f t="shared" si="856"/>
        <v>9894.7085402844368</v>
      </c>
      <c r="BM290" s="173">
        <f t="shared" si="807"/>
        <v>0.38539199999999996</v>
      </c>
      <c r="BN290" s="173">
        <f t="shared" si="808"/>
        <v>0.32116</v>
      </c>
      <c r="BQ290" s="460">
        <f t="shared" si="857"/>
        <v>706.55199999999991</v>
      </c>
      <c r="BR290" s="528">
        <f t="shared" si="858"/>
        <v>3.1945444683919977</v>
      </c>
      <c r="BS290" s="528">
        <f t="shared" si="859"/>
        <v>1.3243982077207884E-2</v>
      </c>
      <c r="BT290" s="528">
        <f t="shared" si="860"/>
        <v>1.3798411470898994E-3</v>
      </c>
      <c r="BU290" s="528">
        <f t="shared" si="861"/>
        <v>538.16856759813561</v>
      </c>
      <c r="BV290" s="528"/>
      <c r="BW290" s="625">
        <f t="shared" si="862"/>
        <v>7.7811367784190955</v>
      </c>
      <c r="BX290" s="460">
        <f t="shared" si="863"/>
        <v>549158.87266817095</v>
      </c>
      <c r="BY290" s="173">
        <f t="shared" si="864"/>
        <v>559.76013320845539</v>
      </c>
      <c r="BZ290" s="5">
        <f t="shared" si="865"/>
        <v>79.92</v>
      </c>
      <c r="CA290" s="173">
        <f t="shared" si="866"/>
        <v>0.12493744271710268</v>
      </c>
      <c r="CB290" s="5">
        <f t="shared" si="867"/>
        <v>12.493744271710268</v>
      </c>
      <c r="CC290">
        <f t="shared" si="868"/>
        <v>74</v>
      </c>
      <c r="CE290" s="562">
        <f t="shared" si="809"/>
        <v>-50</v>
      </c>
      <c r="CG290" s="173">
        <f t="shared" si="810"/>
        <v>0.60468757124942585</v>
      </c>
      <c r="CH290" s="173">
        <f t="shared" si="811"/>
        <v>0.15457685134664498</v>
      </c>
      <c r="CI290" s="170">
        <v>74</v>
      </c>
      <c r="CJ290" s="217">
        <f t="shared" si="869"/>
        <v>0.44400000000000001</v>
      </c>
      <c r="CK290" s="217">
        <f t="shared" si="812"/>
        <v>0.37</v>
      </c>
      <c r="CL290" s="217">
        <f t="shared" si="813"/>
        <v>75.48</v>
      </c>
      <c r="CM290" s="217">
        <f t="shared" si="814"/>
        <v>4.4399999999999995</v>
      </c>
      <c r="CN290" s="541">
        <f t="shared" si="815"/>
        <v>16</v>
      </c>
      <c r="CO290" s="443">
        <f t="shared" si="816"/>
        <v>8.5350000000000001</v>
      </c>
      <c r="CP290" s="443">
        <f t="shared" si="817"/>
        <v>24.535</v>
      </c>
      <c r="CQ290" s="443"/>
      <c r="CR290" s="217">
        <f t="shared" si="818"/>
        <v>0.34760448521916415</v>
      </c>
      <c r="CS290" s="172">
        <f t="shared" si="819"/>
        <v>175.08966662891231</v>
      </c>
      <c r="CT290" s="172">
        <f t="shared" si="820"/>
        <v>10.2993921546419</v>
      </c>
      <c r="CU290" s="217">
        <f t="shared" si="821"/>
        <v>1.02993921546419</v>
      </c>
      <c r="CV290" s="217">
        <f t="shared" si="822"/>
        <v>14.590805552409359</v>
      </c>
      <c r="CW290" s="217">
        <f t="shared" si="823"/>
        <v>170</v>
      </c>
      <c r="CX290" s="217">
        <f t="shared" si="824"/>
        <v>28.739560117302052</v>
      </c>
      <c r="CY290" s="217">
        <f t="shared" si="825"/>
        <v>0.89811125366568911</v>
      </c>
      <c r="CZ290" s="217">
        <f t="shared" si="826"/>
        <v>1.6836297666843616</v>
      </c>
      <c r="DA290" s="197">
        <f t="shared" si="827"/>
        <v>350</v>
      </c>
      <c r="DB290" s="443">
        <f t="shared" si="828"/>
        <v>350</v>
      </c>
      <c r="DD290" s="217">
        <f t="shared" si="829"/>
        <v>31.805292730501623</v>
      </c>
      <c r="DE290" s="173">
        <f t="shared" si="830"/>
        <v>1.8632274593146818</v>
      </c>
      <c r="DF290" s="173">
        <f t="shared" si="831"/>
        <v>0.4897221442551708</v>
      </c>
      <c r="DG290" s="173"/>
      <c r="DH290" s="173">
        <f t="shared" si="832"/>
        <v>0.78109744190587771</v>
      </c>
      <c r="DI290" s="545">
        <f t="shared" si="833"/>
        <v>1805.6043529411766</v>
      </c>
      <c r="DJ290" s="528">
        <f t="shared" si="834"/>
        <v>8.6065366284073561E-2</v>
      </c>
      <c r="DL290" s="173">
        <f t="shared" si="835"/>
        <v>30.222035480282077</v>
      </c>
      <c r="DM290" s="173">
        <f t="shared" si="836"/>
        <v>30.222035480282077</v>
      </c>
      <c r="DN290" s="173">
        <f t="shared" si="837"/>
        <v>13.710149738480551</v>
      </c>
      <c r="DP290" s="545">
        <f t="shared" si="838"/>
        <v>444</v>
      </c>
      <c r="DQ290" s="460">
        <f t="shared" si="839"/>
        <v>350</v>
      </c>
      <c r="DS290">
        <f t="shared" si="840"/>
        <v>444</v>
      </c>
      <c r="DT290">
        <f t="shared" si="841"/>
        <v>350</v>
      </c>
      <c r="DV290" s="5">
        <f t="shared" si="870"/>
        <v>2.8571428571428572</v>
      </c>
      <c r="DW290" s="5">
        <f t="shared" si="842"/>
        <v>0.94443860875881491</v>
      </c>
      <c r="DX290" s="5">
        <f t="shared" si="843"/>
        <v>1.9127042483840424</v>
      </c>
      <c r="DY290" s="173">
        <f t="shared" si="844"/>
        <v>0.33055351306558522</v>
      </c>
      <c r="EA290" s="5">
        <f t="shared" si="871"/>
        <v>0.24666514252289048</v>
      </c>
      <c r="EB290" s="5">
        <f t="shared" si="872"/>
        <v>2.9120190436730127</v>
      </c>
      <c r="EC290" s="5">
        <f t="shared" si="873"/>
        <v>14.437091666802752</v>
      </c>
      <c r="ED290" s="5"/>
      <c r="EE290" s="173">
        <f t="shared" si="874"/>
        <v>10.031917969627708</v>
      </c>
      <c r="EF290" s="173">
        <f t="shared" si="875"/>
        <v>0.6741669184667114</v>
      </c>
      <c r="EG290" s="173">
        <f t="shared" si="876"/>
        <v>0.53302590542967876</v>
      </c>
      <c r="EH290" s="173"/>
      <c r="EI290" s="528">
        <f t="shared" si="877"/>
        <v>4.0255751259735728</v>
      </c>
      <c r="EJ290" s="528">
        <f t="shared" si="878"/>
        <v>7.136914789896438</v>
      </c>
      <c r="EK290" s="528">
        <f t="shared" si="879"/>
        <v>6.9999999999999993E-2</v>
      </c>
      <c r="EL290" s="528">
        <f t="shared" si="880"/>
        <v>4.2137635749999999E-2</v>
      </c>
      <c r="EM290">
        <f t="shared" si="881"/>
        <v>7.1999999999999998E-3</v>
      </c>
      <c r="EN290" s="460">
        <f t="shared" si="882"/>
        <v>77.199999999999989</v>
      </c>
      <c r="EP290" s="460">
        <f t="shared" si="883"/>
        <v>11281.827551620012</v>
      </c>
      <c r="EQ290" s="173">
        <f t="shared" si="884"/>
        <v>0.31079999999999997</v>
      </c>
      <c r="ER290" s="173">
        <f t="shared" si="845"/>
        <v>0.32116</v>
      </c>
      <c r="ES290" s="528"/>
      <c r="EU290" s="460">
        <f t="shared" si="885"/>
        <v>631.95999999999992</v>
      </c>
      <c r="EV290" s="528">
        <f t="shared" si="886"/>
        <v>3.0191813444801792</v>
      </c>
      <c r="EW290" s="528">
        <f t="shared" si="887"/>
        <v>1.3635031018647045E-2</v>
      </c>
      <c r="EX290" s="528">
        <f t="shared" si="888"/>
        <v>1.4205830792956443E-3</v>
      </c>
      <c r="EY290" s="528">
        <f t="shared" si="889"/>
        <v>575.37288694008987</v>
      </c>
      <c r="EZ290" s="528"/>
      <c r="FA290" s="625">
        <f t="shared" si="890"/>
        <v>7.9920000000000027</v>
      </c>
      <c r="FB290" s="460">
        <f t="shared" si="891"/>
        <v>586399.12389866798</v>
      </c>
      <c r="FC290" s="173">
        <f t="shared" si="892"/>
        <v>598.31291145028797</v>
      </c>
      <c r="FD290" s="5">
        <f t="shared" si="893"/>
        <v>79.92</v>
      </c>
      <c r="FE290" s="173">
        <f t="shared" si="894"/>
        <v>0.11783562645036558</v>
      </c>
      <c r="FF290" s="5">
        <f t="shared" si="895"/>
        <v>11.783562645036557</v>
      </c>
      <c r="FG290">
        <f t="shared" si="896"/>
        <v>74</v>
      </c>
      <c r="FI290" s="562">
        <f t="shared" si="846"/>
        <v>-50</v>
      </c>
    </row>
    <row r="291" spans="5:165">
      <c r="E291" s="170">
        <v>75</v>
      </c>
      <c r="F291" s="217">
        <f t="shared" si="847"/>
        <v>0.44999999999999996</v>
      </c>
      <c r="G291" s="217">
        <f t="shared" si="775"/>
        <v>0.375</v>
      </c>
      <c r="H291" s="217">
        <f t="shared" si="776"/>
        <v>76.499999999999986</v>
      </c>
      <c r="I291" s="217">
        <f t="shared" si="777"/>
        <v>4.5</v>
      </c>
      <c r="J291" s="541">
        <f t="shared" si="778"/>
        <v>14.714110693400157</v>
      </c>
      <c r="K291" s="443">
        <f t="shared" si="779"/>
        <v>8.5430973301694468</v>
      </c>
      <c r="L291" s="172">
        <f t="shared" si="780"/>
        <v>23.257208023569603</v>
      </c>
      <c r="M291" s="443"/>
      <c r="N291" s="217">
        <f t="shared" si="781"/>
        <v>0.3673311655256124</v>
      </c>
      <c r="O291" s="172">
        <f t="shared" si="782"/>
        <v>170.15587837324529</v>
      </c>
      <c r="P291" s="172">
        <f t="shared" si="783"/>
        <v>10.009169316073253</v>
      </c>
      <c r="Q291" s="217">
        <f t="shared" si="784"/>
        <v>1.0009169316073252</v>
      </c>
      <c r="R291" s="217">
        <f t="shared" si="785"/>
        <v>14.179656531103774</v>
      </c>
      <c r="S291" s="217">
        <f t="shared" si="786"/>
        <v>170</v>
      </c>
      <c r="T291" s="217">
        <f t="shared" si="787"/>
        <v>29.972517251580918</v>
      </c>
      <c r="U291" s="217">
        <f t="shared" si="788"/>
        <v>1.0184957105503067</v>
      </c>
      <c r="V291" s="217">
        <f t="shared" si="789"/>
        <v>1.7541950005494336</v>
      </c>
      <c r="W291" s="197">
        <f t="shared" si="790"/>
        <v>350</v>
      </c>
      <c r="X291" s="443">
        <f t="shared" si="848"/>
        <v>336.3955746442428</v>
      </c>
      <c r="Z291" s="217">
        <f t="shared" si="791"/>
        <v>30.885436746740325</v>
      </c>
      <c r="AA291" s="173">
        <f t="shared" si="792"/>
        <v>1.807625241355393</v>
      </c>
      <c r="AB291" s="173">
        <f t="shared" si="793"/>
        <v>0.46136709106871476</v>
      </c>
      <c r="AC291" s="173"/>
      <c r="AD291" s="173">
        <f t="shared" si="794"/>
        <v>0.78035710106259992</v>
      </c>
      <c r="AE291" s="545">
        <f t="shared" si="795"/>
        <v>1831.7405746157424</v>
      </c>
      <c r="AF291" s="528">
        <f t="shared" si="796"/>
        <v>8.5983791691156858E-2</v>
      </c>
      <c r="AH291" s="173">
        <f t="shared" si="797"/>
        <v>30.425553170226596</v>
      </c>
      <c r="AI291" s="173">
        <f t="shared" si="798"/>
        <v>30.425553170226596</v>
      </c>
      <c r="AJ291" s="173">
        <f t="shared" si="799"/>
        <v>13.860903582883898</v>
      </c>
      <c r="AL291" s="545">
        <f t="shared" si="800"/>
        <v>449.99999999999994</v>
      </c>
      <c r="AM291" s="460">
        <f t="shared" si="801"/>
        <v>336.3955746442428</v>
      </c>
      <c r="AO291">
        <f t="shared" si="802"/>
        <v>449.99999999999994</v>
      </c>
      <c r="AP291">
        <f t="shared" si="803"/>
        <v>336.3955746442428</v>
      </c>
      <c r="AR291" s="5">
        <f t="shared" si="774"/>
        <v>2.9726907110997409</v>
      </c>
      <c r="AS291" s="5">
        <f t="shared" si="739"/>
        <v>1.033890318083363</v>
      </c>
      <c r="AT291" s="5">
        <f t="shared" si="740"/>
        <v>1.938800393016378</v>
      </c>
      <c r="AU291" s="173">
        <f t="shared" si="741"/>
        <v>0.34779612767077184</v>
      </c>
      <c r="BA291" s="173">
        <f t="shared" si="849"/>
        <v>10.359534157817185</v>
      </c>
      <c r="BB291" s="173">
        <f t="shared" si="850"/>
        <v>0.66990923177473571</v>
      </c>
      <c r="BC291" s="173">
        <f t="shared" si="851"/>
        <v>0.52965959177372568</v>
      </c>
      <c r="BD291" s="173"/>
      <c r="BE291" s="528">
        <f t="shared" si="852"/>
        <v>4.2927979186792404</v>
      </c>
      <c r="BF291" s="528">
        <f t="shared" si="804"/>
        <v>5.3558555133483914</v>
      </c>
      <c r="BG291" s="528">
        <f t="shared" si="805"/>
        <v>0.19799046888341376</v>
      </c>
      <c r="BH291" s="528">
        <f t="shared" si="853"/>
        <v>3.6391120208498676E-2</v>
      </c>
      <c r="BI291">
        <f t="shared" si="854"/>
        <v>6.6213498120300703E-3</v>
      </c>
      <c r="BJ291" s="460">
        <f t="shared" si="855"/>
        <v>204.61181869544384</v>
      </c>
      <c r="BK291">
        <f t="shared" si="806"/>
        <v>-543.05255580640744</v>
      </c>
      <c r="BL291" s="460">
        <f t="shared" si="856"/>
        <v>9889.6563709315778</v>
      </c>
      <c r="BM291" s="173">
        <f t="shared" si="807"/>
        <v>0.39059999999999995</v>
      </c>
      <c r="BN291" s="173">
        <f t="shared" si="808"/>
        <v>0.32549999999999996</v>
      </c>
      <c r="BQ291" s="460">
        <f t="shared" si="857"/>
        <v>716.09999999999991</v>
      </c>
      <c r="BR291" s="528">
        <f t="shared" si="858"/>
        <v>3.2195984390094305</v>
      </c>
      <c r="BS291" s="528">
        <f t="shared" si="859"/>
        <v>1.3463351364510498E-2</v>
      </c>
      <c r="BT291" s="528">
        <f t="shared" si="860"/>
        <v>1.4026964157895486E-3</v>
      </c>
      <c r="BU291" s="528">
        <f t="shared" si="861"/>
        <v>529.89753161242834</v>
      </c>
      <c r="BV291" s="528"/>
      <c r="BW291" s="625">
        <f t="shared" si="862"/>
        <v>7.7851547274810473</v>
      </c>
      <c r="BX291" s="460">
        <f t="shared" si="863"/>
        <v>540917.15082669922</v>
      </c>
      <c r="BY291" s="173">
        <f t="shared" si="864"/>
        <v>551.52290719763073</v>
      </c>
      <c r="BZ291" s="5">
        <f t="shared" si="865"/>
        <v>80.999999999999986</v>
      </c>
      <c r="CA291" s="173">
        <f t="shared" si="866"/>
        <v>0.12805860321939561</v>
      </c>
      <c r="CB291" s="5">
        <f t="shared" si="867"/>
        <v>12.80586032193956</v>
      </c>
      <c r="CC291">
        <f t="shared" si="868"/>
        <v>75</v>
      </c>
      <c r="CE291" s="562">
        <f t="shared" si="809"/>
        <v>-50</v>
      </c>
      <c r="CG291" s="173">
        <f t="shared" si="810"/>
        <v>0.60875958743507075</v>
      </c>
      <c r="CH291" s="173">
        <f t="shared" si="811"/>
        <v>0.15561778466582835</v>
      </c>
      <c r="CI291" s="170">
        <v>75</v>
      </c>
      <c r="CJ291" s="217">
        <f t="shared" si="869"/>
        <v>0.44999999999999996</v>
      </c>
      <c r="CK291" s="217">
        <f t="shared" si="812"/>
        <v>0.375</v>
      </c>
      <c r="CL291" s="217">
        <f t="shared" si="813"/>
        <v>76.499999999999986</v>
      </c>
      <c r="CM291" s="217">
        <f t="shared" si="814"/>
        <v>4.5</v>
      </c>
      <c r="CN291" s="541">
        <f t="shared" si="815"/>
        <v>16</v>
      </c>
      <c r="CO291" s="443">
        <f t="shared" si="816"/>
        <v>8.5350000000000001</v>
      </c>
      <c r="CP291" s="443">
        <f t="shared" si="817"/>
        <v>24.535</v>
      </c>
      <c r="CQ291" s="443"/>
      <c r="CR291" s="217">
        <f t="shared" si="818"/>
        <v>0.34760448521916415</v>
      </c>
      <c r="CS291" s="172">
        <f t="shared" si="819"/>
        <v>175.08966662891231</v>
      </c>
      <c r="CT291" s="172">
        <f t="shared" si="820"/>
        <v>10.2993921546419</v>
      </c>
      <c r="CU291" s="217">
        <f t="shared" si="821"/>
        <v>1.02993921546419</v>
      </c>
      <c r="CV291" s="217">
        <f t="shared" si="822"/>
        <v>14.590805552409359</v>
      </c>
      <c r="CW291" s="217">
        <f t="shared" si="823"/>
        <v>170</v>
      </c>
      <c r="CX291" s="217">
        <f t="shared" si="824"/>
        <v>29.127932551319642</v>
      </c>
      <c r="CY291" s="217">
        <f t="shared" si="825"/>
        <v>0.91024789222873881</v>
      </c>
      <c r="CZ291" s="217">
        <f t="shared" si="826"/>
        <v>1.706381520288204</v>
      </c>
      <c r="DA291" s="197">
        <f t="shared" si="827"/>
        <v>350</v>
      </c>
      <c r="DB291" s="443">
        <f t="shared" si="828"/>
        <v>350</v>
      </c>
      <c r="DD291" s="217">
        <f t="shared" si="829"/>
        <v>31.805292730501623</v>
      </c>
      <c r="DE291" s="173">
        <f t="shared" si="830"/>
        <v>1.8632274593146818</v>
      </c>
      <c r="DF291" s="173">
        <f t="shared" si="831"/>
        <v>0.4897221442551708</v>
      </c>
      <c r="DG291" s="173"/>
      <c r="DH291" s="173">
        <f t="shared" si="832"/>
        <v>0.78109744190587771</v>
      </c>
      <c r="DI291" s="545">
        <f t="shared" si="833"/>
        <v>1830.004411764706</v>
      </c>
      <c r="DJ291" s="528">
        <f t="shared" si="834"/>
        <v>8.6065366284073561E-2</v>
      </c>
      <c r="DL291" s="173">
        <f t="shared" si="835"/>
        <v>30.425553170226596</v>
      </c>
      <c r="DM291" s="173">
        <f t="shared" si="836"/>
        <v>30.425553170226596</v>
      </c>
      <c r="DN291" s="173">
        <f t="shared" si="837"/>
        <v>13.860903582883898</v>
      </c>
      <c r="DP291" s="545">
        <f t="shared" si="838"/>
        <v>449.99999999999994</v>
      </c>
      <c r="DQ291" s="460">
        <f t="shared" si="839"/>
        <v>350</v>
      </c>
      <c r="DS291">
        <f t="shared" si="840"/>
        <v>449.99999999999994</v>
      </c>
      <c r="DT291">
        <f t="shared" si="841"/>
        <v>350</v>
      </c>
      <c r="DV291" s="5">
        <f t="shared" si="870"/>
        <v>2.8571428571428572</v>
      </c>
      <c r="DW291" s="5">
        <f t="shared" si="842"/>
        <v>0.95079853656958113</v>
      </c>
      <c r="DX291" s="5">
        <f t="shared" si="843"/>
        <v>1.9063443205732762</v>
      </c>
      <c r="DY291" s="173">
        <f t="shared" si="844"/>
        <v>0.3327794877993534</v>
      </c>
      <c r="EA291" s="5">
        <f t="shared" si="871"/>
        <v>0.25168196556253619</v>
      </c>
      <c r="EB291" s="5">
        <f t="shared" si="872"/>
        <v>2.9712454267799413</v>
      </c>
      <c r="EC291" s="5">
        <f t="shared" si="873"/>
        <v>14.583534052385559</v>
      </c>
      <c r="ED291" s="5"/>
      <c r="EE291" s="173">
        <f t="shared" si="874"/>
        <v>10.133422025629583</v>
      </c>
      <c r="EF291" s="173">
        <f t="shared" si="875"/>
        <v>0.67757749166034931</v>
      </c>
      <c r="EG291" s="173">
        <f t="shared" si="876"/>
        <v>0.53572245403622798</v>
      </c>
      <c r="EH291" s="173"/>
      <c r="EI291" s="528">
        <f t="shared" si="877"/>
        <v>4.1074496779805907</v>
      </c>
      <c r="EJ291" s="528">
        <f t="shared" si="878"/>
        <v>7.1849753651782793</v>
      </c>
      <c r="EK291" s="528">
        <f t="shared" si="879"/>
        <v>6.9999999999999993E-2</v>
      </c>
      <c r="EL291" s="528">
        <f t="shared" si="880"/>
        <v>4.2137635749999999E-2</v>
      </c>
      <c r="EM291">
        <f t="shared" si="881"/>
        <v>7.1999999999999998E-3</v>
      </c>
      <c r="EN291" s="460">
        <f t="shared" si="882"/>
        <v>77.199999999999989</v>
      </c>
      <c r="EP291" s="460">
        <f t="shared" si="883"/>
        <v>11411.76267890887</v>
      </c>
      <c r="EQ291" s="173">
        <f t="shared" si="884"/>
        <v>0.31499999999999995</v>
      </c>
      <c r="ER291" s="173">
        <f t="shared" si="845"/>
        <v>0.32549999999999996</v>
      </c>
      <c r="ES291" s="528"/>
      <c r="EU291" s="460">
        <f t="shared" si="885"/>
        <v>640.49999999999989</v>
      </c>
      <c r="EV291" s="528">
        <f t="shared" si="886"/>
        <v>3.0805872584854428</v>
      </c>
      <c r="EW291" s="528">
        <f t="shared" si="887"/>
        <v>1.3773337716141922E-2</v>
      </c>
      <c r="EX291" s="528">
        <f t="shared" si="888"/>
        <v>1.434992738792992E-3</v>
      </c>
      <c r="EY291" s="528">
        <f t="shared" si="889"/>
        <v>585.10838586539114</v>
      </c>
      <c r="EZ291" s="528"/>
      <c r="FA291" s="625">
        <f t="shared" si="890"/>
        <v>8.1</v>
      </c>
      <c r="FB291" s="460">
        <f t="shared" si="891"/>
        <v>596304.18145433161</v>
      </c>
      <c r="FC291" s="173">
        <f t="shared" si="892"/>
        <v>608.35644413324042</v>
      </c>
      <c r="FD291" s="5">
        <f t="shared" si="893"/>
        <v>80.999999999999986</v>
      </c>
      <c r="FE291" s="173">
        <f t="shared" si="894"/>
        <v>0.11750089621900178</v>
      </c>
      <c r="FF291" s="5">
        <f t="shared" si="895"/>
        <v>11.750089621900178</v>
      </c>
      <c r="FG291">
        <f t="shared" si="896"/>
        <v>75</v>
      </c>
      <c r="FI291" s="562">
        <f t="shared" si="846"/>
        <v>-50</v>
      </c>
    </row>
    <row r="292" spans="5:165">
      <c r="E292" s="170">
        <v>76</v>
      </c>
      <c r="F292" s="217">
        <f t="shared" si="847"/>
        <v>0.45599999999999996</v>
      </c>
      <c r="G292" s="217">
        <f t="shared" si="775"/>
        <v>0.38</v>
      </c>
      <c r="H292" s="217">
        <f t="shared" si="776"/>
        <v>77.52</v>
      </c>
      <c r="I292" s="217">
        <f t="shared" si="777"/>
        <v>4.5600000000000005</v>
      </c>
      <c r="J292" s="541">
        <f t="shared" si="778"/>
        <v>14.705566484411477</v>
      </c>
      <c r="K292" s="443">
        <f t="shared" si="779"/>
        <v>8.543151133619606</v>
      </c>
      <c r="L292" s="172">
        <f t="shared" si="780"/>
        <v>23.248717618031083</v>
      </c>
      <c r="M292" s="443"/>
      <c r="N292" s="217">
        <f t="shared" si="781"/>
        <v>0.36746762870885258</v>
      </c>
      <c r="O292" s="172">
        <f t="shared" si="782"/>
        <v>170.12024807851867</v>
      </c>
      <c r="P292" s="172">
        <f t="shared" si="783"/>
        <v>10.00707341638345</v>
      </c>
      <c r="Q292" s="217">
        <f t="shared" si="784"/>
        <v>1.0007073416383452</v>
      </c>
      <c r="R292" s="217">
        <f t="shared" si="785"/>
        <v>14.176687339876556</v>
      </c>
      <c r="S292" s="217">
        <f t="shared" si="786"/>
        <v>170</v>
      </c>
      <c r="T292" s="217">
        <f t="shared" si="787"/>
        <v>30.378512013541854</v>
      </c>
      <c r="U292" s="217">
        <f t="shared" si="788"/>
        <v>1.0328915940009642</v>
      </c>
      <c r="V292" s="217">
        <f t="shared" si="789"/>
        <v>1.7779453704145656</v>
      </c>
      <c r="W292" s="197">
        <f t="shared" si="790"/>
        <v>350</v>
      </c>
      <c r="X292" s="443">
        <f t="shared" si="848"/>
        <v>332.13356014251076</v>
      </c>
      <c r="Z292" s="217">
        <f t="shared" si="791"/>
        <v>30.878969399126078</v>
      </c>
      <c r="AA292" s="173">
        <f t="shared" si="792"/>
        <v>1.8072353465461353</v>
      </c>
      <c r="AB292" s="173">
        <f t="shared" si="793"/>
        <v>0.4611709882360443</v>
      </c>
      <c r="AC292" s="173"/>
      <c r="AD292" s="173">
        <f t="shared" si="794"/>
        <v>0.78035218649375571</v>
      </c>
      <c r="AE292" s="545">
        <f t="shared" si="795"/>
        <v>1856.1754721845512</v>
      </c>
      <c r="AF292" s="528">
        <f t="shared" si="796"/>
        <v>8.5983250178478632E-2</v>
      </c>
      <c r="AH292" s="173">
        <f t="shared" si="797"/>
        <v>30.627718538231719</v>
      </c>
      <c r="AI292" s="173">
        <f t="shared" si="798"/>
        <v>30.627718538231719</v>
      </c>
      <c r="AJ292" s="173">
        <f t="shared" si="799"/>
        <v>14.010655707332134</v>
      </c>
      <c r="AL292" s="545">
        <f t="shared" si="800"/>
        <v>455.99999999999994</v>
      </c>
      <c r="AM292" s="460">
        <f t="shared" si="801"/>
        <v>332.13356014251076</v>
      </c>
      <c r="AO292">
        <f t="shared" si="802"/>
        <v>455.99999999999994</v>
      </c>
      <c r="AP292">
        <f t="shared" si="803"/>
        <v>332.13356014251076</v>
      </c>
      <c r="AR292" s="5">
        <f t="shared" si="774"/>
        <v>3.0108369644155304</v>
      </c>
      <c r="AS292" s="5">
        <f t="shared" si="739"/>
        <v>1.0413647978368734</v>
      </c>
      <c r="AT292" s="5">
        <f t="shared" si="740"/>
        <v>1.969472166578657</v>
      </c>
      <c r="AU292" s="173">
        <f t="shared" si="741"/>
        <v>0.34587219771264671</v>
      </c>
      <c r="BA292" s="173">
        <f t="shared" si="849"/>
        <v>10.399485333099362</v>
      </c>
      <c r="BB292" s="173">
        <f t="shared" si="850"/>
        <v>0.67535441722927447</v>
      </c>
      <c r="BC292" s="173">
        <f t="shared" si="851"/>
        <v>0.53396479398349783</v>
      </c>
      <c r="BD292" s="173"/>
      <c r="BE292" s="528">
        <f t="shared" si="852"/>
        <v>4.32597180773395</v>
      </c>
      <c r="BF292" s="528">
        <f t="shared" si="804"/>
        <v>5.3211919907650955</v>
      </c>
      <c r="BG292" s="528">
        <f t="shared" si="805"/>
        <v>0.19536848601519879</v>
      </c>
      <c r="BH292" s="528">
        <f t="shared" si="853"/>
        <v>3.5903828554720324E-2</v>
      </c>
      <c r="BI292">
        <f t="shared" si="854"/>
        <v>6.6175049179851642E-3</v>
      </c>
      <c r="BJ292" s="460">
        <f t="shared" si="855"/>
        <v>201.98599093318396</v>
      </c>
      <c r="BK292">
        <f t="shared" si="806"/>
        <v>-389.61324136276448</v>
      </c>
      <c r="BL292" s="460">
        <f t="shared" si="856"/>
        <v>9885.0536179869505</v>
      </c>
      <c r="BM292" s="173">
        <f t="shared" si="807"/>
        <v>0.39580799999999988</v>
      </c>
      <c r="BN292" s="173">
        <f t="shared" si="808"/>
        <v>0.32983999999999997</v>
      </c>
      <c r="BQ292" s="460">
        <f t="shared" si="857"/>
        <v>725.6479999999998</v>
      </c>
      <c r="BR292" s="528">
        <f t="shared" si="858"/>
        <v>3.2444788558004625</v>
      </c>
      <c r="BS292" s="528">
        <f t="shared" si="859"/>
        <v>1.3683107666132788E-2</v>
      </c>
      <c r="BT292" s="528">
        <f t="shared" si="860"/>
        <v>1.4255920060691966E-3</v>
      </c>
      <c r="BU292" s="528">
        <f t="shared" si="861"/>
        <v>521.84139269324544</v>
      </c>
      <c r="BV292" s="528"/>
      <c r="BW292" s="625">
        <f t="shared" si="862"/>
        <v>7.789006461856367</v>
      </c>
      <c r="BX292" s="460">
        <f t="shared" si="863"/>
        <v>532889.98671057448</v>
      </c>
      <c r="BY292" s="173">
        <f t="shared" si="864"/>
        <v>543.50068832856141</v>
      </c>
      <c r="BZ292" s="5">
        <f t="shared" si="865"/>
        <v>82.08</v>
      </c>
      <c r="CA292" s="173">
        <f t="shared" si="866"/>
        <v>0.13120609624204183</v>
      </c>
      <c r="CB292" s="5">
        <f t="shared" si="867"/>
        <v>13.120609624204182</v>
      </c>
      <c r="CC292">
        <f t="shared" si="868"/>
        <v>76</v>
      </c>
      <c r="CE292" s="562">
        <f t="shared" si="809"/>
        <v>-50</v>
      </c>
      <c r="CG292" s="173">
        <f t="shared" si="810"/>
        <v>0.6128045461358016</v>
      </c>
      <c r="CH292" s="173">
        <f t="shared" si="811"/>
        <v>0.15665180125474923</v>
      </c>
      <c r="CI292" s="170">
        <v>76</v>
      </c>
      <c r="CJ292" s="217">
        <f t="shared" si="869"/>
        <v>0.45599999999999996</v>
      </c>
      <c r="CK292" s="217">
        <f t="shared" si="812"/>
        <v>0.38</v>
      </c>
      <c r="CL292" s="217">
        <f t="shared" si="813"/>
        <v>77.52</v>
      </c>
      <c r="CM292" s="217">
        <f t="shared" si="814"/>
        <v>4.5600000000000005</v>
      </c>
      <c r="CN292" s="541">
        <f t="shared" si="815"/>
        <v>16</v>
      </c>
      <c r="CO292" s="443">
        <f t="shared" si="816"/>
        <v>8.5350000000000001</v>
      </c>
      <c r="CP292" s="443">
        <f t="shared" si="817"/>
        <v>24.535</v>
      </c>
      <c r="CQ292" s="443"/>
      <c r="CR292" s="217">
        <f t="shared" si="818"/>
        <v>0.34760448521916415</v>
      </c>
      <c r="CS292" s="172">
        <f t="shared" si="819"/>
        <v>175.08966662891231</v>
      </c>
      <c r="CT292" s="172">
        <f t="shared" si="820"/>
        <v>10.2993921546419</v>
      </c>
      <c r="CU292" s="217">
        <f t="shared" si="821"/>
        <v>1.02993921546419</v>
      </c>
      <c r="CV292" s="217">
        <f t="shared" si="822"/>
        <v>14.590805552409359</v>
      </c>
      <c r="CW292" s="217">
        <f t="shared" si="823"/>
        <v>170</v>
      </c>
      <c r="CX292" s="217">
        <f t="shared" si="824"/>
        <v>29.516304985337239</v>
      </c>
      <c r="CY292" s="217">
        <f t="shared" si="825"/>
        <v>0.92238453079178861</v>
      </c>
      <c r="CZ292" s="217">
        <f t="shared" si="826"/>
        <v>1.7291332738920466</v>
      </c>
      <c r="DA292" s="197">
        <f t="shared" si="827"/>
        <v>350</v>
      </c>
      <c r="DB292" s="443">
        <f t="shared" si="828"/>
        <v>350</v>
      </c>
      <c r="DD292" s="217">
        <f t="shared" si="829"/>
        <v>31.805292730501623</v>
      </c>
      <c r="DE292" s="173">
        <f t="shared" si="830"/>
        <v>1.8632274593146818</v>
      </c>
      <c r="DF292" s="173">
        <f t="shared" si="831"/>
        <v>0.4897221442551708</v>
      </c>
      <c r="DG292" s="173"/>
      <c r="DH292" s="173">
        <f t="shared" si="832"/>
        <v>0.78109744190587771</v>
      </c>
      <c r="DI292" s="545">
        <f t="shared" si="833"/>
        <v>1854.4044705882352</v>
      </c>
      <c r="DJ292" s="528">
        <f t="shared" si="834"/>
        <v>8.6065366284073561E-2</v>
      </c>
      <c r="DL292" s="173">
        <f t="shared" si="835"/>
        <v>30.627718538231719</v>
      </c>
      <c r="DM292" s="173">
        <f t="shared" si="836"/>
        <v>30.627718538231719</v>
      </c>
      <c r="DN292" s="173">
        <f t="shared" si="837"/>
        <v>14.010655707332134</v>
      </c>
      <c r="DP292" s="545">
        <f t="shared" si="838"/>
        <v>455.99999999999994</v>
      </c>
      <c r="DQ292" s="460">
        <f t="shared" si="839"/>
        <v>350</v>
      </c>
      <c r="DS292">
        <f t="shared" si="840"/>
        <v>455.99999999999994</v>
      </c>
      <c r="DT292">
        <f t="shared" si="841"/>
        <v>350</v>
      </c>
      <c r="DV292" s="5">
        <f t="shared" si="870"/>
        <v>2.8571428571428572</v>
      </c>
      <c r="DW292" s="5">
        <f t="shared" si="842"/>
        <v>0.9571162043197412</v>
      </c>
      <c r="DX292" s="5">
        <f t="shared" si="843"/>
        <v>1.900026652823116</v>
      </c>
      <c r="DY292" s="173">
        <f t="shared" si="844"/>
        <v>0.33499067151190942</v>
      </c>
      <c r="EA292" s="5">
        <f t="shared" si="871"/>
        <v>0.25673234657047173</v>
      </c>
      <c r="EB292" s="5">
        <f t="shared" si="872"/>
        <v>3.0308679803458469</v>
      </c>
      <c r="EC292" s="5">
        <f t="shared" si="873"/>
        <v>14.729006612684794</v>
      </c>
      <c r="ED292" s="5"/>
      <c r="EE292" s="173">
        <f t="shared" si="874"/>
        <v>10.234588286821921</v>
      </c>
      <c r="EF292" s="173">
        <f t="shared" si="875"/>
        <v>0.68094856554504513</v>
      </c>
      <c r="EG292" s="173">
        <f t="shared" si="876"/>
        <v>0.5383877727584031</v>
      </c>
      <c r="EH292" s="173"/>
      <c r="EI292" s="528">
        <f t="shared" si="877"/>
        <v>4.1898718960300991</v>
      </c>
      <c r="EJ292" s="528">
        <f t="shared" si="878"/>
        <v>7.2327165904793347</v>
      </c>
      <c r="EK292" s="528">
        <f t="shared" si="879"/>
        <v>6.9999999999999993E-2</v>
      </c>
      <c r="EL292" s="528">
        <f t="shared" si="880"/>
        <v>4.2137635749999999E-2</v>
      </c>
      <c r="EM292">
        <f t="shared" si="881"/>
        <v>7.1999999999999998E-3</v>
      </c>
      <c r="EN292" s="460">
        <f t="shared" si="882"/>
        <v>77.199999999999989</v>
      </c>
      <c r="EP292" s="460">
        <f t="shared" si="883"/>
        <v>11541.926122259432</v>
      </c>
      <c r="EQ292" s="173">
        <f t="shared" si="884"/>
        <v>0.31919999999999993</v>
      </c>
      <c r="ER292" s="173">
        <f t="shared" si="845"/>
        <v>0.32983999999999997</v>
      </c>
      <c r="ES292" s="528"/>
      <c r="EU292" s="460">
        <f t="shared" si="885"/>
        <v>649.03999999999985</v>
      </c>
      <c r="EV292" s="528">
        <f t="shared" si="886"/>
        <v>3.1424039220225741</v>
      </c>
      <c r="EW292" s="528">
        <f t="shared" si="887"/>
        <v>1.3910728467535638E-2</v>
      </c>
      <c r="EX292" s="528">
        <f t="shared" si="888"/>
        <v>1.4493069692787695E-3</v>
      </c>
      <c r="EY292" s="528">
        <f t="shared" si="889"/>
        <v>594.87639144422883</v>
      </c>
      <c r="EZ292" s="528"/>
      <c r="FA292" s="625">
        <f t="shared" si="890"/>
        <v>8.2080000000000002</v>
      </c>
      <c r="FB292" s="460">
        <f t="shared" si="891"/>
        <v>606242.15540168819</v>
      </c>
      <c r="FC292" s="173">
        <f t="shared" si="892"/>
        <v>618.43312152394765</v>
      </c>
      <c r="FD292" s="5">
        <f t="shared" si="893"/>
        <v>82.08</v>
      </c>
      <c r="FE292" s="173">
        <f t="shared" si="894"/>
        <v>0.11717125272605478</v>
      </c>
      <c r="FF292" s="5">
        <f t="shared" si="895"/>
        <v>11.717125272605477</v>
      </c>
      <c r="FG292">
        <f t="shared" si="896"/>
        <v>76</v>
      </c>
      <c r="FI292" s="562">
        <f t="shared" si="846"/>
        <v>-50</v>
      </c>
    </row>
    <row r="293" spans="5:165">
      <c r="E293" s="170">
        <v>77</v>
      </c>
      <c r="F293" s="217">
        <f t="shared" si="847"/>
        <v>0.46199999999999997</v>
      </c>
      <c r="G293" s="217">
        <f t="shared" si="775"/>
        <v>0.38500000000000001</v>
      </c>
      <c r="H293" s="217">
        <f t="shared" si="776"/>
        <v>78.539999999999992</v>
      </c>
      <c r="I293" s="217">
        <f t="shared" si="777"/>
        <v>4.62</v>
      </c>
      <c r="J293" s="541">
        <f t="shared" si="778"/>
        <v>14.697078304835665</v>
      </c>
      <c r="K293" s="443">
        <f t="shared" si="779"/>
        <v>8.5432045842488389</v>
      </c>
      <c r="L293" s="172">
        <f t="shared" si="780"/>
        <v>23.240282889084504</v>
      </c>
      <c r="M293" s="443"/>
      <c r="N293" s="217">
        <f t="shared" si="781"/>
        <v>0.36760329575254058</v>
      </c>
      <c r="O293" s="172">
        <f t="shared" si="782"/>
        <v>170.08482442119038</v>
      </c>
      <c r="P293" s="172">
        <f t="shared" si="783"/>
        <v>10.004989671834727</v>
      </c>
      <c r="Q293" s="217">
        <f t="shared" si="784"/>
        <v>1.0004989671834728</v>
      </c>
      <c r="R293" s="217">
        <f t="shared" si="785"/>
        <v>14.173735368432531</v>
      </c>
      <c r="S293" s="217">
        <f t="shared" si="786"/>
        <v>170</v>
      </c>
      <c r="T293" s="217">
        <f t="shared" si="787"/>
        <v>30.784639475146861</v>
      </c>
      <c r="U293" s="217">
        <f t="shared" si="788"/>
        <v>1.0473047376027802</v>
      </c>
      <c r="V293" s="217">
        <f t="shared" si="789"/>
        <v>1.8017032819221432</v>
      </c>
      <c r="W293" s="197">
        <f t="shared" si="790"/>
        <v>350</v>
      </c>
      <c r="X293" s="443">
        <f t="shared" si="848"/>
        <v>327.97552305415502</v>
      </c>
      <c r="Z293" s="217">
        <f t="shared" si="791"/>
        <v>30.872539558804306</v>
      </c>
      <c r="AA293" s="173">
        <f t="shared" si="792"/>
        <v>1.8068477264213127</v>
      </c>
      <c r="AB293" s="173">
        <f t="shared" si="793"/>
        <v>0.46097606745629405</v>
      </c>
      <c r="AC293" s="173"/>
      <c r="AD293" s="173">
        <f t="shared" si="794"/>
        <v>0.78034730421392962</v>
      </c>
      <c r="AE293" s="545">
        <f t="shared" si="795"/>
        <v>1880.6105997162354</v>
      </c>
      <c r="AF293" s="528">
        <f t="shared" si="796"/>
        <v>8.5982712223571872E-2</v>
      </c>
      <c r="AH293" s="173">
        <f t="shared" si="797"/>
        <v>30.828558188796308</v>
      </c>
      <c r="AI293" s="173">
        <f t="shared" si="798"/>
        <v>30.784639475146861</v>
      </c>
      <c r="AJ293" s="173">
        <f t="shared" si="799"/>
        <v>14.126893438380389</v>
      </c>
      <c r="AL293" s="545">
        <f t="shared" si="800"/>
        <v>461.99999999999994</v>
      </c>
      <c r="AM293" s="460">
        <f t="shared" si="801"/>
        <v>327.97552305415502</v>
      </c>
      <c r="AO293">
        <f t="shared" si="802"/>
        <v>461.99999999999994</v>
      </c>
      <c r="AP293">
        <f t="shared" si="803"/>
        <v>327.97552305415502</v>
      </c>
      <c r="AR293" s="5">
        <f t="shared" si="774"/>
        <v>3.0490080195249232</v>
      </c>
      <c r="AS293" s="5">
        <f t="shared" si="739"/>
        <v>1.0473047376027802</v>
      </c>
      <c r="AT293" s="5">
        <f t="shared" si="740"/>
        <v>2.001703281922143</v>
      </c>
      <c r="AU293" s="173">
        <f t="shared" si="741"/>
        <v>0.34349031911236644</v>
      </c>
      <c r="BA293" s="173">
        <f t="shared" si="849"/>
        <v>10.416712916691159</v>
      </c>
      <c r="BB293" s="173">
        <f t="shared" si="850"/>
        <v>0.68004935398391775</v>
      </c>
      <c r="BC293" s="173">
        <f t="shared" si="851"/>
        <v>0.53767681669779877</v>
      </c>
      <c r="BD293" s="173"/>
      <c r="BE293" s="528">
        <f t="shared" si="852"/>
        <v>4.3403163195504177</v>
      </c>
      <c r="BF293" s="528">
        <f t="shared" si="804"/>
        <v>5.2795807104594807</v>
      </c>
      <c r="BG293" s="528">
        <f t="shared" si="805"/>
        <v>0.19281127777585408</v>
      </c>
      <c r="BH293" s="528">
        <f t="shared" si="853"/>
        <v>3.5428621066653058E-2</v>
      </c>
      <c r="BI293">
        <f t="shared" si="854"/>
        <v>6.613685237176049E-3</v>
      </c>
      <c r="BJ293" s="460">
        <f t="shared" si="855"/>
        <v>199.42496301303012</v>
      </c>
      <c r="BK293">
        <f t="shared" si="806"/>
        <v>-346.36925351023422</v>
      </c>
      <c r="BL293" s="460">
        <f t="shared" si="856"/>
        <v>9854.7506140895821</v>
      </c>
      <c r="BM293" s="173">
        <f t="shared" si="807"/>
        <v>0.40101599999999993</v>
      </c>
      <c r="BN293" s="173">
        <f t="shared" si="808"/>
        <v>0.33417999999999998</v>
      </c>
      <c r="BQ293" s="460">
        <f t="shared" si="857"/>
        <v>735.19599999999991</v>
      </c>
      <c r="BR293" s="528">
        <f t="shared" si="858"/>
        <v>3.2552372396628129</v>
      </c>
      <c r="BS293" s="528">
        <f t="shared" si="859"/>
        <v>1.3874013715618314E-2</v>
      </c>
      <c r="BT293" s="528">
        <f t="shared" si="860"/>
        <v>1.4454817960713915E-3</v>
      </c>
      <c r="BU293" s="528">
        <f t="shared" si="861"/>
        <v>512.1636682407493</v>
      </c>
      <c r="BV293" s="528"/>
      <c r="BW293" s="625">
        <f t="shared" si="862"/>
        <v>7.7705111100563293</v>
      </c>
      <c r="BX293" s="460">
        <f t="shared" si="863"/>
        <v>523204.73608598014</v>
      </c>
      <c r="BY293" s="173">
        <f t="shared" si="864"/>
        <v>533.79468270006964</v>
      </c>
      <c r="BZ293" s="5">
        <f t="shared" si="865"/>
        <v>83.16</v>
      </c>
      <c r="CA293" s="173">
        <f t="shared" si="866"/>
        <v>0.13479109946301832</v>
      </c>
      <c r="CB293" s="5">
        <f t="shared" si="867"/>
        <v>13.479109946301831</v>
      </c>
      <c r="CC293">
        <f t="shared" si="868"/>
        <v>77</v>
      </c>
      <c r="CE293" s="562">
        <f t="shared" si="809"/>
        <v>-50</v>
      </c>
      <c r="CG293" s="173">
        <f t="shared" si="810"/>
        <v>0.61682297965890831</v>
      </c>
      <c r="CH293" s="173">
        <f t="shared" si="811"/>
        <v>0.1576790371876198</v>
      </c>
      <c r="CI293" s="170">
        <v>77</v>
      </c>
      <c r="CJ293" s="217">
        <f t="shared" si="869"/>
        <v>0.46199999999999997</v>
      </c>
      <c r="CK293" s="217">
        <f t="shared" si="812"/>
        <v>0.38500000000000001</v>
      </c>
      <c r="CL293" s="217">
        <f t="shared" si="813"/>
        <v>78.539999999999992</v>
      </c>
      <c r="CM293" s="217">
        <f t="shared" si="814"/>
        <v>4.62</v>
      </c>
      <c r="CN293" s="541">
        <f t="shared" si="815"/>
        <v>16</v>
      </c>
      <c r="CO293" s="443">
        <f t="shared" si="816"/>
        <v>8.5350000000000001</v>
      </c>
      <c r="CP293" s="443">
        <f t="shared" si="817"/>
        <v>24.535</v>
      </c>
      <c r="CQ293" s="443"/>
      <c r="CR293" s="217">
        <f t="shared" si="818"/>
        <v>0.34760448521916415</v>
      </c>
      <c r="CS293" s="172">
        <f t="shared" si="819"/>
        <v>175.08966662891231</v>
      </c>
      <c r="CT293" s="172">
        <f t="shared" si="820"/>
        <v>10.2993921546419</v>
      </c>
      <c r="CU293" s="217">
        <f t="shared" si="821"/>
        <v>1.02993921546419</v>
      </c>
      <c r="CV293" s="217">
        <f t="shared" si="822"/>
        <v>14.590805552409359</v>
      </c>
      <c r="CW293" s="217">
        <f t="shared" si="823"/>
        <v>170</v>
      </c>
      <c r="CX293" s="217">
        <f t="shared" si="824"/>
        <v>29.904677419354833</v>
      </c>
      <c r="CY293" s="217">
        <f t="shared" si="825"/>
        <v>0.93452116935483842</v>
      </c>
      <c r="CZ293" s="217">
        <f t="shared" si="826"/>
        <v>1.7518850274958893</v>
      </c>
      <c r="DA293" s="197">
        <f t="shared" si="827"/>
        <v>350</v>
      </c>
      <c r="DB293" s="443">
        <f t="shared" si="828"/>
        <v>350</v>
      </c>
      <c r="DD293" s="217">
        <f t="shared" si="829"/>
        <v>31.805292730501623</v>
      </c>
      <c r="DE293" s="173">
        <f t="shared" si="830"/>
        <v>1.8632274593146818</v>
      </c>
      <c r="DF293" s="173">
        <f t="shared" si="831"/>
        <v>0.4897221442551708</v>
      </c>
      <c r="DG293" s="173"/>
      <c r="DH293" s="173">
        <f t="shared" si="832"/>
        <v>0.78109744190587771</v>
      </c>
      <c r="DI293" s="545">
        <f t="shared" si="833"/>
        <v>1878.8045294117649</v>
      </c>
      <c r="DJ293" s="528">
        <f t="shared" si="834"/>
        <v>8.6065366284073561E-2</v>
      </c>
      <c r="DL293" s="173">
        <f t="shared" si="835"/>
        <v>30.828558188796308</v>
      </c>
      <c r="DM293" s="173">
        <f t="shared" si="836"/>
        <v>30.828558188796308</v>
      </c>
      <c r="DN293" s="173">
        <f t="shared" si="837"/>
        <v>14.159425818861459</v>
      </c>
      <c r="DP293" s="545">
        <f t="shared" si="838"/>
        <v>461.99999999999994</v>
      </c>
      <c r="DQ293" s="460">
        <f t="shared" si="839"/>
        <v>350</v>
      </c>
      <c r="DS293">
        <f t="shared" si="840"/>
        <v>461.99999999999994</v>
      </c>
      <c r="DT293">
        <f t="shared" si="841"/>
        <v>350</v>
      </c>
      <c r="DV293" s="5">
        <f t="shared" si="870"/>
        <v>2.8571428571428572</v>
      </c>
      <c r="DW293" s="5">
        <f t="shared" si="842"/>
        <v>0.96339244339988461</v>
      </c>
      <c r="DX293" s="5">
        <f t="shared" si="843"/>
        <v>1.8937504137429726</v>
      </c>
      <c r="DY293" s="173">
        <f t="shared" si="844"/>
        <v>0.33718735518995963</v>
      </c>
      <c r="EA293" s="5">
        <f t="shared" si="871"/>
        <v>0.26181606402985097</v>
      </c>
      <c r="EB293" s="5">
        <f t="shared" si="872"/>
        <v>3.0908840892412965</v>
      </c>
      <c r="EC293" s="5">
        <f t="shared" si="873"/>
        <v>14.873515749537304</v>
      </c>
      <c r="ED293" s="5"/>
      <c r="EE293" s="173">
        <f t="shared" si="874"/>
        <v>10.335422300234239</v>
      </c>
      <c r="EF293" s="173">
        <f t="shared" si="875"/>
        <v>0.68428087115860681</v>
      </c>
      <c r="EG293" s="173">
        <f t="shared" si="876"/>
        <v>0.54102243958672624</v>
      </c>
      <c r="EH293" s="173"/>
      <c r="EI293" s="528">
        <f t="shared" si="877"/>
        <v>4.2728381649671681</v>
      </c>
      <c r="EJ293" s="528">
        <f t="shared" si="878"/>
        <v>7.2801447484353794</v>
      </c>
      <c r="EK293" s="528">
        <f t="shared" si="879"/>
        <v>6.9999999999999993E-2</v>
      </c>
      <c r="EL293" s="528">
        <f t="shared" si="880"/>
        <v>4.2137635749999999E-2</v>
      </c>
      <c r="EM293">
        <f t="shared" si="881"/>
        <v>7.1999999999999998E-3</v>
      </c>
      <c r="EN293" s="460">
        <f t="shared" si="882"/>
        <v>77.199999999999989</v>
      </c>
      <c r="EP293" s="460">
        <f t="shared" si="883"/>
        <v>11672.320549152548</v>
      </c>
      <c r="EQ293" s="173">
        <f t="shared" si="884"/>
        <v>0.32339999999999997</v>
      </c>
      <c r="ER293" s="173">
        <f t="shared" si="845"/>
        <v>0.33417999999999998</v>
      </c>
      <c r="ES293" s="528"/>
      <c r="EU293" s="460">
        <f t="shared" si="885"/>
        <v>657.57999999999993</v>
      </c>
      <c r="EV293" s="528">
        <f t="shared" si="886"/>
        <v>3.2046286237253758</v>
      </c>
      <c r="EW293" s="528">
        <f t="shared" si="887"/>
        <v>1.4047209319007456E-2</v>
      </c>
      <c r="EX293" s="528">
        <f t="shared" si="888"/>
        <v>1.4635264006818644E-3</v>
      </c>
      <c r="EY293" s="528">
        <f t="shared" si="889"/>
        <v>604.67658234036935</v>
      </c>
      <c r="EZ293" s="528"/>
      <c r="FA293" s="625">
        <f t="shared" si="890"/>
        <v>8.3160000000000007</v>
      </c>
      <c r="FB293" s="460">
        <f t="shared" si="891"/>
        <v>616212.72169981443</v>
      </c>
      <c r="FC293" s="173">
        <f t="shared" si="892"/>
        <v>628.54262224896695</v>
      </c>
      <c r="FD293" s="5">
        <f t="shared" si="893"/>
        <v>83.16</v>
      </c>
      <c r="FE293" s="173">
        <f t="shared" si="894"/>
        <v>0.11684655557010028</v>
      </c>
      <c r="FF293" s="5">
        <f t="shared" si="895"/>
        <v>11.684655557010029</v>
      </c>
      <c r="FG293">
        <f t="shared" si="896"/>
        <v>77</v>
      </c>
      <c r="FI293" s="562">
        <f t="shared" si="846"/>
        <v>-50</v>
      </c>
    </row>
    <row r="294" spans="5:165">
      <c r="E294" s="170">
        <v>78</v>
      </c>
      <c r="F294" s="217">
        <f t="shared" si="847"/>
        <v>0.46799999999999997</v>
      </c>
      <c r="G294" s="217">
        <f t="shared" si="775"/>
        <v>0.39</v>
      </c>
      <c r="H294" s="217">
        <f t="shared" si="776"/>
        <v>79.56</v>
      </c>
      <c r="I294" s="217">
        <f t="shared" si="777"/>
        <v>4.68</v>
      </c>
      <c r="J294" s="541">
        <f t="shared" si="778"/>
        <v>14.688645066665421</v>
      </c>
      <c r="K294" s="443">
        <f t="shared" si="779"/>
        <v>8.5432576889084029</v>
      </c>
      <c r="L294" s="172">
        <f t="shared" si="780"/>
        <v>23.231902755573824</v>
      </c>
      <c r="M294" s="443"/>
      <c r="N294" s="217">
        <f t="shared" si="781"/>
        <v>0.36773818222266341</v>
      </c>
      <c r="O294" s="172">
        <f t="shared" si="782"/>
        <v>170.04960335963037</v>
      </c>
      <c r="P294" s="172">
        <f t="shared" si="783"/>
        <v>10.002917844684138</v>
      </c>
      <c r="Q294" s="217">
        <f t="shared" si="784"/>
        <v>1.0002917844684138</v>
      </c>
      <c r="R294" s="217">
        <f t="shared" si="785"/>
        <v>14.170800279969198</v>
      </c>
      <c r="S294" s="217">
        <f t="shared" si="786"/>
        <v>170</v>
      </c>
      <c r="T294" s="217">
        <f t="shared" si="787"/>
        <v>31.190898980121737</v>
      </c>
      <c r="U294" s="217">
        <f t="shared" si="788"/>
        <v>1.0617350626473614</v>
      </c>
      <c r="V294" s="217">
        <f t="shared" si="789"/>
        <v>1.8254686980012591</v>
      </c>
      <c r="W294" s="197">
        <f t="shared" si="790"/>
        <v>350</v>
      </c>
      <c r="X294" s="443">
        <f t="shared" si="848"/>
        <v>323.91771892306201</v>
      </c>
      <c r="Z294" s="217">
        <f t="shared" si="791"/>
        <v>30.866146492168198</v>
      </c>
      <c r="AA294" s="173">
        <f t="shared" si="792"/>
        <v>1.8064623365066759</v>
      </c>
      <c r="AB294" s="173">
        <f t="shared" si="793"/>
        <v>0.46078230571060708</v>
      </c>
      <c r="AC294" s="173"/>
      <c r="AD294" s="173">
        <f t="shared" si="794"/>
        <v>0.78034245359611598</v>
      </c>
      <c r="AE294" s="545">
        <f t="shared" si="795"/>
        <v>1905.0459557125862</v>
      </c>
      <c r="AF294" s="528">
        <f t="shared" si="796"/>
        <v>8.5982177757349815E-2</v>
      </c>
      <c r="AH294" s="173">
        <f t="shared" si="797"/>
        <v>31.02809786536805</v>
      </c>
      <c r="AI294" s="173">
        <f t="shared" si="798"/>
        <v>31.190898980121737</v>
      </c>
      <c r="AJ294" s="173">
        <f t="shared" si="799"/>
        <v>14.427826405028444</v>
      </c>
      <c r="AL294" s="545">
        <f t="shared" si="800"/>
        <v>468</v>
      </c>
      <c r="AM294" s="460">
        <f t="shared" si="801"/>
        <v>323.91771892306201</v>
      </c>
      <c r="AO294">
        <f t="shared" si="802"/>
        <v>468</v>
      </c>
      <c r="AP294">
        <f t="shared" si="803"/>
        <v>323.91771892306201</v>
      </c>
      <c r="AR294" s="5">
        <f t="shared" si="774"/>
        <v>3.0872037606486211</v>
      </c>
      <c r="AS294" s="5">
        <f t="shared" si="739"/>
        <v>1.0617350626473614</v>
      </c>
      <c r="AT294" s="5">
        <f t="shared" si="740"/>
        <v>2.0254686980012595</v>
      </c>
      <c r="AU294" s="173">
        <f t="shared" si="741"/>
        <v>0.34391479959336763</v>
      </c>
      <c r="BA294" s="173">
        <f t="shared" si="849"/>
        <v>10.560699795869883</v>
      </c>
      <c r="BB294" s="173">
        <f t="shared" si="850"/>
        <v>0.68880105878766817</v>
      </c>
      <c r="BC294" s="173">
        <f t="shared" si="851"/>
        <v>0.54459629798543285</v>
      </c>
      <c r="BD294" s="173"/>
      <c r="BE294" s="528">
        <f t="shared" si="852"/>
        <v>4.4611352071394483</v>
      </c>
      <c r="BF294" s="528">
        <f t="shared" si="804"/>
        <v>5.2811669501820022</v>
      </c>
      <c r="BG294" s="528">
        <f t="shared" si="805"/>
        <v>0.19031649616259005</v>
      </c>
      <c r="BH294" s="528">
        <f t="shared" si="853"/>
        <v>3.4965058835704665E-2</v>
      </c>
      <c r="BI294">
        <f t="shared" si="854"/>
        <v>6.6098902799994396E-3</v>
      </c>
      <c r="BJ294" s="460">
        <f t="shared" si="855"/>
        <v>196.92638644258949</v>
      </c>
      <c r="BK294">
        <f t="shared" si="806"/>
        <v>-183.13417677292946</v>
      </c>
      <c r="BL294" s="460">
        <f t="shared" si="856"/>
        <v>9974.1936025997438</v>
      </c>
      <c r="BM294" s="173">
        <f t="shared" si="807"/>
        <v>0.40622399999999992</v>
      </c>
      <c r="BN294" s="173">
        <f t="shared" si="808"/>
        <v>0.33851999999999993</v>
      </c>
      <c r="BQ294" s="460">
        <f t="shared" si="857"/>
        <v>744.7439999999998</v>
      </c>
      <c r="BR294" s="528">
        <f t="shared" si="858"/>
        <v>3.345851405354586</v>
      </c>
      <c r="BS294" s="528">
        <f t="shared" si="859"/>
        <v>1.423340695761038E-2</v>
      </c>
      <c r="BT294" s="528">
        <f t="shared" si="860"/>
        <v>1.4829256388971918E-3</v>
      </c>
      <c r="BU294" s="528">
        <f t="shared" si="861"/>
        <v>513.01078828748678</v>
      </c>
      <c r="BV294" s="528"/>
      <c r="BW294" s="625">
        <f t="shared" si="862"/>
        <v>7.8782634271584246</v>
      </c>
      <c r="BX294" s="460">
        <f t="shared" si="863"/>
        <v>524250.61945259629</v>
      </c>
      <c r="BY294" s="173">
        <f t="shared" si="864"/>
        <v>534.96955705519611</v>
      </c>
      <c r="BZ294" s="5">
        <f t="shared" si="865"/>
        <v>84.240000000000009</v>
      </c>
      <c r="CA294" s="173">
        <f t="shared" si="866"/>
        <v>0.13604441184762089</v>
      </c>
      <c r="CB294" s="5">
        <f t="shared" si="867"/>
        <v>13.60444118476209</v>
      </c>
      <c r="CC294">
        <f t="shared" si="868"/>
        <v>78</v>
      </c>
      <c r="CE294" s="562">
        <f t="shared" si="809"/>
        <v>-50</v>
      </c>
      <c r="CG294" s="173">
        <f t="shared" si="810"/>
        <v>0.62081540308362382</v>
      </c>
      <c r="CH294" s="173">
        <f t="shared" si="811"/>
        <v>0.15869962413462771</v>
      </c>
      <c r="CI294" s="170">
        <v>78</v>
      </c>
      <c r="CJ294" s="217">
        <f t="shared" si="869"/>
        <v>0.46799999999999997</v>
      </c>
      <c r="CK294" s="217">
        <f t="shared" si="812"/>
        <v>0.39</v>
      </c>
      <c r="CL294" s="217">
        <f t="shared" si="813"/>
        <v>79.56</v>
      </c>
      <c r="CM294" s="217">
        <f t="shared" si="814"/>
        <v>4.68</v>
      </c>
      <c r="CN294" s="541">
        <f t="shared" si="815"/>
        <v>16</v>
      </c>
      <c r="CO294" s="443">
        <f t="shared" si="816"/>
        <v>8.5350000000000001</v>
      </c>
      <c r="CP294" s="443">
        <f t="shared" si="817"/>
        <v>24.535</v>
      </c>
      <c r="CQ294" s="443"/>
      <c r="CR294" s="217">
        <f t="shared" si="818"/>
        <v>0.34760448521916415</v>
      </c>
      <c r="CS294" s="172">
        <f t="shared" si="819"/>
        <v>175.08966662891231</v>
      </c>
      <c r="CT294" s="172">
        <f t="shared" si="820"/>
        <v>10.2993921546419</v>
      </c>
      <c r="CU294" s="217">
        <f t="shared" si="821"/>
        <v>1.02993921546419</v>
      </c>
      <c r="CV294" s="217">
        <f t="shared" si="822"/>
        <v>14.590805552409359</v>
      </c>
      <c r="CW294" s="217">
        <f t="shared" si="823"/>
        <v>170</v>
      </c>
      <c r="CX294" s="217">
        <f t="shared" si="824"/>
        <v>30.293049853372434</v>
      </c>
      <c r="CY294" s="217">
        <f t="shared" si="825"/>
        <v>0.94665780791788856</v>
      </c>
      <c r="CZ294" s="217">
        <f t="shared" si="826"/>
        <v>1.7746367810997326</v>
      </c>
      <c r="DA294" s="197">
        <f t="shared" si="827"/>
        <v>350</v>
      </c>
      <c r="DB294" s="443">
        <f t="shared" si="828"/>
        <v>350</v>
      </c>
      <c r="DD294" s="217">
        <f t="shared" si="829"/>
        <v>31.805292730501623</v>
      </c>
      <c r="DE294" s="173">
        <f t="shared" si="830"/>
        <v>1.8632274593146818</v>
      </c>
      <c r="DF294" s="173">
        <f t="shared" si="831"/>
        <v>0.4897221442551708</v>
      </c>
      <c r="DG294" s="173"/>
      <c r="DH294" s="173">
        <f t="shared" si="832"/>
        <v>0.78109744190587771</v>
      </c>
      <c r="DI294" s="545">
        <f t="shared" si="833"/>
        <v>1903.2045882352941</v>
      </c>
      <c r="DJ294" s="528">
        <f t="shared" si="834"/>
        <v>8.6065366284073561E-2</v>
      </c>
      <c r="DL294" s="173">
        <f t="shared" si="835"/>
        <v>31.02809786536805</v>
      </c>
      <c r="DM294" s="173">
        <f t="shared" si="836"/>
        <v>31.02809786536805</v>
      </c>
      <c r="DN294" s="173">
        <f t="shared" si="837"/>
        <v>14.307232986692384</v>
      </c>
      <c r="DP294" s="545">
        <f t="shared" si="838"/>
        <v>468</v>
      </c>
      <c r="DQ294" s="460">
        <f t="shared" si="839"/>
        <v>350</v>
      </c>
      <c r="DS294">
        <f t="shared" si="840"/>
        <v>468</v>
      </c>
      <c r="DT294">
        <f t="shared" si="841"/>
        <v>350</v>
      </c>
      <c r="DV294" s="5">
        <f t="shared" si="870"/>
        <v>2.8571428571428572</v>
      </c>
      <c r="DW294" s="5">
        <f t="shared" si="842"/>
        <v>0.96962805829275145</v>
      </c>
      <c r="DX294" s="5">
        <f t="shared" si="843"/>
        <v>1.8875147988501058</v>
      </c>
      <c r="DY294" s="173">
        <f t="shared" si="844"/>
        <v>0.339369820402463</v>
      </c>
      <c r="EA294" s="5">
        <f t="shared" si="871"/>
        <v>0.26693290075353387</v>
      </c>
      <c r="EB294" s="5">
        <f t="shared" si="872"/>
        <v>3.1512911894514426</v>
      </c>
      <c r="EC294" s="5">
        <f t="shared" si="873"/>
        <v>15.017067739651441</v>
      </c>
      <c r="ED294" s="5"/>
      <c r="EE294" s="173">
        <f t="shared" si="874"/>
        <v>10.435929451057143</v>
      </c>
      <c r="EF294" s="173">
        <f t="shared" si="875"/>
        <v>0.68757511586152531</v>
      </c>
      <c r="EG294" s="173">
        <f t="shared" si="876"/>
        <v>0.54362701379139589</v>
      </c>
      <c r="EH294" s="173"/>
      <c r="EI294" s="528">
        <f t="shared" si="877"/>
        <v>4.3563449402976735</v>
      </c>
      <c r="EJ294" s="528">
        <f t="shared" si="878"/>
        <v>7.3272659183455007</v>
      </c>
      <c r="EK294" s="528">
        <f t="shared" si="879"/>
        <v>6.9999999999999993E-2</v>
      </c>
      <c r="EL294" s="528">
        <f t="shared" si="880"/>
        <v>4.2137635749999999E-2</v>
      </c>
      <c r="EM294">
        <f t="shared" si="881"/>
        <v>7.1999999999999998E-3</v>
      </c>
      <c r="EN294" s="460">
        <f t="shared" si="882"/>
        <v>77.199999999999989</v>
      </c>
      <c r="EP294" s="460">
        <f t="shared" si="883"/>
        <v>11802.948494393175</v>
      </c>
      <c r="EQ294" s="173">
        <f t="shared" si="884"/>
        <v>0.32759999999999995</v>
      </c>
      <c r="ER294" s="173">
        <f t="shared" si="845"/>
        <v>0.33851999999999993</v>
      </c>
      <c r="ES294" s="528"/>
      <c r="EU294" s="460">
        <f t="shared" si="885"/>
        <v>666.11999999999978</v>
      </c>
      <c r="EV294" s="528">
        <f t="shared" si="886"/>
        <v>3.2672587052232553</v>
      </c>
      <c r="EW294" s="528">
        <f t="shared" si="887"/>
        <v>1.4182786198559698E-2</v>
      </c>
      <c r="EX294" s="528">
        <f t="shared" si="888"/>
        <v>1.4776516506187526E-3</v>
      </c>
      <c r="EY294" s="528">
        <f t="shared" si="889"/>
        <v>614.50864453319514</v>
      </c>
      <c r="EZ294" s="528"/>
      <c r="FA294" s="625">
        <f t="shared" si="890"/>
        <v>8.424000000000003</v>
      </c>
      <c r="FB294" s="460">
        <f t="shared" si="891"/>
        <v>626215.56367626751</v>
      </c>
      <c r="FC294" s="173">
        <f t="shared" si="892"/>
        <v>638.68463217066073</v>
      </c>
      <c r="FD294" s="5">
        <f t="shared" si="893"/>
        <v>84.240000000000009</v>
      </c>
      <c r="FE294" s="173">
        <f t="shared" si="894"/>
        <v>0.11652666993384932</v>
      </c>
      <c r="FF294" s="5">
        <f t="shared" si="895"/>
        <v>11.652666993384932</v>
      </c>
      <c r="FG294">
        <f t="shared" si="896"/>
        <v>78</v>
      </c>
      <c r="FI294" s="562">
        <f t="shared" si="846"/>
        <v>-50</v>
      </c>
    </row>
    <row r="295" spans="5:165">
      <c r="E295" s="170">
        <v>79</v>
      </c>
      <c r="F295" s="217">
        <f t="shared" si="847"/>
        <v>0.47399999999999998</v>
      </c>
      <c r="G295" s="217">
        <f t="shared" si="775"/>
        <v>0.39500000000000002</v>
      </c>
      <c r="H295" s="217">
        <f t="shared" si="776"/>
        <v>80.58</v>
      </c>
      <c r="I295" s="217">
        <f t="shared" si="777"/>
        <v>4.74</v>
      </c>
      <c r="J295" s="541">
        <f t="shared" si="778"/>
        <v>14.680265716656578</v>
      </c>
      <c r="K295" s="443">
        <f t="shared" si="779"/>
        <v>8.5433104542306406</v>
      </c>
      <c r="L295" s="172">
        <f t="shared" si="780"/>
        <v>23.22357617088722</v>
      </c>
      <c r="M295" s="443"/>
      <c r="N295" s="217">
        <f t="shared" si="781"/>
        <v>0.3678723031873285</v>
      </c>
      <c r="O295" s="172">
        <f t="shared" si="782"/>
        <v>170.01458098148771</v>
      </c>
      <c r="P295" s="172">
        <f t="shared" si="783"/>
        <v>10.000857704793393</v>
      </c>
      <c r="Q295" s="217">
        <f t="shared" si="784"/>
        <v>1.0000857704793396</v>
      </c>
      <c r="R295" s="217">
        <f t="shared" si="785"/>
        <v>14.16788174845731</v>
      </c>
      <c r="S295" s="217">
        <f t="shared" si="786"/>
        <v>170</v>
      </c>
      <c r="T295" s="217">
        <f t="shared" si="787"/>
        <v>31.597289885300711</v>
      </c>
      <c r="U295" s="217">
        <f t="shared" si="788"/>
        <v>1.0761824920324732</v>
      </c>
      <c r="V295" s="217">
        <f t="shared" si="789"/>
        <v>1.8492415823220936</v>
      </c>
      <c r="W295" s="197">
        <f t="shared" si="790"/>
        <v>350</v>
      </c>
      <c r="X295" s="443">
        <f t="shared" si="848"/>
        <v>319.95658067825906</v>
      </c>
      <c r="Z295" s="217">
        <f t="shared" si="791"/>
        <v>30.859789489076764</v>
      </c>
      <c r="AA295" s="173">
        <f t="shared" si="792"/>
        <v>1.8060791337504902</v>
      </c>
      <c r="AB295" s="173">
        <f t="shared" si="793"/>
        <v>0.46058968071599693</v>
      </c>
      <c r="AC295" s="173"/>
      <c r="AD295" s="173">
        <f t="shared" si="794"/>
        <v>0.78033763403334344</v>
      </c>
      <c r="AE295" s="545">
        <f t="shared" si="795"/>
        <v>1929.4815387043011</v>
      </c>
      <c r="AF295" s="528">
        <f t="shared" si="796"/>
        <v>8.5981646712933207E-2</v>
      </c>
      <c r="AH295" s="173">
        <f t="shared" si="797"/>
        <v>31.226362488860502</v>
      </c>
      <c r="AI295" s="173">
        <f t="shared" si="798"/>
        <v>31.597289885300711</v>
      </c>
      <c r="AJ295" s="173">
        <f t="shared" si="799"/>
        <v>14.728856705161018</v>
      </c>
      <c r="AL295" s="545">
        <f t="shared" si="800"/>
        <v>474</v>
      </c>
      <c r="AM295" s="460">
        <f t="shared" si="801"/>
        <v>319.95658067825906</v>
      </c>
      <c r="AO295">
        <f t="shared" si="802"/>
        <v>474</v>
      </c>
      <c r="AP295">
        <f t="shared" si="803"/>
        <v>319.95658067825906</v>
      </c>
      <c r="AR295" s="5">
        <f t="shared" si="774"/>
        <v>3.1254240743545667</v>
      </c>
      <c r="AS295" s="5">
        <f t="shared" si="739"/>
        <v>1.0761824920324732</v>
      </c>
      <c r="AT295" s="5">
        <f t="shared" si="740"/>
        <v>2.0492415823220935</v>
      </c>
      <c r="AU295" s="173">
        <f t="shared" si="741"/>
        <v>0.34433167033651785</v>
      </c>
      <c r="BA295" s="173">
        <f t="shared" si="849"/>
        <v>10.704778658623338</v>
      </c>
      <c r="BB295" s="173">
        <f t="shared" si="850"/>
        <v>0.69755383574862961</v>
      </c>
      <c r="BC295" s="173">
        <f t="shared" si="851"/>
        <v>0.55151662696753623</v>
      </c>
      <c r="BD295" s="173"/>
      <c r="BE295" s="528">
        <f t="shared" si="852"/>
        <v>4.5836914452047068</v>
      </c>
      <c r="BF295" s="528">
        <f t="shared" si="804"/>
        <v>5.2826580160708358</v>
      </c>
      <c r="BG295" s="528">
        <f t="shared" si="805"/>
        <v>0.18788190488598844</v>
      </c>
      <c r="BH295" s="528">
        <f t="shared" si="853"/>
        <v>3.4512723863009159E-2</v>
      </c>
      <c r="BI295">
        <f t="shared" si="854"/>
        <v>6.6061195724954596E-3</v>
      </c>
      <c r="BJ295" s="460">
        <f t="shared" si="855"/>
        <v>194.48802445848389</v>
      </c>
      <c r="BK295">
        <f t="shared" si="806"/>
        <v>-125.03168827518789</v>
      </c>
      <c r="BL295" s="460">
        <f t="shared" si="856"/>
        <v>10095.350209597038</v>
      </c>
      <c r="BM295" s="173">
        <f t="shared" si="807"/>
        <v>0.41143199999999996</v>
      </c>
      <c r="BN295" s="173">
        <f t="shared" si="808"/>
        <v>0.34285999999999994</v>
      </c>
      <c r="BQ295" s="460">
        <f t="shared" si="857"/>
        <v>754.29199999999992</v>
      </c>
      <c r="BR295" s="528">
        <f t="shared" si="858"/>
        <v>3.4377685839035301</v>
      </c>
      <c r="BS295" s="528">
        <f t="shared" si="859"/>
        <v>1.4597440613028784E-2</v>
      </c>
      <c r="BT295" s="528">
        <f t="shared" si="860"/>
        <v>1.5208529491082426E-3</v>
      </c>
      <c r="BU295" s="528">
        <f t="shared" si="861"/>
        <v>513.83325488164894</v>
      </c>
      <c r="BV295" s="528"/>
      <c r="BW295" s="625">
        <f t="shared" si="862"/>
        <v>7.9860260907306193</v>
      </c>
      <c r="BX295" s="460">
        <f t="shared" si="863"/>
        <v>525273.16784984537</v>
      </c>
      <c r="BY295" s="173">
        <f t="shared" si="864"/>
        <v>536.12281005944226</v>
      </c>
      <c r="BZ295" s="5">
        <f t="shared" si="865"/>
        <v>85.32</v>
      </c>
      <c r="CA295" s="173">
        <f t="shared" si="866"/>
        <v>0.13729340595611519</v>
      </c>
      <c r="CB295" s="5">
        <f t="shared" si="867"/>
        <v>13.72934059561152</v>
      </c>
      <c r="CC295">
        <f t="shared" si="868"/>
        <v>79</v>
      </c>
      <c r="CE295" s="562">
        <f t="shared" si="809"/>
        <v>-50</v>
      </c>
      <c r="CG295" s="173">
        <f t="shared" si="810"/>
        <v>0.62478231503178017</v>
      </c>
      <c r="CH295" s="173">
        <f t="shared" si="811"/>
        <v>0.15971368955893997</v>
      </c>
      <c r="CI295" s="170">
        <v>79</v>
      </c>
      <c r="CJ295" s="217">
        <f t="shared" si="869"/>
        <v>0.47399999999999998</v>
      </c>
      <c r="CK295" s="217">
        <f t="shared" si="812"/>
        <v>0.39500000000000002</v>
      </c>
      <c r="CL295" s="217">
        <f t="shared" si="813"/>
        <v>80.58</v>
      </c>
      <c r="CM295" s="217">
        <f t="shared" si="814"/>
        <v>4.74</v>
      </c>
      <c r="CN295" s="541">
        <f t="shared" si="815"/>
        <v>16</v>
      </c>
      <c r="CO295" s="443">
        <f t="shared" si="816"/>
        <v>8.5350000000000001</v>
      </c>
      <c r="CP295" s="443">
        <f t="shared" si="817"/>
        <v>24.535</v>
      </c>
      <c r="CQ295" s="443"/>
      <c r="CR295" s="217">
        <f t="shared" si="818"/>
        <v>0.34760448521916415</v>
      </c>
      <c r="CS295" s="172">
        <f t="shared" si="819"/>
        <v>175.08966662891231</v>
      </c>
      <c r="CT295" s="172">
        <f t="shared" si="820"/>
        <v>10.2993921546419</v>
      </c>
      <c r="CU295" s="217">
        <f t="shared" si="821"/>
        <v>1.02993921546419</v>
      </c>
      <c r="CV295" s="217">
        <f t="shared" si="822"/>
        <v>14.590805552409359</v>
      </c>
      <c r="CW295" s="217">
        <f t="shared" si="823"/>
        <v>170</v>
      </c>
      <c r="CX295" s="217">
        <f t="shared" si="824"/>
        <v>30.681422287390024</v>
      </c>
      <c r="CY295" s="217">
        <f t="shared" si="825"/>
        <v>0.95879444648093815</v>
      </c>
      <c r="CZ295" s="217">
        <f t="shared" si="826"/>
        <v>1.7973885347035747</v>
      </c>
      <c r="DA295" s="197">
        <f t="shared" si="827"/>
        <v>350</v>
      </c>
      <c r="DB295" s="443">
        <f t="shared" si="828"/>
        <v>350</v>
      </c>
      <c r="DD295" s="217">
        <f t="shared" si="829"/>
        <v>31.805292730501623</v>
      </c>
      <c r="DE295" s="173">
        <f t="shared" si="830"/>
        <v>1.8632274593146818</v>
      </c>
      <c r="DF295" s="173">
        <f t="shared" si="831"/>
        <v>0.4897221442551708</v>
      </c>
      <c r="DG295" s="173"/>
      <c r="DH295" s="173">
        <f t="shared" si="832"/>
        <v>0.78109744190587771</v>
      </c>
      <c r="DI295" s="545">
        <f t="shared" si="833"/>
        <v>1927.6046470588235</v>
      </c>
      <c r="DJ295" s="528">
        <f t="shared" si="834"/>
        <v>8.6065366284073561E-2</v>
      </c>
      <c r="DL295" s="173">
        <f t="shared" si="835"/>
        <v>31.226362488860502</v>
      </c>
      <c r="DM295" s="173">
        <f t="shared" si="836"/>
        <v>31.226362488860502</v>
      </c>
      <c r="DN295" s="173">
        <f t="shared" si="837"/>
        <v>14.454095670760864</v>
      </c>
      <c r="DP295" s="545">
        <f t="shared" si="838"/>
        <v>474</v>
      </c>
      <c r="DQ295" s="460">
        <f t="shared" si="839"/>
        <v>350</v>
      </c>
      <c r="DS295">
        <f t="shared" si="840"/>
        <v>474</v>
      </c>
      <c r="DT295">
        <f t="shared" si="841"/>
        <v>350</v>
      </c>
      <c r="DV295" s="5">
        <f t="shared" si="870"/>
        <v>2.8571428571428572</v>
      </c>
      <c r="DW295" s="5">
        <f t="shared" si="842"/>
        <v>0.97582382777689081</v>
      </c>
      <c r="DX295" s="5">
        <f t="shared" si="843"/>
        <v>1.8813190293659665</v>
      </c>
      <c r="DY295" s="173">
        <f t="shared" si="844"/>
        <v>0.34153833972191178</v>
      </c>
      <c r="EA295" s="5">
        <f t="shared" si="871"/>
        <v>0.27208264374485069</v>
      </c>
      <c r="EB295" s="5">
        <f t="shared" si="872"/>
        <v>3.2120867664322659</v>
      </c>
      <c r="EC295" s="5">
        <f t="shared" si="873"/>
        <v>15.159668738630959</v>
      </c>
      <c r="ED295" s="5"/>
      <c r="EE295" s="173">
        <f t="shared" si="874"/>
        <v>10.536114969375529</v>
      </c>
      <c r="EF295" s="173">
        <f t="shared" si="875"/>
        <v>0.69083198439316928</v>
      </c>
      <c r="EG295" s="173">
        <f t="shared" si="876"/>
        <v>0.54620203675736001</v>
      </c>
      <c r="EH295" s="173"/>
      <c r="EI295" s="528">
        <f t="shared" si="877"/>
        <v>4.4403887459159641</v>
      </c>
      <c r="EJ295" s="528">
        <f t="shared" si="878"/>
        <v>7.3740859852678522</v>
      </c>
      <c r="EK295" s="528">
        <f t="shared" si="879"/>
        <v>6.9999999999999993E-2</v>
      </c>
      <c r="EL295" s="528">
        <f t="shared" si="880"/>
        <v>4.2137635749999999E-2</v>
      </c>
      <c r="EM295">
        <f t="shared" si="881"/>
        <v>7.1999999999999998E-3</v>
      </c>
      <c r="EN295" s="460">
        <f t="shared" si="882"/>
        <v>77.199999999999989</v>
      </c>
      <c r="EP295" s="460">
        <f t="shared" si="883"/>
        <v>11933.812366933817</v>
      </c>
      <c r="EQ295" s="173">
        <f t="shared" si="884"/>
        <v>0.33179999999999998</v>
      </c>
      <c r="ER295" s="173">
        <f t="shared" si="845"/>
        <v>0.34285999999999994</v>
      </c>
      <c r="ES295" s="528"/>
      <c r="EU295" s="460">
        <f t="shared" si="885"/>
        <v>674.66</v>
      </c>
      <c r="EV295" s="528">
        <f t="shared" si="886"/>
        <v>3.3302915594369726</v>
      </c>
      <c r="EW295" s="528">
        <f t="shared" si="887"/>
        <v>1.4317464919818121E-2</v>
      </c>
      <c r="EX295" s="528">
        <f t="shared" si="888"/>
        <v>1.4916833247894425E-3</v>
      </c>
      <c r="EY295" s="528">
        <f t="shared" si="889"/>
        <v>624.37227105933675</v>
      </c>
      <c r="EZ295" s="528"/>
      <c r="FA295" s="625">
        <f t="shared" si="890"/>
        <v>8.5320000000000018</v>
      </c>
      <c r="FB295" s="460">
        <f t="shared" si="891"/>
        <v>636250.37176701834</v>
      </c>
      <c r="FC295" s="173">
        <f t="shared" si="892"/>
        <v>648.85884413395218</v>
      </c>
      <c r="FD295" s="5">
        <f t="shared" si="893"/>
        <v>85.32</v>
      </c>
      <c r="FE295" s="173">
        <f t="shared" si="894"/>
        <v>0.11621146629557907</v>
      </c>
      <c r="FF295" s="5">
        <f t="shared" si="895"/>
        <v>11.621146629557908</v>
      </c>
      <c r="FG295">
        <f t="shared" si="896"/>
        <v>79</v>
      </c>
      <c r="FI295" s="562">
        <f t="shared" si="846"/>
        <v>-50</v>
      </c>
    </row>
    <row r="296" spans="5:165">
      <c r="E296" s="170">
        <v>80</v>
      </c>
      <c r="F296" s="217">
        <f t="shared" si="847"/>
        <v>0.48</v>
      </c>
      <c r="G296" s="217">
        <f t="shared" si="775"/>
        <v>0.4</v>
      </c>
      <c r="H296" s="217">
        <f t="shared" si="776"/>
        <v>81.599999999999994</v>
      </c>
      <c r="I296" s="217">
        <f t="shared" si="777"/>
        <v>4.8000000000000007</v>
      </c>
      <c r="J296" s="541">
        <f t="shared" si="778"/>
        <v>14.671939234792694</v>
      </c>
      <c r="K296" s="443">
        <f t="shared" si="779"/>
        <v>8.5433628866386702</v>
      </c>
      <c r="L296" s="172">
        <f t="shared" si="780"/>
        <v>23.215302121431364</v>
      </c>
      <c r="M296" s="443"/>
      <c r="N296" s="217">
        <f t="shared" si="781"/>
        <v>0.36800567323876465</v>
      </c>
      <c r="O296" s="172">
        <f t="shared" si="782"/>
        <v>169.97975349797821</v>
      </c>
      <c r="P296" s="172">
        <f t="shared" si="783"/>
        <v>9.9988090292928344</v>
      </c>
      <c r="Q296" s="217">
        <f t="shared" si="784"/>
        <v>0.99988090292928355</v>
      </c>
      <c r="R296" s="217">
        <f t="shared" si="785"/>
        <v>14.164979458164851</v>
      </c>
      <c r="S296" s="217">
        <f t="shared" si="786"/>
        <v>170</v>
      </c>
      <c r="T296" s="217">
        <f t="shared" si="787"/>
        <v>32.003811560208582</v>
      </c>
      <c r="U296" s="217">
        <f t="shared" si="788"/>
        <v>1.0906469502107632</v>
      </c>
      <c r="V296" s="217">
        <f t="shared" si="789"/>
        <v>1.8730218992722825</v>
      </c>
      <c r="W296" s="197">
        <f t="shared" si="790"/>
        <v>350</v>
      </c>
      <c r="X296" s="443">
        <f t="shared" si="848"/>
        <v>316.08870826142356</v>
      </c>
      <c r="Z296" s="217">
        <f t="shared" si="791"/>
        <v>30.85346786181789</v>
      </c>
      <c r="AA296" s="173">
        <f t="shared" si="792"/>
        <v>1.8056980764606723</v>
      </c>
      <c r="AB296" s="173">
        <f t="shared" si="793"/>
        <v>0.46039817089283774</v>
      </c>
      <c r="AC296" s="173"/>
      <c r="AD296" s="173">
        <f t="shared" si="794"/>
        <v>0.78033284493778809</v>
      </c>
      <c r="AE296" s="545">
        <f t="shared" si="795"/>
        <v>1953.9173472500675</v>
      </c>
      <c r="AF296" s="528">
        <f t="shared" si="796"/>
        <v>8.5981119025552583E-2</v>
      </c>
      <c r="AH296" s="173">
        <f t="shared" si="797"/>
        <v>31.423376193982904</v>
      </c>
      <c r="AI296" s="173">
        <f t="shared" si="798"/>
        <v>32.003811560208582</v>
      </c>
      <c r="AJ296" s="173">
        <f t="shared" si="799"/>
        <v>15.029983871759441</v>
      </c>
      <c r="AL296" s="545">
        <f t="shared" si="800"/>
        <v>480</v>
      </c>
      <c r="AM296" s="460">
        <f t="shared" si="801"/>
        <v>316.08870826142356</v>
      </c>
      <c r="AO296">
        <f t="shared" si="802"/>
        <v>480</v>
      </c>
      <c r="AP296">
        <f t="shared" si="803"/>
        <v>316.08870826142356</v>
      </c>
      <c r="AR296" s="5">
        <f t="shared" si="774"/>
        <v>3.1636688494830456</v>
      </c>
      <c r="AS296" s="5">
        <f t="shared" si="739"/>
        <v>1.0906469502107632</v>
      </c>
      <c r="AT296" s="5">
        <f t="shared" si="740"/>
        <v>2.0730218992722822</v>
      </c>
      <c r="AU296" s="173">
        <f t="shared" si="741"/>
        <v>0.34474118566138129</v>
      </c>
      <c r="BA296" s="173">
        <f t="shared" si="849"/>
        <v>10.848948877501529</v>
      </c>
      <c r="BB296" s="173">
        <f t="shared" si="850"/>
        <v>0.70630768833163016</v>
      </c>
      <c r="BC296" s="173">
        <f t="shared" si="851"/>
        <v>0.55843780638355378</v>
      </c>
      <c r="BD296" s="173"/>
      <c r="BE296" s="528">
        <f t="shared" si="852"/>
        <v>4.707987669865668</v>
      </c>
      <c r="BF296" s="528">
        <f t="shared" si="804"/>
        <v>5.2840576145959819</v>
      </c>
      <c r="BG296" s="528">
        <f t="shared" si="805"/>
        <v>0.18550537281662888</v>
      </c>
      <c r="BH296" s="528">
        <f t="shared" si="853"/>
        <v>3.4071217831626213E-2</v>
      </c>
      <c r="BI296">
        <f t="shared" si="854"/>
        <v>6.6023726556567117E-3</v>
      </c>
      <c r="BJ296" s="460">
        <f t="shared" si="855"/>
        <v>192.10774547228559</v>
      </c>
      <c r="BK296">
        <f t="shared" si="806"/>
        <v>-95.240903742938826</v>
      </c>
      <c r="BL296" s="460">
        <f t="shared" si="856"/>
        <v>10218.22424776556</v>
      </c>
      <c r="BM296" s="173">
        <f t="shared" si="807"/>
        <v>0.41663999999999995</v>
      </c>
      <c r="BN296" s="173">
        <f t="shared" si="808"/>
        <v>0.34719999999999995</v>
      </c>
      <c r="BQ296" s="460">
        <f t="shared" si="857"/>
        <v>763.8399999999998</v>
      </c>
      <c r="BR296" s="528">
        <f t="shared" si="858"/>
        <v>3.5309907523992505</v>
      </c>
      <c r="BS296" s="528">
        <f t="shared" si="859"/>
        <v>1.4966116517891136E-2</v>
      </c>
      <c r="BT296" s="528">
        <f t="shared" si="860"/>
        <v>1.5592639179923776E-3</v>
      </c>
      <c r="BU296" s="528">
        <f t="shared" si="861"/>
        <v>514.6319202832309</v>
      </c>
      <c r="BV296" s="528"/>
      <c r="BW296" s="625">
        <f t="shared" si="862"/>
        <v>8.0937987121242596</v>
      </c>
      <c r="BX296" s="460">
        <f t="shared" si="863"/>
        <v>526273.23512819025</v>
      </c>
      <c r="BY296" s="173">
        <f t="shared" si="864"/>
        <v>537.25529937595581</v>
      </c>
      <c r="BZ296" s="5">
        <f t="shared" si="865"/>
        <v>86.399999999999991</v>
      </c>
      <c r="CA296" s="173">
        <f t="shared" si="866"/>
        <v>0.13853806756144599</v>
      </c>
      <c r="CB296" s="5">
        <f t="shared" si="867"/>
        <v>13.853806756144598</v>
      </c>
      <c r="CC296">
        <f t="shared" si="868"/>
        <v>80</v>
      </c>
      <c r="CE296" s="562">
        <f t="shared" si="809"/>
        <v>-50</v>
      </c>
      <c r="CG296" s="173">
        <f t="shared" si="810"/>
        <v>0.62872419839470051</v>
      </c>
      <c r="CH296" s="173">
        <f t="shared" si="811"/>
        <v>0.16072135690251868</v>
      </c>
      <c r="CI296" s="170">
        <v>80</v>
      </c>
      <c r="CJ296" s="217">
        <f t="shared" si="869"/>
        <v>0.48</v>
      </c>
      <c r="CK296" s="217">
        <f t="shared" si="812"/>
        <v>0.4</v>
      </c>
      <c r="CL296" s="217">
        <f t="shared" si="813"/>
        <v>81.599999999999994</v>
      </c>
      <c r="CM296" s="217">
        <f t="shared" si="814"/>
        <v>4.8000000000000007</v>
      </c>
      <c r="CN296" s="541">
        <f t="shared" si="815"/>
        <v>16</v>
      </c>
      <c r="CO296" s="443">
        <f t="shared" si="816"/>
        <v>8.5350000000000001</v>
      </c>
      <c r="CP296" s="443">
        <f t="shared" si="817"/>
        <v>24.535</v>
      </c>
      <c r="CQ296" s="443"/>
      <c r="CR296" s="217">
        <f t="shared" si="818"/>
        <v>0.34760448521916415</v>
      </c>
      <c r="CS296" s="172">
        <f t="shared" si="819"/>
        <v>175.08966662891231</v>
      </c>
      <c r="CT296" s="172">
        <f t="shared" si="820"/>
        <v>10.2993921546419</v>
      </c>
      <c r="CU296" s="217">
        <f t="shared" si="821"/>
        <v>1.02993921546419</v>
      </c>
      <c r="CV296" s="217">
        <f t="shared" si="822"/>
        <v>14.590805552409359</v>
      </c>
      <c r="CW296" s="217">
        <f t="shared" si="823"/>
        <v>170</v>
      </c>
      <c r="CX296" s="217">
        <f t="shared" si="824"/>
        <v>31.069794721407618</v>
      </c>
      <c r="CY296" s="217">
        <f t="shared" si="825"/>
        <v>0.97093108504398795</v>
      </c>
      <c r="CZ296" s="217">
        <f t="shared" si="826"/>
        <v>1.8201402883074174</v>
      </c>
      <c r="DA296" s="197">
        <f t="shared" si="827"/>
        <v>350</v>
      </c>
      <c r="DB296" s="443">
        <f t="shared" si="828"/>
        <v>350</v>
      </c>
      <c r="DD296" s="217">
        <f t="shared" si="829"/>
        <v>31.805292730501623</v>
      </c>
      <c r="DE296" s="173">
        <f t="shared" si="830"/>
        <v>1.8632274593146818</v>
      </c>
      <c r="DF296" s="173">
        <f t="shared" si="831"/>
        <v>0.4897221442551708</v>
      </c>
      <c r="DG296" s="173"/>
      <c r="DH296" s="173">
        <f t="shared" si="832"/>
        <v>0.78109744190587771</v>
      </c>
      <c r="DI296" s="545">
        <f t="shared" si="833"/>
        <v>1952.0047058823527</v>
      </c>
      <c r="DJ296" s="528">
        <f t="shared" si="834"/>
        <v>8.6065366284073561E-2</v>
      </c>
      <c r="DL296" s="173">
        <f t="shared" si="835"/>
        <v>31.423376193982904</v>
      </c>
      <c r="DM296" s="173">
        <f t="shared" si="836"/>
        <v>31.423376193982904</v>
      </c>
      <c r="DN296" s="173">
        <f t="shared" si="837"/>
        <v>14.600031748629309</v>
      </c>
      <c r="DP296" s="545">
        <f t="shared" si="838"/>
        <v>480</v>
      </c>
      <c r="DQ296" s="460">
        <f t="shared" si="839"/>
        <v>350</v>
      </c>
      <c r="DS296">
        <f t="shared" si="840"/>
        <v>480</v>
      </c>
      <c r="DT296">
        <f t="shared" si="841"/>
        <v>350</v>
      </c>
      <c r="DV296" s="5">
        <f t="shared" si="870"/>
        <v>2.8571428571428572</v>
      </c>
      <c r="DW296" s="5">
        <f t="shared" si="842"/>
        <v>0.98198050606196563</v>
      </c>
      <c r="DX296" s="5">
        <f t="shared" si="843"/>
        <v>1.8751623510808915</v>
      </c>
      <c r="DY296" s="173">
        <f t="shared" si="844"/>
        <v>0.34369317712168795</v>
      </c>
      <c r="EA296" s="5">
        <f t="shared" si="871"/>
        <v>0.27726508406455497</v>
      </c>
      <c r="EB296" s="5">
        <f t="shared" si="872"/>
        <v>3.2732683535398861</v>
      </c>
      <c r="EC296" s="5">
        <f t="shared" si="873"/>
        <v>15.301324784820073</v>
      </c>
      <c r="ED296" s="5"/>
      <c r="EE296" s="173">
        <f t="shared" si="874"/>
        <v>10.635983936540072</v>
      </c>
      <c r="EF296" s="173">
        <f t="shared" si="875"/>
        <v>0.69405213986806991</v>
      </c>
      <c r="EG296" s="173">
        <f t="shared" si="876"/>
        <v>0.54874803277202178</v>
      </c>
      <c r="EH296" s="173"/>
      <c r="EI296" s="528">
        <f t="shared" si="877"/>
        <v>4.5249661719335377</v>
      </c>
      <c r="EJ296" s="528">
        <f t="shared" si="878"/>
        <v>7.4206106485989425</v>
      </c>
      <c r="EK296" s="528">
        <f t="shared" si="879"/>
        <v>6.9999999999999993E-2</v>
      </c>
      <c r="EL296" s="528">
        <f t="shared" si="880"/>
        <v>4.2137635749999999E-2</v>
      </c>
      <c r="EM296">
        <f t="shared" si="881"/>
        <v>7.1999999999999998E-3</v>
      </c>
      <c r="EN296" s="460">
        <f t="shared" si="882"/>
        <v>77.199999999999989</v>
      </c>
      <c r="EP296" s="460">
        <f t="shared" si="883"/>
        <v>12064.91445628248</v>
      </c>
      <c r="EQ296" s="173">
        <f t="shared" si="884"/>
        <v>0.33599999999999997</v>
      </c>
      <c r="ER296" s="173">
        <f t="shared" si="845"/>
        <v>0.34719999999999995</v>
      </c>
      <c r="ES296" s="528"/>
      <c r="EU296" s="460">
        <f t="shared" si="885"/>
        <v>683.19999999999993</v>
      </c>
      <c r="EV296" s="528">
        <f t="shared" si="886"/>
        <v>3.393724628950153</v>
      </c>
      <c r="EW296" s="528">
        <f t="shared" si="887"/>
        <v>1.4451251185663407E-2</v>
      </c>
      <c r="EX296" s="528">
        <f t="shared" si="888"/>
        <v>1.5056220173558193E-3</v>
      </c>
      <c r="EY296" s="528">
        <f t="shared" si="889"/>
        <v>634.26716176659613</v>
      </c>
      <c r="EZ296" s="528"/>
      <c r="FA296" s="625">
        <f t="shared" si="890"/>
        <v>8.64</v>
      </c>
      <c r="FB296" s="460">
        <f t="shared" si="891"/>
        <v>646316.8432687493</v>
      </c>
      <c r="FC296" s="173">
        <f t="shared" si="892"/>
        <v>659.06495772503172</v>
      </c>
      <c r="FD296" s="5">
        <f t="shared" si="893"/>
        <v>86.399999999999991</v>
      </c>
      <c r="FE296" s="173">
        <f t="shared" si="894"/>
        <v>0.11590082015883173</v>
      </c>
      <c r="FF296" s="5">
        <f t="shared" si="895"/>
        <v>11.590082015883173</v>
      </c>
      <c r="FG296">
        <f t="shared" si="896"/>
        <v>80</v>
      </c>
      <c r="FI296" s="562">
        <f t="shared" si="846"/>
        <v>-50</v>
      </c>
    </row>
    <row r="297" spans="5:165">
      <c r="E297" s="170">
        <v>81</v>
      </c>
      <c r="F297" s="217">
        <f t="shared" si="847"/>
        <v>0.48599999999999999</v>
      </c>
      <c r="G297" s="217">
        <f t="shared" si="775"/>
        <v>0.40500000000000003</v>
      </c>
      <c r="H297" s="217">
        <f t="shared" si="776"/>
        <v>82.62</v>
      </c>
      <c r="I297" s="217">
        <f t="shared" si="777"/>
        <v>4.8600000000000003</v>
      </c>
      <c r="J297" s="541">
        <f t="shared" si="778"/>
        <v>14.663664632835735</v>
      </c>
      <c r="K297" s="443">
        <f t="shared" si="779"/>
        <v>8.543414992355487</v>
      </c>
      <c r="L297" s="172">
        <f t="shared" si="780"/>
        <v>23.20707962519122</v>
      </c>
      <c r="M297" s="443"/>
      <c r="N297" s="217">
        <f t="shared" si="781"/>
        <v>0.3681383065140878</v>
      </c>
      <c r="O297" s="172">
        <f t="shared" si="782"/>
        <v>169.94511723849149</v>
      </c>
      <c r="P297" s="172">
        <f t="shared" si="783"/>
        <v>9.9967716022642055</v>
      </c>
      <c r="Q297" s="217">
        <f t="shared" si="784"/>
        <v>0.9996771602264205</v>
      </c>
      <c r="R297" s="217">
        <f t="shared" si="785"/>
        <v>14.162093103207624</v>
      </c>
      <c r="S297" s="217">
        <f t="shared" si="786"/>
        <v>170</v>
      </c>
      <c r="T297" s="217">
        <f t="shared" si="787"/>
        <v>32.410463386661355</v>
      </c>
      <c r="U297" s="217">
        <f t="shared" si="788"/>
        <v>1.1051283631407509</v>
      </c>
      <c r="V297" s="217">
        <f t="shared" si="789"/>
        <v>1.8968096139343416</v>
      </c>
      <c r="W297" s="197">
        <f t="shared" si="790"/>
        <v>350</v>
      </c>
      <c r="X297" s="443">
        <f t="shared" si="848"/>
        <v>312.31085897343968</v>
      </c>
      <c r="Z297" s="217">
        <f t="shared" si="791"/>
        <v>30.847180944129544</v>
      </c>
      <c r="AA297" s="173">
        <f t="shared" si="792"/>
        <v>1.8053191242454636</v>
      </c>
      <c r="AB297" s="173">
        <f t="shared" si="793"/>
        <v>0.46020775533417907</v>
      </c>
      <c r="AC297" s="173"/>
      <c r="AD297" s="173">
        <f t="shared" si="794"/>
        <v>0.78032808573994061</v>
      </c>
      <c r="AE297" s="545">
        <f t="shared" si="795"/>
        <v>1978.3533799356828</v>
      </c>
      <c r="AF297" s="528">
        <f t="shared" si="796"/>
        <v>8.5980594632456428E-2</v>
      </c>
      <c r="AH297" s="173">
        <f t="shared" si="797"/>
        <v>31.619162363532478</v>
      </c>
      <c r="AI297" s="173">
        <f t="shared" si="798"/>
        <v>32.410463386661355</v>
      </c>
      <c r="AJ297" s="173">
        <f t="shared" si="799"/>
        <v>15.331207446909644</v>
      </c>
      <c r="AL297" s="545">
        <f t="shared" si="800"/>
        <v>486</v>
      </c>
      <c r="AM297" s="460">
        <f t="shared" si="801"/>
        <v>312.31085897343968</v>
      </c>
      <c r="AO297">
        <f t="shared" si="802"/>
        <v>486</v>
      </c>
      <c r="AP297">
        <f t="shared" si="803"/>
        <v>312.31085897343968</v>
      </c>
      <c r="AR297" s="5">
        <f t="shared" si="774"/>
        <v>3.2019379770750924</v>
      </c>
      <c r="AS297" s="5">
        <f t="shared" si="739"/>
        <v>1.1051283631407509</v>
      </c>
      <c r="AT297" s="5">
        <f t="shared" si="740"/>
        <v>2.0968096139343415</v>
      </c>
      <c r="AU297" s="173">
        <f t="shared" si="741"/>
        <v>0.34514358836839931</v>
      </c>
      <c r="BA297" s="173">
        <f t="shared" si="849"/>
        <v>10.993209842774728</v>
      </c>
      <c r="BB297" s="173">
        <f t="shared" si="850"/>
        <v>0.71506261967134488</v>
      </c>
      <c r="BC297" s="173">
        <f t="shared" si="851"/>
        <v>0.56535983871189699</v>
      </c>
      <c r="BD297" s="173"/>
      <c r="BE297" s="528">
        <f t="shared" si="852"/>
        <v>4.8340265058911669</v>
      </c>
      <c r="BF297" s="528">
        <f t="shared" si="804"/>
        <v>5.2853692740138891</v>
      </c>
      <c r="BG297" s="528">
        <f t="shared" si="805"/>
        <v>0.18318486788717506</v>
      </c>
      <c r="BH297" s="528">
        <f t="shared" si="853"/>
        <v>3.3640160964138174E-2</v>
      </c>
      <c r="BI297">
        <f t="shared" si="854"/>
        <v>6.5986490847760801E-3</v>
      </c>
      <c r="BJ297" s="460">
        <f t="shared" si="855"/>
        <v>189.78351697195114</v>
      </c>
      <c r="BK297">
        <f t="shared" si="806"/>
        <v>-77.126149530523037</v>
      </c>
      <c r="BL297" s="460">
        <f t="shared" si="856"/>
        <v>10342.819457841144</v>
      </c>
      <c r="BM297" s="173">
        <f t="shared" si="807"/>
        <v>0.42184799999999995</v>
      </c>
      <c r="BN297" s="173">
        <f t="shared" si="808"/>
        <v>0.35153999999999996</v>
      </c>
      <c r="BQ297" s="460">
        <f t="shared" si="857"/>
        <v>773.38799999999992</v>
      </c>
      <c r="BR297" s="528">
        <f t="shared" si="858"/>
        <v>3.6255198794183747</v>
      </c>
      <c r="BS297" s="528">
        <f t="shared" si="859"/>
        <v>1.5339436501537391E-2</v>
      </c>
      <c r="BT297" s="528">
        <f t="shared" si="860"/>
        <v>1.5981587361417111E-3</v>
      </c>
      <c r="BU297" s="528">
        <f t="shared" si="861"/>
        <v>515.40759892574692</v>
      </c>
      <c r="BV297" s="528"/>
      <c r="BW297" s="625">
        <f t="shared" si="862"/>
        <v>8.201580921140069</v>
      </c>
      <c r="BX297" s="460">
        <f t="shared" si="863"/>
        <v>527251.63732154295</v>
      </c>
      <c r="BY297" s="173">
        <f t="shared" si="864"/>
        <v>538.3678447793842</v>
      </c>
      <c r="BZ297" s="5">
        <f t="shared" si="865"/>
        <v>87.48</v>
      </c>
      <c r="CA297" s="173">
        <f t="shared" si="866"/>
        <v>0.13977838340377655</v>
      </c>
      <c r="CB297" s="5">
        <f t="shared" si="867"/>
        <v>13.977838340377655</v>
      </c>
      <c r="CC297">
        <f t="shared" si="868"/>
        <v>81</v>
      </c>
      <c r="CE297" s="562">
        <f t="shared" si="809"/>
        <v>-50</v>
      </c>
      <c r="CG297" s="173">
        <f t="shared" si="810"/>
        <v>0.63264152101932647</v>
      </c>
      <c r="CH297" s="173">
        <f t="shared" si="811"/>
        <v>0.16172274576151657</v>
      </c>
      <c r="CI297" s="170">
        <v>81</v>
      </c>
      <c r="CJ297" s="217">
        <f t="shared" si="869"/>
        <v>0.48599999999999999</v>
      </c>
      <c r="CK297" s="217">
        <f t="shared" si="812"/>
        <v>0.40500000000000003</v>
      </c>
      <c r="CL297" s="217">
        <f t="shared" si="813"/>
        <v>82.62</v>
      </c>
      <c r="CM297" s="217">
        <f t="shared" si="814"/>
        <v>4.8600000000000003</v>
      </c>
      <c r="CN297" s="541">
        <f t="shared" si="815"/>
        <v>16</v>
      </c>
      <c r="CO297" s="443">
        <f t="shared" si="816"/>
        <v>8.5350000000000001</v>
      </c>
      <c r="CP297" s="443">
        <f t="shared" si="817"/>
        <v>24.535</v>
      </c>
      <c r="CQ297" s="443"/>
      <c r="CR297" s="217">
        <f t="shared" si="818"/>
        <v>0.34760448521916415</v>
      </c>
      <c r="CS297" s="172">
        <f t="shared" si="819"/>
        <v>175.08966662891231</v>
      </c>
      <c r="CT297" s="172">
        <f t="shared" si="820"/>
        <v>10.2993921546419</v>
      </c>
      <c r="CU297" s="217">
        <f t="shared" si="821"/>
        <v>1.02993921546419</v>
      </c>
      <c r="CV297" s="217">
        <f t="shared" si="822"/>
        <v>14.590805552409359</v>
      </c>
      <c r="CW297" s="217">
        <f t="shared" si="823"/>
        <v>170</v>
      </c>
      <c r="CX297" s="217">
        <f t="shared" si="824"/>
        <v>31.458167155425219</v>
      </c>
      <c r="CY297" s="217">
        <f t="shared" si="825"/>
        <v>0.98306772360703809</v>
      </c>
      <c r="CZ297" s="217">
        <f t="shared" si="826"/>
        <v>1.8428920419112607</v>
      </c>
      <c r="DA297" s="197">
        <f t="shared" si="827"/>
        <v>350</v>
      </c>
      <c r="DB297" s="443">
        <f t="shared" si="828"/>
        <v>350</v>
      </c>
      <c r="DD297" s="217">
        <f t="shared" si="829"/>
        <v>31.805292730501623</v>
      </c>
      <c r="DE297" s="173">
        <f t="shared" si="830"/>
        <v>1.8632274593146818</v>
      </c>
      <c r="DF297" s="173">
        <f t="shared" si="831"/>
        <v>0.4897221442551708</v>
      </c>
      <c r="DG297" s="173"/>
      <c r="DH297" s="173">
        <f t="shared" si="832"/>
        <v>0.78109744190587771</v>
      </c>
      <c r="DI297" s="545">
        <f t="shared" si="833"/>
        <v>1976.4047647058824</v>
      </c>
      <c r="DJ297" s="528">
        <f t="shared" si="834"/>
        <v>8.6065366284073561E-2</v>
      </c>
      <c r="DL297" s="173">
        <f t="shared" si="835"/>
        <v>31.619162363532478</v>
      </c>
      <c r="DM297" s="173">
        <f t="shared" si="836"/>
        <v>31.619162363532478</v>
      </c>
      <c r="DN297" s="173">
        <f t="shared" si="837"/>
        <v>14.745058540888255</v>
      </c>
      <c r="DP297" s="545">
        <f t="shared" si="838"/>
        <v>486</v>
      </c>
      <c r="DQ297" s="460">
        <f t="shared" si="839"/>
        <v>350</v>
      </c>
      <c r="DS297">
        <f t="shared" si="840"/>
        <v>486</v>
      </c>
      <c r="DT297">
        <f t="shared" si="841"/>
        <v>350</v>
      </c>
      <c r="DV297" s="5">
        <f t="shared" si="870"/>
        <v>2.8571428571428572</v>
      </c>
      <c r="DW297" s="5">
        <f t="shared" si="842"/>
        <v>0.98809882386039005</v>
      </c>
      <c r="DX297" s="5">
        <f t="shared" si="843"/>
        <v>1.8690440332824672</v>
      </c>
      <c r="DY297" s="173">
        <f t="shared" si="844"/>
        <v>0.34583458835113651</v>
      </c>
      <c r="EA297" s="5">
        <f t="shared" si="871"/>
        <v>0.28248001670361739</v>
      </c>
      <c r="EB297" s="5">
        <f t="shared" si="872"/>
        <v>3.3348335305288166</v>
      </c>
      <c r="EC297" s="5">
        <f t="shared" si="873"/>
        <v>15.442041802979745</v>
      </c>
      <c r="ED297" s="5"/>
      <c r="EE297" s="173">
        <f t="shared" si="874"/>
        <v>10.735541291200734</v>
      </c>
      <c r="EF297" s="173">
        <f t="shared" si="875"/>
        <v>0.69723622471639402</v>
      </c>
      <c r="EG297" s="173">
        <f t="shared" si="876"/>
        <v>0.55126550976882105</v>
      </c>
      <c r="EH297" s="173"/>
      <c r="EI297" s="528">
        <f t="shared" si="877"/>
        <v>4.6100738726030368</v>
      </c>
      <c r="EJ297" s="528">
        <f t="shared" si="878"/>
        <v>7.4668454301717189</v>
      </c>
      <c r="EK297" s="528">
        <f t="shared" si="879"/>
        <v>6.9999999999999993E-2</v>
      </c>
      <c r="EL297" s="528">
        <f t="shared" si="880"/>
        <v>4.2137635749999999E-2</v>
      </c>
      <c r="EM297">
        <f t="shared" si="881"/>
        <v>7.1999999999999998E-3</v>
      </c>
      <c r="EN297" s="460">
        <f t="shared" si="882"/>
        <v>77.199999999999989</v>
      </c>
      <c r="EP297" s="460">
        <f t="shared" si="883"/>
        <v>12196.256938524755</v>
      </c>
      <c r="EQ297" s="173">
        <f t="shared" si="884"/>
        <v>0.34019999999999995</v>
      </c>
      <c r="ER297" s="173">
        <f t="shared" si="845"/>
        <v>0.35153999999999996</v>
      </c>
      <c r="ES297" s="528"/>
      <c r="EU297" s="460">
        <f t="shared" si="885"/>
        <v>691.7399999999999</v>
      </c>
      <c r="EV297" s="528">
        <f t="shared" si="886"/>
        <v>3.4575554044522776</v>
      </c>
      <c r="EW297" s="528">
        <f t="shared" si="887"/>
        <v>1.4584150591703097E-2</v>
      </c>
      <c r="EX297" s="528">
        <f t="shared" si="888"/>
        <v>1.5194683113033908E-3</v>
      </c>
      <c r="EY297" s="528">
        <f t="shared" si="889"/>
        <v>644.19302307941587</v>
      </c>
      <c r="EZ297" s="528"/>
      <c r="FA297" s="625">
        <f t="shared" si="890"/>
        <v>8.7480000000000029</v>
      </c>
      <c r="FB297" s="460">
        <f t="shared" si="891"/>
        <v>656414.68210277113</v>
      </c>
      <c r="FC297" s="173">
        <f t="shared" si="892"/>
        <v>669.30267904129596</v>
      </c>
      <c r="FD297" s="5">
        <f t="shared" si="893"/>
        <v>87.48</v>
      </c>
      <c r="FE297" s="173">
        <f t="shared" si="894"/>
        <v>0.11559461179901874</v>
      </c>
      <c r="FF297" s="5">
        <f t="shared" si="895"/>
        <v>11.559461179901874</v>
      </c>
      <c r="FG297">
        <f t="shared" si="896"/>
        <v>81</v>
      </c>
      <c r="FI297" s="562">
        <f t="shared" si="846"/>
        <v>-50</v>
      </c>
    </row>
    <row r="298" spans="5:165">
      <c r="E298" s="170">
        <v>82</v>
      </c>
      <c r="F298" s="217">
        <f t="shared" si="847"/>
        <v>0.49199999999999994</v>
      </c>
      <c r="G298" s="217">
        <f t="shared" si="775"/>
        <v>0.41</v>
      </c>
      <c r="H298" s="217">
        <f t="shared" si="776"/>
        <v>83.639999999999986</v>
      </c>
      <c r="I298" s="217">
        <f t="shared" si="777"/>
        <v>4.92</v>
      </c>
      <c r="J298" s="541">
        <f t="shared" si="778"/>
        <v>14.654569386250344</v>
      </c>
      <c r="K298" s="443">
        <f t="shared" si="779"/>
        <v>8.5434722657259048</v>
      </c>
      <c r="L298" s="172">
        <f t="shared" si="780"/>
        <v>23.198041651976247</v>
      </c>
      <c r="M298" s="443"/>
      <c r="N298" s="217">
        <f t="shared" si="781"/>
        <v>0.36828420234335102</v>
      </c>
      <c r="O298" s="172">
        <f t="shared" si="782"/>
        <v>169.90701620501571</v>
      </c>
      <c r="P298" s="172">
        <f t="shared" si="783"/>
        <v>9.9945303650009247</v>
      </c>
      <c r="Q298" s="217">
        <f t="shared" si="784"/>
        <v>0.99945303650009243</v>
      </c>
      <c r="R298" s="217">
        <f t="shared" si="785"/>
        <v>14.158918017084643</v>
      </c>
      <c r="S298" s="217">
        <f t="shared" si="786"/>
        <v>170</v>
      </c>
      <c r="T298" s="217">
        <f t="shared" si="787"/>
        <v>32.817950220912621</v>
      </c>
      <c r="U298" s="217">
        <f t="shared" si="788"/>
        <v>1.1197173166925012</v>
      </c>
      <c r="V298" s="217">
        <f t="shared" si="789"/>
        <v>1.9206447449106463</v>
      </c>
      <c r="W298" s="197">
        <f t="shared" si="790"/>
        <v>350</v>
      </c>
      <c r="X298" s="443">
        <f t="shared" si="848"/>
        <v>308.60748922151515</v>
      </c>
      <c r="Z298" s="217">
        <f t="shared" si="791"/>
        <v>30.840265126288561</v>
      </c>
      <c r="AA298" s="173">
        <f t="shared" si="792"/>
        <v>1.8049022790189972</v>
      </c>
      <c r="AB298" s="173">
        <f t="shared" si="793"/>
        <v>0.45999834115462579</v>
      </c>
      <c r="AC298" s="173"/>
      <c r="AD298" s="173">
        <f t="shared" si="794"/>
        <v>0.78032285460930517</v>
      </c>
      <c r="AE298" s="545">
        <f t="shared" si="795"/>
        <v>2002.7909219629926</v>
      </c>
      <c r="AF298" s="528">
        <f t="shared" si="796"/>
        <v>8.5980018239358635E-2</v>
      </c>
      <c r="AH298" s="173">
        <f t="shared" si="797"/>
        <v>31.813743660787324</v>
      </c>
      <c r="AI298" s="173">
        <f t="shared" si="798"/>
        <v>32.817950220912621</v>
      </c>
      <c r="AJ298" s="173">
        <f t="shared" si="799"/>
        <v>15.633049546355025</v>
      </c>
      <c r="AL298" s="545">
        <f t="shared" si="800"/>
        <v>491.99999999999994</v>
      </c>
      <c r="AM298" s="460">
        <f t="shared" si="801"/>
        <v>308.60748922151515</v>
      </c>
      <c r="AO298">
        <f t="shared" si="802"/>
        <v>491.99999999999994</v>
      </c>
      <c r="AP298">
        <f t="shared" si="803"/>
        <v>308.60748922151515</v>
      </c>
      <c r="AR298" s="5">
        <f t="shared" si="774"/>
        <v>3.2403620616031477</v>
      </c>
      <c r="AS298" s="5">
        <f t="shared" si="739"/>
        <v>1.1197173166925012</v>
      </c>
      <c r="AT298" s="5">
        <f t="shared" si="740"/>
        <v>2.1206447449106465</v>
      </c>
      <c r="AU298" s="173">
        <f t="shared" si="741"/>
        <v>0.34555314974232493</v>
      </c>
      <c r="BA298" s="173">
        <f t="shared" si="849"/>
        <v>11.138026646167434</v>
      </c>
      <c r="BB298" s="173">
        <f t="shared" si="850"/>
        <v>0.72382642849888945</v>
      </c>
      <c r="BC298" s="173">
        <f t="shared" si="851"/>
        <v>0.57228888997109972</v>
      </c>
      <c r="BD298" s="173"/>
      <c r="BE298" s="528">
        <f t="shared" si="852"/>
        <v>4.9622255028294315</v>
      </c>
      <c r="BF298" s="528">
        <f t="shared" si="804"/>
        <v>5.2862993819470283</v>
      </c>
      <c r="BG298" s="528">
        <f t="shared" si="805"/>
        <v>0.18090039455652798</v>
      </c>
      <c r="BH298" s="528">
        <f t="shared" si="853"/>
        <v>3.3215370767585101E-2</v>
      </c>
      <c r="BI298">
        <f t="shared" si="854"/>
        <v>6.5945562238126547E-3</v>
      </c>
      <c r="BJ298" s="460">
        <f t="shared" si="855"/>
        <v>187.49495078034064</v>
      </c>
      <c r="BK298">
        <f t="shared" si="806"/>
        <v>-64.915824365575745</v>
      </c>
      <c r="BL298" s="460">
        <f t="shared" si="856"/>
        <v>10469.235206324387</v>
      </c>
      <c r="BM298" s="173">
        <f t="shared" si="807"/>
        <v>0.42705599999999994</v>
      </c>
      <c r="BN298" s="173">
        <f t="shared" si="808"/>
        <v>0.35587999999999997</v>
      </c>
      <c r="BQ298" s="460">
        <f t="shared" si="857"/>
        <v>782.93599999999981</v>
      </c>
      <c r="BR298" s="528">
        <f t="shared" si="858"/>
        <v>3.7216691271220732</v>
      </c>
      <c r="BS298" s="528">
        <f t="shared" si="859"/>
        <v>1.5717740957803737E-2</v>
      </c>
      <c r="BT298" s="528">
        <f t="shared" si="860"/>
        <v>1.6375728679217676E-3</v>
      </c>
      <c r="BU298" s="528">
        <f t="shared" si="861"/>
        <v>516.1367552060243</v>
      </c>
      <c r="BV298" s="528"/>
      <c r="BW298" s="625">
        <f t="shared" si="862"/>
        <v>8.3093944150908516</v>
      </c>
      <c r="BX298" s="460">
        <f t="shared" si="863"/>
        <v>528185.17406206299</v>
      </c>
      <c r="BY298" s="173">
        <f t="shared" si="864"/>
        <v>539.43734526838739</v>
      </c>
      <c r="BZ298" s="5">
        <f t="shared" si="865"/>
        <v>88.559999999999988</v>
      </c>
      <c r="CA298" s="173">
        <f t="shared" si="866"/>
        <v>0.14101970440997977</v>
      </c>
      <c r="CB298" s="5">
        <f t="shared" si="867"/>
        <v>14.101970440997977</v>
      </c>
      <c r="CC298">
        <f t="shared" si="868"/>
        <v>82</v>
      </c>
      <c r="CE298" s="562">
        <f t="shared" si="809"/>
        <v>-50</v>
      </c>
      <c r="CG298" s="173">
        <f t="shared" si="810"/>
        <v>0.63612239068931709</v>
      </c>
      <c r="CH298" s="173">
        <f t="shared" si="811"/>
        <v>0.16261256374210348</v>
      </c>
      <c r="CI298" s="170">
        <v>82</v>
      </c>
      <c r="CJ298" s="217">
        <f t="shared" si="869"/>
        <v>0.49199999999999994</v>
      </c>
      <c r="CK298" s="217">
        <f t="shared" si="812"/>
        <v>0.41</v>
      </c>
      <c r="CL298" s="217">
        <f t="shared" si="813"/>
        <v>83.639999999999986</v>
      </c>
      <c r="CM298" s="217">
        <f t="shared" si="814"/>
        <v>4.92</v>
      </c>
      <c r="CN298" s="541">
        <f t="shared" si="815"/>
        <v>16</v>
      </c>
      <c r="CO298" s="443">
        <f t="shared" si="816"/>
        <v>8.5350000000000001</v>
      </c>
      <c r="CP298" s="443">
        <f t="shared" si="817"/>
        <v>24.535</v>
      </c>
      <c r="CQ298" s="443"/>
      <c r="CR298" s="217">
        <f t="shared" si="818"/>
        <v>0.34760448521916415</v>
      </c>
      <c r="CS298" s="172">
        <f t="shared" si="819"/>
        <v>175.08966662891231</v>
      </c>
      <c r="CT298" s="172">
        <f t="shared" si="820"/>
        <v>10.2993921546419</v>
      </c>
      <c r="CU298" s="217">
        <f t="shared" si="821"/>
        <v>1.02993921546419</v>
      </c>
      <c r="CV298" s="217">
        <f t="shared" si="822"/>
        <v>14.590805552409359</v>
      </c>
      <c r="CW298" s="217">
        <f t="shared" si="823"/>
        <v>170</v>
      </c>
      <c r="CX298" s="217">
        <f t="shared" si="824"/>
        <v>31.846539589442809</v>
      </c>
      <c r="CY298" s="217">
        <f t="shared" si="825"/>
        <v>0.99520436217008779</v>
      </c>
      <c r="CZ298" s="217">
        <f t="shared" si="826"/>
        <v>1.8656437955151031</v>
      </c>
      <c r="DA298" s="197">
        <f t="shared" si="827"/>
        <v>350</v>
      </c>
      <c r="DB298" s="443">
        <f t="shared" si="828"/>
        <v>349.546688562854</v>
      </c>
      <c r="DD298" s="217">
        <f t="shared" si="829"/>
        <v>31.805292730501623</v>
      </c>
      <c r="DE298" s="173">
        <f t="shared" si="830"/>
        <v>1.8632274593146818</v>
      </c>
      <c r="DF298" s="173">
        <f t="shared" si="831"/>
        <v>0.4897221442551708</v>
      </c>
      <c r="DG298" s="173"/>
      <c r="DH298" s="173">
        <f t="shared" si="832"/>
        <v>0.78109744190587771</v>
      </c>
      <c r="DI298" s="545">
        <f t="shared" si="833"/>
        <v>2000.8048235294116</v>
      </c>
      <c r="DJ298" s="528">
        <f t="shared" si="834"/>
        <v>8.6065366284073561E-2</v>
      </c>
      <c r="DL298" s="173">
        <f t="shared" si="835"/>
        <v>31.813743660787324</v>
      </c>
      <c r="DM298" s="173">
        <f t="shared" si="836"/>
        <v>31.846539589442809</v>
      </c>
      <c r="DN298" s="173">
        <f t="shared" si="837"/>
        <v>14.913486115636649</v>
      </c>
      <c r="DP298" s="545">
        <f t="shared" si="838"/>
        <v>491.99999999999994</v>
      </c>
      <c r="DQ298" s="460">
        <f t="shared" si="839"/>
        <v>349.546688562854</v>
      </c>
      <c r="DS298">
        <f t="shared" si="840"/>
        <v>491.99999999999994</v>
      </c>
      <c r="DT298">
        <f t="shared" si="841"/>
        <v>349.546688562854</v>
      </c>
      <c r="DV298" s="5">
        <f t="shared" si="870"/>
        <v>2.860848157685191</v>
      </c>
      <c r="DW298" s="5">
        <f t="shared" si="842"/>
        <v>0.99520436217008779</v>
      </c>
      <c r="DX298" s="5">
        <f t="shared" si="843"/>
        <v>1.8656437955151031</v>
      </c>
      <c r="DY298" s="173">
        <f t="shared" si="844"/>
        <v>0.34787038923986141</v>
      </c>
      <c r="EA298" s="5">
        <f t="shared" si="871"/>
        <v>0.28802385069863712</v>
      </c>
      <c r="EB298" s="5">
        <f t="shared" si="872"/>
        <v>3.4002815707477998</v>
      </c>
      <c r="EC298" s="5">
        <f t="shared" si="873"/>
        <v>15.60424470568832</v>
      </c>
      <c r="ED298" s="5"/>
      <c r="EE298" s="173">
        <f t="shared" si="874"/>
        <v>10.844520485280722</v>
      </c>
      <c r="EF298" s="173">
        <f t="shared" si="875"/>
        <v>0.70115656169588358</v>
      </c>
      <c r="EG298" s="173">
        <f t="shared" si="876"/>
        <v>0.55436509996057126</v>
      </c>
      <c r="EH298" s="173"/>
      <c r="EI298" s="528">
        <f t="shared" si="877"/>
        <v>4.7041449822269286</v>
      </c>
      <c r="EJ298" s="528">
        <f t="shared" si="878"/>
        <v>7.5108000000000024</v>
      </c>
      <c r="EK298" s="528">
        <f t="shared" si="879"/>
        <v>6.9909337712570796E-2</v>
      </c>
      <c r="EL298" s="528">
        <f t="shared" si="880"/>
        <v>4.2083060115086383E-2</v>
      </c>
      <c r="EM298">
        <f t="shared" si="881"/>
        <v>7.1999999999999998E-3</v>
      </c>
      <c r="EN298" s="460">
        <f t="shared" si="882"/>
        <v>77.109337712570792</v>
      </c>
      <c r="EP298" s="460">
        <f t="shared" si="883"/>
        <v>12334.137380054586</v>
      </c>
      <c r="EQ298" s="173">
        <f t="shared" si="884"/>
        <v>0.34439999999999993</v>
      </c>
      <c r="ER298" s="173">
        <f t="shared" si="845"/>
        <v>0.35587999999999997</v>
      </c>
      <c r="ES298" s="528"/>
      <c r="EU298" s="460">
        <f t="shared" si="885"/>
        <v>700.27999999999986</v>
      </c>
      <c r="EV298" s="528">
        <f t="shared" si="886"/>
        <v>3.5281087366701964</v>
      </c>
      <c r="EW298" s="528">
        <f t="shared" si="887"/>
        <v>1.4748615720275802E-2</v>
      </c>
      <c r="EX298" s="528">
        <f t="shared" si="888"/>
        <v>1.5366033202714707E-3</v>
      </c>
      <c r="EY298" s="528">
        <f t="shared" si="889"/>
        <v>653.71523732255957</v>
      </c>
      <c r="EZ298" s="528"/>
      <c r="FA298" s="625">
        <f t="shared" si="890"/>
        <v>8.8627744983377017</v>
      </c>
      <c r="FB298" s="460">
        <f t="shared" si="891"/>
        <v>666122.40577660792</v>
      </c>
      <c r="FC298" s="173">
        <f t="shared" si="892"/>
        <v>679.15682315666254</v>
      </c>
      <c r="FD298" s="5">
        <f t="shared" si="893"/>
        <v>88.559999999999988</v>
      </c>
      <c r="FE298" s="173">
        <f t="shared" si="894"/>
        <v>0.11535503369049942</v>
      </c>
      <c r="FF298" s="5">
        <f t="shared" si="895"/>
        <v>11.535503369049941</v>
      </c>
      <c r="FG298">
        <f t="shared" si="896"/>
        <v>82</v>
      </c>
      <c r="FI298" s="562">
        <f t="shared" si="846"/>
        <v>-50</v>
      </c>
    </row>
    <row r="299" spans="5:165">
      <c r="E299" s="170">
        <v>83</v>
      </c>
      <c r="F299" s="217">
        <f t="shared" si="847"/>
        <v>0.49799999999999994</v>
      </c>
      <c r="G299" s="217">
        <f t="shared" si="775"/>
        <v>0.41499999999999998</v>
      </c>
      <c r="H299" s="217">
        <f t="shared" si="776"/>
        <v>84.66</v>
      </c>
      <c r="I299" s="217">
        <f t="shared" si="777"/>
        <v>4.9799999999999995</v>
      </c>
      <c r="J299" s="541">
        <f t="shared" si="778"/>
        <v>14.638161695838763</v>
      </c>
      <c r="K299" s="443">
        <f t="shared" si="779"/>
        <v>8.5435755860396352</v>
      </c>
      <c r="L299" s="172">
        <f t="shared" si="780"/>
        <v>23.181737281878398</v>
      </c>
      <c r="M299" s="443"/>
      <c r="N299" s="217">
        <f t="shared" si="781"/>
        <v>0.36854768398735627</v>
      </c>
      <c r="O299" s="172">
        <f t="shared" si="782"/>
        <v>169.83820378550877</v>
      </c>
      <c r="P299" s="172">
        <f t="shared" si="783"/>
        <v>9.9904825756181612</v>
      </c>
      <c r="Q299" s="217">
        <f t="shared" si="784"/>
        <v>0.99904825756181626</v>
      </c>
      <c r="R299" s="217">
        <f t="shared" si="785"/>
        <v>14.153183648792398</v>
      </c>
      <c r="S299" s="217">
        <f t="shared" si="786"/>
        <v>170</v>
      </c>
      <c r="T299" s="217">
        <f t="shared" si="787"/>
        <v>33.23162795061053</v>
      </c>
      <c r="U299" s="217">
        <f t="shared" si="788"/>
        <v>1.135102502661157</v>
      </c>
      <c r="V299" s="217">
        <f t="shared" si="789"/>
        <v>1.9448313891499738</v>
      </c>
      <c r="W299" s="197">
        <f t="shared" si="790"/>
        <v>350</v>
      </c>
      <c r="X299" s="443">
        <f t="shared" si="848"/>
        <v>304.88419370178673</v>
      </c>
      <c r="Z299" s="217">
        <f t="shared" si="791"/>
        <v>30.827774804764619</v>
      </c>
      <c r="AA299" s="173">
        <f t="shared" si="792"/>
        <v>1.8041494743218396</v>
      </c>
      <c r="AB299" s="173">
        <f t="shared" si="793"/>
        <v>0.45962025911908666</v>
      </c>
      <c r="AC299" s="173"/>
      <c r="AD299" s="173">
        <f t="shared" si="794"/>
        <v>0.7803134179043405</v>
      </c>
      <c r="AE299" s="545">
        <f t="shared" si="795"/>
        <v>2027.239717586275</v>
      </c>
      <c r="AF299" s="528">
        <f t="shared" si="796"/>
        <v>8.597897845427456E-2</v>
      </c>
      <c r="AH299" s="173">
        <f t="shared" si="797"/>
        <v>32.007142060126874</v>
      </c>
      <c r="AI299" s="173">
        <f t="shared" si="798"/>
        <v>33.23162795061053</v>
      </c>
      <c r="AJ299" s="173">
        <f t="shared" si="799"/>
        <v>15.939477494279402</v>
      </c>
      <c r="AL299" s="545">
        <f t="shared" si="800"/>
        <v>497.99999999999994</v>
      </c>
      <c r="AM299" s="460">
        <f t="shared" si="801"/>
        <v>304.88419370178673</v>
      </c>
      <c r="AO299">
        <f t="shared" si="802"/>
        <v>497.99999999999994</v>
      </c>
      <c r="AP299">
        <f t="shared" si="803"/>
        <v>304.88419370178673</v>
      </c>
      <c r="AR299" s="5">
        <f t="shared" si="774"/>
        <v>3.2799338918111305</v>
      </c>
      <c r="AS299" s="5">
        <f t="shared" si="739"/>
        <v>1.135102502661157</v>
      </c>
      <c r="AT299" s="5">
        <f t="shared" si="740"/>
        <v>2.1448313891499735</v>
      </c>
      <c r="AU299" s="173">
        <f t="shared" si="741"/>
        <v>0.3460748112927271</v>
      </c>
      <c r="BA299" s="173">
        <f t="shared" si="849"/>
        <v>11.286933987089681</v>
      </c>
      <c r="BB299" s="173">
        <f t="shared" si="850"/>
        <v>0.73265824859613593</v>
      </c>
      <c r="BC299" s="173">
        <f t="shared" si="851"/>
        <v>0.57927171392015009</v>
      </c>
      <c r="BD299" s="173"/>
      <c r="BE299" s="528">
        <f t="shared" si="852"/>
        <v>5.0957951531568062</v>
      </c>
      <c r="BF299" s="528">
        <f t="shared" si="804"/>
        <v>5.284635335724067</v>
      </c>
      <c r="BG299" s="528">
        <f t="shared" si="805"/>
        <v>0.17851776503648722</v>
      </c>
      <c r="BH299" s="528">
        <f t="shared" si="853"/>
        <v>3.2768522850275525E-2</v>
      </c>
      <c r="BI299">
        <f t="shared" si="854"/>
        <v>6.5871727631274428E-3</v>
      </c>
      <c r="BJ299" s="460">
        <f t="shared" si="855"/>
        <v>185.10493779961467</v>
      </c>
      <c r="BK299">
        <f t="shared" si="806"/>
        <v>-55.935717275193262</v>
      </c>
      <c r="BL299" s="460">
        <f t="shared" si="856"/>
        <v>10598.303949530762</v>
      </c>
      <c r="BM299" s="173">
        <f t="shared" si="807"/>
        <v>0.43226399999999998</v>
      </c>
      <c r="BN299" s="173">
        <f t="shared" si="808"/>
        <v>0.36021999999999998</v>
      </c>
      <c r="BQ299" s="460">
        <f t="shared" si="857"/>
        <v>792.48399999999992</v>
      </c>
      <c r="BR299" s="528">
        <f t="shared" si="858"/>
        <v>3.8218463648676044</v>
      </c>
      <c r="BS299" s="528">
        <f t="shared" si="859"/>
        <v>1.6103643277078718E-2</v>
      </c>
      <c r="BT299" s="528">
        <f t="shared" si="860"/>
        <v>1.6777785927399411E-3</v>
      </c>
      <c r="BU299" s="528">
        <f t="shared" si="861"/>
        <v>516.63796943903571</v>
      </c>
      <c r="BV299" s="528"/>
      <c r="BW299" s="625">
        <f t="shared" si="862"/>
        <v>8.4174036175314377</v>
      </c>
      <c r="BX299" s="460">
        <f t="shared" si="863"/>
        <v>528895.00084330456</v>
      </c>
      <c r="BY299" s="173">
        <f t="shared" si="864"/>
        <v>540.28578879283543</v>
      </c>
      <c r="BZ299" s="5">
        <f t="shared" si="865"/>
        <v>89.64</v>
      </c>
      <c r="CA299" s="173">
        <f t="shared" si="866"/>
        <v>0.1423024768866544</v>
      </c>
      <c r="CB299" s="5">
        <f t="shared" si="867"/>
        <v>14.23024768866544</v>
      </c>
      <c r="CC299">
        <f t="shared" si="868"/>
        <v>83</v>
      </c>
      <c r="CE299" s="562">
        <f t="shared" si="809"/>
        <v>-50</v>
      </c>
      <c r="CG299" s="173">
        <f t="shared" si="810"/>
        <v>0.63612239068931697</v>
      </c>
      <c r="CH299" s="173">
        <f t="shared" si="811"/>
        <v>0.16261256374210345</v>
      </c>
      <c r="CI299" s="170">
        <v>83</v>
      </c>
      <c r="CJ299" s="217">
        <f t="shared" si="869"/>
        <v>0.49799999999999994</v>
      </c>
      <c r="CK299" s="217">
        <f t="shared" si="812"/>
        <v>0.41499999999999998</v>
      </c>
      <c r="CL299" s="217">
        <f t="shared" si="813"/>
        <v>84.66</v>
      </c>
      <c r="CM299" s="217">
        <f t="shared" si="814"/>
        <v>4.9799999999999995</v>
      </c>
      <c r="CN299" s="541">
        <f t="shared" si="815"/>
        <v>16</v>
      </c>
      <c r="CO299" s="443">
        <f t="shared" si="816"/>
        <v>8.5350000000000001</v>
      </c>
      <c r="CP299" s="443">
        <f t="shared" si="817"/>
        <v>24.535</v>
      </c>
      <c r="CQ299" s="443"/>
      <c r="CR299" s="217">
        <f t="shared" si="818"/>
        <v>0.34760448521916415</v>
      </c>
      <c r="CS299" s="172">
        <f t="shared" si="819"/>
        <v>175.08966662891231</v>
      </c>
      <c r="CT299" s="172">
        <f t="shared" si="820"/>
        <v>10.2993921546419</v>
      </c>
      <c r="CU299" s="217">
        <f t="shared" si="821"/>
        <v>1.02993921546419</v>
      </c>
      <c r="CV299" s="217">
        <f t="shared" si="822"/>
        <v>14.590805552409359</v>
      </c>
      <c r="CW299" s="217">
        <f t="shared" si="823"/>
        <v>170</v>
      </c>
      <c r="CX299" s="217">
        <f t="shared" si="824"/>
        <v>32.23491202346041</v>
      </c>
      <c r="CY299" s="217">
        <f t="shared" si="825"/>
        <v>1.0073410007331378</v>
      </c>
      <c r="CZ299" s="217">
        <f t="shared" si="826"/>
        <v>1.8883955491189461</v>
      </c>
      <c r="DA299" s="197">
        <f t="shared" si="827"/>
        <v>350</v>
      </c>
      <c r="DB299" s="443">
        <f t="shared" si="828"/>
        <v>345.33528267655447</v>
      </c>
      <c r="DD299" s="217">
        <f t="shared" si="829"/>
        <v>31.805292730501623</v>
      </c>
      <c r="DE299" s="173">
        <f t="shared" si="830"/>
        <v>1.8632274593146818</v>
      </c>
      <c r="DF299" s="173">
        <f t="shared" si="831"/>
        <v>0.4897221442551708</v>
      </c>
      <c r="DG299" s="173"/>
      <c r="DH299" s="173">
        <f t="shared" si="832"/>
        <v>0.78109744190587771</v>
      </c>
      <c r="DI299" s="545">
        <f t="shared" si="833"/>
        <v>2025.2048823529412</v>
      </c>
      <c r="DJ299" s="528">
        <f t="shared" si="834"/>
        <v>8.6065366284073561E-2</v>
      </c>
      <c r="DL299" s="173">
        <f t="shared" si="835"/>
        <v>32.007142060126874</v>
      </c>
      <c r="DM299" s="173">
        <f t="shared" si="836"/>
        <v>32.23491202346041</v>
      </c>
      <c r="DN299" s="173">
        <f t="shared" si="837"/>
        <v>15.201169400094127</v>
      </c>
      <c r="DP299" s="545">
        <f t="shared" si="838"/>
        <v>497.99999999999994</v>
      </c>
      <c r="DQ299" s="460">
        <f t="shared" si="839"/>
        <v>345.33528267655447</v>
      </c>
      <c r="DS299">
        <f t="shared" si="840"/>
        <v>497.99999999999994</v>
      </c>
      <c r="DT299">
        <f t="shared" si="841"/>
        <v>345.33528267655447</v>
      </c>
      <c r="DV299" s="5">
        <f t="shared" si="870"/>
        <v>2.8957365498520837</v>
      </c>
      <c r="DW299" s="5">
        <f t="shared" si="842"/>
        <v>1.0073410007331378</v>
      </c>
      <c r="DX299" s="5">
        <f t="shared" si="843"/>
        <v>1.8883955491189459</v>
      </c>
      <c r="DY299" s="173">
        <f t="shared" si="844"/>
        <v>0.34787038923986147</v>
      </c>
      <c r="EA299" s="5">
        <f t="shared" si="871"/>
        <v>0.29509165786182501</v>
      </c>
      <c r="EB299" s="5">
        <f t="shared" si="872"/>
        <v>3.4837209608687685</v>
      </c>
      <c r="EC299" s="5">
        <f t="shared" si="873"/>
        <v>15.987156718840996</v>
      </c>
      <c r="ED299" s="5"/>
      <c r="EE299" s="173">
        <f t="shared" si="874"/>
        <v>10.976770735101221</v>
      </c>
      <c r="EF299" s="173">
        <f t="shared" si="875"/>
        <v>0.70970725147266267</v>
      </c>
      <c r="EG299" s="173">
        <f t="shared" si="876"/>
        <v>0.5611256499600904</v>
      </c>
      <c r="EH299" s="173"/>
      <c r="EI299" s="528">
        <f t="shared" si="877"/>
        <v>4.8195798308389843</v>
      </c>
      <c r="EJ299" s="528">
        <f t="shared" si="878"/>
        <v>7.5108000000000006</v>
      </c>
      <c r="EK299" s="528">
        <f t="shared" si="879"/>
        <v>6.9067056535310895E-2</v>
      </c>
      <c r="EL299" s="528">
        <f t="shared" si="880"/>
        <v>4.1576035294422678E-2</v>
      </c>
      <c r="EM299">
        <f t="shared" si="881"/>
        <v>7.1999999999999998E-3</v>
      </c>
      <c r="EN299" s="460">
        <f t="shared" si="882"/>
        <v>76.267056535310886</v>
      </c>
      <c r="EP299" s="460">
        <f t="shared" si="883"/>
        <v>12448.222922668718</v>
      </c>
      <c r="EQ299" s="173">
        <f t="shared" si="884"/>
        <v>0.34859999999999997</v>
      </c>
      <c r="ER299" s="173">
        <f t="shared" si="845"/>
        <v>0.36021999999999998</v>
      </c>
      <c r="ES299" s="528"/>
      <c r="EU299" s="460">
        <f t="shared" si="885"/>
        <v>708.82</v>
      </c>
      <c r="EV299" s="528">
        <f t="shared" si="886"/>
        <v>3.6146848731292378</v>
      </c>
      <c r="EW299" s="528">
        <f t="shared" si="887"/>
        <v>1.5110531483786438E-2</v>
      </c>
      <c r="EX299" s="528">
        <f t="shared" si="888"/>
        <v>1.5743099752156696E-3</v>
      </c>
      <c r="EY299" s="528">
        <f t="shared" si="889"/>
        <v>653.71523732256071</v>
      </c>
      <c r="EZ299" s="528"/>
      <c r="FA299" s="625">
        <f t="shared" si="890"/>
        <v>8.9708571141710891</v>
      </c>
      <c r="FB299" s="460">
        <f t="shared" si="891"/>
        <v>666317.46415132005</v>
      </c>
      <c r="FC299" s="173">
        <f t="shared" si="892"/>
        <v>679.47450707398878</v>
      </c>
      <c r="FD299" s="5">
        <f t="shared" si="893"/>
        <v>89.64</v>
      </c>
      <c r="FE299" s="173">
        <f t="shared" si="894"/>
        <v>0.11654961540255623</v>
      </c>
      <c r="FF299" s="5">
        <f t="shared" si="895"/>
        <v>11.654961540255623</v>
      </c>
      <c r="FG299">
        <f t="shared" si="896"/>
        <v>83</v>
      </c>
      <c r="FI299" s="562">
        <f t="shared" si="846"/>
        <v>-50</v>
      </c>
    </row>
    <row r="300" spans="5:165">
      <c r="E300" s="170">
        <v>84</v>
      </c>
      <c r="F300" s="217">
        <f t="shared" si="847"/>
        <v>0.504</v>
      </c>
      <c r="G300" s="217">
        <f t="shared" si="775"/>
        <v>0.42</v>
      </c>
      <c r="H300" s="217">
        <f t="shared" si="776"/>
        <v>85.68</v>
      </c>
      <c r="I300" s="217">
        <f t="shared" si="777"/>
        <v>5.04</v>
      </c>
      <c r="J300" s="541">
        <f t="shared" si="778"/>
        <v>14.621754005427182</v>
      </c>
      <c r="K300" s="443">
        <f t="shared" si="779"/>
        <v>8.5436789063533638</v>
      </c>
      <c r="L300" s="172">
        <f t="shared" si="780"/>
        <v>23.165432911780545</v>
      </c>
      <c r="M300" s="443"/>
      <c r="N300" s="217">
        <f t="shared" si="781"/>
        <v>0.36881153652037141</v>
      </c>
      <c r="O300" s="172">
        <f t="shared" si="782"/>
        <v>169.76928989480814</v>
      </c>
      <c r="P300" s="172">
        <f t="shared" si="783"/>
        <v>9.986428817341654</v>
      </c>
      <c r="Q300" s="217">
        <f t="shared" si="784"/>
        <v>0.99864288173416549</v>
      </c>
      <c r="R300" s="217">
        <f t="shared" si="785"/>
        <v>14.147440824567346</v>
      </c>
      <c r="S300" s="217">
        <f t="shared" si="786"/>
        <v>170</v>
      </c>
      <c r="T300" s="217">
        <f t="shared" si="787"/>
        <v>33.645661141300941</v>
      </c>
      <c r="U300" s="217">
        <f t="shared" si="788"/>
        <v>1.150534372579809</v>
      </c>
      <c r="V300" s="217">
        <f t="shared" si="789"/>
        <v>1.9690382509741151</v>
      </c>
      <c r="W300" s="197">
        <f t="shared" si="790"/>
        <v>350</v>
      </c>
      <c r="X300" s="443">
        <f t="shared" si="848"/>
        <v>301.24359771632385</v>
      </c>
      <c r="Z300" s="217">
        <f t="shared" si="791"/>
        <v>30.815266064939962</v>
      </c>
      <c r="AA300" s="173">
        <f t="shared" si="792"/>
        <v>1.8033956099417958</v>
      </c>
      <c r="AB300" s="173">
        <f t="shared" si="793"/>
        <v>0.45924178814884958</v>
      </c>
      <c r="AC300" s="173"/>
      <c r="AD300" s="173">
        <f t="shared" si="794"/>
        <v>0.78030398142761559</v>
      </c>
      <c r="AE300" s="545">
        <f t="shared" si="795"/>
        <v>2051.6891039586453</v>
      </c>
      <c r="AF300" s="528">
        <f t="shared" si="796"/>
        <v>8.5977938694339132E-2</v>
      </c>
      <c r="AH300" s="173">
        <f t="shared" si="797"/>
        <v>32.199378875996977</v>
      </c>
      <c r="AI300" s="173">
        <f t="shared" si="798"/>
        <v>33.645661141300941</v>
      </c>
      <c r="AJ300" s="173">
        <f t="shared" si="799"/>
        <v>16.24616874664267</v>
      </c>
      <c r="AL300" s="545">
        <f t="shared" si="800"/>
        <v>504</v>
      </c>
      <c r="AM300" s="460">
        <f t="shared" si="801"/>
        <v>301.24359771632385</v>
      </c>
      <c r="AO300">
        <f t="shared" si="802"/>
        <v>504</v>
      </c>
      <c r="AP300">
        <f t="shared" si="803"/>
        <v>301.24359771632385</v>
      </c>
      <c r="AR300" s="5">
        <f t="shared" si="774"/>
        <v>3.319572623553924</v>
      </c>
      <c r="AS300" s="5">
        <f t="shared" si="739"/>
        <v>1.150534372579809</v>
      </c>
      <c r="AT300" s="5">
        <f t="shared" si="740"/>
        <v>2.1690382509741148</v>
      </c>
      <c r="AU300" s="173">
        <f t="shared" si="741"/>
        <v>0.346591113692235</v>
      </c>
      <c r="BA300" s="173">
        <f t="shared" si="849"/>
        <v>11.436079113263039</v>
      </c>
      <c r="BB300" s="173">
        <f t="shared" si="850"/>
        <v>0.74149355100099723</v>
      </c>
      <c r="BC300" s="173">
        <f t="shared" si="851"/>
        <v>0.58625729113418346</v>
      </c>
      <c r="BD300" s="173"/>
      <c r="BE300" s="528">
        <f t="shared" si="852"/>
        <v>5.2313562193924454</v>
      </c>
      <c r="BF300" s="528">
        <f t="shared" si="804"/>
        <v>5.2828688727118518</v>
      </c>
      <c r="BG300" s="528">
        <f t="shared" si="805"/>
        <v>0.17618839126071814</v>
      </c>
      <c r="BH300" s="528">
        <f t="shared" si="853"/>
        <v>3.2331709099087766E-2</v>
      </c>
      <c r="BI300">
        <f t="shared" si="854"/>
        <v>6.5797893024422318E-3</v>
      </c>
      <c r="BJ300" s="460">
        <f t="shared" si="855"/>
        <v>182.76818056316037</v>
      </c>
      <c r="BK300">
        <f t="shared" si="806"/>
        <v>-49.220114744443308</v>
      </c>
      <c r="BL300" s="460">
        <f t="shared" si="856"/>
        <v>10729.324981766546</v>
      </c>
      <c r="BM300" s="173">
        <f t="shared" si="807"/>
        <v>0.43747200000000003</v>
      </c>
      <c r="BN300" s="173">
        <f t="shared" si="808"/>
        <v>0.36456</v>
      </c>
      <c r="BQ300" s="460">
        <f t="shared" si="857"/>
        <v>802.03200000000004</v>
      </c>
      <c r="BR300" s="528">
        <f t="shared" si="858"/>
        <v>3.9235171645443336</v>
      </c>
      <c r="BS300" s="528">
        <f t="shared" si="859"/>
        <v>1.6494380585282055E-2</v>
      </c>
      <c r="BT300" s="528">
        <f t="shared" si="860"/>
        <v>1.7184880570399539E-3</v>
      </c>
      <c r="BU300" s="528">
        <f t="shared" si="861"/>
        <v>517.11511863610417</v>
      </c>
      <c r="BV300" s="528"/>
      <c r="BW300" s="625">
        <f t="shared" si="862"/>
        <v>8.5254236163035042</v>
      </c>
      <c r="BX300" s="460">
        <f t="shared" si="863"/>
        <v>529582.27228559437</v>
      </c>
      <c r="BY300" s="173">
        <f t="shared" si="864"/>
        <v>541.11362926736092</v>
      </c>
      <c r="BZ300" s="5">
        <f t="shared" si="865"/>
        <v>90.720000000000013</v>
      </c>
      <c r="CA300" s="173">
        <f t="shared" si="866"/>
        <v>0.14358210104326652</v>
      </c>
      <c r="CB300" s="5">
        <f t="shared" si="867"/>
        <v>14.358210104326652</v>
      </c>
      <c r="CC300">
        <f t="shared" si="868"/>
        <v>84.000000000000014</v>
      </c>
      <c r="CE300" s="562">
        <f t="shared" si="809"/>
        <v>-50</v>
      </c>
      <c r="CG300" s="173">
        <f t="shared" si="810"/>
        <v>0.63612239068931697</v>
      </c>
      <c r="CH300" s="173">
        <f t="shared" si="811"/>
        <v>0.16261256374210345</v>
      </c>
      <c r="CI300" s="170">
        <v>84</v>
      </c>
      <c r="CJ300" s="217">
        <f t="shared" si="869"/>
        <v>0.504</v>
      </c>
      <c r="CK300" s="217">
        <f t="shared" si="812"/>
        <v>0.42</v>
      </c>
      <c r="CL300" s="217">
        <f t="shared" si="813"/>
        <v>85.68</v>
      </c>
      <c r="CM300" s="217">
        <f t="shared" si="814"/>
        <v>5.04</v>
      </c>
      <c r="CN300" s="541">
        <f t="shared" si="815"/>
        <v>16</v>
      </c>
      <c r="CO300" s="443">
        <f t="shared" si="816"/>
        <v>8.5350000000000001</v>
      </c>
      <c r="CP300" s="443">
        <f t="shared" si="817"/>
        <v>24.535</v>
      </c>
      <c r="CQ300" s="443"/>
      <c r="CR300" s="217">
        <f t="shared" si="818"/>
        <v>0.34760448521916415</v>
      </c>
      <c r="CS300" s="172">
        <f t="shared" si="819"/>
        <v>175.08966662891231</v>
      </c>
      <c r="CT300" s="172">
        <f t="shared" si="820"/>
        <v>10.2993921546419</v>
      </c>
      <c r="CU300" s="217">
        <f t="shared" si="821"/>
        <v>1.02993921546419</v>
      </c>
      <c r="CV300" s="217">
        <f t="shared" si="822"/>
        <v>14.590805552409359</v>
      </c>
      <c r="CW300" s="217">
        <f t="shared" si="823"/>
        <v>170</v>
      </c>
      <c r="CX300" s="217">
        <f t="shared" si="824"/>
        <v>32.623284457478007</v>
      </c>
      <c r="CY300" s="217">
        <f t="shared" si="825"/>
        <v>1.0194776392961877</v>
      </c>
      <c r="CZ300" s="217">
        <f t="shared" si="826"/>
        <v>1.911147302722789</v>
      </c>
      <c r="DA300" s="197">
        <f t="shared" si="827"/>
        <v>350</v>
      </c>
      <c r="DB300" s="443">
        <f t="shared" si="828"/>
        <v>341.22414835897649</v>
      </c>
      <c r="DD300" s="217">
        <f t="shared" si="829"/>
        <v>31.805292730501623</v>
      </c>
      <c r="DE300" s="173">
        <f t="shared" si="830"/>
        <v>1.8632274593146818</v>
      </c>
      <c r="DF300" s="173">
        <f t="shared" si="831"/>
        <v>0.4897221442551708</v>
      </c>
      <c r="DG300" s="173"/>
      <c r="DH300" s="173">
        <f t="shared" si="832"/>
        <v>0.78109744190587771</v>
      </c>
      <c r="DI300" s="545">
        <f t="shared" si="833"/>
        <v>2049.6049411764707</v>
      </c>
      <c r="DJ300" s="528">
        <f t="shared" si="834"/>
        <v>8.6065366284073561E-2</v>
      </c>
      <c r="DL300" s="173">
        <f t="shared" si="835"/>
        <v>32.199378875996977</v>
      </c>
      <c r="DM300" s="173">
        <f t="shared" si="836"/>
        <v>32.623284457478007</v>
      </c>
      <c r="DN300" s="173">
        <f t="shared" si="837"/>
        <v>15.488852684551608</v>
      </c>
      <c r="DP300" s="545">
        <f t="shared" si="838"/>
        <v>504</v>
      </c>
      <c r="DQ300" s="460">
        <f t="shared" si="839"/>
        <v>341.22414835897649</v>
      </c>
      <c r="DS300">
        <f t="shared" si="840"/>
        <v>504</v>
      </c>
      <c r="DT300">
        <f t="shared" si="841"/>
        <v>341.22414835897649</v>
      </c>
      <c r="DV300" s="5">
        <f t="shared" si="870"/>
        <v>2.9306249420189761</v>
      </c>
      <c r="DW300" s="5">
        <f t="shared" si="842"/>
        <v>1.0194776392961877</v>
      </c>
      <c r="DX300" s="5">
        <f t="shared" si="843"/>
        <v>1.9111473027227883</v>
      </c>
      <c r="DY300" s="173">
        <f t="shared" si="844"/>
        <v>0.34787038923986152</v>
      </c>
      <c r="EA300" s="5">
        <f t="shared" si="871"/>
        <v>0.3022451354148698</v>
      </c>
      <c r="EB300" s="5">
        <f t="shared" si="872"/>
        <v>3.5681717375366571</v>
      </c>
      <c r="EC300" s="5">
        <f t="shared" si="873"/>
        <v>16.37471008972885</v>
      </c>
      <c r="ED300" s="5"/>
      <c r="EE300" s="173">
        <f t="shared" si="874"/>
        <v>11.109020984921719</v>
      </c>
      <c r="EF300" s="173">
        <f t="shared" si="875"/>
        <v>0.71825794124944164</v>
      </c>
      <c r="EG300" s="173">
        <f t="shared" si="876"/>
        <v>0.56788619995960954</v>
      </c>
      <c r="EH300" s="173"/>
      <c r="EI300" s="528">
        <f t="shared" si="877"/>
        <v>4.9364138897372447</v>
      </c>
      <c r="EJ300" s="528">
        <f t="shared" si="878"/>
        <v>7.5108000000000024</v>
      </c>
      <c r="EK300" s="528">
        <f t="shared" si="879"/>
        <v>6.8244829671795307E-2</v>
      </c>
      <c r="EL300" s="528">
        <f t="shared" si="880"/>
        <v>4.1081082493298608E-2</v>
      </c>
      <c r="EM300">
        <f t="shared" si="881"/>
        <v>7.1999999999999998E-3</v>
      </c>
      <c r="EN300" s="460">
        <f t="shared" si="882"/>
        <v>75.444829671795304</v>
      </c>
      <c r="EP300" s="460">
        <f t="shared" si="883"/>
        <v>12563.739801902342</v>
      </c>
      <c r="EQ300" s="173">
        <f t="shared" si="884"/>
        <v>0.3528</v>
      </c>
      <c r="ER300" s="173">
        <f t="shared" si="845"/>
        <v>0.36456</v>
      </c>
      <c r="ES300" s="528"/>
      <c r="EU300" s="460">
        <f t="shared" si="885"/>
        <v>717.36</v>
      </c>
      <c r="EV300" s="528">
        <f t="shared" si="886"/>
        <v>3.7023104173029329</v>
      </c>
      <c r="EW300" s="528">
        <f t="shared" si="887"/>
        <v>1.5476834105036591E-2</v>
      </c>
      <c r="EX300" s="528">
        <f t="shared" si="888"/>
        <v>1.6124736805228283E-3</v>
      </c>
      <c r="EY300" s="528">
        <f t="shared" si="889"/>
        <v>653.71523732255957</v>
      </c>
      <c r="EZ300" s="528"/>
      <c r="FA300" s="625">
        <f t="shared" si="890"/>
        <v>9.0789397300044783</v>
      </c>
      <c r="FB300" s="460">
        <f t="shared" si="891"/>
        <v>666513.57677765249</v>
      </c>
      <c r="FC300" s="173">
        <f t="shared" si="892"/>
        <v>679.7946765795549</v>
      </c>
      <c r="FD300" s="5">
        <f t="shared" si="893"/>
        <v>90.720000000000013</v>
      </c>
      <c r="FE300" s="173">
        <f t="shared" si="894"/>
        <v>0.11773948343556731</v>
      </c>
      <c r="FF300" s="5">
        <f t="shared" si="895"/>
        <v>11.77394834355673</v>
      </c>
      <c r="FG300">
        <f t="shared" si="896"/>
        <v>84.000000000000014</v>
      </c>
      <c r="FI300" s="562">
        <f t="shared" si="846"/>
        <v>-50</v>
      </c>
    </row>
    <row r="301" spans="5:165">
      <c r="E301" s="170">
        <v>85</v>
      </c>
      <c r="F301" s="217">
        <f t="shared" si="847"/>
        <v>0.51</v>
      </c>
      <c r="G301" s="217">
        <f t="shared" si="775"/>
        <v>0.42499999999999999</v>
      </c>
      <c r="H301" s="217">
        <f t="shared" si="776"/>
        <v>86.7</v>
      </c>
      <c r="I301" s="217">
        <f t="shared" si="777"/>
        <v>5.0999999999999996</v>
      </c>
      <c r="J301" s="541">
        <f t="shared" si="778"/>
        <v>14.6053463150156</v>
      </c>
      <c r="K301" s="443">
        <f t="shared" si="779"/>
        <v>8.543782226667096</v>
      </c>
      <c r="L301" s="172">
        <f t="shared" si="780"/>
        <v>23.149128541682696</v>
      </c>
      <c r="M301" s="443"/>
      <c r="N301" s="217">
        <f t="shared" si="781"/>
        <v>0.36907576072606896</v>
      </c>
      <c r="O301" s="172">
        <f t="shared" si="782"/>
        <v>169.70027431850963</v>
      </c>
      <c r="P301" s="172">
        <f t="shared" si="783"/>
        <v>9.9823690775593903</v>
      </c>
      <c r="Q301" s="217">
        <f t="shared" si="784"/>
        <v>0.99823690775593898</v>
      </c>
      <c r="R301" s="217">
        <f t="shared" si="785"/>
        <v>14.14168952654247</v>
      </c>
      <c r="S301" s="217">
        <f t="shared" si="786"/>
        <v>170</v>
      </c>
      <c r="T301" s="217">
        <f t="shared" si="787"/>
        <v>34.060051011771172</v>
      </c>
      <c r="U301" s="217">
        <f t="shared" si="788"/>
        <v>1.1660131255071438</v>
      </c>
      <c r="V301" s="217">
        <f t="shared" si="789"/>
        <v>1.9932654009755757</v>
      </c>
      <c r="W301" s="197">
        <f t="shared" si="790"/>
        <v>350</v>
      </c>
      <c r="X301" s="443">
        <f t="shared" si="848"/>
        <v>297.68296737425777</v>
      </c>
      <c r="Z301" s="217">
        <f t="shared" si="791"/>
        <v>30.802738867897549</v>
      </c>
      <c r="AA301" s="173">
        <f t="shared" si="792"/>
        <v>1.8026406836398035</v>
      </c>
      <c r="AB301" s="173">
        <f t="shared" si="793"/>
        <v>0.45886292776707061</v>
      </c>
      <c r="AC301" s="173"/>
      <c r="AD301" s="173">
        <f t="shared" si="794"/>
        <v>0.78029454517912178</v>
      </c>
      <c r="AE301" s="545">
        <f t="shared" si="795"/>
        <v>2076.139081080104</v>
      </c>
      <c r="AF301" s="528">
        <f t="shared" si="796"/>
        <v>8.5976898959551393E-2</v>
      </c>
      <c r="AH301" s="173">
        <f t="shared" si="797"/>
        <v>32.390474790327744</v>
      </c>
      <c r="AI301" s="173">
        <f t="shared" si="798"/>
        <v>34.060051011771172</v>
      </c>
      <c r="AJ301" s="173">
        <f t="shared" si="799"/>
        <v>16.553124206250249</v>
      </c>
      <c r="AL301" s="545">
        <f t="shared" si="800"/>
        <v>510</v>
      </c>
      <c r="AM301" s="460">
        <f t="shared" si="801"/>
        <v>297.68296737425777</v>
      </c>
      <c r="AO301">
        <f t="shared" si="802"/>
        <v>510</v>
      </c>
      <c r="AP301">
        <f t="shared" si="803"/>
        <v>297.68296737425777</v>
      </c>
      <c r="AR301" s="5">
        <f t="shared" si="774"/>
        <v>3.3592785264827194</v>
      </c>
      <c r="AS301" s="5">
        <f t="shared" si="739"/>
        <v>1.1660131255071438</v>
      </c>
      <c r="AT301" s="5">
        <f t="shared" si="740"/>
        <v>2.1932654009755757</v>
      </c>
      <c r="AU301" s="173">
        <f t="shared" si="741"/>
        <v>0.34710224719829935</v>
      </c>
      <c r="BA301" s="173">
        <f t="shared" si="849"/>
        <v>11.585462595453839</v>
      </c>
      <c r="BB301" s="173">
        <f t="shared" si="850"/>
        <v>0.7503323553632768</v>
      </c>
      <c r="BC301" s="173">
        <f t="shared" si="851"/>
        <v>0.59324563714919576</v>
      </c>
      <c r="BD301" s="173"/>
      <c r="BE301" s="528">
        <f t="shared" si="852"/>
        <v>5.3689177420264</v>
      </c>
      <c r="BF301" s="528">
        <f t="shared" si="804"/>
        <v>5.2810033725454097</v>
      </c>
      <c r="BG301" s="528">
        <f t="shared" si="805"/>
        <v>0.17391051322330098</v>
      </c>
      <c r="BH301" s="528">
        <f t="shared" si="853"/>
        <v>3.1904597848302602E-2</v>
      </c>
      <c r="BI301">
        <f t="shared" si="854"/>
        <v>6.5724058417570199E-3</v>
      </c>
      <c r="BJ301" s="460">
        <f t="shared" si="855"/>
        <v>180.48291906505801</v>
      </c>
      <c r="BK301">
        <f t="shared" si="806"/>
        <v>-44.009504133426731</v>
      </c>
      <c r="BL301" s="460">
        <f t="shared" si="856"/>
        <v>10862.308631485172</v>
      </c>
      <c r="BM301" s="173">
        <f t="shared" si="807"/>
        <v>0.44267999999999996</v>
      </c>
      <c r="BN301" s="173">
        <f t="shared" si="808"/>
        <v>0.36890000000000001</v>
      </c>
      <c r="BQ301" s="460">
        <f t="shared" si="857"/>
        <v>811.57999999999993</v>
      </c>
      <c r="BR301" s="528">
        <f t="shared" si="858"/>
        <v>4.0266883065197998</v>
      </c>
      <c r="BS301" s="528">
        <f t="shared" si="859"/>
        <v>1.6889959305150082E-2</v>
      </c>
      <c r="BT301" s="528">
        <f t="shared" si="860"/>
        <v>1.7597019299827764E-3</v>
      </c>
      <c r="BU301" s="528">
        <f t="shared" si="861"/>
        <v>517.56893895285828</v>
      </c>
      <c r="BV301" s="528"/>
      <c r="BW301" s="625">
        <f t="shared" si="862"/>
        <v>8.6334540719008643</v>
      </c>
      <c r="BX301" s="460">
        <f t="shared" si="863"/>
        <v>530247.73099251394</v>
      </c>
      <c r="BY301" s="173">
        <f t="shared" si="864"/>
        <v>541.92161962399916</v>
      </c>
      <c r="BZ301" s="5">
        <f t="shared" si="865"/>
        <v>91.8</v>
      </c>
      <c r="CA301" s="173">
        <f t="shared" si="866"/>
        <v>0.14485855801237607</v>
      </c>
      <c r="CB301" s="5">
        <f t="shared" si="867"/>
        <v>14.485855801237607</v>
      </c>
      <c r="CC301">
        <f t="shared" si="868"/>
        <v>85.000000000000014</v>
      </c>
      <c r="CE301" s="562">
        <f t="shared" si="809"/>
        <v>-50</v>
      </c>
      <c r="CG301" s="173">
        <f t="shared" si="810"/>
        <v>0.63612239068931709</v>
      </c>
      <c r="CH301" s="173">
        <f t="shared" si="811"/>
        <v>0.16261256374210345</v>
      </c>
      <c r="CI301" s="170">
        <v>85</v>
      </c>
      <c r="CJ301" s="217">
        <f t="shared" si="869"/>
        <v>0.51</v>
      </c>
      <c r="CK301" s="217">
        <f t="shared" si="812"/>
        <v>0.42499999999999999</v>
      </c>
      <c r="CL301" s="217">
        <f t="shared" si="813"/>
        <v>86.7</v>
      </c>
      <c r="CM301" s="217">
        <f t="shared" si="814"/>
        <v>5.0999999999999996</v>
      </c>
      <c r="CN301" s="541">
        <f t="shared" si="815"/>
        <v>16</v>
      </c>
      <c r="CO301" s="443">
        <f t="shared" si="816"/>
        <v>8.5350000000000001</v>
      </c>
      <c r="CP301" s="443">
        <f t="shared" si="817"/>
        <v>24.535</v>
      </c>
      <c r="CQ301" s="443"/>
      <c r="CR301" s="217">
        <f t="shared" si="818"/>
        <v>0.34760448521916415</v>
      </c>
      <c r="CS301" s="172">
        <f t="shared" si="819"/>
        <v>175.08966662891231</v>
      </c>
      <c r="CT301" s="172">
        <f t="shared" si="820"/>
        <v>10.2993921546419</v>
      </c>
      <c r="CU301" s="217">
        <f t="shared" si="821"/>
        <v>1.02993921546419</v>
      </c>
      <c r="CV301" s="217">
        <f t="shared" si="822"/>
        <v>14.590805552409359</v>
      </c>
      <c r="CW301" s="217">
        <f t="shared" si="823"/>
        <v>170</v>
      </c>
      <c r="CX301" s="217">
        <f t="shared" si="824"/>
        <v>33.011656891495598</v>
      </c>
      <c r="CY301" s="217">
        <f t="shared" si="825"/>
        <v>1.0316142778592374</v>
      </c>
      <c r="CZ301" s="217">
        <f t="shared" si="826"/>
        <v>1.9338990563266314</v>
      </c>
      <c r="DA301" s="197">
        <f t="shared" si="827"/>
        <v>350</v>
      </c>
      <c r="DB301" s="443">
        <f t="shared" si="828"/>
        <v>337.20974661357678</v>
      </c>
      <c r="DD301" s="217">
        <f t="shared" si="829"/>
        <v>31.805292730501623</v>
      </c>
      <c r="DE301" s="173">
        <f t="shared" si="830"/>
        <v>1.8632274593146818</v>
      </c>
      <c r="DF301" s="173">
        <f t="shared" si="831"/>
        <v>0.4897221442551708</v>
      </c>
      <c r="DG301" s="173"/>
      <c r="DH301" s="173">
        <f t="shared" si="832"/>
        <v>0.78109744190587771</v>
      </c>
      <c r="DI301" s="545">
        <f t="shared" si="833"/>
        <v>2074.0050000000006</v>
      </c>
      <c r="DJ301" s="528">
        <f t="shared" si="834"/>
        <v>8.6065366284073561E-2</v>
      </c>
      <c r="DL301" s="173">
        <f t="shared" si="835"/>
        <v>32.390474790327744</v>
      </c>
      <c r="DM301" s="173">
        <f t="shared" si="836"/>
        <v>33.011656891495598</v>
      </c>
      <c r="DN301" s="173">
        <f t="shared" si="837"/>
        <v>15.776535969009084</v>
      </c>
      <c r="DP301" s="545">
        <f t="shared" si="838"/>
        <v>510</v>
      </c>
      <c r="DQ301" s="460">
        <f t="shared" si="839"/>
        <v>337.20974661357678</v>
      </c>
      <c r="DS301">
        <f t="shared" si="840"/>
        <v>510</v>
      </c>
      <c r="DT301">
        <f t="shared" si="841"/>
        <v>337.20974661357678</v>
      </c>
      <c r="DV301" s="5">
        <f t="shared" si="870"/>
        <v>2.9655133341858684</v>
      </c>
      <c r="DW301" s="5">
        <f t="shared" si="842"/>
        <v>1.0316142778592374</v>
      </c>
      <c r="DX301" s="5">
        <f t="shared" si="843"/>
        <v>1.9338990563266309</v>
      </c>
      <c r="DY301" s="173">
        <f t="shared" si="844"/>
        <v>0.34787038923986147</v>
      </c>
      <c r="EA301" s="5">
        <f t="shared" si="871"/>
        <v>0.30948428335777123</v>
      </c>
      <c r="EB301" s="5">
        <f t="shared" si="872"/>
        <v>3.6536339007514655</v>
      </c>
      <c r="EC301" s="5">
        <f t="shared" si="873"/>
        <v>16.76690481835189</v>
      </c>
      <c r="ED301" s="5"/>
      <c r="EE301" s="173">
        <f t="shared" si="874"/>
        <v>11.241271234742214</v>
      </c>
      <c r="EF301" s="173">
        <f t="shared" si="875"/>
        <v>0.72680863102622073</v>
      </c>
      <c r="EG301" s="173">
        <f t="shared" si="876"/>
        <v>0.57464674995912868</v>
      </c>
      <c r="EH301" s="173"/>
      <c r="EI301" s="528">
        <f t="shared" si="877"/>
        <v>5.0546471589217097</v>
      </c>
      <c r="EJ301" s="528">
        <f t="shared" si="878"/>
        <v>7.5108000000000006</v>
      </c>
      <c r="EK301" s="528">
        <f t="shared" si="879"/>
        <v>6.7441949322715342E-2</v>
      </c>
      <c r="EL301" s="528">
        <f t="shared" si="880"/>
        <v>4.0597775640436269E-2</v>
      </c>
      <c r="EM301">
        <f t="shared" si="881"/>
        <v>7.1999999999999998E-3</v>
      </c>
      <c r="EN301" s="460">
        <f t="shared" si="882"/>
        <v>74.641949322715334</v>
      </c>
      <c r="EP301" s="460">
        <f t="shared" si="883"/>
        <v>12680.68688388486</v>
      </c>
      <c r="EQ301" s="173">
        <f t="shared" si="884"/>
        <v>0.35699999999999998</v>
      </c>
      <c r="ER301" s="173">
        <f t="shared" si="845"/>
        <v>0.36890000000000001</v>
      </c>
      <c r="ES301" s="528"/>
      <c r="EU301" s="460">
        <f t="shared" si="885"/>
        <v>725.9</v>
      </c>
      <c r="EV301" s="528">
        <f t="shared" si="886"/>
        <v>3.7909853691912825</v>
      </c>
      <c r="EW301" s="528">
        <f t="shared" si="887"/>
        <v>1.5847523584026271E-2</v>
      </c>
      <c r="EX301" s="528">
        <f t="shared" si="888"/>
        <v>1.6510944361929466E-3</v>
      </c>
      <c r="EY301" s="528">
        <f t="shared" si="889"/>
        <v>653.71523732256071</v>
      </c>
      <c r="EZ301" s="528"/>
      <c r="FA301" s="625">
        <f t="shared" si="890"/>
        <v>9.1870223458378639</v>
      </c>
      <c r="FB301" s="460">
        <f t="shared" si="891"/>
        <v>666710.74365561001</v>
      </c>
      <c r="FC301" s="173">
        <f t="shared" si="892"/>
        <v>680.1173305394949</v>
      </c>
      <c r="FD301" s="5">
        <f t="shared" si="893"/>
        <v>91.8</v>
      </c>
      <c r="FE301" s="173">
        <f t="shared" si="894"/>
        <v>0.11892465212024811</v>
      </c>
      <c r="FF301" s="5">
        <f t="shared" si="895"/>
        <v>11.892465212024812</v>
      </c>
      <c r="FG301">
        <f t="shared" si="896"/>
        <v>85.000000000000014</v>
      </c>
      <c r="FI301" s="562">
        <f t="shared" si="846"/>
        <v>-50</v>
      </c>
    </row>
    <row r="302" spans="5:165">
      <c r="E302" s="170">
        <v>86</v>
      </c>
      <c r="F302" s="217">
        <f t="shared" si="847"/>
        <v>0.51600000000000001</v>
      </c>
      <c r="G302" s="217">
        <f t="shared" si="775"/>
        <v>0.43</v>
      </c>
      <c r="H302" s="217">
        <f t="shared" si="776"/>
        <v>87.72</v>
      </c>
      <c r="I302" s="217">
        <f t="shared" si="777"/>
        <v>5.16</v>
      </c>
      <c r="J302" s="541">
        <f t="shared" si="778"/>
        <v>14.588938624604019</v>
      </c>
      <c r="K302" s="443">
        <f t="shared" si="779"/>
        <v>8.5438855469808264</v>
      </c>
      <c r="L302" s="172">
        <f t="shared" si="780"/>
        <v>23.132824171584843</v>
      </c>
      <c r="M302" s="443"/>
      <c r="N302" s="217">
        <f t="shared" si="781"/>
        <v>0.36934035739033066</v>
      </c>
      <c r="O302" s="172">
        <f t="shared" si="782"/>
        <v>169.63115684160451</v>
      </c>
      <c r="P302" s="172">
        <f t="shared" si="783"/>
        <v>9.9783033436237929</v>
      </c>
      <c r="Q302" s="217">
        <f t="shared" si="784"/>
        <v>0.99783033436237945</v>
      </c>
      <c r="R302" s="217">
        <f t="shared" si="785"/>
        <v>14.135929736800376</v>
      </c>
      <c r="S302" s="217">
        <f t="shared" si="786"/>
        <v>170</v>
      </c>
      <c r="T302" s="217">
        <f t="shared" si="787"/>
        <v>34.474798786290506</v>
      </c>
      <c r="U302" s="217">
        <f t="shared" si="788"/>
        <v>1.1815389615852279</v>
      </c>
      <c r="V302" s="217">
        <f t="shared" si="789"/>
        <v>2.017512910064259</v>
      </c>
      <c r="W302" s="197">
        <f t="shared" si="790"/>
        <v>350</v>
      </c>
      <c r="X302" s="443">
        <f t="shared" si="848"/>
        <v>294.19968796025506</v>
      </c>
      <c r="Z302" s="217">
        <f t="shared" si="791"/>
        <v>30.790193174610561</v>
      </c>
      <c r="AA302" s="173">
        <f t="shared" si="792"/>
        <v>1.8018846931704842</v>
      </c>
      <c r="AB302" s="173">
        <f t="shared" si="793"/>
        <v>0.45848367749653318</v>
      </c>
      <c r="AC302" s="173"/>
      <c r="AD302" s="173">
        <f t="shared" si="794"/>
        <v>0.7802851091588513</v>
      </c>
      <c r="AE302" s="545">
        <f t="shared" si="795"/>
        <v>2100.5896489506508</v>
      </c>
      <c r="AF302" s="528">
        <f t="shared" si="796"/>
        <v>8.5975859249910483E-2</v>
      </c>
      <c r="AH302" s="173">
        <f t="shared" si="797"/>
        <v>32.580449878504048</v>
      </c>
      <c r="AI302" s="173">
        <f t="shared" si="798"/>
        <v>34.474798786290506</v>
      </c>
      <c r="AJ302" s="173">
        <f t="shared" si="799"/>
        <v>16.860344779968273</v>
      </c>
      <c r="AL302" s="545">
        <f t="shared" si="800"/>
        <v>516</v>
      </c>
      <c r="AM302" s="460">
        <f t="shared" si="801"/>
        <v>294.19968796025506</v>
      </c>
      <c r="AO302">
        <f t="shared" si="802"/>
        <v>516</v>
      </c>
      <c r="AP302">
        <f t="shared" si="803"/>
        <v>294.19968796025506</v>
      </c>
      <c r="AR302" s="5">
        <f t="shared" si="774"/>
        <v>3.3990518716494873</v>
      </c>
      <c r="AS302" s="5">
        <f t="shared" si="739"/>
        <v>1.1815389615852279</v>
      </c>
      <c r="AT302" s="5">
        <f t="shared" si="740"/>
        <v>2.2175129100642597</v>
      </c>
      <c r="AU302" s="173">
        <f t="shared" si="741"/>
        <v>0.3476083938112578</v>
      </c>
      <c r="BA302" s="173">
        <f t="shared" si="849"/>
        <v>11.735085014809112</v>
      </c>
      <c r="BB302" s="173">
        <f t="shared" si="850"/>
        <v>0.75917468104583519</v>
      </c>
      <c r="BC302" s="173">
        <f t="shared" si="851"/>
        <v>0.60023676727431252</v>
      </c>
      <c r="BD302" s="173"/>
      <c r="BE302" s="528">
        <f t="shared" si="852"/>
        <v>5.5084888121918949</v>
      </c>
      <c r="BF302" s="528">
        <f t="shared" si="804"/>
        <v>5.2790420675333349</v>
      </c>
      <c r="BG302" s="528">
        <f t="shared" si="805"/>
        <v>0.17168244764119261</v>
      </c>
      <c r="BH302" s="528">
        <f t="shared" si="853"/>
        <v>3.1486871890176488E-2</v>
      </c>
      <c r="BI302">
        <f t="shared" si="854"/>
        <v>6.565022381071808E-3</v>
      </c>
      <c r="BJ302" s="460">
        <f t="shared" si="855"/>
        <v>178.24747002226442</v>
      </c>
      <c r="BK302">
        <f t="shared" si="806"/>
        <v>-39.84985299090858</v>
      </c>
      <c r="BL302" s="460">
        <f t="shared" si="856"/>
        <v>10997.26522163767</v>
      </c>
      <c r="BM302" s="173">
        <f t="shared" si="807"/>
        <v>0.44788799999999995</v>
      </c>
      <c r="BN302" s="173">
        <f t="shared" si="808"/>
        <v>0.37323999999999996</v>
      </c>
      <c r="BQ302" s="460">
        <f t="shared" si="857"/>
        <v>821.12799999999982</v>
      </c>
      <c r="BR302" s="528">
        <f t="shared" si="858"/>
        <v>4.131366609143921</v>
      </c>
      <c r="BS302" s="528">
        <f t="shared" si="859"/>
        <v>1.7290385890231366E-2</v>
      </c>
      <c r="BT302" s="528">
        <f t="shared" si="860"/>
        <v>1.801420883939586E-3</v>
      </c>
      <c r="BU302" s="528">
        <f t="shared" si="861"/>
        <v>518.00013619395577</v>
      </c>
      <c r="BV302" s="528"/>
      <c r="BW302" s="625">
        <f t="shared" si="862"/>
        <v>8.7414946596450296</v>
      </c>
      <c r="BX302" s="460">
        <f t="shared" si="863"/>
        <v>530892.08926951897</v>
      </c>
      <c r="BY302" s="173">
        <f t="shared" si="864"/>
        <v>542.71048249115654</v>
      </c>
      <c r="BZ302" s="5">
        <f t="shared" si="865"/>
        <v>92.88</v>
      </c>
      <c r="CA302" s="173">
        <f t="shared" si="866"/>
        <v>0.14613182946975972</v>
      </c>
      <c r="CB302" s="5">
        <f t="shared" si="867"/>
        <v>14.613182946975972</v>
      </c>
      <c r="CC302">
        <f t="shared" si="868"/>
        <v>86.000000000000014</v>
      </c>
      <c r="CE302" s="562">
        <f t="shared" si="809"/>
        <v>-50</v>
      </c>
      <c r="CG302" s="173">
        <f t="shared" si="810"/>
        <v>0.63612239068931686</v>
      </c>
      <c r="CH302" s="173">
        <f t="shared" si="811"/>
        <v>0.16261256374210345</v>
      </c>
      <c r="CI302" s="170">
        <v>86</v>
      </c>
      <c r="CJ302" s="217">
        <f t="shared" si="869"/>
        <v>0.51600000000000001</v>
      </c>
      <c r="CK302" s="217">
        <f t="shared" si="812"/>
        <v>0.43</v>
      </c>
      <c r="CL302" s="217">
        <f t="shared" si="813"/>
        <v>87.72</v>
      </c>
      <c r="CM302" s="217">
        <f t="shared" si="814"/>
        <v>5.16</v>
      </c>
      <c r="CN302" s="541">
        <f t="shared" si="815"/>
        <v>16</v>
      </c>
      <c r="CO302" s="443">
        <f t="shared" si="816"/>
        <v>8.5350000000000001</v>
      </c>
      <c r="CP302" s="443">
        <f t="shared" si="817"/>
        <v>24.535</v>
      </c>
      <c r="CQ302" s="443"/>
      <c r="CR302" s="217">
        <f t="shared" si="818"/>
        <v>0.34760448521916415</v>
      </c>
      <c r="CS302" s="172">
        <f t="shared" si="819"/>
        <v>175.08966662891231</v>
      </c>
      <c r="CT302" s="172">
        <f t="shared" si="820"/>
        <v>10.2993921546419</v>
      </c>
      <c r="CU302" s="217">
        <f t="shared" si="821"/>
        <v>1.02993921546419</v>
      </c>
      <c r="CV302" s="217">
        <f t="shared" si="822"/>
        <v>14.590805552409359</v>
      </c>
      <c r="CW302" s="217">
        <f t="shared" si="823"/>
        <v>170</v>
      </c>
      <c r="CX302" s="217">
        <f t="shared" si="824"/>
        <v>33.400029325513195</v>
      </c>
      <c r="CY302" s="217">
        <f t="shared" si="825"/>
        <v>1.0437509164222873</v>
      </c>
      <c r="CZ302" s="217">
        <f t="shared" si="826"/>
        <v>1.9566508099304742</v>
      </c>
      <c r="DA302" s="197">
        <f t="shared" si="827"/>
        <v>350</v>
      </c>
      <c r="DB302" s="443">
        <f t="shared" si="828"/>
        <v>333.28870304830258</v>
      </c>
      <c r="DD302" s="217">
        <f t="shared" si="829"/>
        <v>31.805292730501623</v>
      </c>
      <c r="DE302" s="173">
        <f t="shared" si="830"/>
        <v>1.8632274593146818</v>
      </c>
      <c r="DF302" s="173">
        <f t="shared" si="831"/>
        <v>0.4897221442551708</v>
      </c>
      <c r="DG302" s="173"/>
      <c r="DH302" s="173">
        <f t="shared" si="832"/>
        <v>0.78109744190587771</v>
      </c>
      <c r="DI302" s="545">
        <f t="shared" si="833"/>
        <v>2098.4050588235295</v>
      </c>
      <c r="DJ302" s="528">
        <f t="shared" si="834"/>
        <v>8.6065366284073561E-2</v>
      </c>
      <c r="DL302" s="173">
        <f t="shared" si="835"/>
        <v>32.580449878504048</v>
      </c>
      <c r="DM302" s="173">
        <f t="shared" si="836"/>
        <v>33.400029325513195</v>
      </c>
      <c r="DN302" s="173">
        <f t="shared" si="837"/>
        <v>16.064219253466561</v>
      </c>
      <c r="DP302" s="545">
        <f t="shared" si="838"/>
        <v>516</v>
      </c>
      <c r="DQ302" s="460">
        <f t="shared" si="839"/>
        <v>333.28870304830258</v>
      </c>
      <c r="DS302">
        <f t="shared" si="840"/>
        <v>516</v>
      </c>
      <c r="DT302">
        <f t="shared" si="841"/>
        <v>333.28870304830258</v>
      </c>
      <c r="DV302" s="5">
        <f t="shared" si="870"/>
        <v>3.0004017263527616</v>
      </c>
      <c r="DW302" s="5">
        <f t="shared" si="842"/>
        <v>1.0437509164222873</v>
      </c>
      <c r="DX302" s="5">
        <f t="shared" si="843"/>
        <v>1.9566508099304742</v>
      </c>
      <c r="DY302" s="173">
        <f t="shared" si="844"/>
        <v>0.34787038923986141</v>
      </c>
      <c r="EA302" s="5">
        <f t="shared" si="871"/>
        <v>0.31680910169052956</v>
      </c>
      <c r="EB302" s="5">
        <f t="shared" si="872"/>
        <v>3.7401074505131962</v>
      </c>
      <c r="EC302" s="5">
        <f t="shared" si="873"/>
        <v>17.163740904710117</v>
      </c>
      <c r="ED302" s="5"/>
      <c r="EE302" s="173">
        <f t="shared" si="874"/>
        <v>11.37352148456271</v>
      </c>
      <c r="EF302" s="173">
        <f t="shared" si="875"/>
        <v>0.73535932080300004</v>
      </c>
      <c r="EG302" s="173">
        <f t="shared" si="876"/>
        <v>0.58140729995864782</v>
      </c>
      <c r="EH302" s="173"/>
      <c r="EI302" s="528">
        <f t="shared" si="877"/>
        <v>5.1742796383923828</v>
      </c>
      <c r="EJ302" s="528">
        <f t="shared" si="878"/>
        <v>7.5108000000000006</v>
      </c>
      <c r="EK302" s="528">
        <f t="shared" si="879"/>
        <v>6.665774060966051E-2</v>
      </c>
      <c r="EL302" s="528">
        <f t="shared" si="880"/>
        <v>4.0125708481826533E-2</v>
      </c>
      <c r="EM302">
        <f t="shared" si="881"/>
        <v>7.1999999999999998E-3</v>
      </c>
      <c r="EN302" s="460">
        <f t="shared" si="882"/>
        <v>73.85774060966051</v>
      </c>
      <c r="EP302" s="460">
        <f t="shared" si="883"/>
        <v>12799.06308748387</v>
      </c>
      <c r="EQ302" s="173">
        <f t="shared" si="884"/>
        <v>0.36119999999999997</v>
      </c>
      <c r="ER302" s="173">
        <f t="shared" si="845"/>
        <v>0.37323999999999996</v>
      </c>
      <c r="ES302" s="528"/>
      <c r="EU302" s="460">
        <f t="shared" si="885"/>
        <v>734.43999999999994</v>
      </c>
      <c r="EV302" s="528">
        <f t="shared" si="886"/>
        <v>3.8807097287942867</v>
      </c>
      <c r="EW302" s="528">
        <f t="shared" si="887"/>
        <v>1.6222599920755483E-2</v>
      </c>
      <c r="EX302" s="528">
        <f t="shared" si="888"/>
        <v>1.6901722422260255E-3</v>
      </c>
      <c r="EY302" s="528">
        <f t="shared" si="889"/>
        <v>653.71523732255957</v>
      </c>
      <c r="EZ302" s="528"/>
      <c r="FA302" s="625">
        <f t="shared" si="890"/>
        <v>9.2951049616712496</v>
      </c>
      <c r="FB302" s="460">
        <f t="shared" si="891"/>
        <v>666908.96478518797</v>
      </c>
      <c r="FC302" s="173">
        <f t="shared" si="892"/>
        <v>680.44246787267195</v>
      </c>
      <c r="FD302" s="5">
        <f t="shared" si="893"/>
        <v>92.88</v>
      </c>
      <c r="FE302" s="173">
        <f t="shared" si="894"/>
        <v>0.12010513577279479</v>
      </c>
      <c r="FF302" s="5">
        <f t="shared" si="895"/>
        <v>12.010513577279479</v>
      </c>
      <c r="FG302">
        <f t="shared" si="896"/>
        <v>86.000000000000014</v>
      </c>
      <c r="FI302" s="562">
        <f t="shared" si="846"/>
        <v>-50</v>
      </c>
    </row>
    <row r="303" spans="5:165">
      <c r="E303" s="170">
        <v>87</v>
      </c>
      <c r="F303" s="217">
        <f t="shared" si="847"/>
        <v>0.52200000000000002</v>
      </c>
      <c r="G303" s="217">
        <f t="shared" si="775"/>
        <v>0.435</v>
      </c>
      <c r="H303" s="217">
        <f t="shared" si="776"/>
        <v>88.740000000000009</v>
      </c>
      <c r="I303" s="217">
        <f t="shared" si="777"/>
        <v>5.22</v>
      </c>
      <c r="J303" s="541">
        <f t="shared" si="778"/>
        <v>14.572530934192438</v>
      </c>
      <c r="K303" s="443">
        <f t="shared" si="779"/>
        <v>8.5439888672945568</v>
      </c>
      <c r="L303" s="172">
        <f t="shared" si="780"/>
        <v>23.116519801486994</v>
      </c>
      <c r="M303" s="443"/>
      <c r="N303" s="217">
        <f t="shared" si="781"/>
        <v>0.36960532730125562</v>
      </c>
      <c r="O303" s="172">
        <f t="shared" si="782"/>
        <v>169.56193724847734</v>
      </c>
      <c r="P303" s="172">
        <f t="shared" si="783"/>
        <v>9.9742316028516083</v>
      </c>
      <c r="Q303" s="217">
        <f t="shared" si="784"/>
        <v>0.99742316028516076</v>
      </c>
      <c r="R303" s="217">
        <f t="shared" si="785"/>
        <v>14.130161437373111</v>
      </c>
      <c r="S303" s="217">
        <f t="shared" si="786"/>
        <v>170</v>
      </c>
      <c r="T303" s="217">
        <f t="shared" si="787"/>
        <v>34.889905694640952</v>
      </c>
      <c r="U303" s="217">
        <f t="shared" si="788"/>
        <v>1.1971120820466608</v>
      </c>
      <c r="V303" s="217">
        <f t="shared" si="789"/>
        <v>2.0417808494692475</v>
      </c>
      <c r="W303" s="197">
        <f t="shared" si="790"/>
        <v>350</v>
      </c>
      <c r="X303" s="443">
        <f t="shared" si="848"/>
        <v>290.79125751065101</v>
      </c>
      <c r="Z303" s="217">
        <f t="shared" si="791"/>
        <v>30.777628945942098</v>
      </c>
      <c r="AA303" s="173">
        <f t="shared" si="792"/>
        <v>1.8011276362821265</v>
      </c>
      <c r="AB303" s="173">
        <f t="shared" si="793"/>
        <v>0.45810403685965223</v>
      </c>
      <c r="AC303" s="173"/>
      <c r="AD303" s="173">
        <f t="shared" si="794"/>
        <v>0.78027567336679582</v>
      </c>
      <c r="AE303" s="545">
        <f t="shared" si="795"/>
        <v>2125.0408075702844</v>
      </c>
      <c r="AF303" s="528">
        <f t="shared" si="796"/>
        <v>8.5974819565415486E-2</v>
      </c>
      <c r="AH303" s="173">
        <f t="shared" si="797"/>
        <v>32.769323633980783</v>
      </c>
      <c r="AI303" s="173">
        <f t="shared" si="798"/>
        <v>34.889905694640952</v>
      </c>
      <c r="AJ303" s="173">
        <f t="shared" si="799"/>
        <v>17.167831378746381</v>
      </c>
      <c r="AL303" s="545">
        <f t="shared" si="800"/>
        <v>522</v>
      </c>
      <c r="AM303" s="460">
        <f t="shared" si="801"/>
        <v>290.79125751065101</v>
      </c>
      <c r="AO303">
        <f t="shared" si="802"/>
        <v>522</v>
      </c>
      <c r="AP303">
        <f t="shared" si="803"/>
        <v>290.79125751065101</v>
      </c>
      <c r="AR303" s="5">
        <f t="shared" si="774"/>
        <v>3.438892931515908</v>
      </c>
      <c r="AS303" s="5">
        <f t="shared" si="739"/>
        <v>1.1971120820466608</v>
      </c>
      <c r="AT303" s="5">
        <f t="shared" si="740"/>
        <v>2.2417808494692473</v>
      </c>
      <c r="AU303" s="173">
        <f t="shared" si="741"/>
        <v>0.34810972771954213</v>
      </c>
      <c r="BA303" s="173">
        <f t="shared" si="849"/>
        <v>11.884946962484303</v>
      </c>
      <c r="BB303" s="173">
        <f t="shared" si="850"/>
        <v>0.76802054714278878</v>
      </c>
      <c r="BC303" s="173">
        <f t="shared" si="851"/>
        <v>0.60723069660617912</v>
      </c>
      <c r="BD303" s="173"/>
      <c r="BE303" s="528">
        <f t="shared" si="852"/>
        <v>5.6500785720425952</v>
      </c>
      <c r="BF303" s="528">
        <f t="shared" si="804"/>
        <v>5.2769880505990781</v>
      </c>
      <c r="BG303" s="528">
        <f t="shared" si="805"/>
        <v>0.16950258381866723</v>
      </c>
      <c r="BH303" s="528">
        <f t="shared" si="853"/>
        <v>3.1078227695619565E-2</v>
      </c>
      <c r="BI303">
        <f t="shared" si="854"/>
        <v>6.557638920386597E-3</v>
      </c>
      <c r="BJ303" s="460">
        <f t="shared" si="855"/>
        <v>176.06022273905384</v>
      </c>
      <c r="BK303">
        <f t="shared" si="806"/>
        <v>-36.453059026207107</v>
      </c>
      <c r="BL303" s="460">
        <f t="shared" si="856"/>
        <v>11134.205073076346</v>
      </c>
      <c r="BM303" s="173">
        <f t="shared" si="807"/>
        <v>0.453096</v>
      </c>
      <c r="BN303" s="173">
        <f t="shared" si="808"/>
        <v>0.37757999999999997</v>
      </c>
      <c r="BQ303" s="460">
        <f t="shared" si="857"/>
        <v>830.67599999999993</v>
      </c>
      <c r="BR303" s="528">
        <f t="shared" si="858"/>
        <v>4.2375589290319464</v>
      </c>
      <c r="BS303" s="528">
        <f t="shared" si="859"/>
        <v>1.7695666825005257E-2</v>
      </c>
      <c r="BT303" s="528">
        <f t="shared" si="860"/>
        <v>1.8436455945041279E-3</v>
      </c>
      <c r="BU303" s="528">
        <f t="shared" si="861"/>
        <v>518.40938735669033</v>
      </c>
      <c r="BV303" s="528"/>
      <c r="BW303" s="625">
        <f t="shared" si="862"/>
        <v>8.8495450688859858</v>
      </c>
      <c r="BX303" s="460">
        <f t="shared" si="863"/>
        <v>531516.03066702769</v>
      </c>
      <c r="BY303" s="173">
        <f t="shared" si="864"/>
        <v>543.48091174010415</v>
      </c>
      <c r="BZ303" s="5">
        <f t="shared" si="865"/>
        <v>93.960000000000008</v>
      </c>
      <c r="CA303" s="173">
        <f t="shared" si="866"/>
        <v>0.14740189760256422</v>
      </c>
      <c r="CB303" s="5">
        <f t="shared" si="867"/>
        <v>14.740189760256422</v>
      </c>
      <c r="CC303">
        <f t="shared" si="868"/>
        <v>87.000000000000014</v>
      </c>
      <c r="CE303" s="562">
        <f t="shared" si="809"/>
        <v>-50</v>
      </c>
      <c r="CG303" s="173">
        <f t="shared" si="810"/>
        <v>0.63612239068931697</v>
      </c>
      <c r="CH303" s="173">
        <f t="shared" si="811"/>
        <v>0.16261256374210345</v>
      </c>
      <c r="CI303" s="170">
        <v>87</v>
      </c>
      <c r="CJ303" s="217">
        <f t="shared" si="869"/>
        <v>0.52200000000000002</v>
      </c>
      <c r="CK303" s="217">
        <f t="shared" si="812"/>
        <v>0.435</v>
      </c>
      <c r="CL303" s="217">
        <f t="shared" si="813"/>
        <v>88.740000000000009</v>
      </c>
      <c r="CM303" s="217">
        <f t="shared" si="814"/>
        <v>5.22</v>
      </c>
      <c r="CN303" s="541">
        <f t="shared" si="815"/>
        <v>16</v>
      </c>
      <c r="CO303" s="443">
        <f t="shared" si="816"/>
        <v>8.5350000000000001</v>
      </c>
      <c r="CP303" s="443">
        <f t="shared" si="817"/>
        <v>24.535</v>
      </c>
      <c r="CQ303" s="443"/>
      <c r="CR303" s="217">
        <f t="shared" si="818"/>
        <v>0.34760448521916415</v>
      </c>
      <c r="CS303" s="172">
        <f t="shared" si="819"/>
        <v>175.08966662891231</v>
      </c>
      <c r="CT303" s="172">
        <f t="shared" si="820"/>
        <v>10.2993921546419</v>
      </c>
      <c r="CU303" s="217">
        <f t="shared" si="821"/>
        <v>1.02993921546419</v>
      </c>
      <c r="CV303" s="217">
        <f t="shared" si="822"/>
        <v>14.590805552409359</v>
      </c>
      <c r="CW303" s="217">
        <f t="shared" si="823"/>
        <v>170</v>
      </c>
      <c r="CX303" s="217">
        <f t="shared" si="824"/>
        <v>33.788401759530792</v>
      </c>
      <c r="CY303" s="217">
        <f t="shared" si="825"/>
        <v>1.0558875549853373</v>
      </c>
      <c r="CZ303" s="217">
        <f t="shared" si="826"/>
        <v>1.9794025635343171</v>
      </c>
      <c r="DA303" s="197">
        <f t="shared" si="827"/>
        <v>350</v>
      </c>
      <c r="DB303" s="443">
        <f t="shared" si="828"/>
        <v>329.45779841556345</v>
      </c>
      <c r="DD303" s="217">
        <f t="shared" si="829"/>
        <v>31.805292730501623</v>
      </c>
      <c r="DE303" s="173">
        <f t="shared" si="830"/>
        <v>1.8632274593146818</v>
      </c>
      <c r="DF303" s="173">
        <f t="shared" si="831"/>
        <v>0.4897221442551708</v>
      </c>
      <c r="DG303" s="173"/>
      <c r="DH303" s="173">
        <f t="shared" si="832"/>
        <v>0.78109744190587771</v>
      </c>
      <c r="DI303" s="545">
        <f t="shared" si="833"/>
        <v>2122.805117647059</v>
      </c>
      <c r="DJ303" s="528">
        <f t="shared" si="834"/>
        <v>8.6065366284073561E-2</v>
      </c>
      <c r="DL303" s="173">
        <f t="shared" si="835"/>
        <v>32.769323633980783</v>
      </c>
      <c r="DM303" s="173">
        <f t="shared" si="836"/>
        <v>33.788401759530792</v>
      </c>
      <c r="DN303" s="173">
        <f t="shared" si="837"/>
        <v>16.351902537924044</v>
      </c>
      <c r="DP303" s="545">
        <f t="shared" si="838"/>
        <v>522</v>
      </c>
      <c r="DQ303" s="460">
        <f t="shared" si="839"/>
        <v>329.45779841556345</v>
      </c>
      <c r="DS303">
        <f t="shared" si="840"/>
        <v>522</v>
      </c>
      <c r="DT303">
        <f t="shared" si="841"/>
        <v>329.45779841556345</v>
      </c>
      <c r="DV303" s="5">
        <f t="shared" si="870"/>
        <v>3.0352901185196544</v>
      </c>
      <c r="DW303" s="5">
        <f t="shared" si="842"/>
        <v>1.0558875549853373</v>
      </c>
      <c r="DX303" s="5">
        <f t="shared" si="843"/>
        <v>1.9794025635343171</v>
      </c>
      <c r="DY303" s="173">
        <f t="shared" si="844"/>
        <v>0.34787038923986141</v>
      </c>
      <c r="EA303" s="5">
        <f t="shared" si="871"/>
        <v>0.32421959041314474</v>
      </c>
      <c r="EB303" s="5">
        <f t="shared" si="872"/>
        <v>3.827592386821848</v>
      </c>
      <c r="EC303" s="5">
        <f t="shared" si="873"/>
        <v>17.565218348803533</v>
      </c>
      <c r="ED303" s="5"/>
      <c r="EE303" s="173">
        <f t="shared" si="874"/>
        <v>11.505771734383206</v>
      </c>
      <c r="EF303" s="173">
        <f t="shared" si="875"/>
        <v>0.74391001057977912</v>
      </c>
      <c r="EG303" s="173">
        <f t="shared" si="876"/>
        <v>0.58816784995816718</v>
      </c>
      <c r="EH303" s="173"/>
      <c r="EI303" s="528">
        <f t="shared" si="877"/>
        <v>5.2953113281492605</v>
      </c>
      <c r="EJ303" s="528">
        <f t="shared" si="878"/>
        <v>7.5108000000000006</v>
      </c>
      <c r="EK303" s="528">
        <f t="shared" si="879"/>
        <v>6.5891559683112694E-2</v>
      </c>
      <c r="EL303" s="528">
        <f t="shared" si="880"/>
        <v>3.9664493441805539E-2</v>
      </c>
      <c r="EM303">
        <f t="shared" si="881"/>
        <v>7.1999999999999998E-3</v>
      </c>
      <c r="EN303" s="460">
        <f t="shared" si="882"/>
        <v>73.091559683112692</v>
      </c>
      <c r="EP303" s="460">
        <f t="shared" si="883"/>
        <v>12918.867381274178</v>
      </c>
      <c r="EQ303" s="173">
        <f t="shared" si="884"/>
        <v>0.3654</v>
      </c>
      <c r="ER303" s="173">
        <f t="shared" si="845"/>
        <v>0.37757999999999997</v>
      </c>
      <c r="ES303" s="528"/>
      <c r="EU303" s="460">
        <f t="shared" si="885"/>
        <v>742.98</v>
      </c>
      <c r="EV303" s="528">
        <f t="shared" si="886"/>
        <v>3.9714834961119454</v>
      </c>
      <c r="EW303" s="528">
        <f t="shared" si="887"/>
        <v>1.6602063115224212E-2</v>
      </c>
      <c r="EX303" s="528">
        <f t="shared" si="888"/>
        <v>1.7297070986220654E-3</v>
      </c>
      <c r="EY303" s="528">
        <f t="shared" si="889"/>
        <v>653.71523732255957</v>
      </c>
      <c r="EZ303" s="528"/>
      <c r="FA303" s="625">
        <f t="shared" si="890"/>
        <v>9.403187577504637</v>
      </c>
      <c r="FB303" s="460">
        <f t="shared" si="891"/>
        <v>667108.24016638997</v>
      </c>
      <c r="FC303" s="173">
        <f t="shared" si="892"/>
        <v>680.77008754766416</v>
      </c>
      <c r="FD303" s="5">
        <f t="shared" si="893"/>
        <v>93.960000000000008</v>
      </c>
      <c r="FE303" s="173">
        <f t="shared" si="894"/>
        <v>0.1212809486945597</v>
      </c>
      <c r="FF303" s="5">
        <f t="shared" si="895"/>
        <v>12.128094869455969</v>
      </c>
      <c r="FG303">
        <f t="shared" si="896"/>
        <v>87.000000000000014</v>
      </c>
      <c r="FI303" s="562">
        <f t="shared" si="846"/>
        <v>-50</v>
      </c>
    </row>
    <row r="304" spans="5:165">
      <c r="E304" s="170">
        <v>88</v>
      </c>
      <c r="F304" s="217">
        <f t="shared" si="847"/>
        <v>0.52800000000000002</v>
      </c>
      <c r="G304" s="217">
        <f t="shared" si="775"/>
        <v>0.44</v>
      </c>
      <c r="H304" s="217">
        <f t="shared" si="776"/>
        <v>89.76</v>
      </c>
      <c r="I304" s="217">
        <f t="shared" si="777"/>
        <v>5.28</v>
      </c>
      <c r="J304" s="541">
        <f t="shared" si="778"/>
        <v>14.556123243780856</v>
      </c>
      <c r="K304" s="443">
        <f t="shared" si="779"/>
        <v>8.5440921876082889</v>
      </c>
      <c r="L304" s="172">
        <f t="shared" si="780"/>
        <v>23.100215431389145</v>
      </c>
      <c r="M304" s="443"/>
      <c r="N304" s="217">
        <f t="shared" si="781"/>
        <v>0.36987067124916784</v>
      </c>
      <c r="O304" s="172">
        <f t="shared" si="782"/>
        <v>169.49261532290421</v>
      </c>
      <c r="P304" s="172">
        <f t="shared" si="783"/>
        <v>9.9701538425237768</v>
      </c>
      <c r="Q304" s="217">
        <f t="shared" si="784"/>
        <v>0.99701538425237768</v>
      </c>
      <c r="R304" s="217">
        <f t="shared" si="785"/>
        <v>14.124384610242018</v>
      </c>
      <c r="S304" s="217">
        <f t="shared" si="786"/>
        <v>170</v>
      </c>
      <c r="T304" s="217">
        <f t="shared" si="787"/>
        <v>35.305372972148355</v>
      </c>
      <c r="U304" s="217">
        <f t="shared" si="788"/>
        <v>1.2127326892217909</v>
      </c>
      <c r="V304" s="217">
        <f t="shared" si="789"/>
        <v>2.066069290740602</v>
      </c>
      <c r="W304" s="197">
        <f t="shared" si="790"/>
        <v>350</v>
      </c>
      <c r="X304" s="443">
        <f t="shared" si="848"/>
        <v>287.45528080066526</v>
      </c>
      <c r="Z304" s="217">
        <f t="shared" si="791"/>
        <v>30.765046142644799</v>
      </c>
      <c r="AA304" s="173">
        <f t="shared" si="792"/>
        <v>1.8003695107166633</v>
      </c>
      <c r="AB304" s="173">
        <f t="shared" si="793"/>
        <v>0.45772400537847707</v>
      </c>
      <c r="AC304" s="173"/>
      <c r="AD304" s="173">
        <f t="shared" si="794"/>
        <v>0.78026623780294646</v>
      </c>
      <c r="AE304" s="545">
        <f t="shared" si="795"/>
        <v>2149.492556939008</v>
      </c>
      <c r="AF304" s="528">
        <f t="shared" si="796"/>
        <v>8.5973779906065403E-2</v>
      </c>
      <c r="AH304" s="173">
        <f t="shared" si="797"/>
        <v>32.957114991628572</v>
      </c>
      <c r="AI304" s="173">
        <f t="shared" si="798"/>
        <v>35.305372972148355</v>
      </c>
      <c r="AJ304" s="173">
        <f t="shared" si="799"/>
        <v>17.475584917640752</v>
      </c>
      <c r="AL304" s="545">
        <f t="shared" si="800"/>
        <v>528</v>
      </c>
      <c r="AM304" s="460">
        <f t="shared" si="801"/>
        <v>287.45528080066526</v>
      </c>
      <c r="AO304">
        <f t="shared" si="802"/>
        <v>528</v>
      </c>
      <c r="AP304">
        <f t="shared" si="803"/>
        <v>287.45528080066526</v>
      </c>
      <c r="AR304" s="5">
        <f t="shared" si="774"/>
        <v>3.4788019799623928</v>
      </c>
      <c r="AS304" s="5">
        <f t="shared" si="739"/>
        <v>1.2127326892217909</v>
      </c>
      <c r="AT304" s="5">
        <f t="shared" si="740"/>
        <v>2.2660692907406021</v>
      </c>
      <c r="AU304" s="173">
        <f t="shared" si="741"/>
        <v>0.34860641571639583</v>
      </c>
      <c r="BA304" s="173">
        <f t="shared" si="849"/>
        <v>12.035049039296394</v>
      </c>
      <c r="BB304" s="173">
        <f t="shared" si="850"/>
        <v>0.77686997249657685</v>
      </c>
      <c r="BC304" s="173">
        <f t="shared" si="851"/>
        <v>0.61422744004245322</v>
      </c>
      <c r="BD304" s="173"/>
      <c r="BE304" s="528">
        <f t="shared" si="852"/>
        <v>5.7936962151307627</v>
      </c>
      <c r="BF304" s="528">
        <f t="shared" si="804"/>
        <v>5.2748442827140192</v>
      </c>
      <c r="BG304" s="528">
        <f t="shared" si="805"/>
        <v>0.1673693797764047</v>
      </c>
      <c r="BH304" s="528">
        <f t="shared" si="853"/>
        <v>3.0678374684744651E-2</v>
      </c>
      <c r="BI304">
        <f t="shared" si="854"/>
        <v>6.5502554597013851E-3</v>
      </c>
      <c r="BJ304" s="460">
        <f t="shared" si="855"/>
        <v>173.9196352361061</v>
      </c>
      <c r="BK304">
        <f t="shared" si="806"/>
        <v>-33.627495282620757</v>
      </c>
      <c r="BL304" s="460">
        <f t="shared" si="856"/>
        <v>11273.138507765636</v>
      </c>
      <c r="BM304" s="173">
        <f t="shared" si="807"/>
        <v>0.45830399999999999</v>
      </c>
      <c r="BN304" s="173">
        <f t="shared" si="808"/>
        <v>0.38191999999999998</v>
      </c>
      <c r="BQ304" s="460">
        <f t="shared" si="857"/>
        <v>840.22399999999993</v>
      </c>
      <c r="BR304" s="528">
        <f t="shared" si="858"/>
        <v>4.3452721613480714</v>
      </c>
      <c r="BS304" s="528">
        <f t="shared" si="859"/>
        <v>1.8105808625004962E-2</v>
      </c>
      <c r="BT304" s="528">
        <f t="shared" si="860"/>
        <v>1.8863767405055273E-3</v>
      </c>
      <c r="BU304" s="528">
        <f t="shared" si="861"/>
        <v>518.79734208160119</v>
      </c>
      <c r="BV304" s="528"/>
      <c r="BW304" s="625">
        <f t="shared" si="862"/>
        <v>8.9576050022540983</v>
      </c>
      <c r="BX304" s="460">
        <f t="shared" si="863"/>
        <v>532120.21143056895</v>
      </c>
      <c r="BY304" s="173">
        <f t="shared" si="864"/>
        <v>544.23357393833453</v>
      </c>
      <c r="BZ304" s="5">
        <f t="shared" si="865"/>
        <v>95.04</v>
      </c>
      <c r="CA304" s="173">
        <f t="shared" si="866"/>
        <v>0.14866874507965777</v>
      </c>
      <c r="CB304" s="5">
        <f t="shared" si="867"/>
        <v>14.866874507965777</v>
      </c>
      <c r="CC304">
        <f t="shared" si="868"/>
        <v>88.000000000000014</v>
      </c>
      <c r="CE304" s="562">
        <f t="shared" si="809"/>
        <v>-50</v>
      </c>
      <c r="CG304" s="173">
        <f t="shared" si="810"/>
        <v>0.63612239068931697</v>
      </c>
      <c r="CH304" s="173">
        <f t="shared" si="811"/>
        <v>0.16261256374210345</v>
      </c>
      <c r="CI304" s="170">
        <v>88</v>
      </c>
      <c r="CJ304" s="217">
        <f t="shared" si="869"/>
        <v>0.52800000000000002</v>
      </c>
      <c r="CK304" s="217">
        <f t="shared" si="812"/>
        <v>0.44</v>
      </c>
      <c r="CL304" s="217">
        <f t="shared" si="813"/>
        <v>89.76</v>
      </c>
      <c r="CM304" s="217">
        <f t="shared" si="814"/>
        <v>5.28</v>
      </c>
      <c r="CN304" s="541">
        <f t="shared" si="815"/>
        <v>16</v>
      </c>
      <c r="CO304" s="443">
        <f t="shared" si="816"/>
        <v>8.5350000000000001</v>
      </c>
      <c r="CP304" s="443">
        <f t="shared" si="817"/>
        <v>24.535</v>
      </c>
      <c r="CQ304" s="443"/>
      <c r="CR304" s="217">
        <f t="shared" si="818"/>
        <v>0.34760448521916415</v>
      </c>
      <c r="CS304" s="172">
        <f t="shared" si="819"/>
        <v>175.08966662891231</v>
      </c>
      <c r="CT304" s="172">
        <f t="shared" si="820"/>
        <v>10.2993921546419</v>
      </c>
      <c r="CU304" s="217">
        <f t="shared" si="821"/>
        <v>1.02993921546419</v>
      </c>
      <c r="CV304" s="217">
        <f t="shared" si="822"/>
        <v>14.590805552409359</v>
      </c>
      <c r="CW304" s="217">
        <f t="shared" si="823"/>
        <v>170</v>
      </c>
      <c r="CX304" s="217">
        <f t="shared" si="824"/>
        <v>34.17677419354839</v>
      </c>
      <c r="CY304" s="217">
        <f t="shared" si="825"/>
        <v>1.0680241935483872</v>
      </c>
      <c r="CZ304" s="217">
        <f t="shared" si="826"/>
        <v>2.0021543171381597</v>
      </c>
      <c r="DA304" s="197">
        <f t="shared" si="827"/>
        <v>350</v>
      </c>
      <c r="DB304" s="443">
        <f t="shared" si="828"/>
        <v>325.71395979720478</v>
      </c>
      <c r="DD304" s="217">
        <f t="shared" si="829"/>
        <v>31.805292730501623</v>
      </c>
      <c r="DE304" s="173">
        <f t="shared" si="830"/>
        <v>1.8632274593146818</v>
      </c>
      <c r="DF304" s="173">
        <f t="shared" si="831"/>
        <v>0.4897221442551708</v>
      </c>
      <c r="DG304" s="173"/>
      <c r="DH304" s="173">
        <f t="shared" si="832"/>
        <v>0.78109744190587771</v>
      </c>
      <c r="DI304" s="545">
        <f t="shared" si="833"/>
        <v>2147.2051764705884</v>
      </c>
      <c r="DJ304" s="528">
        <f t="shared" si="834"/>
        <v>8.6065366284073561E-2</v>
      </c>
      <c r="DL304" s="173">
        <f t="shared" si="835"/>
        <v>32.957114991628572</v>
      </c>
      <c r="DM304" s="173">
        <f t="shared" si="836"/>
        <v>34.17677419354839</v>
      </c>
      <c r="DN304" s="173">
        <f t="shared" si="837"/>
        <v>16.63958582238152</v>
      </c>
      <c r="DP304" s="545">
        <f t="shared" si="838"/>
        <v>528</v>
      </c>
      <c r="DQ304" s="460">
        <f t="shared" si="839"/>
        <v>325.71395979720478</v>
      </c>
      <c r="DS304">
        <f t="shared" si="840"/>
        <v>528</v>
      </c>
      <c r="DT304">
        <f t="shared" si="841"/>
        <v>325.71395979720478</v>
      </c>
      <c r="DV304" s="5">
        <f t="shared" si="870"/>
        <v>3.0701785106865471</v>
      </c>
      <c r="DW304" s="5">
        <f t="shared" si="842"/>
        <v>1.0680241935483872</v>
      </c>
      <c r="DX304" s="5">
        <f t="shared" si="843"/>
        <v>2.0021543171381602</v>
      </c>
      <c r="DY304" s="173">
        <f t="shared" si="844"/>
        <v>0.34787038923986141</v>
      </c>
      <c r="EA304" s="5">
        <f t="shared" si="871"/>
        <v>0.33171574952561678</v>
      </c>
      <c r="EB304" s="5">
        <f t="shared" si="872"/>
        <v>3.9160887096774202</v>
      </c>
      <c r="EC304" s="5">
        <f t="shared" si="873"/>
        <v>17.971337150632127</v>
      </c>
      <c r="ED304" s="5"/>
      <c r="EE304" s="173">
        <f t="shared" si="874"/>
        <v>11.638021984203704</v>
      </c>
      <c r="EF304" s="173">
        <f t="shared" si="875"/>
        <v>0.75246070035655821</v>
      </c>
      <c r="EG304" s="173">
        <f t="shared" si="876"/>
        <v>0.59492839995768632</v>
      </c>
      <c r="EH304" s="173"/>
      <c r="EI304" s="528">
        <f t="shared" si="877"/>
        <v>5.4177422281923491</v>
      </c>
      <c r="EJ304" s="528">
        <f t="shared" si="878"/>
        <v>7.5108000000000006</v>
      </c>
      <c r="EK304" s="528">
        <f t="shared" si="879"/>
        <v>6.5142791959440963E-2</v>
      </c>
      <c r="EL304" s="528">
        <f t="shared" si="880"/>
        <v>3.9213760561785029E-2</v>
      </c>
      <c r="EM304">
        <f t="shared" si="881"/>
        <v>7.1999999999999998E-3</v>
      </c>
      <c r="EN304" s="460">
        <f t="shared" si="882"/>
        <v>72.342791959440959</v>
      </c>
      <c r="EP304" s="460">
        <f t="shared" si="883"/>
        <v>13040.098780713573</v>
      </c>
      <c r="EQ304" s="173">
        <f t="shared" si="884"/>
        <v>0.36959999999999998</v>
      </c>
      <c r="ER304" s="173">
        <f t="shared" si="845"/>
        <v>0.38191999999999998</v>
      </c>
      <c r="ES304" s="528"/>
      <c r="EU304" s="460">
        <f t="shared" si="885"/>
        <v>751.52</v>
      </c>
      <c r="EV304" s="528">
        <f t="shared" si="886"/>
        <v>4.0633066711442609</v>
      </c>
      <c r="EW304" s="528">
        <f t="shared" si="887"/>
        <v>1.6985913167432462E-2</v>
      </c>
      <c r="EX304" s="528">
        <f t="shared" si="888"/>
        <v>1.7696990053810639E-3</v>
      </c>
      <c r="EY304" s="528">
        <f t="shared" si="889"/>
        <v>653.71523732256071</v>
      </c>
      <c r="EZ304" s="528"/>
      <c r="FA304" s="625">
        <f t="shared" si="890"/>
        <v>9.5112701933380226</v>
      </c>
      <c r="FB304" s="460">
        <f t="shared" si="891"/>
        <v>667308.56979921588</v>
      </c>
      <c r="FC304" s="173">
        <f t="shared" si="892"/>
        <v>681.10018857992941</v>
      </c>
      <c r="FD304" s="5">
        <f t="shared" si="893"/>
        <v>95.04</v>
      </c>
      <c r="FE304" s="173">
        <f t="shared" si="894"/>
        <v>0.12245210517173534</v>
      </c>
      <c r="FF304" s="5">
        <f t="shared" si="895"/>
        <v>12.245210517173534</v>
      </c>
      <c r="FG304">
        <f t="shared" si="896"/>
        <v>88.000000000000014</v>
      </c>
      <c r="FI304" s="562">
        <f t="shared" si="846"/>
        <v>-50</v>
      </c>
    </row>
    <row r="305" spans="5:169">
      <c r="E305" s="170">
        <v>89</v>
      </c>
      <c r="F305" s="217">
        <f t="shared" si="847"/>
        <v>0.53400000000000003</v>
      </c>
      <c r="G305" s="217">
        <f t="shared" si="775"/>
        <v>0.44500000000000001</v>
      </c>
      <c r="H305" s="217">
        <f t="shared" si="776"/>
        <v>90.78</v>
      </c>
      <c r="I305" s="217">
        <f t="shared" si="777"/>
        <v>5.34</v>
      </c>
      <c r="J305" s="541">
        <f t="shared" si="778"/>
        <v>14.539715553369277</v>
      </c>
      <c r="K305" s="443">
        <f t="shared" si="779"/>
        <v>8.5441955079220175</v>
      </c>
      <c r="L305" s="172">
        <f t="shared" si="780"/>
        <v>23.083911061291296</v>
      </c>
      <c r="M305" s="443"/>
      <c r="N305" s="217">
        <f t="shared" si="781"/>
        <v>0.37013639002662413</v>
      </c>
      <c r="O305" s="172">
        <f t="shared" si="782"/>
        <v>169.42319084805015</v>
      </c>
      <c r="P305" s="172">
        <f t="shared" si="783"/>
        <v>9.9660700498853032</v>
      </c>
      <c r="Q305" s="217">
        <f t="shared" si="784"/>
        <v>0.99660700498853028</v>
      </c>
      <c r="R305" s="217">
        <f t="shared" si="785"/>
        <v>14.118599237337513</v>
      </c>
      <c r="S305" s="217">
        <f t="shared" si="786"/>
        <v>170</v>
      </c>
      <c r="T305" s="217">
        <f t="shared" si="787"/>
        <v>35.721201859713716</v>
      </c>
      <c r="U305" s="217">
        <f t="shared" si="788"/>
        <v>1.2284009865459875</v>
      </c>
      <c r="V305" s="217">
        <f t="shared" si="789"/>
        <v>2.0903783057511789</v>
      </c>
      <c r="W305" s="197">
        <f t="shared" si="790"/>
        <v>350</v>
      </c>
      <c r="X305" s="443">
        <f t="shared" si="848"/>
        <v>284.1894637123346</v>
      </c>
      <c r="Z305" s="217">
        <f t="shared" si="791"/>
        <v>30.752444725360366</v>
      </c>
      <c r="AA305" s="173">
        <f t="shared" si="792"/>
        <v>1.7996103142096453</v>
      </c>
      <c r="AB305" s="173">
        <f t="shared" si="793"/>
        <v>0.45734358257469043</v>
      </c>
      <c r="AC305" s="173"/>
      <c r="AD305" s="173">
        <f t="shared" si="794"/>
        <v>0.7802568024672959</v>
      </c>
      <c r="AE305" s="545">
        <f t="shared" si="795"/>
        <v>2173.9448970568174</v>
      </c>
      <c r="AF305" s="528">
        <f t="shared" si="796"/>
        <v>8.5972740271859471E-2</v>
      </c>
      <c r="AH305" s="173">
        <f t="shared" si="797"/>
        <v>33.14384234988885</v>
      </c>
      <c r="AI305" s="173">
        <f t="shared" si="798"/>
        <v>35.721201859713716</v>
      </c>
      <c r="AJ305" s="173">
        <f t="shared" si="799"/>
        <v>17.783606315837318</v>
      </c>
      <c r="AL305" s="545">
        <f t="shared" si="800"/>
        <v>534</v>
      </c>
      <c r="AM305" s="460">
        <f t="shared" si="801"/>
        <v>284.1894637123346</v>
      </c>
      <c r="AO305">
        <f t="shared" si="802"/>
        <v>534</v>
      </c>
      <c r="AP305">
        <f t="shared" si="803"/>
        <v>284.1894637123346</v>
      </c>
      <c r="AR305" s="5">
        <f t="shared" si="774"/>
        <v>3.5187792922971668</v>
      </c>
      <c r="AS305" s="5">
        <f t="shared" si="739"/>
        <v>1.2284009865459875</v>
      </c>
      <c r="AT305" s="5">
        <f t="shared" si="740"/>
        <v>2.2903783057511795</v>
      </c>
      <c r="AU305" s="173">
        <f t="shared" si="741"/>
        <v>0.34909861759020688</v>
      </c>
      <c r="BA305" s="173">
        <f t="shared" si="849"/>
        <v>12.18539185540053</v>
      </c>
      <c r="BB305" s="173">
        <f t="shared" si="850"/>
        <v>0.78572297571397143</v>
      </c>
      <c r="BC305" s="173">
        <f t="shared" si="851"/>
        <v>0.62122701229446464</v>
      </c>
      <c r="BD305" s="173"/>
      <c r="BE305" s="528">
        <f t="shared" si="852"/>
        <v>5.9393509867864633</v>
      </c>
      <c r="BF305" s="528">
        <f t="shared" si="804"/>
        <v>5.2726135998599064</v>
      </c>
      <c r="BG305" s="528">
        <f t="shared" si="805"/>
        <v>0.16528135862567619</v>
      </c>
      <c r="BH305" s="528">
        <f t="shared" si="853"/>
        <v>3.0287034543603611E-2</v>
      </c>
      <c r="BI305">
        <f t="shared" si="854"/>
        <v>6.5428719990161741E-3</v>
      </c>
      <c r="BJ305" s="460">
        <f t="shared" si="855"/>
        <v>171.82423062469238</v>
      </c>
      <c r="BK305">
        <f t="shared" si="806"/>
        <v>-31.240747121357533</v>
      </c>
      <c r="BL305" s="460">
        <f t="shared" si="856"/>
        <v>11414.075851814667</v>
      </c>
      <c r="BM305" s="173">
        <f t="shared" si="807"/>
        <v>0.46351200000000004</v>
      </c>
      <c r="BN305" s="173">
        <f t="shared" si="808"/>
        <v>0.38625999999999999</v>
      </c>
      <c r="BQ305" s="460">
        <f t="shared" si="857"/>
        <v>849.77199999999993</v>
      </c>
      <c r="BR305" s="528">
        <f t="shared" si="858"/>
        <v>4.4545132400898471</v>
      </c>
      <c r="BS305" s="528">
        <f t="shared" si="859"/>
        <v>1.8520817836944543E-2</v>
      </c>
      <c r="BT305" s="528">
        <f t="shared" si="860"/>
        <v>1.9296150040215346E-3</v>
      </c>
      <c r="BU305" s="528">
        <f t="shared" si="861"/>
        <v>519.16462401653519</v>
      </c>
      <c r="BV305" s="528"/>
      <c r="BW305" s="625">
        <f t="shared" si="862"/>
        <v>9.0656741749594101</v>
      </c>
      <c r="BX305" s="460">
        <f t="shared" si="863"/>
        <v>532705.26186442538</v>
      </c>
      <c r="BY305" s="173">
        <f t="shared" si="864"/>
        <v>544.96910971624015</v>
      </c>
      <c r="BZ305" s="5">
        <f t="shared" si="865"/>
        <v>96.12</v>
      </c>
      <c r="CA305" s="173">
        <f t="shared" si="866"/>
        <v>0.14993235502400717</v>
      </c>
      <c r="CB305" s="5">
        <f t="shared" si="867"/>
        <v>14.993235502400717</v>
      </c>
      <c r="CC305">
        <f t="shared" si="868"/>
        <v>89.000000000000014</v>
      </c>
      <c r="CE305" s="562">
        <f t="shared" si="809"/>
        <v>-50</v>
      </c>
      <c r="CG305" s="173">
        <f t="shared" si="810"/>
        <v>0.63612239068931697</v>
      </c>
      <c r="CH305" s="173">
        <f t="shared" si="811"/>
        <v>0.16261256374210345</v>
      </c>
      <c r="CI305" s="170">
        <v>89</v>
      </c>
      <c r="CJ305" s="217">
        <f t="shared" si="869"/>
        <v>0.53400000000000003</v>
      </c>
      <c r="CK305" s="217">
        <f t="shared" si="812"/>
        <v>0.44500000000000001</v>
      </c>
      <c r="CL305" s="217">
        <f t="shared" si="813"/>
        <v>90.78</v>
      </c>
      <c r="CM305" s="217">
        <f t="shared" si="814"/>
        <v>5.34</v>
      </c>
      <c r="CN305" s="541">
        <f t="shared" si="815"/>
        <v>16</v>
      </c>
      <c r="CO305" s="443">
        <f t="shared" si="816"/>
        <v>8.5350000000000001</v>
      </c>
      <c r="CP305" s="443">
        <f t="shared" si="817"/>
        <v>24.535</v>
      </c>
      <c r="CQ305" s="443"/>
      <c r="CR305" s="217">
        <f t="shared" si="818"/>
        <v>0.34760448521916415</v>
      </c>
      <c r="CS305" s="172">
        <f t="shared" si="819"/>
        <v>175.08966662891231</v>
      </c>
      <c r="CT305" s="172">
        <f t="shared" si="820"/>
        <v>10.2993921546419</v>
      </c>
      <c r="CU305" s="217">
        <f t="shared" si="821"/>
        <v>1.02993921546419</v>
      </c>
      <c r="CV305" s="217">
        <f t="shared" si="822"/>
        <v>14.590805552409359</v>
      </c>
      <c r="CW305" s="217">
        <f t="shared" si="823"/>
        <v>170</v>
      </c>
      <c r="CX305" s="217">
        <f t="shared" si="824"/>
        <v>34.56514662756598</v>
      </c>
      <c r="CY305" s="217">
        <f t="shared" si="825"/>
        <v>1.0801608321114369</v>
      </c>
      <c r="CZ305" s="217">
        <f t="shared" si="826"/>
        <v>2.0249060707420021</v>
      </c>
      <c r="DA305" s="197">
        <f t="shared" si="827"/>
        <v>350</v>
      </c>
      <c r="DB305" s="443">
        <f t="shared" si="828"/>
        <v>322.05425238375307</v>
      </c>
      <c r="DD305" s="217">
        <f t="shared" si="829"/>
        <v>31.805292730501623</v>
      </c>
      <c r="DE305" s="173">
        <f t="shared" si="830"/>
        <v>1.8632274593146818</v>
      </c>
      <c r="DF305" s="173">
        <f t="shared" si="831"/>
        <v>0.4897221442551708</v>
      </c>
      <c r="DG305" s="173"/>
      <c r="DH305" s="173">
        <f t="shared" si="832"/>
        <v>0.78109744190587771</v>
      </c>
      <c r="DI305" s="545">
        <f t="shared" si="833"/>
        <v>2171.6052352941178</v>
      </c>
      <c r="DJ305" s="528">
        <f t="shared" si="834"/>
        <v>8.6065366284073561E-2</v>
      </c>
      <c r="DL305" s="173">
        <f t="shared" si="835"/>
        <v>33.14384234988885</v>
      </c>
      <c r="DM305" s="173">
        <f t="shared" si="836"/>
        <v>34.56514662756598</v>
      </c>
      <c r="DN305" s="173">
        <f t="shared" si="837"/>
        <v>16.927269106838995</v>
      </c>
      <c r="DP305" s="545">
        <f t="shared" si="838"/>
        <v>534</v>
      </c>
      <c r="DQ305" s="460">
        <f t="shared" si="839"/>
        <v>322.05425238375307</v>
      </c>
      <c r="DS305">
        <f t="shared" si="840"/>
        <v>534</v>
      </c>
      <c r="DT305">
        <f t="shared" si="841"/>
        <v>322.05425238375307</v>
      </c>
      <c r="DV305" s="5">
        <f t="shared" si="870"/>
        <v>3.105066902853439</v>
      </c>
      <c r="DW305" s="5">
        <f t="shared" si="842"/>
        <v>1.0801608321114369</v>
      </c>
      <c r="DX305" s="5">
        <f t="shared" si="843"/>
        <v>2.0249060707420021</v>
      </c>
      <c r="DY305" s="173">
        <f t="shared" si="844"/>
        <v>0.34787038923986147</v>
      </c>
      <c r="EA305" s="5">
        <f t="shared" si="871"/>
        <v>0.3392975790279455</v>
      </c>
      <c r="EB305" s="5">
        <f t="shared" si="872"/>
        <v>4.0055964190799118</v>
      </c>
      <c r="EC305" s="5">
        <f t="shared" si="873"/>
        <v>18.382097310195896</v>
      </c>
      <c r="ED305" s="5"/>
      <c r="EE305" s="173">
        <f t="shared" si="874"/>
        <v>11.770272234024201</v>
      </c>
      <c r="EF305" s="173">
        <f t="shared" si="875"/>
        <v>0.76101139013333707</v>
      </c>
      <c r="EG305" s="173">
        <f t="shared" si="876"/>
        <v>0.60168894995720534</v>
      </c>
      <c r="EH305" s="173"/>
      <c r="EI305" s="528">
        <f t="shared" si="877"/>
        <v>5.5415723385216431</v>
      </c>
      <c r="EJ305" s="528">
        <f t="shared" si="878"/>
        <v>7.5108000000000006</v>
      </c>
      <c r="EK305" s="528">
        <f t="shared" si="879"/>
        <v>6.4410850476750603E-2</v>
      </c>
      <c r="EL305" s="528">
        <f t="shared" si="880"/>
        <v>3.8773156510529018E-2</v>
      </c>
      <c r="EM305">
        <f t="shared" si="881"/>
        <v>7.1999999999999998E-3</v>
      </c>
      <c r="EN305" s="460">
        <f t="shared" si="882"/>
        <v>71.610850476750599</v>
      </c>
      <c r="EP305" s="460">
        <f t="shared" si="883"/>
        <v>13162.756345508922</v>
      </c>
      <c r="EQ305" s="173">
        <f t="shared" si="884"/>
        <v>0.37380000000000002</v>
      </c>
      <c r="ER305" s="173">
        <f t="shared" si="845"/>
        <v>0.38625999999999999</v>
      </c>
      <c r="ES305" s="528"/>
      <c r="EU305" s="460">
        <f t="shared" si="885"/>
        <v>760.06</v>
      </c>
      <c r="EV305" s="528">
        <f t="shared" si="886"/>
        <v>4.1561792538912314</v>
      </c>
      <c r="EW305" s="528">
        <f t="shared" si="887"/>
        <v>1.7374150077380225E-2</v>
      </c>
      <c r="EX305" s="528">
        <f t="shared" si="888"/>
        <v>1.8101479625030217E-3</v>
      </c>
      <c r="EY305" s="528">
        <f t="shared" si="889"/>
        <v>653.71523732255957</v>
      </c>
      <c r="EZ305" s="528"/>
      <c r="FA305" s="625">
        <f t="shared" si="890"/>
        <v>9.61935280917141</v>
      </c>
      <c r="FB305" s="460">
        <f t="shared" si="891"/>
        <v>667509.95368366211</v>
      </c>
      <c r="FC305" s="173">
        <f t="shared" si="892"/>
        <v>681.43277002917102</v>
      </c>
      <c r="FD305" s="5">
        <f t="shared" si="893"/>
        <v>96.12</v>
      </c>
      <c r="FE305" s="173">
        <f t="shared" si="894"/>
        <v>0.1236186194750408</v>
      </c>
      <c r="FF305" s="5">
        <f t="shared" si="895"/>
        <v>12.36186194750408</v>
      </c>
      <c r="FG305">
        <f t="shared" si="896"/>
        <v>89.000000000000014</v>
      </c>
      <c r="FI305" s="562">
        <f t="shared" si="846"/>
        <v>-50</v>
      </c>
    </row>
    <row r="306" spans="5:169">
      <c r="E306" s="170">
        <v>90</v>
      </c>
      <c r="F306" s="217">
        <f t="shared" si="847"/>
        <v>0.54</v>
      </c>
      <c r="G306" s="217">
        <f t="shared" si="775"/>
        <v>0.45</v>
      </c>
      <c r="H306" s="217">
        <f t="shared" si="776"/>
        <v>91.800000000000011</v>
      </c>
      <c r="I306" s="217">
        <f t="shared" si="777"/>
        <v>5.4</v>
      </c>
      <c r="J306" s="541">
        <f t="shared" si="778"/>
        <v>14.523307862957695</v>
      </c>
      <c r="K306" s="443">
        <f t="shared" si="779"/>
        <v>8.5442988282357479</v>
      </c>
      <c r="L306" s="172">
        <f t="shared" si="780"/>
        <v>23.067606691193443</v>
      </c>
      <c r="M306" s="443"/>
      <c r="N306" s="217">
        <f t="shared" si="781"/>
        <v>0.37040248442842222</v>
      </c>
      <c r="O306" s="172">
        <f t="shared" si="782"/>
        <v>169.35366360646719</v>
      </c>
      <c r="P306" s="172">
        <f t="shared" si="783"/>
        <v>9.9619802121451286</v>
      </c>
      <c r="Q306" s="217">
        <f t="shared" si="784"/>
        <v>0.99619802121451295</v>
      </c>
      <c r="R306" s="217">
        <f t="shared" si="785"/>
        <v>14.112805300538932</v>
      </c>
      <c r="S306" s="217">
        <f t="shared" si="786"/>
        <v>170</v>
      </c>
      <c r="T306" s="217">
        <f t="shared" si="787"/>
        <v>36.137393603844622</v>
      </c>
      <c r="U306" s="217">
        <f t="shared" si="788"/>
        <v>1.2441171785669627</v>
      </c>
      <c r="V306" s="217">
        <f t="shared" si="789"/>
        <v>2.1147079666984436</v>
      </c>
      <c r="W306" s="197">
        <f t="shared" si="790"/>
        <v>350</v>
      </c>
      <c r="X306" s="443">
        <f t="shared" si="848"/>
        <v>280.99160795533351</v>
      </c>
      <c r="Z306" s="217">
        <f t="shared" si="791"/>
        <v>30.739824654619259</v>
      </c>
      <c r="AA306" s="173">
        <f t="shared" si="792"/>
        <v>1.798850044490222</v>
      </c>
      <c r="AB306" s="173">
        <f t="shared" si="793"/>
        <v>0.45696276796961338</v>
      </c>
      <c r="AC306" s="173"/>
      <c r="AD306" s="173">
        <f t="shared" si="794"/>
        <v>0.78024736735983513</v>
      </c>
      <c r="AE306" s="545">
        <f t="shared" si="795"/>
        <v>2198.3978279237149</v>
      </c>
      <c r="AF306" s="528">
        <f t="shared" si="796"/>
        <v>8.5971700662796663E-2</v>
      </c>
      <c r="AH306" s="173">
        <f t="shared" si="797"/>
        <v>33.329523591811856</v>
      </c>
      <c r="AI306" s="173">
        <f t="shared" si="798"/>
        <v>36.137393603844622</v>
      </c>
      <c r="AJ306" s="173">
        <f t="shared" si="799"/>
        <v>18.091896496675027</v>
      </c>
      <c r="AL306" s="545">
        <f t="shared" si="800"/>
        <v>540</v>
      </c>
      <c r="AM306" s="460">
        <f t="shared" si="801"/>
        <v>280.99160795533351</v>
      </c>
      <c r="AO306">
        <f t="shared" si="802"/>
        <v>540</v>
      </c>
      <c r="AP306">
        <f t="shared" si="803"/>
        <v>280.99160795533351</v>
      </c>
      <c r="AR306" s="5">
        <f t="shared" si="774"/>
        <v>3.5588251452654069</v>
      </c>
      <c r="AS306" s="5">
        <f t="shared" si="739"/>
        <v>1.2441171785669627</v>
      </c>
      <c r="AT306" s="5">
        <f t="shared" si="740"/>
        <v>2.3147079666984443</v>
      </c>
      <c r="AU306" s="173">
        <f t="shared" si="741"/>
        <v>0.3495864864903836</v>
      </c>
      <c r="BA306" s="173">
        <f t="shared" si="849"/>
        <v>12.33597602998837</v>
      </c>
      <c r="BB306" s="173">
        <f t="shared" si="850"/>
        <v>0.79457957518111089</v>
      </c>
      <c r="BC306" s="173">
        <f t="shared" si="851"/>
        <v>0.62822942789909964</v>
      </c>
      <c r="BD306" s="173"/>
      <c r="BE306" s="528">
        <f t="shared" si="852"/>
        <v>6.0870521844979049</v>
      </c>
      <c r="BF306" s="528">
        <f t="shared" si="804"/>
        <v>5.2702987195550497</v>
      </c>
      <c r="BG306" s="528">
        <f t="shared" si="805"/>
        <v>0.16323710516971285</v>
      </c>
      <c r="BH306" s="528">
        <f t="shared" si="853"/>
        <v>2.9903940583734918E-2</v>
      </c>
      <c r="BI306">
        <f t="shared" si="854"/>
        <v>6.535488538330963E-3</v>
      </c>
      <c r="BJ306" s="460">
        <f t="shared" si="855"/>
        <v>169.77259370804381</v>
      </c>
      <c r="BK306">
        <f t="shared" si="806"/>
        <v>-29.198381841900236</v>
      </c>
      <c r="BL306" s="460">
        <f t="shared" si="856"/>
        <v>11557.027438344732</v>
      </c>
      <c r="BM306" s="173">
        <f t="shared" si="807"/>
        <v>0.46872000000000003</v>
      </c>
      <c r="BN306" s="173">
        <f t="shared" si="808"/>
        <v>0.3906</v>
      </c>
      <c r="BQ306" s="460">
        <f t="shared" si="857"/>
        <v>859.32</v>
      </c>
      <c r="BR306" s="528">
        <f t="shared" si="858"/>
        <v>4.5652891383734282</v>
      </c>
      <c r="BS306" s="528">
        <f t="shared" si="859"/>
        <v>1.8940701038849841E-2</v>
      </c>
      <c r="BT306" s="528">
        <f t="shared" si="860"/>
        <v>1.9733610703921499E-3</v>
      </c>
      <c r="BU306" s="528">
        <f t="shared" si="861"/>
        <v>519.51183210013028</v>
      </c>
      <c r="BV306" s="528"/>
      <c r="BW306" s="625">
        <f t="shared" si="862"/>
        <v>9.1737523141348323</v>
      </c>
      <c r="BX306" s="460">
        <f t="shared" si="863"/>
        <v>533271.78761474788</v>
      </c>
      <c r="BY306" s="173">
        <f t="shared" si="864"/>
        <v>545.68813505309254</v>
      </c>
      <c r="BZ306" s="5">
        <f t="shared" si="865"/>
        <v>97.200000000000017</v>
      </c>
      <c r="CA306" s="173">
        <f t="shared" si="866"/>
        <v>0.15119271098691658</v>
      </c>
      <c r="CB306" s="5">
        <f t="shared" si="867"/>
        <v>15.119271098691659</v>
      </c>
      <c r="CC306">
        <f t="shared" si="868"/>
        <v>90.000000000000014</v>
      </c>
      <c r="CE306" s="562">
        <f t="shared" si="809"/>
        <v>-50</v>
      </c>
      <c r="CG306" s="173">
        <f t="shared" si="810"/>
        <v>0.63612239068931709</v>
      </c>
      <c r="CH306" s="173">
        <f t="shared" si="811"/>
        <v>0.16261256374210348</v>
      </c>
      <c r="CI306" s="170">
        <v>90</v>
      </c>
      <c r="CJ306" s="217">
        <f t="shared" si="869"/>
        <v>0.54</v>
      </c>
      <c r="CK306" s="217">
        <f t="shared" si="812"/>
        <v>0.45</v>
      </c>
      <c r="CL306" s="217">
        <f t="shared" si="813"/>
        <v>91.800000000000011</v>
      </c>
      <c r="CM306" s="217">
        <f t="shared" si="814"/>
        <v>5.4</v>
      </c>
      <c r="CN306" s="541">
        <f t="shared" si="815"/>
        <v>16</v>
      </c>
      <c r="CO306" s="443">
        <f t="shared" si="816"/>
        <v>8.5350000000000001</v>
      </c>
      <c r="CP306" s="443">
        <f t="shared" si="817"/>
        <v>24.535</v>
      </c>
      <c r="CQ306" s="443"/>
      <c r="CR306" s="217">
        <f t="shared" si="818"/>
        <v>0.34760448521916415</v>
      </c>
      <c r="CS306" s="172">
        <f t="shared" si="819"/>
        <v>175.08966662891231</v>
      </c>
      <c r="CT306" s="172">
        <f t="shared" si="820"/>
        <v>10.2993921546419</v>
      </c>
      <c r="CU306" s="217">
        <f t="shared" si="821"/>
        <v>1.02993921546419</v>
      </c>
      <c r="CV306" s="217">
        <f t="shared" si="822"/>
        <v>14.590805552409359</v>
      </c>
      <c r="CW306" s="217">
        <f t="shared" si="823"/>
        <v>170</v>
      </c>
      <c r="CX306" s="217">
        <f t="shared" si="824"/>
        <v>34.953519061583577</v>
      </c>
      <c r="CY306" s="217">
        <f t="shared" si="825"/>
        <v>1.0922974706744866</v>
      </c>
      <c r="CZ306" s="217">
        <f t="shared" si="826"/>
        <v>2.047657824345845</v>
      </c>
      <c r="DA306" s="197">
        <f t="shared" si="827"/>
        <v>350</v>
      </c>
      <c r="DB306" s="443">
        <f t="shared" si="828"/>
        <v>318.47587180171143</v>
      </c>
      <c r="DD306" s="217">
        <f t="shared" si="829"/>
        <v>31.805292730501623</v>
      </c>
      <c r="DE306" s="173">
        <f t="shared" si="830"/>
        <v>1.8632274593146818</v>
      </c>
      <c r="DF306" s="173">
        <f t="shared" si="831"/>
        <v>0.4897221442551708</v>
      </c>
      <c r="DG306" s="173"/>
      <c r="DH306" s="173">
        <f t="shared" si="832"/>
        <v>0.78109744190587771</v>
      </c>
      <c r="DI306" s="545">
        <f t="shared" si="833"/>
        <v>2196.0052941176473</v>
      </c>
      <c r="DJ306" s="528">
        <f t="shared" si="834"/>
        <v>8.6065366284073561E-2</v>
      </c>
      <c r="DL306" s="173">
        <f t="shared" si="835"/>
        <v>33.329523591811856</v>
      </c>
      <c r="DM306" s="173">
        <f t="shared" si="836"/>
        <v>34.953519061583577</v>
      </c>
      <c r="DN306" s="173">
        <f t="shared" si="837"/>
        <v>17.214952391296475</v>
      </c>
      <c r="DP306" s="545">
        <f t="shared" si="838"/>
        <v>540</v>
      </c>
      <c r="DQ306" s="460">
        <f t="shared" si="839"/>
        <v>318.47587180171143</v>
      </c>
      <c r="DS306">
        <f t="shared" si="840"/>
        <v>540</v>
      </c>
      <c r="DT306">
        <f t="shared" si="841"/>
        <v>318.47587180171143</v>
      </c>
      <c r="DV306" s="5">
        <f t="shared" si="870"/>
        <v>3.1399552950203313</v>
      </c>
      <c r="DW306" s="5">
        <f t="shared" si="842"/>
        <v>1.0922974706744866</v>
      </c>
      <c r="DX306" s="5">
        <f t="shared" si="843"/>
        <v>2.047657824345845</v>
      </c>
      <c r="DY306" s="173">
        <f t="shared" si="844"/>
        <v>0.34787038923986141</v>
      </c>
      <c r="EA306" s="5">
        <f t="shared" si="871"/>
        <v>0.34696507892013106</v>
      </c>
      <c r="EB306" s="5">
        <f t="shared" si="872"/>
        <v>4.0961155150293251</v>
      </c>
      <c r="EC306" s="5">
        <f t="shared" si="873"/>
        <v>18.797498827494859</v>
      </c>
      <c r="ED306" s="5"/>
      <c r="EE306" s="173">
        <f t="shared" si="874"/>
        <v>11.902522483844697</v>
      </c>
      <c r="EF306" s="173">
        <f t="shared" si="875"/>
        <v>0.76956207991011616</v>
      </c>
      <c r="EG306" s="173">
        <f t="shared" si="876"/>
        <v>0.60844949995672459</v>
      </c>
      <c r="EH306" s="173"/>
      <c r="EI306" s="528">
        <f t="shared" si="877"/>
        <v>5.6668016591371417</v>
      </c>
      <c r="EJ306" s="528">
        <f t="shared" si="878"/>
        <v>7.5108000000000024</v>
      </c>
      <c r="EK306" s="528">
        <f t="shared" si="879"/>
        <v>6.3695174360342277E-2</v>
      </c>
      <c r="EL306" s="528">
        <f t="shared" si="880"/>
        <v>3.8342343660412039E-2</v>
      </c>
      <c r="EM306">
        <f t="shared" si="881"/>
        <v>7.1999999999999998E-3</v>
      </c>
      <c r="EN306" s="460">
        <f t="shared" si="882"/>
        <v>70.895174360342281</v>
      </c>
      <c r="EP306" s="460">
        <f t="shared" si="883"/>
        <v>13286.839177157897</v>
      </c>
      <c r="EQ306" s="173">
        <f t="shared" si="884"/>
        <v>0.378</v>
      </c>
      <c r="ER306" s="173">
        <f t="shared" si="845"/>
        <v>0.3906</v>
      </c>
      <c r="ES306" s="528"/>
      <c r="EU306" s="460">
        <f t="shared" si="885"/>
        <v>768.59999999999991</v>
      </c>
      <c r="EV306" s="528">
        <f t="shared" si="886"/>
        <v>4.2501012443528561</v>
      </c>
      <c r="EW306" s="528">
        <f t="shared" si="887"/>
        <v>1.7766773845067519E-2</v>
      </c>
      <c r="EX306" s="528">
        <f t="shared" si="888"/>
        <v>1.8510539699879412E-3</v>
      </c>
      <c r="EY306" s="528">
        <f t="shared" si="889"/>
        <v>653.71523732256185</v>
      </c>
      <c r="EZ306" s="528"/>
      <c r="FA306" s="625">
        <f t="shared" si="890"/>
        <v>9.7274354250047992</v>
      </c>
      <c r="FB306" s="460">
        <f t="shared" si="891"/>
        <v>667712.39181973459</v>
      </c>
      <c r="FC306" s="173">
        <f t="shared" si="892"/>
        <v>681.76783099689249</v>
      </c>
      <c r="FD306" s="5">
        <f t="shared" si="893"/>
        <v>97.200000000000017</v>
      </c>
      <c r="FE306" s="173">
        <f t="shared" si="894"/>
        <v>0.12478050585941047</v>
      </c>
      <c r="FF306" s="5">
        <f t="shared" si="895"/>
        <v>12.478050585941048</v>
      </c>
      <c r="FG306">
        <f t="shared" si="896"/>
        <v>90.000000000000014</v>
      </c>
      <c r="FI306" s="562">
        <f t="shared" si="846"/>
        <v>-50</v>
      </c>
    </row>
    <row r="307" spans="5:169">
      <c r="E307" s="170">
        <v>91</v>
      </c>
      <c r="F307" s="217">
        <f t="shared" si="847"/>
        <v>0.54600000000000004</v>
      </c>
      <c r="G307" s="217">
        <f t="shared" si="775"/>
        <v>0.45500000000000002</v>
      </c>
      <c r="H307" s="217">
        <f t="shared" si="776"/>
        <v>92.820000000000007</v>
      </c>
      <c r="I307" s="217">
        <f t="shared" si="777"/>
        <v>5.46</v>
      </c>
      <c r="J307" s="541">
        <f t="shared" si="778"/>
        <v>14.506900172546114</v>
      </c>
      <c r="K307" s="443">
        <f t="shared" si="779"/>
        <v>8.5444021485494801</v>
      </c>
      <c r="L307" s="172">
        <f t="shared" si="780"/>
        <v>23.051302321095594</v>
      </c>
      <c r="M307" s="443"/>
      <c r="N307" s="217">
        <f t="shared" si="781"/>
        <v>0.37066895525160842</v>
      </c>
      <c r="O307" s="172">
        <f t="shared" si="782"/>
        <v>169.28403338009224</v>
      </c>
      <c r="P307" s="172">
        <f t="shared" si="783"/>
        <v>9.9578843164760134</v>
      </c>
      <c r="Q307" s="217">
        <f t="shared" si="784"/>
        <v>0.99578843164760145</v>
      </c>
      <c r="R307" s="217">
        <f t="shared" si="785"/>
        <v>14.107002781674353</v>
      </c>
      <c r="S307" s="217">
        <f t="shared" si="786"/>
        <v>170</v>
      </c>
      <c r="T307" s="217">
        <f t="shared" si="787"/>
        <v>36.553949456686965</v>
      </c>
      <c r="U307" s="217">
        <f t="shared" si="788"/>
        <v>1.2598814709521557</v>
      </c>
      <c r="V307" s="217">
        <f t="shared" si="789"/>
        <v>2.1390583461063137</v>
      </c>
      <c r="W307" s="197">
        <f t="shared" si="790"/>
        <v>350</v>
      </c>
      <c r="X307" s="443">
        <f t="shared" si="848"/>
        <v>277.85960611515105</v>
      </c>
      <c r="Z307" s="217">
        <f t="shared" si="791"/>
        <v>30.727185890840268</v>
      </c>
      <c r="AA307" s="173">
        <f t="shared" si="792"/>
        <v>1.7980886992811187</v>
      </c>
      <c r="AB307" s="173">
        <f t="shared" si="793"/>
        <v>0.45658156108420728</v>
      </c>
      <c r="AC307" s="173"/>
      <c r="AD307" s="173">
        <f t="shared" si="794"/>
        <v>0.78023793248055606</v>
      </c>
      <c r="AE307" s="545">
        <f t="shared" si="795"/>
        <v>2222.8513495397015</v>
      </c>
      <c r="AF307" s="528">
        <f t="shared" si="796"/>
        <v>8.597066107887609E-2</v>
      </c>
      <c r="AH307" s="173">
        <f t="shared" si="797"/>
        <v>33.514176105045458</v>
      </c>
      <c r="AI307" s="173">
        <f t="shared" si="798"/>
        <v>36.553949456686965</v>
      </c>
      <c r="AJ307" s="173">
        <f t="shared" si="799"/>
        <v>18.400456387669355</v>
      </c>
      <c r="AL307" s="545">
        <f t="shared" si="800"/>
        <v>546</v>
      </c>
      <c r="AM307" s="460">
        <f t="shared" si="801"/>
        <v>277.85960611515105</v>
      </c>
      <c r="AO307">
        <f t="shared" si="802"/>
        <v>546</v>
      </c>
      <c r="AP307">
        <f t="shared" si="803"/>
        <v>277.85960611515105</v>
      </c>
      <c r="AR307" s="5">
        <f t="shared" si="774"/>
        <v>3.598939817058469</v>
      </c>
      <c r="AS307" s="5">
        <f t="shared" ref="AS307:AS316" si="897">L*AI307/J307*1000000</f>
        <v>1.2598814709521557</v>
      </c>
      <c r="AT307" s="5">
        <f t="shared" ref="AT307:AT316" si="898">AR307-AS307</f>
        <v>2.339058346106313</v>
      </c>
      <c r="AU307" s="173">
        <f t="shared" ref="AU307:AU316" si="899">AS307/AR307</f>
        <v>0.35007016927054313</v>
      </c>
      <c r="BA307" s="173">
        <f t="shared" si="849"/>
        <v>12.486802191006635</v>
      </c>
      <c r="BB307" s="173">
        <f t="shared" si="850"/>
        <v>0.80343978907762681</v>
      </c>
      <c r="BC307" s="173">
        <f t="shared" si="851"/>
        <v>0.63523470122997172</v>
      </c>
      <c r="BD307" s="173"/>
      <c r="BE307" s="528">
        <f t="shared" si="852"/>
        <v>6.2368091582931244</v>
      </c>
      <c r="BF307" s="528">
        <f t="shared" si="804"/>
        <v>5.267902246975841</v>
      </c>
      <c r="BG307" s="528">
        <f t="shared" si="805"/>
        <v>0.16123526271581923</v>
      </c>
      <c r="BH307" s="528">
        <f t="shared" si="853"/>
        <v>2.9528837141425006E-2</v>
      </c>
      <c r="BI307">
        <f t="shared" si="854"/>
        <v>6.5281050776457511E-3</v>
      </c>
      <c r="BJ307" s="460">
        <f t="shared" si="855"/>
        <v>167.76336779346499</v>
      </c>
      <c r="BK307">
        <f t="shared" si="806"/>
        <v>-27.431241600282601</v>
      </c>
      <c r="BL307" s="460">
        <f t="shared" si="856"/>
        <v>11702.003610203856</v>
      </c>
      <c r="BM307" s="173">
        <f t="shared" si="807"/>
        <v>0.47392799999999996</v>
      </c>
      <c r="BN307" s="173">
        <f t="shared" si="808"/>
        <v>0.39494000000000001</v>
      </c>
      <c r="BQ307" s="460">
        <f t="shared" si="857"/>
        <v>868.86799999999994</v>
      </c>
      <c r="BR307" s="528">
        <f t="shared" si="858"/>
        <v>4.6776068687198427</v>
      </c>
      <c r="BS307" s="528">
        <f t="shared" si="859"/>
        <v>1.9365464840193043E-2</v>
      </c>
      <c r="BT307" s="528">
        <f t="shared" si="860"/>
        <v>2.0176156282336573E-3</v>
      </c>
      <c r="BU307" s="528">
        <f t="shared" si="861"/>
        <v>519.83954177016528</v>
      </c>
      <c r="BV307" s="528"/>
      <c r="BW307" s="625">
        <f t="shared" si="862"/>
        <v>9.281839158220059</v>
      </c>
      <c r="BX307" s="460">
        <f t="shared" si="863"/>
        <v>533820.3708775735</v>
      </c>
      <c r="BY307" s="173">
        <f t="shared" si="864"/>
        <v>546.39124248777739</v>
      </c>
      <c r="BZ307" s="5">
        <f t="shared" si="865"/>
        <v>98.28</v>
      </c>
      <c r="CA307" s="173">
        <f t="shared" si="866"/>
        <v>0.15244979692399316</v>
      </c>
      <c r="CB307" s="5">
        <f t="shared" si="867"/>
        <v>15.244979692399315</v>
      </c>
      <c r="CC307">
        <f t="shared" si="868"/>
        <v>91.000000000000014</v>
      </c>
      <c r="CE307" s="562">
        <f t="shared" si="809"/>
        <v>-50</v>
      </c>
      <c r="CG307" s="173">
        <f t="shared" si="810"/>
        <v>0.63612239068931709</v>
      </c>
      <c r="CH307" s="173">
        <f t="shared" si="811"/>
        <v>0.16261256374210348</v>
      </c>
      <c r="CI307" s="170">
        <v>91</v>
      </c>
      <c r="CJ307" s="217">
        <f t="shared" si="869"/>
        <v>0.54600000000000004</v>
      </c>
      <c r="CK307" s="217">
        <f t="shared" si="812"/>
        <v>0.45500000000000002</v>
      </c>
      <c r="CL307" s="217">
        <f t="shared" si="813"/>
        <v>92.820000000000007</v>
      </c>
      <c r="CM307" s="217">
        <f t="shared" si="814"/>
        <v>5.46</v>
      </c>
      <c r="CN307" s="541">
        <f t="shared" si="815"/>
        <v>16</v>
      </c>
      <c r="CO307" s="443">
        <f t="shared" si="816"/>
        <v>8.5350000000000001</v>
      </c>
      <c r="CP307" s="443">
        <f t="shared" si="817"/>
        <v>24.535</v>
      </c>
      <c r="CQ307" s="443"/>
      <c r="CR307" s="217">
        <f t="shared" si="818"/>
        <v>0.34760448521916415</v>
      </c>
      <c r="CS307" s="172">
        <f t="shared" si="819"/>
        <v>175.08966662891231</v>
      </c>
      <c r="CT307" s="172">
        <f t="shared" si="820"/>
        <v>10.2993921546419</v>
      </c>
      <c r="CU307" s="217">
        <f t="shared" si="821"/>
        <v>1.02993921546419</v>
      </c>
      <c r="CV307" s="217">
        <f t="shared" si="822"/>
        <v>14.590805552409359</v>
      </c>
      <c r="CW307" s="217">
        <f t="shared" si="823"/>
        <v>170</v>
      </c>
      <c r="CX307" s="217">
        <f t="shared" si="824"/>
        <v>35.341891495601168</v>
      </c>
      <c r="CY307" s="217">
        <f t="shared" si="825"/>
        <v>1.1044341092375363</v>
      </c>
      <c r="CZ307" s="217">
        <f t="shared" si="826"/>
        <v>2.0704095779496874</v>
      </c>
      <c r="DA307" s="197">
        <f t="shared" si="827"/>
        <v>350</v>
      </c>
      <c r="DB307" s="443">
        <f t="shared" si="828"/>
        <v>314.9761369467476</v>
      </c>
      <c r="DD307" s="217">
        <f t="shared" si="829"/>
        <v>31.805292730501623</v>
      </c>
      <c r="DE307" s="173">
        <f t="shared" si="830"/>
        <v>1.8632274593146818</v>
      </c>
      <c r="DF307" s="173">
        <f t="shared" si="831"/>
        <v>0.4897221442551708</v>
      </c>
      <c r="DG307" s="173"/>
      <c r="DH307" s="173">
        <f t="shared" si="832"/>
        <v>0.78109744190587771</v>
      </c>
      <c r="DI307" s="545">
        <f t="shared" si="833"/>
        <v>2220.4053529411767</v>
      </c>
      <c r="DJ307" s="528">
        <f t="shared" si="834"/>
        <v>8.6065366284073561E-2</v>
      </c>
      <c r="DL307" s="173">
        <f t="shared" si="835"/>
        <v>33.514176105045458</v>
      </c>
      <c r="DM307" s="173">
        <f t="shared" si="836"/>
        <v>35.341891495601168</v>
      </c>
      <c r="DN307" s="173">
        <f t="shared" si="837"/>
        <v>17.502635675753947</v>
      </c>
      <c r="DP307" s="545">
        <f t="shared" si="838"/>
        <v>546</v>
      </c>
      <c r="DQ307" s="460">
        <f t="shared" si="839"/>
        <v>314.9761369467476</v>
      </c>
      <c r="DS307">
        <f t="shared" si="840"/>
        <v>546</v>
      </c>
      <c r="DT307">
        <f t="shared" si="841"/>
        <v>314.9761369467476</v>
      </c>
      <c r="DV307" s="5">
        <f t="shared" si="870"/>
        <v>3.1748436871872237</v>
      </c>
      <c r="DW307" s="5">
        <f t="shared" si="842"/>
        <v>1.1044341092375363</v>
      </c>
      <c r="DX307" s="5">
        <f t="shared" si="843"/>
        <v>2.0704095779496874</v>
      </c>
      <c r="DY307" s="173">
        <f t="shared" si="844"/>
        <v>0.34787038923986141</v>
      </c>
      <c r="EA307" s="5">
        <f t="shared" si="871"/>
        <v>0.35471824920217337</v>
      </c>
      <c r="EB307" s="5">
        <f t="shared" si="872"/>
        <v>4.1876459975256584</v>
      </c>
      <c r="EC307" s="5">
        <f t="shared" si="873"/>
        <v>19.217541702528997</v>
      </c>
      <c r="ED307" s="5"/>
      <c r="EE307" s="173">
        <f t="shared" si="874"/>
        <v>12.034772733665191</v>
      </c>
      <c r="EF307" s="173">
        <f t="shared" si="875"/>
        <v>0.77811276968689513</v>
      </c>
      <c r="EG307" s="173">
        <f t="shared" si="876"/>
        <v>0.61521004995624373</v>
      </c>
      <c r="EH307" s="173"/>
      <c r="EI307" s="528">
        <f t="shared" si="877"/>
        <v>5.7934301900388459</v>
      </c>
      <c r="EJ307" s="528">
        <f t="shared" si="878"/>
        <v>7.5108000000000024</v>
      </c>
      <c r="EK307" s="528">
        <f t="shared" si="879"/>
        <v>6.2995227389349512E-2</v>
      </c>
      <c r="EL307" s="528">
        <f t="shared" si="880"/>
        <v>3.7920999224583335E-2</v>
      </c>
      <c r="EM307">
        <f t="shared" si="881"/>
        <v>7.1999999999999998E-3</v>
      </c>
      <c r="EN307" s="460">
        <f t="shared" si="882"/>
        <v>70.195227389349512</v>
      </c>
      <c r="EP307" s="460">
        <f t="shared" si="883"/>
        <v>13412.346416652779</v>
      </c>
      <c r="EQ307" s="173">
        <f t="shared" si="884"/>
        <v>0.38219999999999998</v>
      </c>
      <c r="ER307" s="173">
        <f t="shared" si="845"/>
        <v>0.39494000000000001</v>
      </c>
      <c r="ES307" s="528"/>
      <c r="EU307" s="460">
        <f t="shared" si="885"/>
        <v>777.14</v>
      </c>
      <c r="EV307" s="528">
        <f t="shared" si="886"/>
        <v>4.3450726425291339</v>
      </c>
      <c r="EW307" s="528">
        <f t="shared" si="887"/>
        <v>1.816378447049433E-2</v>
      </c>
      <c r="EX307" s="528">
        <f t="shared" si="888"/>
        <v>1.8924170278358196E-3</v>
      </c>
      <c r="EY307" s="528">
        <f t="shared" si="889"/>
        <v>653.71523732255957</v>
      </c>
      <c r="EZ307" s="528"/>
      <c r="FA307" s="625">
        <f t="shared" si="890"/>
        <v>9.835518040838183</v>
      </c>
      <c r="FB307" s="460">
        <f t="shared" si="891"/>
        <v>667915.88420742529</v>
      </c>
      <c r="FC307" s="173">
        <f t="shared" si="892"/>
        <v>682.10537062407809</v>
      </c>
      <c r="FD307" s="5">
        <f t="shared" si="893"/>
        <v>98.28</v>
      </c>
      <c r="FE307" s="173">
        <f t="shared" si="894"/>
        <v>0.12593777856369218</v>
      </c>
      <c r="FF307" s="5">
        <f t="shared" si="895"/>
        <v>12.593777856369218</v>
      </c>
      <c r="FG307">
        <f t="shared" si="896"/>
        <v>91.000000000000014</v>
      </c>
      <c r="FI307" s="562">
        <f t="shared" si="846"/>
        <v>-50</v>
      </c>
    </row>
    <row r="308" spans="5:169">
      <c r="E308" s="170">
        <v>92</v>
      </c>
      <c r="F308" s="217">
        <f t="shared" si="847"/>
        <v>0.55200000000000005</v>
      </c>
      <c r="G308" s="217">
        <f t="shared" si="775"/>
        <v>0.46</v>
      </c>
      <c r="H308" s="217">
        <f t="shared" si="776"/>
        <v>93.84</v>
      </c>
      <c r="I308" s="217">
        <f t="shared" si="777"/>
        <v>5.5200000000000005</v>
      </c>
      <c r="J308" s="541">
        <f t="shared" si="778"/>
        <v>14.490492482134533</v>
      </c>
      <c r="K308" s="443">
        <f t="shared" si="779"/>
        <v>8.5445054688632087</v>
      </c>
      <c r="L308" s="172">
        <f t="shared" si="780"/>
        <v>23.034997950997742</v>
      </c>
      <c r="M308" s="443"/>
      <c r="N308" s="217">
        <f t="shared" si="781"/>
        <v>0.37093580329548548</v>
      </c>
      <c r="O308" s="172">
        <f t="shared" si="782"/>
        <v>169.21429995024451</v>
      </c>
      <c r="P308" s="172">
        <f t="shared" si="783"/>
        <v>9.9537823500143823</v>
      </c>
      <c r="Q308" s="217">
        <f t="shared" si="784"/>
        <v>0.99537823500143829</v>
      </c>
      <c r="R308" s="217">
        <f t="shared" si="785"/>
        <v>14.101191662520376</v>
      </c>
      <c r="S308" s="217">
        <f t="shared" si="786"/>
        <v>170</v>
      </c>
      <c r="T308" s="217">
        <f t="shared" si="787"/>
        <v>36.970870676056954</v>
      </c>
      <c r="U308" s="217">
        <f t="shared" si="788"/>
        <v>1.2756940704961786</v>
      </c>
      <c r="V308" s="217">
        <f t="shared" si="789"/>
        <v>2.1634295168270103</v>
      </c>
      <c r="W308" s="197">
        <f t="shared" si="790"/>
        <v>350</v>
      </c>
      <c r="X308" s="443">
        <f t="shared" si="848"/>
        <v>274.79143700518421</v>
      </c>
      <c r="Z308" s="217">
        <f t="shared" si="791"/>
        <v>30.714528394330095</v>
      </c>
      <c r="AA308" s="173">
        <f t="shared" si="792"/>
        <v>1.7973262762986131</v>
      </c>
      <c r="AB308" s="173">
        <f t="shared" si="793"/>
        <v>0.45619996143907432</v>
      </c>
      <c r="AC308" s="173"/>
      <c r="AD308" s="173">
        <f t="shared" si="794"/>
        <v>0.78022849782945058</v>
      </c>
      <c r="AE308" s="545">
        <f t="shared" si="795"/>
        <v>2247.3054619047753</v>
      </c>
      <c r="AF308" s="528">
        <f t="shared" si="796"/>
        <v>8.5969621520096878E-2</v>
      </c>
      <c r="AH308" s="173">
        <f t="shared" si="797"/>
        <v>33.697816800838261</v>
      </c>
      <c r="AI308" s="173">
        <f t="shared" si="798"/>
        <v>36.970870676056954</v>
      </c>
      <c r="AJ308" s="173">
        <f t="shared" si="799"/>
        <v>18.709286920536012</v>
      </c>
      <c r="AL308" s="545">
        <f t="shared" si="800"/>
        <v>552</v>
      </c>
      <c r="AM308" s="460">
        <f t="shared" si="801"/>
        <v>274.79143700518421</v>
      </c>
      <c r="AO308">
        <f t="shared" si="802"/>
        <v>552</v>
      </c>
      <c r="AP308">
        <f t="shared" si="803"/>
        <v>274.79143700518421</v>
      </c>
      <c r="AR308" s="5">
        <f t="shared" si="774"/>
        <v>3.6391235873231889</v>
      </c>
      <c r="AS308" s="5">
        <f t="shared" si="897"/>
        <v>1.2756940704961786</v>
      </c>
      <c r="AT308" s="5">
        <f t="shared" si="898"/>
        <v>2.3634295168270105</v>
      </c>
      <c r="AU308" s="173">
        <f t="shared" si="899"/>
        <v>0.35054980681063769</v>
      </c>
      <c r="BA308" s="173">
        <f t="shared" si="849"/>
        <v>12.63787097489443</v>
      </c>
      <c r="BB308" s="173">
        <f t="shared" si="850"/>
        <v>0.81230363538993078</v>
      </c>
      <c r="BC308" s="173">
        <f t="shared" si="851"/>
        <v>0.64224284650792585</v>
      </c>
      <c r="BD308" s="173"/>
      <c r="BE308" s="528">
        <f t="shared" si="852"/>
        <v>6.388631311123163</v>
      </c>
      <c r="BF308" s="528">
        <f t="shared" si="804"/>
        <v>5.2654266807025305</v>
      </c>
      <c r="BG308" s="528">
        <f t="shared" si="805"/>
        <v>0.15927453008314266</v>
      </c>
      <c r="BH308" s="528">
        <f t="shared" si="853"/>
        <v>2.9161479013839649E-2</v>
      </c>
      <c r="BI308">
        <f t="shared" si="854"/>
        <v>6.5207216169605392E-3</v>
      </c>
      <c r="BJ308" s="460">
        <f t="shared" si="855"/>
        <v>165.79525170010319</v>
      </c>
      <c r="BK308">
        <f t="shared" si="806"/>
        <v>-25.887517863490189</v>
      </c>
      <c r="BL308" s="460">
        <f t="shared" si="856"/>
        <v>11849.014722539638</v>
      </c>
      <c r="BM308" s="173">
        <f t="shared" si="807"/>
        <v>0.47913600000000001</v>
      </c>
      <c r="BN308" s="173">
        <f t="shared" si="808"/>
        <v>0.39928000000000002</v>
      </c>
      <c r="BQ308" s="460">
        <f t="shared" si="857"/>
        <v>878.41600000000005</v>
      </c>
      <c r="BR308" s="528">
        <f t="shared" si="858"/>
        <v>4.7914734833423722</v>
      </c>
      <c r="BS308" s="528">
        <f t="shared" si="859"/>
        <v>1.9795115882030929E-2</v>
      </c>
      <c r="BT308" s="528">
        <f t="shared" si="860"/>
        <v>2.062379369453016E-3</v>
      </c>
      <c r="BU308" s="528">
        <f t="shared" si="861"/>
        <v>520.14830610188744</v>
      </c>
      <c r="BV308" s="528"/>
      <c r="BW308" s="625">
        <f t="shared" si="862"/>
        <v>9.3899344563832958</v>
      </c>
      <c r="BX308" s="460">
        <f t="shared" si="863"/>
        <v>534351.57153686462</v>
      </c>
      <c r="BY308" s="173">
        <f t="shared" si="864"/>
        <v>547.07900225940432</v>
      </c>
      <c r="BZ308" s="5">
        <f t="shared" si="865"/>
        <v>99.36</v>
      </c>
      <c r="CA308" s="173">
        <f t="shared" si="866"/>
        <v>0.15370359717269755</v>
      </c>
      <c r="CB308" s="5">
        <f t="shared" si="867"/>
        <v>15.370359717269755</v>
      </c>
      <c r="CC308">
        <f t="shared" si="868"/>
        <v>92.000000000000014</v>
      </c>
      <c r="CE308" s="562">
        <f t="shared" si="809"/>
        <v>-50</v>
      </c>
      <c r="CG308" s="173">
        <f t="shared" si="810"/>
        <v>0.63612239068931697</v>
      </c>
      <c r="CH308" s="173">
        <f t="shared" si="811"/>
        <v>0.16261256374210345</v>
      </c>
      <c r="CI308" s="170">
        <v>92</v>
      </c>
      <c r="CJ308" s="217">
        <f t="shared" si="869"/>
        <v>0.55200000000000005</v>
      </c>
      <c r="CK308" s="217">
        <f t="shared" si="812"/>
        <v>0.46</v>
      </c>
      <c r="CL308" s="217">
        <f t="shared" si="813"/>
        <v>93.84</v>
      </c>
      <c r="CM308" s="217">
        <f t="shared" si="814"/>
        <v>5.5200000000000005</v>
      </c>
      <c r="CN308" s="541">
        <f t="shared" si="815"/>
        <v>16</v>
      </c>
      <c r="CO308" s="443">
        <f t="shared" si="816"/>
        <v>8.5350000000000001</v>
      </c>
      <c r="CP308" s="443">
        <f t="shared" si="817"/>
        <v>24.535</v>
      </c>
      <c r="CQ308" s="443"/>
      <c r="CR308" s="217">
        <f t="shared" si="818"/>
        <v>0.34760448521916415</v>
      </c>
      <c r="CS308" s="172">
        <f t="shared" si="819"/>
        <v>175.08966662891231</v>
      </c>
      <c r="CT308" s="172">
        <f t="shared" si="820"/>
        <v>10.2993921546419</v>
      </c>
      <c r="CU308" s="217">
        <f t="shared" si="821"/>
        <v>1.02993921546419</v>
      </c>
      <c r="CV308" s="217">
        <f t="shared" si="822"/>
        <v>14.590805552409359</v>
      </c>
      <c r="CW308" s="217">
        <f t="shared" si="823"/>
        <v>170</v>
      </c>
      <c r="CX308" s="217">
        <f t="shared" si="824"/>
        <v>35.730263929618765</v>
      </c>
      <c r="CY308" s="217">
        <f t="shared" si="825"/>
        <v>1.1165707478005864</v>
      </c>
      <c r="CZ308" s="217">
        <f t="shared" si="826"/>
        <v>2.0931613315535307</v>
      </c>
      <c r="DA308" s="197">
        <f t="shared" si="827"/>
        <v>350</v>
      </c>
      <c r="DB308" s="443">
        <f t="shared" si="828"/>
        <v>311.55248328428286</v>
      </c>
      <c r="DD308" s="217">
        <f t="shared" si="829"/>
        <v>31.805292730501623</v>
      </c>
      <c r="DE308" s="173">
        <f t="shared" si="830"/>
        <v>1.8632274593146818</v>
      </c>
      <c r="DF308" s="173">
        <f t="shared" si="831"/>
        <v>0.4897221442551708</v>
      </c>
      <c r="DG308" s="173"/>
      <c r="DH308" s="173">
        <f t="shared" si="832"/>
        <v>0.78109744190587771</v>
      </c>
      <c r="DI308" s="545">
        <f t="shared" si="833"/>
        <v>2244.8054117647066</v>
      </c>
      <c r="DJ308" s="528">
        <f t="shared" si="834"/>
        <v>8.6065366284073561E-2</v>
      </c>
      <c r="DL308" s="173">
        <f t="shared" si="835"/>
        <v>33.697816800838261</v>
      </c>
      <c r="DM308" s="173">
        <f t="shared" si="836"/>
        <v>35.730263929618765</v>
      </c>
      <c r="DN308" s="173">
        <f t="shared" si="837"/>
        <v>17.79031896021143</v>
      </c>
      <c r="DP308" s="545">
        <f t="shared" si="838"/>
        <v>552</v>
      </c>
      <c r="DQ308" s="460">
        <f t="shared" si="839"/>
        <v>311.55248328428286</v>
      </c>
      <c r="DS308">
        <f t="shared" si="840"/>
        <v>552</v>
      </c>
      <c r="DT308">
        <f t="shared" si="841"/>
        <v>311.55248328428286</v>
      </c>
      <c r="DV308" s="5">
        <f t="shared" si="870"/>
        <v>3.2097320793541169</v>
      </c>
      <c r="DW308" s="5">
        <f t="shared" si="842"/>
        <v>1.1165707478005864</v>
      </c>
      <c r="DX308" s="5">
        <f t="shared" si="843"/>
        <v>2.0931613315535307</v>
      </c>
      <c r="DY308" s="173">
        <f t="shared" si="844"/>
        <v>0.34787038923986141</v>
      </c>
      <c r="EA308" s="5">
        <f t="shared" si="871"/>
        <v>0.36255708987407276</v>
      </c>
      <c r="EB308" s="5">
        <f t="shared" si="872"/>
        <v>4.280187866568915</v>
      </c>
      <c r="EC308" s="5">
        <f t="shared" si="873"/>
        <v>19.642225935298335</v>
      </c>
      <c r="ED308" s="5"/>
      <c r="EE308" s="173">
        <f t="shared" si="874"/>
        <v>12.167022983485689</v>
      </c>
      <c r="EF308" s="173">
        <f t="shared" si="875"/>
        <v>0.78666345946367433</v>
      </c>
      <c r="EG308" s="173">
        <f t="shared" si="876"/>
        <v>0.62197059995576287</v>
      </c>
      <c r="EH308" s="173"/>
      <c r="EI308" s="528">
        <f t="shared" si="877"/>
        <v>5.9214579312267599</v>
      </c>
      <c r="EJ308" s="528">
        <f t="shared" si="878"/>
        <v>7.5108000000000006</v>
      </c>
      <c r="EK308" s="528">
        <f t="shared" si="879"/>
        <v>6.2310496656856569E-2</v>
      </c>
      <c r="EL308" s="528">
        <f t="shared" si="880"/>
        <v>3.750881445040307E-2</v>
      </c>
      <c r="EM308">
        <f t="shared" si="881"/>
        <v>7.1999999999999998E-3</v>
      </c>
      <c r="EN308" s="460">
        <f t="shared" si="882"/>
        <v>69.510496656856574</v>
      </c>
      <c r="EP308" s="460">
        <f t="shared" si="883"/>
        <v>13539.277242334019</v>
      </c>
      <c r="EQ308" s="173">
        <f t="shared" si="884"/>
        <v>0.38640000000000002</v>
      </c>
      <c r="ER308" s="173">
        <f t="shared" si="845"/>
        <v>0.39928000000000002</v>
      </c>
      <c r="ES308" s="528"/>
      <c r="EU308" s="460">
        <f t="shared" si="885"/>
        <v>785.68000000000006</v>
      </c>
      <c r="EV308" s="528">
        <f t="shared" si="886"/>
        <v>4.4410934484200695</v>
      </c>
      <c r="EW308" s="528">
        <f t="shared" si="887"/>
        <v>1.8565181953660678E-2</v>
      </c>
      <c r="EX308" s="528">
        <f t="shared" si="888"/>
        <v>1.9342371360466582E-3</v>
      </c>
      <c r="EY308" s="528">
        <f t="shared" si="889"/>
        <v>653.71523732256071</v>
      </c>
      <c r="EZ308" s="528"/>
      <c r="FA308" s="625">
        <f t="shared" si="890"/>
        <v>9.9436006566715704</v>
      </c>
      <c r="FB308" s="460">
        <f t="shared" si="891"/>
        <v>668120.43084674212</v>
      </c>
      <c r="FC308" s="173">
        <f t="shared" si="892"/>
        <v>682.44538808907612</v>
      </c>
      <c r="FD308" s="5">
        <f t="shared" si="893"/>
        <v>99.36</v>
      </c>
      <c r="FE308" s="173">
        <f t="shared" si="894"/>
        <v>0.12709045181034143</v>
      </c>
      <c r="FF308" s="5">
        <f t="shared" si="895"/>
        <v>12.709045181034142</v>
      </c>
      <c r="FG308">
        <f t="shared" si="896"/>
        <v>92.000000000000014</v>
      </c>
      <c r="FI308" s="562">
        <f t="shared" si="846"/>
        <v>-50</v>
      </c>
    </row>
    <row r="309" spans="5:169">
      <c r="E309" s="170">
        <v>93</v>
      </c>
      <c r="F309" s="217">
        <f t="shared" si="847"/>
        <v>0.55800000000000005</v>
      </c>
      <c r="G309" s="217">
        <f t="shared" si="775"/>
        <v>0.46500000000000002</v>
      </c>
      <c r="H309" s="217">
        <f t="shared" si="776"/>
        <v>94.860000000000014</v>
      </c>
      <c r="I309" s="217">
        <f t="shared" si="777"/>
        <v>5.58</v>
      </c>
      <c r="J309" s="541">
        <f t="shared" si="778"/>
        <v>14.474084791722952</v>
      </c>
      <c r="K309" s="443">
        <f t="shared" si="779"/>
        <v>8.5446087891769409</v>
      </c>
      <c r="L309" s="172">
        <f t="shared" si="780"/>
        <v>23.018693580899892</v>
      </c>
      <c r="M309" s="443"/>
      <c r="N309" s="217">
        <f t="shared" si="781"/>
        <v>0.37120302936162103</v>
      </c>
      <c r="O309" s="172">
        <f t="shared" si="782"/>
        <v>169.14446309762403</v>
      </c>
      <c r="P309" s="172">
        <f t="shared" si="783"/>
        <v>9.9496742998602361</v>
      </c>
      <c r="Q309" s="217">
        <f t="shared" si="784"/>
        <v>0.99496742998602372</v>
      </c>
      <c r="R309" s="217">
        <f t="shared" si="785"/>
        <v>14.095371924802002</v>
      </c>
      <c r="S309" s="217">
        <f t="shared" si="786"/>
        <v>170</v>
      </c>
      <c r="T309" s="217">
        <f t="shared" si="787"/>
        <v>37.388158525473102</v>
      </c>
      <c r="U309" s="217">
        <f t="shared" si="788"/>
        <v>1.2915551851283069</v>
      </c>
      <c r="V309" s="217">
        <f t="shared" si="789"/>
        <v>2.1878215520429061</v>
      </c>
      <c r="W309" s="197">
        <f t="shared" si="790"/>
        <v>350</v>
      </c>
      <c r="X309" s="443">
        <f t="shared" si="848"/>
        <v>271.78516130121056</v>
      </c>
      <c r="Z309" s="217">
        <f t="shared" si="791"/>
        <v>30.701852125283018</v>
      </c>
      <c r="AA309" s="173">
        <f t="shared" si="792"/>
        <v>1.7965627732525113</v>
      </c>
      <c r="AB309" s="173">
        <f t="shared" si="793"/>
        <v>0.45581796855446172</v>
      </c>
      <c r="AC309" s="173"/>
      <c r="AD309" s="173">
        <f t="shared" si="794"/>
        <v>0.78021906340651004</v>
      </c>
      <c r="AE309" s="545">
        <f t="shared" si="795"/>
        <v>2271.7601650189381</v>
      </c>
      <c r="AF309" s="528">
        <f t="shared" si="796"/>
        <v>8.5968581986458042E-2</v>
      </c>
      <c r="AH309" s="173">
        <f t="shared" si="797"/>
        <v>33.880462132115532</v>
      </c>
      <c r="AI309" s="173">
        <f t="shared" si="798"/>
        <v>37.388158525473102</v>
      </c>
      <c r="AJ309" s="173">
        <f t="shared" si="799"/>
        <v>19.018389031214642</v>
      </c>
      <c r="AL309" s="545">
        <f t="shared" si="800"/>
        <v>558</v>
      </c>
      <c r="AM309" s="460">
        <f t="shared" si="801"/>
        <v>271.78516130121056</v>
      </c>
      <c r="AO309">
        <f t="shared" si="802"/>
        <v>558</v>
      </c>
      <c r="AP309">
        <f t="shared" si="803"/>
        <v>271.78516130121056</v>
      </c>
      <c r="AR309" s="5">
        <f t="shared" si="774"/>
        <v>3.6793767371712134</v>
      </c>
      <c r="AS309" s="5">
        <f t="shared" si="897"/>
        <v>1.2915551851283069</v>
      </c>
      <c r="AT309" s="5">
        <f t="shared" si="898"/>
        <v>2.3878215520429062</v>
      </c>
      <c r="AU309" s="173">
        <f t="shared" si="899"/>
        <v>0.35102553431951172</v>
      </c>
      <c r="BA309" s="173">
        <f t="shared" si="849"/>
        <v>12.789183026337886</v>
      </c>
      <c r="BB309" s="173">
        <f t="shared" si="850"/>
        <v>0.82117113192371183</v>
      </c>
      <c r="BC309" s="173">
        <f t="shared" si="851"/>
        <v>0.64925387781091992</v>
      </c>
      <c r="BD309" s="173"/>
      <c r="BE309" s="528">
        <f t="shared" si="852"/>
        <v>6.5425280992467645</v>
      </c>
      <c r="BF309" s="528">
        <f t="shared" si="804"/>
        <v>5.2628744181159854</v>
      </c>
      <c r="BG309" s="528">
        <f t="shared" si="805"/>
        <v>0.15735365879223284</v>
      </c>
      <c r="BH309" s="528">
        <f t="shared" si="853"/>
        <v>2.8801630929412809E-2</v>
      </c>
      <c r="BI309">
        <f t="shared" si="854"/>
        <v>6.5133381562753282E-3</v>
      </c>
      <c r="BJ309" s="460">
        <f t="shared" si="855"/>
        <v>163.86699694850819</v>
      </c>
      <c r="BK309">
        <f t="shared" si="806"/>
        <v>-24.527632163273225</v>
      </c>
      <c r="BL309" s="460">
        <f t="shared" si="856"/>
        <v>11998.07114524067</v>
      </c>
      <c r="BM309" s="173">
        <f t="shared" si="807"/>
        <v>0.484344</v>
      </c>
      <c r="BN309" s="173">
        <f t="shared" si="808"/>
        <v>0.40362000000000003</v>
      </c>
      <c r="BQ309" s="460">
        <f t="shared" si="857"/>
        <v>887.96399999999994</v>
      </c>
      <c r="BR309" s="528">
        <f t="shared" si="858"/>
        <v>4.9068960744350729</v>
      </c>
      <c r="BS309" s="528">
        <f t="shared" si="859"/>
        <v>2.0229660837146106E-2</v>
      </c>
      <c r="BT309" s="528">
        <f t="shared" si="860"/>
        <v>2.1076529892625848E-3</v>
      </c>
      <c r="BU309" s="528">
        <f t="shared" si="861"/>
        <v>520.43865688095923</v>
      </c>
      <c r="BV309" s="528"/>
      <c r="BW309" s="625">
        <f t="shared" si="862"/>
        <v>9.4980379679781333</v>
      </c>
      <c r="BX309" s="460">
        <f t="shared" si="863"/>
        <v>534865.92823719885</v>
      </c>
      <c r="BY309" s="173">
        <f t="shared" si="864"/>
        <v>547.7519633824395</v>
      </c>
      <c r="BZ309" s="5">
        <f t="shared" si="865"/>
        <v>100.44000000000001</v>
      </c>
      <c r="CA309" s="173">
        <f t="shared" si="866"/>
        <v>0.15495409643136757</v>
      </c>
      <c r="CB309" s="5">
        <f t="shared" si="867"/>
        <v>15.495409643136757</v>
      </c>
      <c r="CC309">
        <f t="shared" si="868"/>
        <v>93.000000000000014</v>
      </c>
      <c r="CE309" s="562">
        <f t="shared" si="809"/>
        <v>-50</v>
      </c>
      <c r="CG309" s="173">
        <f t="shared" si="810"/>
        <v>0.63612239068931709</v>
      </c>
      <c r="CH309" s="173">
        <f t="shared" si="811"/>
        <v>0.16261256374210348</v>
      </c>
      <c r="CI309" s="170">
        <v>93</v>
      </c>
      <c r="CJ309" s="217">
        <f t="shared" si="869"/>
        <v>0.55800000000000005</v>
      </c>
      <c r="CK309" s="217">
        <f t="shared" si="812"/>
        <v>0.46500000000000002</v>
      </c>
      <c r="CL309" s="217">
        <f t="shared" si="813"/>
        <v>94.860000000000014</v>
      </c>
      <c r="CM309" s="217">
        <f t="shared" si="814"/>
        <v>5.58</v>
      </c>
      <c r="CN309" s="541">
        <f t="shared" si="815"/>
        <v>16</v>
      </c>
      <c r="CO309" s="443">
        <f t="shared" si="816"/>
        <v>8.5350000000000001</v>
      </c>
      <c r="CP309" s="443">
        <f t="shared" si="817"/>
        <v>24.535</v>
      </c>
      <c r="CQ309" s="443"/>
      <c r="CR309" s="217">
        <f t="shared" si="818"/>
        <v>0.34760448521916415</v>
      </c>
      <c r="CS309" s="172">
        <f t="shared" si="819"/>
        <v>175.08966662891231</v>
      </c>
      <c r="CT309" s="172">
        <f t="shared" si="820"/>
        <v>10.2993921546419</v>
      </c>
      <c r="CU309" s="217">
        <f t="shared" si="821"/>
        <v>1.02993921546419</v>
      </c>
      <c r="CV309" s="217">
        <f t="shared" si="822"/>
        <v>14.590805552409359</v>
      </c>
      <c r="CW309" s="217">
        <f t="shared" si="823"/>
        <v>170</v>
      </c>
      <c r="CX309" s="217">
        <f t="shared" si="824"/>
        <v>36.118636363636362</v>
      </c>
      <c r="CY309" s="217">
        <f t="shared" si="825"/>
        <v>1.1287073863636363</v>
      </c>
      <c r="CZ309" s="217">
        <f t="shared" si="826"/>
        <v>2.1159130851573731</v>
      </c>
      <c r="DA309" s="197">
        <f t="shared" si="827"/>
        <v>350</v>
      </c>
      <c r="DB309" s="443">
        <f t="shared" si="828"/>
        <v>308.20245658230141</v>
      </c>
      <c r="DD309" s="217">
        <f t="shared" si="829"/>
        <v>31.805292730501623</v>
      </c>
      <c r="DE309" s="173">
        <f t="shared" si="830"/>
        <v>1.8632274593146818</v>
      </c>
      <c r="DF309" s="173">
        <f t="shared" si="831"/>
        <v>0.4897221442551708</v>
      </c>
      <c r="DG309" s="173"/>
      <c r="DH309" s="173">
        <f t="shared" si="832"/>
        <v>0.78109744190587771</v>
      </c>
      <c r="DI309" s="545">
        <f t="shared" si="833"/>
        <v>2269.2054705882356</v>
      </c>
      <c r="DJ309" s="528">
        <f t="shared" si="834"/>
        <v>8.6065366284073561E-2</v>
      </c>
      <c r="DL309" s="173">
        <f t="shared" si="835"/>
        <v>33.880462132115532</v>
      </c>
      <c r="DM309" s="173">
        <f t="shared" si="836"/>
        <v>36.118636363636362</v>
      </c>
      <c r="DN309" s="173">
        <f t="shared" si="837"/>
        <v>18.078002244668909</v>
      </c>
      <c r="DP309" s="545">
        <f t="shared" si="838"/>
        <v>558</v>
      </c>
      <c r="DQ309" s="460">
        <f t="shared" si="839"/>
        <v>308.20245658230141</v>
      </c>
      <c r="DS309">
        <f t="shared" si="840"/>
        <v>558</v>
      </c>
      <c r="DT309">
        <f t="shared" si="841"/>
        <v>308.20245658230141</v>
      </c>
      <c r="DV309" s="5">
        <f t="shared" si="870"/>
        <v>3.2446204715210087</v>
      </c>
      <c r="DW309" s="5">
        <f t="shared" si="842"/>
        <v>1.1287073863636363</v>
      </c>
      <c r="DX309" s="5">
        <f t="shared" si="843"/>
        <v>2.1159130851573726</v>
      </c>
      <c r="DY309" s="173">
        <f t="shared" si="844"/>
        <v>0.34787038923986152</v>
      </c>
      <c r="EA309" s="5">
        <f t="shared" si="871"/>
        <v>0.37048160093582894</v>
      </c>
      <c r="EB309" s="5">
        <f t="shared" si="872"/>
        <v>4.3737411221590907</v>
      </c>
      <c r="EC309" s="5">
        <f t="shared" si="873"/>
        <v>20.071551525802839</v>
      </c>
      <c r="ED309" s="5"/>
      <c r="EE309" s="173">
        <f t="shared" si="874"/>
        <v>12.299273233306188</v>
      </c>
      <c r="EF309" s="173">
        <f t="shared" si="875"/>
        <v>0.79521414924045319</v>
      </c>
      <c r="EG309" s="173">
        <f t="shared" si="876"/>
        <v>0.6287311499552819</v>
      </c>
      <c r="EH309" s="173"/>
      <c r="EI309" s="528">
        <f t="shared" si="877"/>
        <v>6.0508848827008821</v>
      </c>
      <c r="EJ309" s="528">
        <f t="shared" si="878"/>
        <v>7.5108000000000024</v>
      </c>
      <c r="EK309" s="528">
        <f t="shared" si="879"/>
        <v>6.164049131646028E-2</v>
      </c>
      <c r="EL309" s="528">
        <f t="shared" si="880"/>
        <v>3.7105493864914879E-2</v>
      </c>
      <c r="EM309">
        <f t="shared" si="881"/>
        <v>7.1999999999999998E-3</v>
      </c>
      <c r="EN309" s="460">
        <f t="shared" si="882"/>
        <v>68.840491316460273</v>
      </c>
      <c r="EP309" s="460">
        <f t="shared" si="883"/>
        <v>13667.630867882259</v>
      </c>
      <c r="EQ309" s="173">
        <f t="shared" si="884"/>
        <v>0.3906</v>
      </c>
      <c r="ER309" s="173">
        <f t="shared" si="845"/>
        <v>0.40362000000000003</v>
      </c>
      <c r="ES309" s="528"/>
      <c r="EU309" s="460">
        <f t="shared" si="885"/>
        <v>794.22</v>
      </c>
      <c r="EV309" s="528">
        <f t="shared" si="886"/>
        <v>4.5381636620256609</v>
      </c>
      <c r="EW309" s="528">
        <f t="shared" si="887"/>
        <v>1.897096629456653E-2</v>
      </c>
      <c r="EX309" s="528">
        <f t="shared" si="888"/>
        <v>1.976514294620456E-3</v>
      </c>
      <c r="EY309" s="528">
        <f t="shared" si="889"/>
        <v>653.71523732256071</v>
      </c>
      <c r="EZ309" s="528"/>
      <c r="FA309" s="625">
        <f t="shared" si="890"/>
        <v>10.05168327250496</v>
      </c>
      <c r="FB309" s="460">
        <f t="shared" si="891"/>
        <v>668326.03173768055</v>
      </c>
      <c r="FC309" s="173">
        <f t="shared" si="892"/>
        <v>682.7878826055628</v>
      </c>
      <c r="FD309" s="5">
        <f t="shared" si="893"/>
        <v>100.44000000000001</v>
      </c>
      <c r="FE309" s="173">
        <f t="shared" si="894"/>
        <v>0.12823853980512853</v>
      </c>
      <c r="FF309" s="5">
        <f t="shared" si="895"/>
        <v>12.823853980512853</v>
      </c>
      <c r="FG309">
        <f t="shared" si="896"/>
        <v>93.000000000000014</v>
      </c>
      <c r="FI309" s="562">
        <f t="shared" si="846"/>
        <v>-50</v>
      </c>
    </row>
    <row r="310" spans="5:169">
      <c r="E310" s="170">
        <v>94</v>
      </c>
      <c r="F310" s="217">
        <f t="shared" si="847"/>
        <v>0.56399999999999995</v>
      </c>
      <c r="G310" s="217">
        <f t="shared" si="775"/>
        <v>0.47</v>
      </c>
      <c r="H310" s="217">
        <f t="shared" si="776"/>
        <v>95.88</v>
      </c>
      <c r="I310" s="217">
        <f t="shared" si="777"/>
        <v>5.64</v>
      </c>
      <c r="J310" s="541">
        <f t="shared" si="778"/>
        <v>14.45767710131137</v>
      </c>
      <c r="K310" s="443">
        <f t="shared" si="779"/>
        <v>8.5447121094906713</v>
      </c>
      <c r="L310" s="172">
        <f t="shared" si="780"/>
        <v>23.002389210802043</v>
      </c>
      <c r="M310" s="443"/>
      <c r="N310" s="217">
        <f t="shared" si="781"/>
        <v>0.37147063425385524</v>
      </c>
      <c r="O310" s="172">
        <f t="shared" si="782"/>
        <v>169.0745226023088</v>
      </c>
      <c r="P310" s="172">
        <f t="shared" si="783"/>
        <v>9.9455601530769879</v>
      </c>
      <c r="Q310" s="217">
        <f t="shared" si="784"/>
        <v>0.99455601530769888</v>
      </c>
      <c r="R310" s="217">
        <f t="shared" si="785"/>
        <v>14.089543550192401</v>
      </c>
      <c r="S310" s="217">
        <f t="shared" si="786"/>
        <v>170</v>
      </c>
      <c r="T310" s="217">
        <f t="shared" si="787"/>
        <v>37.805814274188663</v>
      </c>
      <c r="U310" s="217">
        <f t="shared" si="788"/>
        <v>1.3074650239200429</v>
      </c>
      <c r="V310" s="217">
        <f t="shared" si="789"/>
        <v>2.2122345252684097</v>
      </c>
      <c r="W310" s="197">
        <f t="shared" si="790"/>
        <v>350</v>
      </c>
      <c r="X310" s="443">
        <f t="shared" si="848"/>
        <v>268.83891743841929</v>
      </c>
      <c r="Z310" s="217">
        <f t="shared" si="791"/>
        <v>30.689157043780423</v>
      </c>
      <c r="AA310" s="173">
        <f t="shared" si="792"/>
        <v>1.7957981878461278</v>
      </c>
      <c r="AB310" s="173">
        <f t="shared" si="793"/>
        <v>0.45543558195026307</v>
      </c>
      <c r="AC310" s="173"/>
      <c r="AD310" s="173">
        <f t="shared" si="794"/>
        <v>0.78020962921172654</v>
      </c>
      <c r="AE310" s="545">
        <f t="shared" si="795"/>
        <v>2296.2154588821868</v>
      </c>
      <c r="AF310" s="528">
        <f t="shared" si="796"/>
        <v>8.5967542477958764E-2</v>
      </c>
      <c r="AH310" s="173">
        <f t="shared" si="797"/>
        <v>34.062128110682863</v>
      </c>
      <c r="AI310" s="173">
        <f t="shared" si="798"/>
        <v>37.805814274188663</v>
      </c>
      <c r="AJ310" s="173">
        <f t="shared" si="799"/>
        <v>19.327763659892831</v>
      </c>
      <c r="AL310" s="545">
        <f t="shared" si="800"/>
        <v>564</v>
      </c>
      <c r="AM310" s="460">
        <f t="shared" si="801"/>
        <v>268.83891743841929</v>
      </c>
      <c r="AO310">
        <f t="shared" si="802"/>
        <v>564</v>
      </c>
      <c r="AP310">
        <f t="shared" si="803"/>
        <v>268.83891743841929</v>
      </c>
      <c r="AR310" s="5">
        <f t="shared" si="774"/>
        <v>3.7196995491884532</v>
      </c>
      <c r="AS310" s="5">
        <f t="shared" si="897"/>
        <v>1.3074650239200429</v>
      </c>
      <c r="AT310" s="5">
        <f t="shared" si="898"/>
        <v>2.4122345252684103</v>
      </c>
      <c r="AU310" s="173">
        <f t="shared" si="899"/>
        <v>0.35149748161926131</v>
      </c>
      <c r="BA310" s="173">
        <f t="shared" si="849"/>
        <v>12.940738998041047</v>
      </c>
      <c r="BB310" s="173">
        <f t="shared" si="850"/>
        <v>0.83004229631571191</v>
      </c>
      <c r="BC310" s="173">
        <f t="shared" si="851"/>
        <v>0.65626780908333504</v>
      </c>
      <c r="BD310" s="173"/>
      <c r="BE310" s="528">
        <f t="shared" si="852"/>
        <v>6.6985090326168155</v>
      </c>
      <c r="BF310" s="528">
        <f t="shared" si="804"/>
        <v>5.2602477604698095</v>
      </c>
      <c r="BG310" s="528">
        <f t="shared" si="805"/>
        <v>0.15547145042363092</v>
      </c>
      <c r="BH310" s="528">
        <f t="shared" si="853"/>
        <v>2.8449067050088012E-2</v>
      </c>
      <c r="BI310">
        <f t="shared" si="854"/>
        <v>6.5059546955901163E-3</v>
      </c>
      <c r="BJ310" s="460">
        <f t="shared" si="855"/>
        <v>161.97740511922103</v>
      </c>
      <c r="BK310">
        <f t="shared" si="806"/>
        <v>-23.320828477196578</v>
      </c>
      <c r="BL310" s="460">
        <f t="shared" si="856"/>
        <v>12149.183265255935</v>
      </c>
      <c r="BM310" s="173">
        <f t="shared" si="807"/>
        <v>0.48955199999999993</v>
      </c>
      <c r="BN310" s="173">
        <f t="shared" si="808"/>
        <v>0.40795999999999993</v>
      </c>
      <c r="BQ310" s="460">
        <f t="shared" si="857"/>
        <v>897.51199999999983</v>
      </c>
      <c r="BR310" s="528">
        <f t="shared" si="858"/>
        <v>5.0238817744626116</v>
      </c>
      <c r="BS310" s="528">
        <f t="shared" si="859"/>
        <v>2.0669106410191804E-2</v>
      </c>
      <c r="BT310" s="528">
        <f t="shared" si="860"/>
        <v>2.1534371861952036E-3</v>
      </c>
      <c r="BU310" s="528">
        <f t="shared" si="861"/>
        <v>520.71110561536454</v>
      </c>
      <c r="BV310" s="528"/>
      <c r="BW310" s="625">
        <f t="shared" si="862"/>
        <v>9.6061494620330343</v>
      </c>
      <c r="BX310" s="460">
        <f t="shared" si="863"/>
        <v>535363.95939545659</v>
      </c>
      <c r="BY310" s="173">
        <f t="shared" si="864"/>
        <v>548.41065466071257</v>
      </c>
      <c r="BZ310" s="5">
        <f t="shared" si="865"/>
        <v>101.52</v>
      </c>
      <c r="CA310" s="173">
        <f t="shared" si="866"/>
        <v>0.15620127973960105</v>
      </c>
      <c r="CB310" s="5">
        <f t="shared" si="867"/>
        <v>15.620127973960104</v>
      </c>
      <c r="CC310">
        <f t="shared" si="868"/>
        <v>94</v>
      </c>
      <c r="CE310" s="562">
        <f t="shared" si="809"/>
        <v>-50</v>
      </c>
      <c r="CG310" s="173">
        <f t="shared" si="810"/>
        <v>0.63612239068931709</v>
      </c>
      <c r="CH310" s="173">
        <f t="shared" si="811"/>
        <v>0.16261256374210348</v>
      </c>
      <c r="CI310" s="170">
        <v>94</v>
      </c>
      <c r="CJ310" s="217">
        <f t="shared" si="869"/>
        <v>0.56399999999999995</v>
      </c>
      <c r="CK310" s="217">
        <f t="shared" si="812"/>
        <v>0.47</v>
      </c>
      <c r="CL310" s="217">
        <f t="shared" si="813"/>
        <v>95.88</v>
      </c>
      <c r="CM310" s="217">
        <f t="shared" si="814"/>
        <v>5.64</v>
      </c>
      <c r="CN310" s="541">
        <f t="shared" si="815"/>
        <v>16</v>
      </c>
      <c r="CO310" s="443">
        <f t="shared" si="816"/>
        <v>8.5350000000000001</v>
      </c>
      <c r="CP310" s="443">
        <f t="shared" si="817"/>
        <v>24.535</v>
      </c>
      <c r="CQ310" s="443"/>
      <c r="CR310" s="217">
        <f t="shared" si="818"/>
        <v>0.34760448521916415</v>
      </c>
      <c r="CS310" s="172">
        <f t="shared" si="819"/>
        <v>175.08966662891231</v>
      </c>
      <c r="CT310" s="172">
        <f t="shared" si="820"/>
        <v>10.2993921546419</v>
      </c>
      <c r="CU310" s="217">
        <f t="shared" si="821"/>
        <v>1.02993921546419</v>
      </c>
      <c r="CV310" s="217">
        <f t="shared" si="822"/>
        <v>14.590805552409359</v>
      </c>
      <c r="CW310" s="217">
        <f t="shared" si="823"/>
        <v>170</v>
      </c>
      <c r="CX310" s="217">
        <f t="shared" si="824"/>
        <v>36.507008797653953</v>
      </c>
      <c r="CY310" s="217">
        <f t="shared" si="825"/>
        <v>1.140844024926686</v>
      </c>
      <c r="CZ310" s="217">
        <f t="shared" si="826"/>
        <v>2.1386648387612155</v>
      </c>
      <c r="DA310" s="197">
        <f t="shared" si="827"/>
        <v>350</v>
      </c>
      <c r="DB310" s="443">
        <f t="shared" si="828"/>
        <v>304.92370704419181</v>
      </c>
      <c r="DD310" s="217">
        <f t="shared" si="829"/>
        <v>31.805292730501623</v>
      </c>
      <c r="DE310" s="173">
        <f t="shared" si="830"/>
        <v>1.8632274593146818</v>
      </c>
      <c r="DF310" s="173">
        <f t="shared" si="831"/>
        <v>0.4897221442551708</v>
      </c>
      <c r="DG310" s="173"/>
      <c r="DH310" s="173">
        <f t="shared" si="832"/>
        <v>0.78109744190587771</v>
      </c>
      <c r="DI310" s="545">
        <f t="shared" si="833"/>
        <v>2293.6055294117646</v>
      </c>
      <c r="DJ310" s="528">
        <f t="shared" si="834"/>
        <v>8.6065366284073561E-2</v>
      </c>
      <c r="DL310" s="173">
        <f t="shared" si="835"/>
        <v>34.062128110682863</v>
      </c>
      <c r="DM310" s="173">
        <f t="shared" si="836"/>
        <v>36.507008797653953</v>
      </c>
      <c r="DN310" s="173">
        <f t="shared" si="837"/>
        <v>18.365685529126381</v>
      </c>
      <c r="DP310" s="545">
        <f t="shared" si="838"/>
        <v>564</v>
      </c>
      <c r="DQ310" s="460">
        <f t="shared" si="839"/>
        <v>304.92370704419181</v>
      </c>
      <c r="DS310">
        <f t="shared" si="840"/>
        <v>564</v>
      </c>
      <c r="DT310">
        <f t="shared" si="841"/>
        <v>304.92370704419181</v>
      </c>
      <c r="DV310" s="5">
        <f t="shared" si="870"/>
        <v>3.2795088636879011</v>
      </c>
      <c r="DW310" s="5">
        <f t="shared" si="842"/>
        <v>1.140844024926686</v>
      </c>
      <c r="DX310" s="5">
        <f t="shared" si="843"/>
        <v>2.138664838761215</v>
      </c>
      <c r="DY310" s="173">
        <f t="shared" si="844"/>
        <v>0.34787038923986152</v>
      </c>
      <c r="EA310" s="5">
        <f t="shared" si="871"/>
        <v>0.37849178238744163</v>
      </c>
      <c r="EB310" s="5">
        <f t="shared" si="872"/>
        <v>4.4683057642961872</v>
      </c>
      <c r="EC310" s="5">
        <f t="shared" si="873"/>
        <v>20.505518474042528</v>
      </c>
      <c r="ED310" s="5"/>
      <c r="EE310" s="173">
        <f t="shared" si="874"/>
        <v>12.431523483126682</v>
      </c>
      <c r="EF310" s="173">
        <f t="shared" si="875"/>
        <v>0.80376483901723206</v>
      </c>
      <c r="EG310" s="173">
        <f t="shared" si="876"/>
        <v>0.63549169995480104</v>
      </c>
      <c r="EH310" s="173"/>
      <c r="EI310" s="528">
        <f t="shared" si="877"/>
        <v>6.1817110444612062</v>
      </c>
      <c r="EJ310" s="528">
        <f t="shared" si="878"/>
        <v>7.5108000000000024</v>
      </c>
      <c r="EK310" s="528">
        <f t="shared" si="879"/>
        <v>6.0984741408838361E-2</v>
      </c>
      <c r="EL310" s="528">
        <f t="shared" si="880"/>
        <v>3.6710754568479609E-2</v>
      </c>
      <c r="EM310">
        <f t="shared" si="881"/>
        <v>7.1999999999999998E-3</v>
      </c>
      <c r="EN310" s="460">
        <f t="shared" si="882"/>
        <v>68.184741408838363</v>
      </c>
      <c r="EP310" s="460">
        <f t="shared" si="883"/>
        <v>13797.406540438526</v>
      </c>
      <c r="EQ310" s="173">
        <f t="shared" si="884"/>
        <v>0.39479999999999993</v>
      </c>
      <c r="ER310" s="173">
        <f t="shared" si="845"/>
        <v>0.40795999999999993</v>
      </c>
      <c r="ES310" s="528"/>
      <c r="EU310" s="460">
        <f t="shared" si="885"/>
        <v>802.75999999999988</v>
      </c>
      <c r="EV310" s="528">
        <f t="shared" si="886"/>
        <v>4.6362832833459038</v>
      </c>
      <c r="EW310" s="528">
        <f t="shared" si="887"/>
        <v>1.9381137493211908E-2</v>
      </c>
      <c r="EX310" s="528">
        <f t="shared" si="888"/>
        <v>2.0192485035572146E-3</v>
      </c>
      <c r="EY310" s="528">
        <f t="shared" si="889"/>
        <v>653.71523732256185</v>
      </c>
      <c r="EZ310" s="528"/>
      <c r="FA310" s="625">
        <f t="shared" si="890"/>
        <v>10.159765888338343</v>
      </c>
      <c r="FB310" s="460">
        <f t="shared" si="891"/>
        <v>668532.68688024289</v>
      </c>
      <c r="FC310" s="173">
        <f t="shared" si="892"/>
        <v>683.13285342068139</v>
      </c>
      <c r="FD310" s="5">
        <f t="shared" si="893"/>
        <v>101.52</v>
      </c>
      <c r="FE310" s="173">
        <f t="shared" si="894"/>
        <v>0.12938205673684255</v>
      </c>
      <c r="FF310" s="5">
        <f t="shared" si="895"/>
        <v>12.938205673684255</v>
      </c>
      <c r="FG310">
        <f t="shared" si="896"/>
        <v>94</v>
      </c>
      <c r="FI310" s="562">
        <f t="shared" si="846"/>
        <v>-50</v>
      </c>
    </row>
    <row r="311" spans="5:169">
      <c r="E311" s="170">
        <v>95</v>
      </c>
      <c r="F311" s="217">
        <f t="shared" si="847"/>
        <v>0.56999999999999995</v>
      </c>
      <c r="G311" s="217">
        <f t="shared" si="775"/>
        <v>0.47499999999999998</v>
      </c>
      <c r="H311" s="217">
        <f t="shared" si="776"/>
        <v>96.899999999999991</v>
      </c>
      <c r="I311" s="217">
        <f t="shared" si="777"/>
        <v>5.6999999999999993</v>
      </c>
      <c r="J311" s="541">
        <f t="shared" si="778"/>
        <v>14.441269410899789</v>
      </c>
      <c r="K311" s="443">
        <f t="shared" si="779"/>
        <v>8.5448154298043999</v>
      </c>
      <c r="L311" s="172">
        <f t="shared" si="780"/>
        <v>22.986084840704187</v>
      </c>
      <c r="M311" s="443"/>
      <c r="N311" s="217">
        <f t="shared" si="781"/>
        <v>0.37173861877830894</v>
      </c>
      <c r="O311" s="172">
        <f t="shared" si="782"/>
        <v>169.00447824375303</v>
      </c>
      <c r="P311" s="172">
        <f t="shared" si="783"/>
        <v>9.9414398966913531</v>
      </c>
      <c r="Q311" s="217">
        <f t="shared" si="784"/>
        <v>0.99414398966913542</v>
      </c>
      <c r="R311" s="217">
        <f t="shared" si="785"/>
        <v>14.083706520312752</v>
      </c>
      <c r="S311" s="217">
        <f t="shared" si="786"/>
        <v>170</v>
      </c>
      <c r="T311" s="217">
        <f t="shared" si="787"/>
        <v>38.223839197224251</v>
      </c>
      <c r="U311" s="217">
        <f t="shared" si="788"/>
        <v>1.3234237970927323</v>
      </c>
      <c r="V311" s="217">
        <f t="shared" si="789"/>
        <v>2.2366685103518518</v>
      </c>
      <c r="W311" s="197">
        <f t="shared" si="790"/>
        <v>350</v>
      </c>
      <c r="X311" s="443">
        <f t="shared" si="848"/>
        <v>265.95091775276524</v>
      </c>
      <c r="Z311" s="217">
        <f t="shared" si="791"/>
        <v>30.676443109790462</v>
      </c>
      <c r="AA311" s="173">
        <f t="shared" si="792"/>
        <v>1.7950325177762603</v>
      </c>
      <c r="AB311" s="173">
        <f t="shared" si="793"/>
        <v>0.45505280114602076</v>
      </c>
      <c r="AC311" s="173"/>
      <c r="AD311" s="173">
        <f t="shared" si="794"/>
        <v>0.78020019524509188</v>
      </c>
      <c r="AE311" s="545">
        <f t="shared" si="795"/>
        <v>2320.6713434945245</v>
      </c>
      <c r="AF311" s="528">
        <f t="shared" si="796"/>
        <v>8.5966502994598085E-2</v>
      </c>
      <c r="AH311" s="173">
        <f t="shared" si="797"/>
        <v>34.24283032360831</v>
      </c>
      <c r="AI311" s="173">
        <f t="shared" si="798"/>
        <v>38.223839197224251</v>
      </c>
      <c r="AJ311" s="173">
        <f t="shared" si="799"/>
        <v>19.637411751030307</v>
      </c>
      <c r="AL311" s="545">
        <f t="shared" si="800"/>
        <v>570</v>
      </c>
      <c r="AM311" s="460">
        <f t="shared" si="801"/>
        <v>265.95091775276524</v>
      </c>
      <c r="AO311">
        <f t="shared" si="802"/>
        <v>570</v>
      </c>
      <c r="AP311">
        <f t="shared" si="803"/>
        <v>265.95091775276524</v>
      </c>
      <c r="AR311" s="5">
        <f t="shared" si="774"/>
        <v>3.7600923074445847</v>
      </c>
      <c r="AS311" s="5">
        <f t="shared" si="897"/>
        <v>1.3234237970927323</v>
      </c>
      <c r="AT311" s="5">
        <f t="shared" si="898"/>
        <v>2.4366685103518524</v>
      </c>
      <c r="AU311" s="173">
        <f t="shared" si="899"/>
        <v>0.3519657734126615</v>
      </c>
      <c r="BA311" s="173">
        <f t="shared" si="849"/>
        <v>13.092539550511784</v>
      </c>
      <c r="BB311" s="173">
        <f t="shared" si="850"/>
        <v>0.83891714604482182</v>
      </c>
      <c r="BC311" s="173">
        <f t="shared" si="851"/>
        <v>0.66328465414474802</v>
      </c>
      <c r="BD311" s="173"/>
      <c r="BE311" s="528">
        <f t="shared" si="852"/>
        <v>6.8565836752686122</v>
      </c>
      <c r="BF311" s="528">
        <f t="shared" si="804"/>
        <v>5.2575489176604586</v>
      </c>
      <c r="BG311" s="528">
        <f t="shared" si="805"/>
        <v>0.1536267541337494</v>
      </c>
      <c r="BH311" s="528">
        <f t="shared" si="853"/>
        <v>2.8103570503200347E-2</v>
      </c>
      <c r="BI311">
        <f t="shared" si="854"/>
        <v>6.4985712349049053E-3</v>
      </c>
      <c r="BJ311" s="460">
        <f t="shared" si="855"/>
        <v>160.1253253686543</v>
      </c>
      <c r="BK311">
        <f t="shared" si="806"/>
        <v>-22.242844812933704</v>
      </c>
      <c r="BL311" s="460">
        <f t="shared" si="856"/>
        <v>12302.361488800927</v>
      </c>
      <c r="BM311" s="173">
        <f t="shared" si="807"/>
        <v>0.49475999999999998</v>
      </c>
      <c r="BN311" s="173">
        <f t="shared" si="808"/>
        <v>0.41229999999999994</v>
      </c>
      <c r="BQ311" s="460">
        <f t="shared" si="857"/>
        <v>907.06</v>
      </c>
      <c r="BR311" s="528">
        <f t="shared" si="858"/>
        <v>5.142437756451459</v>
      </c>
      <c r="BS311" s="528">
        <f t="shared" si="859"/>
        <v>2.1113459337839667E-2</v>
      </c>
      <c r="BT311" s="528">
        <f t="shared" si="860"/>
        <v>2.1997326621195903E-3</v>
      </c>
      <c r="BU311" s="528">
        <f t="shared" si="861"/>
        <v>520.96614449028971</v>
      </c>
      <c r="BV311" s="528"/>
      <c r="BW311" s="625">
        <f t="shared" si="862"/>
        <v>9.7142687167713238</v>
      </c>
      <c r="BX311" s="460">
        <f t="shared" si="863"/>
        <v>535846.16415551247</v>
      </c>
      <c r="BY311" s="173">
        <f t="shared" si="864"/>
        <v>549.0555856443134</v>
      </c>
      <c r="BZ311" s="5">
        <f t="shared" si="865"/>
        <v>102.6</v>
      </c>
      <c r="CA311" s="173">
        <f t="shared" si="866"/>
        <v>0.15744513245989594</v>
      </c>
      <c r="CB311" s="5">
        <f t="shared" si="867"/>
        <v>15.744513245989594</v>
      </c>
      <c r="CC311">
        <f t="shared" si="868"/>
        <v>95</v>
      </c>
      <c r="CE311" s="562">
        <f t="shared" si="809"/>
        <v>-50</v>
      </c>
      <c r="CG311" s="173">
        <f t="shared" si="810"/>
        <v>0.63612239068931697</v>
      </c>
      <c r="CH311" s="173">
        <f t="shared" si="811"/>
        <v>0.16261256374210345</v>
      </c>
      <c r="CI311" s="170">
        <v>95</v>
      </c>
      <c r="CJ311" s="217">
        <f t="shared" si="869"/>
        <v>0.56999999999999995</v>
      </c>
      <c r="CK311" s="217">
        <f t="shared" si="812"/>
        <v>0.47499999999999998</v>
      </c>
      <c r="CL311" s="217">
        <f t="shared" si="813"/>
        <v>96.899999999999991</v>
      </c>
      <c r="CM311" s="217">
        <f t="shared" si="814"/>
        <v>5.6999999999999993</v>
      </c>
      <c r="CN311" s="541">
        <f t="shared" si="815"/>
        <v>16</v>
      </c>
      <c r="CO311" s="443">
        <f t="shared" si="816"/>
        <v>8.5350000000000001</v>
      </c>
      <c r="CP311" s="443">
        <f t="shared" si="817"/>
        <v>24.535</v>
      </c>
      <c r="CQ311" s="443"/>
      <c r="CR311" s="217">
        <f t="shared" si="818"/>
        <v>0.34760448521916415</v>
      </c>
      <c r="CS311" s="172">
        <f t="shared" si="819"/>
        <v>175.08966662891231</v>
      </c>
      <c r="CT311" s="172">
        <f t="shared" si="820"/>
        <v>10.2993921546419</v>
      </c>
      <c r="CU311" s="217">
        <f t="shared" si="821"/>
        <v>1.02993921546419</v>
      </c>
      <c r="CV311" s="217">
        <f t="shared" si="822"/>
        <v>14.590805552409359</v>
      </c>
      <c r="CW311" s="217">
        <f t="shared" si="823"/>
        <v>170</v>
      </c>
      <c r="CX311" s="217">
        <f t="shared" si="824"/>
        <v>36.89538123167155</v>
      </c>
      <c r="CY311" s="217">
        <f t="shared" si="825"/>
        <v>1.1529806634897359</v>
      </c>
      <c r="CZ311" s="217">
        <f t="shared" si="826"/>
        <v>2.1614165923650583</v>
      </c>
      <c r="DA311" s="197">
        <f t="shared" si="827"/>
        <v>350</v>
      </c>
      <c r="DB311" s="443">
        <f t="shared" si="828"/>
        <v>301.71398381214766</v>
      </c>
      <c r="DD311" s="217">
        <f t="shared" si="829"/>
        <v>31.805292730501623</v>
      </c>
      <c r="DE311" s="173">
        <f t="shared" si="830"/>
        <v>1.8632274593146818</v>
      </c>
      <c r="DF311" s="173">
        <f t="shared" si="831"/>
        <v>0.4897221442551708</v>
      </c>
      <c r="DG311" s="173"/>
      <c r="DH311" s="173">
        <f t="shared" si="832"/>
        <v>0.78109744190587771</v>
      </c>
      <c r="DI311" s="545">
        <f t="shared" si="833"/>
        <v>2318.005588235294</v>
      </c>
      <c r="DJ311" s="528">
        <f t="shared" si="834"/>
        <v>8.6065366284073561E-2</v>
      </c>
      <c r="DL311" s="173">
        <f t="shared" si="835"/>
        <v>34.24283032360831</v>
      </c>
      <c r="DM311" s="173">
        <f t="shared" si="836"/>
        <v>36.89538123167155</v>
      </c>
      <c r="DN311" s="173">
        <f t="shared" si="837"/>
        <v>18.65336881358386</v>
      </c>
      <c r="DP311" s="545">
        <f t="shared" si="838"/>
        <v>570</v>
      </c>
      <c r="DQ311" s="460">
        <f t="shared" si="839"/>
        <v>301.71398381214766</v>
      </c>
      <c r="DS311">
        <f t="shared" si="840"/>
        <v>570</v>
      </c>
      <c r="DT311">
        <f t="shared" si="841"/>
        <v>301.71398381214766</v>
      </c>
      <c r="DV311" s="5">
        <f t="shared" si="870"/>
        <v>3.3143972558547943</v>
      </c>
      <c r="DW311" s="5">
        <f t="shared" si="842"/>
        <v>1.1529806634897359</v>
      </c>
      <c r="DX311" s="5">
        <f t="shared" si="843"/>
        <v>2.1614165923650583</v>
      </c>
      <c r="DY311" s="173">
        <f t="shared" si="844"/>
        <v>0.34787038923986147</v>
      </c>
      <c r="EA311" s="5">
        <f t="shared" si="871"/>
        <v>0.3865876342289114</v>
      </c>
      <c r="EB311" s="5">
        <f t="shared" si="872"/>
        <v>4.5638817929802045</v>
      </c>
      <c r="EC311" s="5">
        <f t="shared" si="873"/>
        <v>20.944126780017413</v>
      </c>
      <c r="ED311" s="5"/>
      <c r="EE311" s="173">
        <f t="shared" si="874"/>
        <v>12.56377373294718</v>
      </c>
      <c r="EF311" s="173">
        <f t="shared" si="875"/>
        <v>0.81231552879401137</v>
      </c>
      <c r="EG311" s="173">
        <f t="shared" si="876"/>
        <v>0.64225224995432029</v>
      </c>
      <c r="EH311" s="173"/>
      <c r="EI311" s="528">
        <f t="shared" si="877"/>
        <v>6.3139364165077403</v>
      </c>
      <c r="EJ311" s="528">
        <f t="shared" si="878"/>
        <v>7.5108000000000006</v>
      </c>
      <c r="EK311" s="528">
        <f t="shared" si="879"/>
        <v>6.0342796762429533E-2</v>
      </c>
      <c r="EL311" s="528">
        <f t="shared" si="880"/>
        <v>3.6324325573021926E-2</v>
      </c>
      <c r="EM311">
        <f t="shared" si="881"/>
        <v>7.1999999999999998E-3</v>
      </c>
      <c r="EN311" s="460">
        <f t="shared" si="882"/>
        <v>67.542796762429532</v>
      </c>
      <c r="EP311" s="460">
        <f t="shared" si="883"/>
        <v>13928.60353884319</v>
      </c>
      <c r="EQ311" s="173">
        <f t="shared" si="884"/>
        <v>0.39899999999999997</v>
      </c>
      <c r="ER311" s="173">
        <f t="shared" si="845"/>
        <v>0.41229999999999994</v>
      </c>
      <c r="ES311" s="528"/>
      <c r="EU311" s="460">
        <f t="shared" si="885"/>
        <v>811.3</v>
      </c>
      <c r="EV311" s="528">
        <f t="shared" si="886"/>
        <v>4.7354523123808052</v>
      </c>
      <c r="EW311" s="528">
        <f t="shared" si="887"/>
        <v>1.9795695549596828E-2</v>
      </c>
      <c r="EX311" s="528">
        <f t="shared" si="888"/>
        <v>2.0624397628569336E-3</v>
      </c>
      <c r="EY311" s="528">
        <f t="shared" si="889"/>
        <v>653.71523732256071</v>
      </c>
      <c r="EZ311" s="528"/>
      <c r="FA311" s="625">
        <f t="shared" si="890"/>
        <v>10.267848504171729</v>
      </c>
      <c r="FB311" s="460">
        <f t="shared" si="891"/>
        <v>668740.39627442579</v>
      </c>
      <c r="FC311" s="173">
        <f t="shared" si="892"/>
        <v>683.48029981326886</v>
      </c>
      <c r="FD311" s="5">
        <f t="shared" si="893"/>
        <v>102.6</v>
      </c>
      <c r="FE311" s="173">
        <f t="shared" si="894"/>
        <v>0.13052101677700398</v>
      </c>
      <c r="FF311" s="5">
        <f t="shared" si="895"/>
        <v>13.052101677700398</v>
      </c>
      <c r="FG311">
        <f t="shared" si="896"/>
        <v>95</v>
      </c>
      <c r="FI311" s="562">
        <f t="shared" si="846"/>
        <v>-50</v>
      </c>
    </row>
    <row r="312" spans="5:169">
      <c r="E312" s="170">
        <v>96</v>
      </c>
      <c r="F312" s="217">
        <f t="shared" si="847"/>
        <v>0.57599999999999996</v>
      </c>
      <c r="G312" s="217">
        <f t="shared" si="775"/>
        <v>0.48</v>
      </c>
      <c r="H312" s="217">
        <f t="shared" si="776"/>
        <v>97.919999999999987</v>
      </c>
      <c r="I312" s="217">
        <f t="shared" si="777"/>
        <v>5.76</v>
      </c>
      <c r="J312" s="541">
        <f t="shared" si="778"/>
        <v>14.424861720488208</v>
      </c>
      <c r="K312" s="443">
        <f t="shared" si="779"/>
        <v>8.5449187501181321</v>
      </c>
      <c r="L312" s="172">
        <f t="shared" si="780"/>
        <v>22.969780470606338</v>
      </c>
      <c r="M312" s="443"/>
      <c r="N312" s="217">
        <f t="shared" si="781"/>
        <v>0.37200698374339186</v>
      </c>
      <c r="O312" s="172">
        <f>N312*J312*Isw_max*0.5*Efficiency*Pout/(Pout+Pout2)</f>
        <v>168.93432980078455</v>
      </c>
      <c r="P312" s="172">
        <f t="shared" si="783"/>
        <v>9.9373135176932088</v>
      </c>
      <c r="Q312" s="217">
        <f t="shared" si="784"/>
        <v>0.99373135176932093</v>
      </c>
      <c r="R312" s="217">
        <f t="shared" si="785"/>
        <v>14.077860816732047</v>
      </c>
      <c r="S312" s="217">
        <f t="shared" si="786"/>
        <v>170</v>
      </c>
      <c r="T312" s="217">
        <f t="shared" si="787"/>
        <v>38.642234575400572</v>
      </c>
      <c r="U312" s="217">
        <f t="shared" si="788"/>
        <v>1.3394317160252376</v>
      </c>
      <c r="V312" s="217">
        <f t="shared" si="789"/>
        <v>2.2611235814773747</v>
      </c>
      <c r="W312" s="197">
        <f t="shared" si="790"/>
        <v>350</v>
      </c>
      <c r="X312" s="443">
        <f t="shared" si="848"/>
        <v>263.11944484983843</v>
      </c>
      <c r="Z312" s="217">
        <f t="shared" si="791"/>
        <v>30.663710283167614</v>
      </c>
      <c r="AA312" s="173">
        <f t="shared" si="792"/>
        <v>1.794265760733166</v>
      </c>
      <c r="AB312" s="173">
        <f>0.5*AA312*Z312*Nps*W312/1000*(Pout/(Pout+Pout2))</f>
        <v>0.45466962566092833</v>
      </c>
      <c r="AC312" s="173"/>
      <c r="AD312" s="173">
        <f t="shared" si="794"/>
        <v>0.78019076150659727</v>
      </c>
      <c r="AE312" s="545">
        <f>MAX(10, F312/(0.5*AD312/1000000*Isw_min*Nps)/1000*Pout_total/Pout)</f>
        <v>2345.12781885595</v>
      </c>
      <c r="AF312" s="528">
        <f t="shared" si="796"/>
        <v>8.5965463536375075E-2</v>
      </c>
      <c r="AH312" s="173">
        <f t="shared" si="797"/>
        <v>34.422583948830535</v>
      </c>
      <c r="AI312" s="173">
        <f>MAX(IF(F312&gt;AB312,T312,AH312),Isw_min)</f>
        <v>38.642234575400572</v>
      </c>
      <c r="AJ312" s="173">
        <f>IF(F312&gt;AF312, (AI312-Isw_min)/1.08*0.8+1.2, AE312*0.2/350+1)</f>
        <v>19.947334253383136</v>
      </c>
      <c r="AL312" s="545">
        <f t="shared" si="800"/>
        <v>576</v>
      </c>
      <c r="AM312" s="460">
        <f t="shared" si="801"/>
        <v>263.11944484983843</v>
      </c>
      <c r="AO312">
        <f t="shared" si="802"/>
        <v>576</v>
      </c>
      <c r="AP312">
        <f t="shared" si="803"/>
        <v>263.11944484983843</v>
      </c>
      <c r="AR312" s="5">
        <f t="shared" si="774"/>
        <v>3.8005552975026125</v>
      </c>
      <c r="AS312" s="5">
        <f t="shared" si="897"/>
        <v>1.3394317160252376</v>
      </c>
      <c r="AT312" s="5">
        <f t="shared" si="898"/>
        <v>2.4611235814773749</v>
      </c>
      <c r="AU312" s="173">
        <f t="shared" si="899"/>
        <v>0.35243052953482695</v>
      </c>
      <c r="BA312" s="173">
        <f t="shared" si="849"/>
        <v>13.244585351861717</v>
      </c>
      <c r="BB312" s="173">
        <f t="shared" si="850"/>
        <v>0.8477956984425431</v>
      </c>
      <c r="BC312" s="173">
        <f t="shared" si="851"/>
        <v>0.67030442669820323</v>
      </c>
      <c r="BD312" s="173"/>
      <c r="BE312" s="528">
        <f t="shared" si="852"/>
        <v>7.0167616457099982</v>
      </c>
      <c r="BF312" s="528">
        <f t="shared" si="804"/>
        <v>5.2547800127161111</v>
      </c>
      <c r="BG312" s="528">
        <f t="shared" si="805"/>
        <v>0.15181846431722171</v>
      </c>
      <c r="BH312" s="528">
        <f t="shared" si="853"/>
        <v>2.776493294095983E-2</v>
      </c>
      <c r="BI312">
        <f t="shared" si="854"/>
        <v>6.4911877742196934E-3</v>
      </c>
      <c r="BJ312" s="460">
        <f t="shared" si="855"/>
        <v>158.30965209144139</v>
      </c>
      <c r="BK312">
        <f t="shared" si="806"/>
        <v>-21.274285236635226</v>
      </c>
      <c r="BL312" s="460">
        <f t="shared" si="856"/>
        <v>12457.616243458509</v>
      </c>
      <c r="BM312" s="173">
        <f t="shared" si="807"/>
        <v>0.49996799999999991</v>
      </c>
      <c r="BN312" s="173">
        <f t="shared" si="808"/>
        <v>0.41663999999999995</v>
      </c>
      <c r="BQ312" s="460">
        <f t="shared" si="857"/>
        <v>916.60799999999983</v>
      </c>
      <c r="BR312" s="528">
        <f t="shared" si="858"/>
        <v>5.2625712342824986</v>
      </c>
      <c r="BS312" s="528">
        <f t="shared" si="859"/>
        <v>2.1562726388930385E-2</v>
      </c>
      <c r="BT312" s="528">
        <f t="shared" si="860"/>
        <v>2.2465401222560343E-3</v>
      </c>
      <c r="BU312" s="528">
        <f t="shared" si="861"/>
        <v>521.20424726966485</v>
      </c>
      <c r="BV312" s="528"/>
      <c r="BW312" s="625">
        <f t="shared" si="862"/>
        <v>9.8223955191593753</v>
      </c>
      <c r="BX312" s="460">
        <f t="shared" si="863"/>
        <v>536313.02328961797</v>
      </c>
      <c r="BY312" s="173">
        <f t="shared" si="864"/>
        <v>549.6872475330764</v>
      </c>
      <c r="BZ312" s="5">
        <f t="shared" si="865"/>
        <v>103.67999999999999</v>
      </c>
      <c r="CA312" s="173">
        <f t="shared" si="866"/>
        <v>0.15868564026045895</v>
      </c>
      <c r="CB312" s="5">
        <f t="shared" si="867"/>
        <v>15.868564026045895</v>
      </c>
      <c r="CC312">
        <f t="shared" si="868"/>
        <v>96</v>
      </c>
      <c r="CE312" s="562">
        <f t="shared" si="809"/>
        <v>-50</v>
      </c>
      <c r="CG312" s="173">
        <f t="shared" si="810"/>
        <v>0.63612239068931709</v>
      </c>
      <c r="CH312" s="173">
        <f t="shared" si="811"/>
        <v>0.16261256374210348</v>
      </c>
      <c r="CI312" s="170">
        <v>96</v>
      </c>
      <c r="CJ312" s="217">
        <f t="shared" si="869"/>
        <v>0.57599999999999996</v>
      </c>
      <c r="CK312" s="217">
        <f t="shared" si="812"/>
        <v>0.48</v>
      </c>
      <c r="CL312" s="217">
        <f t="shared" si="813"/>
        <v>97.919999999999987</v>
      </c>
      <c r="CM312" s="217">
        <f t="shared" si="814"/>
        <v>5.76</v>
      </c>
      <c r="CN312" s="541">
        <f t="shared" si="815"/>
        <v>16</v>
      </c>
      <c r="CO312" s="443">
        <f t="shared" si="816"/>
        <v>8.5350000000000001</v>
      </c>
      <c r="CP312" s="443">
        <f t="shared" si="817"/>
        <v>24.535</v>
      </c>
      <c r="CQ312" s="443"/>
      <c r="CR312" s="217">
        <f t="shared" si="818"/>
        <v>0.34760448521916415</v>
      </c>
      <c r="CS312" s="172">
        <f t="shared" si="819"/>
        <v>175.08966662891231</v>
      </c>
      <c r="CT312" s="172">
        <f t="shared" si="820"/>
        <v>10.2993921546419</v>
      </c>
      <c r="CU312" s="217">
        <f t="shared" si="821"/>
        <v>1.02993921546419</v>
      </c>
      <c r="CV312" s="217">
        <f t="shared" si="822"/>
        <v>14.590805552409359</v>
      </c>
      <c r="CW312" s="217">
        <f t="shared" si="823"/>
        <v>170</v>
      </c>
      <c r="CX312" s="217">
        <f t="shared" si="824"/>
        <v>37.28375366568914</v>
      </c>
      <c r="CY312" s="217">
        <f t="shared" si="825"/>
        <v>1.1651173020527856</v>
      </c>
      <c r="CZ312" s="217">
        <f t="shared" si="826"/>
        <v>2.1841683459689007</v>
      </c>
      <c r="DA312" s="197">
        <f t="shared" si="827"/>
        <v>350</v>
      </c>
      <c r="DB312" s="443">
        <f t="shared" si="828"/>
        <v>298.57112981410449</v>
      </c>
      <c r="DD312" s="217">
        <f t="shared" si="829"/>
        <v>31.805292730501623</v>
      </c>
      <c r="DE312" s="173">
        <f t="shared" si="830"/>
        <v>1.8632274593146818</v>
      </c>
      <c r="DF312" s="173">
        <f t="shared" si="831"/>
        <v>0.4897221442551708</v>
      </c>
      <c r="DG312" s="173"/>
      <c r="DH312" s="173">
        <f t="shared" si="832"/>
        <v>0.78109744190587771</v>
      </c>
      <c r="DI312" s="545">
        <f t="shared" si="833"/>
        <v>2342.4056470588234</v>
      </c>
      <c r="DJ312" s="528">
        <f t="shared" si="834"/>
        <v>8.6065366284073561E-2</v>
      </c>
      <c r="DL312" s="173">
        <f t="shared" si="835"/>
        <v>34.422583948830535</v>
      </c>
      <c r="DM312" s="173">
        <f t="shared" si="836"/>
        <v>37.28375366568914</v>
      </c>
      <c r="DN312" s="173">
        <f t="shared" si="837"/>
        <v>18.941052098041336</v>
      </c>
      <c r="DP312" s="545">
        <f t="shared" si="838"/>
        <v>576</v>
      </c>
      <c r="DQ312" s="460">
        <f t="shared" si="839"/>
        <v>298.57112981410449</v>
      </c>
      <c r="DS312">
        <f t="shared" si="840"/>
        <v>576</v>
      </c>
      <c r="DT312">
        <f t="shared" si="841"/>
        <v>298.57112981410449</v>
      </c>
      <c r="DV312" s="5">
        <f t="shared" si="870"/>
        <v>3.3492856480216862</v>
      </c>
      <c r="DW312" s="5">
        <f t="shared" si="842"/>
        <v>1.1651173020527856</v>
      </c>
      <c r="DX312" s="5">
        <f t="shared" si="843"/>
        <v>2.1841683459689003</v>
      </c>
      <c r="DY312" s="173">
        <f t="shared" si="844"/>
        <v>0.34787038923986147</v>
      </c>
      <c r="EA312" s="5">
        <f t="shared" si="871"/>
        <v>0.39476915646023797</v>
      </c>
      <c r="EB312" s="5">
        <f t="shared" si="872"/>
        <v>4.6604692082111425</v>
      </c>
      <c r="EC312" s="5">
        <f t="shared" si="873"/>
        <v>21.387376443727469</v>
      </c>
      <c r="ED312" s="5"/>
      <c r="EE312" s="173">
        <f t="shared" si="874"/>
        <v>12.696023982767676</v>
      </c>
      <c r="EF312" s="173">
        <f t="shared" si="875"/>
        <v>0.82086621857079034</v>
      </c>
      <c r="EG312" s="173">
        <f t="shared" si="876"/>
        <v>0.64901279995383931</v>
      </c>
      <c r="EH312" s="173"/>
      <c r="EI312" s="528">
        <f t="shared" si="877"/>
        <v>6.4475609988404798</v>
      </c>
      <c r="EJ312" s="528">
        <f t="shared" si="878"/>
        <v>7.5108000000000024</v>
      </c>
      <c r="EK312" s="528">
        <f t="shared" si="879"/>
        <v>5.9714225962820895E-2</v>
      </c>
      <c r="EL312" s="528">
        <f t="shared" si="880"/>
        <v>3.5945947181636288E-2</v>
      </c>
      <c r="EM312">
        <f t="shared" si="881"/>
        <v>7.1999999999999998E-3</v>
      </c>
      <c r="EN312" s="460">
        <f t="shared" si="882"/>
        <v>66.914225962820893</v>
      </c>
      <c r="EP312" s="460">
        <f t="shared" si="883"/>
        <v>14061.22117198494</v>
      </c>
      <c r="EQ312" s="173">
        <f t="shared" si="884"/>
        <v>0.40319999999999995</v>
      </c>
      <c r="ER312" s="173">
        <f t="shared" si="845"/>
        <v>0.41663999999999995</v>
      </c>
      <c r="ES312" s="528"/>
      <c r="EU312" s="460">
        <f t="shared" si="885"/>
        <v>819.83999999999992</v>
      </c>
      <c r="EV312" s="528">
        <f t="shared" si="886"/>
        <v>4.8356707491303599</v>
      </c>
      <c r="EW312" s="528">
        <f t="shared" si="887"/>
        <v>2.0214640463721255E-2</v>
      </c>
      <c r="EX312" s="528">
        <f t="shared" si="888"/>
        <v>2.1060880725196113E-3</v>
      </c>
      <c r="EY312" s="528">
        <f t="shared" si="889"/>
        <v>653.71523732256071</v>
      </c>
      <c r="EZ312" s="528"/>
      <c r="FA312" s="625">
        <f t="shared" si="890"/>
        <v>10.375931120005115</v>
      </c>
      <c r="FB312" s="460">
        <f t="shared" si="891"/>
        <v>668949.15992023249</v>
      </c>
      <c r="FC312" s="173">
        <f t="shared" si="892"/>
        <v>683.83022109221736</v>
      </c>
      <c r="FD312" s="5">
        <f t="shared" si="893"/>
        <v>103.67999999999999</v>
      </c>
      <c r="FE312" s="173">
        <f t="shared" si="894"/>
        <v>0.13165543407957758</v>
      </c>
      <c r="FF312" s="5">
        <f t="shared" si="895"/>
        <v>13.165543407957758</v>
      </c>
      <c r="FG312">
        <f t="shared" si="896"/>
        <v>96</v>
      </c>
      <c r="FI312" s="562">
        <f t="shared" si="846"/>
        <v>-50</v>
      </c>
    </row>
    <row r="313" spans="5:169">
      <c r="E313" s="170">
        <v>97</v>
      </c>
      <c r="F313" s="217">
        <f>IF(PLOT_TYPE=1, E313/100*Iout_max, min_I*EXP(O313*rr/100))</f>
        <v>0.58199999999999996</v>
      </c>
      <c r="G313" s="217">
        <f t="shared" si="775"/>
        <v>0.48499999999999999</v>
      </c>
      <c r="H313" s="217">
        <f t="shared" si="776"/>
        <v>98.94</v>
      </c>
      <c r="I313" s="217">
        <f t="shared" si="777"/>
        <v>5.82</v>
      </c>
      <c r="J313" s="541">
        <f t="shared" si="778"/>
        <v>14.408454030076626</v>
      </c>
      <c r="K313" s="443">
        <f t="shared" si="779"/>
        <v>8.5450220704318625</v>
      </c>
      <c r="L313" s="172">
        <f t="shared" si="780"/>
        <v>22.953476100508489</v>
      </c>
      <c r="M313" s="443"/>
      <c r="N313" s="217">
        <f t="shared" si="781"/>
        <v>0.37227572995981051</v>
      </c>
      <c r="O313" s="172">
        <f>N313*J313*Isw_max*0.5*Efficiency*Pout/(Pout+Pout2)</f>
        <v>168.86407705160289</v>
      </c>
      <c r="P313" s="172">
        <f t="shared" si="783"/>
        <v>9.9331810030354628</v>
      </c>
      <c r="Q313" s="217">
        <f t="shared" si="784"/>
        <v>0.99331810030354639</v>
      </c>
      <c r="R313" s="217">
        <f t="shared" si="785"/>
        <v>14.072006420966908</v>
      </c>
      <c r="S313" s="217">
        <f t="shared" si="786"/>
        <v>170</v>
      </c>
      <c r="T313" s="217">
        <f t="shared" si="787"/>
        <v>39.06100169537148</v>
      </c>
      <c r="U313" s="217">
        <f t="shared" si="788"/>
        <v>1.3554889932616785</v>
      </c>
      <c r="V313" s="217">
        <f t="shared" si="789"/>
        <v>2.2855998131668578</v>
      </c>
      <c r="W313" s="197">
        <f t="shared" si="790"/>
        <v>350</v>
      </c>
      <c r="X313" s="443">
        <f t="shared" si="848"/>
        <v>260.34284818574787</v>
      </c>
      <c r="Z313" s="217">
        <f t="shared" si="791"/>
        <v>30.650958523652282</v>
      </c>
      <c r="AA313" s="173">
        <f t="shared" si="792"/>
        <v>1.7934979144005412</v>
      </c>
      <c r="AB313" s="173">
        <f>0.5*AA313*Z313*Nps*W313/1000*(Pout/(Pout+Pout2))</f>
        <v>0.45428605501383301</v>
      </c>
      <c r="AC313" s="173"/>
      <c r="AD313" s="173">
        <f t="shared" si="794"/>
        <v>0.78018132799623485</v>
      </c>
      <c r="AE313" s="545">
        <f>MAX(10, F313/(0.5*AD313/1000000*Isw_min*Nps)/1000*Pout_total/Pout)</f>
        <v>2369.5848849664644</v>
      </c>
      <c r="AF313" s="528">
        <f t="shared" si="796"/>
        <v>8.596442410328882E-2</v>
      </c>
      <c r="AH313" s="173">
        <f t="shared" si="797"/>
        <v>34.601403770037173</v>
      </c>
      <c r="AI313" s="173">
        <f>MAX(IF(F313&gt;AB313,T313,AH313),Isw_min)</f>
        <v>39.06100169537148</v>
      </c>
      <c r="AJ313" s="173">
        <f>IF(F313&gt;AF313, (AI313-Isw_min)/1.08*0.8+1.2, AE313*0.2/350+1)</f>
        <v>20.257532120028252</v>
      </c>
      <c r="AL313" s="545">
        <f t="shared" si="800"/>
        <v>582</v>
      </c>
      <c r="AM313" s="460">
        <f t="shared" si="801"/>
        <v>260.34284818574787</v>
      </c>
      <c r="AO313">
        <f t="shared" si="802"/>
        <v>582</v>
      </c>
      <c r="AP313">
        <f t="shared" si="803"/>
        <v>260.34284818574787</v>
      </c>
      <c r="AR313" s="5">
        <f t="shared" si="774"/>
        <v>3.8410888064285369</v>
      </c>
      <c r="AS313" s="5">
        <f t="shared" si="897"/>
        <v>1.3554889932616785</v>
      </c>
      <c r="AT313" s="5">
        <f t="shared" si="898"/>
        <v>2.4855998131668584</v>
      </c>
      <c r="AU313" s="173">
        <f t="shared" si="899"/>
        <v>0.35289186519017735</v>
      </c>
      <c r="BA313" s="173">
        <f t="shared" si="849"/>
        <v>13.396877077619186</v>
      </c>
      <c r="BB313" s="173">
        <f t="shared" si="850"/>
        <v>0.856677970702863</v>
      </c>
      <c r="BC313" s="173">
        <f t="shared" si="851"/>
        <v>0.67732714033802088</v>
      </c>
      <c r="BD313" s="173"/>
      <c r="BE313" s="528">
        <f t="shared" si="852"/>
        <v>7.1790526173135349</v>
      </c>
      <c r="BF313" s="528">
        <f t="shared" si="804"/>
        <v>5.2519430860233909</v>
      </c>
      <c r="BG313" s="528">
        <f t="shared" si="805"/>
        <v>0.15004551840574265</v>
      </c>
      <c r="BH313" s="528">
        <f t="shared" si="853"/>
        <v>2.7432954125655502E-2</v>
      </c>
      <c r="BI313">
        <f t="shared" si="854"/>
        <v>6.4838043135344815E-3</v>
      </c>
      <c r="BJ313" s="460">
        <f t="shared" si="855"/>
        <v>156.52932271927713</v>
      </c>
      <c r="BK313">
        <f t="shared" si="806"/>
        <v>-20.399458253019425</v>
      </c>
      <c r="BL313" s="460">
        <f t="shared" si="856"/>
        <v>12614.957980181858</v>
      </c>
      <c r="BM313" s="173">
        <f t="shared" si="807"/>
        <v>0.50517599999999996</v>
      </c>
      <c r="BN313" s="173">
        <f t="shared" si="808"/>
        <v>0.42097999999999997</v>
      </c>
      <c r="BQ313" s="460">
        <f t="shared" si="857"/>
        <v>926.15599999999995</v>
      </c>
      <c r="BR313" s="528">
        <f t="shared" si="858"/>
        <v>5.3842894629851505</v>
      </c>
      <c r="BS313" s="528">
        <f t="shared" si="859"/>
        <v>2.2016914364627264E-2</v>
      </c>
      <c r="BT313" s="528">
        <f t="shared" si="860"/>
        <v>2.2938602751924053E-3</v>
      </c>
      <c r="BU313" s="528">
        <f t="shared" si="861"/>
        <v>521.42587014780986</v>
      </c>
      <c r="BV313" s="528"/>
      <c r="BW313" s="625">
        <f t="shared" si="862"/>
        <v>9.9305296644812184</v>
      </c>
      <c r="BX313" s="460">
        <f t="shared" si="863"/>
        <v>536765.0000499161</v>
      </c>
      <c r="BY313" s="173">
        <f t="shared" si="864"/>
        <v>550.30611403009789</v>
      </c>
      <c r="BZ313" s="5">
        <f t="shared" si="865"/>
        <v>104.75999999999999</v>
      </c>
      <c r="CA313" s="173">
        <f t="shared" si="866"/>
        <v>0.15992278909909644</v>
      </c>
      <c r="CB313" s="5">
        <f t="shared" si="867"/>
        <v>15.992278909909643</v>
      </c>
      <c r="CC313">
        <f t="shared" si="868"/>
        <v>97</v>
      </c>
      <c r="CE313" s="562">
        <f t="shared" si="809"/>
        <v>-50</v>
      </c>
      <c r="CG313" s="173">
        <f t="shared" si="810"/>
        <v>0.63612239068931709</v>
      </c>
      <c r="CH313" s="173">
        <f t="shared" si="811"/>
        <v>0.16261256374210348</v>
      </c>
      <c r="CI313" s="170">
        <v>97</v>
      </c>
      <c r="CJ313" s="217">
        <f t="shared" si="869"/>
        <v>0.58199999999999996</v>
      </c>
      <c r="CK313" s="217">
        <f t="shared" si="812"/>
        <v>0.48499999999999999</v>
      </c>
      <c r="CL313" s="217">
        <f t="shared" si="813"/>
        <v>98.94</v>
      </c>
      <c r="CM313" s="217">
        <f t="shared" si="814"/>
        <v>5.82</v>
      </c>
      <c r="CN313" s="541">
        <f t="shared" si="815"/>
        <v>16</v>
      </c>
      <c r="CO313" s="443">
        <f t="shared" si="816"/>
        <v>8.5350000000000001</v>
      </c>
      <c r="CP313" s="443">
        <f t="shared" si="817"/>
        <v>24.535</v>
      </c>
      <c r="CQ313" s="443"/>
      <c r="CR313" s="217">
        <f t="shared" si="818"/>
        <v>0.34760448521916415</v>
      </c>
      <c r="CS313" s="172">
        <f t="shared" si="819"/>
        <v>175.08966662891231</v>
      </c>
      <c r="CT313" s="172">
        <f t="shared" si="820"/>
        <v>10.2993921546419</v>
      </c>
      <c r="CU313" s="217">
        <f t="shared" si="821"/>
        <v>1.02993921546419</v>
      </c>
      <c r="CV313" s="217">
        <f t="shared" si="822"/>
        <v>14.590805552409359</v>
      </c>
      <c r="CW313" s="217">
        <f t="shared" si="823"/>
        <v>170</v>
      </c>
      <c r="CX313" s="217">
        <f t="shared" si="824"/>
        <v>37.672126099706738</v>
      </c>
      <c r="CY313" s="217">
        <f t="shared" si="825"/>
        <v>1.1772539406158355</v>
      </c>
      <c r="CZ313" s="217">
        <f t="shared" si="826"/>
        <v>2.2069200995727436</v>
      </c>
      <c r="DA313" s="197">
        <f t="shared" si="827"/>
        <v>350</v>
      </c>
      <c r="DB313" s="443">
        <f t="shared" si="828"/>
        <v>295.49307692942295</v>
      </c>
      <c r="DD313" s="217">
        <f t="shared" si="829"/>
        <v>31.805292730501623</v>
      </c>
      <c r="DE313" s="173">
        <f t="shared" si="830"/>
        <v>1.8632274593146818</v>
      </c>
      <c r="DF313" s="173">
        <f t="shared" si="831"/>
        <v>0.4897221442551708</v>
      </c>
      <c r="DG313" s="173"/>
      <c r="DH313" s="173">
        <f t="shared" si="832"/>
        <v>0.78109744190587771</v>
      </c>
      <c r="DI313" s="545">
        <f t="shared" si="833"/>
        <v>2366.8057058823529</v>
      </c>
      <c r="DJ313" s="528">
        <f t="shared" si="834"/>
        <v>8.6065366284073561E-2</v>
      </c>
      <c r="DL313" s="173">
        <f t="shared" si="835"/>
        <v>34.601403770037173</v>
      </c>
      <c r="DM313" s="173">
        <f t="shared" si="836"/>
        <v>37.672126099706738</v>
      </c>
      <c r="DN313" s="173">
        <f t="shared" si="837"/>
        <v>19.228735382498815</v>
      </c>
      <c r="DP313" s="545">
        <f t="shared" si="838"/>
        <v>582</v>
      </c>
      <c r="DQ313" s="460">
        <f t="shared" si="839"/>
        <v>295.49307692942295</v>
      </c>
      <c r="DS313">
        <f t="shared" si="840"/>
        <v>582</v>
      </c>
      <c r="DT313">
        <f t="shared" si="841"/>
        <v>295.49307692942295</v>
      </c>
      <c r="DV313" s="5">
        <f t="shared" si="870"/>
        <v>3.3841740401885798</v>
      </c>
      <c r="DW313" s="5">
        <f t="shared" si="842"/>
        <v>1.1772539406158355</v>
      </c>
      <c r="DX313" s="5">
        <f t="shared" si="843"/>
        <v>2.206920099572744</v>
      </c>
      <c r="DY313" s="173">
        <f t="shared" si="844"/>
        <v>0.34787038923986136</v>
      </c>
      <c r="EA313" s="5">
        <f t="shared" si="871"/>
        <v>0.40303634908142127</v>
      </c>
      <c r="EB313" s="5">
        <f t="shared" si="872"/>
        <v>4.7580680099890014</v>
      </c>
      <c r="EC313" s="5">
        <f t="shared" si="873"/>
        <v>21.835267465172727</v>
      </c>
      <c r="ED313" s="5"/>
      <c r="EE313" s="173">
        <f t="shared" si="874"/>
        <v>12.82827423258817</v>
      </c>
      <c r="EF313" s="173">
        <f t="shared" si="875"/>
        <v>0.82941690834756954</v>
      </c>
      <c r="EG313" s="173">
        <f t="shared" si="876"/>
        <v>0.65577334995335868</v>
      </c>
      <c r="EH313" s="173"/>
      <c r="EI313" s="528">
        <f t="shared" si="877"/>
        <v>6.582584791459424</v>
      </c>
      <c r="EJ313" s="528">
        <f t="shared" si="878"/>
        <v>7.5108000000000006</v>
      </c>
      <c r="EK313" s="528">
        <f t="shared" si="879"/>
        <v>5.9098615385884588E-2</v>
      </c>
      <c r="EL313" s="528">
        <f t="shared" si="880"/>
        <v>3.5575370406567865E-2</v>
      </c>
      <c r="EM313">
        <f t="shared" si="881"/>
        <v>7.1999999999999998E-3</v>
      </c>
      <c r="EN313" s="460">
        <f t="shared" si="882"/>
        <v>66.298615385884588</v>
      </c>
      <c r="EP313" s="460">
        <f t="shared" si="883"/>
        <v>14195.258777251876</v>
      </c>
      <c r="EQ313" s="173">
        <f t="shared" si="884"/>
        <v>0.40739999999999993</v>
      </c>
      <c r="ER313" s="173">
        <f t="shared" si="845"/>
        <v>0.42097999999999997</v>
      </c>
      <c r="ES313" s="528"/>
      <c r="EU313" s="460">
        <f t="shared" si="885"/>
        <v>828.37999999999988</v>
      </c>
      <c r="EV313" s="528">
        <f t="shared" si="886"/>
        <v>4.9369385935945678</v>
      </c>
      <c r="EW313" s="528">
        <f t="shared" si="887"/>
        <v>2.0637972235585215E-2</v>
      </c>
      <c r="EX313" s="528">
        <f t="shared" si="888"/>
        <v>2.1501934325452512E-3</v>
      </c>
      <c r="EY313" s="528">
        <f t="shared" si="889"/>
        <v>653.71523732256071</v>
      </c>
      <c r="EZ313" s="528"/>
      <c r="FA313" s="625">
        <f t="shared" si="890"/>
        <v>10.4840137358385</v>
      </c>
      <c r="FB313" s="460">
        <f t="shared" si="891"/>
        <v>669158.97781766194</v>
      </c>
      <c r="FC313" s="173">
        <f t="shared" si="892"/>
        <v>684.18261659491384</v>
      </c>
      <c r="FD313" s="5">
        <f t="shared" si="893"/>
        <v>104.75999999999999</v>
      </c>
      <c r="FE313" s="173">
        <f t="shared" si="894"/>
        <v>0.1327853227806928</v>
      </c>
      <c r="FF313" s="5">
        <f t="shared" si="895"/>
        <v>13.27853227806928</v>
      </c>
      <c r="FG313">
        <f t="shared" si="896"/>
        <v>97</v>
      </c>
      <c r="FI313" s="562">
        <f t="shared" si="846"/>
        <v>-50</v>
      </c>
    </row>
    <row r="314" spans="5:169">
      <c r="E314" s="170">
        <v>98</v>
      </c>
      <c r="F314" s="217">
        <f>IF(PLOT_TYPE=1, E314/100*Iout_max, min_I*EXP(O314*rr/100))</f>
        <v>0.58799999999999997</v>
      </c>
      <c r="G314" s="217">
        <f t="shared" si="775"/>
        <v>0.49</v>
      </c>
      <c r="H314" s="217">
        <f t="shared" si="776"/>
        <v>99.96</v>
      </c>
      <c r="I314" s="217">
        <f t="shared" si="777"/>
        <v>5.88</v>
      </c>
      <c r="J314" s="541">
        <f t="shared" si="778"/>
        <v>14.392046339665045</v>
      </c>
      <c r="K314" s="443">
        <f t="shared" si="779"/>
        <v>8.5451253907455929</v>
      </c>
      <c r="L314" s="172">
        <f t="shared" si="780"/>
        <v>22.93717173041064</v>
      </c>
      <c r="M314" s="443"/>
      <c r="N314" s="217">
        <f t="shared" si="781"/>
        <v>0.37254485824057659</v>
      </c>
      <c r="O314" s="172">
        <f>N314*J314*Isw_max*0.5*Efficiency*Pout/(Pout+Pout2)</f>
        <v>168.79371977377684</v>
      </c>
      <c r="P314" s="172">
        <f t="shared" si="783"/>
        <v>9.9290423396339307</v>
      </c>
      <c r="Q314" s="217">
        <f t="shared" si="784"/>
        <v>0.99290423396339322</v>
      </c>
      <c r="R314" s="217">
        <f t="shared" si="785"/>
        <v>14.066143314481403</v>
      </c>
      <c r="S314" s="217">
        <f t="shared" si="786"/>
        <v>170</v>
      </c>
      <c r="T314" s="217">
        <f t="shared" si="787"/>
        <v>39.480141849657215</v>
      </c>
      <c r="U314" s="217">
        <f t="shared" si="788"/>
        <v>1.371595842519225</v>
      </c>
      <c r="V314" s="217">
        <f t="shared" si="789"/>
        <v>2.3100972802818305</v>
      </c>
      <c r="W314" s="197">
        <f t="shared" si="790"/>
        <v>350</v>
      </c>
      <c r="X314" s="443">
        <f t="shared" si="848"/>
        <v>257.61954084572073</v>
      </c>
      <c r="Z314" s="217">
        <f t="shared" si="791"/>
        <v>30.638187790870425</v>
      </c>
      <c r="AA314" s="173">
        <f t="shared" si="792"/>
        <v>1.7927289764554957</v>
      </c>
      <c r="AB314" s="173">
        <f>0.5*AA314*Z314*Nps*W314/1000*(Pout/(Pout+Pout2))</f>
        <v>0.45390208872323817</v>
      </c>
      <c r="AC314" s="173"/>
      <c r="AD314" s="173">
        <f t="shared" si="794"/>
        <v>0.78017189471399617</v>
      </c>
      <c r="AE314" s="545">
        <f>MAX(10, F314/(0.5*AD314/1000000*Isw_min*Nps)/1000*Pout_total/Pout)</f>
        <v>2394.0425418260647</v>
      </c>
      <c r="AF314" s="528">
        <f t="shared" si="796"/>
        <v>8.5963384695338485E-2</v>
      </c>
      <c r="AH314" s="173">
        <f t="shared" si="797"/>
        <v>34.779304190854653</v>
      </c>
      <c r="AI314" s="173">
        <f>MAX(IF(F314&gt;AB314,T314,AH314),Isw_min)</f>
        <v>39.480141849657215</v>
      </c>
      <c r="AJ314" s="173">
        <f>IF(F314&gt;AF314, (AI314-Isw_min)/1.08*0.8+1.2, AE314*0.2/350+1)</f>
        <v>20.56800630838806</v>
      </c>
      <c r="AL314" s="545">
        <f t="shared" si="800"/>
        <v>588</v>
      </c>
      <c r="AM314" s="460">
        <f t="shared" si="801"/>
        <v>257.61954084572073</v>
      </c>
      <c r="AO314">
        <f t="shared" si="802"/>
        <v>588</v>
      </c>
      <c r="AP314">
        <f t="shared" si="803"/>
        <v>257.61954084572073</v>
      </c>
      <c r="AR314" s="5">
        <f t="shared" si="774"/>
        <v>3.8816931228010567</v>
      </c>
      <c r="AS314" s="5">
        <f t="shared" si="897"/>
        <v>1.371595842519225</v>
      </c>
      <c r="AT314" s="5">
        <f t="shared" si="898"/>
        <v>2.5100972802818315</v>
      </c>
      <c r="AU314" s="173">
        <f t="shared" si="899"/>
        <v>0.3533498911757022</v>
      </c>
      <c r="BA314" s="173">
        <f t="shared" si="849"/>
        <v>13.549415410554433</v>
      </c>
      <c r="BB314" s="173">
        <f t="shared" si="850"/>
        <v>0.86556397989158007</v>
      </c>
      <c r="BC314" s="173">
        <f t="shared" si="851"/>
        <v>0.68435280855716862</v>
      </c>
      <c r="BD314" s="173"/>
      <c r="BE314" s="528">
        <f t="shared" si="852"/>
        <v>7.3434663187107985</v>
      </c>
      <c r="BF314" s="528">
        <f t="shared" si="804"/>
        <v>5.249040099309739</v>
      </c>
      <c r="BG314" s="528">
        <f t="shared" si="805"/>
        <v>0.14830689479419382</v>
      </c>
      <c r="BH314" s="528">
        <f t="shared" si="853"/>
        <v>2.7107441538845898E-2</v>
      </c>
      <c r="BI314">
        <f t="shared" si="854"/>
        <v>6.4764208528492705E-3</v>
      </c>
      <c r="BJ314" s="460">
        <f t="shared" si="855"/>
        <v>154.78331564704308</v>
      </c>
      <c r="BK314">
        <f t="shared" si="806"/>
        <v>-19.605532781946184</v>
      </c>
      <c r="BL314" s="460">
        <f t="shared" si="856"/>
        <v>12774.397175206426</v>
      </c>
      <c r="BM314" s="173">
        <f t="shared" si="807"/>
        <v>0.51038399999999995</v>
      </c>
      <c r="BN314" s="173">
        <f t="shared" si="808"/>
        <v>0.42531999999999998</v>
      </c>
      <c r="BQ314" s="460">
        <f t="shared" si="857"/>
        <v>935.70399999999984</v>
      </c>
      <c r="BR314" s="528">
        <f t="shared" si="858"/>
        <v>5.5075997390330986</v>
      </c>
      <c r="BS314" s="528">
        <f t="shared" si="859"/>
        <v>2.247603009857255E-2</v>
      </c>
      <c r="BT314" s="528">
        <f t="shared" si="860"/>
        <v>2.3416938329004233E-3</v>
      </c>
      <c r="BU314" s="528">
        <f t="shared" si="861"/>
        <v>521.63145255437223</v>
      </c>
      <c r="BV314" s="528"/>
      <c r="BW314" s="625">
        <f t="shared" si="862"/>
        <v>10.038670955937778</v>
      </c>
      <c r="BX314" s="460">
        <f t="shared" si="863"/>
        <v>537202.5409732745</v>
      </c>
      <c r="BY314" s="173">
        <f t="shared" si="864"/>
        <v>550.91264214848093</v>
      </c>
      <c r="BZ314" s="5">
        <f t="shared" si="865"/>
        <v>105.83999999999999</v>
      </c>
      <c r="CA314" s="173">
        <f t="shared" si="866"/>
        <v>0.16115656520810967</v>
      </c>
      <c r="CB314" s="5">
        <f t="shared" si="867"/>
        <v>16.115656520810965</v>
      </c>
      <c r="CC314">
        <f t="shared" si="868"/>
        <v>98</v>
      </c>
      <c r="CE314" s="562">
        <f t="shared" si="809"/>
        <v>-50</v>
      </c>
      <c r="CG314" s="173">
        <f t="shared" si="810"/>
        <v>0.63612239068931709</v>
      </c>
      <c r="CH314" s="173">
        <f t="shared" si="811"/>
        <v>0.16261256374210348</v>
      </c>
      <c r="CI314" s="170">
        <v>98</v>
      </c>
      <c r="CJ314" s="217">
        <f t="shared" si="869"/>
        <v>0.58799999999999997</v>
      </c>
      <c r="CK314" s="217">
        <f t="shared" si="812"/>
        <v>0.49</v>
      </c>
      <c r="CL314" s="217">
        <f t="shared" si="813"/>
        <v>99.96</v>
      </c>
      <c r="CM314" s="217">
        <f t="shared" si="814"/>
        <v>5.88</v>
      </c>
      <c r="CN314" s="541">
        <f t="shared" si="815"/>
        <v>16</v>
      </c>
      <c r="CO314" s="443">
        <f t="shared" si="816"/>
        <v>8.5350000000000001</v>
      </c>
      <c r="CP314" s="443">
        <f t="shared" si="817"/>
        <v>24.535</v>
      </c>
      <c r="CQ314" s="443"/>
      <c r="CR314" s="217">
        <f t="shared" si="818"/>
        <v>0.34760448521916415</v>
      </c>
      <c r="CS314" s="172">
        <f t="shared" si="819"/>
        <v>175.08966662891231</v>
      </c>
      <c r="CT314" s="172">
        <f t="shared" si="820"/>
        <v>10.2993921546419</v>
      </c>
      <c r="CU314" s="217">
        <f t="shared" si="821"/>
        <v>1.02993921546419</v>
      </c>
      <c r="CV314" s="217">
        <f t="shared" si="822"/>
        <v>14.590805552409359</v>
      </c>
      <c r="CW314" s="217">
        <f t="shared" si="823"/>
        <v>170</v>
      </c>
      <c r="CX314" s="217">
        <f t="shared" si="824"/>
        <v>38.060498533724335</v>
      </c>
      <c r="CY314" s="217">
        <f t="shared" si="825"/>
        <v>1.1893905791788852</v>
      </c>
      <c r="CZ314" s="217">
        <f t="shared" si="826"/>
        <v>2.2296718531765864</v>
      </c>
      <c r="DA314" s="197">
        <f t="shared" si="827"/>
        <v>350</v>
      </c>
      <c r="DB314" s="443">
        <f t="shared" si="828"/>
        <v>292.47784145055135</v>
      </c>
      <c r="DD314" s="217">
        <f t="shared" si="829"/>
        <v>31.805292730501623</v>
      </c>
      <c r="DE314" s="173">
        <f t="shared" si="830"/>
        <v>1.8632274593146818</v>
      </c>
      <c r="DF314" s="173">
        <f t="shared" si="831"/>
        <v>0.4897221442551708</v>
      </c>
      <c r="DG314" s="173"/>
      <c r="DH314" s="173">
        <f t="shared" si="832"/>
        <v>0.78109744190587771</v>
      </c>
      <c r="DI314" s="545">
        <f t="shared" si="833"/>
        <v>2391.2057647058823</v>
      </c>
      <c r="DJ314" s="528">
        <f t="shared" si="834"/>
        <v>8.6065366284073561E-2</v>
      </c>
      <c r="DL314" s="173">
        <f t="shared" si="835"/>
        <v>34.779304190854653</v>
      </c>
      <c r="DM314" s="173">
        <f t="shared" si="836"/>
        <v>38.060498533724335</v>
      </c>
      <c r="DN314" s="173">
        <f t="shared" si="837"/>
        <v>19.516418666956294</v>
      </c>
      <c r="DP314" s="545">
        <f t="shared" si="838"/>
        <v>588</v>
      </c>
      <c r="DQ314" s="460">
        <f t="shared" si="839"/>
        <v>292.47784145055135</v>
      </c>
      <c r="DS314">
        <f t="shared" si="840"/>
        <v>588</v>
      </c>
      <c r="DT314">
        <f t="shared" si="841"/>
        <v>292.47784145055135</v>
      </c>
      <c r="DV314" s="5">
        <f t="shared" si="870"/>
        <v>3.4190624323554712</v>
      </c>
      <c r="DW314" s="5">
        <f t="shared" si="842"/>
        <v>1.1893905791788852</v>
      </c>
      <c r="DX314" s="5">
        <f t="shared" si="843"/>
        <v>2.229671853176586</v>
      </c>
      <c r="DY314" s="173">
        <f t="shared" si="844"/>
        <v>0.34787038923986147</v>
      </c>
      <c r="EA314" s="5">
        <f t="shared" si="871"/>
        <v>0.41138921209246149</v>
      </c>
      <c r="EB314" s="5">
        <f t="shared" si="872"/>
        <v>4.8566781983137819</v>
      </c>
      <c r="EC314" s="5">
        <f t="shared" si="873"/>
        <v>22.287799844353152</v>
      </c>
      <c r="ED314" s="5"/>
      <c r="EE314" s="173">
        <f t="shared" si="874"/>
        <v>12.960524482408669</v>
      </c>
      <c r="EF314" s="173">
        <f t="shared" si="875"/>
        <v>0.83796759812434862</v>
      </c>
      <c r="EG314" s="173">
        <f t="shared" si="876"/>
        <v>0.6625338999528777</v>
      </c>
      <c r="EH314" s="173"/>
      <c r="EI314" s="528">
        <f t="shared" si="877"/>
        <v>6.7190077943645807</v>
      </c>
      <c r="EJ314" s="528">
        <f t="shared" si="878"/>
        <v>7.5108000000000024</v>
      </c>
      <c r="EK314" s="528">
        <f t="shared" si="879"/>
        <v>5.8495568290110267E-2</v>
      </c>
      <c r="EL314" s="528">
        <f t="shared" si="880"/>
        <v>3.5212356422827384E-2</v>
      </c>
      <c r="EM314">
        <f t="shared" si="881"/>
        <v>7.1999999999999998E-3</v>
      </c>
      <c r="EN314" s="460">
        <f t="shared" si="882"/>
        <v>65.695568290110259</v>
      </c>
      <c r="EP314" s="460">
        <f t="shared" si="883"/>
        <v>14330.71571907752</v>
      </c>
      <c r="EQ314" s="173">
        <f t="shared" si="884"/>
        <v>0.41159999999999997</v>
      </c>
      <c r="ER314" s="173">
        <f t="shared" si="845"/>
        <v>0.42531999999999998</v>
      </c>
      <c r="ES314" s="528"/>
      <c r="EU314" s="460">
        <f t="shared" si="885"/>
        <v>836.91999999999985</v>
      </c>
      <c r="EV314" s="528">
        <f t="shared" si="886"/>
        <v>5.0392558457734351</v>
      </c>
      <c r="EW314" s="528">
        <f t="shared" si="887"/>
        <v>2.1065690865188693E-2</v>
      </c>
      <c r="EX314" s="528">
        <f t="shared" si="888"/>
        <v>2.1947558429338486E-3</v>
      </c>
      <c r="EY314" s="528">
        <f t="shared" si="889"/>
        <v>653.71523732255957</v>
      </c>
      <c r="EZ314" s="528"/>
      <c r="FA314" s="625">
        <f t="shared" si="890"/>
        <v>10.59209635167189</v>
      </c>
      <c r="FB314" s="460">
        <f t="shared" si="891"/>
        <v>669369.84996671299</v>
      </c>
      <c r="FC314" s="173">
        <f t="shared" si="892"/>
        <v>684.53748568579056</v>
      </c>
      <c r="FD314" s="5">
        <f t="shared" si="893"/>
        <v>105.83999999999999</v>
      </c>
      <c r="FE314" s="173">
        <f t="shared" si="894"/>
        <v>0.13391069699836566</v>
      </c>
      <c r="FF314" s="5">
        <f t="shared" si="895"/>
        <v>13.391069699836567</v>
      </c>
      <c r="FG314">
        <f t="shared" si="896"/>
        <v>98</v>
      </c>
      <c r="FI314" s="562">
        <f t="shared" si="846"/>
        <v>-50</v>
      </c>
    </row>
    <row r="315" spans="5:169">
      <c r="E315" s="170">
        <v>99</v>
      </c>
      <c r="F315" s="217">
        <f>IF(PLOT_TYPE=1, E315/100*Iout_max, min_I*EXP(O315*rr/100))</f>
        <v>0.59399999999999997</v>
      </c>
      <c r="G315" s="217">
        <f t="shared" si="775"/>
        <v>0.495</v>
      </c>
      <c r="H315" s="217">
        <f t="shared" si="776"/>
        <v>100.97999999999999</v>
      </c>
      <c r="I315" s="217">
        <f t="shared" si="777"/>
        <v>5.9399999999999995</v>
      </c>
      <c r="J315" s="541">
        <f t="shared" si="778"/>
        <v>14.375638649253464</v>
      </c>
      <c r="K315" s="443">
        <f t="shared" si="779"/>
        <v>8.5452287110593232</v>
      </c>
      <c r="L315" s="172">
        <f t="shared" si="780"/>
        <v>22.920867360312787</v>
      </c>
      <c r="M315" s="443"/>
      <c r="N315" s="217">
        <f t="shared" si="781"/>
        <v>0.3728143694010152</v>
      </c>
      <c r="O315" s="172">
        <f>N315*J315*Isw_max*0.5*Efficiency*Pout/(Pout+Pout2)</f>
        <v>168.72325774424257</v>
      </c>
      <c r="P315" s="172">
        <f t="shared" si="783"/>
        <v>9.924897514367208</v>
      </c>
      <c r="Q315" s="217">
        <f t="shared" si="784"/>
        <v>0.99248975143672102</v>
      </c>
      <c r="R315" s="217">
        <f t="shared" si="785"/>
        <v>14.060271478686881</v>
      </c>
      <c r="S315" s="217">
        <f t="shared" si="786"/>
        <v>170</v>
      </c>
      <c r="T315" s="217">
        <f t="shared" si="787"/>
        <v>39.899656336677864</v>
      </c>
      <c r="U315" s="217">
        <f t="shared" si="788"/>
        <v>1.3877524786959596</v>
      </c>
      <c r="V315" s="217">
        <f t="shared" si="789"/>
        <v>2.3346160580254169</v>
      </c>
      <c r="W315" s="197">
        <f t="shared" si="790"/>
        <v>350</v>
      </c>
      <c r="X315" s="443">
        <f t="shared" si="848"/>
        <v>254.94799650720185</v>
      </c>
      <c r="Z315" s="217">
        <f t="shared" si="791"/>
        <v>30.6253980443331</v>
      </c>
      <c r="AA315" s="173">
        <f t="shared" si="792"/>
        <v>1.791958944568528</v>
      </c>
      <c r="AB315" s="173">
        <f>0.5*AA315*Z315*Nps*W315/1000*(Pout/(Pout+Pout2))</f>
        <v>0.45351772630730491</v>
      </c>
      <c r="AC315" s="173"/>
      <c r="AD315" s="173">
        <f t="shared" si="794"/>
        <v>0.78016246165987313</v>
      </c>
      <c r="AE315" s="545">
        <f>MAX(10, F315/(0.5*AD315/1000000*Isw_min*Nps)/1000*Pout_total/Pout)</f>
        <v>2418.5007894347546</v>
      </c>
      <c r="AF315" s="528">
        <f t="shared" si="796"/>
        <v>8.5962345312523059E-2</v>
      </c>
      <c r="AH315" s="173">
        <f t="shared" si="797"/>
        <v>34.956299248388078</v>
      </c>
      <c r="AI315" s="173">
        <f>MAX(IF(F315&gt;AB315,T315,AH315),Isw_min)</f>
        <v>39.899656336677864</v>
      </c>
      <c r="AJ315" s="173">
        <f>IF(F315&gt;AF315, (AI315-Isw_min)/1.08*0.8+1.2, AE315*0.2/350+1)</f>
        <v>20.878757780255206</v>
      </c>
      <c r="AL315" s="545">
        <f t="shared" si="800"/>
        <v>594</v>
      </c>
      <c r="AM315" s="460">
        <f t="shared" si="801"/>
        <v>254.94799650720185</v>
      </c>
      <c r="AO315">
        <f t="shared" si="802"/>
        <v>594</v>
      </c>
      <c r="AP315">
        <f t="shared" si="803"/>
        <v>254.94799650720185</v>
      </c>
      <c r="AR315" s="5">
        <f t="shared" si="774"/>
        <v>3.9223685367213763</v>
      </c>
      <c r="AS315" s="5">
        <f t="shared" si="897"/>
        <v>1.3877524786959596</v>
      </c>
      <c r="AT315" s="5">
        <f t="shared" si="898"/>
        <v>2.5346160580254167</v>
      </c>
      <c r="AU315" s="173">
        <f t="shared" si="899"/>
        <v>0.35380471409143827</v>
      </c>
      <c r="BA315" s="173">
        <f t="shared" si="849"/>
        <v>13.702201040516115</v>
      </c>
      <c r="BB315" s="173">
        <f t="shared" si="850"/>
        <v>0.87445374295511691</v>
      </c>
      <c r="BC315" s="173">
        <f t="shared" si="851"/>
        <v>0.69138144475423102</v>
      </c>
      <c r="BD315" s="173"/>
      <c r="BE315" s="528">
        <f t="shared" si="852"/>
        <v>7.5100125341888377</v>
      </c>
      <c r="BF315" s="528">
        <f t="shared" si="804"/>
        <v>5.246072939397652</v>
      </c>
      <c r="BG315" s="528">
        <f t="shared" si="805"/>
        <v>0.14660161088554671</v>
      </c>
      <c r="BH315" s="528">
        <f t="shared" si="853"/>
        <v>2.6788210012932356E-2</v>
      </c>
      <c r="BI315">
        <f t="shared" si="854"/>
        <v>6.4690373921640586E-3</v>
      </c>
      <c r="BJ315" s="460">
        <f t="shared" si="855"/>
        <v>153.07064827771077</v>
      </c>
      <c r="BK315">
        <f t="shared" si="806"/>
        <v>-18.881914840791254</v>
      </c>
      <c r="BL315" s="460">
        <f t="shared" si="856"/>
        <v>12935.944331877134</v>
      </c>
      <c r="BM315" s="173">
        <f t="shared" si="807"/>
        <v>0.51559199999999994</v>
      </c>
      <c r="BN315" s="173">
        <f t="shared" si="808"/>
        <v>0.42965999999999999</v>
      </c>
      <c r="BQ315" s="460">
        <f t="shared" si="857"/>
        <v>945.25199999999995</v>
      </c>
      <c r="BR315" s="528">
        <f t="shared" si="858"/>
        <v>5.6325094006416281</v>
      </c>
      <c r="BS315" s="528">
        <f t="shared" si="859"/>
        <v>2.2940080457046409E-2</v>
      </c>
      <c r="BT315" s="528">
        <f t="shared" si="860"/>
        <v>2.390041510752239E-3</v>
      </c>
      <c r="BU315" s="528">
        <f t="shared" si="861"/>
        <v>521.82141791550964</v>
      </c>
      <c r="BV315" s="528"/>
      <c r="BW315" s="625">
        <f t="shared" si="862"/>
        <v>10.146819204268999</v>
      </c>
      <c r="BX315" s="460">
        <f t="shared" si="863"/>
        <v>537626.07664238801</v>
      </c>
      <c r="BY315" s="173">
        <f t="shared" si="864"/>
        <v>551.50727297426522</v>
      </c>
      <c r="BZ315" s="5">
        <f t="shared" si="865"/>
        <v>106.91999999999999</v>
      </c>
      <c r="CA315" s="173">
        <f t="shared" si="866"/>
        <v>0.16238695508012316</v>
      </c>
      <c r="CB315" s="5">
        <f t="shared" si="867"/>
        <v>16.238695508012317</v>
      </c>
      <c r="CC315">
        <f t="shared" si="868"/>
        <v>99</v>
      </c>
      <c r="CE315" s="562">
        <f t="shared" si="809"/>
        <v>-50</v>
      </c>
      <c r="CG315" s="173">
        <f t="shared" si="810"/>
        <v>0.63612239068931709</v>
      </c>
      <c r="CH315" s="173">
        <f t="shared" si="811"/>
        <v>0.16261256374210345</v>
      </c>
      <c r="CI315" s="170">
        <v>99</v>
      </c>
      <c r="CJ315" s="217">
        <f t="shared" si="869"/>
        <v>0.59399999999999997</v>
      </c>
      <c r="CK315" s="217">
        <f t="shared" si="812"/>
        <v>0.495</v>
      </c>
      <c r="CL315" s="217">
        <f t="shared" si="813"/>
        <v>100.97999999999999</v>
      </c>
      <c r="CM315" s="217">
        <f t="shared" si="814"/>
        <v>5.9399999999999995</v>
      </c>
      <c r="CN315" s="541">
        <f t="shared" si="815"/>
        <v>16</v>
      </c>
      <c r="CO315" s="443">
        <f t="shared" si="816"/>
        <v>8.5350000000000001</v>
      </c>
      <c r="CP315" s="443">
        <f t="shared" si="817"/>
        <v>24.535</v>
      </c>
      <c r="CQ315" s="443"/>
      <c r="CR315" s="217">
        <f t="shared" si="818"/>
        <v>0.34760448521916415</v>
      </c>
      <c r="CS315" s="172">
        <f t="shared" si="819"/>
        <v>175.08966662891231</v>
      </c>
      <c r="CT315" s="172">
        <f t="shared" si="820"/>
        <v>10.2993921546419</v>
      </c>
      <c r="CU315" s="217">
        <f t="shared" si="821"/>
        <v>1.02993921546419</v>
      </c>
      <c r="CV315" s="217">
        <f t="shared" si="822"/>
        <v>14.590805552409359</v>
      </c>
      <c r="CW315" s="217">
        <f t="shared" si="823"/>
        <v>170</v>
      </c>
      <c r="CX315" s="217">
        <f t="shared" si="824"/>
        <v>38.448870967741925</v>
      </c>
      <c r="CY315" s="217">
        <f t="shared" si="825"/>
        <v>1.2015272177419349</v>
      </c>
      <c r="CZ315" s="217">
        <f t="shared" si="826"/>
        <v>2.2524236067804289</v>
      </c>
      <c r="DA315" s="197">
        <f t="shared" si="827"/>
        <v>350</v>
      </c>
      <c r="DB315" s="443">
        <f t="shared" si="828"/>
        <v>289.52351981973766</v>
      </c>
      <c r="DD315" s="217">
        <f t="shared" si="829"/>
        <v>31.805292730501623</v>
      </c>
      <c r="DE315" s="173">
        <f t="shared" si="830"/>
        <v>1.8632274593146818</v>
      </c>
      <c r="DF315" s="173">
        <f t="shared" si="831"/>
        <v>0.4897221442551708</v>
      </c>
      <c r="DG315" s="173"/>
      <c r="DH315" s="173">
        <f t="shared" si="832"/>
        <v>0.78109744190587771</v>
      </c>
      <c r="DI315" s="545">
        <f t="shared" si="833"/>
        <v>2415.6058235294117</v>
      </c>
      <c r="DJ315" s="528">
        <f t="shared" si="834"/>
        <v>8.6065366284073561E-2</v>
      </c>
      <c r="DL315" s="173">
        <f t="shared" si="835"/>
        <v>34.956299248388078</v>
      </c>
      <c r="DM315" s="173">
        <f t="shared" si="836"/>
        <v>38.448870967741925</v>
      </c>
      <c r="DN315" s="173">
        <f t="shared" si="837"/>
        <v>19.804101951413767</v>
      </c>
      <c r="DP315" s="545">
        <f t="shared" si="838"/>
        <v>594</v>
      </c>
      <c r="DQ315" s="460">
        <f t="shared" si="839"/>
        <v>289.52351981973766</v>
      </c>
      <c r="DS315">
        <f t="shared" si="840"/>
        <v>594</v>
      </c>
      <c r="DT315">
        <f t="shared" si="841"/>
        <v>289.52351981973766</v>
      </c>
      <c r="DV315" s="5">
        <f t="shared" si="870"/>
        <v>3.4539508245223645</v>
      </c>
      <c r="DW315" s="5">
        <f t="shared" si="842"/>
        <v>1.2015272177419349</v>
      </c>
      <c r="DX315" s="5">
        <f t="shared" si="843"/>
        <v>2.2524236067804297</v>
      </c>
      <c r="DY315" s="173">
        <f t="shared" si="844"/>
        <v>0.34787038923986136</v>
      </c>
      <c r="EA315" s="5">
        <f t="shared" si="871"/>
        <v>0.41982774549335838</v>
      </c>
      <c r="EB315" s="5">
        <f t="shared" si="872"/>
        <v>4.9562997731854814</v>
      </c>
      <c r="EC315" s="5">
        <f t="shared" si="873"/>
        <v>22.744973581268777</v>
      </c>
      <c r="ED315" s="5"/>
      <c r="EE315" s="173">
        <f t="shared" si="874"/>
        <v>13.092774732229163</v>
      </c>
      <c r="EF315" s="173">
        <f t="shared" si="875"/>
        <v>0.8465182879011276</v>
      </c>
      <c r="EG315" s="173">
        <f t="shared" si="876"/>
        <v>0.66929444995239695</v>
      </c>
      <c r="EH315" s="173"/>
      <c r="EI315" s="528">
        <f t="shared" si="877"/>
        <v>6.8568300075559376</v>
      </c>
      <c r="EJ315" s="528">
        <f t="shared" si="878"/>
        <v>7.5108000000000006</v>
      </c>
      <c r="EK315" s="528">
        <f t="shared" si="879"/>
        <v>5.7904703963947528E-2</v>
      </c>
      <c r="EL315" s="528">
        <f t="shared" si="880"/>
        <v>3.485667605492003E-2</v>
      </c>
      <c r="EM315">
        <f t="shared" si="881"/>
        <v>7.1999999999999998E-3</v>
      </c>
      <c r="EN315" s="460">
        <f t="shared" si="882"/>
        <v>65.104703963947529</v>
      </c>
      <c r="EP315" s="460">
        <f t="shared" si="883"/>
        <v>14467.591387574805</v>
      </c>
      <c r="EQ315" s="173">
        <f t="shared" si="884"/>
        <v>0.41579999999999995</v>
      </c>
      <c r="ER315" s="173">
        <f t="shared" si="845"/>
        <v>0.42965999999999999</v>
      </c>
      <c r="ES315" s="528"/>
      <c r="EU315" s="460">
        <f t="shared" si="885"/>
        <v>845.45999999999992</v>
      </c>
      <c r="EV315" s="528">
        <f t="shared" si="886"/>
        <v>5.142622505666953</v>
      </c>
      <c r="EW315" s="528">
        <f t="shared" si="887"/>
        <v>2.1497796352531691E-2</v>
      </c>
      <c r="EX315" s="528">
        <f t="shared" si="888"/>
        <v>2.2397753036854078E-3</v>
      </c>
      <c r="EY315" s="528">
        <f t="shared" si="889"/>
        <v>653.71523732255957</v>
      </c>
      <c r="EZ315" s="528"/>
      <c r="FA315" s="625">
        <f t="shared" si="890"/>
        <v>10.700178967505272</v>
      </c>
      <c r="FB315" s="460">
        <f t="shared" si="891"/>
        <v>669581.77636738797</v>
      </c>
      <c r="FC315" s="173">
        <f t="shared" si="892"/>
        <v>684.89482775496288</v>
      </c>
      <c r="FD315" s="5">
        <f t="shared" si="893"/>
        <v>106.91999999999999</v>
      </c>
      <c r="FE315" s="173">
        <f t="shared" si="894"/>
        <v>0.13503157083222461</v>
      </c>
      <c r="FF315" s="5">
        <f t="shared" si="895"/>
        <v>13.503157083222462</v>
      </c>
      <c r="FG315">
        <f t="shared" si="896"/>
        <v>99</v>
      </c>
      <c r="FI315" s="562">
        <f t="shared" si="846"/>
        <v>-50</v>
      </c>
    </row>
    <row r="316" spans="5:169">
      <c r="E316" s="170">
        <v>100</v>
      </c>
      <c r="F316" s="217">
        <f>IF(PLOT_TYPE=1, E316/100*Iout_max, min_I*EXP(O316*rr/100))</f>
        <v>0.6</v>
      </c>
      <c r="G316" s="217">
        <f t="shared" si="775"/>
        <v>0.5</v>
      </c>
      <c r="H316" s="217">
        <f t="shared" si="776"/>
        <v>102</v>
      </c>
      <c r="I316" s="217">
        <f t="shared" si="777"/>
        <v>6</v>
      </c>
      <c r="J316" s="541">
        <f t="shared" si="778"/>
        <v>14.359230958841882</v>
      </c>
      <c r="K316" s="443">
        <f t="shared" si="779"/>
        <v>8.5453320313730536</v>
      </c>
      <c r="L316" s="172">
        <f t="shared" si="780"/>
        <v>22.904562990214934</v>
      </c>
      <c r="M316" s="443"/>
      <c r="N316" s="217">
        <f t="shared" si="781"/>
        <v>0.37308426425877272</v>
      </c>
      <c r="O316" s="172">
        <f>N316*J316*Isw_max*0.5*Efficiency*Pout/(Pout+Pout2)</f>
        <v>168.65269073930068</v>
      </c>
      <c r="P316" s="172">
        <f t="shared" si="783"/>
        <v>9.9207465140765105</v>
      </c>
      <c r="Q316" s="217">
        <f t="shared" si="784"/>
        <v>0.99207465140765105</v>
      </c>
      <c r="R316" s="217">
        <f t="shared" si="785"/>
        <v>14.054390894941724</v>
      </c>
      <c r="S316" s="217">
        <f t="shared" si="786"/>
        <v>170</v>
      </c>
      <c r="T316" s="217">
        <f t="shared" si="787"/>
        <v>40.319546460787151</v>
      </c>
      <c r="U316" s="217">
        <f t="shared" si="788"/>
        <v>1.4039591178787978</v>
      </c>
      <c r="V316" s="217">
        <f t="shared" si="789"/>
        <v>2.3591562219442892</v>
      </c>
      <c r="W316" s="197">
        <f t="shared" si="790"/>
        <v>350</v>
      </c>
      <c r="X316" s="443">
        <f t="shared" si="848"/>
        <v>252.32674657524345</v>
      </c>
      <c r="Z316" s="217">
        <f t="shared" si="791"/>
        <v>30.612589243436087</v>
      </c>
      <c r="AA316" s="173">
        <f t="shared" si="792"/>
        <v>1.7911878164035067</v>
      </c>
      <c r="AB316" s="173">
        <f>0.5*AA316*Z316*Nps*W316/1000*(Pout/(Pout+Pout2))</f>
        <v>0.45313296728385583</v>
      </c>
      <c r="AC316" s="173"/>
      <c r="AD316" s="173">
        <f t="shared" si="794"/>
        <v>0.7801530288338574</v>
      </c>
      <c r="AE316" s="545">
        <f>MAX(10, F316/(0.5*AD316/1000000*Isw_min*Nps)/1000*Pout_total/Pout)</f>
        <v>2442.959627792532</v>
      </c>
      <c r="AF316" s="528">
        <f t="shared" si="796"/>
        <v>8.5961305954841694E-2</v>
      </c>
      <c r="AH316" s="173">
        <f>SQRT((H316+I316)/(0.5*L*Fsw_DCM))</f>
        <v>35.132402626147197</v>
      </c>
      <c r="AI316" s="173">
        <f>MAX(IF(F316&gt;AB316,T316,AH316),Isw_min)</f>
        <v>40.319546460787151</v>
      </c>
      <c r="AJ316" s="173">
        <f>IF(F316&gt;AF316, (AI316-Isw_min)/1.08*0.8+1.2, AE316*0.2/350+1)</f>
        <v>21.189787501817641</v>
      </c>
      <c r="AL316" s="545">
        <f t="shared" si="800"/>
        <v>600</v>
      </c>
      <c r="AM316" s="460">
        <f t="shared" si="801"/>
        <v>252.32674657524345</v>
      </c>
      <c r="AO316">
        <f t="shared" si="802"/>
        <v>600</v>
      </c>
      <c r="AP316">
        <f t="shared" si="803"/>
        <v>252.32674657524345</v>
      </c>
      <c r="AR316" s="5">
        <f t="shared" si="774"/>
        <v>3.9631153398230876</v>
      </c>
      <c r="AS316" s="5">
        <f t="shared" si="897"/>
        <v>1.4039591178787978</v>
      </c>
      <c r="AT316" s="5">
        <f t="shared" si="898"/>
        <v>2.5591562219442898</v>
      </c>
      <c r="AU316" s="173">
        <f t="shared" si="899"/>
        <v>0.35425643653900574</v>
      </c>
      <c r="BA316" s="173">
        <f t="shared" si="849"/>
        <v>13.855234664278461</v>
      </c>
      <c r="BB316" s="173">
        <f t="shared" si="850"/>
        <v>0.88334727672885416</v>
      </c>
      <c r="BC316" s="173">
        <f t="shared" si="851"/>
        <v>0.69841306223999711</v>
      </c>
      <c r="BD316" s="173"/>
      <c r="BE316" s="528">
        <f>Rdson*BA316^2</f>
        <v>7.6787011040889386</v>
      </c>
      <c r="BF316" s="528">
        <f t="shared" si="804"/>
        <v>5.2430434217459574</v>
      </c>
      <c r="BG316" s="528">
        <f t="shared" si="805"/>
        <v>0.14492872124668343</v>
      </c>
      <c r="BH316" s="528">
        <f t="shared" si="853"/>
        <v>2.6475081383634042E-2</v>
      </c>
      <c r="BI316">
        <f t="shared" si="854"/>
        <v>6.4616539314788467E-3</v>
      </c>
      <c r="BJ316" s="460">
        <f t="shared" si="855"/>
        <v>151.39037517816229</v>
      </c>
      <c r="BK316">
        <f t="shared" si="806"/>
        <v>-18.219780412762788</v>
      </c>
      <c r="BL316" s="460">
        <f t="shared" si="856"/>
        <v>13099.609982396692</v>
      </c>
      <c r="BM316" s="173">
        <f t="shared" si="807"/>
        <v>0.52079999999999993</v>
      </c>
      <c r="BN316" s="173">
        <f t="shared" si="808"/>
        <v>0.434</v>
      </c>
      <c r="BQ316" s="460">
        <f t="shared" si="857"/>
        <v>954.79999999999984</v>
      </c>
      <c r="BR316" s="528">
        <f t="shared" si="858"/>
        <v>5.7590258280667035</v>
      </c>
      <c r="BS316" s="528">
        <f t="shared" si="859"/>
        <v>2.3409072339128482E-2</v>
      </c>
      <c r="BT316" s="528">
        <f t="shared" si="860"/>
        <v>2.4389040275372502E-3</v>
      </c>
      <c r="BU316" s="528">
        <f t="shared" si="861"/>
        <v>521.9961743740555</v>
      </c>
      <c r="BV316" s="528"/>
      <c r="BW316" s="625">
        <f t="shared" si="862"/>
        <v>10.254974227397474</v>
      </c>
      <c r="BX316" s="460">
        <f t="shared" si="863"/>
        <v>538036.02240588632</v>
      </c>
      <c r="BY316" s="173">
        <f>SUM(BE316:BI316,BM316:BP316,BR316:BW316)</f>
        <v>552.09043238828303</v>
      </c>
      <c r="BZ316" s="5">
        <f t="shared" si="865"/>
        <v>108</v>
      </c>
      <c r="CA316" s="173">
        <f t="shared" si="866"/>
        <v>0.163613945454782</v>
      </c>
      <c r="CB316" s="5">
        <f t="shared" si="867"/>
        <v>16.361394545478198</v>
      </c>
      <c r="CC316">
        <f t="shared" si="868"/>
        <v>100</v>
      </c>
      <c r="CE316" s="562">
        <f t="shared" si="809"/>
        <v>-50</v>
      </c>
      <c r="CG316" s="173">
        <f t="shared" si="810"/>
        <v>0.63612239068931686</v>
      </c>
      <c r="CH316" s="173">
        <f t="shared" si="811"/>
        <v>0.16261256374210345</v>
      </c>
      <c r="CI316" s="170">
        <v>100</v>
      </c>
      <c r="CJ316" s="217">
        <f t="shared" si="869"/>
        <v>0.6</v>
      </c>
      <c r="CK316" s="217">
        <f t="shared" si="812"/>
        <v>0.5</v>
      </c>
      <c r="CL316" s="217">
        <f t="shared" si="813"/>
        <v>102</v>
      </c>
      <c r="CM316" s="217">
        <f t="shared" si="814"/>
        <v>6</v>
      </c>
      <c r="CN316" s="541">
        <f t="shared" si="815"/>
        <v>16</v>
      </c>
      <c r="CO316" s="443">
        <f t="shared" si="816"/>
        <v>8.5350000000000001</v>
      </c>
      <c r="CP316" s="443">
        <f t="shared" si="817"/>
        <v>24.535</v>
      </c>
      <c r="CQ316" s="443"/>
      <c r="CR316" s="217">
        <f t="shared" si="818"/>
        <v>0.34760448521916415</v>
      </c>
      <c r="CS316" s="172">
        <f t="shared" si="819"/>
        <v>175.08966662891231</v>
      </c>
      <c r="CT316" s="172">
        <f t="shared" si="820"/>
        <v>10.2993921546419</v>
      </c>
      <c r="CU316" s="217">
        <f t="shared" si="821"/>
        <v>1.02993921546419</v>
      </c>
      <c r="CV316" s="217">
        <f t="shared" si="822"/>
        <v>14.590805552409359</v>
      </c>
      <c r="CW316" s="217">
        <f t="shared" si="823"/>
        <v>170</v>
      </c>
      <c r="CX316" s="217">
        <f t="shared" si="824"/>
        <v>38.83724340175953</v>
      </c>
      <c r="CY316" s="217">
        <f t="shared" si="825"/>
        <v>1.2136638563049853</v>
      </c>
      <c r="CZ316" s="217">
        <f t="shared" si="826"/>
        <v>2.2751753603842726</v>
      </c>
      <c r="DA316" s="197">
        <f t="shared" si="827"/>
        <v>350</v>
      </c>
      <c r="DB316" s="443">
        <f t="shared" si="828"/>
        <v>286.62828462154016</v>
      </c>
      <c r="DD316" s="217">
        <f t="shared" si="829"/>
        <v>31.805292730501623</v>
      </c>
      <c r="DE316" s="173">
        <f t="shared" si="830"/>
        <v>1.8632274593146818</v>
      </c>
      <c r="DF316" s="173">
        <f t="shared" si="831"/>
        <v>0.4897221442551708</v>
      </c>
      <c r="DG316" s="173"/>
      <c r="DH316" s="173">
        <f t="shared" si="832"/>
        <v>0.78109744190587771</v>
      </c>
      <c r="DI316" s="545">
        <f t="shared" si="833"/>
        <v>2440.0058823529412</v>
      </c>
      <c r="DJ316" s="528">
        <f t="shared" si="834"/>
        <v>8.6065366284073561E-2</v>
      </c>
      <c r="DL316" s="173">
        <f t="shared" si="835"/>
        <v>35.132402626147197</v>
      </c>
      <c r="DM316" s="173">
        <f t="shared" si="836"/>
        <v>38.83724340175953</v>
      </c>
      <c r="DN316" s="173">
        <f t="shared" si="837"/>
        <v>20.091785235871253</v>
      </c>
      <c r="DP316" s="545">
        <f t="shared" si="838"/>
        <v>600</v>
      </c>
      <c r="DQ316" s="460">
        <f t="shared" si="839"/>
        <v>286.62828462154016</v>
      </c>
      <c r="DS316">
        <f t="shared" si="840"/>
        <v>600</v>
      </c>
      <c r="DT316">
        <f t="shared" si="841"/>
        <v>286.62828462154016</v>
      </c>
      <c r="DV316" s="5">
        <f t="shared" si="870"/>
        <v>3.4888392166892586</v>
      </c>
      <c r="DW316" s="5">
        <f t="shared" si="842"/>
        <v>1.2136638563049853</v>
      </c>
      <c r="DX316" s="5">
        <f t="shared" si="843"/>
        <v>2.2751753603842735</v>
      </c>
      <c r="DY316" s="173">
        <f t="shared" si="844"/>
        <v>0.34787038923986136</v>
      </c>
      <c r="EA316" s="5">
        <f t="shared" si="871"/>
        <v>0.42835194928411247</v>
      </c>
      <c r="EB316" s="5">
        <f t="shared" si="872"/>
        <v>5.0569327346041053</v>
      </c>
      <c r="EC316" s="5">
        <f t="shared" si="873"/>
        <v>23.20678867591959</v>
      </c>
      <c r="ED316" s="5"/>
      <c r="EE316" s="173">
        <f t="shared" si="874"/>
        <v>13.225024982049662</v>
      </c>
      <c r="EF316" s="173">
        <f t="shared" si="875"/>
        <v>0.85506897767790691</v>
      </c>
      <c r="EG316" s="173">
        <f t="shared" si="876"/>
        <v>0.6760549999519162</v>
      </c>
      <c r="EH316" s="173"/>
      <c r="EI316" s="528">
        <f t="shared" si="877"/>
        <v>6.9960514310335071</v>
      </c>
      <c r="EJ316" s="528">
        <f t="shared" si="878"/>
        <v>7.5107999999999988</v>
      </c>
      <c r="EK316" s="528">
        <f t="shared" si="879"/>
        <v>5.7325656924308036E-2</v>
      </c>
      <c r="EL316" s="528">
        <f t="shared" si="880"/>
        <v>3.4508109294370815E-2</v>
      </c>
      <c r="EM316">
        <f t="shared" si="881"/>
        <v>7.1999999999999998E-3</v>
      </c>
      <c r="EN316" s="460">
        <f t="shared" si="882"/>
        <v>64.525656924308038</v>
      </c>
      <c r="EP316" s="460">
        <f t="shared" si="883"/>
        <v>14605.885197252184</v>
      </c>
      <c r="EQ316" s="173">
        <f t="shared" si="884"/>
        <v>0.42</v>
      </c>
      <c r="ER316" s="173">
        <f t="shared" si="845"/>
        <v>0.434</v>
      </c>
      <c r="ES316" s="528"/>
      <c r="EU316" s="460">
        <f t="shared" si="885"/>
        <v>854</v>
      </c>
      <c r="EV316" s="528">
        <f t="shared" si="886"/>
        <v>5.2470385732751295</v>
      </c>
      <c r="EW316" s="528">
        <f t="shared" si="887"/>
        <v>2.1934288697614227E-2</v>
      </c>
      <c r="EX316" s="528">
        <f t="shared" si="888"/>
        <v>2.285251814799927E-3</v>
      </c>
      <c r="EY316" s="528">
        <f t="shared" si="889"/>
        <v>653.71523732256071</v>
      </c>
      <c r="EZ316" s="528"/>
      <c r="FA316" s="625">
        <f t="shared" si="890"/>
        <v>10.808261583338659</v>
      </c>
      <c r="FB316" s="460">
        <f t="shared" si="891"/>
        <v>669794.75701968698</v>
      </c>
      <c r="FC316" s="173">
        <f t="shared" si="892"/>
        <v>685.25464221693915</v>
      </c>
      <c r="FD316" s="5">
        <f t="shared" si="893"/>
        <v>108</v>
      </c>
      <c r="FE316" s="173">
        <f t="shared" si="894"/>
        <v>0.13614795836324167</v>
      </c>
      <c r="FF316" s="5">
        <f t="shared" si="895"/>
        <v>13.614795836324166</v>
      </c>
      <c r="FG316">
        <f t="shared" si="896"/>
        <v>100</v>
      </c>
      <c r="FI316" s="562">
        <f t="shared" si="846"/>
        <v>-50</v>
      </c>
    </row>
    <row r="317" spans="5:169">
      <c r="E317" s="170"/>
      <c r="F317" s="217"/>
      <c r="G317" s="217"/>
      <c r="CI317" s="170"/>
      <c r="CJ317" s="217"/>
      <c r="CK317" s="217"/>
    </row>
    <row r="318" spans="5:169" ht="45" customHeight="1" thickBot="1">
      <c r="E318" s="241" t="s">
        <v>25</v>
      </c>
      <c r="F318" s="602" t="s">
        <v>580</v>
      </c>
      <c r="G318" s="444" t="s">
        <v>579</v>
      </c>
      <c r="H318" s="603" t="s">
        <v>581</v>
      </c>
      <c r="I318" s="604" t="s">
        <v>582</v>
      </c>
      <c r="J318" s="242" t="s">
        <v>412</v>
      </c>
      <c r="K318" s="243" t="s">
        <v>586</v>
      </c>
      <c r="L318" s="605" t="s">
        <v>413</v>
      </c>
      <c r="M318" s="606"/>
      <c r="N318" s="244" t="s">
        <v>48</v>
      </c>
      <c r="O318" s="606" t="s">
        <v>590</v>
      </c>
      <c r="P318" s="606" t="s">
        <v>606</v>
      </c>
      <c r="Q318" s="606" t="s">
        <v>583</v>
      </c>
      <c r="R318" s="606" t="s">
        <v>584</v>
      </c>
      <c r="S318" s="606" t="s">
        <v>585</v>
      </c>
      <c r="T318" s="606" t="s">
        <v>414</v>
      </c>
      <c r="U318" s="606" t="s">
        <v>466</v>
      </c>
      <c r="V318" s="606" t="s">
        <v>465</v>
      </c>
      <c r="W318" s="607" t="s">
        <v>420</v>
      </c>
      <c r="X318" s="608" t="s">
        <v>425</v>
      </c>
      <c r="Z318" s="245" t="s">
        <v>417</v>
      </c>
      <c r="AA318" s="245" t="s">
        <v>464</v>
      </c>
      <c r="AB318" s="245" t="s">
        <v>587</v>
      </c>
      <c r="AC318" s="544"/>
      <c r="AD318" s="245" t="s">
        <v>463</v>
      </c>
      <c r="AE318" s="607" t="s">
        <v>426</v>
      </c>
      <c r="AF318" s="245" t="s">
        <v>588</v>
      </c>
      <c r="AG318" s="544"/>
      <c r="AH318" s="245" t="s">
        <v>429</v>
      </c>
      <c r="AI318" s="547" t="s">
        <v>430</v>
      </c>
      <c r="AJ318" s="547" t="s">
        <v>431</v>
      </c>
      <c r="AL318" s="543" t="s">
        <v>275</v>
      </c>
      <c r="AM318" s="543" t="s">
        <v>432</v>
      </c>
      <c r="AO318" s="245" t="s">
        <v>275</v>
      </c>
      <c r="AP318" s="245" t="s">
        <v>432</v>
      </c>
      <c r="AQ318" s="548"/>
      <c r="AR318" s="245" t="s">
        <v>467</v>
      </c>
      <c r="AS318" s="245" t="s">
        <v>461</v>
      </c>
      <c r="AT318" s="245" t="s">
        <v>462</v>
      </c>
      <c r="AU318" s="245" t="s">
        <v>48</v>
      </c>
      <c r="AV318" s="544"/>
      <c r="AW318" s="245" t="s">
        <v>591</v>
      </c>
      <c r="AX318" s="245" t="s">
        <v>592</v>
      </c>
      <c r="AY318" s="245" t="s">
        <v>514</v>
      </c>
      <c r="AZ318" s="544"/>
      <c r="BA318" s="557" t="s">
        <v>456</v>
      </c>
      <c r="BB318" s="245" t="s">
        <v>599</v>
      </c>
      <c r="BC318" s="245" t="s">
        <v>598</v>
      </c>
      <c r="BD318" s="544"/>
      <c r="BE318" s="557" t="s">
        <v>474</v>
      </c>
      <c r="BF318" s="245" t="s">
        <v>475</v>
      </c>
      <c r="BG318" s="245" t="s">
        <v>473</v>
      </c>
      <c r="BH318" s="245" t="s">
        <v>469</v>
      </c>
      <c r="BI318" s="245" t="s">
        <v>478</v>
      </c>
      <c r="BJ318" s="245" t="s">
        <v>491</v>
      </c>
      <c r="BK318" s="245" t="s">
        <v>776</v>
      </c>
      <c r="BL318" s="245" t="s">
        <v>778</v>
      </c>
      <c r="BM318" s="557" t="s">
        <v>601</v>
      </c>
      <c r="BN318" s="245" t="s">
        <v>600</v>
      </c>
      <c r="BO318" s="245" t="s">
        <v>477</v>
      </c>
      <c r="BP318" s="245" t="s">
        <v>483</v>
      </c>
      <c r="BQ318" s="245" t="s">
        <v>487</v>
      </c>
      <c r="BR318" s="557" t="s">
        <v>458</v>
      </c>
      <c r="BS318" s="245" t="s">
        <v>603</v>
      </c>
      <c r="BT318" s="245" t="s">
        <v>602</v>
      </c>
      <c r="BU318" s="245" t="s">
        <v>468</v>
      </c>
      <c r="BV318" s="245" t="s">
        <v>673</v>
      </c>
      <c r="BW318" s="245" t="s">
        <v>484</v>
      </c>
      <c r="BX318" s="245" t="s">
        <v>486</v>
      </c>
      <c r="BY318" s="557" t="s">
        <v>482</v>
      </c>
      <c r="BZ318" s="245" t="s">
        <v>223</v>
      </c>
      <c r="CA318" s="245" t="s">
        <v>47</v>
      </c>
      <c r="CB318" s="245" t="s">
        <v>485</v>
      </c>
      <c r="CC318" s="245" t="s">
        <v>604</v>
      </c>
      <c r="CE318" s="569" t="s">
        <v>497</v>
      </c>
      <c r="CG318" s="782" t="s">
        <v>829</v>
      </c>
      <c r="CH318" s="783" t="s">
        <v>830</v>
      </c>
      <c r="CI318" s="241" t="s">
        <v>25</v>
      </c>
      <c r="CJ318" s="602" t="s">
        <v>580</v>
      </c>
      <c r="CK318" s="444" t="s">
        <v>579</v>
      </c>
      <c r="CL318" s="603" t="s">
        <v>581</v>
      </c>
      <c r="CM318" s="604" t="s">
        <v>582</v>
      </c>
      <c r="CN318" s="242" t="s">
        <v>412</v>
      </c>
      <c r="CO318" s="243" t="s">
        <v>586</v>
      </c>
      <c r="CP318" s="605" t="s">
        <v>413</v>
      </c>
      <c r="CQ318" s="606"/>
      <c r="CR318" s="244" t="s">
        <v>48</v>
      </c>
      <c r="CS318" s="606" t="s">
        <v>590</v>
      </c>
      <c r="CT318" s="606" t="s">
        <v>606</v>
      </c>
      <c r="CU318" s="606" t="s">
        <v>583</v>
      </c>
      <c r="CV318" s="606" t="s">
        <v>584</v>
      </c>
      <c r="CW318" s="606" t="s">
        <v>585</v>
      </c>
      <c r="CX318" s="606" t="s">
        <v>414</v>
      </c>
      <c r="CY318" s="606" t="s">
        <v>466</v>
      </c>
      <c r="CZ318" s="606" t="s">
        <v>465</v>
      </c>
      <c r="DA318" s="607" t="s">
        <v>420</v>
      </c>
      <c r="DB318" s="608" t="s">
        <v>425</v>
      </c>
      <c r="DD318" s="245" t="s">
        <v>417</v>
      </c>
      <c r="DE318" s="245" t="s">
        <v>464</v>
      </c>
      <c r="DF318" s="245" t="s">
        <v>587</v>
      </c>
      <c r="DG318" s="544"/>
      <c r="DH318" s="245" t="s">
        <v>463</v>
      </c>
      <c r="DI318" s="607" t="s">
        <v>426</v>
      </c>
      <c r="DJ318" s="245" t="s">
        <v>588</v>
      </c>
      <c r="DK318" s="544"/>
      <c r="DL318" s="245" t="s">
        <v>429</v>
      </c>
      <c r="DM318" s="547" t="s">
        <v>430</v>
      </c>
      <c r="DN318" s="547" t="s">
        <v>431</v>
      </c>
      <c r="DP318" s="543" t="s">
        <v>275</v>
      </c>
      <c r="DQ318" s="543" t="s">
        <v>432</v>
      </c>
      <c r="DS318" s="245" t="s">
        <v>275</v>
      </c>
      <c r="DT318" s="245" t="s">
        <v>432</v>
      </c>
      <c r="DU318" s="548"/>
      <c r="DV318" s="245" t="s">
        <v>467</v>
      </c>
      <c r="DW318" s="245" t="s">
        <v>461</v>
      </c>
      <c r="DX318" s="245" t="s">
        <v>462</v>
      </c>
      <c r="DY318" s="245" t="s">
        <v>48</v>
      </c>
      <c r="DZ318" s="544"/>
      <c r="EA318" s="245" t="s">
        <v>591</v>
      </c>
      <c r="EB318" s="245" t="s">
        <v>592</v>
      </c>
      <c r="EC318" s="245" t="s">
        <v>514</v>
      </c>
      <c r="ED318" s="544"/>
      <c r="EE318" s="557" t="s">
        <v>456</v>
      </c>
      <c r="EF318" s="245" t="s">
        <v>599</v>
      </c>
      <c r="EG318" s="245" t="s">
        <v>598</v>
      </c>
      <c r="EH318" s="544"/>
      <c r="EI318" s="557" t="s">
        <v>474</v>
      </c>
      <c r="EJ318" s="245" t="s">
        <v>475</v>
      </c>
      <c r="EK318" s="245" t="s">
        <v>473</v>
      </c>
      <c r="EL318" s="245" t="s">
        <v>469</v>
      </c>
      <c r="EM318" s="245" t="s">
        <v>478</v>
      </c>
      <c r="EN318" s="245" t="s">
        <v>491</v>
      </c>
      <c r="EO318" s="245" t="s">
        <v>776</v>
      </c>
      <c r="EP318" s="245" t="s">
        <v>778</v>
      </c>
      <c r="EQ318" s="557" t="s">
        <v>601</v>
      </c>
      <c r="ER318" s="245" t="s">
        <v>600</v>
      </c>
      <c r="ES318" s="245" t="s">
        <v>477</v>
      </c>
      <c r="ET318" s="245" t="s">
        <v>483</v>
      </c>
      <c r="EU318" s="245" t="s">
        <v>487</v>
      </c>
      <c r="EV318" s="557" t="s">
        <v>458</v>
      </c>
      <c r="EW318" s="245" t="s">
        <v>603</v>
      </c>
      <c r="EX318" s="245" t="s">
        <v>602</v>
      </c>
      <c r="EY318" s="245" t="s">
        <v>468</v>
      </c>
      <c r="EZ318" s="245" t="s">
        <v>673</v>
      </c>
      <c r="FA318" s="245" t="s">
        <v>484</v>
      </c>
      <c r="FB318" s="245" t="s">
        <v>486</v>
      </c>
      <c r="FC318" s="557" t="s">
        <v>482</v>
      </c>
      <c r="FD318" s="245" t="s">
        <v>223</v>
      </c>
      <c r="FE318" s="245" t="s">
        <v>47</v>
      </c>
      <c r="FF318" s="245" t="s">
        <v>485</v>
      </c>
      <c r="FG318" s="245" t="s">
        <v>604</v>
      </c>
      <c r="FI318" s="569" t="s">
        <v>497</v>
      </c>
      <c r="FL318" s="782" t="s">
        <v>876</v>
      </c>
      <c r="FM318" s="782" t="s">
        <v>875</v>
      </c>
    </row>
    <row r="320" spans="5:169">
      <c r="E320" s="76" t="s">
        <v>913</v>
      </c>
      <c r="K320" s="76"/>
      <c r="L320" s="76" t="s">
        <v>914</v>
      </c>
    </row>
    <row r="321" spans="5:20">
      <c r="F321" s="76" t="s">
        <v>915</v>
      </c>
      <c r="G321" s="76" t="s">
        <v>916</v>
      </c>
      <c r="M321" s="76" t="s">
        <v>917</v>
      </c>
      <c r="N321" s="76" t="s">
        <v>918</v>
      </c>
    </row>
    <row r="322" spans="5:20">
      <c r="F322">
        <f>'Design Converter'!E73</f>
        <v>0.1</v>
      </c>
      <c r="G322" s="884">
        <f>F322*Vout</f>
        <v>17</v>
      </c>
      <c r="M322">
        <f>'Design Converter'!L73</f>
        <v>0.1</v>
      </c>
      <c r="N322" s="884">
        <f>M322*Vout2</f>
        <v>1.2000000000000002</v>
      </c>
      <c r="T322">
        <f>Vout*F316+Vout2*G316</f>
        <v>108</v>
      </c>
    </row>
    <row r="323" spans="5:20">
      <c r="E323" t="s">
        <v>907</v>
      </c>
      <c r="L323" t="s">
        <v>907</v>
      </c>
    </row>
    <row r="324" spans="5:20">
      <c r="F324" t="s">
        <v>908</v>
      </c>
      <c r="G324" t="s">
        <v>909</v>
      </c>
      <c r="H324" t="s">
        <v>910</v>
      </c>
      <c r="I324" s="76" t="s">
        <v>660</v>
      </c>
      <c r="M324" t="s">
        <v>908</v>
      </c>
      <c r="N324" t="s">
        <v>909</v>
      </c>
      <c r="O324" t="s">
        <v>910</v>
      </c>
      <c r="P324" s="76" t="s">
        <v>660</v>
      </c>
    </row>
    <row r="325" spans="5:20">
      <c r="F325" s="885">
        <v>1.9999999999999999E-7</v>
      </c>
      <c r="G325">
        <f>VIN_max</f>
        <v>16</v>
      </c>
      <c r="H325">
        <f>15000</f>
        <v>15000</v>
      </c>
      <c r="I325">
        <f>L*0.9</f>
        <v>4.4999999999999998E-7</v>
      </c>
      <c r="M325" s="885">
        <v>1.9999999999999999E-7</v>
      </c>
      <c r="N325">
        <f>VIN_max</f>
        <v>16</v>
      </c>
      <c r="O325">
        <f>15000</f>
        <v>15000</v>
      </c>
      <c r="P325">
        <f>L*0.9</f>
        <v>4.4999999999999998E-7</v>
      </c>
    </row>
    <row r="326" spans="5:20">
      <c r="G326" s="76" t="s">
        <v>911</v>
      </c>
      <c r="N326" s="76" t="s">
        <v>911</v>
      </c>
    </row>
    <row r="327" spans="5:20">
      <c r="G327" s="884">
        <f>0.5*(G325/I325*F325)^2*H325*I325</f>
        <v>0.17066666666666666</v>
      </c>
      <c r="N327" s="884">
        <f>0.5*(N325/P325*M325)^2*O325*P325</f>
        <v>0.17066666666666666</v>
      </c>
    </row>
    <row r="328" spans="5:20">
      <c r="E328" s="76" t="s">
        <v>919</v>
      </c>
      <c r="K328" s="76"/>
      <c r="L328" s="76" t="s">
        <v>920</v>
      </c>
    </row>
    <row r="329" spans="5:20">
      <c r="G329" t="str">
        <f>IF(G322+N322&lt;G327, "Yes", IF(G322&lt;G327, "Yes", "No"))</f>
        <v>No</v>
      </c>
      <c r="H329">
        <f>(Vout*1.05)^2/(G327-G322)</f>
        <v>-1893.2568135002375</v>
      </c>
      <c r="N329" t="str">
        <f>IF(G322+N322&lt;N327, "Yes", IF(N322&lt;N327, "Yes", "No"))</f>
        <v>No</v>
      </c>
      <c r="O329">
        <f>(Vout2*1.05)^2/(N327-N322)</f>
        <v>-154.23575129533683</v>
      </c>
    </row>
  </sheetData>
  <sheetProtection selectLockedCells="1" selectUnlockedCells="1"/>
  <mergeCells count="2">
    <mergeCell ref="N3:Z3"/>
    <mergeCell ref="CR3:DD3"/>
  </mergeCells>
  <phoneticPr fontId="83"/>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0000"/>
  </sheetPr>
  <dimension ref="C3:S106"/>
  <sheetViews>
    <sheetView workbookViewId="0">
      <selection activeCell="V6" sqref="V6"/>
    </sheetView>
  </sheetViews>
  <sheetFormatPr defaultRowHeight="12.5"/>
  <cols>
    <col min="3" max="3" width="7.7265625" customWidth="1"/>
    <col min="5" max="5" width="10.26953125" customWidth="1"/>
    <col min="7" max="7" width="10.7265625" customWidth="1"/>
    <col min="8" max="8" width="9.7265625" customWidth="1"/>
    <col min="9" max="9" width="9.54296875" customWidth="1"/>
    <col min="10" max="10" width="8.7265625" customWidth="1"/>
    <col min="11" max="11" width="9.81640625" customWidth="1"/>
    <col min="12" max="12" width="10.7265625" customWidth="1"/>
    <col min="13" max="13" width="15" customWidth="1"/>
    <col min="14" max="14" width="11.453125" customWidth="1"/>
    <col min="15" max="16" width="11" customWidth="1"/>
    <col min="17" max="17" width="11.1796875" customWidth="1"/>
    <col min="18" max="18" width="11.26953125" customWidth="1"/>
    <col min="19" max="19" width="5.1796875" customWidth="1"/>
  </cols>
  <sheetData>
    <row r="3" spans="3:19" ht="13" thickBot="1"/>
    <row r="4" spans="3:19" ht="13">
      <c r="C4" s="220" t="s">
        <v>421</v>
      </c>
      <c r="D4" s="221"/>
      <c r="E4" s="222"/>
      <c r="F4" s="947" t="s">
        <v>189</v>
      </c>
      <c r="G4" s="948"/>
      <c r="H4" s="947"/>
      <c r="I4" s="947"/>
      <c r="J4" s="947"/>
      <c r="K4" s="948"/>
      <c r="L4" s="948"/>
      <c r="M4" s="948"/>
      <c r="N4" s="947"/>
      <c r="O4" s="949"/>
      <c r="P4" s="533"/>
      <c r="Q4" s="533"/>
      <c r="R4" s="533"/>
      <c r="S4" s="533"/>
    </row>
    <row r="5" spans="3:19" ht="45" customHeight="1" thickBot="1">
      <c r="C5" s="241" t="s">
        <v>25</v>
      </c>
      <c r="D5" s="242" t="s">
        <v>412</v>
      </c>
      <c r="E5" s="243" t="s">
        <v>418</v>
      </c>
      <c r="F5" s="244" t="s">
        <v>48</v>
      </c>
      <c r="G5" s="527" t="s">
        <v>402</v>
      </c>
      <c r="H5" s="527" t="s">
        <v>403</v>
      </c>
      <c r="I5" s="527" t="s">
        <v>413</v>
      </c>
      <c r="J5" s="527" t="s">
        <v>414</v>
      </c>
      <c r="K5" s="527" t="s">
        <v>415</v>
      </c>
      <c r="L5" s="527" t="s">
        <v>416</v>
      </c>
      <c r="M5" s="246" t="s">
        <v>419</v>
      </c>
      <c r="N5" s="245" t="s">
        <v>420</v>
      </c>
      <c r="O5" s="245" t="s">
        <v>417</v>
      </c>
      <c r="P5" s="245" t="s">
        <v>422</v>
      </c>
      <c r="Q5" s="245" t="s">
        <v>423</v>
      </c>
      <c r="R5" s="245" t="s">
        <v>424</v>
      </c>
      <c r="S5" s="245"/>
    </row>
    <row r="6" spans="3:19">
      <c r="C6" s="170">
        <v>0.1</v>
      </c>
      <c r="D6" s="529">
        <f>VIN_min</f>
        <v>9</v>
      </c>
      <c r="E6" s="443">
        <f t="shared" ref="E6:E37" si="0">(Vout+Vfwd1)*Nps</f>
        <v>8.5250000000000004</v>
      </c>
      <c r="F6" s="217">
        <f t="shared" ref="F6:F37" si="1">(Vout+Vfwd1)*Nps/((Vout+Vfwd1)*Nps+D6)</f>
        <v>0.48644793152639093</v>
      </c>
      <c r="G6" s="172">
        <f t="shared" ref="G6:G37" si="2">F6*D6*Isw_max*0.5*Efficiency</f>
        <v>145.93437945791729</v>
      </c>
      <c r="H6" s="217">
        <f t="shared" ref="H6:H37" si="3">G6/Vout</f>
        <v>0.85843752622304292</v>
      </c>
      <c r="I6" s="443">
        <f t="shared" ref="I6:I37" si="4">(Vout+Vfwd1)*Nps+D6</f>
        <v>17.524999999999999</v>
      </c>
      <c r="J6" s="172">
        <f t="shared" ref="J6:J37" si="5">MIN(2*Vout*Iout/(Efficiency*D6*F6), 1.35)</f>
        <v>1.35</v>
      </c>
      <c r="K6" s="172">
        <f t="shared" ref="K6:K37" si="6">L*J6/D6*1000000</f>
        <v>7.4999999999999997E-2</v>
      </c>
      <c r="L6" s="172">
        <f t="shared" ref="L6:L37" si="7">L*J6/((Vout+Vfwd1)*Nps)*1000000</f>
        <v>7.9178885630498533E-2</v>
      </c>
      <c r="M6" s="443">
        <f>MIN(1/(K6+L6)*1000, 350)</f>
        <v>350</v>
      </c>
      <c r="N6" s="197">
        <f t="shared" ref="N6:N37" si="8">IF(1/((350000*L)*(1/D6+1/E6))&gt;Isw_min, 350, 0.001/((Isw_min*L)*(1/D6+1/E6)))</f>
        <v>350</v>
      </c>
      <c r="O6" s="217">
        <f t="shared" ref="O6:O37" si="9">1/((N6*1000*L)*(1/D6+1/E6))</f>
        <v>25.017322192785819</v>
      </c>
      <c r="P6" s="173">
        <f t="shared" ref="P6:P37" si="10">L*O6/E6*1000000</f>
        <v>1.467291624210312</v>
      </c>
      <c r="Q6" s="173">
        <f t="shared" ref="Q6:Q37" si="11">0.5*P6*O6*Nps*N6/1000</f>
        <v>0.32119243899439714</v>
      </c>
      <c r="R6" s="173">
        <f t="shared" ref="R6:R37" si="12">L*Isw_min/E6*1000000</f>
        <v>0.78201368523949166</v>
      </c>
    </row>
    <row r="7" spans="3:19">
      <c r="C7" s="170">
        <v>1</v>
      </c>
      <c r="D7" s="5">
        <f t="shared" ref="D7:D38" si="13">C7/100*(VIN_max-VIN_min)+VIN_min</f>
        <v>9.07</v>
      </c>
      <c r="E7" s="443">
        <f t="shared" si="0"/>
        <v>8.5250000000000004</v>
      </c>
      <c r="F7" s="217">
        <f t="shared" si="1"/>
        <v>0.48451264563796537</v>
      </c>
      <c r="G7" s="172">
        <f t="shared" si="2"/>
        <v>146.48432319787821</v>
      </c>
      <c r="H7" s="217">
        <f t="shared" si="3"/>
        <v>0.86167248939928365</v>
      </c>
      <c r="I7" s="443">
        <f t="shared" si="4"/>
        <v>17.594999999999999</v>
      </c>
      <c r="J7" s="172">
        <f t="shared" si="5"/>
        <v>1.35</v>
      </c>
      <c r="K7" s="172">
        <f t="shared" si="6"/>
        <v>7.4421168687982361E-2</v>
      </c>
      <c r="L7" s="172">
        <f t="shared" si="7"/>
        <v>7.9178885630498533E-2</v>
      </c>
      <c r="M7" s="443">
        <f t="shared" ref="M7:M70" si="14">MIN(1/(K7+L7)*1000, 350)</f>
        <v>350</v>
      </c>
      <c r="N7" s="197">
        <f t="shared" si="8"/>
        <v>350</v>
      </c>
      <c r="O7" s="217">
        <f t="shared" si="9"/>
        <v>25.111598262493402</v>
      </c>
      <c r="P7" s="173">
        <f t="shared" si="10"/>
        <v>1.4728210124629559</v>
      </c>
      <c r="Q7" s="173">
        <f t="shared" si="11"/>
        <v>0.32361778380337475</v>
      </c>
      <c r="R7" s="173">
        <f t="shared" si="12"/>
        <v>0.78201368523949166</v>
      </c>
    </row>
    <row r="8" spans="3:19">
      <c r="C8" s="170">
        <v>2</v>
      </c>
      <c r="D8" s="5">
        <f t="shared" si="13"/>
        <v>9.14</v>
      </c>
      <c r="E8" s="443">
        <f t="shared" si="0"/>
        <v>8.5250000000000004</v>
      </c>
      <c r="F8" s="217">
        <f t="shared" si="1"/>
        <v>0.48259269742428534</v>
      </c>
      <c r="G8" s="172">
        <f t="shared" si="2"/>
        <v>147.02990848193227</v>
      </c>
      <c r="H8" s="217">
        <f t="shared" si="3"/>
        <v>0.86488181459960156</v>
      </c>
      <c r="I8" s="443">
        <f t="shared" si="4"/>
        <v>17.664999999999999</v>
      </c>
      <c r="J8" s="172">
        <f t="shared" si="5"/>
        <v>1.35</v>
      </c>
      <c r="K8" s="172">
        <f t="shared" si="6"/>
        <v>7.3851203501094087E-2</v>
      </c>
      <c r="L8" s="172">
        <f t="shared" si="7"/>
        <v>7.9178885630498533E-2</v>
      </c>
      <c r="M8" s="443">
        <f t="shared" si="14"/>
        <v>350</v>
      </c>
      <c r="N8" s="197">
        <f t="shared" si="8"/>
        <v>350</v>
      </c>
      <c r="O8" s="217">
        <f t="shared" si="9"/>
        <v>25.205127168331245</v>
      </c>
      <c r="P8" s="173">
        <f t="shared" si="10"/>
        <v>1.4783065787877561</v>
      </c>
      <c r="Q8" s="173">
        <f t="shared" si="11"/>
        <v>0.32603292148110324</v>
      </c>
      <c r="R8" s="173">
        <f t="shared" si="12"/>
        <v>0.78201368523949166</v>
      </c>
    </row>
    <row r="9" spans="3:19">
      <c r="C9" s="170">
        <v>3</v>
      </c>
      <c r="D9" s="5">
        <f t="shared" si="13"/>
        <v>9.2100000000000009</v>
      </c>
      <c r="E9" s="443">
        <f t="shared" si="0"/>
        <v>8.5250000000000004</v>
      </c>
      <c r="F9" s="217">
        <f t="shared" si="1"/>
        <v>0.48068790527206096</v>
      </c>
      <c r="G9" s="172">
        <f t="shared" si="2"/>
        <v>147.57118691852276</v>
      </c>
      <c r="H9" s="217">
        <f t="shared" si="3"/>
        <v>0.86806580540307499</v>
      </c>
      <c r="I9" s="443">
        <f t="shared" si="4"/>
        <v>17.734999999999999</v>
      </c>
      <c r="J9" s="172">
        <f t="shared" si="5"/>
        <v>1.35</v>
      </c>
      <c r="K9" s="172">
        <f t="shared" si="6"/>
        <v>7.3289902280130298E-2</v>
      </c>
      <c r="L9" s="172">
        <f t="shared" si="7"/>
        <v>7.9178885630498533E-2</v>
      </c>
      <c r="M9" s="443">
        <f t="shared" si="14"/>
        <v>350</v>
      </c>
      <c r="N9" s="197">
        <f t="shared" si="8"/>
        <v>350</v>
      </c>
      <c r="O9" s="217">
        <f t="shared" si="9"/>
        <v>25.297917757461036</v>
      </c>
      <c r="P9" s="173">
        <f t="shared" si="10"/>
        <v>1.4837488420798262</v>
      </c>
      <c r="Q9" s="173">
        <f t="shared" si="11"/>
        <v>0.32843786657205548</v>
      </c>
      <c r="R9" s="173">
        <f t="shared" si="12"/>
        <v>0.78201368523949166</v>
      </c>
    </row>
    <row r="10" spans="3:19">
      <c r="C10" s="170">
        <v>4</v>
      </c>
      <c r="D10" s="5">
        <f t="shared" si="13"/>
        <v>9.2799999999999994</v>
      </c>
      <c r="E10" s="443">
        <f t="shared" si="0"/>
        <v>8.5250000000000004</v>
      </c>
      <c r="F10" s="217">
        <f t="shared" si="1"/>
        <v>0.4787980904240382</v>
      </c>
      <c r="G10" s="172">
        <f t="shared" si="2"/>
        <v>148.10820930450248</v>
      </c>
      <c r="H10" s="217">
        <f t="shared" si="3"/>
        <v>0.87122476061472043</v>
      </c>
      <c r="I10" s="443">
        <f t="shared" si="4"/>
        <v>17.805</v>
      </c>
      <c r="J10" s="172">
        <f t="shared" si="5"/>
        <v>1.35</v>
      </c>
      <c r="K10" s="172">
        <f t="shared" si="6"/>
        <v>7.2737068965517251E-2</v>
      </c>
      <c r="L10" s="172">
        <f t="shared" si="7"/>
        <v>7.9178885630498533E-2</v>
      </c>
      <c r="M10" s="443">
        <f t="shared" si="14"/>
        <v>350</v>
      </c>
      <c r="N10" s="197">
        <f t="shared" si="8"/>
        <v>350</v>
      </c>
      <c r="O10" s="217">
        <f t="shared" si="9"/>
        <v>25.389978737914713</v>
      </c>
      <c r="P10" s="173">
        <f t="shared" si="10"/>
        <v>1.4891483130741767</v>
      </c>
      <c r="Q10" s="173">
        <f t="shared" si="11"/>
        <v>0.3308326350573555</v>
      </c>
      <c r="R10" s="173">
        <f t="shared" si="12"/>
        <v>0.78201368523949166</v>
      </c>
    </row>
    <row r="11" spans="3:19">
      <c r="C11" s="170">
        <v>5</v>
      </c>
      <c r="D11" s="5">
        <f t="shared" si="13"/>
        <v>9.35</v>
      </c>
      <c r="E11" s="443">
        <f t="shared" si="0"/>
        <v>8.5250000000000004</v>
      </c>
      <c r="F11" s="217">
        <f t="shared" si="1"/>
        <v>0.47692307692307695</v>
      </c>
      <c r="G11" s="172">
        <f t="shared" si="2"/>
        <v>148.64102564102566</v>
      </c>
      <c r="H11" s="217">
        <f t="shared" si="3"/>
        <v>0.87435897435897447</v>
      </c>
      <c r="I11" s="443">
        <f t="shared" si="4"/>
        <v>17.875</v>
      </c>
      <c r="J11" s="172">
        <f t="shared" si="5"/>
        <v>1.35</v>
      </c>
      <c r="K11" s="172">
        <f t="shared" si="6"/>
        <v>7.2192513368983954E-2</v>
      </c>
      <c r="L11" s="172">
        <f t="shared" si="7"/>
        <v>7.9178885630498533E-2</v>
      </c>
      <c r="M11" s="443">
        <f t="shared" si="14"/>
        <v>350</v>
      </c>
      <c r="N11" s="197">
        <f t="shared" si="8"/>
        <v>350</v>
      </c>
      <c r="O11" s="217">
        <f t="shared" si="9"/>
        <v>25.481318681318687</v>
      </c>
      <c r="P11" s="173">
        <f t="shared" si="10"/>
        <v>1.4945054945054947</v>
      </c>
      <c r="Q11" s="173">
        <f t="shared" si="11"/>
        <v>0.33321724429416755</v>
      </c>
      <c r="R11" s="173">
        <f t="shared" si="12"/>
        <v>0.78201368523949166</v>
      </c>
    </row>
    <row r="12" spans="3:19">
      <c r="C12" s="170">
        <v>6</v>
      </c>
      <c r="D12" s="5">
        <f t="shared" si="13"/>
        <v>9.42</v>
      </c>
      <c r="E12" s="443">
        <f t="shared" si="0"/>
        <v>8.5250000000000004</v>
      </c>
      <c r="F12" s="217">
        <f t="shared" si="1"/>
        <v>0.47506269155753694</v>
      </c>
      <c r="G12" s="172">
        <f t="shared" si="2"/>
        <v>149.16968514906659</v>
      </c>
      <c r="H12" s="217">
        <f t="shared" si="3"/>
        <v>0.87746873617097998</v>
      </c>
      <c r="I12" s="443">
        <f t="shared" si="4"/>
        <v>17.945</v>
      </c>
      <c r="J12" s="172">
        <f t="shared" si="5"/>
        <v>1.35</v>
      </c>
      <c r="K12" s="172">
        <f t="shared" si="6"/>
        <v>7.1656050955414011E-2</v>
      </c>
      <c r="L12" s="172">
        <f t="shared" si="7"/>
        <v>7.9178885630498533E-2</v>
      </c>
      <c r="M12" s="443">
        <f t="shared" si="14"/>
        <v>350</v>
      </c>
      <c r="N12" s="197">
        <f t="shared" si="8"/>
        <v>350</v>
      </c>
      <c r="O12" s="217">
        <f t="shared" si="9"/>
        <v>25.571946025554279</v>
      </c>
      <c r="P12" s="173">
        <f t="shared" si="10"/>
        <v>1.4998208812641802</v>
      </c>
      <c r="Q12" s="173">
        <f t="shared" si="11"/>
        <v>0.33559171295726009</v>
      </c>
      <c r="R12" s="173">
        <f t="shared" si="12"/>
        <v>0.78201368523949166</v>
      </c>
    </row>
    <row r="13" spans="3:19">
      <c r="C13" s="170">
        <v>7</v>
      </c>
      <c r="D13" s="5">
        <f t="shared" si="13"/>
        <v>9.49</v>
      </c>
      <c r="E13" s="443">
        <f t="shared" si="0"/>
        <v>8.5250000000000004</v>
      </c>
      <c r="F13" s="217">
        <f t="shared" si="1"/>
        <v>0.47321676380793781</v>
      </c>
      <c r="G13" s="172">
        <f t="shared" si="2"/>
        <v>149.69423628457767</v>
      </c>
      <c r="H13" s="217">
        <f t="shared" si="3"/>
        <v>0.88055433108575099</v>
      </c>
      <c r="I13" s="443">
        <f t="shared" si="4"/>
        <v>18.015000000000001</v>
      </c>
      <c r="J13" s="172">
        <f t="shared" si="5"/>
        <v>1.35</v>
      </c>
      <c r="K13" s="172">
        <f t="shared" si="6"/>
        <v>7.1127502634351941E-2</v>
      </c>
      <c r="L13" s="172">
        <f t="shared" si="7"/>
        <v>7.9178885630498533E-2</v>
      </c>
      <c r="M13" s="443">
        <f t="shared" si="14"/>
        <v>350</v>
      </c>
      <c r="N13" s="197">
        <f t="shared" si="8"/>
        <v>350</v>
      </c>
      <c r="O13" s="217">
        <f t="shared" si="9"/>
        <v>25.661869077356172</v>
      </c>
      <c r="P13" s="173">
        <f t="shared" si="10"/>
        <v>1.5050949605487491</v>
      </c>
      <c r="Q13" s="173">
        <f t="shared" si="11"/>
        <v>0.33795606098266739</v>
      </c>
      <c r="R13" s="173">
        <f t="shared" si="12"/>
        <v>0.78201368523949166</v>
      </c>
    </row>
    <row r="14" spans="3:19" s="76" customFormat="1">
      <c r="C14" s="189">
        <v>8</v>
      </c>
      <c r="D14" s="534">
        <f t="shared" si="13"/>
        <v>9.56</v>
      </c>
      <c r="E14" s="535">
        <f t="shared" si="0"/>
        <v>8.5250000000000004</v>
      </c>
      <c r="F14" s="329">
        <f t="shared" si="1"/>
        <v>0.47138512579485764</v>
      </c>
      <c r="G14" s="536">
        <f t="shared" si="2"/>
        <v>150.21472675329466</v>
      </c>
      <c r="H14" s="329">
        <f t="shared" si="3"/>
        <v>0.8836160397252627</v>
      </c>
      <c r="I14" s="535">
        <f t="shared" si="4"/>
        <v>18.085000000000001</v>
      </c>
      <c r="J14" s="172">
        <f t="shared" si="5"/>
        <v>1.35</v>
      </c>
      <c r="K14" s="536">
        <f t="shared" si="6"/>
        <v>7.0606694560669453E-2</v>
      </c>
      <c r="L14" s="536">
        <f t="shared" si="7"/>
        <v>7.9178885630498533E-2</v>
      </c>
      <c r="M14" s="535">
        <f t="shared" si="14"/>
        <v>350</v>
      </c>
      <c r="N14" s="537">
        <f t="shared" si="8"/>
        <v>350</v>
      </c>
      <c r="O14" s="329">
        <f t="shared" si="9"/>
        <v>25.751096014850511</v>
      </c>
      <c r="P14" s="173">
        <f t="shared" si="10"/>
        <v>1.5103282120146926</v>
      </c>
      <c r="Q14" s="538">
        <f t="shared" si="11"/>
        <v>0.34031030951336866</v>
      </c>
      <c r="R14" s="173">
        <f t="shared" si="12"/>
        <v>0.78201368523949166</v>
      </c>
    </row>
    <row r="15" spans="3:19">
      <c r="C15" s="170">
        <v>9</v>
      </c>
      <c r="D15" s="5">
        <f t="shared" si="13"/>
        <v>9.6300000000000008</v>
      </c>
      <c r="E15" s="443">
        <f t="shared" si="0"/>
        <v>8.5250000000000004</v>
      </c>
      <c r="F15" s="217">
        <f t="shared" si="1"/>
        <v>0.46956761222803634</v>
      </c>
      <c r="G15" s="172">
        <f t="shared" si="2"/>
        <v>150.73120352519967</v>
      </c>
      <c r="H15" s="217">
        <f t="shared" si="3"/>
        <v>0.88665413838352747</v>
      </c>
      <c r="I15" s="443">
        <f t="shared" si="4"/>
        <v>18.155000000000001</v>
      </c>
      <c r="J15" s="172">
        <f t="shared" si="5"/>
        <v>1.35</v>
      </c>
      <c r="K15" s="172">
        <f t="shared" si="6"/>
        <v>7.0093457943925228E-2</v>
      </c>
      <c r="L15" s="172">
        <f t="shared" si="7"/>
        <v>7.9178885630498533E-2</v>
      </c>
      <c r="M15" s="443">
        <f t="shared" si="14"/>
        <v>350</v>
      </c>
      <c r="N15" s="197">
        <f t="shared" si="8"/>
        <v>350</v>
      </c>
      <c r="O15" s="217">
        <f t="shared" si="9"/>
        <v>25.839634890034233</v>
      </c>
      <c r="P15" s="173">
        <f t="shared" si="10"/>
        <v>1.5155211079198962</v>
      </c>
      <c r="Q15" s="173">
        <f t="shared" si="11"/>
        <v>0.34265448084691502</v>
      </c>
      <c r="R15" s="173">
        <f t="shared" si="12"/>
        <v>0.78201368523949166</v>
      </c>
    </row>
    <row r="16" spans="3:19">
      <c r="C16" s="170">
        <v>10</v>
      </c>
      <c r="D16" s="5">
        <f t="shared" si="13"/>
        <v>9.6999999999999993</v>
      </c>
      <c r="E16" s="443">
        <f t="shared" si="0"/>
        <v>8.5250000000000004</v>
      </c>
      <c r="F16" s="217">
        <f t="shared" si="1"/>
        <v>0.46776406035665291</v>
      </c>
      <c r="G16" s="172">
        <f t="shared" si="2"/>
        <v>151.24371284865109</v>
      </c>
      <c r="H16" s="217">
        <f t="shared" si="3"/>
        <v>0.88966889910971225</v>
      </c>
      <c r="I16" s="443">
        <f t="shared" si="4"/>
        <v>18.225000000000001</v>
      </c>
      <c r="J16" s="172">
        <f t="shared" si="5"/>
        <v>1.35</v>
      </c>
      <c r="K16" s="172">
        <f t="shared" si="6"/>
        <v>6.9587628865979384E-2</v>
      </c>
      <c r="L16" s="172">
        <f t="shared" si="7"/>
        <v>7.9178885630498533E-2</v>
      </c>
      <c r="M16" s="443">
        <f t="shared" si="14"/>
        <v>350</v>
      </c>
      <c r="N16" s="197">
        <f t="shared" si="8"/>
        <v>350</v>
      </c>
      <c r="O16" s="217">
        <f t="shared" si="9"/>
        <v>25.927493631197333</v>
      </c>
      <c r="P16" s="173">
        <f t="shared" si="10"/>
        <v>1.5206741132667057</v>
      </c>
      <c r="Q16" s="173">
        <f t="shared" si="11"/>
        <v>0.34498859838493018</v>
      </c>
      <c r="R16" s="173">
        <f t="shared" si="12"/>
        <v>0.78201368523949166</v>
      </c>
    </row>
    <row r="17" spans="3:18">
      <c r="C17" s="170">
        <v>11</v>
      </c>
      <c r="D17" s="5">
        <f t="shared" si="13"/>
        <v>9.77</v>
      </c>
      <c r="E17" s="443">
        <f t="shared" si="0"/>
        <v>8.5250000000000004</v>
      </c>
      <c r="F17" s="217">
        <f t="shared" si="1"/>
        <v>0.46597430992074335</v>
      </c>
      <c r="G17" s="172">
        <f t="shared" si="2"/>
        <v>151.75230026418873</v>
      </c>
      <c r="H17" s="217">
        <f t="shared" si="3"/>
        <v>0.89266058978934548</v>
      </c>
      <c r="I17" s="443">
        <f t="shared" si="4"/>
        <v>18.295000000000002</v>
      </c>
      <c r="J17" s="172">
        <f t="shared" si="5"/>
        <v>1.35</v>
      </c>
      <c r="K17" s="172">
        <f t="shared" si="6"/>
        <v>6.9089048106448323E-2</v>
      </c>
      <c r="L17" s="172">
        <f t="shared" si="7"/>
        <v>7.9178885630498533E-2</v>
      </c>
      <c r="M17" s="443">
        <f t="shared" si="14"/>
        <v>350</v>
      </c>
      <c r="N17" s="197">
        <f t="shared" si="8"/>
        <v>350</v>
      </c>
      <c r="O17" s="217">
        <f t="shared" si="9"/>
        <v>26.014680045289502</v>
      </c>
      <c r="P17" s="173">
        <f t="shared" si="10"/>
        <v>1.5257876859407331</v>
      </c>
      <c r="Q17" s="173">
        <f t="shared" si="11"/>
        <v>0.34731268658441983</v>
      </c>
      <c r="R17" s="173">
        <f t="shared" si="12"/>
        <v>0.78201368523949166</v>
      </c>
    </row>
    <row r="18" spans="3:18">
      <c r="C18" s="170">
        <v>12</v>
      </c>
      <c r="D18" s="5">
        <f t="shared" si="13"/>
        <v>9.84</v>
      </c>
      <c r="E18" s="443">
        <f t="shared" si="0"/>
        <v>8.5250000000000004</v>
      </c>
      <c r="F18" s="217">
        <f t="shared" si="1"/>
        <v>0.46419820310372989</v>
      </c>
      <c r="G18" s="172">
        <f t="shared" si="2"/>
        <v>152.25701061802343</v>
      </c>
      <c r="H18" s="217">
        <f t="shared" si="3"/>
        <v>0.89562947422366723</v>
      </c>
      <c r="I18" s="443">
        <f t="shared" si="4"/>
        <v>18.365000000000002</v>
      </c>
      <c r="J18" s="172">
        <f t="shared" si="5"/>
        <v>1.35</v>
      </c>
      <c r="K18" s="172">
        <f t="shared" si="6"/>
        <v>6.8597560975609748E-2</v>
      </c>
      <c r="L18" s="172">
        <f t="shared" si="7"/>
        <v>7.9178885630498533E-2</v>
      </c>
      <c r="M18" s="443">
        <f t="shared" si="14"/>
        <v>350</v>
      </c>
      <c r="N18" s="197">
        <f t="shared" si="8"/>
        <v>350</v>
      </c>
      <c r="O18" s="217">
        <f t="shared" si="9"/>
        <v>26.101201820232589</v>
      </c>
      <c r="P18" s="173">
        <f t="shared" si="10"/>
        <v>1.5308622768464859</v>
      </c>
      <c r="Q18" s="173">
        <f t="shared" si="11"/>
        <v>0.34962677091082039</v>
      </c>
      <c r="R18" s="173">
        <f t="shared" si="12"/>
        <v>0.78201368523949166</v>
      </c>
    </row>
    <row r="19" spans="3:18">
      <c r="C19" s="170">
        <v>13</v>
      </c>
      <c r="D19" s="5">
        <f t="shared" si="13"/>
        <v>9.91</v>
      </c>
      <c r="E19" s="443">
        <f t="shared" si="0"/>
        <v>8.5250000000000004</v>
      </c>
      <c r="F19" s="217">
        <f t="shared" si="1"/>
        <v>0.46243558448603195</v>
      </c>
      <c r="G19" s="172">
        <f t="shared" si="2"/>
        <v>152.75788807521923</v>
      </c>
      <c r="H19" s="217">
        <f t="shared" si="3"/>
        <v>0.89857581220717198</v>
      </c>
      <c r="I19" s="443">
        <f t="shared" si="4"/>
        <v>18.435000000000002</v>
      </c>
      <c r="J19" s="172">
        <f t="shared" si="5"/>
        <v>1.35</v>
      </c>
      <c r="K19" s="172">
        <f t="shared" si="6"/>
        <v>6.8113017154389513E-2</v>
      </c>
      <c r="L19" s="172">
        <f t="shared" si="7"/>
        <v>7.9178885630498533E-2</v>
      </c>
      <c r="M19" s="443">
        <f t="shared" si="14"/>
        <v>350</v>
      </c>
      <c r="N19" s="197">
        <f t="shared" si="8"/>
        <v>350</v>
      </c>
      <c r="O19" s="217">
        <f t="shared" si="9"/>
        <v>26.187066527180445</v>
      </c>
      <c r="P19" s="173">
        <f t="shared" si="10"/>
        <v>1.5358983300399087</v>
      </c>
      <c r="Q19" s="173">
        <f t="shared" si="11"/>
        <v>0.35193087779272886</v>
      </c>
      <c r="R19" s="173">
        <f t="shared" si="12"/>
        <v>0.78201368523949166</v>
      </c>
    </row>
    <row r="20" spans="3:18">
      <c r="C20" s="170">
        <v>14</v>
      </c>
      <c r="D20" s="5">
        <f t="shared" si="13"/>
        <v>9.98</v>
      </c>
      <c r="E20" s="443">
        <f t="shared" si="0"/>
        <v>8.5250000000000004</v>
      </c>
      <c r="F20" s="217">
        <f t="shared" si="1"/>
        <v>0.46068630099972974</v>
      </c>
      <c r="G20" s="172">
        <f t="shared" si="2"/>
        <v>153.25497613257676</v>
      </c>
      <c r="H20" s="217">
        <f t="shared" si="3"/>
        <v>0.90149985960339274</v>
      </c>
      <c r="I20" s="443">
        <f t="shared" si="4"/>
        <v>18.505000000000003</v>
      </c>
      <c r="J20" s="172">
        <f t="shared" si="5"/>
        <v>1.35</v>
      </c>
      <c r="K20" s="172">
        <f t="shared" si="6"/>
        <v>6.7635270541082149E-2</v>
      </c>
      <c r="L20" s="172">
        <f t="shared" si="7"/>
        <v>7.9178885630498533E-2</v>
      </c>
      <c r="M20" s="443">
        <f t="shared" si="14"/>
        <v>350</v>
      </c>
      <c r="N20" s="197">
        <f t="shared" si="8"/>
        <v>350</v>
      </c>
      <c r="O20" s="217">
        <f t="shared" si="9"/>
        <v>26.272281622727448</v>
      </c>
      <c r="P20" s="173">
        <f t="shared" si="10"/>
        <v>1.5408962828579145</v>
      </c>
      <c r="Q20" s="173">
        <f t="shared" si="11"/>
        <v>0.35422503457824894</v>
      </c>
      <c r="R20" s="173">
        <f t="shared" si="12"/>
        <v>0.78201368523949166</v>
      </c>
    </row>
    <row r="21" spans="3:18">
      <c r="C21" s="170">
        <v>15</v>
      </c>
      <c r="D21" s="5">
        <f t="shared" si="13"/>
        <v>10.050000000000001</v>
      </c>
      <c r="E21" s="443">
        <f t="shared" si="0"/>
        <v>8.5250000000000004</v>
      </c>
      <c r="F21" s="217">
        <f t="shared" si="1"/>
        <v>0.45895020188425295</v>
      </c>
      <c r="G21" s="172">
        <f t="shared" si="2"/>
        <v>153.74831763122475</v>
      </c>
      <c r="H21" s="217">
        <f t="shared" si="3"/>
        <v>0.90440186841896908</v>
      </c>
      <c r="I21" s="443">
        <f t="shared" si="4"/>
        <v>18.575000000000003</v>
      </c>
      <c r="J21" s="172">
        <f t="shared" si="5"/>
        <v>1.35</v>
      </c>
      <c r="K21" s="172">
        <f t="shared" si="6"/>
        <v>6.7164179104477598E-2</v>
      </c>
      <c r="L21" s="172">
        <f t="shared" si="7"/>
        <v>7.9178885630498533E-2</v>
      </c>
      <c r="M21" s="443">
        <f t="shared" si="14"/>
        <v>350</v>
      </c>
      <c r="N21" s="197">
        <f t="shared" si="8"/>
        <v>350</v>
      </c>
      <c r="O21" s="217">
        <f t="shared" si="9"/>
        <v>26.356854451067104</v>
      </c>
      <c r="P21" s="173">
        <f t="shared" si="10"/>
        <v>1.5458565660449912</v>
      </c>
      <c r="Q21" s="173">
        <f t="shared" si="11"/>
        <v>0.35650926949289952</v>
      </c>
      <c r="R21" s="173">
        <f t="shared" si="12"/>
        <v>0.78201368523949166</v>
      </c>
    </row>
    <row r="22" spans="3:18" s="3" customFormat="1" ht="13">
      <c r="C22" s="333">
        <v>16</v>
      </c>
      <c r="D22" s="530">
        <f t="shared" si="13"/>
        <v>10.120000000000001</v>
      </c>
      <c r="E22" s="531">
        <f t="shared" si="0"/>
        <v>8.5250000000000004</v>
      </c>
      <c r="F22" s="532">
        <f t="shared" si="1"/>
        <v>0.4572271386430678</v>
      </c>
      <c r="G22" s="332">
        <f t="shared" si="2"/>
        <v>154.23795476892823</v>
      </c>
      <c r="H22" s="532">
        <f t="shared" si="3"/>
        <v>0.90728208687604839</v>
      </c>
      <c r="I22" s="531">
        <f t="shared" si="4"/>
        <v>18.645000000000003</v>
      </c>
      <c r="J22" s="172">
        <f t="shared" si="5"/>
        <v>1.35</v>
      </c>
      <c r="K22" s="332">
        <f t="shared" si="6"/>
        <v>6.6699604743082994E-2</v>
      </c>
      <c r="L22" s="332">
        <f t="shared" si="7"/>
        <v>7.9178885630498533E-2</v>
      </c>
      <c r="M22" s="531">
        <f t="shared" si="14"/>
        <v>350</v>
      </c>
      <c r="N22" s="335">
        <f t="shared" si="8"/>
        <v>350</v>
      </c>
      <c r="O22" s="532">
        <f t="shared" si="9"/>
        <v>26.440792246101985</v>
      </c>
      <c r="P22" s="173">
        <f t="shared" si="10"/>
        <v>1.5507796038769492</v>
      </c>
      <c r="Q22" s="539">
        <f t="shared" si="11"/>
        <v>0.35878361159902405</v>
      </c>
      <c r="R22" s="173">
        <f t="shared" si="12"/>
        <v>0.78201368523949166</v>
      </c>
    </row>
    <row r="23" spans="3:18">
      <c r="C23" s="170">
        <v>17</v>
      </c>
      <c r="D23" s="5">
        <f t="shared" si="13"/>
        <v>10.19</v>
      </c>
      <c r="E23" s="443">
        <f t="shared" si="0"/>
        <v>8.5250000000000004</v>
      </c>
      <c r="F23" s="217">
        <f t="shared" si="1"/>
        <v>0.45551696500133587</v>
      </c>
      <c r="G23" s="172">
        <f t="shared" si="2"/>
        <v>154.72392911212043</v>
      </c>
      <c r="H23" s="217">
        <f t="shared" si="3"/>
        <v>0.91014075948306139</v>
      </c>
      <c r="I23" s="443">
        <f t="shared" si="4"/>
        <v>18.715</v>
      </c>
      <c r="J23" s="172">
        <f t="shared" si="5"/>
        <v>1.35</v>
      </c>
      <c r="K23" s="172">
        <f t="shared" si="6"/>
        <v>6.6241413150147213E-2</v>
      </c>
      <c r="L23" s="172">
        <f t="shared" si="7"/>
        <v>7.9178885630498533E-2</v>
      </c>
      <c r="M23" s="443">
        <f t="shared" si="14"/>
        <v>350</v>
      </c>
      <c r="N23" s="197">
        <f t="shared" si="8"/>
        <v>350</v>
      </c>
      <c r="O23" s="217">
        <f t="shared" si="9"/>
        <v>26.524102133506354</v>
      </c>
      <c r="P23" s="173">
        <f t="shared" si="10"/>
        <v>1.5556658142818975</v>
      </c>
      <c r="Q23" s="173">
        <f t="shared" si="11"/>
        <v>0.36104809075665201</v>
      </c>
      <c r="R23" s="173">
        <f t="shared" si="12"/>
        <v>0.78201368523949166</v>
      </c>
    </row>
    <row r="24" spans="3:18">
      <c r="C24" s="170">
        <v>18</v>
      </c>
      <c r="D24" s="5">
        <f t="shared" si="13"/>
        <v>10.26</v>
      </c>
      <c r="E24" s="443">
        <f t="shared" si="0"/>
        <v>8.5250000000000004</v>
      </c>
      <c r="F24" s="217">
        <f t="shared" si="1"/>
        <v>0.45381953686451959</v>
      </c>
      <c r="G24" s="172">
        <f t="shared" si="2"/>
        <v>155.20628160766569</v>
      </c>
      <c r="H24" s="217">
        <f t="shared" si="3"/>
        <v>0.91297812710391579</v>
      </c>
      <c r="I24" s="443">
        <f t="shared" si="4"/>
        <v>18.785</v>
      </c>
      <c r="J24" s="172">
        <f t="shared" si="5"/>
        <v>1.35</v>
      </c>
      <c r="K24" s="172">
        <f t="shared" si="6"/>
        <v>6.5789473684210537E-2</v>
      </c>
      <c r="L24" s="172">
        <f t="shared" si="7"/>
        <v>7.9178885630498533E-2</v>
      </c>
      <c r="M24" s="443">
        <f t="shared" si="14"/>
        <v>350</v>
      </c>
      <c r="N24" s="197">
        <f t="shared" si="8"/>
        <v>350</v>
      </c>
      <c r="O24" s="217">
        <f t="shared" si="9"/>
        <v>26.606791132742693</v>
      </c>
      <c r="P24" s="173">
        <f t="shared" si="10"/>
        <v>1.5605156089585155</v>
      </c>
      <c r="Q24" s="173">
        <f t="shared" si="11"/>
        <v>0.36330273758575998</v>
      </c>
      <c r="R24" s="173">
        <f t="shared" si="12"/>
        <v>0.78201368523949166</v>
      </c>
    </row>
    <row r="25" spans="3:18">
      <c r="C25" s="170">
        <v>19</v>
      </c>
      <c r="D25" s="5">
        <f t="shared" si="13"/>
        <v>10.33</v>
      </c>
      <c r="E25" s="443">
        <f t="shared" si="0"/>
        <v>8.5250000000000004</v>
      </c>
      <c r="F25" s="217">
        <f t="shared" si="1"/>
        <v>0.45213471227791036</v>
      </c>
      <c r="G25" s="172">
        <f t="shared" si="2"/>
        <v>155.68505259436049</v>
      </c>
      <c r="H25" s="217">
        <f t="shared" si="3"/>
        <v>0.91579442702564995</v>
      </c>
      <c r="I25" s="443">
        <f t="shared" si="4"/>
        <v>18.855</v>
      </c>
      <c r="J25" s="172">
        <f t="shared" si="5"/>
        <v>1.35</v>
      </c>
      <c r="K25" s="172">
        <f t="shared" si="6"/>
        <v>6.5343659244917709E-2</v>
      </c>
      <c r="L25" s="172">
        <f t="shared" si="7"/>
        <v>7.9178885630498533E-2</v>
      </c>
      <c r="M25" s="443">
        <f t="shared" si="14"/>
        <v>350</v>
      </c>
      <c r="N25" s="197">
        <f t="shared" si="8"/>
        <v>350</v>
      </c>
      <c r="O25" s="217">
        <f t="shared" si="9"/>
        <v>26.688866159033225</v>
      </c>
      <c r="P25" s="173">
        <f t="shared" si="10"/>
        <v>1.5653293934916845</v>
      </c>
      <c r="Q25" s="173">
        <f t="shared" si="11"/>
        <v>0.36554758342987692</v>
      </c>
      <c r="R25" s="173">
        <f t="shared" si="12"/>
        <v>0.78201368523949166</v>
      </c>
    </row>
    <row r="26" spans="3:18">
      <c r="C26" s="170">
        <v>20</v>
      </c>
      <c r="D26" s="5">
        <f t="shared" si="13"/>
        <v>10.4</v>
      </c>
      <c r="E26" s="443">
        <f t="shared" si="0"/>
        <v>8.5250000000000004</v>
      </c>
      <c r="F26" s="217">
        <f t="shared" si="1"/>
        <v>0.45046235138705415</v>
      </c>
      <c r="G26" s="172">
        <f t="shared" si="2"/>
        <v>156.1602818141788</v>
      </c>
      <c r="H26" s="217">
        <f t="shared" si="3"/>
        <v>0.91858989302458116</v>
      </c>
      <c r="I26" s="443">
        <f t="shared" si="4"/>
        <v>18.925000000000001</v>
      </c>
      <c r="J26" s="172">
        <f t="shared" si="5"/>
        <v>1.35</v>
      </c>
      <c r="K26" s="172">
        <f t="shared" si="6"/>
        <v>6.4903846153846145E-2</v>
      </c>
      <c r="L26" s="172">
        <f t="shared" si="7"/>
        <v>7.9178885630498533E-2</v>
      </c>
      <c r="M26" s="443">
        <f t="shared" si="14"/>
        <v>350</v>
      </c>
      <c r="N26" s="197">
        <f t="shared" si="8"/>
        <v>350</v>
      </c>
      <c r="O26" s="217">
        <f t="shared" si="9"/>
        <v>26.770334025287791</v>
      </c>
      <c r="P26" s="173">
        <f t="shared" si="10"/>
        <v>1.5701075674655594</v>
      </c>
      <c r="Q26" s="173">
        <f t="shared" si="11"/>
        <v>0.36778266032099477</v>
      </c>
      <c r="R26" s="173">
        <f t="shared" si="12"/>
        <v>0.78201368523949166</v>
      </c>
    </row>
    <row r="27" spans="3:18">
      <c r="C27" s="170">
        <v>21</v>
      </c>
      <c r="D27" s="5">
        <f t="shared" si="13"/>
        <v>10.47</v>
      </c>
      <c r="E27" s="443">
        <f t="shared" si="0"/>
        <v>8.5250000000000004</v>
      </c>
      <c r="F27" s="217">
        <f t="shared" si="1"/>
        <v>0.44880231639905238</v>
      </c>
      <c r="G27" s="172">
        <f t="shared" si="2"/>
        <v>156.6320084232693</v>
      </c>
      <c r="H27" s="217">
        <f t="shared" si="3"/>
        <v>0.92136475543099583</v>
      </c>
      <c r="I27" s="443">
        <f t="shared" si="4"/>
        <v>18.995000000000001</v>
      </c>
      <c r="J27" s="172">
        <f t="shared" si="5"/>
        <v>1.35</v>
      </c>
      <c r="K27" s="172">
        <f t="shared" si="6"/>
        <v>6.4469914040114609E-2</v>
      </c>
      <c r="L27" s="172">
        <f t="shared" si="7"/>
        <v>7.9178885630498533E-2</v>
      </c>
      <c r="M27" s="443">
        <f t="shared" si="14"/>
        <v>350</v>
      </c>
      <c r="N27" s="197">
        <f t="shared" si="8"/>
        <v>350</v>
      </c>
      <c r="O27" s="217">
        <f t="shared" si="9"/>
        <v>26.851201443989019</v>
      </c>
      <c r="P27" s="173">
        <f t="shared" si="10"/>
        <v>1.574850524574136</v>
      </c>
      <c r="Q27" s="173">
        <f t="shared" si="11"/>
        <v>0.37000800094572917</v>
      </c>
      <c r="R27" s="173">
        <f t="shared" si="12"/>
        <v>0.78201368523949166</v>
      </c>
    </row>
    <row r="28" spans="3:18">
      <c r="C28" s="170">
        <v>22</v>
      </c>
      <c r="D28" s="5">
        <f t="shared" si="13"/>
        <v>10.54</v>
      </c>
      <c r="E28" s="443">
        <f t="shared" si="0"/>
        <v>8.5250000000000004</v>
      </c>
      <c r="F28" s="217">
        <f t="shared" si="1"/>
        <v>0.44715447154471549</v>
      </c>
      <c r="G28" s="172">
        <f t="shared" si="2"/>
        <v>157.10027100271003</v>
      </c>
      <c r="H28" s="217">
        <f t="shared" si="3"/>
        <v>0.92411924119241196</v>
      </c>
      <c r="I28" s="443">
        <f t="shared" si="4"/>
        <v>19.064999999999998</v>
      </c>
      <c r="J28" s="172">
        <f t="shared" si="5"/>
        <v>1.35</v>
      </c>
      <c r="K28" s="172">
        <f t="shared" si="6"/>
        <v>6.4041745730550284E-2</v>
      </c>
      <c r="L28" s="172">
        <f t="shared" si="7"/>
        <v>7.9178885630498533E-2</v>
      </c>
      <c r="M28" s="443">
        <f t="shared" si="14"/>
        <v>350</v>
      </c>
      <c r="N28" s="197">
        <f t="shared" si="8"/>
        <v>350</v>
      </c>
      <c r="O28" s="217">
        <f t="shared" si="9"/>
        <v>26.931475029036008</v>
      </c>
      <c r="P28" s="173">
        <f t="shared" si="10"/>
        <v>1.5795586527293846</v>
      </c>
      <c r="Q28" s="173">
        <f t="shared" si="11"/>
        <v>0.37222363861269286</v>
      </c>
      <c r="R28" s="173">
        <f t="shared" si="12"/>
        <v>0.78201368523949166</v>
      </c>
    </row>
    <row r="29" spans="3:18">
      <c r="C29" s="170">
        <v>23</v>
      </c>
      <c r="D29" s="5">
        <f t="shared" si="13"/>
        <v>10.61</v>
      </c>
      <c r="E29" s="443">
        <f t="shared" si="0"/>
        <v>8.5250000000000004</v>
      </c>
      <c r="F29" s="217">
        <f t="shared" si="1"/>
        <v>0.44551868304154696</v>
      </c>
      <c r="G29" s="172">
        <f t="shared" si="2"/>
        <v>157.56510756902711</v>
      </c>
      <c r="H29" s="217">
        <f t="shared" si="3"/>
        <v>0.92685357393545353</v>
      </c>
      <c r="I29" s="443">
        <f t="shared" si="4"/>
        <v>19.134999999999998</v>
      </c>
      <c r="J29" s="172">
        <f t="shared" si="5"/>
        <v>1.35</v>
      </c>
      <c r="K29" s="172">
        <f t="shared" si="6"/>
        <v>6.361922714420358E-2</v>
      </c>
      <c r="L29" s="172">
        <f t="shared" si="7"/>
        <v>7.9178885630498533E-2</v>
      </c>
      <c r="M29" s="443">
        <f t="shared" si="14"/>
        <v>350</v>
      </c>
      <c r="N29" s="197">
        <f t="shared" si="8"/>
        <v>350</v>
      </c>
      <c r="O29" s="217">
        <f t="shared" si="9"/>
        <v>27.011161297547503</v>
      </c>
      <c r="P29" s="173">
        <f t="shared" si="10"/>
        <v>1.5842323341670088</v>
      </c>
      <c r="Q29" s="173">
        <f t="shared" si="11"/>
        <v>0.37442960722103352</v>
      </c>
      <c r="R29" s="173">
        <f t="shared" si="12"/>
        <v>0.78201368523949166</v>
      </c>
    </row>
    <row r="30" spans="3:18">
      <c r="C30" s="170">
        <v>24</v>
      </c>
      <c r="D30" s="5">
        <f t="shared" si="13"/>
        <v>10.68</v>
      </c>
      <c r="E30" s="443">
        <f t="shared" si="0"/>
        <v>8.5250000000000004</v>
      </c>
      <c r="F30" s="217">
        <f t="shared" si="1"/>
        <v>0.44389481905753714</v>
      </c>
      <c r="G30" s="172">
        <f t="shared" si="2"/>
        <v>158.02655558448322</v>
      </c>
      <c r="H30" s="217">
        <f t="shared" si="3"/>
        <v>0.92956797402637192</v>
      </c>
      <c r="I30" s="443">
        <f t="shared" si="4"/>
        <v>19.204999999999998</v>
      </c>
      <c r="J30" s="172">
        <f t="shared" si="5"/>
        <v>1.35</v>
      </c>
      <c r="K30" s="172">
        <f t="shared" si="6"/>
        <v>6.3202247191011238E-2</v>
      </c>
      <c r="L30" s="172">
        <f t="shared" si="7"/>
        <v>7.9178885630498533E-2</v>
      </c>
      <c r="M30" s="443">
        <f t="shared" si="14"/>
        <v>350</v>
      </c>
      <c r="N30" s="197">
        <f t="shared" si="8"/>
        <v>350</v>
      </c>
      <c r="O30" s="217">
        <f t="shared" si="9"/>
        <v>27.090266671625692</v>
      </c>
      <c r="P30" s="173">
        <f t="shared" si="10"/>
        <v>1.5888719455498936</v>
      </c>
      <c r="Q30" s="173">
        <f t="shared" si="11"/>
        <v>0.3766259412300994</v>
      </c>
      <c r="R30" s="173">
        <f t="shared" si="12"/>
        <v>0.78201368523949166</v>
      </c>
    </row>
    <row r="31" spans="3:18">
      <c r="C31" s="170">
        <v>25</v>
      </c>
      <c r="D31" s="5">
        <f t="shared" si="13"/>
        <v>10.75</v>
      </c>
      <c r="E31" s="443">
        <f t="shared" si="0"/>
        <v>8.5250000000000004</v>
      </c>
      <c r="F31" s="217">
        <f t="shared" si="1"/>
        <v>0.44228274967574582</v>
      </c>
      <c r="G31" s="172">
        <f t="shared" si="2"/>
        <v>158.48465196714224</v>
      </c>
      <c r="H31" s="217">
        <f t="shared" si="3"/>
        <v>0.93226265863024849</v>
      </c>
      <c r="I31" s="443">
        <f t="shared" si="4"/>
        <v>19.274999999999999</v>
      </c>
      <c r="J31" s="172">
        <f t="shared" si="5"/>
        <v>1.35</v>
      </c>
      <c r="K31" s="172">
        <f t="shared" si="6"/>
        <v>6.2790697674418597E-2</v>
      </c>
      <c r="L31" s="172">
        <f t="shared" si="7"/>
        <v>7.9178885630498533E-2</v>
      </c>
      <c r="M31" s="443">
        <f t="shared" si="14"/>
        <v>350</v>
      </c>
      <c r="N31" s="197">
        <f t="shared" si="8"/>
        <v>350</v>
      </c>
      <c r="O31" s="217">
        <f t="shared" si="9"/>
        <v>27.16879748008153</v>
      </c>
      <c r="P31" s="173">
        <f t="shared" si="10"/>
        <v>1.5934778580692979</v>
      </c>
      <c r="Q31" s="173">
        <f t="shared" si="11"/>
        <v>0.37881267563019005</v>
      </c>
      <c r="R31" s="173">
        <f t="shared" si="12"/>
        <v>0.78201368523949166</v>
      </c>
    </row>
    <row r="32" spans="3:18">
      <c r="C32" s="170">
        <v>26</v>
      </c>
      <c r="D32" s="5">
        <f t="shared" si="13"/>
        <v>10.82</v>
      </c>
      <c r="E32" s="443">
        <f t="shared" si="0"/>
        <v>8.5250000000000004</v>
      </c>
      <c r="F32" s="217">
        <f t="shared" si="1"/>
        <v>0.44068234685965368</v>
      </c>
      <c r="G32" s="172">
        <f t="shared" si="2"/>
        <v>158.93943310071512</v>
      </c>
      <c r="H32" s="217">
        <f t="shared" si="3"/>
        <v>0.93493784176891248</v>
      </c>
      <c r="I32" s="443">
        <f t="shared" si="4"/>
        <v>19.344999999999999</v>
      </c>
      <c r="J32" s="172">
        <f t="shared" si="5"/>
        <v>1.35</v>
      </c>
      <c r="K32" s="172">
        <f t="shared" si="6"/>
        <v>6.2384473197781884E-2</v>
      </c>
      <c r="L32" s="172">
        <f t="shared" si="7"/>
        <v>7.9178885630498533E-2</v>
      </c>
      <c r="M32" s="443">
        <f t="shared" si="14"/>
        <v>350</v>
      </c>
      <c r="N32" s="197">
        <f t="shared" si="8"/>
        <v>350</v>
      </c>
      <c r="O32" s="217">
        <f t="shared" si="9"/>
        <v>27.246759960122588</v>
      </c>
      <c r="P32" s="173">
        <f t="shared" si="10"/>
        <v>1.5980504375438467</v>
      </c>
      <c r="Q32" s="173">
        <f t="shared" si="11"/>
        <v>0.38098984591435309</v>
      </c>
      <c r="R32" s="173">
        <f t="shared" si="12"/>
        <v>0.78201368523949166</v>
      </c>
    </row>
    <row r="33" spans="3:18">
      <c r="C33" s="170">
        <v>27</v>
      </c>
      <c r="D33" s="5">
        <f t="shared" si="13"/>
        <v>10.89</v>
      </c>
      <c r="E33" s="443">
        <f t="shared" si="0"/>
        <v>8.5250000000000004</v>
      </c>
      <c r="F33" s="217">
        <f t="shared" si="1"/>
        <v>0.43909348441926349</v>
      </c>
      <c r="G33" s="172">
        <f t="shared" si="2"/>
        <v>159.39093484419266</v>
      </c>
      <c r="H33" s="217">
        <f t="shared" si="3"/>
        <v>0.93759373437760385</v>
      </c>
      <c r="I33" s="443">
        <f t="shared" si="4"/>
        <v>19.414999999999999</v>
      </c>
      <c r="J33" s="172">
        <f t="shared" si="5"/>
        <v>1.35</v>
      </c>
      <c r="K33" s="172">
        <f t="shared" si="6"/>
        <v>6.1983471074380167E-2</v>
      </c>
      <c r="L33" s="172">
        <f t="shared" si="7"/>
        <v>7.9178885630498533E-2</v>
      </c>
      <c r="M33" s="443">
        <f t="shared" si="14"/>
        <v>350</v>
      </c>
      <c r="N33" s="197">
        <f t="shared" si="8"/>
        <v>350</v>
      </c>
      <c r="O33" s="217">
        <f t="shared" si="9"/>
        <v>27.324160259004458</v>
      </c>
      <c r="P33" s="173">
        <f t="shared" si="10"/>
        <v>1.6025900445163903</v>
      </c>
      <c r="Q33" s="173">
        <f t="shared" si="11"/>
        <v>0.3831574880511957</v>
      </c>
      <c r="R33" s="173">
        <f t="shared" si="12"/>
        <v>0.78201368523949166</v>
      </c>
    </row>
    <row r="34" spans="3:18">
      <c r="C34" s="170">
        <v>28</v>
      </c>
      <c r="D34" s="5">
        <f t="shared" si="13"/>
        <v>10.96</v>
      </c>
      <c r="E34" s="443">
        <f t="shared" si="0"/>
        <v>8.5250000000000004</v>
      </c>
      <c r="F34" s="217">
        <f t="shared" si="1"/>
        <v>0.43751603797793176</v>
      </c>
      <c r="G34" s="172">
        <f t="shared" si="2"/>
        <v>159.8391925412711</v>
      </c>
      <c r="H34" s="217">
        <f t="shared" si="3"/>
        <v>0.94023054436041831</v>
      </c>
      <c r="I34" s="443">
        <f t="shared" si="4"/>
        <v>19.484999999999999</v>
      </c>
      <c r="J34" s="172">
        <f t="shared" si="5"/>
        <v>1.35</v>
      </c>
      <c r="K34" s="172">
        <f t="shared" si="6"/>
        <v>6.15875912408759E-2</v>
      </c>
      <c r="L34" s="172">
        <f t="shared" si="7"/>
        <v>7.9178885630498533E-2</v>
      </c>
      <c r="M34" s="443">
        <f t="shared" si="14"/>
        <v>350</v>
      </c>
      <c r="N34" s="197">
        <f t="shared" si="8"/>
        <v>350</v>
      </c>
      <c r="O34" s="217">
        <f t="shared" si="9"/>
        <v>27.40100443564647</v>
      </c>
      <c r="P34" s="173">
        <f t="shared" si="10"/>
        <v>1.6070970343487663</v>
      </c>
      <c r="Q34" s="173">
        <f t="shared" si="11"/>
        <v>0.38531563845866729</v>
      </c>
      <c r="R34" s="173">
        <f t="shared" si="12"/>
        <v>0.78201368523949166</v>
      </c>
    </row>
    <row r="35" spans="3:18">
      <c r="C35" s="170">
        <v>29</v>
      </c>
      <c r="D35" s="5">
        <f t="shared" si="13"/>
        <v>11.03</v>
      </c>
      <c r="E35" s="443">
        <f t="shared" si="0"/>
        <v>8.5250000000000004</v>
      </c>
      <c r="F35" s="217">
        <f t="shared" si="1"/>
        <v>0.4359498849399131</v>
      </c>
      <c r="G35" s="172">
        <f t="shared" si="2"/>
        <v>160.28424102957473</v>
      </c>
      <c r="H35" s="217">
        <f t="shared" si="3"/>
        <v>0.94284847664455729</v>
      </c>
      <c r="I35" s="443">
        <f t="shared" si="4"/>
        <v>19.555</v>
      </c>
      <c r="J35" s="172">
        <f t="shared" si="5"/>
        <v>1.35</v>
      </c>
      <c r="K35" s="172">
        <f t="shared" si="6"/>
        <v>6.1196736174070718E-2</v>
      </c>
      <c r="L35" s="172">
        <f t="shared" si="7"/>
        <v>7.9178885630498533E-2</v>
      </c>
      <c r="M35" s="443">
        <f t="shared" si="14"/>
        <v>350</v>
      </c>
      <c r="N35" s="197">
        <f t="shared" si="8"/>
        <v>350</v>
      </c>
      <c r="O35" s="217">
        <f t="shared" si="9"/>
        <v>27.477298462212808</v>
      </c>
      <c r="P35" s="173">
        <f t="shared" si="10"/>
        <v>1.6115717573145341</v>
      </c>
      <c r="Q35" s="173">
        <f t="shared" si="11"/>
        <v>0.3874643339787871</v>
      </c>
      <c r="R35" s="173">
        <f t="shared" si="12"/>
        <v>0.78201368523949166</v>
      </c>
    </row>
    <row r="36" spans="3:18">
      <c r="C36" s="170">
        <v>30</v>
      </c>
      <c r="D36" s="5">
        <f t="shared" si="13"/>
        <v>11.1</v>
      </c>
      <c r="E36" s="443">
        <f t="shared" si="0"/>
        <v>8.5250000000000004</v>
      </c>
      <c r="F36" s="217">
        <f t="shared" si="1"/>
        <v>0.43439490445859874</v>
      </c>
      <c r="G36" s="172">
        <f t="shared" si="2"/>
        <v>160.72611464968153</v>
      </c>
      <c r="H36" s="217">
        <f t="shared" si="3"/>
        <v>0.9454477332334208</v>
      </c>
      <c r="I36" s="443">
        <f t="shared" si="4"/>
        <v>19.625</v>
      </c>
      <c r="J36" s="172">
        <f t="shared" si="5"/>
        <v>1.35</v>
      </c>
      <c r="K36" s="172">
        <f t="shared" si="6"/>
        <v>6.0810810810810814E-2</v>
      </c>
      <c r="L36" s="172">
        <f t="shared" si="7"/>
        <v>7.9178885630498533E-2</v>
      </c>
      <c r="M36" s="443">
        <f t="shared" si="14"/>
        <v>350</v>
      </c>
      <c r="N36" s="197">
        <f t="shared" si="8"/>
        <v>350</v>
      </c>
      <c r="O36" s="217">
        <f t="shared" si="9"/>
        <v>27.55304822565969</v>
      </c>
      <c r="P36" s="173">
        <f t="shared" si="10"/>
        <v>1.6160145586897179</v>
      </c>
      <c r="Q36" s="173">
        <f t="shared" si="11"/>
        <v>0.38960361185327719</v>
      </c>
      <c r="R36" s="173">
        <f t="shared" si="12"/>
        <v>0.78201368523949166</v>
      </c>
    </row>
    <row r="37" spans="3:18">
      <c r="C37" s="170">
        <v>31</v>
      </c>
      <c r="D37" s="5">
        <f t="shared" si="13"/>
        <v>11.17</v>
      </c>
      <c r="E37" s="443">
        <f t="shared" si="0"/>
        <v>8.5250000000000004</v>
      </c>
      <c r="F37" s="217">
        <f t="shared" si="1"/>
        <v>0.43285097740543288</v>
      </c>
      <c r="G37" s="172">
        <f t="shared" si="2"/>
        <v>161.16484725395617</v>
      </c>
      <c r="H37" s="217">
        <f t="shared" si="3"/>
        <v>0.94802851325856574</v>
      </c>
      <c r="I37" s="443">
        <f t="shared" si="4"/>
        <v>19.695</v>
      </c>
      <c r="J37" s="172">
        <f t="shared" si="5"/>
        <v>1.35</v>
      </c>
      <c r="K37" s="172">
        <f t="shared" si="6"/>
        <v>6.042972247090421E-2</v>
      </c>
      <c r="L37" s="172">
        <f t="shared" si="7"/>
        <v>7.9178885630498533E-2</v>
      </c>
      <c r="M37" s="443">
        <f t="shared" si="14"/>
        <v>350</v>
      </c>
      <c r="N37" s="197">
        <f t="shared" si="8"/>
        <v>350</v>
      </c>
      <c r="O37" s="217">
        <f t="shared" si="9"/>
        <v>27.628259529249632</v>
      </c>
      <c r="P37" s="173">
        <f t="shared" si="10"/>
        <v>1.6204257788416205</v>
      </c>
      <c r="Q37" s="173">
        <f t="shared" si="11"/>
        <v>0.3917335097000742</v>
      </c>
      <c r="R37" s="173">
        <f t="shared" si="12"/>
        <v>0.78201368523949166</v>
      </c>
    </row>
    <row r="38" spans="3:18">
      <c r="C38" s="170">
        <v>32</v>
      </c>
      <c r="D38" s="5">
        <f t="shared" si="13"/>
        <v>11.24</v>
      </c>
      <c r="E38" s="443">
        <f t="shared" ref="E38:E69" si="15">(Vout+Vfwd1)*Nps</f>
        <v>8.5250000000000004</v>
      </c>
      <c r="F38" s="217">
        <f t="shared" ref="F38:F69" si="16">(Vout+Vfwd1)*Nps/((Vout+Vfwd1)*Nps+D38)</f>
        <v>0.43131798633948898</v>
      </c>
      <c r="G38" s="172">
        <f t="shared" ref="G38:G69" si="17">F38*D38*Isw_max*0.5*Efficiency</f>
        <v>161.60047221519523</v>
      </c>
      <c r="H38" s="217">
        <f t="shared" ref="H38:H69" si="18">G38/Vout</f>
        <v>0.95059101303056015</v>
      </c>
      <c r="I38" s="443">
        <f t="shared" ref="I38:I69" si="19">(Vout+Vfwd1)*Nps+D38</f>
        <v>19.765000000000001</v>
      </c>
      <c r="J38" s="172">
        <f t="shared" ref="J38:J69" si="20">MIN(2*Vout*Iout/(Efficiency*D38*F38), 1.35)</f>
        <v>1.35</v>
      </c>
      <c r="K38" s="172">
        <f t="shared" ref="K38:K69" si="21">L*J38/D38*1000000</f>
        <v>6.0053380782918143E-2</v>
      </c>
      <c r="L38" s="172">
        <f t="shared" ref="L38:L69" si="22">L*J38/((Vout+Vfwd1)*Nps)*1000000</f>
        <v>7.9178885630498533E-2</v>
      </c>
      <c r="M38" s="443">
        <f t="shared" si="14"/>
        <v>350</v>
      </c>
      <c r="N38" s="197">
        <f t="shared" ref="N38:N69" si="23">IF(1/((350000*L)*(1/D38+1/E38))&gt;Isw_min, 350, 0.001/((Isw_min*L)*(1/D38+1/E38)))</f>
        <v>350</v>
      </c>
      <c r="O38" s="217">
        <f t="shared" ref="O38:O69" si="24">1/((N38*1000*L)*(1/D38+1/E38))</f>
        <v>27.70293809403347</v>
      </c>
      <c r="P38" s="173">
        <f t="shared" ref="P38:P69" si="25">L*O38/E38*1000000</f>
        <v>1.6248057533157461</v>
      </c>
      <c r="Q38" s="173">
        <f t="shared" ref="Q38:Q69" si="26">0.5*P38*O38*Nps*N38/1000</f>
        <v>0.39385406549068591</v>
      </c>
      <c r="R38" s="173">
        <f t="shared" ref="R38:R69" si="27">L*Isw_min/E38*1000000</f>
        <v>0.78201368523949166</v>
      </c>
    </row>
    <row r="39" spans="3:18">
      <c r="C39" s="170">
        <v>33</v>
      </c>
      <c r="D39" s="5">
        <f t="shared" ref="D39:D70" si="28">C39/100*(VIN_max-VIN_min)+VIN_min</f>
        <v>11.31</v>
      </c>
      <c r="E39" s="443">
        <f t="shared" si="15"/>
        <v>8.5250000000000004</v>
      </c>
      <c r="F39" s="217">
        <f t="shared" si="16"/>
        <v>0.42979581547769097</v>
      </c>
      <c r="G39" s="172">
        <f t="shared" si="17"/>
        <v>162.03302243508949</v>
      </c>
      <c r="H39" s="217">
        <f t="shared" si="18"/>
        <v>0.95313542608876167</v>
      </c>
      <c r="I39" s="443">
        <f t="shared" si="19"/>
        <v>19.835000000000001</v>
      </c>
      <c r="J39" s="172">
        <f t="shared" si="20"/>
        <v>1.35</v>
      </c>
      <c r="K39" s="172">
        <f t="shared" si="21"/>
        <v>5.96816976127321E-2</v>
      </c>
      <c r="L39" s="172">
        <f t="shared" si="22"/>
        <v>7.9178885630498533E-2</v>
      </c>
      <c r="M39" s="443">
        <f t="shared" si="14"/>
        <v>350</v>
      </c>
      <c r="N39" s="197">
        <f t="shared" si="23"/>
        <v>350</v>
      </c>
      <c r="O39" s="217">
        <f t="shared" si="24"/>
        <v>27.777089560301057</v>
      </c>
      <c r="P39" s="173">
        <f t="shared" si="25"/>
        <v>1.629154812920883</v>
      </c>
      <c r="Q39" s="173">
        <f t="shared" si="26"/>
        <v>0.39596531752836522</v>
      </c>
      <c r="R39" s="173">
        <f t="shared" si="27"/>
        <v>0.78201368523949166</v>
      </c>
    </row>
    <row r="40" spans="3:18">
      <c r="C40" s="170">
        <v>34</v>
      </c>
      <c r="D40" s="5">
        <f t="shared" si="28"/>
        <v>11.38</v>
      </c>
      <c r="E40" s="443">
        <f t="shared" si="15"/>
        <v>8.5250000000000004</v>
      </c>
      <c r="F40" s="217">
        <f t="shared" si="16"/>
        <v>0.42828435066566189</v>
      </c>
      <c r="G40" s="172">
        <f t="shared" si="17"/>
        <v>162.46253035250777</v>
      </c>
      <c r="H40" s="217">
        <f t="shared" si="18"/>
        <v>0.95566194325004572</v>
      </c>
      <c r="I40" s="443">
        <f t="shared" si="19"/>
        <v>19.905000000000001</v>
      </c>
      <c r="J40" s="172">
        <f t="shared" si="20"/>
        <v>1.35</v>
      </c>
      <c r="K40" s="172">
        <f t="shared" si="21"/>
        <v>5.9314586994727587E-2</v>
      </c>
      <c r="L40" s="172">
        <f t="shared" si="22"/>
        <v>7.9178885630498533E-2</v>
      </c>
      <c r="M40" s="443">
        <f t="shared" si="14"/>
        <v>350</v>
      </c>
      <c r="N40" s="197">
        <f t="shared" si="23"/>
        <v>350</v>
      </c>
      <c r="O40" s="217">
        <f t="shared" si="24"/>
        <v>27.850719489001332</v>
      </c>
      <c r="P40" s="173">
        <f t="shared" si="25"/>
        <v>1.6334732838123946</v>
      </c>
      <c r="Q40" s="173">
        <f t="shared" si="26"/>
        <v>0.39806730442707261</v>
      </c>
      <c r="R40" s="173">
        <f t="shared" si="27"/>
        <v>0.78201368523949166</v>
      </c>
    </row>
    <row r="41" spans="3:18">
      <c r="C41" s="170">
        <v>35</v>
      </c>
      <c r="D41" s="5">
        <f t="shared" si="28"/>
        <v>11.45</v>
      </c>
      <c r="E41" s="443">
        <f t="shared" si="15"/>
        <v>8.5250000000000004</v>
      </c>
      <c r="F41" s="217">
        <f t="shared" si="16"/>
        <v>0.42678347934918648</v>
      </c>
      <c r="G41" s="172">
        <f t="shared" si="17"/>
        <v>162.88902795160618</v>
      </c>
      <c r="H41" s="217">
        <f t="shared" si="18"/>
        <v>0.95817075265650697</v>
      </c>
      <c r="I41" s="443">
        <f t="shared" si="19"/>
        <v>19.975000000000001</v>
      </c>
      <c r="J41" s="172">
        <f t="shared" si="20"/>
        <v>1.35</v>
      </c>
      <c r="K41" s="172">
        <f t="shared" si="21"/>
        <v>5.8951965065502189E-2</v>
      </c>
      <c r="L41" s="172">
        <f t="shared" si="22"/>
        <v>7.9178885630498533E-2</v>
      </c>
      <c r="M41" s="443">
        <f t="shared" si="14"/>
        <v>350</v>
      </c>
      <c r="N41" s="197">
        <f t="shared" si="23"/>
        <v>350</v>
      </c>
      <c r="O41" s="217">
        <f t="shared" si="24"/>
        <v>27.923833363132491</v>
      </c>
      <c r="P41" s="173">
        <f t="shared" si="25"/>
        <v>1.6377614875737529</v>
      </c>
      <c r="Q41" s="173">
        <f t="shared" si="26"/>
        <v>0.40016006509119778</v>
      </c>
      <c r="R41" s="173">
        <f t="shared" si="27"/>
        <v>0.78201368523949166</v>
      </c>
    </row>
    <row r="42" spans="3:18">
      <c r="C42" s="170">
        <v>36</v>
      </c>
      <c r="D42" s="5">
        <f t="shared" si="28"/>
        <v>11.52</v>
      </c>
      <c r="E42" s="443">
        <f t="shared" si="15"/>
        <v>8.5250000000000004</v>
      </c>
      <c r="F42" s="217">
        <f t="shared" si="16"/>
        <v>0.42529309054627085</v>
      </c>
      <c r="G42" s="172">
        <f t="shared" si="17"/>
        <v>163.31254676976801</v>
      </c>
      <c r="H42" s="217">
        <f t="shared" si="18"/>
        <v>0.96066203982216469</v>
      </c>
      <c r="I42" s="443">
        <f t="shared" si="19"/>
        <v>20.045000000000002</v>
      </c>
      <c r="J42" s="172">
        <f t="shared" si="20"/>
        <v>1.35</v>
      </c>
      <c r="K42" s="172">
        <f t="shared" si="21"/>
        <v>5.859375E-2</v>
      </c>
      <c r="L42" s="172">
        <f t="shared" si="22"/>
        <v>7.9178885630498533E-2</v>
      </c>
      <c r="M42" s="443">
        <f t="shared" si="14"/>
        <v>350</v>
      </c>
      <c r="N42" s="197">
        <f t="shared" si="23"/>
        <v>350</v>
      </c>
      <c r="O42" s="217">
        <f t="shared" si="24"/>
        <v>27.996436589103098</v>
      </c>
      <c r="P42" s="173">
        <f t="shared" si="25"/>
        <v>1.6420197412963693</v>
      </c>
      <c r="Q42" s="173">
        <f t="shared" si="26"/>
        <v>0.4022436386960187</v>
      </c>
      <c r="R42" s="173">
        <f t="shared" si="27"/>
        <v>0.78201368523949166</v>
      </c>
    </row>
    <row r="43" spans="3:18">
      <c r="C43" s="170">
        <v>37</v>
      </c>
      <c r="D43" s="5">
        <f t="shared" si="28"/>
        <v>11.59</v>
      </c>
      <c r="E43" s="443">
        <f t="shared" si="15"/>
        <v>8.5250000000000004</v>
      </c>
      <c r="F43" s="217">
        <f t="shared" si="16"/>
        <v>0.4238130748197862</v>
      </c>
      <c r="G43" s="172">
        <f t="shared" si="17"/>
        <v>163.73311790537741</v>
      </c>
      <c r="H43" s="217">
        <f t="shared" si="18"/>
        <v>0.96313598767869069</v>
      </c>
      <c r="I43" s="443">
        <f t="shared" si="19"/>
        <v>20.115000000000002</v>
      </c>
      <c r="J43" s="172">
        <f t="shared" si="20"/>
        <v>1.35</v>
      </c>
      <c r="K43" s="172">
        <f t="shared" si="21"/>
        <v>5.8239861949956853E-2</v>
      </c>
      <c r="L43" s="172">
        <f t="shared" si="22"/>
        <v>7.9178885630498533E-2</v>
      </c>
      <c r="M43" s="443">
        <f t="shared" si="14"/>
        <v>350</v>
      </c>
      <c r="N43" s="197">
        <f t="shared" si="23"/>
        <v>350</v>
      </c>
      <c r="O43" s="217">
        <f t="shared" si="24"/>
        <v>28.0685344980647</v>
      </c>
      <c r="P43" s="173">
        <f t="shared" si="25"/>
        <v>1.6462483576577536</v>
      </c>
      <c r="Q43" s="173">
        <f t="shared" si="26"/>
        <v>0.40431806466886633</v>
      </c>
      <c r="R43" s="173">
        <f t="shared" si="27"/>
        <v>0.78201368523949166</v>
      </c>
    </row>
    <row r="44" spans="3:18">
      <c r="C44" s="170">
        <v>38</v>
      </c>
      <c r="D44" s="5">
        <f t="shared" si="28"/>
        <v>11.66</v>
      </c>
      <c r="E44" s="443">
        <f t="shared" si="15"/>
        <v>8.5250000000000004</v>
      </c>
      <c r="F44" s="217">
        <f t="shared" si="16"/>
        <v>0.42234332425068116</v>
      </c>
      <c r="G44" s="172">
        <f t="shared" si="17"/>
        <v>164.15077202543142</v>
      </c>
      <c r="H44" s="217">
        <f t="shared" si="18"/>
        <v>0.96559277662018483</v>
      </c>
      <c r="I44" s="443">
        <f t="shared" si="19"/>
        <v>20.185000000000002</v>
      </c>
      <c r="J44" s="172">
        <f t="shared" si="20"/>
        <v>1.35</v>
      </c>
      <c r="K44" s="172">
        <f t="shared" si="21"/>
        <v>5.7890222984562603E-2</v>
      </c>
      <c r="L44" s="172">
        <f t="shared" si="22"/>
        <v>7.9178885630498533E-2</v>
      </c>
      <c r="M44" s="443">
        <f t="shared" si="14"/>
        <v>350</v>
      </c>
      <c r="N44" s="197">
        <f t="shared" si="23"/>
        <v>350</v>
      </c>
      <c r="O44" s="217">
        <f t="shared" si="24"/>
        <v>28.140132347216817</v>
      </c>
      <c r="P44" s="173">
        <f t="shared" si="25"/>
        <v>1.6504476449980536</v>
      </c>
      <c r="Q44" s="173">
        <f t="shared" si="26"/>
        <v>0.40638338267097857</v>
      </c>
      <c r="R44" s="173">
        <f t="shared" si="27"/>
        <v>0.78201368523949166</v>
      </c>
    </row>
    <row r="45" spans="3:18">
      <c r="C45" s="170">
        <v>39</v>
      </c>
      <c r="D45" s="5">
        <f t="shared" si="28"/>
        <v>11.73</v>
      </c>
      <c r="E45" s="443">
        <f t="shared" si="15"/>
        <v>8.5250000000000004</v>
      </c>
      <c r="F45" s="217">
        <f t="shared" si="16"/>
        <v>0.42088373241175014</v>
      </c>
      <c r="G45" s="172">
        <f t="shared" si="17"/>
        <v>164.56553937299432</v>
      </c>
      <c r="H45" s="217">
        <f t="shared" si="18"/>
        <v>0.96803258454702545</v>
      </c>
      <c r="I45" s="443">
        <f t="shared" si="19"/>
        <v>20.255000000000003</v>
      </c>
      <c r="J45" s="172">
        <f t="shared" si="20"/>
        <v>1.35</v>
      </c>
      <c r="K45" s="172">
        <f t="shared" si="21"/>
        <v>5.754475703324808E-2</v>
      </c>
      <c r="L45" s="172">
        <f t="shared" si="22"/>
        <v>7.9178885630498533E-2</v>
      </c>
      <c r="M45" s="443">
        <f t="shared" si="14"/>
        <v>350</v>
      </c>
      <c r="N45" s="197">
        <f t="shared" si="23"/>
        <v>350</v>
      </c>
      <c r="O45" s="217">
        <f t="shared" si="24"/>
        <v>28.211235321084747</v>
      </c>
      <c r="P45" s="173">
        <f t="shared" si="25"/>
        <v>1.6546179073949996</v>
      </c>
      <c r="Q45" s="173">
        <f t="shared" si="26"/>
        <v>0.40843963258000998</v>
      </c>
      <c r="R45" s="173">
        <f t="shared" si="27"/>
        <v>0.78201368523949166</v>
      </c>
    </row>
    <row r="46" spans="3:18">
      <c r="C46" s="170">
        <v>40</v>
      </c>
      <c r="D46" s="5">
        <f t="shared" si="28"/>
        <v>11.8</v>
      </c>
      <c r="E46" s="443">
        <f t="shared" si="15"/>
        <v>8.5250000000000004</v>
      </c>
      <c r="F46" s="217">
        <f t="shared" si="16"/>
        <v>0.4194341943419434</v>
      </c>
      <c r="G46" s="172">
        <f t="shared" si="17"/>
        <v>164.97744977449776</v>
      </c>
      <c r="H46" s="217">
        <f t="shared" si="18"/>
        <v>0.97045558690881029</v>
      </c>
      <c r="I46" s="443">
        <f t="shared" si="19"/>
        <v>20.325000000000003</v>
      </c>
      <c r="J46" s="172">
        <f t="shared" si="20"/>
        <v>1.35</v>
      </c>
      <c r="K46" s="172">
        <f t="shared" si="21"/>
        <v>5.7203389830508475E-2</v>
      </c>
      <c r="L46" s="172">
        <f t="shared" si="22"/>
        <v>7.9178885630498533E-2</v>
      </c>
      <c r="M46" s="443">
        <f t="shared" si="14"/>
        <v>350</v>
      </c>
      <c r="N46" s="197">
        <f t="shared" si="23"/>
        <v>350</v>
      </c>
      <c r="O46" s="217">
        <f t="shared" si="24"/>
        <v>28.281848532771043</v>
      </c>
      <c r="P46" s="173">
        <f t="shared" si="25"/>
        <v>1.6587594447373044</v>
      </c>
      <c r="Q46" s="173">
        <f t="shared" si="26"/>
        <v>0.41048685447318362</v>
      </c>
      <c r="R46" s="173">
        <f t="shared" si="27"/>
        <v>0.78201368523949166</v>
      </c>
    </row>
    <row r="47" spans="3:18">
      <c r="C47" s="170">
        <v>41</v>
      </c>
      <c r="D47" s="5">
        <f t="shared" si="28"/>
        <v>11.87</v>
      </c>
      <c r="E47" s="443">
        <f t="shared" si="15"/>
        <v>8.5250000000000004</v>
      </c>
      <c r="F47" s="217">
        <f t="shared" si="16"/>
        <v>0.41799460652120618</v>
      </c>
      <c r="G47" s="172">
        <f t="shared" si="17"/>
        <v>165.38653264689057</v>
      </c>
      <c r="H47" s="217">
        <f t="shared" si="18"/>
        <v>0.97286195674641518</v>
      </c>
      <c r="I47" s="443">
        <f t="shared" si="19"/>
        <v>20.395</v>
      </c>
      <c r="J47" s="172">
        <f t="shared" si="20"/>
        <v>1.35</v>
      </c>
      <c r="K47" s="172">
        <f t="shared" si="21"/>
        <v>5.6866048862679028E-2</v>
      </c>
      <c r="L47" s="172">
        <f t="shared" si="22"/>
        <v>7.9178885630498533E-2</v>
      </c>
      <c r="M47" s="443">
        <f t="shared" si="14"/>
        <v>350</v>
      </c>
      <c r="N47" s="197">
        <f t="shared" si="23"/>
        <v>350</v>
      </c>
      <c r="O47" s="217">
        <f t="shared" si="24"/>
        <v>28.351977025181245</v>
      </c>
      <c r="P47" s="173">
        <f t="shared" si="25"/>
        <v>1.662872552796554</v>
      </c>
      <c r="Q47" s="173">
        <f t="shared" si="26"/>
        <v>0.41252508861105841</v>
      </c>
      <c r="R47" s="173">
        <f t="shared" si="27"/>
        <v>0.78201368523949166</v>
      </c>
    </row>
    <row r="48" spans="3:18">
      <c r="C48" s="170">
        <v>42</v>
      </c>
      <c r="D48" s="5">
        <f t="shared" si="28"/>
        <v>11.94</v>
      </c>
      <c r="E48" s="443">
        <f t="shared" si="15"/>
        <v>8.5250000000000004</v>
      </c>
      <c r="F48" s="217">
        <f t="shared" si="16"/>
        <v>0.41656486684583438</v>
      </c>
      <c r="G48" s="172">
        <f t="shared" si="17"/>
        <v>165.7928170046421</v>
      </c>
      <c r="H48" s="217">
        <f t="shared" si="18"/>
        <v>0.97525186473318881</v>
      </c>
      <c r="I48" s="443">
        <f t="shared" si="19"/>
        <v>20.465</v>
      </c>
      <c r="J48" s="172">
        <f t="shared" si="20"/>
        <v>1.35</v>
      </c>
      <c r="K48" s="172">
        <f t="shared" si="21"/>
        <v>5.6532663316582916E-2</v>
      </c>
      <c r="L48" s="172">
        <f t="shared" si="22"/>
        <v>7.9178885630498533E-2</v>
      </c>
      <c r="M48" s="443">
        <f t="shared" si="14"/>
        <v>350</v>
      </c>
      <c r="N48" s="197">
        <f t="shared" si="23"/>
        <v>350</v>
      </c>
      <c r="O48" s="217">
        <f t="shared" si="24"/>
        <v>28.42162577222436</v>
      </c>
      <c r="P48" s="173">
        <f t="shared" si="25"/>
        <v>1.6669575232976162</v>
      </c>
      <c r="Q48" s="173">
        <f t="shared" si="26"/>
        <v>0.41455437542188966</v>
      </c>
      <c r="R48" s="173">
        <f t="shared" si="27"/>
        <v>0.78201368523949166</v>
      </c>
    </row>
    <row r="49" spans="3:18">
      <c r="C49" s="170">
        <v>43</v>
      </c>
      <c r="D49" s="5">
        <f t="shared" si="28"/>
        <v>12.01</v>
      </c>
      <c r="E49" s="443">
        <f t="shared" si="15"/>
        <v>8.5250000000000004</v>
      </c>
      <c r="F49" s="217">
        <f t="shared" si="16"/>
        <v>0.41514487460433408</v>
      </c>
      <c r="G49" s="172">
        <f t="shared" si="17"/>
        <v>166.19633146660175</v>
      </c>
      <c r="H49" s="217">
        <f t="shared" si="18"/>
        <v>0.9776254792153044</v>
      </c>
      <c r="I49" s="443">
        <f t="shared" si="19"/>
        <v>20.535</v>
      </c>
      <c r="J49" s="172">
        <f t="shared" si="20"/>
        <v>1.35</v>
      </c>
      <c r="K49" s="172">
        <f t="shared" si="21"/>
        <v>5.6203164029975022E-2</v>
      </c>
      <c r="L49" s="172">
        <f t="shared" si="22"/>
        <v>7.9178885630498533E-2</v>
      </c>
      <c r="M49" s="443">
        <f t="shared" si="14"/>
        <v>350</v>
      </c>
      <c r="N49" s="197">
        <f t="shared" si="23"/>
        <v>350</v>
      </c>
      <c r="O49" s="217">
        <f t="shared" si="24"/>
        <v>28.490799679988871</v>
      </c>
      <c r="P49" s="173">
        <f t="shared" si="25"/>
        <v>1.671014643987617</v>
      </c>
      <c r="Q49" s="173">
        <f t="shared" si="26"/>
        <v>0.41657475548656725</v>
      </c>
      <c r="R49" s="173">
        <f t="shared" si="27"/>
        <v>0.78201368523949166</v>
      </c>
    </row>
    <row r="50" spans="3:18">
      <c r="C50" s="170">
        <v>44</v>
      </c>
      <c r="D50" s="5">
        <f t="shared" si="28"/>
        <v>12.08</v>
      </c>
      <c r="E50" s="443">
        <f t="shared" si="15"/>
        <v>8.5250000000000004</v>
      </c>
      <c r="F50" s="217">
        <f t="shared" si="16"/>
        <v>0.41373453045377334</v>
      </c>
      <c r="G50" s="172">
        <f t="shared" si="17"/>
        <v>166.59710426271943</v>
      </c>
      <c r="H50" s="217">
        <f t="shared" si="18"/>
        <v>0.97998296625129078</v>
      </c>
      <c r="I50" s="443">
        <f t="shared" si="19"/>
        <v>20.605</v>
      </c>
      <c r="J50" s="172">
        <f t="shared" si="20"/>
        <v>1.35</v>
      </c>
      <c r="K50" s="172">
        <f t="shared" si="21"/>
        <v>5.587748344370861E-2</v>
      </c>
      <c r="L50" s="172">
        <f t="shared" si="22"/>
        <v>7.9178885630498533E-2</v>
      </c>
      <c r="M50" s="443">
        <f t="shared" si="14"/>
        <v>350</v>
      </c>
      <c r="N50" s="197">
        <f t="shared" si="23"/>
        <v>350</v>
      </c>
      <c r="O50" s="217">
        <f t="shared" si="24"/>
        <v>28.55950358789476</v>
      </c>
      <c r="P50" s="173">
        <f t="shared" si="25"/>
        <v>1.6750441987035047</v>
      </c>
      <c r="Q50" s="173">
        <f t="shared" si="26"/>
        <v>0.41858626952410671</v>
      </c>
      <c r="R50" s="173">
        <f t="shared" si="27"/>
        <v>0.78201368523949166</v>
      </c>
    </row>
    <row r="51" spans="3:18">
      <c r="C51" s="170">
        <v>45</v>
      </c>
      <c r="D51" s="5">
        <f t="shared" si="28"/>
        <v>12.15</v>
      </c>
      <c r="E51" s="443">
        <f t="shared" si="15"/>
        <v>8.5250000000000004</v>
      </c>
      <c r="F51" s="217">
        <f t="shared" si="16"/>
        <v>0.41233373639661425</v>
      </c>
      <c r="G51" s="172">
        <f t="shared" si="17"/>
        <v>166.99516324062878</v>
      </c>
      <c r="H51" s="217">
        <f t="shared" si="18"/>
        <v>0.98232448965075758</v>
      </c>
      <c r="I51" s="443">
        <f t="shared" si="19"/>
        <v>20.675000000000001</v>
      </c>
      <c r="J51" s="172">
        <f t="shared" si="20"/>
        <v>1.35</v>
      </c>
      <c r="K51" s="172">
        <f t="shared" si="21"/>
        <v>5.5555555555555552E-2</v>
      </c>
      <c r="L51" s="172">
        <f t="shared" si="22"/>
        <v>7.9178885630498533E-2</v>
      </c>
      <c r="M51" s="443">
        <f t="shared" si="14"/>
        <v>350</v>
      </c>
      <c r="N51" s="197">
        <f t="shared" si="23"/>
        <v>350</v>
      </c>
      <c r="O51" s="217">
        <f t="shared" si="24"/>
        <v>28.627742269822075</v>
      </c>
      <c r="P51" s="173">
        <f t="shared" si="25"/>
        <v>1.6790464674382448</v>
      </c>
      <c r="Q51" s="173">
        <f t="shared" si="26"/>
        <v>0.42058895837767618</v>
      </c>
      <c r="R51" s="173">
        <f t="shared" si="27"/>
        <v>0.78201368523949166</v>
      </c>
    </row>
    <row r="52" spans="3:18">
      <c r="C52" s="170">
        <v>46</v>
      </c>
      <c r="D52" s="5">
        <f t="shared" si="28"/>
        <v>12.22</v>
      </c>
      <c r="E52" s="443">
        <f t="shared" si="15"/>
        <v>8.5250000000000004</v>
      </c>
      <c r="F52" s="217">
        <f t="shared" si="16"/>
        <v>0.410942395758014</v>
      </c>
      <c r="G52" s="172">
        <f t="shared" si="17"/>
        <v>167.39053587209773</v>
      </c>
      <c r="H52" s="217">
        <f t="shared" si="18"/>
        <v>0.98465021101233963</v>
      </c>
      <c r="I52" s="443">
        <f t="shared" si="19"/>
        <v>20.745000000000001</v>
      </c>
      <c r="J52" s="172">
        <f t="shared" si="20"/>
        <v>1.35</v>
      </c>
      <c r="K52" s="172">
        <f t="shared" si="21"/>
        <v>5.5237315875613743E-2</v>
      </c>
      <c r="L52" s="172">
        <f t="shared" si="22"/>
        <v>7.9178885630498533E-2</v>
      </c>
      <c r="M52" s="443">
        <f t="shared" si="14"/>
        <v>350</v>
      </c>
      <c r="N52" s="197">
        <f t="shared" si="23"/>
        <v>350</v>
      </c>
      <c r="O52" s="217">
        <f t="shared" si="24"/>
        <v>28.695520435216753</v>
      </c>
      <c r="P52" s="173">
        <f t="shared" si="25"/>
        <v>1.6830217264056744</v>
      </c>
      <c r="Q52" s="173">
        <f t="shared" si="26"/>
        <v>0.42258286300114334</v>
      </c>
      <c r="R52" s="173">
        <f t="shared" si="27"/>
        <v>0.78201368523949166</v>
      </c>
    </row>
    <row r="53" spans="3:18">
      <c r="C53" s="170">
        <v>47</v>
      </c>
      <c r="D53" s="5">
        <f t="shared" si="28"/>
        <v>12.29</v>
      </c>
      <c r="E53" s="443">
        <f t="shared" si="15"/>
        <v>8.5250000000000004</v>
      </c>
      <c r="F53" s="217">
        <f t="shared" si="16"/>
        <v>0.40956041316358399</v>
      </c>
      <c r="G53" s="172">
        <f t="shared" si="17"/>
        <v>167.78324925934825</v>
      </c>
      <c r="H53" s="217">
        <f t="shared" si="18"/>
        <v>0.98696028976087202</v>
      </c>
      <c r="I53" s="443">
        <f t="shared" si="19"/>
        <v>20.814999999999998</v>
      </c>
      <c r="J53" s="172">
        <f t="shared" si="20"/>
        <v>1.35</v>
      </c>
      <c r="K53" s="172">
        <f t="shared" si="21"/>
        <v>5.4922701383238411E-2</v>
      </c>
      <c r="L53" s="172">
        <f t="shared" si="22"/>
        <v>7.9178885630498533E-2</v>
      </c>
      <c r="M53" s="443">
        <f t="shared" si="14"/>
        <v>350</v>
      </c>
      <c r="N53" s="197">
        <f t="shared" si="23"/>
        <v>350</v>
      </c>
      <c r="O53" s="217">
        <f t="shared" si="24"/>
        <v>28.762842730173986</v>
      </c>
      <c r="P53" s="173">
        <f t="shared" si="25"/>
        <v>1.6869702481040458</v>
      </c>
      <c r="Q53" s="173">
        <f t="shared" si="26"/>
        <v>0.42456802444611857</v>
      </c>
      <c r="R53" s="173">
        <f t="shared" si="27"/>
        <v>0.78201368523949166</v>
      </c>
    </row>
    <row r="54" spans="3:18">
      <c r="C54" s="170">
        <v>48</v>
      </c>
      <c r="D54" s="5">
        <f t="shared" si="28"/>
        <v>12.36</v>
      </c>
      <c r="E54" s="443">
        <f t="shared" si="15"/>
        <v>8.5250000000000004</v>
      </c>
      <c r="F54" s="217">
        <f t="shared" si="16"/>
        <v>0.4081876945175964</v>
      </c>
      <c r="G54" s="172">
        <f t="shared" si="17"/>
        <v>168.17333014124972</v>
      </c>
      <c r="H54" s="217">
        <f t="shared" si="18"/>
        <v>0.98925488318382193</v>
      </c>
      <c r="I54" s="443">
        <f t="shared" si="19"/>
        <v>20.884999999999998</v>
      </c>
      <c r="J54" s="172">
        <f t="shared" si="20"/>
        <v>1.35</v>
      </c>
      <c r="K54" s="172">
        <f t="shared" si="21"/>
        <v>5.461165048543689E-2</v>
      </c>
      <c r="L54" s="172">
        <f t="shared" si="22"/>
        <v>7.9178885630498533E-2</v>
      </c>
      <c r="M54" s="443">
        <f t="shared" si="14"/>
        <v>350</v>
      </c>
      <c r="N54" s="197">
        <f t="shared" si="23"/>
        <v>350</v>
      </c>
      <c r="O54" s="217">
        <f t="shared" si="24"/>
        <v>28.829713738499954</v>
      </c>
      <c r="P54" s="173">
        <f t="shared" si="25"/>
        <v>1.6908923013782964</v>
      </c>
      <c r="Q54" s="173">
        <f t="shared" si="26"/>
        <v>0.42654448384948468</v>
      </c>
      <c r="R54" s="173">
        <f t="shared" si="27"/>
        <v>0.78201368523949166</v>
      </c>
    </row>
    <row r="55" spans="3:18">
      <c r="C55" s="170">
        <v>49</v>
      </c>
      <c r="D55" s="5">
        <f t="shared" si="28"/>
        <v>12.43</v>
      </c>
      <c r="E55" s="443">
        <f t="shared" si="15"/>
        <v>8.5250000000000004</v>
      </c>
      <c r="F55" s="217">
        <f t="shared" si="16"/>
        <v>0.40682414698162733</v>
      </c>
      <c r="G55" s="172">
        <f t="shared" si="17"/>
        <v>168.56080489938759</v>
      </c>
      <c r="H55" s="217">
        <f t="shared" si="18"/>
        <v>0.99153414646698579</v>
      </c>
      <c r="I55" s="443">
        <f t="shared" si="19"/>
        <v>20.954999999999998</v>
      </c>
      <c r="J55" s="172">
        <f t="shared" si="20"/>
        <v>1.35</v>
      </c>
      <c r="K55" s="172">
        <f t="shared" si="21"/>
        <v>5.4304102976669349E-2</v>
      </c>
      <c r="L55" s="172">
        <f t="shared" si="22"/>
        <v>7.9178885630498533E-2</v>
      </c>
      <c r="M55" s="443">
        <f t="shared" si="14"/>
        <v>350</v>
      </c>
      <c r="N55" s="197">
        <f t="shared" si="23"/>
        <v>350</v>
      </c>
      <c r="O55" s="217">
        <f t="shared" si="24"/>
        <v>28.896137982752158</v>
      </c>
      <c r="P55" s="173">
        <f t="shared" si="25"/>
        <v>1.6947881514810648</v>
      </c>
      <c r="Q55" s="173">
        <f t="shared" si="26"/>
        <v>0.42851228242139028</v>
      </c>
      <c r="R55" s="173">
        <f t="shared" si="27"/>
        <v>0.78201368523949166</v>
      </c>
    </row>
    <row r="56" spans="3:18">
      <c r="C56" s="170">
        <v>50</v>
      </c>
      <c r="D56" s="5">
        <f t="shared" si="28"/>
        <v>12.5</v>
      </c>
      <c r="E56" s="443">
        <f t="shared" si="15"/>
        <v>8.5250000000000004</v>
      </c>
      <c r="F56" s="217">
        <f t="shared" si="16"/>
        <v>0.40546967895362668</v>
      </c>
      <c r="G56" s="172">
        <f t="shared" si="17"/>
        <v>168.94569956401114</v>
      </c>
      <c r="H56" s="217">
        <f t="shared" si="18"/>
        <v>0.99379823272947732</v>
      </c>
      <c r="I56" s="443">
        <f t="shared" si="19"/>
        <v>21.024999999999999</v>
      </c>
      <c r="J56" s="172">
        <f t="shared" si="20"/>
        <v>1.35</v>
      </c>
      <c r="K56" s="172">
        <f t="shared" si="21"/>
        <v>5.3999999999999999E-2</v>
      </c>
      <c r="L56" s="172">
        <f t="shared" si="22"/>
        <v>7.9178885630498533E-2</v>
      </c>
      <c r="M56" s="443">
        <f t="shared" si="14"/>
        <v>350</v>
      </c>
      <c r="N56" s="197">
        <f t="shared" si="23"/>
        <v>350</v>
      </c>
      <c r="O56" s="217">
        <f t="shared" si="24"/>
        <v>28.962119925259049</v>
      </c>
      <c r="P56" s="173">
        <f t="shared" si="25"/>
        <v>1.6986580601324954</v>
      </c>
      <c r="Q56" s="173">
        <f t="shared" si="26"/>
        <v>0.4304714614336958</v>
      </c>
      <c r="R56" s="173">
        <f t="shared" si="27"/>
        <v>0.78201368523949166</v>
      </c>
    </row>
    <row r="57" spans="3:18">
      <c r="C57" s="170">
        <v>51</v>
      </c>
      <c r="D57" s="5">
        <f t="shared" si="28"/>
        <v>12.57</v>
      </c>
      <c r="E57" s="443">
        <f t="shared" si="15"/>
        <v>8.5250000000000004</v>
      </c>
      <c r="F57" s="217">
        <f t="shared" si="16"/>
        <v>0.40412420004740462</v>
      </c>
      <c r="G57" s="172">
        <f t="shared" si="17"/>
        <v>169.32803981986257</v>
      </c>
      <c r="H57" s="217">
        <f t="shared" si="18"/>
        <v>0.99604729305801509</v>
      </c>
      <c r="I57" s="443">
        <f t="shared" si="19"/>
        <v>21.094999999999999</v>
      </c>
      <c r="J57" s="172">
        <f t="shared" si="20"/>
        <v>1.35</v>
      </c>
      <c r="K57" s="172">
        <f t="shared" si="21"/>
        <v>5.3699284009546537E-2</v>
      </c>
      <c r="L57" s="172">
        <f t="shared" si="22"/>
        <v>7.9178885630498533E-2</v>
      </c>
      <c r="M57" s="443">
        <f t="shared" si="14"/>
        <v>350</v>
      </c>
      <c r="N57" s="197">
        <f t="shared" si="23"/>
        <v>350</v>
      </c>
      <c r="O57" s="217">
        <f t="shared" si="24"/>
        <v>29.027663969119295</v>
      </c>
      <c r="P57" s="173">
        <f t="shared" si="25"/>
        <v>1.7025022855788443</v>
      </c>
      <c r="Q57" s="173">
        <f t="shared" si="26"/>
        <v>0.43242206220885243</v>
      </c>
      <c r="R57" s="173">
        <f t="shared" si="27"/>
        <v>0.78201368523949166</v>
      </c>
    </row>
    <row r="58" spans="3:18">
      <c r="C58" s="170">
        <v>52</v>
      </c>
      <c r="D58" s="5">
        <f t="shared" si="28"/>
        <v>12.64</v>
      </c>
      <c r="E58" s="443">
        <f t="shared" si="15"/>
        <v>8.5250000000000004</v>
      </c>
      <c r="F58" s="217">
        <f t="shared" si="16"/>
        <v>0.40278762107252541</v>
      </c>
      <c r="G58" s="172">
        <f t="shared" si="17"/>
        <v>169.70785101189074</v>
      </c>
      <c r="H58" s="217">
        <f t="shared" si="18"/>
        <v>0.99828147654053379</v>
      </c>
      <c r="I58" s="443">
        <f t="shared" si="19"/>
        <v>21.164999999999999</v>
      </c>
      <c r="J58" s="172">
        <f t="shared" si="20"/>
        <v>1.35</v>
      </c>
      <c r="K58" s="172">
        <f t="shared" si="21"/>
        <v>5.3401898734177215E-2</v>
      </c>
      <c r="L58" s="172">
        <f t="shared" si="22"/>
        <v>7.9178885630498533E-2</v>
      </c>
      <c r="M58" s="443">
        <f t="shared" si="14"/>
        <v>350</v>
      </c>
      <c r="N58" s="197">
        <f t="shared" si="23"/>
        <v>350</v>
      </c>
      <c r="O58" s="217">
        <f t="shared" si="24"/>
        <v>29.092774459181268</v>
      </c>
      <c r="P58" s="173">
        <f t="shared" si="25"/>
        <v>1.7063210826499275</v>
      </c>
      <c r="Q58" s="173">
        <f t="shared" si="26"/>
        <v>0.43436412610920305</v>
      </c>
      <c r="R58" s="173">
        <f t="shared" si="27"/>
        <v>0.78201368523949166</v>
      </c>
    </row>
    <row r="59" spans="3:18">
      <c r="C59" s="170">
        <v>53</v>
      </c>
      <c r="D59" s="5">
        <f t="shared" si="28"/>
        <v>12.71</v>
      </c>
      <c r="E59" s="443">
        <f t="shared" si="15"/>
        <v>8.5250000000000004</v>
      </c>
      <c r="F59" s="217">
        <f t="shared" si="16"/>
        <v>0.40145985401459855</v>
      </c>
      <c r="G59" s="172">
        <f t="shared" si="17"/>
        <v>170.08515815085158</v>
      </c>
      <c r="H59" s="217">
        <f t="shared" si="18"/>
        <v>1.000500930299127</v>
      </c>
      <c r="I59" s="443">
        <f t="shared" si="19"/>
        <v>21.234999999999999</v>
      </c>
      <c r="J59" s="172">
        <f t="shared" si="20"/>
        <v>1.35</v>
      </c>
      <c r="K59" s="172">
        <f t="shared" si="21"/>
        <v>5.3107789142407553E-2</v>
      </c>
      <c r="L59" s="172">
        <f t="shared" si="22"/>
        <v>7.9178885630498533E-2</v>
      </c>
      <c r="M59" s="443">
        <f t="shared" si="14"/>
        <v>350</v>
      </c>
      <c r="N59" s="197">
        <f t="shared" si="23"/>
        <v>350</v>
      </c>
      <c r="O59" s="217">
        <f t="shared" si="24"/>
        <v>29.157455683003128</v>
      </c>
      <c r="P59" s="173">
        <f t="shared" si="25"/>
        <v>1.7101147028154327</v>
      </c>
      <c r="Q59" s="173">
        <f t="shared" si="26"/>
        <v>0.43629769452668909</v>
      </c>
      <c r="R59" s="173">
        <f t="shared" si="27"/>
        <v>0.78201368523949166</v>
      </c>
    </row>
    <row r="60" spans="3:18">
      <c r="C60" s="170">
        <v>54</v>
      </c>
      <c r="D60" s="5">
        <f t="shared" si="28"/>
        <v>12.780000000000001</v>
      </c>
      <c r="E60" s="443">
        <f t="shared" si="15"/>
        <v>8.5250000000000004</v>
      </c>
      <c r="F60" s="217">
        <f t="shared" si="16"/>
        <v>0.40014081201595869</v>
      </c>
      <c r="G60" s="172">
        <f t="shared" si="17"/>
        <v>170.45998591879842</v>
      </c>
      <c r="H60" s="217">
        <f t="shared" si="18"/>
        <v>1.0027057995223436</v>
      </c>
      <c r="I60" s="443">
        <f t="shared" si="19"/>
        <v>21.305</v>
      </c>
      <c r="J60" s="172">
        <f t="shared" si="20"/>
        <v>1.35</v>
      </c>
      <c r="K60" s="172">
        <f t="shared" si="21"/>
        <v>5.2816901408450696E-2</v>
      </c>
      <c r="L60" s="172">
        <f t="shared" si="22"/>
        <v>7.9178885630498533E-2</v>
      </c>
      <c r="M60" s="443">
        <f t="shared" si="14"/>
        <v>350</v>
      </c>
      <c r="N60" s="197">
        <f t="shared" si="23"/>
        <v>350</v>
      </c>
      <c r="O60" s="217">
        <f t="shared" si="24"/>
        <v>29.221711871794017</v>
      </c>
      <c r="P60" s="173">
        <f t="shared" si="25"/>
        <v>1.7138833942401182</v>
      </c>
      <c r="Q60" s="173">
        <f t="shared" si="26"/>
        <v>0.43822280887294962</v>
      </c>
      <c r="R60" s="173">
        <f t="shared" si="27"/>
        <v>0.78201368523949166</v>
      </c>
    </row>
    <row r="61" spans="3:18">
      <c r="C61" s="170">
        <v>55</v>
      </c>
      <c r="D61" s="5">
        <f t="shared" si="28"/>
        <v>12.850000000000001</v>
      </c>
      <c r="E61" s="443">
        <f t="shared" si="15"/>
        <v>8.5250000000000004</v>
      </c>
      <c r="F61" s="217">
        <f t="shared" si="16"/>
        <v>0.39883040935672515</v>
      </c>
      <c r="G61" s="172">
        <f t="shared" si="17"/>
        <v>170.83235867446396</v>
      </c>
      <c r="H61" s="217">
        <f t="shared" si="18"/>
        <v>1.0048962274968469</v>
      </c>
      <c r="I61" s="443">
        <f t="shared" si="19"/>
        <v>21.375</v>
      </c>
      <c r="J61" s="172">
        <f t="shared" si="20"/>
        <v>1.35</v>
      </c>
      <c r="K61" s="172">
        <f t="shared" si="21"/>
        <v>5.2529182879377426E-2</v>
      </c>
      <c r="L61" s="172">
        <f t="shared" si="22"/>
        <v>7.9178885630498533E-2</v>
      </c>
      <c r="M61" s="443">
        <f t="shared" si="14"/>
        <v>350</v>
      </c>
      <c r="N61" s="197">
        <f t="shared" si="23"/>
        <v>350</v>
      </c>
      <c r="O61" s="217">
        <f t="shared" si="24"/>
        <v>29.28554720133668</v>
      </c>
      <c r="P61" s="173">
        <f t="shared" si="25"/>
        <v>1.7176274018379285</v>
      </c>
      <c r="Q61" s="173">
        <f t="shared" si="26"/>
        <v>0.44013951056979705</v>
      </c>
      <c r="R61" s="173">
        <f t="shared" si="27"/>
        <v>0.78201368523949166</v>
      </c>
    </row>
    <row r="62" spans="3:18">
      <c r="C62" s="170">
        <v>56</v>
      </c>
      <c r="D62" s="5">
        <f t="shared" si="28"/>
        <v>12.92</v>
      </c>
      <c r="E62" s="443">
        <f t="shared" si="15"/>
        <v>8.5250000000000004</v>
      </c>
      <c r="F62" s="217">
        <f t="shared" si="16"/>
        <v>0.39752856143623222</v>
      </c>
      <c r="G62" s="172">
        <f t="shared" si="17"/>
        <v>171.20230045853737</v>
      </c>
      <c r="H62" s="217">
        <f t="shared" si="18"/>
        <v>1.0070723556384551</v>
      </c>
      <c r="I62" s="443">
        <f t="shared" si="19"/>
        <v>21.445</v>
      </c>
      <c r="J62" s="172">
        <f t="shared" si="20"/>
        <v>1.35</v>
      </c>
      <c r="K62" s="172">
        <f t="shared" si="21"/>
        <v>5.2244582043343653E-2</v>
      </c>
      <c r="L62" s="172">
        <f t="shared" si="22"/>
        <v>7.9178885630498533E-2</v>
      </c>
      <c r="M62" s="443">
        <f t="shared" si="14"/>
        <v>350</v>
      </c>
      <c r="N62" s="197">
        <f t="shared" si="23"/>
        <v>350</v>
      </c>
      <c r="O62" s="217">
        <f t="shared" si="24"/>
        <v>29.348965792892116</v>
      </c>
      <c r="P62" s="173">
        <f t="shared" si="25"/>
        <v>1.7213469673250508</v>
      </c>
      <c r="Q62" s="173">
        <f t="shared" si="26"/>
        <v>0.44204784104006312</v>
      </c>
      <c r="R62" s="173">
        <f t="shared" si="27"/>
        <v>0.78201368523949166</v>
      </c>
    </row>
    <row r="63" spans="3:18">
      <c r="C63" s="170">
        <v>57</v>
      </c>
      <c r="D63" s="5">
        <f t="shared" si="28"/>
        <v>12.99</v>
      </c>
      <c r="E63" s="443">
        <f t="shared" si="15"/>
        <v>8.5250000000000004</v>
      </c>
      <c r="F63" s="217">
        <f t="shared" si="16"/>
        <v>0.39623518475482222</v>
      </c>
      <c r="G63" s="172">
        <f t="shared" si="17"/>
        <v>171.56983499883805</v>
      </c>
      <c r="H63" s="217">
        <f t="shared" si="18"/>
        <v>1.0092343235225767</v>
      </c>
      <c r="I63" s="443">
        <f t="shared" si="19"/>
        <v>21.515000000000001</v>
      </c>
      <c r="J63" s="172">
        <f t="shared" si="20"/>
        <v>1.35</v>
      </c>
      <c r="K63" s="172">
        <f t="shared" si="21"/>
        <v>5.1963048498845268E-2</v>
      </c>
      <c r="L63" s="172">
        <f t="shared" si="22"/>
        <v>7.9178885630498533E-2</v>
      </c>
      <c r="M63" s="443">
        <f t="shared" si="14"/>
        <v>350</v>
      </c>
      <c r="N63" s="197">
        <f t="shared" si="23"/>
        <v>350</v>
      </c>
      <c r="O63" s="217">
        <f t="shared" si="24"/>
        <v>29.411971714086519</v>
      </c>
      <c r="P63" s="173">
        <f t="shared" si="25"/>
        <v>1.7250423292719363</v>
      </c>
      <c r="Q63" s="173">
        <f t="shared" si="26"/>
        <v>0.44394784169879603</v>
      </c>
      <c r="R63" s="173">
        <f t="shared" si="27"/>
        <v>0.78201368523949166</v>
      </c>
    </row>
    <row r="64" spans="3:18">
      <c r="C64" s="170">
        <v>58</v>
      </c>
      <c r="D64" s="5">
        <f t="shared" si="28"/>
        <v>13.059999999999999</v>
      </c>
      <c r="E64" s="443">
        <f t="shared" si="15"/>
        <v>8.5250000000000004</v>
      </c>
      <c r="F64" s="217">
        <f t="shared" si="16"/>
        <v>0.39495019689599259</v>
      </c>
      <c r="G64" s="172">
        <f t="shared" si="17"/>
        <v>171.93498571538879</v>
      </c>
      <c r="H64" s="217">
        <f t="shared" si="18"/>
        <v>1.0113822689140517</v>
      </c>
      <c r="I64" s="443">
        <f t="shared" si="19"/>
        <v>21.585000000000001</v>
      </c>
      <c r="J64" s="172">
        <f t="shared" si="20"/>
        <v>1.35</v>
      </c>
      <c r="K64" s="172">
        <f t="shared" si="21"/>
        <v>5.1684532924961717E-2</v>
      </c>
      <c r="L64" s="172">
        <f t="shared" si="22"/>
        <v>7.9178885630498533E-2</v>
      </c>
      <c r="M64" s="443">
        <f t="shared" si="14"/>
        <v>350</v>
      </c>
      <c r="N64" s="197">
        <f t="shared" si="23"/>
        <v>350</v>
      </c>
      <c r="O64" s="217">
        <f t="shared" si="24"/>
        <v>29.474568979780933</v>
      </c>
      <c r="P64" s="173">
        <f t="shared" si="25"/>
        <v>1.7287137231543068</v>
      </c>
      <c r="Q64" s="173">
        <f t="shared" si="26"/>
        <v>0.44583955394479846</v>
      </c>
      <c r="R64" s="173">
        <f t="shared" si="27"/>
        <v>0.78201368523949166</v>
      </c>
    </row>
    <row r="65" spans="3:18">
      <c r="C65" s="170">
        <v>59</v>
      </c>
      <c r="D65" s="5">
        <f t="shared" si="28"/>
        <v>13.129999999999999</v>
      </c>
      <c r="E65" s="443">
        <f t="shared" si="15"/>
        <v>8.5250000000000004</v>
      </c>
      <c r="F65" s="217">
        <f t="shared" si="16"/>
        <v>0.39367351650888938</v>
      </c>
      <c r="G65" s="172">
        <f t="shared" si="17"/>
        <v>172.29777572539058</v>
      </c>
      <c r="H65" s="217">
        <f t="shared" si="18"/>
        <v>1.0135163277964152</v>
      </c>
      <c r="I65" s="443">
        <f t="shared" si="19"/>
        <v>21.655000000000001</v>
      </c>
      <c r="J65" s="172">
        <f t="shared" si="20"/>
        <v>1.35</v>
      </c>
      <c r="K65" s="172">
        <f t="shared" si="21"/>
        <v>5.1408987052551411E-2</v>
      </c>
      <c r="L65" s="172">
        <f t="shared" si="22"/>
        <v>7.9178885630498533E-2</v>
      </c>
      <c r="M65" s="443">
        <f t="shared" si="14"/>
        <v>350</v>
      </c>
      <c r="N65" s="197">
        <f t="shared" si="23"/>
        <v>350</v>
      </c>
      <c r="O65" s="217">
        <f t="shared" si="24"/>
        <v>29.536761552924109</v>
      </c>
      <c r="P65" s="173">
        <f t="shared" si="25"/>
        <v>1.7323613814031733</v>
      </c>
      <c r="Q65" s="173">
        <f t="shared" si="26"/>
        <v>0.44772301915249785</v>
      </c>
      <c r="R65" s="173">
        <f t="shared" si="27"/>
        <v>0.78201368523949166</v>
      </c>
    </row>
    <row r="66" spans="3:18">
      <c r="C66" s="170">
        <v>60</v>
      </c>
      <c r="D66" s="5">
        <f t="shared" si="28"/>
        <v>13.2</v>
      </c>
      <c r="E66" s="443">
        <f t="shared" si="15"/>
        <v>8.5250000000000004</v>
      </c>
      <c r="F66" s="217">
        <f t="shared" si="16"/>
        <v>0.39240506329113922</v>
      </c>
      <c r="G66" s="172">
        <f t="shared" si="17"/>
        <v>172.65822784810126</v>
      </c>
      <c r="H66" s="217">
        <f t="shared" si="18"/>
        <v>1.0156366344005956</v>
      </c>
      <c r="I66" s="443">
        <f t="shared" si="19"/>
        <v>21.725000000000001</v>
      </c>
      <c r="J66" s="172">
        <f t="shared" si="20"/>
        <v>1.35</v>
      </c>
      <c r="K66" s="172">
        <f t="shared" si="21"/>
        <v>5.113636363636364E-2</v>
      </c>
      <c r="L66" s="172">
        <f t="shared" si="22"/>
        <v>7.9178885630498533E-2</v>
      </c>
      <c r="M66" s="443">
        <f t="shared" si="14"/>
        <v>350</v>
      </c>
      <c r="N66" s="197">
        <f t="shared" si="23"/>
        <v>350</v>
      </c>
      <c r="O66" s="217">
        <f t="shared" si="24"/>
        <v>29.59855334538879</v>
      </c>
      <c r="P66" s="173">
        <f t="shared" si="25"/>
        <v>1.7359855334538878</v>
      </c>
      <c r="Q66" s="173">
        <f t="shared" si="26"/>
        <v>0.44959827866413354</v>
      </c>
      <c r="R66" s="173">
        <f t="shared" si="27"/>
        <v>0.78201368523949166</v>
      </c>
    </row>
    <row r="67" spans="3:18">
      <c r="C67" s="170">
        <v>61</v>
      </c>
      <c r="D67" s="5">
        <f t="shared" si="28"/>
        <v>13.27</v>
      </c>
      <c r="E67" s="443">
        <f t="shared" si="15"/>
        <v>8.5250000000000004</v>
      </c>
      <c r="F67" s="217">
        <f t="shared" si="16"/>
        <v>0.39114475797201192</v>
      </c>
      <c r="G67" s="172">
        <f t="shared" si="17"/>
        <v>173.01636460961996</v>
      </c>
      <c r="H67" s="217">
        <f t="shared" si="18"/>
        <v>1.0177433212330587</v>
      </c>
      <c r="I67" s="443">
        <f t="shared" si="19"/>
        <v>21.795000000000002</v>
      </c>
      <c r="J67" s="172">
        <f t="shared" si="20"/>
        <v>1.35</v>
      </c>
      <c r="K67" s="172">
        <f t="shared" si="21"/>
        <v>5.0866616428033154E-2</v>
      </c>
      <c r="L67" s="172">
        <f t="shared" si="22"/>
        <v>7.9178885630498533E-2</v>
      </c>
      <c r="M67" s="443">
        <f t="shared" si="14"/>
        <v>350</v>
      </c>
      <c r="N67" s="197">
        <f t="shared" si="23"/>
        <v>350</v>
      </c>
      <c r="O67" s="217">
        <f t="shared" si="24"/>
        <v>29.659948218791993</v>
      </c>
      <c r="P67" s="173">
        <f t="shared" si="25"/>
        <v>1.7395864057942516</v>
      </c>
      <c r="Q67" s="173">
        <f t="shared" si="26"/>
        <v>0.45146537378225482</v>
      </c>
      <c r="R67" s="173">
        <f t="shared" si="27"/>
        <v>0.78201368523949166</v>
      </c>
    </row>
    <row r="68" spans="3:18">
      <c r="C68" s="170">
        <v>62</v>
      </c>
      <c r="D68" s="5">
        <f t="shared" si="28"/>
        <v>13.34</v>
      </c>
      <c r="E68" s="443">
        <f t="shared" si="15"/>
        <v>8.5250000000000004</v>
      </c>
      <c r="F68" s="217">
        <f t="shared" si="16"/>
        <v>0.38989252229590671</v>
      </c>
      <c r="G68" s="172">
        <f t="shared" si="17"/>
        <v>173.37220824757986</v>
      </c>
      <c r="H68" s="217">
        <f t="shared" si="18"/>
        <v>1.0198365191034109</v>
      </c>
      <c r="I68" s="443">
        <f t="shared" si="19"/>
        <v>21.865000000000002</v>
      </c>
      <c r="J68" s="172">
        <f t="shared" si="20"/>
        <v>1.35</v>
      </c>
      <c r="K68" s="172">
        <f t="shared" si="21"/>
        <v>5.0599700149925035E-2</v>
      </c>
      <c r="L68" s="172">
        <f t="shared" si="22"/>
        <v>7.9178885630498533E-2</v>
      </c>
      <c r="M68" s="443">
        <f t="shared" si="14"/>
        <v>350</v>
      </c>
      <c r="N68" s="197">
        <f t="shared" si="23"/>
        <v>350</v>
      </c>
      <c r="O68" s="217">
        <f t="shared" si="24"/>
        <v>29.720949985299402</v>
      </c>
      <c r="P68" s="173">
        <f t="shared" si="25"/>
        <v>1.743164222011695</v>
      </c>
      <c r="Q68" s="173">
        <f t="shared" si="26"/>
        <v>0.45332434576251313</v>
      </c>
      <c r="R68" s="173">
        <f t="shared" si="27"/>
        <v>0.78201368523949166</v>
      </c>
    </row>
    <row r="69" spans="3:18">
      <c r="C69" s="170">
        <v>63</v>
      </c>
      <c r="D69" s="5">
        <f t="shared" si="28"/>
        <v>13.41</v>
      </c>
      <c r="E69" s="443">
        <f t="shared" si="15"/>
        <v>8.5250000000000004</v>
      </c>
      <c r="F69" s="217">
        <f t="shared" si="16"/>
        <v>0.38864827900615451</v>
      </c>
      <c r="G69" s="172">
        <f t="shared" si="17"/>
        <v>173.72578071575109</v>
      </c>
      <c r="H69" s="217">
        <f t="shared" si="18"/>
        <v>1.0219163571514769</v>
      </c>
      <c r="I69" s="443">
        <f t="shared" si="19"/>
        <v>21.935000000000002</v>
      </c>
      <c r="J69" s="172">
        <f t="shared" si="20"/>
        <v>1.35</v>
      </c>
      <c r="K69" s="172">
        <f t="shared" si="21"/>
        <v>5.0335570469798654E-2</v>
      </c>
      <c r="L69" s="172">
        <f t="shared" si="22"/>
        <v>7.9178885630498533E-2</v>
      </c>
      <c r="M69" s="443">
        <f t="shared" si="14"/>
        <v>350</v>
      </c>
      <c r="N69" s="197">
        <f t="shared" si="23"/>
        <v>350</v>
      </c>
      <c r="O69" s="217">
        <f t="shared" si="24"/>
        <v>29.781562408414477</v>
      </c>
      <c r="P69" s="173">
        <f t="shared" si="25"/>
        <v>1.7467192028395586</v>
      </c>
      <c r="Q69" s="173">
        <f t="shared" si="26"/>
        <v>0.45517523580674513</v>
      </c>
      <c r="R69" s="173">
        <f t="shared" si="27"/>
        <v>0.78201368523949166</v>
      </c>
    </row>
    <row r="70" spans="3:18">
      <c r="C70" s="170">
        <v>64</v>
      </c>
      <c r="D70" s="5">
        <f t="shared" si="28"/>
        <v>13.48</v>
      </c>
      <c r="E70" s="443">
        <f t="shared" ref="E70:E106" si="29">(Vout+Vfwd1)*Nps</f>
        <v>8.5250000000000004</v>
      </c>
      <c r="F70" s="217">
        <f t="shared" ref="F70:F106" si="30">(Vout+Vfwd1)*Nps/((Vout+Vfwd1)*Nps+D70)</f>
        <v>0.38741195182912974</v>
      </c>
      <c r="G70" s="172">
        <f t="shared" ref="G70:G101" si="31">F70*D70*Isw_max*0.5*Efficiency</f>
        <v>174.07710368855567</v>
      </c>
      <c r="H70" s="217">
        <f t="shared" ref="H70:H101" si="32">G70/Vout</f>
        <v>1.0239829628738568</v>
      </c>
      <c r="I70" s="443">
        <f t="shared" ref="I70:I106" si="33">(Vout+Vfwd1)*Nps+D70</f>
        <v>22.005000000000003</v>
      </c>
      <c r="J70" s="172">
        <f t="shared" ref="J70:J106" si="34">MIN(2*Vout*Iout/(Efficiency*D70*F70), 1.35)</f>
        <v>1.35</v>
      </c>
      <c r="K70" s="172">
        <f t="shared" ref="K70:K101" si="35">L*J70/D70*1000000</f>
        <v>5.0074183976261129E-2</v>
      </c>
      <c r="L70" s="172">
        <f t="shared" ref="L70:L106" si="36">L*J70/((Vout+Vfwd1)*Nps)*1000000</f>
        <v>7.9178885630498533E-2</v>
      </c>
      <c r="M70" s="443">
        <f t="shared" si="14"/>
        <v>350</v>
      </c>
      <c r="N70" s="197">
        <f t="shared" ref="N70:N106" si="37">IF(1/((350000*L)*(1/D70+1/E70))&gt;Isw_min, 350, 0.001/((Isw_min*L)*(1/D70+1/E70)))</f>
        <v>350</v>
      </c>
      <c r="O70" s="217">
        <f t="shared" ref="O70:O101" si="38">1/((N70*1000*L)*(1/D70+1/E70))</f>
        <v>29.841789203752402</v>
      </c>
      <c r="P70" s="173">
        <f t="shared" ref="P70:P101" si="39">L*O70/E70*1000000</f>
        <v>1.7502515662024867</v>
      </c>
      <c r="Q70" s="173">
        <f t="shared" ref="Q70:Q101" si="40">0.5*P70*O70*Nps*N70/1000</f>
        <v>0.4570180850563309</v>
      </c>
      <c r="R70" s="173">
        <f t="shared" ref="R70:R106" si="41">L*Isw_min/E70*1000000</f>
        <v>0.78201368523949166</v>
      </c>
    </row>
    <row r="71" spans="3:18">
      <c r="C71" s="170">
        <v>65</v>
      </c>
      <c r="D71" s="5">
        <f t="shared" ref="D71:D102" si="42">C71/100*(VIN_max-VIN_min)+VIN_min</f>
        <v>13.55</v>
      </c>
      <c r="E71" s="443">
        <f t="shared" si="29"/>
        <v>8.5250000000000004</v>
      </c>
      <c r="F71" s="217">
        <f t="shared" si="30"/>
        <v>0.38618346545866361</v>
      </c>
      <c r="G71" s="172">
        <f t="shared" si="31"/>
        <v>174.42619856549641</v>
      </c>
      <c r="H71" s="217">
        <f t="shared" si="32"/>
        <v>1.0260364621499789</v>
      </c>
      <c r="I71" s="443">
        <f t="shared" si="33"/>
        <v>22.075000000000003</v>
      </c>
      <c r="J71" s="172">
        <f t="shared" si="34"/>
        <v>1.35</v>
      </c>
      <c r="K71" s="172">
        <f t="shared" si="35"/>
        <v>4.9815498154981548E-2</v>
      </c>
      <c r="L71" s="172">
        <f t="shared" si="36"/>
        <v>7.9178885630498533E-2</v>
      </c>
      <c r="M71" s="443">
        <f t="shared" ref="M71:M106" si="43">MIN(1/(K71+L71)*1000, 350)</f>
        <v>350</v>
      </c>
      <c r="N71" s="197">
        <f t="shared" si="37"/>
        <v>350</v>
      </c>
      <c r="O71" s="217">
        <f t="shared" si="38"/>
        <v>29.901634039799383</v>
      </c>
      <c r="P71" s="173">
        <f t="shared" si="39"/>
        <v>1.7537615272609608</v>
      </c>
      <c r="Q71" s="173">
        <f t="shared" si="40"/>
        <v>0.45885293458582294</v>
      </c>
      <c r="R71" s="173">
        <f t="shared" si="41"/>
        <v>0.78201368523949166</v>
      </c>
    </row>
    <row r="72" spans="3:18">
      <c r="C72" s="170">
        <v>66</v>
      </c>
      <c r="D72" s="5">
        <f t="shared" si="42"/>
        <v>13.620000000000001</v>
      </c>
      <c r="E72" s="443">
        <f t="shared" si="29"/>
        <v>8.5250000000000004</v>
      </c>
      <c r="F72" s="217">
        <f t="shared" si="30"/>
        <v>0.3849627455407541</v>
      </c>
      <c r="G72" s="172">
        <f t="shared" si="31"/>
        <v>174.7730864755024</v>
      </c>
      <c r="H72" s="217">
        <f t="shared" si="32"/>
        <v>1.0280769792676612</v>
      </c>
      <c r="I72" s="443">
        <f t="shared" si="33"/>
        <v>22.145000000000003</v>
      </c>
      <c r="J72" s="172">
        <f t="shared" si="34"/>
        <v>1.35</v>
      </c>
      <c r="K72" s="172">
        <f t="shared" si="35"/>
        <v>4.9559471365638763E-2</v>
      </c>
      <c r="L72" s="172">
        <f t="shared" si="36"/>
        <v>7.9178885630498533E-2</v>
      </c>
      <c r="M72" s="443">
        <f t="shared" si="43"/>
        <v>350</v>
      </c>
      <c r="N72" s="197">
        <f t="shared" si="37"/>
        <v>350</v>
      </c>
      <c r="O72" s="217">
        <f t="shared" si="38"/>
        <v>29.961100538657558</v>
      </c>
      <c r="P72" s="173">
        <f t="shared" si="39"/>
        <v>1.7572492984549886</v>
      </c>
      <c r="Q72" s="173">
        <f t="shared" si="40"/>
        <v>0.4606798253968345</v>
      </c>
      <c r="R72" s="173">
        <f t="shared" si="41"/>
        <v>0.78201368523949166</v>
      </c>
    </row>
    <row r="73" spans="3:18">
      <c r="C73" s="170">
        <v>67</v>
      </c>
      <c r="D73" s="5">
        <f t="shared" si="42"/>
        <v>13.690000000000001</v>
      </c>
      <c r="E73" s="443">
        <f t="shared" si="29"/>
        <v>8.5250000000000004</v>
      </c>
      <c r="F73" s="217">
        <f t="shared" si="30"/>
        <v>0.383749718658564</v>
      </c>
      <c r="G73" s="172">
        <f t="shared" si="31"/>
        <v>175.11778828119139</v>
      </c>
      <c r="H73" s="217">
        <f t="shared" si="32"/>
        <v>1.0301046369481848</v>
      </c>
      <c r="I73" s="443">
        <f t="shared" si="33"/>
        <v>22.215000000000003</v>
      </c>
      <c r="J73" s="172">
        <f t="shared" si="34"/>
        <v>1.35</v>
      </c>
      <c r="K73" s="172">
        <f t="shared" si="35"/>
        <v>4.9306062819576328E-2</v>
      </c>
      <c r="L73" s="172">
        <f t="shared" si="36"/>
        <v>7.9178885630498533E-2</v>
      </c>
      <c r="M73" s="443">
        <f t="shared" si="43"/>
        <v>350</v>
      </c>
      <c r="N73" s="197">
        <f t="shared" si="37"/>
        <v>350</v>
      </c>
      <c r="O73" s="217">
        <f t="shared" si="38"/>
        <v>30.020192276775671</v>
      </c>
      <c r="P73" s="173">
        <f t="shared" si="39"/>
        <v>1.7607150895469601</v>
      </c>
      <c r="Q73" s="173">
        <f t="shared" si="40"/>
        <v>0.46249879841217528</v>
      </c>
      <c r="R73" s="173">
        <f t="shared" si="41"/>
        <v>0.78201368523949166</v>
      </c>
    </row>
    <row r="74" spans="3:18">
      <c r="C74" s="170">
        <v>68</v>
      </c>
      <c r="D74" s="5">
        <f t="shared" si="42"/>
        <v>13.760000000000002</v>
      </c>
      <c r="E74" s="443">
        <f t="shared" si="29"/>
        <v>8.5250000000000004</v>
      </c>
      <c r="F74" s="217">
        <f t="shared" si="30"/>
        <v>0.38254431231770242</v>
      </c>
      <c r="G74" s="172">
        <f t="shared" si="31"/>
        <v>175.46032458305288</v>
      </c>
      <c r="H74" s="217">
        <f t="shared" si="32"/>
        <v>1.0321195563708994</v>
      </c>
      <c r="I74" s="443">
        <f t="shared" si="33"/>
        <v>22.285000000000004</v>
      </c>
      <c r="J74" s="172">
        <f t="shared" si="34"/>
        <v>1.35</v>
      </c>
      <c r="K74" s="172">
        <f t="shared" si="35"/>
        <v>4.9055232558139532E-2</v>
      </c>
      <c r="L74" s="172">
        <f t="shared" si="36"/>
        <v>7.9178885630498533E-2</v>
      </c>
      <c r="M74" s="443">
        <f t="shared" si="43"/>
        <v>350</v>
      </c>
      <c r="N74" s="197">
        <f t="shared" si="37"/>
        <v>350</v>
      </c>
      <c r="O74" s="217">
        <f t="shared" si="38"/>
        <v>30.078912785666216</v>
      </c>
      <c r="P74" s="173">
        <f t="shared" si="39"/>
        <v>1.7641591076637075</v>
      </c>
      <c r="Q74" s="173">
        <f t="shared" si="40"/>
        <v>0.4643098944702348</v>
      </c>
      <c r="R74" s="173">
        <f t="shared" si="41"/>
        <v>0.78201368523949166</v>
      </c>
    </row>
    <row r="75" spans="3:18">
      <c r="C75" s="170">
        <v>69</v>
      </c>
      <c r="D75" s="5">
        <f t="shared" si="42"/>
        <v>13.83</v>
      </c>
      <c r="E75" s="443">
        <f t="shared" si="29"/>
        <v>8.5250000000000004</v>
      </c>
      <c r="F75" s="217">
        <f t="shared" si="30"/>
        <v>0.3813464549317826</v>
      </c>
      <c r="G75" s="172">
        <f t="shared" si="31"/>
        <v>175.80071572355178</v>
      </c>
      <c r="H75" s="217">
        <f t="shared" si="32"/>
        <v>1.0341218571973634</v>
      </c>
      <c r="I75" s="443">
        <f t="shared" si="33"/>
        <v>22.355</v>
      </c>
      <c r="J75" s="172">
        <f t="shared" si="34"/>
        <v>1.35</v>
      </c>
      <c r="K75" s="172">
        <f t="shared" si="35"/>
        <v>4.8806941431670282E-2</v>
      </c>
      <c r="L75" s="172">
        <f t="shared" si="36"/>
        <v>7.9178885630498533E-2</v>
      </c>
      <c r="M75" s="443">
        <f t="shared" si="43"/>
        <v>350</v>
      </c>
      <c r="N75" s="197">
        <f t="shared" si="37"/>
        <v>350</v>
      </c>
      <c r="O75" s="217">
        <f t="shared" si="38"/>
        <v>30.137265552608881</v>
      </c>
      <c r="P75" s="173">
        <f t="shared" si="39"/>
        <v>1.767581557337764</v>
      </c>
      <c r="Q75" s="173">
        <f t="shared" si="40"/>
        <v>0.46611315431959388</v>
      </c>
      <c r="R75" s="173">
        <f t="shared" si="41"/>
        <v>0.78201368523949166</v>
      </c>
    </row>
    <row r="76" spans="3:18">
      <c r="C76" s="170">
        <v>70</v>
      </c>
      <c r="D76" s="5">
        <f t="shared" si="42"/>
        <v>13.899999999999999</v>
      </c>
      <c r="E76" s="443">
        <f t="shared" si="29"/>
        <v>8.5250000000000004</v>
      </c>
      <c r="F76" s="217">
        <f t="shared" si="30"/>
        <v>0.38015607580824978</v>
      </c>
      <c r="G76" s="172">
        <f t="shared" si="31"/>
        <v>176.13898179115574</v>
      </c>
      <c r="H76" s="217">
        <f t="shared" si="32"/>
        <v>1.0361116575950338</v>
      </c>
      <c r="I76" s="443">
        <f t="shared" si="33"/>
        <v>22.424999999999997</v>
      </c>
      <c r="J76" s="172">
        <f t="shared" si="34"/>
        <v>1.35</v>
      </c>
      <c r="K76" s="172">
        <f t="shared" si="35"/>
        <v>4.8561151079136694E-2</v>
      </c>
      <c r="L76" s="172">
        <f t="shared" si="36"/>
        <v>7.9178885630498533E-2</v>
      </c>
      <c r="M76" s="443">
        <f t="shared" si="43"/>
        <v>350</v>
      </c>
      <c r="N76" s="197">
        <f t="shared" si="37"/>
        <v>350</v>
      </c>
      <c r="O76" s="217">
        <f t="shared" si="38"/>
        <v>30.195254021340979</v>
      </c>
      <c r="P76" s="173">
        <f t="shared" si="39"/>
        <v>1.7709826405478579</v>
      </c>
      <c r="Q76" s="173">
        <f t="shared" si="40"/>
        <v>0.46790861861386801</v>
      </c>
      <c r="R76" s="173">
        <f t="shared" si="41"/>
        <v>0.78201368523949166</v>
      </c>
    </row>
    <row r="77" spans="3:18">
      <c r="C77" s="170">
        <v>71</v>
      </c>
      <c r="D77" s="5">
        <f t="shared" si="42"/>
        <v>13.969999999999999</v>
      </c>
      <c r="E77" s="443">
        <f t="shared" si="29"/>
        <v>8.5250000000000004</v>
      </c>
      <c r="F77" s="217">
        <f t="shared" si="30"/>
        <v>0.37897310513447441</v>
      </c>
      <c r="G77" s="172">
        <f t="shared" si="31"/>
        <v>176.47514262428692</v>
      </c>
      <c r="H77" s="217">
        <f t="shared" si="32"/>
        <v>1.0380890742605113</v>
      </c>
      <c r="I77" s="443">
        <f t="shared" si="33"/>
        <v>22.494999999999997</v>
      </c>
      <c r="J77" s="172">
        <f t="shared" si="34"/>
        <v>1.35</v>
      </c>
      <c r="K77" s="172">
        <f t="shared" si="35"/>
        <v>4.8317823908375093E-2</v>
      </c>
      <c r="L77" s="172">
        <f t="shared" si="36"/>
        <v>7.9178885630498533E-2</v>
      </c>
      <c r="M77" s="443">
        <f t="shared" si="43"/>
        <v>350</v>
      </c>
      <c r="N77" s="197">
        <f t="shared" si="37"/>
        <v>350</v>
      </c>
      <c r="O77" s="217">
        <f t="shared" si="38"/>
        <v>30.252881592734898</v>
      </c>
      <c r="P77" s="173">
        <f t="shared" si="39"/>
        <v>1.774362556758645</v>
      </c>
      <c r="Q77" s="173">
        <f t="shared" si="40"/>
        <v>0.46969632790676435</v>
      </c>
      <c r="R77" s="173">
        <f t="shared" si="41"/>
        <v>0.78201368523949166</v>
      </c>
    </row>
    <row r="78" spans="3:18">
      <c r="C78" s="170">
        <v>72</v>
      </c>
      <c r="D78" s="5">
        <f t="shared" si="42"/>
        <v>14.04</v>
      </c>
      <c r="E78" s="443">
        <f t="shared" si="29"/>
        <v>8.5250000000000004</v>
      </c>
      <c r="F78" s="217">
        <f t="shared" si="30"/>
        <v>0.37779747396410374</v>
      </c>
      <c r="G78" s="172">
        <f t="shared" si="31"/>
        <v>176.80921781520055</v>
      </c>
      <c r="H78" s="217">
        <f t="shared" si="32"/>
        <v>1.0400542224423561</v>
      </c>
      <c r="I78" s="443">
        <f t="shared" si="33"/>
        <v>22.564999999999998</v>
      </c>
      <c r="J78" s="172">
        <f t="shared" si="34"/>
        <v>1.35</v>
      </c>
      <c r="K78" s="172">
        <f t="shared" si="35"/>
        <v>4.807692307692308E-2</v>
      </c>
      <c r="L78" s="172">
        <f t="shared" si="36"/>
        <v>7.9178885630498533E-2</v>
      </c>
      <c r="M78" s="443">
        <f t="shared" si="43"/>
        <v>350</v>
      </c>
      <c r="N78" s="197">
        <f t="shared" si="37"/>
        <v>350</v>
      </c>
      <c r="O78" s="217">
        <f t="shared" si="38"/>
        <v>30.31015162546295</v>
      </c>
      <c r="P78" s="173">
        <f t="shared" si="39"/>
        <v>1.7777215029597035</v>
      </c>
      <c r="Q78" s="173">
        <f t="shared" si="40"/>
        <v>0.4714763226473519</v>
      </c>
      <c r="R78" s="173">
        <f t="shared" si="41"/>
        <v>0.78201368523949166</v>
      </c>
    </row>
    <row r="79" spans="3:18">
      <c r="C79" s="170">
        <v>73</v>
      </c>
      <c r="D79" s="5">
        <f t="shared" si="42"/>
        <v>14.11</v>
      </c>
      <c r="E79" s="443">
        <f t="shared" si="29"/>
        <v>8.5250000000000004</v>
      </c>
      <c r="F79" s="217">
        <f t="shared" si="30"/>
        <v>0.37662911420366696</v>
      </c>
      <c r="G79" s="172">
        <f t="shared" si="31"/>
        <v>177.14122671379138</v>
      </c>
      <c r="H79" s="217">
        <f t="shared" si="32"/>
        <v>1.0420072159634788</v>
      </c>
      <c r="I79" s="443">
        <f t="shared" si="33"/>
        <v>22.634999999999998</v>
      </c>
      <c r="J79" s="172">
        <f t="shared" si="34"/>
        <v>1.35</v>
      </c>
      <c r="K79" s="172">
        <f t="shared" si="35"/>
        <v>4.7838412473423103E-2</v>
      </c>
      <c r="L79" s="172">
        <f t="shared" si="36"/>
        <v>7.9178885630498533E-2</v>
      </c>
      <c r="M79" s="443">
        <f t="shared" si="43"/>
        <v>350</v>
      </c>
      <c r="N79" s="197">
        <f t="shared" si="37"/>
        <v>350</v>
      </c>
      <c r="O79" s="217">
        <f t="shared" si="38"/>
        <v>30.367067436649943</v>
      </c>
      <c r="P79" s="173">
        <f t="shared" si="39"/>
        <v>1.7810596737038089</v>
      </c>
      <c r="Q79" s="173">
        <f t="shared" si="40"/>
        <v>0.47324864317553639</v>
      </c>
      <c r="R79" s="173">
        <f t="shared" si="41"/>
        <v>0.78201368523949166</v>
      </c>
    </row>
    <row r="80" spans="3:18">
      <c r="C80" s="170">
        <v>74</v>
      </c>
      <c r="D80" s="5">
        <f t="shared" si="42"/>
        <v>14.18</v>
      </c>
      <c r="E80" s="443">
        <f t="shared" si="29"/>
        <v>8.5250000000000004</v>
      </c>
      <c r="F80" s="217">
        <f t="shared" si="30"/>
        <v>0.3754679585994275</v>
      </c>
      <c r="G80" s="172">
        <f t="shared" si="31"/>
        <v>177.47118843132941</v>
      </c>
      <c r="H80" s="217">
        <f t="shared" si="32"/>
        <v>1.0439481672431141</v>
      </c>
      <c r="I80" s="443">
        <f t="shared" si="33"/>
        <v>22.704999999999998</v>
      </c>
      <c r="J80" s="172">
        <f t="shared" si="34"/>
        <v>1.35</v>
      </c>
      <c r="K80" s="172">
        <f t="shared" si="35"/>
        <v>4.7602256699576864E-2</v>
      </c>
      <c r="L80" s="172">
        <f t="shared" si="36"/>
        <v>7.9178885630498533E-2</v>
      </c>
      <c r="M80" s="443">
        <f t="shared" si="43"/>
        <v>350</v>
      </c>
      <c r="N80" s="197">
        <f t="shared" si="37"/>
        <v>350</v>
      </c>
      <c r="O80" s="217">
        <f t="shared" si="38"/>
        <v>30.42363230251361</v>
      </c>
      <c r="P80" s="173">
        <f t="shared" si="39"/>
        <v>1.784377261144493</v>
      </c>
      <c r="Q80" s="173">
        <f t="shared" si="40"/>
        <v>0.47501332971773069</v>
      </c>
      <c r="R80" s="173">
        <f t="shared" si="41"/>
        <v>0.78201368523949166</v>
      </c>
    </row>
    <row r="81" spans="3:18">
      <c r="C81" s="170">
        <v>75</v>
      </c>
      <c r="D81" s="5">
        <f t="shared" si="42"/>
        <v>14.25</v>
      </c>
      <c r="E81" s="443">
        <f t="shared" si="29"/>
        <v>8.5250000000000004</v>
      </c>
      <c r="F81" s="217">
        <f t="shared" si="30"/>
        <v>0.37431394072447866</v>
      </c>
      <c r="G81" s="172">
        <f t="shared" si="31"/>
        <v>177.79912184412737</v>
      </c>
      <c r="H81" s="217">
        <f t="shared" si="32"/>
        <v>1.0458771873183963</v>
      </c>
      <c r="I81" s="443">
        <f t="shared" si="33"/>
        <v>22.774999999999999</v>
      </c>
      <c r="J81" s="172">
        <f t="shared" si="34"/>
        <v>1.35</v>
      </c>
      <c r="K81" s="172">
        <f t="shared" si="35"/>
        <v>4.736842105263158E-2</v>
      </c>
      <c r="L81" s="172">
        <f t="shared" si="36"/>
        <v>7.9178885630498533E-2</v>
      </c>
      <c r="M81" s="443">
        <f t="shared" si="43"/>
        <v>350</v>
      </c>
      <c r="N81" s="197">
        <f t="shared" si="37"/>
        <v>350</v>
      </c>
      <c r="O81" s="217">
        <f t="shared" si="38"/>
        <v>30.479849458993257</v>
      </c>
      <c r="P81" s="173">
        <f t="shared" si="39"/>
        <v>1.7876744550729182</v>
      </c>
      <c r="Q81" s="173">
        <f t="shared" si="40"/>
        <v>0.47677042238271561</v>
      </c>
      <c r="R81" s="173">
        <f t="shared" si="41"/>
        <v>0.78201368523949166</v>
      </c>
    </row>
    <row r="82" spans="3:18">
      <c r="C82" s="170">
        <v>76</v>
      </c>
      <c r="D82" s="5">
        <f t="shared" si="42"/>
        <v>14.32</v>
      </c>
      <c r="E82" s="443">
        <f t="shared" si="29"/>
        <v>8.5250000000000004</v>
      </c>
      <c r="F82" s="217">
        <f t="shared" si="30"/>
        <v>0.37316699496607575</v>
      </c>
      <c r="G82" s="172">
        <f t="shared" si="31"/>
        <v>178.12504559714017</v>
      </c>
      <c r="H82" s="217">
        <f t="shared" si="32"/>
        <v>1.0477943858655305</v>
      </c>
      <c r="I82" s="443">
        <f t="shared" si="33"/>
        <v>22.844999999999999</v>
      </c>
      <c r="J82" s="172">
        <f t="shared" si="34"/>
        <v>1.35</v>
      </c>
      <c r="K82" s="172">
        <f t="shared" si="35"/>
        <v>4.7136871508379884E-2</v>
      </c>
      <c r="L82" s="172">
        <f t="shared" si="36"/>
        <v>7.9178885630498533E-2</v>
      </c>
      <c r="M82" s="443">
        <f t="shared" si="43"/>
        <v>350</v>
      </c>
      <c r="N82" s="197">
        <f t="shared" si="37"/>
        <v>350</v>
      </c>
      <c r="O82" s="217">
        <f t="shared" si="38"/>
        <v>30.53572210236689</v>
      </c>
      <c r="P82" s="173">
        <f t="shared" si="39"/>
        <v>1.7909514429540694</v>
      </c>
      <c r="Q82" s="173">
        <f t="shared" si="40"/>
        <v>0.47851996115768647</v>
      </c>
      <c r="R82" s="173">
        <f t="shared" si="41"/>
        <v>0.78201368523949166</v>
      </c>
    </row>
    <row r="83" spans="3:18">
      <c r="C83" s="170">
        <v>77</v>
      </c>
      <c r="D83" s="5">
        <f t="shared" si="42"/>
        <v>14.39</v>
      </c>
      <c r="E83" s="443">
        <f t="shared" si="29"/>
        <v>8.5250000000000004</v>
      </c>
      <c r="F83" s="217">
        <f t="shared" si="30"/>
        <v>0.372027056513201</v>
      </c>
      <c r="G83" s="172">
        <f t="shared" si="31"/>
        <v>178.44897810749876</v>
      </c>
      <c r="H83" s="217">
        <f t="shared" si="32"/>
        <v>1.0496998712205809</v>
      </c>
      <c r="I83" s="443">
        <f t="shared" si="33"/>
        <v>22.914999999999999</v>
      </c>
      <c r="J83" s="172">
        <f t="shared" si="34"/>
        <v>1.35</v>
      </c>
      <c r="K83" s="172">
        <f t="shared" si="35"/>
        <v>4.6907574704656008E-2</v>
      </c>
      <c r="L83" s="172">
        <f t="shared" si="36"/>
        <v>7.9178885630498533E-2</v>
      </c>
      <c r="M83" s="443">
        <f t="shared" si="43"/>
        <v>350</v>
      </c>
      <c r="N83" s="197">
        <f t="shared" si="37"/>
        <v>350</v>
      </c>
      <c r="O83" s="217">
        <f t="shared" si="38"/>
        <v>30.591253389856927</v>
      </c>
      <c r="P83" s="173">
        <f t="shared" si="39"/>
        <v>1.794208409962283</v>
      </c>
      <c r="Q83" s="173">
        <f t="shared" si="40"/>
        <v>0.48026198590447444</v>
      </c>
      <c r="R83" s="173">
        <f t="shared" si="41"/>
        <v>0.78201368523949166</v>
      </c>
    </row>
    <row r="84" spans="3:18">
      <c r="C84" s="170">
        <v>78</v>
      </c>
      <c r="D84" s="5">
        <f t="shared" si="42"/>
        <v>14.46</v>
      </c>
      <c r="E84" s="443">
        <f t="shared" si="29"/>
        <v>8.5250000000000004</v>
      </c>
      <c r="F84" s="217">
        <f t="shared" si="30"/>
        <v>0.37089406134435504</v>
      </c>
      <c r="G84" s="172">
        <f t="shared" si="31"/>
        <v>178.77093756797916</v>
      </c>
      <c r="H84" s="217">
        <f t="shared" si="32"/>
        <v>1.0515937503998773</v>
      </c>
      <c r="I84" s="443">
        <f t="shared" si="33"/>
        <v>22.984999999999999</v>
      </c>
      <c r="J84" s="172">
        <f t="shared" si="34"/>
        <v>1.35</v>
      </c>
      <c r="K84" s="172">
        <f t="shared" si="35"/>
        <v>4.6680497925311204E-2</v>
      </c>
      <c r="L84" s="172">
        <f t="shared" si="36"/>
        <v>7.9178885630498533E-2</v>
      </c>
      <c r="M84" s="443">
        <f t="shared" si="43"/>
        <v>350</v>
      </c>
      <c r="N84" s="197">
        <f t="shared" si="37"/>
        <v>350</v>
      </c>
      <c r="O84" s="217">
        <f t="shared" si="38"/>
        <v>30.646446440224995</v>
      </c>
      <c r="P84" s="173">
        <f t="shared" si="39"/>
        <v>1.7974455390161286</v>
      </c>
      <c r="Q84" s="173">
        <f t="shared" si="40"/>
        <v>0.48199653635594247</v>
      </c>
      <c r="R84" s="173">
        <f t="shared" si="41"/>
        <v>0.78201368523949166</v>
      </c>
    </row>
    <row r="85" spans="3:18">
      <c r="C85" s="170">
        <v>79</v>
      </c>
      <c r="D85" s="5">
        <f t="shared" si="42"/>
        <v>14.530000000000001</v>
      </c>
      <c r="E85" s="443">
        <f t="shared" si="29"/>
        <v>8.5250000000000004</v>
      </c>
      <c r="F85" s="217">
        <f t="shared" si="30"/>
        <v>0.36976794621557146</v>
      </c>
      <c r="G85" s="172">
        <f t="shared" si="31"/>
        <v>179.09094195040848</v>
      </c>
      <c r="H85" s="217">
        <f t="shared" si="32"/>
        <v>1.0534761291200498</v>
      </c>
      <c r="I85" s="443">
        <f t="shared" si="33"/>
        <v>23.055</v>
      </c>
      <c r="J85" s="172">
        <f t="shared" si="34"/>
        <v>1.35</v>
      </c>
      <c r="K85" s="172">
        <f t="shared" si="35"/>
        <v>4.645560908465244E-2</v>
      </c>
      <c r="L85" s="172">
        <f t="shared" si="36"/>
        <v>7.9178885630498533E-2</v>
      </c>
      <c r="M85" s="443">
        <f t="shared" si="43"/>
        <v>350</v>
      </c>
      <c r="N85" s="197">
        <f t="shared" si="37"/>
        <v>350</v>
      </c>
      <c r="O85" s="217">
        <f t="shared" si="38"/>
        <v>30.70130433435574</v>
      </c>
      <c r="P85" s="173">
        <f t="shared" si="39"/>
        <v>1.8006630108126533</v>
      </c>
      <c r="Q85" s="173">
        <f t="shared" si="40"/>
        <v>0.48372365211254498</v>
      </c>
      <c r="R85" s="173">
        <f t="shared" si="41"/>
        <v>0.78201368523949166</v>
      </c>
    </row>
    <row r="86" spans="3:18">
      <c r="C86" s="170">
        <v>80</v>
      </c>
      <c r="D86" s="5">
        <f t="shared" si="42"/>
        <v>14.600000000000001</v>
      </c>
      <c r="E86" s="443">
        <f t="shared" si="29"/>
        <v>8.5250000000000004</v>
      </c>
      <c r="F86" s="217">
        <f t="shared" si="30"/>
        <v>0.36864864864864866</v>
      </c>
      <c r="G86" s="172">
        <f t="shared" si="31"/>
        <v>179.40900900900905</v>
      </c>
      <c r="H86" s="217">
        <f t="shared" si="32"/>
        <v>1.0553471118177002</v>
      </c>
      <c r="I86" s="443">
        <f t="shared" si="33"/>
        <v>23.125</v>
      </c>
      <c r="J86" s="172">
        <f t="shared" si="34"/>
        <v>1.35</v>
      </c>
      <c r="K86" s="172">
        <f t="shared" si="35"/>
        <v>4.6232876712328765E-2</v>
      </c>
      <c r="L86" s="172">
        <f t="shared" si="36"/>
        <v>7.9178885630498533E-2</v>
      </c>
      <c r="M86" s="443">
        <f t="shared" si="43"/>
        <v>350</v>
      </c>
      <c r="N86" s="197">
        <f t="shared" si="37"/>
        <v>350</v>
      </c>
      <c r="O86" s="217">
        <f t="shared" si="38"/>
        <v>30.755830115830115</v>
      </c>
      <c r="P86" s="173">
        <f t="shared" si="39"/>
        <v>1.8038610038610037</v>
      </c>
      <c r="Q86" s="173">
        <f t="shared" si="40"/>
        <v>0.48544337263904835</v>
      </c>
      <c r="R86" s="173">
        <f t="shared" si="41"/>
        <v>0.78201368523949166</v>
      </c>
    </row>
    <row r="87" spans="3:18">
      <c r="C87" s="170">
        <v>81</v>
      </c>
      <c r="D87" s="5">
        <f t="shared" si="42"/>
        <v>14.67</v>
      </c>
      <c r="E87" s="443">
        <f t="shared" si="29"/>
        <v>8.5250000000000004</v>
      </c>
      <c r="F87" s="217">
        <f t="shared" si="30"/>
        <v>0.36753610691959476</v>
      </c>
      <c r="G87" s="172">
        <f t="shared" si="31"/>
        <v>179.72515628368186</v>
      </c>
      <c r="H87" s="217">
        <f t="shared" si="32"/>
        <v>1.0572068016687168</v>
      </c>
      <c r="I87" s="443">
        <f t="shared" si="33"/>
        <v>23.195</v>
      </c>
      <c r="J87" s="172">
        <f t="shared" si="34"/>
        <v>1.35</v>
      </c>
      <c r="K87" s="172">
        <f t="shared" si="35"/>
        <v>4.6012269938650305E-2</v>
      </c>
      <c r="L87" s="172">
        <f t="shared" si="36"/>
        <v>7.9178885630498533E-2</v>
      </c>
      <c r="M87" s="443">
        <f t="shared" si="43"/>
        <v>350</v>
      </c>
      <c r="N87" s="197">
        <f t="shared" si="37"/>
        <v>350</v>
      </c>
      <c r="O87" s="217">
        <f t="shared" si="38"/>
        <v>30.810026791488315</v>
      </c>
      <c r="P87" s="173">
        <f t="shared" si="39"/>
        <v>1.8070396945154437</v>
      </c>
      <c r="Q87" s="173">
        <f t="shared" si="40"/>
        <v>0.48715573726140721</v>
      </c>
      <c r="R87" s="173">
        <f t="shared" si="41"/>
        <v>0.78201368523949166</v>
      </c>
    </row>
    <row r="88" spans="3:18">
      <c r="C88" s="170">
        <v>82</v>
      </c>
      <c r="D88" s="5">
        <f t="shared" si="42"/>
        <v>14.739999999999998</v>
      </c>
      <c r="E88" s="443">
        <f t="shared" si="29"/>
        <v>8.5250000000000004</v>
      </c>
      <c r="F88" s="217">
        <f t="shared" si="30"/>
        <v>0.36643026004728135</v>
      </c>
      <c r="G88" s="172">
        <f t="shared" si="31"/>
        <v>180.03940110323089</v>
      </c>
      <c r="H88" s="217">
        <f t="shared" si="32"/>
        <v>1.0590553006072405</v>
      </c>
      <c r="I88" s="443">
        <f t="shared" si="33"/>
        <v>23.265000000000001</v>
      </c>
      <c r="J88" s="172">
        <f t="shared" si="34"/>
        <v>1.35</v>
      </c>
      <c r="K88" s="172">
        <f t="shared" si="35"/>
        <v>4.5793758480325651E-2</v>
      </c>
      <c r="L88" s="172">
        <f t="shared" si="36"/>
        <v>7.9178885630498533E-2</v>
      </c>
      <c r="M88" s="443">
        <f t="shared" si="43"/>
        <v>350</v>
      </c>
      <c r="N88" s="197">
        <f t="shared" si="37"/>
        <v>350</v>
      </c>
      <c r="O88" s="217">
        <f t="shared" si="38"/>
        <v>30.863897331982439</v>
      </c>
      <c r="P88" s="173">
        <f t="shared" si="39"/>
        <v>1.8101992570077676</v>
      </c>
      <c r="Q88" s="173">
        <f t="shared" si="40"/>
        <v>0.488860785163788</v>
      </c>
      <c r="R88" s="173">
        <f t="shared" si="41"/>
        <v>0.78201368523949166</v>
      </c>
    </row>
    <row r="89" spans="3:18">
      <c r="C89" s="170">
        <v>83</v>
      </c>
      <c r="D89" s="5">
        <f t="shared" si="42"/>
        <v>14.809999999999999</v>
      </c>
      <c r="E89" s="443">
        <f t="shared" si="29"/>
        <v>8.5250000000000004</v>
      </c>
      <c r="F89" s="217">
        <f t="shared" si="30"/>
        <v>0.36533104778230124</v>
      </c>
      <c r="G89" s="172">
        <f t="shared" si="31"/>
        <v>180.35176058852937</v>
      </c>
      <c r="H89" s="217">
        <f t="shared" si="32"/>
        <v>1.0608927093442904</v>
      </c>
      <c r="I89" s="443">
        <f t="shared" si="33"/>
        <v>23.335000000000001</v>
      </c>
      <c r="J89" s="172">
        <f t="shared" si="34"/>
        <v>1.35</v>
      </c>
      <c r="K89" s="172">
        <f t="shared" si="35"/>
        <v>4.5577312626603653E-2</v>
      </c>
      <c r="L89" s="172">
        <f t="shared" si="36"/>
        <v>7.9178885630498533E-2</v>
      </c>
      <c r="M89" s="443">
        <f t="shared" si="43"/>
        <v>350</v>
      </c>
      <c r="N89" s="197">
        <f t="shared" si="37"/>
        <v>350</v>
      </c>
      <c r="O89" s="217">
        <f t="shared" si="38"/>
        <v>30.917444672319323</v>
      </c>
      <c r="P89" s="173">
        <f t="shared" si="39"/>
        <v>1.8133398634791389</v>
      </c>
      <c r="Q89" s="173">
        <f t="shared" si="40"/>
        <v>0.49055855538573934</v>
      </c>
      <c r="R89" s="173">
        <f t="shared" si="41"/>
        <v>0.78201368523949166</v>
      </c>
    </row>
    <row r="90" spans="3:18">
      <c r="C90" s="170">
        <v>84</v>
      </c>
      <c r="D90" s="5">
        <f t="shared" si="42"/>
        <v>14.879999999999999</v>
      </c>
      <c r="E90" s="443">
        <f t="shared" si="29"/>
        <v>8.5250000000000004</v>
      </c>
      <c r="F90" s="217">
        <f t="shared" si="30"/>
        <v>0.36423841059602646</v>
      </c>
      <c r="G90" s="172">
        <f t="shared" si="31"/>
        <v>180.66225165562912</v>
      </c>
      <c r="H90" s="217">
        <f t="shared" si="32"/>
        <v>1.0627191273860537</v>
      </c>
      <c r="I90" s="443">
        <f t="shared" si="33"/>
        <v>23.405000000000001</v>
      </c>
      <c r="J90" s="172">
        <f t="shared" si="34"/>
        <v>1.35</v>
      </c>
      <c r="K90" s="172">
        <f t="shared" si="35"/>
        <v>4.5362903225806453E-2</v>
      </c>
      <c r="L90" s="172">
        <f t="shared" si="36"/>
        <v>7.9178885630498533E-2</v>
      </c>
      <c r="M90" s="443">
        <f t="shared" si="43"/>
        <v>350</v>
      </c>
      <c r="N90" s="197">
        <f t="shared" si="37"/>
        <v>350</v>
      </c>
      <c r="O90" s="217">
        <f t="shared" si="38"/>
        <v>30.970671712393568</v>
      </c>
      <c r="P90" s="173">
        <f t="shared" si="39"/>
        <v>1.816461684011353</v>
      </c>
      <c r="Q90" s="173">
        <f t="shared" si="40"/>
        <v>0.49224908681950047</v>
      </c>
      <c r="R90" s="173">
        <f t="shared" si="41"/>
        <v>0.78201368523949166</v>
      </c>
    </row>
    <row r="91" spans="3:18">
      <c r="C91" s="170">
        <v>85</v>
      </c>
      <c r="D91" s="5">
        <f t="shared" si="42"/>
        <v>14.95</v>
      </c>
      <c r="E91" s="443">
        <f t="shared" si="29"/>
        <v>8.5250000000000004</v>
      </c>
      <c r="F91" s="217">
        <f t="shared" si="30"/>
        <v>0.36315228966986157</v>
      </c>
      <c r="G91" s="172">
        <f t="shared" si="31"/>
        <v>180.97089101881437</v>
      </c>
      <c r="H91" s="217">
        <f t="shared" si="32"/>
        <v>1.0645346530518491</v>
      </c>
      <c r="I91" s="443">
        <f t="shared" si="33"/>
        <v>23.475000000000001</v>
      </c>
      <c r="J91" s="172">
        <f t="shared" si="34"/>
        <v>1.35</v>
      </c>
      <c r="K91" s="172">
        <f t="shared" si="35"/>
        <v>4.5150501672240807E-2</v>
      </c>
      <c r="L91" s="172">
        <f t="shared" si="36"/>
        <v>7.9178885630498533E-2</v>
      </c>
      <c r="M91" s="443">
        <f t="shared" si="43"/>
        <v>350</v>
      </c>
      <c r="N91" s="197">
        <f t="shared" si="37"/>
        <v>350</v>
      </c>
      <c r="O91" s="217">
        <f t="shared" si="38"/>
        <v>31.023581317511034</v>
      </c>
      <c r="P91" s="173">
        <f t="shared" si="39"/>
        <v>1.8195648866575385</v>
      </c>
      <c r="Q91" s="173">
        <f t="shared" si="40"/>
        <v>0.49393241820744416</v>
      </c>
      <c r="R91" s="173">
        <f t="shared" si="41"/>
        <v>0.78201368523949166</v>
      </c>
    </row>
    <row r="92" spans="3:18">
      <c r="C92" s="170">
        <v>86</v>
      </c>
      <c r="D92" s="5">
        <f t="shared" si="42"/>
        <v>15.02</v>
      </c>
      <c r="E92" s="443">
        <f t="shared" si="29"/>
        <v>8.5250000000000004</v>
      </c>
      <c r="F92" s="217">
        <f t="shared" si="30"/>
        <v>0.36207262688468889</v>
      </c>
      <c r="G92" s="172">
        <f t="shared" si="31"/>
        <v>181.27769519360089</v>
      </c>
      <c r="H92" s="217">
        <f t="shared" si="32"/>
        <v>1.06633938349177</v>
      </c>
      <c r="I92" s="443">
        <f t="shared" si="33"/>
        <v>23.545000000000002</v>
      </c>
      <c r="J92" s="172">
        <f t="shared" si="34"/>
        <v>1.35</v>
      </c>
      <c r="K92" s="172">
        <f t="shared" si="35"/>
        <v>4.4940079893475364E-2</v>
      </c>
      <c r="L92" s="172">
        <f t="shared" si="36"/>
        <v>7.9178885630498533E-2</v>
      </c>
      <c r="M92" s="443">
        <f t="shared" si="43"/>
        <v>350</v>
      </c>
      <c r="N92" s="197">
        <f t="shared" si="37"/>
        <v>350</v>
      </c>
      <c r="O92" s="217">
        <f t="shared" si="38"/>
        <v>31.076176318903016</v>
      </c>
      <c r="P92" s="173">
        <f t="shared" si="39"/>
        <v>1.8226496374723173</v>
      </c>
      <c r="Q92" s="173">
        <f t="shared" si="40"/>
        <v>0.49560858813965103</v>
      </c>
      <c r="R92" s="173">
        <f t="shared" si="41"/>
        <v>0.78201368523949166</v>
      </c>
    </row>
    <row r="93" spans="3:18">
      <c r="C93" s="170">
        <v>87</v>
      </c>
      <c r="D93" s="5">
        <f t="shared" si="42"/>
        <v>15.09</v>
      </c>
      <c r="E93" s="443">
        <f t="shared" si="29"/>
        <v>8.5250000000000004</v>
      </c>
      <c r="F93" s="217">
        <f t="shared" si="30"/>
        <v>0.36099936481050177</v>
      </c>
      <c r="G93" s="172">
        <f t="shared" si="31"/>
        <v>181.5826804996824</v>
      </c>
      <c r="H93" s="217">
        <f t="shared" si="32"/>
        <v>1.068133414704014</v>
      </c>
      <c r="I93" s="443">
        <f t="shared" si="33"/>
        <v>23.615000000000002</v>
      </c>
      <c r="J93" s="172">
        <f t="shared" si="34"/>
        <v>1.35</v>
      </c>
      <c r="K93" s="172">
        <f t="shared" si="35"/>
        <v>4.4731610337972169E-2</v>
      </c>
      <c r="L93" s="172">
        <f t="shared" si="36"/>
        <v>7.9178885630498533E-2</v>
      </c>
      <c r="M93" s="443">
        <f t="shared" si="43"/>
        <v>350</v>
      </c>
      <c r="N93" s="197">
        <f t="shared" si="37"/>
        <v>350</v>
      </c>
      <c r="O93" s="217">
        <f t="shared" si="38"/>
        <v>31.12845951423127</v>
      </c>
      <c r="P93" s="173">
        <f t="shared" si="39"/>
        <v>1.8257161005414233</v>
      </c>
      <c r="Q93" s="173">
        <f t="shared" si="40"/>
        <v>0.49727763505160899</v>
      </c>
      <c r="R93" s="173">
        <f t="shared" si="41"/>
        <v>0.78201368523949166</v>
      </c>
    </row>
    <row r="94" spans="3:18">
      <c r="C94" s="170">
        <v>88</v>
      </c>
      <c r="D94" s="5">
        <f t="shared" si="42"/>
        <v>15.16</v>
      </c>
      <c r="E94" s="443">
        <f t="shared" si="29"/>
        <v>8.5250000000000004</v>
      </c>
      <c r="F94" s="217">
        <f t="shared" si="30"/>
        <v>0.35993244669622121</v>
      </c>
      <c r="G94" s="172">
        <f t="shared" si="31"/>
        <v>181.88586306382379</v>
      </c>
      <c r="H94" s="217">
        <f t="shared" si="32"/>
        <v>1.0699168415519047</v>
      </c>
      <c r="I94" s="443">
        <f t="shared" si="33"/>
        <v>23.685000000000002</v>
      </c>
      <c r="J94" s="172">
        <f t="shared" si="34"/>
        <v>1.35</v>
      </c>
      <c r="K94" s="172">
        <f t="shared" si="35"/>
        <v>4.4525065963060689E-2</v>
      </c>
      <c r="L94" s="172">
        <f t="shared" si="36"/>
        <v>7.9178885630498533E-2</v>
      </c>
      <c r="M94" s="443">
        <f t="shared" si="43"/>
        <v>350</v>
      </c>
      <c r="N94" s="197">
        <f t="shared" si="37"/>
        <v>350</v>
      </c>
      <c r="O94" s="217">
        <f t="shared" si="38"/>
        <v>31.180433668084081</v>
      </c>
      <c r="P94" s="173">
        <f t="shared" si="39"/>
        <v>1.8287644380107961</v>
      </c>
      <c r="Q94" s="173">
        <f t="shared" si="40"/>
        <v>0.49893959722203363</v>
      </c>
      <c r="R94" s="173">
        <f t="shared" si="41"/>
        <v>0.78201368523949166</v>
      </c>
    </row>
    <row r="95" spans="3:18">
      <c r="C95" s="170">
        <v>89</v>
      </c>
      <c r="D95" s="5">
        <f t="shared" si="42"/>
        <v>15.23</v>
      </c>
      <c r="E95" s="443">
        <f t="shared" si="29"/>
        <v>8.5250000000000004</v>
      </c>
      <c r="F95" s="217">
        <f t="shared" si="30"/>
        <v>0.35887181645969268</v>
      </c>
      <c r="G95" s="172">
        <f t="shared" si="31"/>
        <v>182.18725882270402</v>
      </c>
      <c r="H95" s="217">
        <f t="shared" si="32"/>
        <v>1.0716897577806119</v>
      </c>
      <c r="I95" s="443">
        <f t="shared" si="33"/>
        <v>23.755000000000003</v>
      </c>
      <c r="J95" s="172">
        <f t="shared" si="34"/>
        <v>1.35</v>
      </c>
      <c r="K95" s="172">
        <f t="shared" si="35"/>
        <v>4.4320420223243596E-2</v>
      </c>
      <c r="L95" s="172">
        <f t="shared" si="36"/>
        <v>7.9178885630498533E-2</v>
      </c>
      <c r="M95" s="443">
        <f t="shared" si="43"/>
        <v>350</v>
      </c>
      <c r="N95" s="197">
        <f t="shared" si="37"/>
        <v>350</v>
      </c>
      <c r="O95" s="217">
        <f t="shared" si="38"/>
        <v>31.232101512463544</v>
      </c>
      <c r="P95" s="173">
        <f t="shared" si="39"/>
        <v>1.8317948101151638</v>
      </c>
      <c r="Q95" s="173">
        <f t="shared" si="40"/>
        <v>0.50059451277080591</v>
      </c>
      <c r="R95" s="173">
        <f t="shared" si="41"/>
        <v>0.78201368523949166</v>
      </c>
    </row>
    <row r="96" spans="3:18">
      <c r="C96" s="170">
        <v>90</v>
      </c>
      <c r="D96" s="5">
        <f t="shared" si="42"/>
        <v>15.3</v>
      </c>
      <c r="E96" s="443">
        <f t="shared" si="29"/>
        <v>8.5250000000000004</v>
      </c>
      <c r="F96" s="217">
        <f t="shared" si="30"/>
        <v>0.35781741867785938</v>
      </c>
      <c r="G96" s="172">
        <f t="shared" si="31"/>
        <v>182.48688352570829</v>
      </c>
      <c r="H96" s="217">
        <f t="shared" si="32"/>
        <v>1.0734522560335782</v>
      </c>
      <c r="I96" s="443">
        <f t="shared" si="33"/>
        <v>23.825000000000003</v>
      </c>
      <c r="J96" s="172">
        <f t="shared" si="34"/>
        <v>1.35</v>
      </c>
      <c r="K96" s="172">
        <f t="shared" si="35"/>
        <v>4.4117647058823525E-2</v>
      </c>
      <c r="L96" s="172">
        <f t="shared" si="36"/>
        <v>7.9178885630498533E-2</v>
      </c>
      <c r="M96" s="443">
        <f t="shared" si="43"/>
        <v>350</v>
      </c>
      <c r="N96" s="197">
        <f t="shared" si="37"/>
        <v>350</v>
      </c>
      <c r="O96" s="217">
        <f t="shared" si="38"/>
        <v>31.28346574726428</v>
      </c>
      <c r="P96" s="173">
        <f t="shared" si="39"/>
        <v>1.834807375206116</v>
      </c>
      <c r="Q96" s="173">
        <f t="shared" si="40"/>
        <v>0.50224241965702365</v>
      </c>
      <c r="R96" s="173">
        <f t="shared" si="41"/>
        <v>0.78201368523949166</v>
      </c>
    </row>
    <row r="97" spans="3:18">
      <c r="C97" s="170">
        <v>91</v>
      </c>
      <c r="D97" s="5">
        <f t="shared" si="42"/>
        <v>15.370000000000001</v>
      </c>
      <c r="E97" s="443">
        <f t="shared" si="29"/>
        <v>8.5250000000000004</v>
      </c>
      <c r="F97" s="217">
        <f t="shared" si="30"/>
        <v>0.35676919857710815</v>
      </c>
      <c r="G97" s="172">
        <f t="shared" si="31"/>
        <v>182.78475273767177</v>
      </c>
      <c r="H97" s="217">
        <f t="shared" si="32"/>
        <v>1.0752044278686574</v>
      </c>
      <c r="I97" s="443">
        <f t="shared" si="33"/>
        <v>23.895000000000003</v>
      </c>
      <c r="J97" s="172">
        <f t="shared" si="34"/>
        <v>1.35</v>
      </c>
      <c r="K97" s="172">
        <f t="shared" si="35"/>
        <v>4.3916720884840596E-2</v>
      </c>
      <c r="L97" s="172">
        <f t="shared" si="36"/>
        <v>7.9178885630498533E-2</v>
      </c>
      <c r="M97" s="443">
        <f t="shared" si="43"/>
        <v>350</v>
      </c>
      <c r="N97" s="197">
        <f t="shared" si="37"/>
        <v>350</v>
      </c>
      <c r="O97" s="217">
        <f t="shared" si="38"/>
        <v>31.334529040743735</v>
      </c>
      <c r="P97" s="173">
        <f t="shared" si="39"/>
        <v>1.8378022897796913</v>
      </c>
      <c r="Q97" s="173">
        <f t="shared" si="40"/>
        <v>0.50388335567716191</v>
      </c>
      <c r="R97" s="173">
        <f t="shared" si="41"/>
        <v>0.78201368523949166</v>
      </c>
    </row>
    <row r="98" spans="3:18">
      <c r="C98" s="170">
        <v>92</v>
      </c>
      <c r="D98" s="5">
        <f t="shared" si="42"/>
        <v>15.440000000000001</v>
      </c>
      <c r="E98" s="443">
        <f t="shared" si="29"/>
        <v>8.5250000000000004</v>
      </c>
      <c r="F98" s="217">
        <f t="shared" si="30"/>
        <v>0.35572710202378466</v>
      </c>
      <c r="G98" s="172">
        <f t="shared" si="31"/>
        <v>183.08088184157452</v>
      </c>
      <c r="H98" s="217">
        <f t="shared" si="32"/>
        <v>1.0769463637739678</v>
      </c>
      <c r="I98" s="443">
        <f t="shared" si="33"/>
        <v>23.965000000000003</v>
      </c>
      <c r="J98" s="172">
        <f t="shared" si="34"/>
        <v>1.35</v>
      </c>
      <c r="K98" s="172">
        <f t="shared" si="35"/>
        <v>4.3717616580310877E-2</v>
      </c>
      <c r="L98" s="172">
        <f t="shared" si="36"/>
        <v>7.9178885630498533E-2</v>
      </c>
      <c r="M98" s="443">
        <f t="shared" si="43"/>
        <v>350</v>
      </c>
      <c r="N98" s="197">
        <f t="shared" si="37"/>
        <v>350</v>
      </c>
      <c r="O98" s="217">
        <f t="shared" si="38"/>
        <v>31.385294029984209</v>
      </c>
      <c r="P98" s="173">
        <f t="shared" si="39"/>
        <v>1.8407797085034727</v>
      </c>
      <c r="Q98" s="173">
        <f t="shared" si="40"/>
        <v>0.50551735846333856</v>
      </c>
      <c r="R98" s="173">
        <f t="shared" si="41"/>
        <v>0.78201368523949166</v>
      </c>
    </row>
    <row r="99" spans="3:18">
      <c r="C99" s="170">
        <v>93</v>
      </c>
      <c r="D99" s="5">
        <f t="shared" si="42"/>
        <v>15.510000000000002</v>
      </c>
      <c r="E99" s="443">
        <f t="shared" si="29"/>
        <v>8.5250000000000004</v>
      </c>
      <c r="F99" s="217">
        <f t="shared" si="30"/>
        <v>0.35469107551487411</v>
      </c>
      <c r="G99" s="172">
        <f t="shared" si="31"/>
        <v>183.37528604118995</v>
      </c>
      <c r="H99" s="217">
        <f t="shared" si="32"/>
        <v>1.0786781531834704</v>
      </c>
      <c r="I99" s="443">
        <f t="shared" si="33"/>
        <v>24.035000000000004</v>
      </c>
      <c r="J99" s="172">
        <f t="shared" si="34"/>
        <v>1.35</v>
      </c>
      <c r="K99" s="172">
        <f t="shared" si="35"/>
        <v>4.3520309477756279E-2</v>
      </c>
      <c r="L99" s="172">
        <f t="shared" si="36"/>
        <v>7.9178885630498533E-2</v>
      </c>
      <c r="M99" s="443">
        <f t="shared" si="43"/>
        <v>350</v>
      </c>
      <c r="N99" s="197">
        <f t="shared" si="37"/>
        <v>350</v>
      </c>
      <c r="O99" s="217">
        <f t="shared" si="38"/>
        <v>31.435763321346851</v>
      </c>
      <c r="P99" s="173">
        <f t="shared" si="39"/>
        <v>1.8437397842432171</v>
      </c>
      <c r="Q99" s="173">
        <f t="shared" si="40"/>
        <v>0.50714446548168268</v>
      </c>
      <c r="R99" s="173">
        <f t="shared" si="41"/>
        <v>0.78201368523949166</v>
      </c>
    </row>
    <row r="100" spans="3:18">
      <c r="C100" s="170">
        <v>94</v>
      </c>
      <c r="D100" s="5">
        <f t="shared" si="42"/>
        <v>15.58</v>
      </c>
      <c r="E100" s="443">
        <f t="shared" si="29"/>
        <v>8.5250000000000004</v>
      </c>
      <c r="F100" s="217">
        <f t="shared" si="30"/>
        <v>0.35366106616884463</v>
      </c>
      <c r="G100" s="172">
        <f t="shared" si="31"/>
        <v>183.66798036368667</v>
      </c>
      <c r="H100" s="217">
        <f t="shared" si="32"/>
        <v>1.0803998844922744</v>
      </c>
      <c r="I100" s="443">
        <f t="shared" si="33"/>
        <v>24.105</v>
      </c>
      <c r="J100" s="172">
        <f t="shared" si="34"/>
        <v>1.35</v>
      </c>
      <c r="K100" s="172">
        <f t="shared" si="35"/>
        <v>4.3324775353016688E-2</v>
      </c>
      <c r="L100" s="172">
        <f t="shared" si="36"/>
        <v>7.9178885630498533E-2</v>
      </c>
      <c r="M100" s="443">
        <f t="shared" si="43"/>
        <v>350</v>
      </c>
      <c r="N100" s="197">
        <f t="shared" si="37"/>
        <v>350</v>
      </c>
      <c r="O100" s="217">
        <f t="shared" si="38"/>
        <v>31.485939490917715</v>
      </c>
      <c r="P100" s="173">
        <f t="shared" si="39"/>
        <v>1.8466826680890154</v>
      </c>
      <c r="Q100" s="173">
        <f t="shared" si="40"/>
        <v>0.5087647140308007</v>
      </c>
      <c r="R100" s="173">
        <f t="shared" si="41"/>
        <v>0.78201368523949166</v>
      </c>
    </row>
    <row r="101" spans="3:18">
      <c r="C101" s="170">
        <v>95</v>
      </c>
      <c r="D101" s="5">
        <f t="shared" si="42"/>
        <v>15.649999999999999</v>
      </c>
      <c r="E101" s="443">
        <f t="shared" si="29"/>
        <v>8.5250000000000004</v>
      </c>
      <c r="F101" s="217">
        <f t="shared" si="30"/>
        <v>0.35263702171664951</v>
      </c>
      <c r="G101" s="172">
        <f t="shared" si="31"/>
        <v>183.9589796621855</v>
      </c>
      <c r="H101" s="217">
        <f t="shared" si="32"/>
        <v>1.0821116450716795</v>
      </c>
      <c r="I101" s="443">
        <f t="shared" si="33"/>
        <v>24.174999999999997</v>
      </c>
      <c r="J101" s="172">
        <f t="shared" si="34"/>
        <v>1.35</v>
      </c>
      <c r="K101" s="172">
        <f t="shared" si="35"/>
        <v>4.3130990415335468E-2</v>
      </c>
      <c r="L101" s="172">
        <f t="shared" si="36"/>
        <v>7.9178885630498533E-2</v>
      </c>
      <c r="M101" s="443">
        <f t="shared" si="43"/>
        <v>350</v>
      </c>
      <c r="N101" s="197">
        <f t="shared" si="37"/>
        <v>350</v>
      </c>
      <c r="O101" s="217">
        <f t="shared" si="38"/>
        <v>31.535825084946076</v>
      </c>
      <c r="P101" s="173">
        <f t="shared" si="39"/>
        <v>1.8496085093810013</v>
      </c>
      <c r="Q101" s="173">
        <f t="shared" si="40"/>
        <v>0.5103781412403372</v>
      </c>
      <c r="R101" s="173">
        <f t="shared" si="41"/>
        <v>0.78201368523949166</v>
      </c>
    </row>
    <row r="102" spans="3:18">
      <c r="C102" s="170">
        <v>96</v>
      </c>
      <c r="D102" s="5">
        <f t="shared" si="42"/>
        <v>15.719999999999999</v>
      </c>
      <c r="E102" s="443">
        <f t="shared" si="29"/>
        <v>8.5250000000000004</v>
      </c>
      <c r="F102" s="217">
        <f t="shared" si="30"/>
        <v>0.35161889049288519</v>
      </c>
      <c r="G102" s="172">
        <f>F102*D102*Isw_max*0.5*Efficiency</f>
        <v>184.24829861827186</v>
      </c>
      <c r="H102" s="217">
        <f>G102/Vout</f>
        <v>1.0838135212839521</v>
      </c>
      <c r="I102" s="443">
        <f t="shared" si="33"/>
        <v>24.244999999999997</v>
      </c>
      <c r="J102" s="172">
        <f t="shared" si="34"/>
        <v>1.35</v>
      </c>
      <c r="K102" s="172">
        <f>L*J102/D102*1000000</f>
        <v>4.2938931297709926E-2</v>
      </c>
      <c r="L102" s="172">
        <f t="shared" si="36"/>
        <v>7.9178885630498533E-2</v>
      </c>
      <c r="M102" s="443">
        <f t="shared" si="43"/>
        <v>350</v>
      </c>
      <c r="N102" s="197">
        <f t="shared" si="37"/>
        <v>350</v>
      </c>
      <c r="O102" s="217">
        <f>1/((N102*1000*L)*(1/D102+1/E102))</f>
        <v>31.585422620275168</v>
      </c>
      <c r="P102" s="173">
        <f>L*O102/E102*1000000</f>
        <v>1.8525174557346136</v>
      </c>
      <c r="Q102" s="173">
        <f>0.5*P102*O102*Nps*N102/1000</f>
        <v>0.51198478406962833</v>
      </c>
      <c r="R102" s="173">
        <f t="shared" si="41"/>
        <v>0.78201368523949166</v>
      </c>
    </row>
    <row r="103" spans="3:18">
      <c r="C103" s="170">
        <v>97</v>
      </c>
      <c r="D103" s="5">
        <f>C103/100*(VIN_max-VIN_min)+VIN_min</f>
        <v>15.79</v>
      </c>
      <c r="E103" s="443">
        <f t="shared" si="29"/>
        <v>8.5250000000000004</v>
      </c>
      <c r="F103" s="217">
        <f t="shared" si="30"/>
        <v>0.35060662142710264</v>
      </c>
      <c r="G103" s="172">
        <f>F103*D103*Isw_max*0.5*Efficiency</f>
        <v>184.53595174446502</v>
      </c>
      <c r="H103" s="217">
        <f>G103/Vout</f>
        <v>1.0855055984968531</v>
      </c>
      <c r="I103" s="443">
        <f t="shared" si="33"/>
        <v>24.314999999999998</v>
      </c>
      <c r="J103" s="172">
        <f t="shared" si="34"/>
        <v>1.35</v>
      </c>
      <c r="K103" s="172">
        <f>L*J103/D103*1000000</f>
        <v>4.2748575047498419E-2</v>
      </c>
      <c r="L103" s="172">
        <f t="shared" si="36"/>
        <v>7.9178885630498533E-2</v>
      </c>
      <c r="M103" s="443">
        <f t="shared" si="43"/>
        <v>350</v>
      </c>
      <c r="N103" s="197">
        <f t="shared" si="37"/>
        <v>350</v>
      </c>
      <c r="O103" s="217">
        <f>1/((N103*1000*L)*(1/D103+1/E103))</f>
        <v>31.634734584765425</v>
      </c>
      <c r="P103" s="173">
        <f>L*O103/E103*1000000</f>
        <v>1.8554096530654207</v>
      </c>
      <c r="Q103" s="173">
        <f>0.5*P103*O103*Nps*N103/1000</f>
        <v>0.51358467930644247</v>
      </c>
      <c r="R103" s="173">
        <f t="shared" si="41"/>
        <v>0.78201368523949166</v>
      </c>
    </row>
    <row r="104" spans="3:18">
      <c r="C104" s="170">
        <v>98</v>
      </c>
      <c r="D104" s="5">
        <f>C104/100*(VIN_max-VIN_min)+VIN_min</f>
        <v>15.86</v>
      </c>
      <c r="E104" s="443">
        <f t="shared" si="29"/>
        <v>8.5250000000000004</v>
      </c>
      <c r="F104" s="217">
        <f t="shared" si="30"/>
        <v>0.34960016403526761</v>
      </c>
      <c r="G104" s="172">
        <f>F104*D104*Isw_max*0.5*Efficiency</f>
        <v>184.82195338664479</v>
      </c>
      <c r="H104" s="217">
        <f>G104/Vout</f>
        <v>1.0871879610979105</v>
      </c>
      <c r="I104" s="443">
        <f t="shared" si="33"/>
        <v>24.384999999999998</v>
      </c>
      <c r="J104" s="172">
        <f t="shared" si="34"/>
        <v>1.35</v>
      </c>
      <c r="K104" s="172">
        <f>L*J104/D104*1000000</f>
        <v>4.2559899117276166E-2</v>
      </c>
      <c r="L104" s="172">
        <f t="shared" si="36"/>
        <v>7.9178885630498533E-2</v>
      </c>
      <c r="M104" s="443">
        <f t="shared" si="43"/>
        <v>350</v>
      </c>
      <c r="N104" s="197">
        <f t="shared" si="37"/>
        <v>350</v>
      </c>
      <c r="O104" s="217">
        <f>1/((N104*1000*L)*(1/D104+1/E104))</f>
        <v>31.683763437710535</v>
      </c>
      <c r="P104" s="173">
        <f>L*O104/E104*1000000</f>
        <v>1.8582852456135208</v>
      </c>
      <c r="Q104" s="173">
        <f>0.5*P104*O104*Nps*N104/1000</f>
        <v>0.51517786356580775</v>
      </c>
      <c r="R104" s="173">
        <f t="shared" si="41"/>
        <v>0.78201368523949166</v>
      </c>
    </row>
    <row r="105" spans="3:18">
      <c r="C105" s="170">
        <v>99</v>
      </c>
      <c r="D105" s="5">
        <f>C105/100*(VIN_max-VIN_min)+VIN_min</f>
        <v>15.93</v>
      </c>
      <c r="E105" s="443">
        <f t="shared" si="29"/>
        <v>8.5250000000000004</v>
      </c>
      <c r="F105" s="217">
        <f t="shared" si="30"/>
        <v>0.34859946841136785</v>
      </c>
      <c r="G105" s="172">
        <f>F105*D105*Isw_max*0.5*Efficiency</f>
        <v>185.10631772643634</v>
      </c>
      <c r="H105" s="217">
        <f>G105/Vout</f>
        <v>1.0888606925084492</v>
      </c>
      <c r="I105" s="443">
        <f t="shared" si="33"/>
        <v>24.454999999999998</v>
      </c>
      <c r="J105" s="172">
        <f t="shared" si="34"/>
        <v>1.35</v>
      </c>
      <c r="K105" s="172">
        <f>L*J105/D105*1000000</f>
        <v>4.2372881355932202E-2</v>
      </c>
      <c r="L105" s="172">
        <f t="shared" si="36"/>
        <v>7.9178885630498533E-2</v>
      </c>
      <c r="M105" s="443">
        <f t="shared" si="43"/>
        <v>350</v>
      </c>
      <c r="N105" s="197">
        <f t="shared" si="37"/>
        <v>350</v>
      </c>
      <c r="O105" s="217">
        <f>1/((N105*1000*L)*(1/D105+1/E105))</f>
        <v>31.732511610246224</v>
      </c>
      <c r="P105" s="173">
        <f>L*O105/E105*1000000</f>
        <v>1.8611443759675201</v>
      </c>
      <c r="Q105" s="173">
        <f>0.5*P105*O105*Nps*N105/1000</f>
        <v>0.51676437328892078</v>
      </c>
      <c r="R105" s="173">
        <f t="shared" si="41"/>
        <v>0.78201368523949166</v>
      </c>
    </row>
    <row r="106" spans="3:18">
      <c r="C106" s="170">
        <v>100</v>
      </c>
      <c r="D106" s="5">
        <f>C106/100*(VIN_max-VIN_min)+VIN_min</f>
        <v>16</v>
      </c>
      <c r="E106" s="443">
        <f t="shared" si="29"/>
        <v>8.5250000000000004</v>
      </c>
      <c r="F106" s="217">
        <f t="shared" si="30"/>
        <v>0.34760448521916415</v>
      </c>
      <c r="G106" s="172">
        <f>F106*D106*Isw_max*0.5*Efficiency</f>
        <v>185.38905878355422</v>
      </c>
      <c r="H106" s="217">
        <f>G106/Vout</f>
        <v>1.0905238751973778</v>
      </c>
      <c r="I106" s="443">
        <f t="shared" si="33"/>
        <v>24.524999999999999</v>
      </c>
      <c r="J106" s="172">
        <f t="shared" si="34"/>
        <v>1.35</v>
      </c>
      <c r="K106" s="172">
        <f>L*J106/D106*1000000</f>
        <v>4.2187500000000003E-2</v>
      </c>
      <c r="L106" s="172">
        <f t="shared" si="36"/>
        <v>7.9178885630498533E-2</v>
      </c>
      <c r="M106" s="443">
        <f t="shared" si="43"/>
        <v>350</v>
      </c>
      <c r="N106" s="197">
        <f t="shared" si="37"/>
        <v>350</v>
      </c>
      <c r="O106" s="217">
        <f>1/((N106*1000*L)*(1/D106+1/E106))</f>
        <v>31.780981505752148</v>
      </c>
      <c r="P106" s="173">
        <f>L*O106/E106*1000000</f>
        <v>1.8639871850881022</v>
      </c>
      <c r="Q106" s="173">
        <f>0.5*P106*O106*Nps*N106/1000</f>
        <v>0.51834424474213492</v>
      </c>
      <c r="R106" s="173">
        <f t="shared" si="41"/>
        <v>0.78201368523949166</v>
      </c>
    </row>
  </sheetData>
  <sheetProtection sheet="1" objects="1" scenarios="1"/>
  <mergeCells count="1">
    <mergeCell ref="F4:O4"/>
  </mergeCells>
  <phoneticPr fontId="83"/>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0000"/>
  </sheetPr>
  <dimension ref="A1:Q64"/>
  <sheetViews>
    <sheetView topLeftCell="A34" zoomScale="70" zoomScaleNormal="70" workbookViewId="0">
      <selection activeCell="Z36" sqref="Z36"/>
    </sheetView>
  </sheetViews>
  <sheetFormatPr defaultRowHeight="12.5"/>
  <cols>
    <col min="1" max="1" width="9.54296875" style="114" customWidth="1"/>
    <col min="2" max="2" width="11.453125" style="114" customWidth="1"/>
    <col min="3" max="3" width="13.453125" style="114" customWidth="1"/>
    <col min="4" max="4" width="20.1796875" style="114" customWidth="1"/>
    <col min="5" max="5" width="17.26953125" style="114" customWidth="1"/>
    <col min="6" max="6" width="13.54296875" style="114" customWidth="1"/>
    <col min="7" max="7" width="16.1796875" style="114" customWidth="1"/>
    <col min="8" max="8" width="18.1796875" style="114" customWidth="1"/>
    <col min="9" max="9" width="10.81640625" style="114" customWidth="1"/>
    <col min="10" max="10" width="15.81640625" style="114" customWidth="1"/>
    <col min="11" max="11" width="11.81640625" style="462" customWidth="1"/>
    <col min="12" max="12" width="7.81640625" style="461" customWidth="1"/>
    <col min="13" max="13" width="11.7265625" style="114" customWidth="1"/>
    <col min="14" max="254" width="9.1796875" style="114"/>
    <col min="255" max="255" width="8.7265625" style="114" bestFit="1" customWidth="1"/>
    <col min="256" max="256" width="13.26953125" style="114" customWidth="1"/>
    <col min="257" max="257" width="16.1796875" style="114" bestFit="1" customWidth="1"/>
    <col min="258" max="258" width="23.54296875" style="114" customWidth="1"/>
    <col min="259" max="259" width="17.26953125" style="114" customWidth="1"/>
    <col min="260" max="260" width="20.54296875" style="114" bestFit="1" customWidth="1"/>
    <col min="261" max="261" width="17.1796875" style="114" customWidth="1"/>
    <col min="262" max="262" width="21.81640625" style="114" bestFit="1" customWidth="1"/>
    <col min="263" max="263" width="17.1796875" style="114" bestFit="1" customWidth="1"/>
    <col min="264" max="264" width="18.1796875" style="114" bestFit="1" customWidth="1"/>
    <col min="265" max="265" width="26.453125" style="114" customWidth="1"/>
    <col min="266" max="510" width="9.1796875" style="114"/>
    <col min="511" max="511" width="8.7265625" style="114" bestFit="1" customWidth="1"/>
    <col min="512" max="512" width="13.26953125" style="114" customWidth="1"/>
    <col min="513" max="513" width="16.1796875" style="114" bestFit="1" customWidth="1"/>
    <col min="514" max="514" width="23.54296875" style="114" customWidth="1"/>
    <col min="515" max="515" width="17.26953125" style="114" customWidth="1"/>
    <col min="516" max="516" width="20.54296875" style="114" bestFit="1" customWidth="1"/>
    <col min="517" max="517" width="17.1796875" style="114" customWidth="1"/>
    <col min="518" max="518" width="21.81640625" style="114" bestFit="1" customWidth="1"/>
    <col min="519" max="519" width="17.1796875" style="114" bestFit="1" customWidth="1"/>
    <col min="520" max="520" width="18.1796875" style="114" bestFit="1" customWidth="1"/>
    <col min="521" max="521" width="26.453125" style="114" customWidth="1"/>
    <col min="522" max="766" width="9.1796875" style="114"/>
    <col min="767" max="767" width="8.7265625" style="114" bestFit="1" customWidth="1"/>
    <col min="768" max="768" width="13.26953125" style="114" customWidth="1"/>
    <col min="769" max="769" width="16.1796875" style="114" bestFit="1" customWidth="1"/>
    <col min="770" max="770" width="23.54296875" style="114" customWidth="1"/>
    <col min="771" max="771" width="17.26953125" style="114" customWidth="1"/>
    <col min="772" max="772" width="20.54296875" style="114" bestFit="1" customWidth="1"/>
    <col min="773" max="773" width="17.1796875" style="114" customWidth="1"/>
    <col min="774" max="774" width="21.81640625" style="114" bestFit="1" customWidth="1"/>
    <col min="775" max="775" width="17.1796875" style="114" bestFit="1" customWidth="1"/>
    <col min="776" max="776" width="18.1796875" style="114" bestFit="1" customWidth="1"/>
    <col min="777" max="777" width="26.453125" style="114" customWidth="1"/>
    <col min="778" max="1022" width="9.1796875" style="114"/>
    <col min="1023" max="1023" width="8.7265625" style="114" bestFit="1" customWidth="1"/>
    <col min="1024" max="1024" width="13.26953125" style="114" customWidth="1"/>
    <col min="1025" max="1025" width="16.1796875" style="114" bestFit="1" customWidth="1"/>
    <col min="1026" max="1026" width="23.54296875" style="114" customWidth="1"/>
    <col min="1027" max="1027" width="17.26953125" style="114" customWidth="1"/>
    <col min="1028" max="1028" width="20.54296875" style="114" bestFit="1" customWidth="1"/>
    <col min="1029" max="1029" width="17.1796875" style="114" customWidth="1"/>
    <col min="1030" max="1030" width="21.81640625" style="114" bestFit="1" customWidth="1"/>
    <col min="1031" max="1031" width="17.1796875" style="114" bestFit="1" customWidth="1"/>
    <col min="1032" max="1032" width="18.1796875" style="114" bestFit="1" customWidth="1"/>
    <col min="1033" max="1033" width="26.453125" style="114" customWidth="1"/>
    <col min="1034" max="1278" width="9.1796875" style="114"/>
    <col min="1279" max="1279" width="8.7265625" style="114" bestFit="1" customWidth="1"/>
    <col min="1280" max="1280" width="13.26953125" style="114" customWidth="1"/>
    <col min="1281" max="1281" width="16.1796875" style="114" bestFit="1" customWidth="1"/>
    <col min="1282" max="1282" width="23.54296875" style="114" customWidth="1"/>
    <col min="1283" max="1283" width="17.26953125" style="114" customWidth="1"/>
    <col min="1284" max="1284" width="20.54296875" style="114" bestFit="1" customWidth="1"/>
    <col min="1285" max="1285" width="17.1796875" style="114" customWidth="1"/>
    <col min="1286" max="1286" width="21.81640625" style="114" bestFit="1" customWidth="1"/>
    <col min="1287" max="1287" width="17.1796875" style="114" bestFit="1" customWidth="1"/>
    <col min="1288" max="1288" width="18.1796875" style="114" bestFit="1" customWidth="1"/>
    <col min="1289" max="1289" width="26.453125" style="114" customWidth="1"/>
    <col min="1290" max="1534" width="9.1796875" style="114"/>
    <col min="1535" max="1535" width="8.7265625" style="114" bestFit="1" customWidth="1"/>
    <col min="1536" max="1536" width="13.26953125" style="114" customWidth="1"/>
    <col min="1537" max="1537" width="16.1796875" style="114" bestFit="1" customWidth="1"/>
    <col min="1538" max="1538" width="23.54296875" style="114" customWidth="1"/>
    <col min="1539" max="1539" width="17.26953125" style="114" customWidth="1"/>
    <col min="1540" max="1540" width="20.54296875" style="114" bestFit="1" customWidth="1"/>
    <col min="1541" max="1541" width="17.1796875" style="114" customWidth="1"/>
    <col min="1542" max="1542" width="21.81640625" style="114" bestFit="1" customWidth="1"/>
    <col min="1543" max="1543" width="17.1796875" style="114" bestFit="1" customWidth="1"/>
    <col min="1544" max="1544" width="18.1796875" style="114" bestFit="1" customWidth="1"/>
    <col min="1545" max="1545" width="26.453125" style="114" customWidth="1"/>
    <col min="1546" max="1790" width="9.1796875" style="114"/>
    <col min="1791" max="1791" width="8.7265625" style="114" bestFit="1" customWidth="1"/>
    <col min="1792" max="1792" width="13.26953125" style="114" customWidth="1"/>
    <col min="1793" max="1793" width="16.1796875" style="114" bestFit="1" customWidth="1"/>
    <col min="1794" max="1794" width="23.54296875" style="114" customWidth="1"/>
    <col min="1795" max="1795" width="17.26953125" style="114" customWidth="1"/>
    <col min="1796" max="1796" width="20.54296875" style="114" bestFit="1" customWidth="1"/>
    <col min="1797" max="1797" width="17.1796875" style="114" customWidth="1"/>
    <col min="1798" max="1798" width="21.81640625" style="114" bestFit="1" customWidth="1"/>
    <col min="1799" max="1799" width="17.1796875" style="114" bestFit="1" customWidth="1"/>
    <col min="1800" max="1800" width="18.1796875" style="114" bestFit="1" customWidth="1"/>
    <col min="1801" max="1801" width="26.453125" style="114" customWidth="1"/>
    <col min="1802" max="2046" width="9.1796875" style="114"/>
    <col min="2047" max="2047" width="8.7265625" style="114" bestFit="1" customWidth="1"/>
    <col min="2048" max="2048" width="13.26953125" style="114" customWidth="1"/>
    <col min="2049" max="2049" width="16.1796875" style="114" bestFit="1" customWidth="1"/>
    <col min="2050" max="2050" width="23.54296875" style="114" customWidth="1"/>
    <col min="2051" max="2051" width="17.26953125" style="114" customWidth="1"/>
    <col min="2052" max="2052" width="20.54296875" style="114" bestFit="1" customWidth="1"/>
    <col min="2053" max="2053" width="17.1796875" style="114" customWidth="1"/>
    <col min="2054" max="2054" width="21.81640625" style="114" bestFit="1" customWidth="1"/>
    <col min="2055" max="2055" width="17.1796875" style="114" bestFit="1" customWidth="1"/>
    <col min="2056" max="2056" width="18.1796875" style="114" bestFit="1" customWidth="1"/>
    <col min="2057" max="2057" width="26.453125" style="114" customWidth="1"/>
    <col min="2058" max="2302" width="9.1796875" style="114"/>
    <col min="2303" max="2303" width="8.7265625" style="114" bestFit="1" customWidth="1"/>
    <col min="2304" max="2304" width="13.26953125" style="114" customWidth="1"/>
    <col min="2305" max="2305" width="16.1796875" style="114" bestFit="1" customWidth="1"/>
    <col min="2306" max="2306" width="23.54296875" style="114" customWidth="1"/>
    <col min="2307" max="2307" width="17.26953125" style="114" customWidth="1"/>
    <col min="2308" max="2308" width="20.54296875" style="114" bestFit="1" customWidth="1"/>
    <col min="2309" max="2309" width="17.1796875" style="114" customWidth="1"/>
    <col min="2310" max="2310" width="21.81640625" style="114" bestFit="1" customWidth="1"/>
    <col min="2311" max="2311" width="17.1796875" style="114" bestFit="1" customWidth="1"/>
    <col min="2312" max="2312" width="18.1796875" style="114" bestFit="1" customWidth="1"/>
    <col min="2313" max="2313" width="26.453125" style="114" customWidth="1"/>
    <col min="2314" max="2558" width="9.1796875" style="114"/>
    <col min="2559" max="2559" width="8.7265625" style="114" bestFit="1" customWidth="1"/>
    <col min="2560" max="2560" width="13.26953125" style="114" customWidth="1"/>
    <col min="2561" max="2561" width="16.1796875" style="114" bestFit="1" customWidth="1"/>
    <col min="2562" max="2562" width="23.54296875" style="114" customWidth="1"/>
    <col min="2563" max="2563" width="17.26953125" style="114" customWidth="1"/>
    <col min="2564" max="2564" width="20.54296875" style="114" bestFit="1" customWidth="1"/>
    <col min="2565" max="2565" width="17.1796875" style="114" customWidth="1"/>
    <col min="2566" max="2566" width="21.81640625" style="114" bestFit="1" customWidth="1"/>
    <col min="2567" max="2567" width="17.1796875" style="114" bestFit="1" customWidth="1"/>
    <col min="2568" max="2568" width="18.1796875" style="114" bestFit="1" customWidth="1"/>
    <col min="2569" max="2569" width="26.453125" style="114" customWidth="1"/>
    <col min="2570" max="2814" width="9.1796875" style="114"/>
    <col min="2815" max="2815" width="8.7265625" style="114" bestFit="1" customWidth="1"/>
    <col min="2816" max="2816" width="13.26953125" style="114" customWidth="1"/>
    <col min="2817" max="2817" width="16.1796875" style="114" bestFit="1" customWidth="1"/>
    <col min="2818" max="2818" width="23.54296875" style="114" customWidth="1"/>
    <col min="2819" max="2819" width="17.26953125" style="114" customWidth="1"/>
    <col min="2820" max="2820" width="20.54296875" style="114" bestFit="1" customWidth="1"/>
    <col min="2821" max="2821" width="17.1796875" style="114" customWidth="1"/>
    <col min="2822" max="2822" width="21.81640625" style="114" bestFit="1" customWidth="1"/>
    <col min="2823" max="2823" width="17.1796875" style="114" bestFit="1" customWidth="1"/>
    <col min="2824" max="2824" width="18.1796875" style="114" bestFit="1" customWidth="1"/>
    <col min="2825" max="2825" width="26.453125" style="114" customWidth="1"/>
    <col min="2826" max="3070" width="9.1796875" style="114"/>
    <col min="3071" max="3071" width="8.7265625" style="114" bestFit="1" customWidth="1"/>
    <col min="3072" max="3072" width="13.26953125" style="114" customWidth="1"/>
    <col min="3073" max="3073" width="16.1796875" style="114" bestFit="1" customWidth="1"/>
    <col min="3074" max="3074" width="23.54296875" style="114" customWidth="1"/>
    <col min="3075" max="3075" width="17.26953125" style="114" customWidth="1"/>
    <col min="3076" max="3076" width="20.54296875" style="114" bestFit="1" customWidth="1"/>
    <col min="3077" max="3077" width="17.1796875" style="114" customWidth="1"/>
    <col min="3078" max="3078" width="21.81640625" style="114" bestFit="1" customWidth="1"/>
    <col min="3079" max="3079" width="17.1796875" style="114" bestFit="1" customWidth="1"/>
    <col min="3080" max="3080" width="18.1796875" style="114" bestFit="1" customWidth="1"/>
    <col min="3081" max="3081" width="26.453125" style="114" customWidth="1"/>
    <col min="3082" max="3326" width="9.1796875" style="114"/>
    <col min="3327" max="3327" width="8.7265625" style="114" bestFit="1" customWidth="1"/>
    <col min="3328" max="3328" width="13.26953125" style="114" customWidth="1"/>
    <col min="3329" max="3329" width="16.1796875" style="114" bestFit="1" customWidth="1"/>
    <col min="3330" max="3330" width="23.54296875" style="114" customWidth="1"/>
    <col min="3331" max="3331" width="17.26953125" style="114" customWidth="1"/>
    <col min="3332" max="3332" width="20.54296875" style="114" bestFit="1" customWidth="1"/>
    <col min="3333" max="3333" width="17.1796875" style="114" customWidth="1"/>
    <col min="3334" max="3334" width="21.81640625" style="114" bestFit="1" customWidth="1"/>
    <col min="3335" max="3335" width="17.1796875" style="114" bestFit="1" customWidth="1"/>
    <col min="3336" max="3336" width="18.1796875" style="114" bestFit="1" customWidth="1"/>
    <col min="3337" max="3337" width="26.453125" style="114" customWidth="1"/>
    <col min="3338" max="3582" width="9.1796875" style="114"/>
    <col min="3583" max="3583" width="8.7265625" style="114" bestFit="1" customWidth="1"/>
    <col min="3584" max="3584" width="13.26953125" style="114" customWidth="1"/>
    <col min="3585" max="3585" width="16.1796875" style="114" bestFit="1" customWidth="1"/>
    <col min="3586" max="3586" width="23.54296875" style="114" customWidth="1"/>
    <col min="3587" max="3587" width="17.26953125" style="114" customWidth="1"/>
    <col min="3588" max="3588" width="20.54296875" style="114" bestFit="1" customWidth="1"/>
    <col min="3589" max="3589" width="17.1796875" style="114" customWidth="1"/>
    <col min="3590" max="3590" width="21.81640625" style="114" bestFit="1" customWidth="1"/>
    <col min="3591" max="3591" width="17.1796875" style="114" bestFit="1" customWidth="1"/>
    <col min="3592" max="3592" width="18.1796875" style="114" bestFit="1" customWidth="1"/>
    <col min="3593" max="3593" width="26.453125" style="114" customWidth="1"/>
    <col min="3594" max="3838" width="9.1796875" style="114"/>
    <col min="3839" max="3839" width="8.7265625" style="114" bestFit="1" customWidth="1"/>
    <col min="3840" max="3840" width="13.26953125" style="114" customWidth="1"/>
    <col min="3841" max="3841" width="16.1796875" style="114" bestFit="1" customWidth="1"/>
    <col min="3842" max="3842" width="23.54296875" style="114" customWidth="1"/>
    <col min="3843" max="3843" width="17.26953125" style="114" customWidth="1"/>
    <col min="3844" max="3844" width="20.54296875" style="114" bestFit="1" customWidth="1"/>
    <col min="3845" max="3845" width="17.1796875" style="114" customWidth="1"/>
    <col min="3846" max="3846" width="21.81640625" style="114" bestFit="1" customWidth="1"/>
    <col min="3847" max="3847" width="17.1796875" style="114" bestFit="1" customWidth="1"/>
    <col min="3848" max="3848" width="18.1796875" style="114" bestFit="1" customWidth="1"/>
    <col min="3849" max="3849" width="26.453125" style="114" customWidth="1"/>
    <col min="3850" max="4094" width="9.1796875" style="114"/>
    <col min="4095" max="4095" width="8.7265625" style="114" bestFit="1" customWidth="1"/>
    <col min="4096" max="4096" width="13.26953125" style="114" customWidth="1"/>
    <col min="4097" max="4097" width="16.1796875" style="114" bestFit="1" customWidth="1"/>
    <col min="4098" max="4098" width="23.54296875" style="114" customWidth="1"/>
    <col min="4099" max="4099" width="17.26953125" style="114" customWidth="1"/>
    <col min="4100" max="4100" width="20.54296875" style="114" bestFit="1" customWidth="1"/>
    <col min="4101" max="4101" width="17.1796875" style="114" customWidth="1"/>
    <col min="4102" max="4102" width="21.81640625" style="114" bestFit="1" customWidth="1"/>
    <col min="4103" max="4103" width="17.1796875" style="114" bestFit="1" customWidth="1"/>
    <col min="4104" max="4104" width="18.1796875" style="114" bestFit="1" customWidth="1"/>
    <col min="4105" max="4105" width="26.453125" style="114" customWidth="1"/>
    <col min="4106" max="4350" width="9.1796875" style="114"/>
    <col min="4351" max="4351" width="8.7265625" style="114" bestFit="1" customWidth="1"/>
    <col min="4352" max="4352" width="13.26953125" style="114" customWidth="1"/>
    <col min="4353" max="4353" width="16.1796875" style="114" bestFit="1" customWidth="1"/>
    <col min="4354" max="4354" width="23.54296875" style="114" customWidth="1"/>
    <col min="4355" max="4355" width="17.26953125" style="114" customWidth="1"/>
    <col min="4356" max="4356" width="20.54296875" style="114" bestFit="1" customWidth="1"/>
    <col min="4357" max="4357" width="17.1796875" style="114" customWidth="1"/>
    <col min="4358" max="4358" width="21.81640625" style="114" bestFit="1" customWidth="1"/>
    <col min="4359" max="4359" width="17.1796875" style="114" bestFit="1" customWidth="1"/>
    <col min="4360" max="4360" width="18.1796875" style="114" bestFit="1" customWidth="1"/>
    <col min="4361" max="4361" width="26.453125" style="114" customWidth="1"/>
    <col min="4362" max="4606" width="9.1796875" style="114"/>
    <col min="4607" max="4607" width="8.7265625" style="114" bestFit="1" customWidth="1"/>
    <col min="4608" max="4608" width="13.26953125" style="114" customWidth="1"/>
    <col min="4609" max="4609" width="16.1796875" style="114" bestFit="1" customWidth="1"/>
    <col min="4610" max="4610" width="23.54296875" style="114" customWidth="1"/>
    <col min="4611" max="4611" width="17.26953125" style="114" customWidth="1"/>
    <col min="4612" max="4612" width="20.54296875" style="114" bestFit="1" customWidth="1"/>
    <col min="4613" max="4613" width="17.1796875" style="114" customWidth="1"/>
    <col min="4614" max="4614" width="21.81640625" style="114" bestFit="1" customWidth="1"/>
    <col min="4615" max="4615" width="17.1796875" style="114" bestFit="1" customWidth="1"/>
    <col min="4616" max="4616" width="18.1796875" style="114" bestFit="1" customWidth="1"/>
    <col min="4617" max="4617" width="26.453125" style="114" customWidth="1"/>
    <col min="4618" max="4862" width="9.1796875" style="114"/>
    <col min="4863" max="4863" width="8.7265625" style="114" bestFit="1" customWidth="1"/>
    <col min="4864" max="4864" width="13.26953125" style="114" customWidth="1"/>
    <col min="4865" max="4865" width="16.1796875" style="114" bestFit="1" customWidth="1"/>
    <col min="4866" max="4866" width="23.54296875" style="114" customWidth="1"/>
    <col min="4867" max="4867" width="17.26953125" style="114" customWidth="1"/>
    <col min="4868" max="4868" width="20.54296875" style="114" bestFit="1" customWidth="1"/>
    <col min="4869" max="4869" width="17.1796875" style="114" customWidth="1"/>
    <col min="4870" max="4870" width="21.81640625" style="114" bestFit="1" customWidth="1"/>
    <col min="4871" max="4871" width="17.1796875" style="114" bestFit="1" customWidth="1"/>
    <col min="4872" max="4872" width="18.1796875" style="114" bestFit="1" customWidth="1"/>
    <col min="4873" max="4873" width="26.453125" style="114" customWidth="1"/>
    <col min="4874" max="5118" width="9.1796875" style="114"/>
    <col min="5119" max="5119" width="8.7265625" style="114" bestFit="1" customWidth="1"/>
    <col min="5120" max="5120" width="13.26953125" style="114" customWidth="1"/>
    <col min="5121" max="5121" width="16.1796875" style="114" bestFit="1" customWidth="1"/>
    <col min="5122" max="5122" width="23.54296875" style="114" customWidth="1"/>
    <col min="5123" max="5123" width="17.26953125" style="114" customWidth="1"/>
    <col min="5124" max="5124" width="20.54296875" style="114" bestFit="1" customWidth="1"/>
    <col min="5125" max="5125" width="17.1796875" style="114" customWidth="1"/>
    <col min="5126" max="5126" width="21.81640625" style="114" bestFit="1" customWidth="1"/>
    <col min="5127" max="5127" width="17.1796875" style="114" bestFit="1" customWidth="1"/>
    <col min="5128" max="5128" width="18.1796875" style="114" bestFit="1" customWidth="1"/>
    <col min="5129" max="5129" width="26.453125" style="114" customWidth="1"/>
    <col min="5130" max="5374" width="9.1796875" style="114"/>
    <col min="5375" max="5375" width="8.7265625" style="114" bestFit="1" customWidth="1"/>
    <col min="5376" max="5376" width="13.26953125" style="114" customWidth="1"/>
    <col min="5377" max="5377" width="16.1796875" style="114" bestFit="1" customWidth="1"/>
    <col min="5378" max="5378" width="23.54296875" style="114" customWidth="1"/>
    <col min="5379" max="5379" width="17.26953125" style="114" customWidth="1"/>
    <col min="5380" max="5380" width="20.54296875" style="114" bestFit="1" customWidth="1"/>
    <col min="5381" max="5381" width="17.1796875" style="114" customWidth="1"/>
    <col min="5382" max="5382" width="21.81640625" style="114" bestFit="1" customWidth="1"/>
    <col min="5383" max="5383" width="17.1796875" style="114" bestFit="1" customWidth="1"/>
    <col min="5384" max="5384" width="18.1796875" style="114" bestFit="1" customWidth="1"/>
    <col min="5385" max="5385" width="26.453125" style="114" customWidth="1"/>
    <col min="5386" max="5630" width="9.1796875" style="114"/>
    <col min="5631" max="5631" width="8.7265625" style="114" bestFit="1" customWidth="1"/>
    <col min="5632" max="5632" width="13.26953125" style="114" customWidth="1"/>
    <col min="5633" max="5633" width="16.1796875" style="114" bestFit="1" customWidth="1"/>
    <col min="5634" max="5634" width="23.54296875" style="114" customWidth="1"/>
    <col min="5635" max="5635" width="17.26953125" style="114" customWidth="1"/>
    <col min="5636" max="5636" width="20.54296875" style="114" bestFit="1" customWidth="1"/>
    <col min="5637" max="5637" width="17.1796875" style="114" customWidth="1"/>
    <col min="5638" max="5638" width="21.81640625" style="114" bestFit="1" customWidth="1"/>
    <col min="5639" max="5639" width="17.1796875" style="114" bestFit="1" customWidth="1"/>
    <col min="5640" max="5640" width="18.1796875" style="114" bestFit="1" customWidth="1"/>
    <col min="5641" max="5641" width="26.453125" style="114" customWidth="1"/>
    <col min="5642" max="5886" width="9.1796875" style="114"/>
    <col min="5887" max="5887" width="8.7265625" style="114" bestFit="1" customWidth="1"/>
    <col min="5888" max="5888" width="13.26953125" style="114" customWidth="1"/>
    <col min="5889" max="5889" width="16.1796875" style="114" bestFit="1" customWidth="1"/>
    <col min="5890" max="5890" width="23.54296875" style="114" customWidth="1"/>
    <col min="5891" max="5891" width="17.26953125" style="114" customWidth="1"/>
    <col min="5892" max="5892" width="20.54296875" style="114" bestFit="1" customWidth="1"/>
    <col min="5893" max="5893" width="17.1796875" style="114" customWidth="1"/>
    <col min="5894" max="5894" width="21.81640625" style="114" bestFit="1" customWidth="1"/>
    <col min="5895" max="5895" width="17.1796875" style="114" bestFit="1" customWidth="1"/>
    <col min="5896" max="5896" width="18.1796875" style="114" bestFit="1" customWidth="1"/>
    <col min="5897" max="5897" width="26.453125" style="114" customWidth="1"/>
    <col min="5898" max="6142" width="9.1796875" style="114"/>
    <col min="6143" max="6143" width="8.7265625" style="114" bestFit="1" customWidth="1"/>
    <col min="6144" max="6144" width="13.26953125" style="114" customWidth="1"/>
    <col min="6145" max="6145" width="16.1796875" style="114" bestFit="1" customWidth="1"/>
    <col min="6146" max="6146" width="23.54296875" style="114" customWidth="1"/>
    <col min="6147" max="6147" width="17.26953125" style="114" customWidth="1"/>
    <col min="6148" max="6148" width="20.54296875" style="114" bestFit="1" customWidth="1"/>
    <col min="6149" max="6149" width="17.1796875" style="114" customWidth="1"/>
    <col min="6150" max="6150" width="21.81640625" style="114" bestFit="1" customWidth="1"/>
    <col min="6151" max="6151" width="17.1796875" style="114" bestFit="1" customWidth="1"/>
    <col min="6152" max="6152" width="18.1796875" style="114" bestFit="1" customWidth="1"/>
    <col min="6153" max="6153" width="26.453125" style="114" customWidth="1"/>
    <col min="6154" max="6398" width="9.1796875" style="114"/>
    <col min="6399" max="6399" width="8.7265625" style="114" bestFit="1" customWidth="1"/>
    <col min="6400" max="6400" width="13.26953125" style="114" customWidth="1"/>
    <col min="6401" max="6401" width="16.1796875" style="114" bestFit="1" customWidth="1"/>
    <col min="6402" max="6402" width="23.54296875" style="114" customWidth="1"/>
    <col min="6403" max="6403" width="17.26953125" style="114" customWidth="1"/>
    <col min="6404" max="6404" width="20.54296875" style="114" bestFit="1" customWidth="1"/>
    <col min="6405" max="6405" width="17.1796875" style="114" customWidth="1"/>
    <col min="6406" max="6406" width="21.81640625" style="114" bestFit="1" customWidth="1"/>
    <col min="6407" max="6407" width="17.1796875" style="114" bestFit="1" customWidth="1"/>
    <col min="6408" max="6408" width="18.1796875" style="114" bestFit="1" customWidth="1"/>
    <col min="6409" max="6409" width="26.453125" style="114" customWidth="1"/>
    <col min="6410" max="6654" width="9.1796875" style="114"/>
    <col min="6655" max="6655" width="8.7265625" style="114" bestFit="1" customWidth="1"/>
    <col min="6656" max="6656" width="13.26953125" style="114" customWidth="1"/>
    <col min="6657" max="6657" width="16.1796875" style="114" bestFit="1" customWidth="1"/>
    <col min="6658" max="6658" width="23.54296875" style="114" customWidth="1"/>
    <col min="6659" max="6659" width="17.26953125" style="114" customWidth="1"/>
    <col min="6660" max="6660" width="20.54296875" style="114" bestFit="1" customWidth="1"/>
    <col min="6661" max="6661" width="17.1796875" style="114" customWidth="1"/>
    <col min="6662" max="6662" width="21.81640625" style="114" bestFit="1" customWidth="1"/>
    <col min="6663" max="6663" width="17.1796875" style="114" bestFit="1" customWidth="1"/>
    <col min="6664" max="6664" width="18.1796875" style="114" bestFit="1" customWidth="1"/>
    <col min="6665" max="6665" width="26.453125" style="114" customWidth="1"/>
    <col min="6666" max="6910" width="9.1796875" style="114"/>
    <col min="6911" max="6911" width="8.7265625" style="114" bestFit="1" customWidth="1"/>
    <col min="6912" max="6912" width="13.26953125" style="114" customWidth="1"/>
    <col min="6913" max="6913" width="16.1796875" style="114" bestFit="1" customWidth="1"/>
    <col min="6914" max="6914" width="23.54296875" style="114" customWidth="1"/>
    <col min="6915" max="6915" width="17.26953125" style="114" customWidth="1"/>
    <col min="6916" max="6916" width="20.54296875" style="114" bestFit="1" customWidth="1"/>
    <col min="6917" max="6917" width="17.1796875" style="114" customWidth="1"/>
    <col min="6918" max="6918" width="21.81640625" style="114" bestFit="1" customWidth="1"/>
    <col min="6919" max="6919" width="17.1796875" style="114" bestFit="1" customWidth="1"/>
    <col min="6920" max="6920" width="18.1796875" style="114" bestFit="1" customWidth="1"/>
    <col min="6921" max="6921" width="26.453125" style="114" customWidth="1"/>
    <col min="6922" max="7166" width="9.1796875" style="114"/>
    <col min="7167" max="7167" width="8.7265625" style="114" bestFit="1" customWidth="1"/>
    <col min="7168" max="7168" width="13.26953125" style="114" customWidth="1"/>
    <col min="7169" max="7169" width="16.1796875" style="114" bestFit="1" customWidth="1"/>
    <col min="7170" max="7170" width="23.54296875" style="114" customWidth="1"/>
    <col min="7171" max="7171" width="17.26953125" style="114" customWidth="1"/>
    <col min="7172" max="7172" width="20.54296875" style="114" bestFit="1" customWidth="1"/>
    <col min="7173" max="7173" width="17.1796875" style="114" customWidth="1"/>
    <col min="7174" max="7174" width="21.81640625" style="114" bestFit="1" customWidth="1"/>
    <col min="7175" max="7175" width="17.1796875" style="114" bestFit="1" customWidth="1"/>
    <col min="7176" max="7176" width="18.1796875" style="114" bestFit="1" customWidth="1"/>
    <col min="7177" max="7177" width="26.453125" style="114" customWidth="1"/>
    <col min="7178" max="7422" width="9.1796875" style="114"/>
    <col min="7423" max="7423" width="8.7265625" style="114" bestFit="1" customWidth="1"/>
    <col min="7424" max="7424" width="13.26953125" style="114" customWidth="1"/>
    <col min="7425" max="7425" width="16.1796875" style="114" bestFit="1" customWidth="1"/>
    <col min="7426" max="7426" width="23.54296875" style="114" customWidth="1"/>
    <col min="7427" max="7427" width="17.26953125" style="114" customWidth="1"/>
    <col min="7428" max="7428" width="20.54296875" style="114" bestFit="1" customWidth="1"/>
    <col min="7429" max="7429" width="17.1796875" style="114" customWidth="1"/>
    <col min="7430" max="7430" width="21.81640625" style="114" bestFit="1" customWidth="1"/>
    <col min="7431" max="7431" width="17.1796875" style="114" bestFit="1" customWidth="1"/>
    <col min="7432" max="7432" width="18.1796875" style="114" bestFit="1" customWidth="1"/>
    <col min="7433" max="7433" width="26.453125" style="114" customWidth="1"/>
    <col min="7434" max="7678" width="9.1796875" style="114"/>
    <col min="7679" max="7679" width="8.7265625" style="114" bestFit="1" customWidth="1"/>
    <col min="7680" max="7680" width="13.26953125" style="114" customWidth="1"/>
    <col min="7681" max="7681" width="16.1796875" style="114" bestFit="1" customWidth="1"/>
    <col min="7682" max="7682" width="23.54296875" style="114" customWidth="1"/>
    <col min="7683" max="7683" width="17.26953125" style="114" customWidth="1"/>
    <col min="7684" max="7684" width="20.54296875" style="114" bestFit="1" customWidth="1"/>
    <col min="7685" max="7685" width="17.1796875" style="114" customWidth="1"/>
    <col min="7686" max="7686" width="21.81640625" style="114" bestFit="1" customWidth="1"/>
    <col min="7687" max="7687" width="17.1796875" style="114" bestFit="1" customWidth="1"/>
    <col min="7688" max="7688" width="18.1796875" style="114" bestFit="1" customWidth="1"/>
    <col min="7689" max="7689" width="26.453125" style="114" customWidth="1"/>
    <col min="7690" max="7934" width="9.1796875" style="114"/>
    <col min="7935" max="7935" width="8.7265625" style="114" bestFit="1" customWidth="1"/>
    <col min="7936" max="7936" width="13.26953125" style="114" customWidth="1"/>
    <col min="7937" max="7937" width="16.1796875" style="114" bestFit="1" customWidth="1"/>
    <col min="7938" max="7938" width="23.54296875" style="114" customWidth="1"/>
    <col min="7939" max="7939" width="17.26953125" style="114" customWidth="1"/>
    <col min="7940" max="7940" width="20.54296875" style="114" bestFit="1" customWidth="1"/>
    <col min="7941" max="7941" width="17.1796875" style="114" customWidth="1"/>
    <col min="7942" max="7942" width="21.81640625" style="114" bestFit="1" customWidth="1"/>
    <col min="7943" max="7943" width="17.1796875" style="114" bestFit="1" customWidth="1"/>
    <col min="7944" max="7944" width="18.1796875" style="114" bestFit="1" customWidth="1"/>
    <col min="7945" max="7945" width="26.453125" style="114" customWidth="1"/>
    <col min="7946" max="8190" width="9.1796875" style="114"/>
    <col min="8191" max="8191" width="8.7265625" style="114" bestFit="1" customWidth="1"/>
    <col min="8192" max="8192" width="13.26953125" style="114" customWidth="1"/>
    <col min="8193" max="8193" width="16.1796875" style="114" bestFit="1" customWidth="1"/>
    <col min="8194" max="8194" width="23.54296875" style="114" customWidth="1"/>
    <col min="8195" max="8195" width="17.26953125" style="114" customWidth="1"/>
    <col min="8196" max="8196" width="20.54296875" style="114" bestFit="1" customWidth="1"/>
    <col min="8197" max="8197" width="17.1796875" style="114" customWidth="1"/>
    <col min="8198" max="8198" width="21.81640625" style="114" bestFit="1" customWidth="1"/>
    <col min="8199" max="8199" width="17.1796875" style="114" bestFit="1" customWidth="1"/>
    <col min="8200" max="8200" width="18.1796875" style="114" bestFit="1" customWidth="1"/>
    <col min="8201" max="8201" width="26.453125" style="114" customWidth="1"/>
    <col min="8202" max="8446" width="9.1796875" style="114"/>
    <col min="8447" max="8447" width="8.7265625" style="114" bestFit="1" customWidth="1"/>
    <col min="8448" max="8448" width="13.26953125" style="114" customWidth="1"/>
    <col min="8449" max="8449" width="16.1796875" style="114" bestFit="1" customWidth="1"/>
    <col min="8450" max="8450" width="23.54296875" style="114" customWidth="1"/>
    <col min="8451" max="8451" width="17.26953125" style="114" customWidth="1"/>
    <col min="8452" max="8452" width="20.54296875" style="114" bestFit="1" customWidth="1"/>
    <col min="8453" max="8453" width="17.1796875" style="114" customWidth="1"/>
    <col min="8454" max="8454" width="21.81640625" style="114" bestFit="1" customWidth="1"/>
    <col min="8455" max="8455" width="17.1796875" style="114" bestFit="1" customWidth="1"/>
    <col min="8456" max="8456" width="18.1796875" style="114" bestFit="1" customWidth="1"/>
    <col min="8457" max="8457" width="26.453125" style="114" customWidth="1"/>
    <col min="8458" max="8702" width="9.1796875" style="114"/>
    <col min="8703" max="8703" width="8.7265625" style="114" bestFit="1" customWidth="1"/>
    <col min="8704" max="8704" width="13.26953125" style="114" customWidth="1"/>
    <col min="8705" max="8705" width="16.1796875" style="114" bestFit="1" customWidth="1"/>
    <col min="8706" max="8706" width="23.54296875" style="114" customWidth="1"/>
    <col min="8707" max="8707" width="17.26953125" style="114" customWidth="1"/>
    <col min="8708" max="8708" width="20.54296875" style="114" bestFit="1" customWidth="1"/>
    <col min="8709" max="8709" width="17.1796875" style="114" customWidth="1"/>
    <col min="8710" max="8710" width="21.81640625" style="114" bestFit="1" customWidth="1"/>
    <col min="8711" max="8711" width="17.1796875" style="114" bestFit="1" customWidth="1"/>
    <col min="8712" max="8712" width="18.1796875" style="114" bestFit="1" customWidth="1"/>
    <col min="8713" max="8713" width="26.453125" style="114" customWidth="1"/>
    <col min="8714" max="8958" width="9.1796875" style="114"/>
    <col min="8959" max="8959" width="8.7265625" style="114" bestFit="1" customWidth="1"/>
    <col min="8960" max="8960" width="13.26953125" style="114" customWidth="1"/>
    <col min="8961" max="8961" width="16.1796875" style="114" bestFit="1" customWidth="1"/>
    <col min="8962" max="8962" width="23.54296875" style="114" customWidth="1"/>
    <col min="8963" max="8963" width="17.26953125" style="114" customWidth="1"/>
    <col min="8964" max="8964" width="20.54296875" style="114" bestFit="1" customWidth="1"/>
    <col min="8965" max="8965" width="17.1796875" style="114" customWidth="1"/>
    <col min="8966" max="8966" width="21.81640625" style="114" bestFit="1" customWidth="1"/>
    <col min="8967" max="8967" width="17.1796875" style="114" bestFit="1" customWidth="1"/>
    <col min="8968" max="8968" width="18.1796875" style="114" bestFit="1" customWidth="1"/>
    <col min="8969" max="8969" width="26.453125" style="114" customWidth="1"/>
    <col min="8970" max="9214" width="9.1796875" style="114"/>
    <col min="9215" max="9215" width="8.7265625" style="114" bestFit="1" customWidth="1"/>
    <col min="9216" max="9216" width="13.26953125" style="114" customWidth="1"/>
    <col min="9217" max="9217" width="16.1796875" style="114" bestFit="1" customWidth="1"/>
    <col min="9218" max="9218" width="23.54296875" style="114" customWidth="1"/>
    <col min="9219" max="9219" width="17.26953125" style="114" customWidth="1"/>
    <col min="9220" max="9220" width="20.54296875" style="114" bestFit="1" customWidth="1"/>
    <col min="9221" max="9221" width="17.1796875" style="114" customWidth="1"/>
    <col min="9222" max="9222" width="21.81640625" style="114" bestFit="1" customWidth="1"/>
    <col min="9223" max="9223" width="17.1796875" style="114" bestFit="1" customWidth="1"/>
    <col min="9224" max="9224" width="18.1796875" style="114" bestFit="1" customWidth="1"/>
    <col min="9225" max="9225" width="26.453125" style="114" customWidth="1"/>
    <col min="9226" max="9470" width="9.1796875" style="114"/>
    <col min="9471" max="9471" width="8.7265625" style="114" bestFit="1" customWidth="1"/>
    <col min="9472" max="9472" width="13.26953125" style="114" customWidth="1"/>
    <col min="9473" max="9473" width="16.1796875" style="114" bestFit="1" customWidth="1"/>
    <col min="9474" max="9474" width="23.54296875" style="114" customWidth="1"/>
    <col min="9475" max="9475" width="17.26953125" style="114" customWidth="1"/>
    <col min="9476" max="9476" width="20.54296875" style="114" bestFit="1" customWidth="1"/>
    <col min="9477" max="9477" width="17.1796875" style="114" customWidth="1"/>
    <col min="9478" max="9478" width="21.81640625" style="114" bestFit="1" customWidth="1"/>
    <col min="9479" max="9479" width="17.1796875" style="114" bestFit="1" customWidth="1"/>
    <col min="9480" max="9480" width="18.1796875" style="114" bestFit="1" customWidth="1"/>
    <col min="9481" max="9481" width="26.453125" style="114" customWidth="1"/>
    <col min="9482" max="9726" width="9.1796875" style="114"/>
    <col min="9727" max="9727" width="8.7265625" style="114" bestFit="1" customWidth="1"/>
    <col min="9728" max="9728" width="13.26953125" style="114" customWidth="1"/>
    <col min="9729" max="9729" width="16.1796875" style="114" bestFit="1" customWidth="1"/>
    <col min="9730" max="9730" width="23.54296875" style="114" customWidth="1"/>
    <col min="9731" max="9731" width="17.26953125" style="114" customWidth="1"/>
    <col min="9732" max="9732" width="20.54296875" style="114" bestFit="1" customWidth="1"/>
    <col min="9733" max="9733" width="17.1796875" style="114" customWidth="1"/>
    <col min="9734" max="9734" width="21.81640625" style="114" bestFit="1" customWidth="1"/>
    <col min="9735" max="9735" width="17.1796875" style="114" bestFit="1" customWidth="1"/>
    <col min="9736" max="9736" width="18.1796875" style="114" bestFit="1" customWidth="1"/>
    <col min="9737" max="9737" width="26.453125" style="114" customWidth="1"/>
    <col min="9738" max="9982" width="9.1796875" style="114"/>
    <col min="9983" max="9983" width="8.7265625" style="114" bestFit="1" customWidth="1"/>
    <col min="9984" max="9984" width="13.26953125" style="114" customWidth="1"/>
    <col min="9985" max="9985" width="16.1796875" style="114" bestFit="1" customWidth="1"/>
    <col min="9986" max="9986" width="23.54296875" style="114" customWidth="1"/>
    <col min="9987" max="9987" width="17.26953125" style="114" customWidth="1"/>
    <col min="9988" max="9988" width="20.54296875" style="114" bestFit="1" customWidth="1"/>
    <col min="9989" max="9989" width="17.1796875" style="114" customWidth="1"/>
    <col min="9990" max="9990" width="21.81640625" style="114" bestFit="1" customWidth="1"/>
    <col min="9991" max="9991" width="17.1796875" style="114" bestFit="1" customWidth="1"/>
    <col min="9992" max="9992" width="18.1796875" style="114" bestFit="1" customWidth="1"/>
    <col min="9993" max="9993" width="26.453125" style="114" customWidth="1"/>
    <col min="9994" max="10238" width="9.1796875" style="114"/>
    <col min="10239" max="10239" width="8.7265625" style="114" bestFit="1" customWidth="1"/>
    <col min="10240" max="10240" width="13.26953125" style="114" customWidth="1"/>
    <col min="10241" max="10241" width="16.1796875" style="114" bestFit="1" customWidth="1"/>
    <col min="10242" max="10242" width="23.54296875" style="114" customWidth="1"/>
    <col min="10243" max="10243" width="17.26953125" style="114" customWidth="1"/>
    <col min="10244" max="10244" width="20.54296875" style="114" bestFit="1" customWidth="1"/>
    <col min="10245" max="10245" width="17.1796875" style="114" customWidth="1"/>
    <col min="10246" max="10246" width="21.81640625" style="114" bestFit="1" customWidth="1"/>
    <col min="10247" max="10247" width="17.1796875" style="114" bestFit="1" customWidth="1"/>
    <col min="10248" max="10248" width="18.1796875" style="114" bestFit="1" customWidth="1"/>
    <col min="10249" max="10249" width="26.453125" style="114" customWidth="1"/>
    <col min="10250" max="10494" width="9.1796875" style="114"/>
    <col min="10495" max="10495" width="8.7265625" style="114" bestFit="1" customWidth="1"/>
    <col min="10496" max="10496" width="13.26953125" style="114" customWidth="1"/>
    <col min="10497" max="10497" width="16.1796875" style="114" bestFit="1" customWidth="1"/>
    <col min="10498" max="10498" width="23.54296875" style="114" customWidth="1"/>
    <col min="10499" max="10499" width="17.26953125" style="114" customWidth="1"/>
    <col min="10500" max="10500" width="20.54296875" style="114" bestFit="1" customWidth="1"/>
    <col min="10501" max="10501" width="17.1796875" style="114" customWidth="1"/>
    <col min="10502" max="10502" width="21.81640625" style="114" bestFit="1" customWidth="1"/>
    <col min="10503" max="10503" width="17.1796875" style="114" bestFit="1" customWidth="1"/>
    <col min="10504" max="10504" width="18.1796875" style="114" bestFit="1" customWidth="1"/>
    <col min="10505" max="10505" width="26.453125" style="114" customWidth="1"/>
    <col min="10506" max="10750" width="9.1796875" style="114"/>
    <col min="10751" max="10751" width="8.7265625" style="114" bestFit="1" customWidth="1"/>
    <col min="10752" max="10752" width="13.26953125" style="114" customWidth="1"/>
    <col min="10753" max="10753" width="16.1796875" style="114" bestFit="1" customWidth="1"/>
    <col min="10754" max="10754" width="23.54296875" style="114" customWidth="1"/>
    <col min="10755" max="10755" width="17.26953125" style="114" customWidth="1"/>
    <col min="10756" max="10756" width="20.54296875" style="114" bestFit="1" customWidth="1"/>
    <col min="10757" max="10757" width="17.1796875" style="114" customWidth="1"/>
    <col min="10758" max="10758" width="21.81640625" style="114" bestFit="1" customWidth="1"/>
    <col min="10759" max="10759" width="17.1796875" style="114" bestFit="1" customWidth="1"/>
    <col min="10760" max="10760" width="18.1796875" style="114" bestFit="1" customWidth="1"/>
    <col min="10761" max="10761" width="26.453125" style="114" customWidth="1"/>
    <col min="10762" max="11006" width="9.1796875" style="114"/>
    <col min="11007" max="11007" width="8.7265625" style="114" bestFit="1" customWidth="1"/>
    <col min="11008" max="11008" width="13.26953125" style="114" customWidth="1"/>
    <col min="11009" max="11009" width="16.1796875" style="114" bestFit="1" customWidth="1"/>
    <col min="11010" max="11010" width="23.54296875" style="114" customWidth="1"/>
    <col min="11011" max="11011" width="17.26953125" style="114" customWidth="1"/>
    <col min="11012" max="11012" width="20.54296875" style="114" bestFit="1" customWidth="1"/>
    <col min="11013" max="11013" width="17.1796875" style="114" customWidth="1"/>
    <col min="11014" max="11014" width="21.81640625" style="114" bestFit="1" customWidth="1"/>
    <col min="11015" max="11015" width="17.1796875" style="114" bestFit="1" customWidth="1"/>
    <col min="11016" max="11016" width="18.1796875" style="114" bestFit="1" customWidth="1"/>
    <col min="11017" max="11017" width="26.453125" style="114" customWidth="1"/>
    <col min="11018" max="11262" width="9.1796875" style="114"/>
    <col min="11263" max="11263" width="8.7265625" style="114" bestFit="1" customWidth="1"/>
    <col min="11264" max="11264" width="13.26953125" style="114" customWidth="1"/>
    <col min="11265" max="11265" width="16.1796875" style="114" bestFit="1" customWidth="1"/>
    <col min="11266" max="11266" width="23.54296875" style="114" customWidth="1"/>
    <col min="11267" max="11267" width="17.26953125" style="114" customWidth="1"/>
    <col min="11268" max="11268" width="20.54296875" style="114" bestFit="1" customWidth="1"/>
    <col min="11269" max="11269" width="17.1796875" style="114" customWidth="1"/>
    <col min="11270" max="11270" width="21.81640625" style="114" bestFit="1" customWidth="1"/>
    <col min="11271" max="11271" width="17.1796875" style="114" bestFit="1" customWidth="1"/>
    <col min="11272" max="11272" width="18.1796875" style="114" bestFit="1" customWidth="1"/>
    <col min="11273" max="11273" width="26.453125" style="114" customWidth="1"/>
    <col min="11274" max="11518" width="9.1796875" style="114"/>
    <col min="11519" max="11519" width="8.7265625" style="114" bestFit="1" customWidth="1"/>
    <col min="11520" max="11520" width="13.26953125" style="114" customWidth="1"/>
    <col min="11521" max="11521" width="16.1796875" style="114" bestFit="1" customWidth="1"/>
    <col min="11522" max="11522" width="23.54296875" style="114" customWidth="1"/>
    <col min="11523" max="11523" width="17.26953125" style="114" customWidth="1"/>
    <col min="11524" max="11524" width="20.54296875" style="114" bestFit="1" customWidth="1"/>
    <col min="11525" max="11525" width="17.1796875" style="114" customWidth="1"/>
    <col min="11526" max="11526" width="21.81640625" style="114" bestFit="1" customWidth="1"/>
    <col min="11527" max="11527" width="17.1796875" style="114" bestFit="1" customWidth="1"/>
    <col min="11528" max="11528" width="18.1796875" style="114" bestFit="1" customWidth="1"/>
    <col min="11529" max="11529" width="26.453125" style="114" customWidth="1"/>
    <col min="11530" max="11774" width="9.1796875" style="114"/>
    <col min="11775" max="11775" width="8.7265625" style="114" bestFit="1" customWidth="1"/>
    <col min="11776" max="11776" width="13.26953125" style="114" customWidth="1"/>
    <col min="11777" max="11777" width="16.1796875" style="114" bestFit="1" customWidth="1"/>
    <col min="11778" max="11778" width="23.54296875" style="114" customWidth="1"/>
    <col min="11779" max="11779" width="17.26953125" style="114" customWidth="1"/>
    <col min="11780" max="11780" width="20.54296875" style="114" bestFit="1" customWidth="1"/>
    <col min="11781" max="11781" width="17.1796875" style="114" customWidth="1"/>
    <col min="11782" max="11782" width="21.81640625" style="114" bestFit="1" customWidth="1"/>
    <col min="11783" max="11783" width="17.1796875" style="114" bestFit="1" customWidth="1"/>
    <col min="11784" max="11784" width="18.1796875" style="114" bestFit="1" customWidth="1"/>
    <col min="11785" max="11785" width="26.453125" style="114" customWidth="1"/>
    <col min="11786" max="12030" width="9.1796875" style="114"/>
    <col min="12031" max="12031" width="8.7265625" style="114" bestFit="1" customWidth="1"/>
    <col min="12032" max="12032" width="13.26953125" style="114" customWidth="1"/>
    <col min="12033" max="12033" width="16.1796875" style="114" bestFit="1" customWidth="1"/>
    <col min="12034" max="12034" width="23.54296875" style="114" customWidth="1"/>
    <col min="12035" max="12035" width="17.26953125" style="114" customWidth="1"/>
    <col min="12036" max="12036" width="20.54296875" style="114" bestFit="1" customWidth="1"/>
    <col min="12037" max="12037" width="17.1796875" style="114" customWidth="1"/>
    <col min="12038" max="12038" width="21.81640625" style="114" bestFit="1" customWidth="1"/>
    <col min="12039" max="12039" width="17.1796875" style="114" bestFit="1" customWidth="1"/>
    <col min="12040" max="12040" width="18.1796875" style="114" bestFit="1" customWidth="1"/>
    <col min="12041" max="12041" width="26.453125" style="114" customWidth="1"/>
    <col min="12042" max="12286" width="9.1796875" style="114"/>
    <col min="12287" max="12287" width="8.7265625" style="114" bestFit="1" customWidth="1"/>
    <col min="12288" max="12288" width="13.26953125" style="114" customWidth="1"/>
    <col min="12289" max="12289" width="16.1796875" style="114" bestFit="1" customWidth="1"/>
    <col min="12290" max="12290" width="23.54296875" style="114" customWidth="1"/>
    <col min="12291" max="12291" width="17.26953125" style="114" customWidth="1"/>
    <col min="12292" max="12292" width="20.54296875" style="114" bestFit="1" customWidth="1"/>
    <col min="12293" max="12293" width="17.1796875" style="114" customWidth="1"/>
    <col min="12294" max="12294" width="21.81640625" style="114" bestFit="1" customWidth="1"/>
    <col min="12295" max="12295" width="17.1796875" style="114" bestFit="1" customWidth="1"/>
    <col min="12296" max="12296" width="18.1796875" style="114" bestFit="1" customWidth="1"/>
    <col min="12297" max="12297" width="26.453125" style="114" customWidth="1"/>
    <col min="12298" max="12542" width="9.1796875" style="114"/>
    <col min="12543" max="12543" width="8.7265625" style="114" bestFit="1" customWidth="1"/>
    <col min="12544" max="12544" width="13.26953125" style="114" customWidth="1"/>
    <col min="12545" max="12545" width="16.1796875" style="114" bestFit="1" customWidth="1"/>
    <col min="12546" max="12546" width="23.54296875" style="114" customWidth="1"/>
    <col min="12547" max="12547" width="17.26953125" style="114" customWidth="1"/>
    <col min="12548" max="12548" width="20.54296875" style="114" bestFit="1" customWidth="1"/>
    <col min="12549" max="12549" width="17.1796875" style="114" customWidth="1"/>
    <col min="12550" max="12550" width="21.81640625" style="114" bestFit="1" customWidth="1"/>
    <col min="12551" max="12551" width="17.1796875" style="114" bestFit="1" customWidth="1"/>
    <col min="12552" max="12552" width="18.1796875" style="114" bestFit="1" customWidth="1"/>
    <col min="12553" max="12553" width="26.453125" style="114" customWidth="1"/>
    <col min="12554" max="12798" width="9.1796875" style="114"/>
    <col min="12799" max="12799" width="8.7265625" style="114" bestFit="1" customWidth="1"/>
    <col min="12800" max="12800" width="13.26953125" style="114" customWidth="1"/>
    <col min="12801" max="12801" width="16.1796875" style="114" bestFit="1" customWidth="1"/>
    <col min="12802" max="12802" width="23.54296875" style="114" customWidth="1"/>
    <col min="12803" max="12803" width="17.26953125" style="114" customWidth="1"/>
    <col min="12804" max="12804" width="20.54296875" style="114" bestFit="1" customWidth="1"/>
    <col min="12805" max="12805" width="17.1796875" style="114" customWidth="1"/>
    <col min="12806" max="12806" width="21.81640625" style="114" bestFit="1" customWidth="1"/>
    <col min="12807" max="12807" width="17.1796875" style="114" bestFit="1" customWidth="1"/>
    <col min="12808" max="12808" width="18.1796875" style="114" bestFit="1" customWidth="1"/>
    <col min="12809" max="12809" width="26.453125" style="114" customWidth="1"/>
    <col min="12810" max="13054" width="9.1796875" style="114"/>
    <col min="13055" max="13055" width="8.7265625" style="114" bestFit="1" customWidth="1"/>
    <col min="13056" max="13056" width="13.26953125" style="114" customWidth="1"/>
    <col min="13057" max="13057" width="16.1796875" style="114" bestFit="1" customWidth="1"/>
    <col min="13058" max="13058" width="23.54296875" style="114" customWidth="1"/>
    <col min="13059" max="13059" width="17.26953125" style="114" customWidth="1"/>
    <col min="13060" max="13060" width="20.54296875" style="114" bestFit="1" customWidth="1"/>
    <col min="13061" max="13061" width="17.1796875" style="114" customWidth="1"/>
    <col min="13062" max="13062" width="21.81640625" style="114" bestFit="1" customWidth="1"/>
    <col min="13063" max="13063" width="17.1796875" style="114" bestFit="1" customWidth="1"/>
    <col min="13064" max="13064" width="18.1796875" style="114" bestFit="1" customWidth="1"/>
    <col min="13065" max="13065" width="26.453125" style="114" customWidth="1"/>
    <col min="13066" max="13310" width="9.1796875" style="114"/>
    <col min="13311" max="13311" width="8.7265625" style="114" bestFit="1" customWidth="1"/>
    <col min="13312" max="13312" width="13.26953125" style="114" customWidth="1"/>
    <col min="13313" max="13313" width="16.1796875" style="114" bestFit="1" customWidth="1"/>
    <col min="13314" max="13314" width="23.54296875" style="114" customWidth="1"/>
    <col min="13315" max="13315" width="17.26953125" style="114" customWidth="1"/>
    <col min="13316" max="13316" width="20.54296875" style="114" bestFit="1" customWidth="1"/>
    <col min="13317" max="13317" width="17.1796875" style="114" customWidth="1"/>
    <col min="13318" max="13318" width="21.81640625" style="114" bestFit="1" customWidth="1"/>
    <col min="13319" max="13319" width="17.1796875" style="114" bestFit="1" customWidth="1"/>
    <col min="13320" max="13320" width="18.1796875" style="114" bestFit="1" customWidth="1"/>
    <col min="13321" max="13321" width="26.453125" style="114" customWidth="1"/>
    <col min="13322" max="13566" width="9.1796875" style="114"/>
    <col min="13567" max="13567" width="8.7265625" style="114" bestFit="1" customWidth="1"/>
    <col min="13568" max="13568" width="13.26953125" style="114" customWidth="1"/>
    <col min="13569" max="13569" width="16.1796875" style="114" bestFit="1" customWidth="1"/>
    <col min="13570" max="13570" width="23.54296875" style="114" customWidth="1"/>
    <col min="13571" max="13571" width="17.26953125" style="114" customWidth="1"/>
    <col min="13572" max="13572" width="20.54296875" style="114" bestFit="1" customWidth="1"/>
    <col min="13573" max="13573" width="17.1796875" style="114" customWidth="1"/>
    <col min="13574" max="13574" width="21.81640625" style="114" bestFit="1" customWidth="1"/>
    <col min="13575" max="13575" width="17.1796875" style="114" bestFit="1" customWidth="1"/>
    <col min="13576" max="13576" width="18.1796875" style="114" bestFit="1" customWidth="1"/>
    <col min="13577" max="13577" width="26.453125" style="114" customWidth="1"/>
    <col min="13578" max="13822" width="9.1796875" style="114"/>
    <col min="13823" max="13823" width="8.7265625" style="114" bestFit="1" customWidth="1"/>
    <col min="13824" max="13824" width="13.26953125" style="114" customWidth="1"/>
    <col min="13825" max="13825" width="16.1796875" style="114" bestFit="1" customWidth="1"/>
    <col min="13826" max="13826" width="23.54296875" style="114" customWidth="1"/>
    <col min="13827" max="13827" width="17.26953125" style="114" customWidth="1"/>
    <col min="13828" max="13828" width="20.54296875" style="114" bestFit="1" customWidth="1"/>
    <col min="13829" max="13829" width="17.1796875" style="114" customWidth="1"/>
    <col min="13830" max="13830" width="21.81640625" style="114" bestFit="1" customWidth="1"/>
    <col min="13831" max="13831" width="17.1796875" style="114" bestFit="1" customWidth="1"/>
    <col min="13832" max="13832" width="18.1796875" style="114" bestFit="1" customWidth="1"/>
    <col min="13833" max="13833" width="26.453125" style="114" customWidth="1"/>
    <col min="13834" max="14078" width="9.1796875" style="114"/>
    <col min="14079" max="14079" width="8.7265625" style="114" bestFit="1" customWidth="1"/>
    <col min="14080" max="14080" width="13.26953125" style="114" customWidth="1"/>
    <col min="14081" max="14081" width="16.1796875" style="114" bestFit="1" customWidth="1"/>
    <col min="14082" max="14082" width="23.54296875" style="114" customWidth="1"/>
    <col min="14083" max="14083" width="17.26953125" style="114" customWidth="1"/>
    <col min="14084" max="14084" width="20.54296875" style="114" bestFit="1" customWidth="1"/>
    <col min="14085" max="14085" width="17.1796875" style="114" customWidth="1"/>
    <col min="14086" max="14086" width="21.81640625" style="114" bestFit="1" customWidth="1"/>
    <col min="14087" max="14087" width="17.1796875" style="114" bestFit="1" customWidth="1"/>
    <col min="14088" max="14088" width="18.1796875" style="114" bestFit="1" customWidth="1"/>
    <col min="14089" max="14089" width="26.453125" style="114" customWidth="1"/>
    <col min="14090" max="14334" width="9.1796875" style="114"/>
    <col min="14335" max="14335" width="8.7265625" style="114" bestFit="1" customWidth="1"/>
    <col min="14336" max="14336" width="13.26953125" style="114" customWidth="1"/>
    <col min="14337" max="14337" width="16.1796875" style="114" bestFit="1" customWidth="1"/>
    <col min="14338" max="14338" width="23.54296875" style="114" customWidth="1"/>
    <col min="14339" max="14339" width="17.26953125" style="114" customWidth="1"/>
    <col min="14340" max="14340" width="20.54296875" style="114" bestFit="1" customWidth="1"/>
    <col min="14341" max="14341" width="17.1796875" style="114" customWidth="1"/>
    <col min="14342" max="14342" width="21.81640625" style="114" bestFit="1" customWidth="1"/>
    <col min="14343" max="14343" width="17.1796875" style="114" bestFit="1" customWidth="1"/>
    <col min="14344" max="14344" width="18.1796875" style="114" bestFit="1" customWidth="1"/>
    <col min="14345" max="14345" width="26.453125" style="114" customWidth="1"/>
    <col min="14346" max="14590" width="9.1796875" style="114"/>
    <col min="14591" max="14591" width="8.7265625" style="114" bestFit="1" customWidth="1"/>
    <col min="14592" max="14592" width="13.26953125" style="114" customWidth="1"/>
    <col min="14593" max="14593" width="16.1796875" style="114" bestFit="1" customWidth="1"/>
    <col min="14594" max="14594" width="23.54296875" style="114" customWidth="1"/>
    <col min="14595" max="14595" width="17.26953125" style="114" customWidth="1"/>
    <col min="14596" max="14596" width="20.54296875" style="114" bestFit="1" customWidth="1"/>
    <col min="14597" max="14597" width="17.1796875" style="114" customWidth="1"/>
    <col min="14598" max="14598" width="21.81640625" style="114" bestFit="1" customWidth="1"/>
    <col min="14599" max="14599" width="17.1796875" style="114" bestFit="1" customWidth="1"/>
    <col min="14600" max="14600" width="18.1796875" style="114" bestFit="1" customWidth="1"/>
    <col min="14601" max="14601" width="26.453125" style="114" customWidth="1"/>
    <col min="14602" max="14846" width="9.1796875" style="114"/>
    <col min="14847" max="14847" width="8.7265625" style="114" bestFit="1" customWidth="1"/>
    <col min="14848" max="14848" width="13.26953125" style="114" customWidth="1"/>
    <col min="14849" max="14849" width="16.1796875" style="114" bestFit="1" customWidth="1"/>
    <col min="14850" max="14850" width="23.54296875" style="114" customWidth="1"/>
    <col min="14851" max="14851" width="17.26953125" style="114" customWidth="1"/>
    <col min="14852" max="14852" width="20.54296875" style="114" bestFit="1" customWidth="1"/>
    <col min="14853" max="14853" width="17.1796875" style="114" customWidth="1"/>
    <col min="14854" max="14854" width="21.81640625" style="114" bestFit="1" customWidth="1"/>
    <col min="14855" max="14855" width="17.1796875" style="114" bestFit="1" customWidth="1"/>
    <col min="14856" max="14856" width="18.1796875" style="114" bestFit="1" customWidth="1"/>
    <col min="14857" max="14857" width="26.453125" style="114" customWidth="1"/>
    <col min="14858" max="15102" width="9.1796875" style="114"/>
    <col min="15103" max="15103" width="8.7265625" style="114" bestFit="1" customWidth="1"/>
    <col min="15104" max="15104" width="13.26953125" style="114" customWidth="1"/>
    <col min="15105" max="15105" width="16.1796875" style="114" bestFit="1" customWidth="1"/>
    <col min="15106" max="15106" width="23.54296875" style="114" customWidth="1"/>
    <col min="15107" max="15107" width="17.26953125" style="114" customWidth="1"/>
    <col min="15108" max="15108" width="20.54296875" style="114" bestFit="1" customWidth="1"/>
    <col min="15109" max="15109" width="17.1796875" style="114" customWidth="1"/>
    <col min="15110" max="15110" width="21.81640625" style="114" bestFit="1" customWidth="1"/>
    <col min="15111" max="15111" width="17.1796875" style="114" bestFit="1" customWidth="1"/>
    <col min="15112" max="15112" width="18.1796875" style="114" bestFit="1" customWidth="1"/>
    <col min="15113" max="15113" width="26.453125" style="114" customWidth="1"/>
    <col min="15114" max="15358" width="9.1796875" style="114"/>
    <col min="15359" max="15359" width="8.7265625" style="114" bestFit="1" customWidth="1"/>
    <col min="15360" max="15360" width="13.26953125" style="114" customWidth="1"/>
    <col min="15361" max="15361" width="16.1796875" style="114" bestFit="1" customWidth="1"/>
    <col min="15362" max="15362" width="23.54296875" style="114" customWidth="1"/>
    <col min="15363" max="15363" width="17.26953125" style="114" customWidth="1"/>
    <col min="15364" max="15364" width="20.54296875" style="114" bestFit="1" customWidth="1"/>
    <col min="15365" max="15365" width="17.1796875" style="114" customWidth="1"/>
    <col min="15366" max="15366" width="21.81640625" style="114" bestFit="1" customWidth="1"/>
    <col min="15367" max="15367" width="17.1796875" style="114" bestFit="1" customWidth="1"/>
    <col min="15368" max="15368" width="18.1796875" style="114" bestFit="1" customWidth="1"/>
    <col min="15369" max="15369" width="26.453125" style="114" customWidth="1"/>
    <col min="15370" max="15614" width="9.1796875" style="114"/>
    <col min="15615" max="15615" width="8.7265625" style="114" bestFit="1" customWidth="1"/>
    <col min="15616" max="15616" width="13.26953125" style="114" customWidth="1"/>
    <col min="15617" max="15617" width="16.1796875" style="114" bestFit="1" customWidth="1"/>
    <col min="15618" max="15618" width="23.54296875" style="114" customWidth="1"/>
    <col min="15619" max="15619" width="17.26953125" style="114" customWidth="1"/>
    <col min="15620" max="15620" width="20.54296875" style="114" bestFit="1" customWidth="1"/>
    <col min="15621" max="15621" width="17.1796875" style="114" customWidth="1"/>
    <col min="15622" max="15622" width="21.81640625" style="114" bestFit="1" customWidth="1"/>
    <col min="15623" max="15623" width="17.1796875" style="114" bestFit="1" customWidth="1"/>
    <col min="15624" max="15624" width="18.1796875" style="114" bestFit="1" customWidth="1"/>
    <col min="15625" max="15625" width="26.453125" style="114" customWidth="1"/>
    <col min="15626" max="15870" width="9.1796875" style="114"/>
    <col min="15871" max="15871" width="8.7265625" style="114" bestFit="1" customWidth="1"/>
    <col min="15872" max="15872" width="13.26953125" style="114" customWidth="1"/>
    <col min="15873" max="15873" width="16.1796875" style="114" bestFit="1" customWidth="1"/>
    <col min="15874" max="15874" width="23.54296875" style="114" customWidth="1"/>
    <col min="15875" max="15875" width="17.26953125" style="114" customWidth="1"/>
    <col min="15876" max="15876" width="20.54296875" style="114" bestFit="1" customWidth="1"/>
    <col min="15877" max="15877" width="17.1796875" style="114" customWidth="1"/>
    <col min="15878" max="15878" width="21.81640625" style="114" bestFit="1" customWidth="1"/>
    <col min="15879" max="15879" width="17.1796875" style="114" bestFit="1" customWidth="1"/>
    <col min="15880" max="15880" width="18.1796875" style="114" bestFit="1" customWidth="1"/>
    <col min="15881" max="15881" width="26.453125" style="114" customWidth="1"/>
    <col min="15882" max="16126" width="9.1796875" style="114"/>
    <col min="16127" max="16127" width="8.7265625" style="114" bestFit="1" customWidth="1"/>
    <col min="16128" max="16128" width="13.26953125" style="114" customWidth="1"/>
    <col min="16129" max="16129" width="16.1796875" style="114" bestFit="1" customWidth="1"/>
    <col min="16130" max="16130" width="23.54296875" style="114" customWidth="1"/>
    <col min="16131" max="16131" width="17.26953125" style="114" customWidth="1"/>
    <col min="16132" max="16132" width="20.54296875" style="114" bestFit="1" customWidth="1"/>
    <col min="16133" max="16133" width="17.1796875" style="114" customWidth="1"/>
    <col min="16134" max="16134" width="21.81640625" style="114" bestFit="1" customWidth="1"/>
    <col min="16135" max="16135" width="17.1796875" style="114" bestFit="1" customWidth="1"/>
    <col min="16136" max="16136" width="18.1796875" style="114" bestFit="1" customWidth="1"/>
    <col min="16137" max="16137" width="26.453125" style="114" customWidth="1"/>
    <col min="16138" max="16384" width="9.1796875" style="114"/>
  </cols>
  <sheetData>
    <row r="1" spans="11:12" s="131" customFormat="1">
      <c r="K1" s="470"/>
      <c r="L1" s="469"/>
    </row>
    <row r="2" spans="11:12" s="131" customFormat="1">
      <c r="K2" s="470"/>
      <c r="L2" s="469"/>
    </row>
    <row r="3" spans="11:12" s="131" customFormat="1">
      <c r="K3" s="470"/>
      <c r="L3" s="469"/>
    </row>
    <row r="4" spans="11:12" s="131" customFormat="1">
      <c r="K4" s="470"/>
      <c r="L4" s="469"/>
    </row>
    <row r="5" spans="11:12" s="131" customFormat="1">
      <c r="K5" s="470"/>
      <c r="L5" s="469"/>
    </row>
    <row r="6" spans="11:12" s="131" customFormat="1">
      <c r="K6" s="470"/>
      <c r="L6" s="469"/>
    </row>
    <row r="7" spans="11:12" s="131" customFormat="1">
      <c r="K7" s="470"/>
      <c r="L7" s="469"/>
    </row>
    <row r="8" spans="11:12" s="131" customFormat="1">
      <c r="K8" s="470"/>
      <c r="L8" s="469"/>
    </row>
    <row r="9" spans="11:12" s="131" customFormat="1">
      <c r="K9" s="470"/>
      <c r="L9" s="469"/>
    </row>
    <row r="10" spans="11:12" s="131" customFormat="1">
      <c r="K10" s="470"/>
      <c r="L10" s="469"/>
    </row>
    <row r="11" spans="11:12" s="131" customFormat="1">
      <c r="K11" s="470"/>
      <c r="L11" s="469"/>
    </row>
    <row r="12" spans="11:12" s="131" customFormat="1">
      <c r="K12" s="470"/>
      <c r="L12" s="469"/>
    </row>
    <row r="13" spans="11:12" s="131" customFormat="1">
      <c r="K13" s="470"/>
      <c r="L13" s="469"/>
    </row>
    <row r="14" spans="11:12" s="131" customFormat="1">
      <c r="K14" s="470"/>
      <c r="L14" s="469"/>
    </row>
    <row r="15" spans="11:12" s="131" customFormat="1">
      <c r="K15" s="470"/>
      <c r="L15" s="469"/>
    </row>
    <row r="16" spans="11:12" s="131" customFormat="1">
      <c r="K16" s="470"/>
      <c r="L16" s="469"/>
    </row>
    <row r="17" spans="1:17" s="131" customFormat="1">
      <c r="K17" s="470"/>
      <c r="L17" s="469"/>
    </row>
    <row r="18" spans="1:17" s="131" customFormat="1">
      <c r="K18" s="470"/>
      <c r="L18" s="469"/>
    </row>
    <row r="19" spans="1:17" s="131" customFormat="1">
      <c r="K19" s="470"/>
      <c r="L19" s="469"/>
    </row>
    <row r="20" spans="1:17" s="131" customFormat="1">
      <c r="K20" s="470"/>
      <c r="L20" s="469"/>
    </row>
    <row r="21" spans="1:17" s="131" customFormat="1">
      <c r="K21" s="470"/>
      <c r="L21" s="469"/>
    </row>
    <row r="22" spans="1:17" s="131" customFormat="1">
      <c r="K22" s="470"/>
      <c r="L22" s="469"/>
    </row>
    <row r="23" spans="1:17" s="131" customFormat="1">
      <c r="K23" s="470"/>
      <c r="L23" s="469"/>
    </row>
    <row r="24" spans="1:17" s="131" customFormat="1">
      <c r="K24" s="470"/>
      <c r="L24" s="469"/>
    </row>
    <row r="25" spans="1:17" s="131" customFormat="1">
      <c r="K25" s="470"/>
      <c r="L25" s="469"/>
    </row>
    <row r="26" spans="1:17" s="131" customFormat="1">
      <c r="K26" s="470"/>
      <c r="L26" s="469"/>
    </row>
    <row r="27" spans="1:17" s="131" customFormat="1">
      <c r="K27" s="470"/>
      <c r="L27" s="469"/>
    </row>
    <row r="28" spans="1:17" s="131" customFormat="1" ht="24.75" customHeight="1">
      <c r="A28" s="496" t="str">
        <f>CHOOSE(MODE, 'Variable Mgmt'!K11,'Variable Mgmt'!K12)</f>
        <v>DUAL Output PSR Flyback Converter, VIN = 12.5 V, VOUT1 = 170 V, IOUT1 = 0.6 A, VOUT2 = 12 V, IOUT2 = 0.5 A</v>
      </c>
      <c r="K28" s="469"/>
      <c r="L28" s="469"/>
    </row>
    <row r="29" spans="1:17" ht="24.75" customHeight="1" thickBot="1">
      <c r="A29" s="115" t="s">
        <v>937</v>
      </c>
    </row>
    <row r="30" spans="1:17" ht="18" customHeight="1">
      <c r="A30" s="202" t="s">
        <v>123</v>
      </c>
      <c r="B30" s="203" t="s">
        <v>122</v>
      </c>
      <c r="C30" s="203" t="s">
        <v>6</v>
      </c>
      <c r="D30" s="951" t="s">
        <v>41</v>
      </c>
      <c r="E30" s="952"/>
      <c r="F30" s="953"/>
      <c r="G30" s="203" t="s">
        <v>116</v>
      </c>
      <c r="H30" s="203" t="s">
        <v>67</v>
      </c>
      <c r="I30" s="488" t="s">
        <v>117</v>
      </c>
      <c r="J30" s="489" t="s">
        <v>346</v>
      </c>
      <c r="K30" s="490" t="s">
        <v>354</v>
      </c>
      <c r="L30" s="463"/>
      <c r="N30" s="117"/>
      <c r="Q30" s="495"/>
    </row>
    <row r="31" spans="1:17" s="117" customFormat="1" ht="17.149999999999999" customHeight="1">
      <c r="A31" s="116">
        <f>ROUNDUP('Design Converter'!E30/10,0)</f>
        <v>4</v>
      </c>
      <c r="B31" s="127" t="s">
        <v>120</v>
      </c>
      <c r="C31" s="130">
        <f>Cin</f>
        <v>40</v>
      </c>
      <c r="D31" s="965" t="str">
        <f>IF(VIN_max&gt;35, "Capacitor, Ceramic, "&amp;'Variable Mgmt'!B250&amp;", 100V, X7R, 10%", "Capacitor, Ceramic, "&amp;'Variable Mgmt'!B250&amp;", 50V, X7R, 10%")</f>
        <v>Capacitor, Ceramic, 40µF, 50V, X7R, 10%</v>
      </c>
      <c r="E31" s="966"/>
      <c r="F31" s="966"/>
      <c r="G31" s="128"/>
      <c r="H31" s="129" t="s">
        <v>118</v>
      </c>
      <c r="I31" s="475" t="s">
        <v>118</v>
      </c>
      <c r="J31" s="484" t="str">
        <f>CHOOSE(Q31,'Variable Mgmt'!T78,'Variable Mgmt'!T79,'Variable Mgmt'!T80,'Variable Mgmt'!T81,'Variable Mgmt'!T82)</f>
        <v>1.0 x 0.5</v>
      </c>
      <c r="K31" s="482">
        <f>CHOOSE(Q31,'Variable Mgmt'!U78,'Variable Mgmt'!U79,'Variable Mgmt'!U80,'Variable Mgmt'!U81,'Variable Mgmt'!U82)</f>
        <v>0.5</v>
      </c>
      <c r="L31" s="487"/>
      <c r="Q31" s="493">
        <v>1</v>
      </c>
    </row>
    <row r="32" spans="1:17" s="117" customFormat="1" ht="17.149999999999999" customHeight="1">
      <c r="A32" s="116">
        <v>1</v>
      </c>
      <c r="B32" s="127" t="s">
        <v>121</v>
      </c>
      <c r="C32" s="130">
        <f>Cout</f>
        <v>10</v>
      </c>
      <c r="D32" s="960" t="str">
        <f>CHOOSE(Cout_Voltage_Rating, "Capacitor, Ceramic, "&amp;'Variable Mgmt'!B245&amp;", 6.3V, X7R, 10%", "Capacitor, Ceramic, "&amp;'Variable Mgmt'!B245&amp;", 10V, X7R, 10%", "Capacitor, Ceramic, "&amp;'Variable Mgmt'!B245&amp;", 16V, X7R, 10%", "Capacitor, Ceramic, "&amp;'Variable Mgmt'!B245&amp;", 25V, X7R, 10%",  "Capacitor, Ceramic, "&amp;'Variable Mgmt'!B245&amp;", 50V, X7R, 10%")</f>
        <v>Capacitor, Ceramic, 10µF, 50V, X7R, 10%</v>
      </c>
      <c r="E32" s="961"/>
      <c r="F32" s="961"/>
      <c r="G32" s="128"/>
      <c r="H32" s="129" t="s">
        <v>118</v>
      </c>
      <c r="I32" s="475" t="s">
        <v>118</v>
      </c>
      <c r="J32" s="484" t="str">
        <f>CHOOSE(Q32,'Variable Mgmt'!T78,'Variable Mgmt'!T79,'Variable Mgmt'!T80,'Variable Mgmt'!T81,'Variable Mgmt'!T82)</f>
        <v>3.2 x 2.5</v>
      </c>
      <c r="K32" s="482">
        <f>CHOOSE(Q32,'Variable Mgmt'!U78,'Variable Mgmt'!U79,'Variable Mgmt'!U80,'Variable Mgmt'!U81,'Variable Mgmt'!U82)</f>
        <v>8</v>
      </c>
      <c r="L32" s="487"/>
      <c r="Q32" s="493">
        <v>5</v>
      </c>
    </row>
    <row r="33" spans="1:17" s="117" customFormat="1" ht="17.149999999999999" customHeight="1">
      <c r="A33" s="116" t="str">
        <f>CHOOSE(MODE, "-", "1")</f>
        <v>1</v>
      </c>
      <c r="B33" s="127" t="s">
        <v>625</v>
      </c>
      <c r="C33" s="130">
        <f>CHOOSE(MODE, "-", Cout2)</f>
        <v>55</v>
      </c>
      <c r="D33" s="598" t="str">
        <f>CHOOSE(MODE, "-", CHOOSE(Cout_Voltage_Rating, "Capacitor, Ceramic, "&amp;'Variable Mgmt'!F245&amp;", 6.3V, X7R, 10%", "Capacitor, Ceramic, "&amp;'Variable Mgmt'!F245&amp;", 10V, X7R, 10%", "Capacitor, Ceramic, "&amp;'Variable Mgmt'!F245&amp;", 16V, X7R, 10%", "Capacitor, Ceramic, "&amp;'Variable Mgmt'!F245&amp;", 25V, X7R, 10%",  "Capacitor, Ceramic, "&amp;'Variable Mgmt'!F245&amp;", 50V, X7R, 10%"))</f>
        <v>Capacitor, Ceramic, 55µF, 50V, X7R, 10%</v>
      </c>
      <c r="E33" s="599"/>
      <c r="F33" s="599"/>
      <c r="G33" s="128"/>
      <c r="H33" s="129" t="str">
        <f>CHOOSE(MODE, "-", "Std")</f>
        <v>Std</v>
      </c>
      <c r="I33" s="475" t="str">
        <f>CHOOSE(MODE, "-", "Std")</f>
        <v>Std</v>
      </c>
      <c r="J33" s="484" t="str">
        <f>CHOOSE(MODE, "-", CHOOSE(Q33,'Variable Mgmt'!T78,'Variable Mgmt'!T79,'Variable Mgmt'!T80,'Variable Mgmt'!T81,'Variable Mgmt'!T82))</f>
        <v>3.2 x 2.5</v>
      </c>
      <c r="K33" s="482">
        <f>CHOOSE(MODE, "-", CHOOSE(Q33,'Variable Mgmt'!U78,'Variable Mgmt'!U79,'Variable Mgmt'!U80,'Variable Mgmt'!U81,'Variable Mgmt'!U82))</f>
        <v>8</v>
      </c>
      <c r="L33" s="487"/>
      <c r="Q33" s="493">
        <v>5</v>
      </c>
    </row>
    <row r="34" spans="1:17" s="117" customFormat="1" ht="17.149999999999999" customHeight="1">
      <c r="A34" s="118" t="str">
        <f>CHOOSE(MODE_SS, "1", "-", "1")</f>
        <v>1</v>
      </c>
      <c r="B34" s="119" t="str">
        <f>CHOOSE(MODE_SS, "Css", "-")</f>
        <v>Css</v>
      </c>
      <c r="C34" s="620" t="str">
        <f>CHOOSE(MODE_SS, 'Standard Value Calculator'!B4*1000000000&amp;"nF", "-", "100k")</f>
        <v>100nF</v>
      </c>
      <c r="D34" s="962" t="str">
        <f>CHOOSE(MODE_SS, "Capacitor, Ceramic, "&amp;'Standard Value Calculator'!B4*1000000000&amp;"nF"&amp;", 16V, X7R, 10%", "-")</f>
        <v>Capacitor, Ceramic, 100nF, 16V, X7R, 10%</v>
      </c>
      <c r="E34" s="963"/>
      <c r="F34" s="963"/>
      <c r="G34" s="120"/>
      <c r="H34" s="121" t="str">
        <f>CHOOSE(MODE_SS, "Std", "-")</f>
        <v>Std</v>
      </c>
      <c r="I34" s="476" t="str">
        <f>CHOOSE(MODE_SS, "Std", "-")</f>
        <v>Std</v>
      </c>
      <c r="J34" s="484" t="e">
        <f>CHOOSE(MODE_SS,CHOOSE(Q34,'Variable Mgmt'!T78,'Variable Mgmt'!T79,'Variable Mgmt'!T80),"-",CHOOSE(Q34,'Variable Mgmt'!T78,'Variable Mgmt'!T79,'Variable Mgmt'!T80))</f>
        <v>#VALUE!</v>
      </c>
      <c r="K34" s="482" t="e">
        <f>CHOOSE(MODE_SS, CHOOSE(Q34,'Variable Mgmt'!U78,'Variable Mgmt'!U79,'Variable Mgmt'!U80), "-", CHOOSE(Q34,'Variable Mgmt'!U78,'Variable Mgmt'!U79,'Variable Mgmt'!U80))</f>
        <v>#VALUE!</v>
      </c>
      <c r="L34" s="487"/>
      <c r="Q34" s="493">
        <v>5</v>
      </c>
    </row>
    <row r="35" spans="1:17" s="117" customFormat="1" ht="17.149999999999999" customHeight="1">
      <c r="A35" s="118">
        <v>1</v>
      </c>
      <c r="B35" s="119" t="s">
        <v>929</v>
      </c>
      <c r="C35" s="620" t="str">
        <f>'Design Converter'!E62&amp;"nF"</f>
        <v>6nF</v>
      </c>
      <c r="D35" s="900" t="str">
        <f>"Capacitor, Ceramic, "&amp;C35&amp;", 16V, X7R, 10%"</f>
        <v>Capacitor, Ceramic, 6nF, 16V, X7R, 10%</v>
      </c>
      <c r="E35" s="901"/>
      <c r="F35" s="901"/>
      <c r="G35" s="128"/>
      <c r="H35" s="129" t="str">
        <f>CHOOSE(MODE, "-", "Std")</f>
        <v>Std</v>
      </c>
      <c r="I35" s="475" t="str">
        <f>CHOOSE(MODE, "-", "Std")</f>
        <v>Std</v>
      </c>
      <c r="J35" s="484" t="str">
        <f>CHOOSE(Q35,'Variable Mgmt'!T78,'Variable Mgmt'!T79,'Variable Mgmt'!T80,'Variable Mgmt'!T81,'Variable Mgmt'!T82)</f>
        <v>2.0 x 1.25</v>
      </c>
      <c r="K35" s="482">
        <f>CHOOSE(Q35,'Variable Mgmt'!U78,'Variable Mgmt'!U79,'Variable Mgmt'!U80,'Variable Mgmt'!U81,'Variable Mgmt'!U82)</f>
        <v>2.5</v>
      </c>
      <c r="L35" s="487"/>
      <c r="Q35" s="493">
        <v>3</v>
      </c>
    </row>
    <row r="36" spans="1:17" s="117" customFormat="1" ht="17.149999999999999" customHeight="1">
      <c r="A36" s="118">
        <v>1</v>
      </c>
      <c r="B36" s="119" t="s">
        <v>930</v>
      </c>
      <c r="C36" s="620" t="str">
        <f>'Design Converter'!E64&amp;"pF"</f>
        <v>47pF</v>
      </c>
      <c r="D36" s="900" t="str">
        <f>"Capacitor, Ceramic, "&amp;C36&amp;", 50V, X7R, 10%"</f>
        <v>Capacitor, Ceramic, 47pF, 50V, X7R, 10%</v>
      </c>
      <c r="E36" s="901"/>
      <c r="F36" s="901"/>
      <c r="G36" s="128"/>
      <c r="H36" s="129" t="str">
        <f>CHOOSE(MODE, "-", "Std")</f>
        <v>Std</v>
      </c>
      <c r="I36" s="475" t="str">
        <f>CHOOSE(MODE, "-", "Std")</f>
        <v>Std</v>
      </c>
      <c r="J36" s="484" t="str">
        <f>CHOOSE(Q36,'Variable Mgmt'!T78,'Variable Mgmt'!T79,'Variable Mgmt'!T80,'Variable Mgmt'!T81,'Variable Mgmt'!T82)</f>
        <v>3.2 x 1.6</v>
      </c>
      <c r="K36" s="482">
        <f>CHOOSE(Q36,'Variable Mgmt'!U78,'Variable Mgmt'!U79,'Variable Mgmt'!U80,'Variable Mgmt'!U81,'Variable Mgmt'!U82)</f>
        <v>5.0999999999999996</v>
      </c>
      <c r="L36" s="487"/>
      <c r="Q36" s="493">
        <v>4</v>
      </c>
    </row>
    <row r="37" spans="1:17" s="117" customFormat="1" ht="17.149999999999999" customHeight="1">
      <c r="A37" s="118">
        <v>1</v>
      </c>
      <c r="B37" s="119" t="s">
        <v>927</v>
      </c>
      <c r="C37" s="130">
        <v>1</v>
      </c>
      <c r="D37" s="960" t="s">
        <v>928</v>
      </c>
      <c r="E37" s="961"/>
      <c r="F37" s="961"/>
      <c r="G37" s="128"/>
      <c r="H37" s="129" t="s">
        <v>118</v>
      </c>
      <c r="I37" s="475" t="s">
        <v>118</v>
      </c>
      <c r="J37" s="484" t="str">
        <f>CHOOSE(Q37,'Variable Mgmt'!T78,'Variable Mgmt'!T79,'Variable Mgmt'!T80,'Variable Mgmt'!T81,'Variable Mgmt'!T82)</f>
        <v>1.6 x 0.8</v>
      </c>
      <c r="K37" s="482">
        <f>CHOOSE(Q37,'Variable Mgmt'!U78,'Variable Mgmt'!U79,'Variable Mgmt'!U80,'Variable Mgmt'!U81,'Variable Mgmt'!U82)</f>
        <v>1.3</v>
      </c>
      <c r="L37" s="487"/>
      <c r="Q37" s="493">
        <v>2</v>
      </c>
    </row>
    <row r="38" spans="1:17" s="117" customFormat="1" ht="17.149999999999999" customHeight="1">
      <c r="A38" s="118">
        <v>1</v>
      </c>
      <c r="B38" s="119" t="s">
        <v>934</v>
      </c>
      <c r="C38" s="130" t="s">
        <v>869</v>
      </c>
      <c r="D38" s="960" t="s">
        <v>935</v>
      </c>
      <c r="E38" s="961"/>
      <c r="F38" s="961"/>
      <c r="G38" s="128"/>
      <c r="H38" s="129" t="str">
        <f>CHOOSE(MODE, "-", "Std")</f>
        <v>Std</v>
      </c>
      <c r="I38" s="475" t="str">
        <f>CHOOSE(MODE, "-", "Std")</f>
        <v>Std</v>
      </c>
      <c r="J38" s="484" t="str">
        <f>CHOOSE(Q38,'Variable Mgmt'!T78,'Variable Mgmt'!T79,'Variable Mgmt'!T80,'Variable Mgmt'!T81,'Variable Mgmt'!T82)</f>
        <v>1.0 x 0.5</v>
      </c>
      <c r="K38" s="482">
        <f>CHOOSE(Q38,'Variable Mgmt'!U78,'Variable Mgmt'!U79,'Variable Mgmt'!U80,'Variable Mgmt'!U81,'Variable Mgmt'!U82)</f>
        <v>0.5</v>
      </c>
      <c r="L38" s="487"/>
      <c r="Q38" s="493">
        <v>1</v>
      </c>
    </row>
    <row r="39" spans="1:17" s="117" customFormat="1" ht="17.149999999999999" customHeight="1">
      <c r="A39" s="122">
        <v>1</v>
      </c>
      <c r="B39" s="123" t="s">
        <v>627</v>
      </c>
      <c r="C39" s="124" t="s">
        <v>193</v>
      </c>
      <c r="D39" s="958" t="str">
        <f>"Rectifying Diode, Schottky"</f>
        <v>Rectifying Diode, Schottky</v>
      </c>
      <c r="E39" s="959"/>
      <c r="F39" s="959"/>
      <c r="G39" s="125"/>
      <c r="H39" s="126" t="s">
        <v>118</v>
      </c>
      <c r="I39" s="477" t="s">
        <v>118</v>
      </c>
      <c r="J39" s="613" t="str">
        <f>CHOOSE(Q39,'Variable Mgmt'!Y88,'Variable Mgmt'!Y89,'Variable Mgmt'!Y90,'Variable Mgmt'!Y91)</f>
        <v>3.6 x 1.8</v>
      </c>
      <c r="K39" s="614">
        <f>CHOOSE(Q39,'Variable Mgmt'!Z88,'Variable Mgmt'!Z89,'Variable Mgmt'!Z90,'Variable Mgmt'!Z91)</f>
        <v>6.5</v>
      </c>
      <c r="L39" s="487"/>
      <c r="Q39" s="494">
        <v>3</v>
      </c>
    </row>
    <row r="40" spans="1:17" s="117" customFormat="1" ht="17.149999999999999" customHeight="1">
      <c r="A40" s="122" t="str">
        <f>CHOOSE(MODE, "-", "1")</f>
        <v>1</v>
      </c>
      <c r="B40" s="123" t="s">
        <v>626</v>
      </c>
      <c r="C40" s="124" t="str">
        <f>CHOOSE(MODE, "-", "Diode")</f>
        <v>Diode</v>
      </c>
      <c r="D40" s="956" t="str">
        <f>CHOOSE(MODE, "-", "Rectifying Diode, Schottky")</f>
        <v>Rectifying Diode, Schottky</v>
      </c>
      <c r="E40" s="957"/>
      <c r="F40" s="957"/>
      <c r="G40" s="125" t="s">
        <v>119</v>
      </c>
      <c r="H40" s="126" t="str">
        <f>CHOOSE(MODE, "-", "Std")</f>
        <v>Std</v>
      </c>
      <c r="I40" s="477" t="str">
        <f>CHOOSE(MODE, "-", "Std")</f>
        <v>Std</v>
      </c>
      <c r="J40" s="613" t="str">
        <f>CHOOSE(MODE, "-", CHOOSE(Q40,'Variable Mgmt'!Y88,'Variable Mgmt'!Y89,'Variable Mgmt'!Y90,'Variable Mgmt'!Y91))</f>
        <v>3.6 x 1.8</v>
      </c>
      <c r="K40" s="614">
        <f>CHOOSE(MODE, "-", CHOOSE(Q40,'Variable Mgmt'!Z88,'Variable Mgmt'!Z89,'Variable Mgmt'!Z90,'Variable Mgmt'!Z91))</f>
        <v>6.5</v>
      </c>
      <c r="L40" s="487"/>
      <c r="Q40" s="494">
        <v>3</v>
      </c>
    </row>
    <row r="41" spans="1:17" s="117" customFormat="1" ht="17.149999999999999" customHeight="1">
      <c r="A41" s="122">
        <v>1</v>
      </c>
      <c r="B41" s="123" t="s">
        <v>628</v>
      </c>
      <c r="C41" s="124" t="str">
        <f>"Diode"</f>
        <v>Diode</v>
      </c>
      <c r="D41" s="618" t="str">
        <f>"Clamp Circuit Diode, Fast Recovery"</f>
        <v>Clamp Circuit Diode, Fast Recovery</v>
      </c>
      <c r="E41" s="619"/>
      <c r="F41" s="619"/>
      <c r="G41" s="125"/>
      <c r="H41" s="126" t="s">
        <v>118</v>
      </c>
      <c r="I41" s="477" t="s">
        <v>118</v>
      </c>
      <c r="J41" s="613" t="str">
        <f>CHOOSE(Q41,'Variable Mgmt'!Y88,'Variable Mgmt'!Y89,'Variable Mgmt'!Y90,'Variable Mgmt'!Y91)</f>
        <v>1.6 x 0.8</v>
      </c>
      <c r="K41" s="614">
        <f>CHOOSE(Q41,'Variable Mgmt'!Z88,'Variable Mgmt'!Z89,'Variable Mgmt'!Z90,'Variable Mgmt'!Z91)</f>
        <v>1.3</v>
      </c>
      <c r="L41" s="487"/>
      <c r="Q41" s="494">
        <v>1</v>
      </c>
    </row>
    <row r="42" spans="1:17" s="117" customFormat="1" ht="17.149999999999999" customHeight="1">
      <c r="A42" s="122">
        <v>1</v>
      </c>
      <c r="B42" s="123" t="s">
        <v>623</v>
      </c>
      <c r="C42" s="124" t="s">
        <v>624</v>
      </c>
      <c r="D42" s="956" t="str">
        <f>"Clamp Circuit Diode, Zener, 24V"</f>
        <v>Clamp Circuit Diode, Zener, 24V</v>
      </c>
      <c r="E42" s="957"/>
      <c r="F42" s="957"/>
      <c r="G42" s="125" t="s">
        <v>119</v>
      </c>
      <c r="H42" s="126" t="s">
        <v>118</v>
      </c>
      <c r="I42" s="477" t="s">
        <v>118</v>
      </c>
      <c r="J42" s="613" t="str">
        <f>CHOOSE(Q42,'Variable Mgmt'!Y88,'Variable Mgmt'!Y89,'Variable Mgmt'!Y90,'Variable Mgmt'!Y91)</f>
        <v>5.0 x 2.5</v>
      </c>
      <c r="K42" s="614">
        <f>CHOOSE(Q42,'Variable Mgmt'!Z88,'Variable Mgmt'!Z89,'Variable Mgmt'!Z90,'Variable Mgmt'!Z91)</f>
        <v>12.5</v>
      </c>
      <c r="L42" s="487"/>
      <c r="Q42" s="494">
        <v>4</v>
      </c>
    </row>
    <row r="43" spans="1:17" s="117" customFormat="1" ht="17.149999999999999" customHeight="1">
      <c r="A43" s="122">
        <v>1</v>
      </c>
      <c r="B43" s="123" t="s">
        <v>941</v>
      </c>
      <c r="C43" s="124" t="str">
        <f>Vout*1.1&amp;"V"</f>
        <v>187V</v>
      </c>
      <c r="D43" s="618" t="str">
        <f>"Output Clamp Diode, Zener, "&amp;ROUND(Vout*1.125,0)&amp;"V"</f>
        <v>Output Clamp Diode, Zener, 191V</v>
      </c>
      <c r="E43" s="619"/>
      <c r="F43" s="619"/>
      <c r="G43" s="125"/>
      <c r="H43" s="126" t="s">
        <v>118</v>
      </c>
      <c r="I43" s="477" t="s">
        <v>118</v>
      </c>
      <c r="J43" s="613" t="str">
        <f>CHOOSE(Q43,'Variable Mgmt'!Y88,'Variable Mgmt'!Y89,'Variable Mgmt'!Y90,'Variable Mgmt'!Y91)</f>
        <v>3.6 x 1.8</v>
      </c>
      <c r="K43" s="614">
        <f>CHOOSE(Q43,'Variable Mgmt'!Z88,'Variable Mgmt'!Z89,'Variable Mgmt'!Z90,'Variable Mgmt'!Z91)</f>
        <v>6.5</v>
      </c>
      <c r="L43" s="487"/>
      <c r="Q43" s="494">
        <v>3</v>
      </c>
    </row>
    <row r="44" spans="1:17" s="117" customFormat="1" ht="17.149999999999999" customHeight="1">
      <c r="A44" s="122" t="str">
        <f>CHOOSE(MODE, "-", "1")</f>
        <v>1</v>
      </c>
      <c r="B44" s="123" t="s">
        <v>942</v>
      </c>
      <c r="C44" s="124" t="str">
        <f>Vout2*1.1&amp;"V"</f>
        <v>13.2V</v>
      </c>
      <c r="D44" s="956" t="str">
        <f>CHOOSE(MODE, "-", "Output Clamp Diode, Zener, "&amp;ROUND(Vout2*1.125,0)&amp;"V")</f>
        <v>Output Clamp Diode, Zener, 14V</v>
      </c>
      <c r="E44" s="957"/>
      <c r="F44" s="957"/>
      <c r="G44" s="125"/>
      <c r="H44" s="126" t="str">
        <f>CHOOSE(MODE, "-", "Std")</f>
        <v>Std</v>
      </c>
      <c r="I44" s="477" t="str">
        <f>CHOOSE(MODE, "-", "Std")</f>
        <v>Std</v>
      </c>
      <c r="J44" s="613" t="str">
        <f>CHOOSE(MODE, "-", CHOOSE(Q44,'Variable Mgmt'!Y88,'Variable Mgmt'!Y89,'Variable Mgmt'!Y90,'Variable Mgmt'!Y91))</f>
        <v>3.6 x 1.8</v>
      </c>
      <c r="K44" s="614">
        <f>CHOOSE(MODE, "-", CHOOSE(Q44,'Variable Mgmt'!Z88,'Variable Mgmt'!Z89,'Variable Mgmt'!Z90,'Variable Mgmt'!Z91))</f>
        <v>6.5</v>
      </c>
      <c r="L44" s="487"/>
      <c r="Q44" s="494">
        <v>3</v>
      </c>
    </row>
    <row r="45" spans="1:17" s="117" customFormat="1" ht="17.149999999999999" customHeight="1">
      <c r="A45" s="118">
        <v>1</v>
      </c>
      <c r="B45" s="119" t="s">
        <v>949</v>
      </c>
      <c r="C45" s="907" t="str">
        <f>IF(Vds_req&lt;30,30,IF(Vds_req&lt;40,40,IF(Vds_req&lt;50,50,IF(Vds_req&lt;60,60,IF(Vds_req&lt;80,80,IF(Vds_req&lt;100,100,IF(Vds_req&lt;120,120,IF(Vds_req&lt;150,150,IF(Vds_req&lt;200,200,IF(Vds_req&lt;250,250,IF(Vds_req&lt;300,300,500)))))))))))&amp;"V"</f>
        <v>40V</v>
      </c>
      <c r="D45" s="905" t="s">
        <v>950</v>
      </c>
      <c r="E45" s="906"/>
      <c r="F45" s="906"/>
      <c r="G45" s="120" t="s">
        <v>951</v>
      </c>
      <c r="H45" s="121" t="s">
        <v>118</v>
      </c>
      <c r="I45" s="476" t="s">
        <v>118</v>
      </c>
      <c r="J45" s="484" t="s">
        <v>952</v>
      </c>
      <c r="K45" s="482">
        <v>30</v>
      </c>
      <c r="L45" s="487"/>
      <c r="Q45" s="494"/>
    </row>
    <row r="46" spans="1:17" s="117" customFormat="1" ht="17.149999999999999" customHeight="1">
      <c r="A46" s="122">
        <v>1</v>
      </c>
      <c r="B46" s="123" t="s">
        <v>629</v>
      </c>
      <c r="C46" s="124">
        <v>12.1</v>
      </c>
      <c r="D46" s="954">
        <f>C46</f>
        <v>12.1</v>
      </c>
      <c r="E46" s="955"/>
      <c r="F46" s="955"/>
      <c r="G46" s="125" t="s">
        <v>119</v>
      </c>
      <c r="H46" s="126" t="s">
        <v>118</v>
      </c>
      <c r="I46" s="477" t="s">
        <v>118</v>
      </c>
      <c r="J46" s="613" t="str">
        <f>CHOOSE(Q46,'Variable Mgmt'!T78,'Variable Mgmt'!T79,'Variable Mgmt'!T80)</f>
        <v>1.6 x 0.8</v>
      </c>
      <c r="K46" s="614">
        <f>CHOOSE(Q46,'Variable Mgmt'!U78,'Variable Mgmt'!U79,'Variable Mgmt'!U80,'Variable Mgmt'!U81,'Variable Mgmt'!U82)</f>
        <v>1.3</v>
      </c>
      <c r="L46" s="487"/>
      <c r="Q46" s="494">
        <v>2</v>
      </c>
    </row>
    <row r="47" spans="1:17" s="117" customFormat="1" ht="17.149999999999999" customHeight="1">
      <c r="A47" s="122">
        <v>1</v>
      </c>
      <c r="B47" s="123" t="s">
        <v>524</v>
      </c>
      <c r="C47" s="124">
        <f>Rfb/1000</f>
        <v>85.3</v>
      </c>
      <c r="D47" s="954">
        <f>C47</f>
        <v>85.3</v>
      </c>
      <c r="E47" s="955"/>
      <c r="F47" s="955"/>
      <c r="G47" s="125" t="s">
        <v>119</v>
      </c>
      <c r="H47" s="126" t="s">
        <v>118</v>
      </c>
      <c r="I47" s="477" t="s">
        <v>118</v>
      </c>
      <c r="J47" s="613" t="str">
        <f>CHOOSE(Q47,'Variable Mgmt'!T78,'Variable Mgmt'!T79,'Variable Mgmt'!T80)</f>
        <v>2.0 x 1.25</v>
      </c>
      <c r="K47" s="614">
        <f>CHOOSE(Q47,'Variable Mgmt'!U78,'Variable Mgmt'!U79,'Variable Mgmt'!U80,'Variable Mgmt'!U81,'Variable Mgmt'!U82)</f>
        <v>2.5</v>
      </c>
      <c r="L47" s="487"/>
      <c r="Q47" s="494">
        <v>3</v>
      </c>
    </row>
    <row r="48" spans="1:17" s="117" customFormat="1" ht="17.149999999999999" customHeight="1">
      <c r="A48" s="122" t="str">
        <f>CHOOSE(MODE_UVLO, "1", "-")</f>
        <v>1</v>
      </c>
      <c r="B48" s="123" t="s">
        <v>126</v>
      </c>
      <c r="C48" s="908" t="str">
        <f>CHOOSE(MODE_UVLO, 'Variable Mgmt'!H269, "-")</f>
        <v>147k</v>
      </c>
      <c r="D48" s="956" t="str">
        <f>CHOOSE(MODE_UVLO, "Resistor, Chip, "&amp;'Variable Mgmt'!C269&amp;", 1/16W, 1%", "-")</f>
        <v>Resistor, Chip, 147kΩ, 1/16W, 1%</v>
      </c>
      <c r="E48" s="957"/>
      <c r="F48" s="957"/>
      <c r="G48" s="125" t="s">
        <v>119</v>
      </c>
      <c r="H48" s="126" t="str">
        <f>CHOOSE(MODE_UVLO, "Std", "-")</f>
        <v>Std</v>
      </c>
      <c r="I48" s="477" t="str">
        <f>CHOOSE(MODE_UVLO, "Std", "-")</f>
        <v>Std</v>
      </c>
      <c r="J48" s="613" t="str">
        <f>CHOOSE(MODE_UVLO, CHOOSE(Q48,'Variable Mgmt'!T78,'Variable Mgmt'!T79,'Variable Mgmt'!T80), "-")</f>
        <v>1.0 x 0.5</v>
      </c>
      <c r="K48" s="614">
        <f>CHOOSE(MODE_UVLO, CHOOSE(Q48,'Variable Mgmt'!U78,'Variable Mgmt'!U79,'Variable Mgmt'!U80,'Variable Mgmt'!U81,'Variable Mgmt'!U82),"-")</f>
        <v>0.5</v>
      </c>
      <c r="L48" s="487"/>
      <c r="Q48" s="494">
        <v>1</v>
      </c>
    </row>
    <row r="49" spans="1:17" s="117" customFormat="1" ht="17.149999999999999" customHeight="1">
      <c r="A49" s="122" t="str">
        <f>CHOOSE(MODE_UVLO, "1", "-")</f>
        <v>1</v>
      </c>
      <c r="B49" s="123" t="s">
        <v>127</v>
      </c>
      <c r="C49" s="908" t="str">
        <f>CHOOSE(MODE_UVLO, 'Variable Mgmt'!H270, "-")</f>
        <v>34k</v>
      </c>
      <c r="D49" s="956" t="str">
        <f>CHOOSE(MODE_UVLO, "Resistor, Chip, "&amp;'Variable Mgmt'!C270&amp;", 1/16W, 1%", "-")</f>
        <v>Resistor, Chip, 34kΩ, 1/16W, 1%</v>
      </c>
      <c r="E49" s="957"/>
      <c r="F49" s="957"/>
      <c r="G49" s="125" t="s">
        <v>119</v>
      </c>
      <c r="H49" s="126" t="str">
        <f>CHOOSE(MODE_UVLO, "Std", "-")</f>
        <v>Std</v>
      </c>
      <c r="I49" s="477" t="str">
        <f>CHOOSE(MODE_UVLO, "Std", "-")</f>
        <v>Std</v>
      </c>
      <c r="J49" s="613" t="str">
        <f>CHOOSE(MODE_UVLO, CHOOSE(Q49,'Variable Mgmt'!T78,'Variable Mgmt'!T79,'Variable Mgmt'!T80), "-")</f>
        <v>1.0 x 0.5</v>
      </c>
      <c r="K49" s="614">
        <f>CHOOSE(MODE_UVLO, CHOOSE(Q49,'Variable Mgmt'!U78,'Variable Mgmt'!U79,'Variable Mgmt'!U80,'Variable Mgmt'!U81,'Variable Mgmt'!U82),"-")</f>
        <v>0.5</v>
      </c>
      <c r="L49" s="487"/>
      <c r="Q49" s="494">
        <v>1</v>
      </c>
    </row>
    <row r="50" spans="1:17" s="117" customFormat="1" ht="17.149999999999999" customHeight="1">
      <c r="A50" s="122" t="str">
        <f>CHOOSE(MODE_TC, "1", "-")</f>
        <v>1</v>
      </c>
      <c r="B50" s="123" t="s">
        <v>516</v>
      </c>
      <c r="C50" s="124">
        <f>CHOOSE(MODE_TC, RTC, "-")</f>
        <v>1690</v>
      </c>
      <c r="D50" s="954" t="str">
        <f>CHOOSE(MODE_TC, "Resistor, Chip, "&amp;'Variable Mgmt'!B265&amp;", 1/16W, 1%", "-")</f>
        <v>Resistor, Chip, 1690kΩ, 1/16W, 1%</v>
      </c>
      <c r="E50" s="955"/>
      <c r="F50" s="955"/>
      <c r="G50" s="125" t="s">
        <v>119</v>
      </c>
      <c r="H50" s="126" t="str">
        <f>CHOOSE(MODE_TC, "Std", "-")</f>
        <v>Std</v>
      </c>
      <c r="I50" s="477" t="str">
        <f>CHOOSE(MODE_TC, "Std", "-")</f>
        <v>Std</v>
      </c>
      <c r="J50" s="613" t="str">
        <f>CHOOSE(MODE_TC, CHOOSE(Q50,'Variable Mgmt'!T78,'Variable Mgmt'!T409,'Variable Mgmt'!T80), "-")</f>
        <v>1.0 x 0.5</v>
      </c>
      <c r="K50" s="614">
        <f>CHOOSE(MODE_TC, CHOOSE(Q50,'Variable Mgmt'!U78,'Variable Mgmt'!U79,'Variable Mgmt'!U80,'Variable Mgmt'!U81,'Variable Mgmt'!U82),"-")</f>
        <v>0.5</v>
      </c>
      <c r="L50" s="487"/>
      <c r="Q50" s="494">
        <v>1</v>
      </c>
    </row>
    <row r="51" spans="1:17" s="117" customFormat="1" ht="17.149999999999999" customHeight="1">
      <c r="A51" s="122">
        <v>1</v>
      </c>
      <c r="B51" s="123" t="s">
        <v>932</v>
      </c>
      <c r="C51" s="124" t="str">
        <f>'Variable Mgmt'!D313</f>
        <v>1.5mΩ</v>
      </c>
      <c r="D51" s="970" t="s">
        <v>933</v>
      </c>
      <c r="E51" s="955"/>
      <c r="F51" s="955"/>
      <c r="G51" s="125" t="s">
        <v>119</v>
      </c>
      <c r="H51" s="126" t="s">
        <v>118</v>
      </c>
      <c r="I51" s="477" t="s">
        <v>118</v>
      </c>
      <c r="J51" s="613" t="str">
        <f>CHOOSE(Q51,'Variable Mgmt'!T79,'Variable Mgmt'!T80,'Variable Mgmt'!T81,'Variable Mgmt'!T82,'Variable Mgmt'!T83,'Variable Mgmt'!T84)</f>
        <v>9.3 x 2.7</v>
      </c>
      <c r="K51" s="614">
        <f>CHOOSE(Q51,'Variable Mgmt'!U79,'Variable Mgmt'!U80,'Variable Mgmt'!U81,'Variable Mgmt'!U82,'Variable Mgmt'!U83,'Variable Mgmt'!U84)</f>
        <v>25.1</v>
      </c>
      <c r="L51" s="487"/>
      <c r="Q51" s="494">
        <v>6</v>
      </c>
    </row>
    <row r="52" spans="1:17" s="117" customFormat="1" ht="17.149999999999999" customHeight="1">
      <c r="A52" s="122">
        <v>1</v>
      </c>
      <c r="B52" s="123" t="s">
        <v>931</v>
      </c>
      <c r="C52" s="124">
        <f>'Design Converter'!E60</f>
        <v>142</v>
      </c>
      <c r="D52" s="904" t="str">
        <f>"Resistor, Chip, "&amp;C52&amp;"kΩ, 1/16W, 1%"</f>
        <v>Resistor, Chip, 142kΩ, 1/16W, 1%</v>
      </c>
      <c r="E52" s="909"/>
      <c r="F52" s="909"/>
      <c r="G52" s="125" t="s">
        <v>119</v>
      </c>
      <c r="H52" s="126" t="s">
        <v>118</v>
      </c>
      <c r="I52" s="477" t="s">
        <v>118</v>
      </c>
      <c r="J52" s="613" t="str">
        <f>CHOOSE(Q52,'Variable Mgmt'!T78,'Variable Mgmt'!T79,'Variable Mgmt'!T80)</f>
        <v>1.6 x 0.8</v>
      </c>
      <c r="K52" s="614">
        <f>CHOOSE(Q52,'Variable Mgmt'!U78,'Variable Mgmt'!U79,'Variable Mgmt'!U80,'Variable Mgmt'!U81,'Variable Mgmt'!U82)</f>
        <v>1.3</v>
      </c>
      <c r="L52" s="487"/>
      <c r="Q52" s="494">
        <v>2</v>
      </c>
    </row>
    <row r="53" spans="1:17" s="117" customFormat="1" ht="17.149999999999999" customHeight="1">
      <c r="A53" s="122">
        <v>1</v>
      </c>
      <c r="B53" s="123" t="s">
        <v>936</v>
      </c>
      <c r="C53" s="124" t="str">
        <f>'Variable Mgmt'!D315</f>
        <v>100Ω</v>
      </c>
      <c r="D53" s="954" t="str">
        <f>"Resistor, Chip, "&amp;C53&amp;", 1/16W, 1%"</f>
        <v>Resistor, Chip, 100Ω, 1/16W, 1%</v>
      </c>
      <c r="E53" s="955"/>
      <c r="F53" s="955"/>
      <c r="G53" s="125" t="s">
        <v>119</v>
      </c>
      <c r="H53" s="126" t="s">
        <v>118</v>
      </c>
      <c r="I53" s="477" t="s">
        <v>118</v>
      </c>
      <c r="J53" s="613" t="str">
        <f>CHOOSE(Q53,'Variable Mgmt'!T78,'Variable Mgmt'!T79,'Variable Mgmt'!T80)</f>
        <v>1.0 x 0.5</v>
      </c>
      <c r="K53" s="614">
        <f>CHOOSE(Q53,'Variable Mgmt'!U78,'Variable Mgmt'!U79,'Variable Mgmt'!U80,'Variable Mgmt'!U81,'Variable Mgmt'!U82)</f>
        <v>0.5</v>
      </c>
      <c r="L53" s="487"/>
      <c r="Q53" s="494">
        <v>1</v>
      </c>
    </row>
    <row r="54" spans="1:17" s="616" customFormat="1" ht="16.5" customHeight="1">
      <c r="A54" s="118">
        <v>1</v>
      </c>
      <c r="B54" s="119" t="s">
        <v>523</v>
      </c>
      <c r="C54" s="910" t="str">
        <f>'Design Converter'!L7&amp;"k"</f>
        <v>0.5k</v>
      </c>
      <c r="D54" s="967" t="str">
        <f>"Transformer, "&amp;L*1000000&amp;"µH, "&amp;'Variable Mgmt'!W66&amp;", "&amp;Rdcr_pri*1000&amp;"mΩ Pri DCR"</f>
        <v>Transformer, 0.5µH, 1 : 20 : 1.49, 30mΩ Pri DCR</v>
      </c>
      <c r="E54" s="968"/>
      <c r="F54" s="969"/>
      <c r="G54" s="121" t="s">
        <v>125</v>
      </c>
      <c r="H54" s="121" t="s">
        <v>124</v>
      </c>
      <c r="I54" s="476" t="s">
        <v>124</v>
      </c>
      <c r="J54" s="484" t="str">
        <f>CHOOSE(Q54,'Variable Mgmt'!T89,'Variable Mgmt'!T90,'Variable Mgmt'!T91,'Variable Mgmt'!T92,'Variable Mgmt'!T93,'Variable Mgmt'!T94, 'Variable Mgmt'!T95, 'Variable Mgmt'!T96)</f>
        <v>23 x 17</v>
      </c>
      <c r="K54" s="907">
        <f>CHOOSE(Q54,'Variable Mgmt'!U89,'Variable Mgmt'!U90,'Variable Mgmt'!U91,'Variable Mgmt'!U92,'Variable Mgmt'!U93,'Variable Mgmt'!U94, 'Variable Mgmt'!U95,'Variable Mgmt'!U96)</f>
        <v>391</v>
      </c>
      <c r="L54" s="615"/>
      <c r="Q54" s="617">
        <v>8</v>
      </c>
    </row>
    <row r="55" spans="1:17" ht="17.149999999999999" customHeight="1">
      <c r="A55" s="459">
        <v>1</v>
      </c>
      <c r="B55" s="465" t="s">
        <v>128</v>
      </c>
      <c r="C55" s="486" t="s">
        <v>938</v>
      </c>
      <c r="D55" s="466" t="s">
        <v>939</v>
      </c>
      <c r="E55" s="467"/>
      <c r="F55" s="468"/>
      <c r="G55" s="464" t="s">
        <v>940</v>
      </c>
      <c r="H55" s="464" t="s">
        <v>938</v>
      </c>
      <c r="I55" s="466" t="s">
        <v>355</v>
      </c>
      <c r="J55" s="485" t="s">
        <v>953</v>
      </c>
      <c r="K55" s="483">
        <f>32</f>
        <v>32</v>
      </c>
      <c r="L55" s="463"/>
      <c r="M55" s="463"/>
      <c r="N55" s="117"/>
      <c r="Q55" s="497"/>
    </row>
    <row r="56" spans="1:17" ht="17.149999999999999" customHeight="1">
      <c r="J56" s="117"/>
      <c r="K56" s="473"/>
      <c r="L56" s="463"/>
      <c r="M56" s="463"/>
      <c r="N56" s="117"/>
    </row>
    <row r="57" spans="1:17" ht="17.25" hidden="1" customHeight="1">
      <c r="H57" s="964" t="s">
        <v>357</v>
      </c>
      <c r="I57" s="964"/>
      <c r="J57" s="964"/>
      <c r="K57" s="491" t="e">
        <f>SUM(K31:K55)*1.25</f>
        <v>#VALUE!</v>
      </c>
      <c r="L57" s="498" t="s">
        <v>358</v>
      </c>
      <c r="M57" s="492" t="e">
        <f>K57/25.4/25.4</f>
        <v>#VALUE!</v>
      </c>
      <c r="N57" s="498" t="s">
        <v>356</v>
      </c>
    </row>
    <row r="58" spans="1:17" ht="17.149999999999999" customHeight="1">
      <c r="J58" s="478"/>
      <c r="K58" s="479"/>
      <c r="L58" s="480"/>
      <c r="M58" s="481"/>
      <c r="N58" s="480"/>
    </row>
    <row r="59" spans="1:17" ht="20.25" customHeight="1">
      <c r="A59" s="472" t="s">
        <v>137</v>
      </c>
    </row>
    <row r="60" spans="1:17">
      <c r="A60" s="114" t="s">
        <v>947</v>
      </c>
    </row>
    <row r="61" spans="1:17">
      <c r="A61" s="114" t="s">
        <v>677</v>
      </c>
      <c r="K61" s="471"/>
    </row>
    <row r="62" spans="1:17">
      <c r="A62" s="114" t="s">
        <v>676</v>
      </c>
    </row>
    <row r="63" spans="1:17">
      <c r="A63" s="114" t="s">
        <v>674</v>
      </c>
    </row>
    <row r="64" spans="1:17">
      <c r="A64" s="114" t="s">
        <v>675</v>
      </c>
    </row>
  </sheetData>
  <sheetProtection algorithmName="SHA-512" hashValue="LDB4IK7WyDQAJv8vPYNHmpeIcJchZtvJGk7AGokZ+o84M8XParPHLMtS2RIXTD1m393K8OHh8N2HD1gBIJAsWw==" saltValue="oU8kR652ub4qmJSrMqH4Kg==" spinCount="100000" sheet="1" objects="1" scenarios="1" selectLockedCells="1" selectUnlockedCells="1"/>
  <mergeCells count="19">
    <mergeCell ref="D53:F53"/>
    <mergeCell ref="H57:J57"/>
    <mergeCell ref="D31:F31"/>
    <mergeCell ref="D54:F54"/>
    <mergeCell ref="D48:F48"/>
    <mergeCell ref="D49:F49"/>
    <mergeCell ref="D50:F50"/>
    <mergeCell ref="D51:F51"/>
    <mergeCell ref="D30:F30"/>
    <mergeCell ref="D46:F46"/>
    <mergeCell ref="D47:F47"/>
    <mergeCell ref="D42:F42"/>
    <mergeCell ref="D40:F40"/>
    <mergeCell ref="D39:F39"/>
    <mergeCell ref="D32:F32"/>
    <mergeCell ref="D34:F34"/>
    <mergeCell ref="D37:F37"/>
    <mergeCell ref="D44:F44"/>
    <mergeCell ref="D38:F38"/>
  </mergeCells>
  <phoneticPr fontId="83"/>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40 G42 G48:G49 G46" numberStoredAsText="1"/>
    <ignoredError sqref="J40:K4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12700</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12700</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39</xdr:row>
                    <xdr:rowOff>12700</xdr:rowOff>
                  </from>
                  <to>
                    <xdr:col>6</xdr:col>
                    <xdr:colOff>876300</xdr:colOff>
                    <xdr:row>40</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46</xdr:row>
                    <xdr:rowOff>12700</xdr:rowOff>
                  </from>
                  <to>
                    <xdr:col>6</xdr:col>
                    <xdr:colOff>876300</xdr:colOff>
                    <xdr:row>47</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41</xdr:row>
                    <xdr:rowOff>12700</xdr:rowOff>
                  </from>
                  <to>
                    <xdr:col>6</xdr:col>
                    <xdr:colOff>876300</xdr:colOff>
                    <xdr:row>42</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40</xdr:row>
                    <xdr:rowOff>12700</xdr:rowOff>
                  </from>
                  <to>
                    <xdr:col>6</xdr:col>
                    <xdr:colOff>876300</xdr:colOff>
                    <xdr:row>41</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45</xdr:row>
                    <xdr:rowOff>12700</xdr:rowOff>
                  </from>
                  <to>
                    <xdr:col>6</xdr:col>
                    <xdr:colOff>876300</xdr:colOff>
                    <xdr:row>46</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47</xdr:row>
                    <xdr:rowOff>12700</xdr:rowOff>
                  </from>
                  <to>
                    <xdr:col>6</xdr:col>
                    <xdr:colOff>876300</xdr:colOff>
                    <xdr:row>48</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48</xdr:row>
                    <xdr:rowOff>12700</xdr:rowOff>
                  </from>
                  <to>
                    <xdr:col>6</xdr:col>
                    <xdr:colOff>876300</xdr:colOff>
                    <xdr:row>49</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49</xdr:row>
                    <xdr:rowOff>12700</xdr:rowOff>
                  </from>
                  <to>
                    <xdr:col>6</xdr:col>
                    <xdr:colOff>876300</xdr:colOff>
                    <xdr:row>50</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38</xdr:row>
                    <xdr:rowOff>12700</xdr:rowOff>
                  </from>
                  <to>
                    <xdr:col>6</xdr:col>
                    <xdr:colOff>876300</xdr:colOff>
                    <xdr:row>39</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53</xdr:row>
                    <xdr:rowOff>12700</xdr:rowOff>
                  </from>
                  <to>
                    <xdr:col>6</xdr:col>
                    <xdr:colOff>876300</xdr:colOff>
                    <xdr:row>54</xdr:row>
                    <xdr:rowOff>0</xdr:rowOff>
                  </to>
                </anchor>
              </controlPr>
            </control>
          </mc:Choice>
        </mc:AlternateContent>
        <mc:AlternateContent xmlns:mc="http://schemas.openxmlformats.org/markup-compatibility/2006">
          <mc:Choice Requires="x14">
            <control shapeId="706019" r:id="rId16" name="Drop Down 1507">
              <controlPr defaultSize="0" autoLine="0" autoPict="0">
                <anchor moveWithCells="1">
                  <from>
                    <xdr:col>5</xdr:col>
                    <xdr:colOff>895350</xdr:colOff>
                    <xdr:row>32</xdr:row>
                    <xdr:rowOff>12700</xdr:rowOff>
                  </from>
                  <to>
                    <xdr:col>6</xdr:col>
                    <xdr:colOff>869950</xdr:colOff>
                    <xdr:row>33</xdr:row>
                    <xdr:rowOff>0</xdr:rowOff>
                  </to>
                </anchor>
              </controlPr>
            </control>
          </mc:Choice>
        </mc:AlternateContent>
        <mc:AlternateContent xmlns:mc="http://schemas.openxmlformats.org/markup-compatibility/2006">
          <mc:Choice Requires="x14">
            <control shapeId="706028" r:id="rId17" name="Drop Down 1516">
              <controlPr defaultSize="0" autoLine="0" autoPict="0">
                <anchor moveWithCells="1">
                  <from>
                    <xdr:col>6</xdr:col>
                    <xdr:colOff>0</xdr:colOff>
                    <xdr:row>42</xdr:row>
                    <xdr:rowOff>12700</xdr:rowOff>
                  </from>
                  <to>
                    <xdr:col>6</xdr:col>
                    <xdr:colOff>882650</xdr:colOff>
                    <xdr:row>43</xdr:row>
                    <xdr:rowOff>0</xdr:rowOff>
                  </to>
                </anchor>
              </controlPr>
            </control>
          </mc:Choice>
        </mc:AlternateContent>
        <mc:AlternateContent xmlns:mc="http://schemas.openxmlformats.org/markup-compatibility/2006">
          <mc:Choice Requires="x14">
            <control shapeId="764426" r:id="rId18" name="Drop Down 2570">
              <controlPr defaultSize="0" autoLine="0" autoPict="0">
                <anchor moveWithCells="1">
                  <from>
                    <xdr:col>6</xdr:col>
                    <xdr:colOff>0</xdr:colOff>
                    <xdr:row>51</xdr:row>
                    <xdr:rowOff>12700</xdr:rowOff>
                  </from>
                  <to>
                    <xdr:col>6</xdr:col>
                    <xdr:colOff>876300</xdr:colOff>
                    <xdr:row>51</xdr:row>
                    <xdr:rowOff>215900</xdr:rowOff>
                  </to>
                </anchor>
              </controlPr>
            </control>
          </mc:Choice>
        </mc:AlternateContent>
        <mc:AlternateContent xmlns:mc="http://schemas.openxmlformats.org/markup-compatibility/2006">
          <mc:Choice Requires="x14">
            <control shapeId="764430" r:id="rId19" name="Drop Down 2574">
              <controlPr defaultSize="0" autoLine="0" autoPict="0">
                <anchor moveWithCells="1">
                  <from>
                    <xdr:col>6</xdr:col>
                    <xdr:colOff>0</xdr:colOff>
                    <xdr:row>52</xdr:row>
                    <xdr:rowOff>12700</xdr:rowOff>
                  </from>
                  <to>
                    <xdr:col>6</xdr:col>
                    <xdr:colOff>876300</xdr:colOff>
                    <xdr:row>52</xdr:row>
                    <xdr:rowOff>215900</xdr:rowOff>
                  </to>
                </anchor>
              </controlPr>
            </control>
          </mc:Choice>
        </mc:AlternateContent>
        <mc:AlternateContent xmlns:mc="http://schemas.openxmlformats.org/markup-compatibility/2006">
          <mc:Choice Requires="x14">
            <control shapeId="764447" r:id="rId20" name="Drop Down 2591">
              <controlPr defaultSize="0" autoLine="0" autoPict="0">
                <anchor moveWithCells="1">
                  <from>
                    <xdr:col>6</xdr:col>
                    <xdr:colOff>0</xdr:colOff>
                    <xdr:row>34</xdr:row>
                    <xdr:rowOff>12700</xdr:rowOff>
                  </from>
                  <to>
                    <xdr:col>6</xdr:col>
                    <xdr:colOff>882650</xdr:colOff>
                    <xdr:row>35</xdr:row>
                    <xdr:rowOff>0</xdr:rowOff>
                  </to>
                </anchor>
              </controlPr>
            </control>
          </mc:Choice>
        </mc:AlternateContent>
        <mc:AlternateContent xmlns:mc="http://schemas.openxmlformats.org/markup-compatibility/2006">
          <mc:Choice Requires="x14">
            <control shapeId="764451" r:id="rId21" name="Drop Down 2595">
              <controlPr defaultSize="0" autoLine="0" autoPict="0">
                <anchor moveWithCells="1">
                  <from>
                    <xdr:col>6</xdr:col>
                    <xdr:colOff>0</xdr:colOff>
                    <xdr:row>43</xdr:row>
                    <xdr:rowOff>12700</xdr:rowOff>
                  </from>
                  <to>
                    <xdr:col>6</xdr:col>
                    <xdr:colOff>876300</xdr:colOff>
                    <xdr:row>44</xdr:row>
                    <xdr:rowOff>0</xdr:rowOff>
                  </to>
                </anchor>
              </controlPr>
            </control>
          </mc:Choice>
        </mc:AlternateContent>
        <mc:AlternateContent xmlns:mc="http://schemas.openxmlformats.org/markup-compatibility/2006">
          <mc:Choice Requires="x14">
            <control shapeId="764454" r:id="rId22" name="Drop Down 2598">
              <controlPr defaultSize="0" autoLine="0" autoPict="0">
                <anchor moveWithCells="1">
                  <from>
                    <xdr:col>6</xdr:col>
                    <xdr:colOff>0</xdr:colOff>
                    <xdr:row>35</xdr:row>
                    <xdr:rowOff>12700</xdr:rowOff>
                  </from>
                  <to>
                    <xdr:col>6</xdr:col>
                    <xdr:colOff>876300</xdr:colOff>
                    <xdr:row>36</xdr:row>
                    <xdr:rowOff>0</xdr:rowOff>
                  </to>
                </anchor>
              </controlPr>
            </control>
          </mc:Choice>
        </mc:AlternateContent>
        <mc:AlternateContent xmlns:mc="http://schemas.openxmlformats.org/markup-compatibility/2006">
          <mc:Choice Requires="x14">
            <control shapeId="764455" r:id="rId23" name="Drop Down 2599">
              <controlPr defaultSize="0" autoLine="0" autoPict="0">
                <anchor moveWithCells="1">
                  <from>
                    <xdr:col>6</xdr:col>
                    <xdr:colOff>0</xdr:colOff>
                    <xdr:row>36</xdr:row>
                    <xdr:rowOff>12700</xdr:rowOff>
                  </from>
                  <to>
                    <xdr:col>6</xdr:col>
                    <xdr:colOff>876300</xdr:colOff>
                    <xdr:row>37</xdr:row>
                    <xdr:rowOff>0</xdr:rowOff>
                  </to>
                </anchor>
              </controlPr>
            </control>
          </mc:Choice>
        </mc:AlternateContent>
        <mc:AlternateContent xmlns:mc="http://schemas.openxmlformats.org/markup-compatibility/2006">
          <mc:Choice Requires="x14">
            <control shapeId="764456" r:id="rId24" name="Drop Down 2600">
              <controlPr defaultSize="0" autoLine="0" autoPict="0">
                <anchor moveWithCells="1">
                  <from>
                    <xdr:col>6</xdr:col>
                    <xdr:colOff>0</xdr:colOff>
                    <xdr:row>37</xdr:row>
                    <xdr:rowOff>12700</xdr:rowOff>
                  </from>
                  <to>
                    <xdr:col>6</xdr:col>
                    <xdr:colOff>876300</xdr:colOff>
                    <xdr:row>38</xdr:row>
                    <xdr:rowOff>0</xdr:rowOff>
                  </to>
                </anchor>
              </controlPr>
            </control>
          </mc:Choice>
        </mc:AlternateContent>
        <mc:AlternateContent xmlns:mc="http://schemas.openxmlformats.org/markup-compatibility/2006">
          <mc:Choice Requires="x14">
            <control shapeId="764458" r:id="rId25" name="Drop Down 2602">
              <controlPr defaultSize="0" autoLine="0" autoPict="0">
                <anchor moveWithCells="1">
                  <from>
                    <xdr:col>6</xdr:col>
                    <xdr:colOff>0</xdr:colOff>
                    <xdr:row>50</xdr:row>
                    <xdr:rowOff>12700</xdr:rowOff>
                  </from>
                  <to>
                    <xdr:col>6</xdr:col>
                    <xdr:colOff>876300</xdr:colOff>
                    <xdr:row>51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Mgmt'!$B$74=TRUE</xm:f>
            <x14:dxf>
              <font>
                <color theme="0"/>
              </font>
            </x14:dxf>
          </x14:cfRule>
          <xm:sqref>B40</xm:sqref>
        </x14:conditionalFormatting>
        <x14:conditionalFormatting xmlns:xm="http://schemas.microsoft.com/office/excel/2006/main">
          <x14:cfRule type="expression" priority="1" id="{8521D621-BE3D-4AAE-900E-18DA0D0FAC8E}">
            <xm:f>'Variable Mgmt'!$B$74=TRUE</xm:f>
            <x14:dxf>
              <font>
                <color rgb="FFFFFF99"/>
              </font>
            </x14:dxf>
          </x14:cfRule>
          <xm:sqref>B33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7030A0"/>
    <pageSetUpPr fitToPage="1"/>
  </sheetPr>
  <dimension ref="A1:R6"/>
  <sheetViews>
    <sheetView zoomScaleNormal="100" workbookViewId="0">
      <selection activeCell="Z36" sqref="Z36"/>
    </sheetView>
  </sheetViews>
  <sheetFormatPr defaultColWidth="9.1796875" defaultRowHeight="12.5"/>
  <cols>
    <col min="1" max="13" width="9.1796875" style="84"/>
    <col min="14" max="14" width="11.81640625" style="84" customWidth="1"/>
    <col min="15" max="16" width="9.1796875" style="84"/>
    <col min="17" max="17" width="15.7265625" style="84" customWidth="1"/>
    <col min="18" max="16384" width="9.1796875" style="84"/>
  </cols>
  <sheetData>
    <row r="1" spans="1:18" s="75" customFormat="1" ht="47.25" customHeight="1">
      <c r="A1" s="971" t="s">
        <v>948</v>
      </c>
      <c r="B1" s="972"/>
      <c r="C1" s="972"/>
      <c r="D1" s="972"/>
      <c r="E1" s="972"/>
      <c r="F1" s="972"/>
      <c r="G1" s="972"/>
      <c r="H1" s="972"/>
      <c r="I1" s="972"/>
      <c r="J1" s="972"/>
      <c r="K1" s="972"/>
      <c r="L1" s="972"/>
      <c r="M1" s="972"/>
      <c r="N1" s="972"/>
      <c r="O1" s="972"/>
      <c r="P1" s="972"/>
      <c r="Q1" s="972"/>
      <c r="R1" s="82"/>
    </row>
    <row r="6" spans="1:18" ht="20">
      <c r="B6" s="85" t="s">
        <v>921</v>
      </c>
      <c r="N6" s="85" t="s">
        <v>946</v>
      </c>
    </row>
  </sheetData>
  <sheetProtection algorithmName="SHA-512" hashValue="tPvl2fh3glKsM+U9wmutkl9ZVBAqXCTdyJPzqtmwYjcUBHnYNN/9332VpUYstDE7h8BljUFt0E7mrD0NWOKCXQ==" saltValue="syN6z4runAzyyZkZejHLoQ==" spinCount="100000" sheet="1" objects="1" scenarios="1" selectLockedCells="1" selectUnlockedCells="1"/>
  <mergeCells count="1">
    <mergeCell ref="A1:Q1"/>
  </mergeCells>
  <phoneticPr fontId="83"/>
  <pageMargins left="0.19" right="0.2" top="0.75" bottom="0.75" header="0.3" footer="0.3"/>
  <pageSetup scale="5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209</vt:i4>
      </vt:variant>
    </vt:vector>
  </HeadingPairs>
  <TitlesOfParts>
    <vt:vector size="222" baseType="lpstr">
      <vt:lpstr>Design Converter</vt:lpstr>
      <vt:lpstr>Stability Calculations</vt:lpstr>
      <vt:lpstr>Variable Mgmt</vt:lpstr>
      <vt:lpstr>Parameters</vt:lpstr>
      <vt:lpstr>Calculations - Single</vt:lpstr>
      <vt:lpstr>Calculations - Dual</vt:lpstr>
      <vt:lpstr>Fsw vs VIN</vt:lpstr>
      <vt:lpstr>BOM &amp; Schematic</vt:lpstr>
      <vt:lpstr>EVMs</vt:lpstr>
      <vt:lpstr>Efficiency Plots</vt:lpstr>
      <vt:lpstr>Fsw Plots</vt:lpstr>
      <vt:lpstr>Schematic Mgmt</vt:lpstr>
      <vt:lpstr>Standard Value Calculator</vt:lpstr>
      <vt:lpstr>_Don1</vt:lpstr>
      <vt:lpstr>Acs</vt:lpstr>
      <vt:lpstr>Adc</vt:lpstr>
      <vt:lpstr>Aea</vt:lpstr>
      <vt:lpstr>Afb</vt:lpstr>
      <vt:lpstr>Am</vt:lpstr>
      <vt:lpstr>BDserR</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Fco_desire</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IpkCAL</vt:lpstr>
      <vt:lpstr>IQ</vt:lpstr>
      <vt:lpstr>Iripple</vt:lpstr>
      <vt:lpstr>Iss</vt:lpstr>
      <vt:lpstr>Isw_max</vt:lpstr>
      <vt:lpstr>Isw_min</vt:lpstr>
      <vt:lpstr>Iuvlo_hys</vt:lpstr>
      <vt:lpstr>Iuvlo1</vt:lpstr>
      <vt:lpstr>Iuvlo2</vt:lpstr>
      <vt:lpstr>k_core</vt:lpstr>
      <vt:lpstr>ktr_rcmd</vt:lpstr>
      <vt:lpstr>L</vt:lpstr>
      <vt:lpstr>Lleak</vt:lpstr>
      <vt:lpstr>Lmag</vt:lpstr>
      <vt:lpstr>Lmin</vt:lpstr>
      <vt:lpstr>Lmin_abs</vt:lpstr>
      <vt:lpstr>Ls1_</vt:lpstr>
      <vt:lpstr>Ls2_</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Pomax_allowed</vt:lpstr>
      <vt:lpstr>Pout</vt:lpstr>
      <vt:lpstr>Pout_total</vt:lpstr>
      <vt:lpstr>Pout2</vt:lpstr>
      <vt:lpstr>'BOM &amp; Schematic'!Print_Area</vt:lpstr>
      <vt:lpstr>'Design Converter'!Print_Area</vt:lpstr>
      <vt:lpstr>pterm1</vt:lpstr>
      <vt:lpstr>pterm2</vt:lpstr>
      <vt:lpstr>Qg</vt:lpstr>
      <vt:lpstr>radconv</vt:lpstr>
      <vt:lpstr>Parameters!RCinEsr</vt:lpstr>
      <vt:lpstr>RCinEsr</vt:lpstr>
      <vt:lpstr>Rcomp</vt:lpstr>
      <vt:lpstr>Parameters!RCoutEsr</vt:lpstr>
      <vt:lpstr>RCoutEsr</vt:lpstr>
      <vt:lpstr>RCS</vt:lpstr>
      <vt:lpstr>Rcs_gain</vt:lpstr>
      <vt:lpstr>RCSmin</vt:lpstr>
      <vt:lpstr>Rdcr_pri</vt:lpstr>
      <vt:lpstr>Rdcr_sec</vt:lpstr>
      <vt:lpstr>Rdcr_sec2</vt:lpstr>
      <vt:lpstr>Rdson</vt:lpstr>
      <vt:lpstr>RdsonTC</vt:lpstr>
      <vt:lpstr>REAout</vt:lpstr>
      <vt:lpstr>Rfb</vt:lpstr>
      <vt:lpstr>Rfb_recommend</vt:lpstr>
      <vt:lpstr>Rfb2_u</vt:lpstr>
      <vt:lpstr>Rload_pri</vt:lpstr>
      <vt:lpstr>Rload_sec</vt:lpstr>
      <vt:lpstr>RON</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Vdd</vt:lpstr>
      <vt:lpstr>Vds_req</vt:lpstr>
      <vt:lpstr>Vfwd1</vt:lpstr>
      <vt:lpstr>Vfwd2</vt:lpstr>
      <vt:lpstr>Vfwd22</vt:lpstr>
      <vt:lpstr>Vin</vt:lpstr>
      <vt:lpstr>Vin_eff</vt:lpstr>
      <vt:lpstr>VIN_max</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Alva Hernandez, Manuel</cp:lastModifiedBy>
  <cp:lastPrinted>2016-03-02T21:18:53Z</cp:lastPrinted>
  <dcterms:created xsi:type="dcterms:W3CDTF">1996-10-14T23:33:28Z</dcterms:created>
  <dcterms:modified xsi:type="dcterms:W3CDTF">2025-07-28T20:04:41Z</dcterms:modified>
</cp:coreProperties>
</file>